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zia qu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Piano mese per mese" sheetId="3" state="visible" r:id="rId3"/>
    <sheet xmlns:r="http://schemas.openxmlformats.org/officeDocument/2006/relationships" name="Debiti" sheetId="4" state="visible" r:id="rId4"/>
    <sheet xmlns:r="http://schemas.openxmlformats.org/officeDocument/2006/relationships" name="Budget ed extra" sheetId="5" state="visible" r:id="rId5"/>
    <sheet xmlns:r="http://schemas.openxmlformats.org/officeDocument/2006/relationships" name="Impostazioni" sheetId="6" state="visible" r:id="rId6"/>
    <sheet xmlns:r="http://schemas.openxmlformats.org/officeDocument/2006/relationships" name="Calc base" sheetId="7" state="hidden" r:id="rId7"/>
    <sheet xmlns:r="http://schemas.openxmlformats.org/officeDocument/2006/relationships" name="Calc valanga" sheetId="8" state="hidden" r:id="rId8"/>
    <sheet xmlns:r="http://schemas.openxmlformats.org/officeDocument/2006/relationships" name="Calc palla di neve" sheetId="9" state="hidden" r:id="rId9"/>
    <sheet xmlns:r="http://schemas.openxmlformats.org/officeDocument/2006/relationships" name="Calc personalizzata" sheetId="10" state="hidden" r:id="rId10"/>
    <sheet xmlns:r="http://schemas.openxmlformats.org/officeDocument/2006/relationships" name="Calc rate minime" sheetId="11" state="hidden" r:id="rId11"/>
    <sheet xmlns:r="http://schemas.openxmlformats.org/officeDocument/2006/relationships" name="Calc riepilogo" sheetId="12" state="hidden" r:id="rId12"/>
  </sheets>
  <definedNames>
    <definedName name="_xlnm.Print_Area" localSheetId="0">'Inizia qui'!$A$1:$H$37</definedName>
    <definedName name="_xlnm.Print_Area" localSheetId="1">'Riepilogo'!$A$1:$T$74</definedName>
    <definedName name="_xlnm.Print_Titles" localSheetId="2">'Piano mese per mese'!$6:$7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m yyyy"/>
    <numFmt numFmtId="166" formatCode="#,##0 &quot;€&quot;;-#,##0 &quot;€&quot;;&quot;–&quot;"/>
    <numFmt numFmtId="167" formatCode="#,##0.00 &quot;€&quot;;-#,##0.00 &quot;€&quot;;&quot;–&quot;"/>
    <numFmt numFmtId="168" formatCode="0.0#%;-0.0#%;&quot;0%&quot;"/>
    <numFmt numFmtId="169" formatCode="mmm yyyy"/>
  </numFmts>
  <fonts count="47">
    <font>
      <name val="Calibri"/>
      <family val="2"/>
      <color theme="1"/>
      <sz val="11"/>
      <scheme val="minor"/>
    </font>
    <font>
      <name val="Arial"/>
      <b val="1"/>
      <color rgb="002747B8"/>
      <sz val="16"/>
    </font>
    <font>
      <name val="Arial"/>
      <color rgb="005B6475"/>
      <sz val="10"/>
    </font>
    <font>
      <name val="Arial"/>
      <color rgb="002747B8"/>
      <sz val="10"/>
      <u val="single"/>
    </font>
    <font>
      <name val="Arial"/>
      <b val="1"/>
      <color rgb="00121826"/>
      <sz val="10"/>
    </font>
    <font>
      <name val="Arial"/>
      <color rgb="00121826"/>
      <sz val="10"/>
    </font>
    <font>
      <name val="Arial"/>
      <b val="1"/>
      <color rgb="00121826"/>
      <sz val="11"/>
    </font>
    <font>
      <name val="Arial"/>
      <color rgb="005B6475"/>
      <sz val="9"/>
    </font>
    <font>
      <name val="Arial"/>
      <b val="1"/>
      <color rgb="005B6475"/>
      <sz val="11"/>
    </font>
    <font>
      <name val="Arial"/>
      <color rgb="002747B8"/>
      <sz val="9"/>
      <u val="single"/>
    </font>
    <font>
      <name val="Arial"/>
      <b val="1"/>
      <color rgb="002747B8"/>
      <sz val="10"/>
    </font>
    <font>
      <name val="Arial"/>
      <i val="1"/>
      <color rgb="005B6475"/>
      <sz val="9"/>
    </font>
    <font>
      <name val="Arial"/>
      <b val="1"/>
      <color rgb="00121826"/>
      <sz val="9"/>
    </font>
    <font>
      <name val="Arial"/>
      <b val="1"/>
      <color rgb="00B54708"/>
      <sz val="10"/>
    </font>
    <font>
      <name val="Arial"/>
      <b val="1"/>
      <color rgb="002747B8"/>
      <sz val="9"/>
    </font>
    <font>
      <name val="Arial"/>
      <b val="1"/>
      <color rgb="00FFFFFF"/>
      <sz val="10"/>
    </font>
    <font>
      <name val="Arial"/>
      <color rgb="00121826"/>
      <sz val="9"/>
    </font>
    <font>
      <name val="Arial"/>
      <b val="1"/>
      <color rgb="00067647"/>
      <sz val="9"/>
    </font>
    <font>
      <name val="Arial"/>
      <b val="1"/>
      <color rgb="00EDF1F7"/>
      <sz val="11"/>
    </font>
    <font>
      <name val="Arial"/>
      <b val="1"/>
      <color rgb="008590A8"/>
      <sz val="11"/>
    </font>
    <font>
      <name val="Arial"/>
      <color rgb="008590A8"/>
      <sz val="8"/>
    </font>
    <font>
      <name val="Arial"/>
      <b val="1"/>
      <color rgb="00F5B83D"/>
      <sz val="11"/>
    </font>
    <font>
      <name val="Arial"/>
      <color rgb="00B8C1D3"/>
      <sz val="11"/>
    </font>
    <font>
      <name val="Arial"/>
      <b val="1"/>
      <color rgb="008590A8"/>
      <sz val="8"/>
    </font>
    <font>
      <name val="Arial"/>
      <color rgb="00B8C1D3"/>
      <sz val="10"/>
    </font>
    <font>
      <name val="Arial"/>
      <b val="1"/>
      <color rgb="00EDF1F7"/>
      <sz val="14"/>
    </font>
    <font>
      <name val="Arial"/>
      <b val="1"/>
      <color rgb="00F5B83D"/>
      <sz val="9"/>
    </font>
    <font>
      <name val="Arial"/>
      <b val="1"/>
      <color rgb="008590A8"/>
      <sz val="9"/>
    </font>
    <font>
      <name val="Arial"/>
      <b val="1"/>
      <color rgb="00EDF1F7"/>
      <sz val="16"/>
    </font>
    <font>
      <name val="Arial"/>
      <b val="1"/>
      <color rgb="00F87171"/>
      <sz val="16"/>
    </font>
    <font>
      <name val="Arial"/>
      <b val="1"/>
      <color rgb="0034D399"/>
      <sz val="16"/>
    </font>
    <font>
      <name val="Arial"/>
      <b val="1"/>
      <color rgb="00F5B83D"/>
      <sz val="18"/>
    </font>
    <font>
      <name val="Arial"/>
      <color rgb="00B8C1D3"/>
      <sz val="8"/>
    </font>
    <font>
      <name val="Arial"/>
      <b val="1"/>
      <color rgb="00F5B83D"/>
      <sz val="8"/>
    </font>
    <font>
      <name val="Arial"/>
      <color rgb="00B8C1D3"/>
      <sz val="9"/>
    </font>
    <font>
      <name val="Arial"/>
      <b val="1"/>
      <color rgb="00EDF1F7"/>
      <sz val="9"/>
    </font>
    <font>
      <name val="Arial"/>
      <color rgb="00F5B83D"/>
      <sz val="8"/>
    </font>
    <font>
      <name val="Arial"/>
      <color rgb="0034D399"/>
      <sz val="10"/>
    </font>
    <font>
      <name val="Arial"/>
      <b val="1"/>
      <color rgb="00EDF1F7"/>
      <sz val="10"/>
    </font>
    <font>
      <name val="Arial"/>
      <b val="1"/>
      <color rgb="0034D399"/>
      <sz val="10"/>
    </font>
    <font>
      <name val="Arial"/>
      <b val="1"/>
      <color rgb="008590A8"/>
      <sz val="10"/>
    </font>
    <font>
      <name val="Arial"/>
      <b val="1"/>
      <color rgb="00F5B83D"/>
      <sz val="10"/>
    </font>
    <font>
      <name val="Arial"/>
      <color rgb="00EDF1F7"/>
      <sz val="10"/>
    </font>
    <font>
      <name val="Arial"/>
      <b val="1"/>
      <color rgb="00EDF1F7"/>
      <sz val="20"/>
    </font>
    <font>
      <name val="Arial"/>
      <color rgb="008590A8"/>
      <sz val="10"/>
    </font>
    <font>
      <name val="Arial"/>
      <b val="1"/>
      <color rgb="00F5B83D"/>
      <sz val="14"/>
    </font>
    <font>
      <name val="Arial"/>
      <b val="1"/>
      <color rgb="00F5B83D"/>
      <sz val="10"/>
      <u val="single"/>
    </font>
  </fonts>
  <fills count="9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F2F4F7"/>
      </patternFill>
    </fill>
    <fill>
      <patternFill patternType="solid">
        <fgColor rgb="002747B8"/>
      </patternFill>
    </fill>
    <fill>
      <patternFill patternType="solid">
        <fgColor rgb="005B6475"/>
      </patternFill>
    </fill>
    <fill>
      <patternFill patternType="solid">
        <fgColor rgb="000D1322"/>
      </patternFill>
    </fill>
    <fill>
      <patternFill patternType="solid">
        <fgColor rgb="00151D33"/>
      </patternFill>
    </fill>
    <fill>
      <patternFill patternType="solid">
        <fgColor rgb="001C2642"/>
      </patternFill>
    </fill>
  </fills>
  <borders count="3">
    <border>
      <left/>
      <right/>
      <top/>
      <bottom/>
      <diagonal/>
    </border>
    <border>
      <left style="thin">
        <color rgb="00DCE1EA"/>
      </left>
      <right style="thin">
        <color rgb="00DCE1EA"/>
      </right>
      <top style="thin">
        <color rgb="00DCE1EA"/>
      </top>
      <bottom style="thin">
        <color rgb="00DCE1EA"/>
      </bottom>
    </border>
    <border>
      <left style="thick">
        <color rgb="00F5B83D"/>
      </left>
    </border>
  </borders>
  <cellStyleXfs count="1">
    <xf numFmtId="0" fontId="0" fillId="0" borderId="0"/>
  </cellStyleXfs>
  <cellXfs count="99">
    <xf numFmtId="0" fontId="0" fillId="0" borderId="0" pivotButton="0" quotePrefix="0" xfId="0"/>
    <xf numFmtId="0" fontId="0" fillId="6" borderId="0" pivotButton="0" quotePrefix="0" xfId="0"/>
    <xf numFmtId="0" fontId="43" fillId="6" borderId="0" applyAlignment="1" pivotButton="0" quotePrefix="0" xfId="0">
      <alignment horizontal="left" vertical="center"/>
    </xf>
    <xf numFmtId="0" fontId="44" fillId="6" borderId="0" applyAlignment="1" pivotButton="0" quotePrefix="0" xfId="0">
      <alignment horizontal="left" vertical="center"/>
    </xf>
    <xf numFmtId="0" fontId="26" fillId="6" borderId="0" applyAlignment="1" pivotButton="0" quotePrefix="0" xfId="0">
      <alignment horizontal="left" vertical="center"/>
    </xf>
    <xf numFmtId="0" fontId="45" fillId="6" borderId="0" applyAlignment="1" pivotButton="0" quotePrefix="0" xfId="0">
      <alignment horizontal="center" vertical="center"/>
    </xf>
    <xf numFmtId="0" fontId="18" fillId="7" borderId="0" applyAlignment="1" pivotButton="0" quotePrefix="0" xfId="0">
      <alignment horizontal="left" vertical="center"/>
    </xf>
    <xf numFmtId="0" fontId="24" fillId="7" borderId="0" applyAlignment="1" pivotButton="0" quotePrefix="0" xfId="0">
      <alignment horizontal="left" vertical="top" wrapText="1"/>
    </xf>
    <xf numFmtId="0" fontId="18" fillId="8" borderId="0" applyAlignment="1" pivotButton="0" quotePrefix="0" xfId="0">
      <alignment vertical="center"/>
    </xf>
    <xf numFmtId="0" fontId="24" fillId="6" borderId="0" applyAlignment="1" pivotButton="0" quotePrefix="0" xfId="0">
      <alignment horizontal="left" vertical="top" wrapText="1"/>
    </xf>
    <xf numFmtId="0" fontId="46" fillId="6" borderId="0" pivotButton="0" quotePrefix="0" xfId="0"/>
    <xf numFmtId="0" fontId="38" fillId="6" borderId="0" applyAlignment="1" pivotButton="0" quotePrefix="0" xfId="0">
      <alignment horizontal="right" vertical="center"/>
    </xf>
    <xf numFmtId="0" fontId="18" fillId="6" borderId="0" applyAlignment="1" pivotButton="0" quotePrefix="0" xfId="0">
      <alignment horizontal="left" vertical="center"/>
    </xf>
    <xf numFmtId="0" fontId="19" fillId="6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0" fillId="6" borderId="0" applyAlignment="1" pivotButton="0" quotePrefix="0" xfId="0">
      <alignment horizontal="center" vertical="center"/>
    </xf>
    <xf numFmtId="0" fontId="21" fillId="8" borderId="2" applyAlignment="1" pivotButton="0" quotePrefix="0" xfId="0">
      <alignment vertical="center"/>
    </xf>
    <xf numFmtId="0" fontId="25" fillId="6" borderId="0" applyAlignment="1" pivotButton="0" quotePrefix="0" xfId="0">
      <alignment horizontal="left" vertical="center"/>
    </xf>
    <xf numFmtId="0" fontId="23" fillId="7" borderId="0" applyAlignment="1" pivotButton="0" quotePrefix="0" xfId="0">
      <alignment horizontal="center" vertical="center"/>
    </xf>
    <xf numFmtId="0" fontId="22" fillId="7" borderId="0" applyAlignment="1" pivotButton="0" quotePrefix="0" xfId="0">
      <alignment vertical="center"/>
    </xf>
    <xf numFmtId="165" fontId="31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23" fillId="7" borderId="0" applyAlignment="1" pivotButton="0" quotePrefix="0" xfId="0">
      <alignment horizontal="left" vertical="center"/>
    </xf>
    <xf numFmtId="0" fontId="27" fillId="7" borderId="0" applyAlignment="1" pivotButton="0" quotePrefix="0" xfId="0">
      <alignment horizontal="left" vertical="bottom" indent="1"/>
    </xf>
    <xf numFmtId="0" fontId="32" fillId="7" borderId="0" applyAlignment="1" pivotButton="0" quotePrefix="0" xfId="0">
      <alignment horizontal="center" vertical="center"/>
    </xf>
    <xf numFmtId="0" fontId="24" fillId="7" borderId="0" pivotButton="0" quotePrefix="0" xfId="0"/>
    <xf numFmtId="166" fontId="28" fillId="7" borderId="0" applyAlignment="1" pivotButton="0" quotePrefix="0" xfId="0">
      <alignment horizontal="left" vertical="center" indent="1"/>
    </xf>
    <xf numFmtId="166" fontId="29" fillId="7" borderId="0" applyAlignment="1" pivotButton="0" quotePrefix="0" xfId="0">
      <alignment horizontal="left" vertical="center" indent="1"/>
    </xf>
    <xf numFmtId="166" fontId="30" fillId="7" borderId="0" applyAlignment="1" pivotButton="0" quotePrefix="0" xfId="0">
      <alignment horizontal="left" vertical="center" indent="1"/>
    </xf>
    <xf numFmtId="1" fontId="30" fillId="7" borderId="0" applyAlignment="1" pivotButton="0" quotePrefix="0" xfId="0">
      <alignment horizontal="left" vertical="center" indent="1"/>
    </xf>
    <xf numFmtId="0" fontId="20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top" indent="1"/>
    </xf>
    <xf numFmtId="169" fontId="33" fillId="7" borderId="0" applyAlignment="1" pivotButton="0" quotePrefix="0" xfId="0">
      <alignment horizontal="right" vertical="center"/>
    </xf>
    <xf numFmtId="0" fontId="24" fillId="7" borderId="0" applyAlignment="1" pivotButton="0" quotePrefix="0" xfId="0">
      <alignment horizontal="left" vertical="center"/>
    </xf>
    <xf numFmtId="166" fontId="18" fillId="7" borderId="0" applyAlignment="1" pivotButton="0" quotePrefix="0" xfId="0">
      <alignment horizontal="right" vertical="center"/>
    </xf>
    <xf numFmtId="0" fontId="34" fillId="7" borderId="0" applyAlignment="1" pivotButton="0" quotePrefix="0" xfId="0">
      <alignment vertical="center" shrinkToFit="1" indent="1"/>
    </xf>
    <xf numFmtId="167" fontId="35" fillId="7" borderId="0" applyAlignment="1" pivotButton="0" quotePrefix="0" xfId="0">
      <alignment horizontal="right" vertical="center"/>
    </xf>
    <xf numFmtId="0" fontId="20" fillId="7" borderId="0" applyAlignment="1" pivotButton="0" quotePrefix="0" xfId="0">
      <alignment horizontal="left" vertical="center"/>
    </xf>
    <xf numFmtId="0" fontId="36" fillId="7" borderId="0" pivotButton="0" quotePrefix="0" xfId="0"/>
    <xf numFmtId="0" fontId="37" fillId="7" borderId="0" applyAlignment="1" pivotButton="0" quotePrefix="0" xfId="0">
      <alignment horizontal="center" vertical="center"/>
    </xf>
    <xf numFmtId="0" fontId="23" fillId="7" borderId="0" applyAlignment="1" pivotButton="0" quotePrefix="0" xfId="0">
      <alignment horizontal="right" vertical="center"/>
    </xf>
    <xf numFmtId="0" fontId="38" fillId="7" borderId="0" applyAlignment="1" pivotButton="0" quotePrefix="0" xfId="0">
      <alignment horizontal="center" vertical="center"/>
    </xf>
    <xf numFmtId="0" fontId="38" fillId="7" borderId="0" applyAlignment="1" pivotButton="0" quotePrefix="0" xfId="0">
      <alignment horizontal="left" vertical="center"/>
    </xf>
    <xf numFmtId="169" fontId="24" fillId="7" borderId="0" applyAlignment="1" pivotButton="0" quotePrefix="0" xfId="0">
      <alignment horizontal="right" vertical="center"/>
    </xf>
    <xf numFmtId="1" fontId="24" fillId="7" borderId="0" applyAlignment="1" pivotButton="0" quotePrefix="0" xfId="0">
      <alignment horizontal="right" vertical="center"/>
    </xf>
    <xf numFmtId="166" fontId="38" fillId="7" borderId="0" applyAlignment="1" pivotButton="0" quotePrefix="0" xfId="0">
      <alignment horizontal="right" vertical="center"/>
    </xf>
    <xf numFmtId="166" fontId="24" fillId="7" borderId="0" applyAlignment="1" pivotButton="0" quotePrefix="0" xfId="0">
      <alignment horizontal="right" vertical="center"/>
    </xf>
    <xf numFmtId="166" fontId="39" fillId="7" borderId="0" applyAlignment="1" pivotButton="0" quotePrefix="0" xfId="0">
      <alignment horizontal="right" vertical="center"/>
    </xf>
    <xf numFmtId="0" fontId="34" fillId="7" borderId="0" applyAlignment="1" pivotButton="0" quotePrefix="0" xfId="0">
      <alignment horizontal="center" vertical="center"/>
    </xf>
    <xf numFmtId="166" fontId="40" fillId="7" borderId="0" applyAlignment="1" pivotButton="0" quotePrefix="0" xfId="0">
      <alignment horizontal="right" vertical="center"/>
    </xf>
    <xf numFmtId="0" fontId="34" fillId="7" borderId="0" applyAlignment="1" pivotButton="0" quotePrefix="0" xfId="0">
      <alignment horizontal="left" vertical="center"/>
    </xf>
    <xf numFmtId="166" fontId="35" fillId="7" borderId="0" applyAlignment="1" pivotButton="0" quotePrefix="0" xfId="0">
      <alignment horizontal="right" vertical="center"/>
    </xf>
    <xf numFmtId="0" fontId="35" fillId="7" borderId="0" applyAlignment="1" pivotButton="0" quotePrefix="0" xfId="0">
      <alignment horizontal="right" vertical="center"/>
    </xf>
    <xf numFmtId="0" fontId="41" fillId="7" borderId="0" applyAlignment="1" pivotButton="0" quotePrefix="0" xfId="0">
      <alignment horizontal="center" vertical="center"/>
    </xf>
    <xf numFmtId="0" fontId="42" fillId="7" borderId="0" applyAlignment="1" pivotButton="0" quotePrefix="0" xfId="0">
      <alignment horizontal="left" vertical="center"/>
    </xf>
    <xf numFmtId="168" fontId="24" fillId="7" borderId="0" applyAlignment="1" pivotButton="0" quotePrefix="0" xfId="0">
      <alignment horizontal="right" vertical="center"/>
    </xf>
    <xf numFmtId="0" fontId="20" fillId="6" borderId="0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2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 shrinkToFit="1"/>
    </xf>
    <xf numFmtId="0" fontId="15" fillId="4" borderId="1" applyAlignment="1" pivotButton="0" quotePrefix="0" xfId="0">
      <alignment horizontal="left" vertical="center" wrapText="1"/>
    </xf>
    <xf numFmtId="0" fontId="15" fillId="4" borderId="1" applyAlignment="1" pivotButton="0" quotePrefix="0" xfId="0">
      <alignment horizontal="center" vertical="center" wrapText="1"/>
    </xf>
    <xf numFmtId="169" fontId="16" fillId="0" borderId="1" applyAlignment="1" pivotButton="0" quotePrefix="0" xfId="0">
      <alignment horizontal="left"/>
    </xf>
    <xf numFmtId="166" fontId="16" fillId="0" borderId="1" pivotButton="0" quotePrefix="0" xfId="0"/>
    <xf numFmtId="167" fontId="16" fillId="0" borderId="1" pivotButton="0" quotePrefix="0" xfId="0"/>
    <xf numFmtId="166" fontId="12" fillId="0" borderId="1" pivotButton="0" quotePrefix="0" xfId="0"/>
    <xf numFmtId="0" fontId="16" fillId="2" borderId="1" applyAlignment="1" pivotButton="0" quotePrefix="0" xfId="0">
      <alignment horizontal="center"/>
    </xf>
    <xf numFmtId="166" fontId="16" fillId="2" borderId="1" pivotButton="0" quotePrefix="0" xfId="0"/>
    <xf numFmtId="0" fontId="17" fillId="0" borderId="1" pivotButton="0" quotePrefix="0" xfId="0"/>
    <xf numFmtId="166" fontId="7" fillId="0" borderId="1" pivotButton="0" quotePrefix="0" xfId="0"/>
    <xf numFmtId="0" fontId="13" fillId="0" borderId="0" pivotButton="0" quotePrefix="0" xfId="0"/>
    <xf numFmtId="0" fontId="15" fillId="5" borderId="1" applyAlignment="1" pivotButton="0" quotePrefix="0" xfId="0">
      <alignment horizontal="center" vertical="center" wrapText="1"/>
    </xf>
    <xf numFmtId="0" fontId="5" fillId="2" borderId="1" pivotButton="0" quotePrefix="0" xfId="0"/>
    <xf numFmtId="167" fontId="5" fillId="2" borderId="1" pivotButton="0" quotePrefix="0" xfId="0"/>
    <xf numFmtId="168" fontId="5" fillId="2" borderId="1" pivotButton="0" quotePrefix="0" xfId="0"/>
    <xf numFmtId="0" fontId="5" fillId="2" borderId="1" applyAlignment="1" pivotButton="0" quotePrefix="0" xfId="0">
      <alignment horizontal="center"/>
    </xf>
    <xf numFmtId="1" fontId="5" fillId="2" borderId="1" applyAlignment="1" pivotButton="0" quotePrefix="0" xfId="0">
      <alignment horizontal="center"/>
    </xf>
    <xf numFmtId="169" fontId="5" fillId="2" borderId="1" applyAlignment="1" pivotButton="0" quotePrefix="0" xfId="0">
      <alignment horizontal="center"/>
    </xf>
    <xf numFmtId="0" fontId="7" fillId="2" borderId="1" pivotButton="0" quotePrefix="0" xfId="0"/>
    <xf numFmtId="167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6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6" fontId="5" fillId="2" borderId="1" pivotButton="0" quotePrefix="0" xfId="0"/>
    <xf numFmtId="0" fontId="1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5" fontId="6" fillId="2" borderId="1" applyAlignment="1" pivotButton="0" quotePrefix="0" xfId="0">
      <alignment horizontal="center"/>
    </xf>
    <xf numFmtId="0" fontId="7" fillId="0" borderId="0" applyAlignment="1" pivotButton="0" quotePrefix="0" xfId="0">
      <alignment vertical="center" wrapText="1"/>
    </xf>
    <xf numFmtId="166" fontId="6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8" fillId="3" borderId="1" applyAlignment="1" pivotButton="0" quotePrefix="0" xfId="0">
      <alignment horizontal="center" vertical="center"/>
    </xf>
    <xf numFmtId="0" fontId="9" fillId="0" borderId="0" pivotButton="0" quotePrefix="0" xfId="0"/>
  </cellXfs>
  <cellStyles count="1">
    <cellStyle name="Normal" xfId="0" builtinId="0" hidden="0"/>
  </cellStyles>
  <dxfs count="8">
    <dxf>
      <font>
        <name val="Arial"/>
        <b val="1"/>
        <color rgb="00F5B83D"/>
      </font>
      <fill>
        <patternFill patternType="solid">
          <fgColor rgb="001C2642"/>
        </patternFill>
      </fill>
    </dxf>
    <dxf>
      <font>
        <name val="Arial"/>
        <b val="1"/>
        <color rgb="0034D399"/>
      </font>
    </dxf>
    <dxf>
      <fill>
        <patternFill patternType="solid">
          <fgColor rgb="00E3F6EC"/>
        </patternFill>
      </fill>
    </dxf>
    <dxf>
      <font>
        <name val="Arial"/>
        <color rgb="0098A2B3"/>
      </font>
    </dxf>
    <dxf>
      <font>
        <name val="Arial"/>
        <b val="1"/>
        <color rgb="00B42318"/>
      </font>
    </dxf>
    <dxf>
      <font>
        <name val="Arial"/>
        <b val="1"/>
        <color rgb="00067647"/>
      </font>
    </dxf>
    <dxf>
      <font>
        <name val="Arial"/>
        <b val="1"/>
        <strike val="1"/>
        <color rgb="00B42318"/>
      </font>
    </dxf>
    <dxf>
      <font>
        <name val="Arial"/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Quanto devi ancora, mese dopo mese</a:t>
            </a:r>
          </a:p>
        </rich>
      </tx>
      <overlay val="0"/>
    </title>
    <plotArea>
      <lineChart>
        <grouping val="standard"/>
        <ser>
          <idx val="0"/>
          <order val="0"/>
          <tx>
            <v>Valanga</v>
          </tx>
          <spPr>
            <a:ln xmlns:a="http://schemas.openxmlformats.org/drawingml/2006/main" w="28575">
              <a:solidFill>
                <a:srgbClr val="6C8C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 riepilogo'!$C$52:$C$100</f>
            </numRef>
          </cat>
          <val>
            <numRef>
              <f>'Calc riepilogo'!$D$52:$D$100</f>
            </numRef>
          </val>
          <smooth val="0"/>
        </ser>
        <ser>
          <idx val="1"/>
          <order val="1"/>
          <tx>
            <v>Palla di neve</v>
          </tx>
          <spPr>
            <a:ln xmlns:a="http://schemas.openxmlformats.org/drawingml/2006/main" w="28575">
              <a:solidFill>
                <a:srgbClr val="2EC4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 riepilogo'!$C$52:$C$100</f>
            </numRef>
          </cat>
          <val>
            <numRef>
              <f>'Calc riepilogo'!$E$52:$E$100</f>
            </numRef>
          </val>
          <smooth val="0"/>
        </ser>
        <ser>
          <idx val="2"/>
          <order val="2"/>
          <tx>
            <v>Personalizzata</v>
          </tx>
          <spPr>
            <a:ln xmlns:a="http://schemas.openxmlformats.org/drawingml/2006/main" w="28575">
              <a:solidFill>
                <a:srgbClr val="A78BF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 riepilogo'!$C$52:$C$100</f>
            </numRef>
          </cat>
          <val>
            <numRef>
              <f>'Calc riepilogo'!$F$52:$F$100</f>
            </numRef>
          </val>
          <smooth val="0"/>
        </ser>
        <ser>
          <idx val="3"/>
          <order val="3"/>
          <tx>
            <v>Solo rate minime</v>
          </tx>
          <spPr>
            <a:ln xmlns:a="http://schemas.openxmlformats.org/drawingml/2006/main" w="22225">
              <a:solidFill>
                <a:srgbClr val="F8717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 riepilogo'!$C$52:$C$100</f>
            </numRef>
          </cat>
          <val>
            <numRef>
              <f>'Calc riepilogo'!$G$52:$G$100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  <tickLblSkip val="6"/>
        <tickMarkSkip val="6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B8C1D3"/>
              </a:solidFill>
              <a:latin typeface="Arial"/>
            </a:defRPr>
          </a:pPr>
          <a:r>
            <a:t/>
          </a:r>
          <a:endParaRPr sz="900" b="0">
            <a:solidFill>
              <a:srgbClr val="B8C1D3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Capitale e interessi, in media al mese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v>Capitale</v>
          </tx>
          <spPr>
            <a:solidFill xmlns:a="http://schemas.openxmlformats.org/drawingml/2006/main">
              <a:srgbClr val="6C8CFF"/>
            </a:solidFill>
            <a:ln xmlns:a="http://schemas.openxmlformats.org/drawingml/2006/main">
              <a:solidFill>
                <a:srgbClr val="6C8CFF"/>
              </a:solidFill>
              <a:prstDash val="solid"/>
            </a:ln>
          </spPr>
          <cat>
            <numRef>
              <f>'Calc riepilogo'!$D$103:$D$114</f>
            </numRef>
          </cat>
          <val>
            <numRef>
              <f>'Calc riepilogo'!$F$103:$F$114</f>
            </numRef>
          </val>
        </ser>
        <ser>
          <idx val="1"/>
          <order val="1"/>
          <tx>
            <v>Interessi</v>
          </tx>
          <spPr>
            <a:solidFill xmlns:a="http://schemas.openxmlformats.org/drawingml/2006/main">
              <a:srgbClr val="F87171"/>
            </a:solidFill>
            <a:ln xmlns:a="http://schemas.openxmlformats.org/drawingml/2006/main">
              <a:solidFill>
                <a:srgbClr val="F87171"/>
              </a:solidFill>
              <a:prstDash val="solid"/>
            </a:ln>
          </spPr>
          <cat>
            <numRef>
              <f>'Calc riepilogo'!$D$103:$D$114</f>
            </numRef>
          </cat>
          <val>
            <numRef>
              <f>'Calc riepilogo'!$E$103:$E$114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6304A"/>
              </a:solidFill>
              <a:prstDash val="solid"/>
            </a:ln>
          </spPr>
        </majorGridlines>
        <numFmt formatCode="#,##0 &quot;€&quot;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B8C1D3"/>
              </a:solidFill>
              <a:latin typeface="Arial"/>
            </a:defRPr>
          </a:pPr>
          <a:r>
            <a:t/>
          </a:r>
          <a:endParaRPr sz="900" b="0">
            <a:solidFill>
              <a:srgbClr val="B8C1D3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sz="1100" b="1">
                <a:solidFill>
                  <a:srgbClr val="EDF1F7"/>
                </a:solidFill>
                <a:latin typeface="Arial"/>
              </a:rPr>
              <a:t>In quale mese chiudi ogni debito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Mesi</v>
          </tx>
          <spPr>
            <a:solidFill xmlns:a="http://schemas.openxmlformats.org/drawingml/2006/main">
              <a:srgbClr val="F5B83D"/>
            </a:solidFill>
            <a:ln xmlns:a="http://schemas.openxmlformats.org/drawingml/2006/main">
              <a:solidFill>
                <a:srgbClr val="F5B83D"/>
              </a:solidFill>
              <a:prstDash val="solid"/>
            </a:ln>
          </spPr>
          <cat>
            <numRef>
              <f>'Calc riepilogo'!$C$38:$C$49</f>
            </numRef>
          </cat>
          <val>
            <numRef>
              <f>'Calc riepilogo'!$I$38:$I$49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800" b="1">
                  <a:solidFill>
                    <a:srgbClr val="B8C1D3"/>
                  </a:solidFill>
                  <a:latin typeface="Arial"/>
                </a:defRPr>
              </a:pPr>
              <a:r>
                <a:t/>
              </a:r>
              <a:endParaRPr sz="800" b="1">
                <a:solidFill>
                  <a:srgbClr val="B8C1D3"/>
                </a:solidFill>
                <a:latin typeface="Arial"/>
              </a:endParaRPr>
            </a:p>
          </txPr>
          <showLegendKey val="0"/>
          <showVal val="1"/>
          <showCatName val="0"/>
          <showSerName val="0"/>
        </dLbls>
        <gapWidth val="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spPr>
          <a:ln xmlns:a="http://schemas.openxmlformats.org/drawingml/2006/main">
            <a:solidFill>
              <a:srgbClr val="26304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590A8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8590A8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0"/>
    <dispBlanksAs val="gap"/>
  </chart>
  <spPr>
    <a:solidFill xmlns:a="http://schemas.openxmlformats.org/drawingml/2006/main">
      <a:srgbClr val="151D33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8286750" cy="42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37</row>
      <rowOff>0</rowOff>
    </from>
    <ext cx="4114800" cy="4009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37</row>
      <rowOff>0</rowOff>
    </from>
    <ext cx="4114800" cy="4009999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ndofinanziario.com/corsi/educazione-finanziaria/debiti-e-prestiti" TargetMode="External" Id="rId1"/><Relationship Type="http://schemas.openxmlformats.org/officeDocument/2006/relationships/hyperlink" Target="https://mondofinanziario.com/strumenti/estinzione-anticipata-mutuo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83D"/>
    <outlinePr summaryBelow="1" summaryRight="1"/>
    <pageSetUpPr fitToPage="1"/>
  </sheetPr>
  <dimension ref="A1:K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34" customWidth="1" min="3" max="3"/>
    <col width="4" customWidth="1" min="4" max="4"/>
    <col width="34" customWidth="1" min="5" max="5"/>
    <col width="4" customWidth="1" min="6" max="6"/>
    <col width="34" customWidth="1" min="7" max="7"/>
    <col width="3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4" customHeight="1">
      <c r="A2" s="1" t="n"/>
      <c r="B2" s="2" t="inlineStr">
        <is>
          <t>◔  PIANO PER USCIRE DAI DEBITI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3" t="inlineStr">
        <is>
          <t>Il template gratuito di Mondo Finanziario · mondofinanziario.com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1" t="n"/>
      <c r="B5" s="4" t="inlineStr">
        <is>
          <t>COME SI USA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2" customHeight="1">
      <c r="A6" s="1" t="n"/>
      <c r="B6" s="5" t="inlineStr">
        <is>
          <t>1</t>
        </is>
      </c>
      <c r="C6" s="6" t="inlineStr">
        <is>
          <t>Elenca i tuoi debiti</t>
        </is>
      </c>
      <c r="H6" s="1" t="n"/>
      <c r="I6" s="1" t="n"/>
      <c r="J6" s="1" t="n"/>
      <c r="K6" s="1" t="n"/>
    </row>
    <row r="7" ht="30" customHeight="1">
      <c r="A7" s="1" t="n"/>
      <c r="B7" s="1" t="n"/>
      <c r="C7" s="7" t="inlineStr">
        <is>
          <t>Nel foglio «Debiti» scrivi per ognuno quanto devi oggi, il TAN e la rata minima. Se il tasso cambierà, per esempio alla fine di una promozione, indica da quale mese.</t>
        </is>
      </c>
      <c r="H7" s="1" t="n"/>
      <c r="I7" s="1" t="n"/>
      <c r="J7" s="1" t="n"/>
      <c r="K7" s="1" t="n"/>
    </row>
    <row r="8" ht="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</row>
    <row r="9" ht="22" customHeight="1">
      <c r="A9" s="1" t="n"/>
      <c r="B9" s="5" t="inlineStr">
        <is>
          <t>2</t>
        </is>
      </c>
      <c r="C9" s="6" t="inlineStr">
        <is>
          <t>Imposta budget ed extra</t>
        </is>
      </c>
      <c r="H9" s="1" t="n"/>
      <c r="I9" s="1" t="n"/>
      <c r="J9" s="1" t="n"/>
      <c r="K9" s="1" t="n"/>
    </row>
    <row r="10" ht="30" customHeight="1">
      <c r="A10" s="1" t="n"/>
      <c r="B10" s="1" t="n"/>
      <c r="C10" s="7" t="inlineStr">
        <is>
          <t>In «Impostazioni» scegli il primo mese e quanto puoi pagare ogni mese in tutto. In «Budget ed extra» aggiungi gli aumenti di budget e i pagamenti una tantum, come la tredicesima.</t>
        </is>
      </c>
      <c r="H10" s="1" t="n"/>
      <c r="I10" s="1" t="n"/>
      <c r="J10" s="1" t="n"/>
      <c r="K10" s="1" t="n"/>
    </row>
    <row r="11" ht="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</row>
    <row r="12" ht="22" customHeight="1">
      <c r="A12" s="1" t="n"/>
      <c r="B12" s="5" t="inlineStr">
        <is>
          <t>3</t>
        </is>
      </c>
      <c r="C12" s="6" t="inlineStr">
        <is>
          <t>Scegli la strategia</t>
        </is>
      </c>
      <c r="H12" s="1" t="n"/>
      <c r="I12" s="1" t="n"/>
      <c r="J12" s="1" t="n"/>
      <c r="K12" s="1" t="n"/>
    </row>
    <row r="13" ht="30" customHeight="1">
      <c r="A13" s="1" t="n"/>
      <c r="B13" s="1" t="n"/>
      <c r="C13" s="7" t="inlineStr">
        <is>
          <t>In alto a destra nel «Riepilogo»: Valanga (prima il tasso più alto), Palla di neve (prima il debito più piccolo) o Personalizzata (l’ordine lo decidi tu, con la colonna «Priorità»).</t>
        </is>
      </c>
      <c r="H13" s="1" t="n"/>
      <c r="I13" s="1" t="n"/>
      <c r="J13" s="1" t="n"/>
      <c r="K13" s="1" t="n"/>
    </row>
    <row r="14" ht="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</row>
    <row r="15" ht="22" customHeight="1">
      <c r="A15" s="1" t="n"/>
      <c r="B15" s="5" t="inlineStr">
        <is>
          <t>4</t>
        </is>
      </c>
      <c r="C15" s="6" t="inlineStr">
        <is>
          <t>Segui il piano</t>
        </is>
      </c>
      <c r="H15" s="1" t="n"/>
      <c r="I15" s="1" t="n"/>
      <c r="J15" s="1" t="n"/>
      <c r="K15" s="1" t="n"/>
    </row>
    <row r="16" ht="30" customHeight="1">
      <c r="A16" s="1" t="n"/>
      <c r="B16" s="1" t="n"/>
      <c r="C16" s="7" t="inlineStr">
        <is>
          <t>Nel «Piano mese per mese» trovi quanto pagare a ogni debito. Ogni mese segna ✓ e scrivi quanto devi davvero: il Riepilogo mostra i tuoi progressi.</t>
        </is>
      </c>
      <c r="H16" s="1" t="n"/>
      <c r="I16" s="1" t="n"/>
      <c r="J16" s="1" t="n"/>
      <c r="K16" s="1" t="n"/>
    </row>
    <row r="17" ht="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</row>
    <row r="19">
      <c r="A19" s="1" t="n"/>
      <c r="B19" s="4" t="inlineStr">
        <is>
          <t>VAI A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</row>
    <row r="20" ht="28" customHeight="1">
      <c r="A20" s="1" t="n"/>
      <c r="B20" s="1" t="n"/>
      <c r="C20" s="8" t="inlineStr">
        <is>
          <t xml:space="preserve">  📊   Riepilogo</t>
        </is>
      </c>
      <c r="D20" s="1" t="n"/>
      <c r="E20" s="8" t="inlineStr">
        <is>
          <t xml:space="preserve">  📅   Piano mese per mese</t>
        </is>
      </c>
      <c r="F20" s="1" t="n"/>
      <c r="G20" s="8" t="inlineStr">
        <is>
          <t xml:space="preserve">  ✎   Debiti</t>
        </is>
      </c>
      <c r="H20" s="1" t="n"/>
      <c r="I20" s="1" t="n"/>
      <c r="J20" s="1" t="n"/>
      <c r="K20" s="1" t="n"/>
    </row>
    <row r="21" ht="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28" customHeight="1">
      <c r="A22" s="1" t="n"/>
      <c r="B22" s="1" t="n"/>
      <c r="C22" s="8" t="inlineStr">
        <is>
          <t xml:space="preserve">  €   Budget ed extra</t>
        </is>
      </c>
      <c r="D22" s="1" t="n"/>
      <c r="E22" s="8" t="inlineStr">
        <is>
          <t xml:space="preserve">  ⚙   Impostazioni</t>
        </is>
      </c>
      <c r="F22" s="1" t="n"/>
      <c r="G22" s="1" t="n"/>
      <c r="H22" s="1" t="n"/>
      <c r="I22" s="1" t="n"/>
      <c r="J22" s="1" t="n"/>
      <c r="K22" s="1" t="n"/>
    </row>
    <row r="23" ht="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</row>
    <row r="25">
      <c r="A25" s="1" t="n"/>
      <c r="B25" s="4" t="inlineStr">
        <is>
          <t>DA SAPERE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 ht="30" customHeight="1">
      <c r="A26" s="1" t="n"/>
      <c r="B26" s="1" t="n"/>
      <c r="C26" s="9" t="inlineStr">
        <is>
          <t>•  Le celle gialle sono le uniche da compilare, in tutti i fogli: tutto il resto si calcola da solo.</t>
        </is>
      </c>
      <c r="H26" s="1" t="n"/>
      <c r="I26" s="1" t="n"/>
      <c r="J26" s="1" t="n"/>
      <c r="K26" s="1" t="n"/>
    </row>
    <row r="27" ht="30" customHeight="1">
      <c r="A27" s="1" t="n"/>
      <c r="B27" s="1" t="n"/>
      <c r="C27" s="9" t="inlineStr">
        <is>
          <t>•  I debiti di Sara sono un esempio inventato. Cancellali nelle celle gialle dei fogli «Debiti» e «Budget ed extra» prima di iniziare.</t>
        </is>
      </c>
      <c r="H27" s="1" t="n"/>
      <c r="I27" s="1" t="n"/>
      <c r="J27" s="1" t="n"/>
      <c r="K27" s="1" t="n"/>
    </row>
    <row r="28" ht="30" customHeight="1">
      <c r="A28" s="1" t="n"/>
      <c r="B28" s="1" t="n"/>
      <c r="C28" s="9" t="inlineStr">
        <is>
          <t>•  Le due strategie partono dalla stessa base: rata minima su tutti i debiti e tutto il resto su uno solo. La valanga fa risparmiare più interessi, la palla di neve chiude prima i debiti piccoli e aiuta a restare motivati.</t>
        </is>
      </c>
      <c r="H28" s="1" t="n"/>
      <c r="I28" s="1" t="n"/>
      <c r="J28" s="1" t="n"/>
      <c r="K28" s="1" t="n"/>
    </row>
    <row r="29" ht="30" customHeight="1">
      <c r="A29" s="1" t="n"/>
      <c r="B29" s="1" t="n"/>
      <c r="C29" s="9" t="inlineStr">
        <is>
          <t>•  Gli interessi sono calcolati ogni mese con il TAN diviso 12: è una stima, banche e finanziarie possono calcolarli in modo leggermente diverso.</t>
        </is>
      </c>
      <c r="H29" s="1" t="n"/>
      <c r="I29" s="1" t="n"/>
      <c r="J29" s="1" t="n"/>
      <c r="K29" s="1" t="n"/>
    </row>
    <row r="30" ht="30" customHeight="1">
      <c r="A30" s="1" t="n"/>
      <c r="B30" s="1" t="n"/>
      <c r="C30" s="9" t="inlineStr">
        <is>
          <t>•  Prima di rimborsare in anticipo un prestito, controlla nel contratto se ci sono costi di estinzione anticipata. E se chiudi una carta revolving, non ricominciare a usarla.</t>
        </is>
      </c>
      <c r="H30" s="1" t="n"/>
      <c r="I30" s="1" t="n"/>
      <c r="J30" s="1" t="n"/>
      <c r="K30" s="1" t="n"/>
    </row>
    <row r="31" ht="30" customHeight="1">
      <c r="A31" s="1" t="n"/>
      <c r="B31" s="1" t="n"/>
      <c r="C31" s="9" t="inlineStr">
        <is>
          <t>•  Funziona con Excel e con Google Sheets, senza macro. È uno strumento per organizzarti, non una consulenza finanziaria.</t>
        </is>
      </c>
      <c r="H31" s="1" t="n"/>
      <c r="I31" s="1" t="n"/>
      <c r="J31" s="1" t="n"/>
      <c r="K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>
      <c r="A33" s="1" t="n"/>
      <c r="B33" s="1" t="n"/>
      <c r="C33" s="10" t="inlineStr">
        <is>
          <t>La lezione sui debiti del corso gratuito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</row>
    <row r="34">
      <c r="A34" s="1" t="n"/>
      <c r="B34" s="1" t="n"/>
      <c r="C34" s="10" t="inlineStr">
        <is>
          <t>Calcola l’estinzione anticipata di un prestito</t>
        </is>
      </c>
      <c r="D34" s="1" t="n"/>
      <c r="E34" s="1" t="n"/>
      <c r="F34" s="1" t="n"/>
      <c r="G34" s="1" t="n"/>
      <c r="H34" s="1" t="n"/>
      <c r="I34" s="1" t="n"/>
      <c r="J34" s="1" t="n"/>
      <c r="K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>
      <c r="A36" s="1" t="n"/>
      <c r="B36" s="1" t="n"/>
      <c r="C36" s="1" t="n"/>
      <c r="D36" s="1" t="n"/>
      <c r="E36" s="1" t="n"/>
      <c r="F36" s="1" t="n"/>
      <c r="G36" s="11" t="inlineStr">
        <is>
          <t>🤝 Valentino</t>
        </is>
      </c>
      <c r="H36" s="1" t="n"/>
      <c r="I36" s="1" t="n"/>
      <c r="J36" s="1" t="n"/>
      <c r="K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</row>
  </sheetData>
  <mergeCells count="14">
    <mergeCell ref="C29:G29"/>
    <mergeCell ref="C7:G7"/>
    <mergeCell ref="C30:G30"/>
    <mergeCell ref="C12:G12"/>
    <mergeCell ref="C6:G6"/>
    <mergeCell ref="C10:G10"/>
    <mergeCell ref="C16:G16"/>
    <mergeCell ref="C15:G15"/>
    <mergeCell ref="C28:G28"/>
    <mergeCell ref="C27:G27"/>
    <mergeCell ref="C31:G31"/>
    <mergeCell ref="C13:G13"/>
    <mergeCell ref="C9:G9"/>
    <mergeCell ref="C26:G26"/>
  </mergeCells>
  <hyperlinks>
    <hyperlink ref="C20" location="'Riepilogo'!A1" display="  📊   Riepilogo"/>
    <hyperlink ref="E20" location="'Piano mese per mese'!A1" display="  📅   Piano mese per mese"/>
    <hyperlink ref="G20" location="'Debiti'!A1" display="  ✎   Debiti"/>
    <hyperlink ref="C22" location="'Budget ed extra'!A1" display="  €   Budget ed extra"/>
    <hyperlink ref="E22" location="'Impostazioni'!A1" display="  ⚙   Impostazioni"/>
    <hyperlink xmlns:r="http://schemas.openxmlformats.org/officeDocument/2006/relationships" ref="C33" r:id="rId1"/>
    <hyperlink xmlns:r="http://schemas.openxmlformats.org/officeDocument/2006/relationships" ref="C34" r:id="rId2"/>
  </hyperlink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tabColor rgb="002747B8"/>
    <outlinePr summaryBelow="1" summaryRight="1"/>
    <pageSetUpPr fitToPage="1"/>
  </sheetPr>
  <dimension ref="A1:T7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.5" customWidth="1" min="1" max="1"/>
    <col width="22" customWidth="1" min="2" max="2"/>
    <col width="1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.5" customWidth="1" min="16" max="16"/>
    <col width="12" customWidth="1" min="17" max="17"/>
    <col width="12" customWidth="1" min="18" max="18"/>
    <col width="12" customWidth="1" min="19" max="19"/>
    <col width="1.5" customWidth="1" min="20" max="2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2" t="inlineStr">
        <is>
          <t>◔  PIANO DEBITI</t>
        </is>
      </c>
      <c r="C2" s="1" t="n"/>
      <c r="D2" s="13" t="inlineStr">
        <is>
          <t>Piano per uscire dai debiti</t>
        </is>
      </c>
      <c r="P2" s="1" t="n"/>
      <c r="Q2" s="14" t="inlineStr">
        <is>
          <t>Valanga</t>
        </is>
      </c>
      <c r="R2" s="15" t="n"/>
      <c r="S2" s="15" t="n"/>
      <c r="T2" s="1" t="n"/>
    </row>
    <row r="3" ht="16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6" t="inlineStr">
        <is>
          <t>▲ cella gialla: scegli la strategia</t>
        </is>
      </c>
      <c r="T3" s="1" t="n"/>
    </row>
    <row r="4" ht="26" customHeight="1">
      <c r="A4" s="1" t="n"/>
      <c r="B4" s="17" t="inlineStr">
        <is>
          <t xml:space="preserve">   📊   Riepilogo</t>
        </is>
      </c>
      <c r="C4" s="1" t="n"/>
      <c r="D4" s="18" t="str">
        <f>"Riepilogo  ·  "&amp;$Q$2</f>
        <v>Riepilogo  ·  Valanga</v>
      </c>
      <c r="P4" s="1" t="n"/>
      <c r="Q4" s="19" t="inlineStr">
        <is>
          <t>LIBERO DAI DEBITI A</t>
        </is>
      </c>
      <c r="T4" s="1" t="n"/>
    </row>
    <row r="5" ht="18" customHeight="1">
      <c r="A5" s="1" t="n"/>
      <c r="B5" s="20" t="inlineStr">
        <is>
          <t xml:space="preserve">   📅   Piano mese per mese</t>
        </is>
      </c>
      <c r="C5" s="1" t="n"/>
      <c r="D5" s="4" t="str">
        <f>'Calc riepilogo'!$A$126</f>
        <v/>
      </c>
      <c r="P5" s="1" t="n"/>
      <c r="Q5" s="21">
        <f>IF('Calc riepilogo'!$B$9=0,"–",'Calc riepilogo'!$B$6)</f>
        <v>47058.0</v>
      </c>
      <c r="T5" s="1" t="n"/>
    </row>
    <row r="6" ht="18" customHeight="1">
      <c r="A6" s="1" t="n"/>
      <c r="B6" s="22" t="n"/>
      <c r="C6" s="1" t="n"/>
      <c r="D6" s="4" t="str">
        <f>'Calc riepilogo'!$A$127</f>
        <v/>
      </c>
      <c r="P6" s="1" t="n"/>
      <c r="T6" s="1" t="n"/>
    </row>
    <row r="7" ht="24" customHeight="1">
      <c r="A7" s="1" t="n"/>
      <c r="B7" s="23" t="inlineStr">
        <is>
          <t xml:space="preserve">   INSERISCI I DATI</t>
        </is>
      </c>
      <c r="C7" s="1" t="n"/>
      <c r="D7" s="24" t="inlineStr">
        <is>
          <t>DEBITO TOTALE OGGI</t>
        </is>
      </c>
      <c r="G7" s="24" t="inlineStr">
        <is>
          <t>INTERESSI DA PAGARE</t>
        </is>
      </c>
      <c r="J7" s="24" t="inlineStr">
        <is>
          <t>INTERESSI RISPARMIATI</t>
        </is>
      </c>
      <c r="M7" s="24" t="inlineStr">
        <is>
          <t>MESI IN MENO</t>
        </is>
      </c>
      <c r="P7" s="1" t="n"/>
      <c r="Q7" s="25" t="str">
        <f>'Calc riepilogo'!$B$16</f>
        <v>fra 2 anni e 1 mese</v>
      </c>
      <c r="T7" s="1" t="n"/>
    </row>
    <row r="8" ht="24" customHeight="1">
      <c r="A8" s="1" t="n"/>
      <c r="B8" s="26" t="inlineStr">
        <is>
          <t xml:space="preserve">   ✎  Debiti</t>
        </is>
      </c>
      <c r="C8" s="1" t="n"/>
      <c r="D8" s="27">
        <f>'Calc riepilogo'!$B$8</f>
        <v>21590</v>
      </c>
      <c r="G8" s="28">
        <f>'Calc riepilogo'!$B$4</f>
        <v>1673.95</v>
      </c>
      <c r="J8" s="29">
        <f>IF('Calc riepilogo'!$B$9=0,"",INDEX('Calc riepilogo'!$F$18:$F$20,'Calc riepilogo'!$B$2))</f>
        <v>2695.06</v>
      </c>
      <c r="M8" s="30">
        <f>IF('Calc riepilogo'!$B$9=0,"",IF('Calc riepilogo'!$B$10=9999,"30+ anni",INDEX('Calc riepilogo'!$G$18:$G$20,'Calc riepilogo'!$B$2)))</f>
        <v>84</v>
      </c>
      <c r="P8" s="1" t="n"/>
      <c r="Q8" s="31" t="str">
        <f>"strategia: "&amp;$Q$2</f>
        <v>strategia: Valanga</v>
      </c>
      <c r="T8" s="1" t="n"/>
    </row>
    <row r="9" ht="24" customHeight="1">
      <c r="A9" s="1" t="n"/>
      <c r="B9" s="26" t="inlineStr">
        <is>
          <t xml:space="preserve">   €  Budget ed extra</t>
        </is>
      </c>
      <c r="C9" s="1" t="n"/>
      <c r="D9" s="32" t="str">
        <f>'Calc riepilogo'!$B$9&amp;IF('Calc riepilogo'!$B$9=1," debito"," debiti")&amp;" da chiudere"</f>
        <v>6 debiti da chiudere</v>
      </c>
      <c r="G9" s="32" t="str">
        <f>IF('Calc riepilogo'!$B$9=0,"","su "&amp;FIXED('Calc riepilogo'!$B$5,0)&amp;" € di pagamenti in tutto")</f>
        <v>su 23,264 € di pagamenti in tutto</v>
      </c>
      <c r="J9" s="32" t="inlineStr">
        <is>
          <t>rispetto alle sole rate minime</t>
        </is>
      </c>
      <c r="M9" s="32" t="str">
        <f>IF('Calc riepilogo'!$B$9=0,"",IF('Calc riepilogo'!$B$10=9999,"le sole rate minime non bastano","con le sole rate minime: "&amp;'Calc riepilogo'!$B$10&amp;" mesi"))</f>
        <v>con le sole rate minime: 109 mesi</v>
      </c>
      <c r="P9" s="1" t="n"/>
      <c r="Q9" s="22" t="n"/>
      <c r="R9" s="22" t="n"/>
      <c r="S9" s="22" t="n"/>
      <c r="T9" s="1" t="n"/>
    </row>
    <row r="10">
      <c r="A10" s="1" t="n"/>
      <c r="B10" s="26" t="inlineStr">
        <is>
          <t xml:space="preserve">   ⚙  Impostazioni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20" customHeight="1">
      <c r="A11" s="1" t="n"/>
      <c r="B11" s="26" t="inlineStr">
        <is>
          <t xml:space="preserve">   ?  Guida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23" t="inlineStr">
        <is>
          <t>QUESTO MESE</t>
        </is>
      </c>
      <c r="S11" s="33">
        <f>'Calc riepilogo'!$B$132</f>
        <v>46327.0</v>
      </c>
      <c r="T11" s="1" t="n"/>
    </row>
    <row r="12" ht="20" customHeight="1">
      <c r="A12" s="1" t="n"/>
      <c r="B12" s="22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34" t="str">
        <f>IF('Calc riepilogo'!$B$133=1,"Piano completato 🎉","Paga in tutto")</f>
        <v>Paga in tutto</v>
      </c>
      <c r="S12" s="35">
        <f>IF('Calc riepilogo'!$B$133=1,"",'Calc riepilogo'!$B$134)</f>
        <v>800</v>
      </c>
      <c r="T12" s="1" t="n"/>
    </row>
    <row r="13" ht="20" customHeight="1">
      <c r="A13" s="1" t="n"/>
      <c r="B13" s="22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36" t="str">
        <f>'Calc riepilogo'!$A$151</f>
        <v>Carta revolving</v>
      </c>
      <c r="S13" s="37">
        <f>'Calc riepilogo'!$B$151</f>
        <v>196</v>
      </c>
      <c r="T13" s="1" t="n"/>
    </row>
    <row r="14" ht="20" customHeight="1">
      <c r="A14" s="1" t="n"/>
      <c r="B14" s="22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36" t="str">
        <f>'Calc riepilogo'!$A$152</f>
        <v>Carta del negozio</v>
      </c>
      <c r="S14" s="37">
        <f>'Calc riepilogo'!$B$152</f>
        <v>34</v>
      </c>
      <c r="T14" s="1" t="n"/>
    </row>
    <row r="15" ht="20" customHeight="1">
      <c r="A15" s="1" t="n"/>
      <c r="B15" s="22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36" t="str">
        <f>'Calc riepilogo'!$A$153</f>
        <v>Prestito personale</v>
      </c>
      <c r="S15" s="37">
        <f>'Calc riepilogo'!$B$153</f>
        <v>210</v>
      </c>
      <c r="T15" s="1" t="n"/>
    </row>
    <row r="16" ht="20" customHeight="1">
      <c r="A16" s="1" t="n"/>
      <c r="B16" s="22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36" t="str">
        <f>'Calc riepilogo'!$A$154</f>
        <v>Prestito dell’auto</v>
      </c>
      <c r="S16" s="37">
        <f>'Calc riepilogo'!$B$154</f>
        <v>265</v>
      </c>
      <c r="T16" s="1" t="n"/>
    </row>
    <row r="17" ht="20" customHeight="1">
      <c r="A17" s="1" t="n"/>
      <c r="B17" s="22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36" t="str">
        <f>'Calc riepilogo'!$A$155</f>
        <v>Smartphone a rate</v>
      </c>
      <c r="S17" s="37">
        <f>'Calc riepilogo'!$B$155</f>
        <v>45</v>
      </c>
      <c r="T17" s="1" t="n"/>
    </row>
    <row r="18" ht="20" customHeight="1">
      <c r="A18" s="1" t="n"/>
      <c r="B18" s="22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36" t="str">
        <f>'Calc riepilogo'!$A$156</f>
        <v>Prestito dei genitori</v>
      </c>
      <c r="S18" s="37">
        <f>'Calc riepilogo'!$B$156</f>
        <v>50</v>
      </c>
      <c r="T18" s="1" t="n"/>
    </row>
    <row r="19" ht="20" customHeight="1">
      <c r="A19" s="1" t="n"/>
      <c r="B19" s="22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36" t="str">
        <f>'Calc riepilogo'!$A$157</f>
        <v/>
      </c>
      <c r="S19" s="37" t="str">
        <f>'Calc riepilogo'!$B$157</f>
        <v/>
      </c>
      <c r="T19" s="1" t="n"/>
    </row>
    <row r="20" ht="20" customHeight="1">
      <c r="A20" s="1" t="n"/>
      <c r="B20" s="22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36" t="str">
        <f>'Calc riepilogo'!$A$158</f>
        <v/>
      </c>
      <c r="S20" s="37" t="str">
        <f>'Calc riepilogo'!$B$158</f>
        <v/>
      </c>
      <c r="T20" s="1" t="n"/>
    </row>
    <row r="21" ht="20" customHeight="1">
      <c r="A21" s="1" t="n"/>
      <c r="B21" s="22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36" t="str">
        <f>'Calc riepilogo'!$A$159</f>
        <v/>
      </c>
      <c r="S21" s="37" t="str">
        <f>'Calc riepilogo'!$B$159</f>
        <v/>
      </c>
      <c r="T21" s="1" t="n"/>
    </row>
    <row r="22" ht="20" customHeight="1">
      <c r="A22" s="1" t="n"/>
      <c r="B22" s="22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36" t="str">
        <f>'Calc riepilogo'!$A$160</f>
        <v/>
      </c>
      <c r="S22" s="37" t="str">
        <f>'Calc riepilogo'!$B$160</f>
        <v/>
      </c>
      <c r="T22" s="1" t="n"/>
    </row>
    <row r="23" ht="20" customHeight="1">
      <c r="A23" s="1" t="n"/>
      <c r="B23" s="22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36" t="str">
        <f>'Calc riepilogo'!$A$161</f>
        <v/>
      </c>
      <c r="S23" s="37" t="str">
        <f>'Calc riepilogo'!$B$161</f>
        <v/>
      </c>
      <c r="T23" s="1" t="n"/>
    </row>
    <row r="24" ht="20" customHeight="1">
      <c r="A24" s="1" t="n"/>
      <c r="B24" s="22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36" t="str">
        <f>'Calc riepilogo'!$A$162</f>
        <v/>
      </c>
      <c r="S24" s="37" t="str">
        <f>'Calc riepilogo'!$B$162</f>
        <v/>
      </c>
      <c r="T24" s="1" t="n"/>
    </row>
    <row r="25" ht="20" customHeight="1">
      <c r="A25" s="1" t="n"/>
      <c r="B25" s="38" t="inlineStr">
        <is>
          <t xml:space="preserve">   mondofinanziario.com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39" t="inlineStr">
        <is>
          <t xml:space="preserve">   📅  Tutto il piano mese per mese</t>
        </is>
      </c>
      <c r="T25" s="1" t="n"/>
    </row>
    <row r="26" ht="20" customHeight="1">
      <c r="A26" s="1" t="n"/>
      <c r="B26" s="22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22" t="n"/>
      <c r="R26" s="22" t="n"/>
      <c r="S26" s="22" t="n"/>
      <c r="T26" s="1" t="n"/>
    </row>
    <row r="27" ht="20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23" t="inlineStr">
        <is>
          <t>I TUOI PROGRESSI</t>
        </is>
      </c>
      <c r="T28" s="1" t="n"/>
    </row>
    <row r="29" ht="26" customHeight="1">
      <c r="A29" s="1" t="n"/>
      <c r="B29" s="1" t="n"/>
      <c r="C29" s="1" t="n"/>
      <c r="D29" s="6" t="inlineStr">
        <is>
          <t>Confronto delle strategie</t>
        </is>
      </c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1" t="n"/>
      <c r="Q29" s="40" t="str">
        <f>'Calc riepilogo'!$B$169</f>
        <v>░░░░░░░░░░░░░░░░</v>
      </c>
      <c r="T29" s="1" t="n"/>
    </row>
    <row r="30">
      <c r="A30" s="1" t="n"/>
      <c r="B30" s="1" t="n"/>
      <c r="C30" s="1" t="n"/>
      <c r="D30" s="23" t="inlineStr">
        <is>
          <t>STRATEGIA</t>
        </is>
      </c>
      <c r="G30" s="41" t="inlineStr">
        <is>
          <t>LIBERO DAI DEBITI</t>
        </is>
      </c>
      <c r="I30" s="41" t="inlineStr">
        <is>
          <t>MESI</t>
        </is>
      </c>
      <c r="J30" s="41" t="inlineStr">
        <is>
          <t>INTERESSI</t>
        </is>
      </c>
      <c r="L30" s="41" t="inlineStr">
        <is>
          <t>PAGATO IN TUTTO</t>
        </is>
      </c>
      <c r="N30" s="41" t="inlineStr">
        <is>
          <t>INTERESSI RISPARMIATI</t>
        </is>
      </c>
      <c r="P30" s="1" t="n"/>
      <c r="Q30" s="42" t="str">
        <f>"Debito ripagato: "&amp;ROUND('Calc riepilogo'!$B$168*100,0)&amp;"%"</f>
        <v>Debito ripagato: 0%</v>
      </c>
      <c r="T30" s="1" t="n"/>
    </row>
    <row r="31" ht="22" customHeight="1">
      <c r="A31" s="1" t="n"/>
      <c r="B31" s="1" t="n"/>
      <c r="C31" s="1" t="n"/>
      <c r="D31" s="43" t="str">
        <f>'Calc riepilogo'!$A$18</f>
        <v>Valanga</v>
      </c>
      <c r="G31" s="44">
        <f>'Calc riepilogo'!$C$18</f>
        <v>47058.0</v>
      </c>
      <c r="I31" s="45">
        <f>IF('Calc riepilogo'!$B$18=9999,"360+",'Calc riepilogo'!$B$18)</f>
        <v>25</v>
      </c>
      <c r="J31" s="46">
        <f>'Calc riepilogo'!$D$18</f>
        <v>1673.95</v>
      </c>
      <c r="L31" s="47">
        <f>'Calc riepilogo'!$E$18</f>
        <v>23263.95</v>
      </c>
      <c r="N31" s="48">
        <f>'Calc riepilogo'!$F$18</f>
        <v>2695.06</v>
      </c>
      <c r="P31" s="1" t="n"/>
      <c r="Q31" s="49" t="str">
        <f>"Mesi segnati ✓: "&amp;'Calc riepilogo'!$B$165&amp;" di "&amp;'Calc riepilogo'!$B$7</f>
        <v>Mesi segnati ✓: 0 di 25</v>
      </c>
      <c r="T31" s="1" t="n"/>
    </row>
    <row r="32" ht="22" customHeight="1">
      <c r="A32" s="1" t="n"/>
      <c r="B32" s="1" t="n"/>
      <c r="C32" s="1" t="n"/>
      <c r="D32" s="43" t="str">
        <f>'Calc riepilogo'!$A$19</f>
        <v>Palla di neve</v>
      </c>
      <c r="G32" s="44">
        <f>'Calc riepilogo'!$C$19</f>
        <v>47058.0</v>
      </c>
      <c r="I32" s="45">
        <f>IF('Calc riepilogo'!$B$19=9999,"360+",'Calc riepilogo'!$B$19)</f>
        <v>25</v>
      </c>
      <c r="J32" s="46">
        <f>'Calc riepilogo'!$D$19</f>
        <v>1911.69</v>
      </c>
      <c r="L32" s="47">
        <f>'Calc riepilogo'!$E$19</f>
        <v>23501.69</v>
      </c>
      <c r="N32" s="48">
        <f>'Calc riepilogo'!$F$19</f>
        <v>2457.31999999999</v>
      </c>
      <c r="P32" s="1" t="n"/>
      <c r="Q32" s="31" t="inlineStr">
        <is>
          <t>Segna ✓ i mesi fatti nel Piano mese per mese</t>
        </is>
      </c>
      <c r="T32" s="1" t="n"/>
    </row>
    <row r="33" ht="22" customHeight="1">
      <c r="A33" s="1" t="n"/>
      <c r="B33" s="1" t="n"/>
      <c r="C33" s="1" t="n"/>
      <c r="D33" s="43" t="str">
        <f>'Calc riepilogo'!$A$20</f>
        <v>Personalizzata</v>
      </c>
      <c r="G33" s="44">
        <f>'Calc riepilogo'!$C$20</f>
        <v>47058.0</v>
      </c>
      <c r="I33" s="45">
        <f>IF('Calc riepilogo'!$B$20=9999,"360+",'Calc riepilogo'!$B$20)</f>
        <v>25</v>
      </c>
      <c r="J33" s="46">
        <f>'Calc riepilogo'!$D$20</f>
        <v>1717.72</v>
      </c>
      <c r="L33" s="47">
        <f>'Calc riepilogo'!$E$20</f>
        <v>23307.72</v>
      </c>
      <c r="N33" s="48">
        <f>'Calc riepilogo'!$F$20</f>
        <v>2651.28999999999</v>
      </c>
      <c r="P33" s="1" t="n"/>
      <c r="Q33" s="22" t="n"/>
      <c r="R33" s="22" t="n"/>
      <c r="S33" s="22" t="n"/>
      <c r="T33" s="1" t="n"/>
    </row>
    <row r="34" ht="22" customHeight="1">
      <c r="A34" s="1" t="n"/>
      <c r="B34" s="1" t="n"/>
      <c r="C34" s="1" t="n"/>
      <c r="D34" s="43" t="str">
        <f>'Calc riepilogo'!$A$21</f>
        <v>Solo rate minime</v>
      </c>
      <c r="G34" s="44">
        <f>'Calc riepilogo'!$C$21</f>
        <v>49614.0</v>
      </c>
      <c r="I34" s="45">
        <f>IF('Calc riepilogo'!$B$21=9999,"360+",'Calc riepilogo'!$B$21)</f>
        <v>109</v>
      </c>
      <c r="J34" s="46">
        <f>'Calc riepilogo'!$D$21</f>
        <v>4369.01</v>
      </c>
      <c r="L34" s="47">
        <f>'Calc riepilogo'!$E$21</f>
        <v>25959.01</v>
      </c>
      <c r="N34" s="50" t="str">
        <f>"—"</f>
        <v>—</v>
      </c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38" t="inlineStr">
        <is>
          <t>In giallo la strategia scelta, in verde gli interessi più bassi. «Solo rate minime» vuol dire pagare solo le rate, senza extra e senza effetto valanga.</t>
        </is>
      </c>
      <c r="P35" s="1" t="n"/>
      <c r="Q35" s="23" t="inlineStr">
        <is>
          <t>LE TUE SCELTE</t>
        </is>
      </c>
      <c r="T35" s="1" t="n"/>
    </row>
    <row r="36">
      <c r="A36" s="1" t="n"/>
      <c r="B36" s="1" t="n"/>
      <c r="C36" s="1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1" t="n"/>
      <c r="Q36" s="51" t="inlineStr">
        <is>
          <t>Budget mensile</t>
        </is>
      </c>
      <c r="S36" s="52">
        <f>Impostazioni!$B$6</f>
        <v>800</v>
      </c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51" t="inlineStr">
        <is>
          <t>Effetto valanga</t>
        </is>
      </c>
      <c r="S37" s="53" t="str">
        <f>Impostazioni!$B$7</f>
        <v>Sì</v>
      </c>
      <c r="T37" s="1" t="n"/>
    </row>
    <row r="38" ht="20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51" t="inlineStr">
        <is>
          <t>Extra pianificati</t>
        </is>
      </c>
      <c r="S38" s="52">
        <f>SUM('Budget ed extra'!$G$7:$G$42)</f>
        <v>2450</v>
      </c>
      <c r="T38" s="1" t="n"/>
    </row>
    <row r="39" ht="20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51" t="inlineStr">
        <is>
          <t>Rate del 1° mese</t>
        </is>
      </c>
      <c r="S39" s="52">
        <f>'Calc valanga'!$C$31</f>
        <v>676</v>
      </c>
      <c r="T39" s="1" t="n"/>
    </row>
    <row r="40" ht="20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39" t="inlineStr">
        <is>
          <t xml:space="preserve">   ⚙  Cambia nelle Impostazioni</t>
        </is>
      </c>
      <c r="T40" s="1" t="n"/>
    </row>
    <row r="41" ht="20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39" t="inlineStr">
        <is>
          <t xml:space="preserve">   €  Cambi di budget ed extra</t>
        </is>
      </c>
      <c r="T41" s="1" t="n"/>
    </row>
    <row r="42" ht="20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 ht="20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 ht="20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 ht="20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 ht="20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 ht="20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 ht="20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 ht="20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 ht="20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 ht="20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 ht="20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 ht="20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 ht="26" customHeight="1">
      <c r="A55" s="1" t="n"/>
      <c r="B55" s="1" t="n"/>
      <c r="C55" s="1" t="n"/>
      <c r="D55" s="6" t="inlineStr">
        <is>
          <t>L’ordine in cui chiudi i debiti</t>
        </is>
      </c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9" t="inlineStr">
        <is>
          <t>#</t>
        </is>
      </c>
      <c r="E56" s="23" t="inlineStr">
        <is>
          <t>DEBITO</t>
        </is>
      </c>
      <c r="H56" s="41" t="inlineStr">
        <is>
          <t>CHIUSO A</t>
        </is>
      </c>
      <c r="J56" s="41" t="inlineStr">
        <is>
          <t>MESI</t>
        </is>
      </c>
      <c r="K56" s="41" t="inlineStr">
        <is>
          <t>INTERESSI PAGATI</t>
        </is>
      </c>
      <c r="M56" s="41" t="inlineStr">
        <is>
          <t>TAN</t>
        </is>
      </c>
      <c r="N56" s="41" t="inlineStr">
        <is>
          <t>DEBITO DI PARTENZA</t>
        </is>
      </c>
      <c r="P56" s="1" t="n"/>
      <c r="Q56" s="1" t="n"/>
      <c r="R56" s="1" t="n"/>
      <c r="S56" s="1" t="n"/>
      <c r="T56" s="1" t="n"/>
    </row>
    <row r="57" ht="19" customHeight="1">
      <c r="A57" s="1" t="n"/>
      <c r="B57" s="1" t="n"/>
      <c r="C57" s="1" t="n"/>
      <c r="D57" s="54">
        <f>IF('Calc riepilogo'!$C$38="","",'Calc riepilogo'!$A$38)</f>
        <v>1</v>
      </c>
      <c r="E57" s="55" t="str">
        <f>'Calc riepilogo'!$C$38</f>
        <v>Carta del negozio</v>
      </c>
      <c r="H57" s="44">
        <f>'Calc riepilogo'!$E$38</f>
        <v>46508.0</v>
      </c>
      <c r="J57" s="45">
        <f>IF('Calc riepilogo'!$D$38=9999,"360+",'Calc riepilogo'!$D$38)</f>
        <v>7</v>
      </c>
      <c r="K57" s="47">
        <f>'Calc riepilogo'!$F$38</f>
        <v>7.16999999999996</v>
      </c>
      <c r="M57" s="56">
        <f>'Calc riepilogo'!$G$38</f>
        <v>0</v>
      </c>
      <c r="N57" s="47">
        <f>'Calc riepilogo'!$H$38</f>
        <v>850</v>
      </c>
      <c r="P57" s="1" t="n"/>
      <c r="Q57" s="1" t="n"/>
      <c r="R57" s="1" t="n"/>
      <c r="S57" s="1" t="n"/>
      <c r="T57" s="1" t="n"/>
    </row>
    <row r="58" ht="19" customHeight="1">
      <c r="A58" s="1" t="n"/>
      <c r="B58" s="1" t="n"/>
      <c r="C58" s="1" t="n"/>
      <c r="D58" s="54">
        <f>IF('Calc riepilogo'!$C$39="","",'Calc riepilogo'!$A$39)</f>
        <v>2</v>
      </c>
      <c r="E58" s="55" t="str">
        <f>'Calc riepilogo'!$C$39</f>
        <v>Carta revolving</v>
      </c>
      <c r="H58" s="44">
        <f>'Calc riepilogo'!$E$39</f>
        <v>46600.0</v>
      </c>
      <c r="J58" s="45">
        <f>IF('Calc riepilogo'!$D$39=9999,"360+",'Calc riepilogo'!$D$39)</f>
        <v>10</v>
      </c>
      <c r="K58" s="47">
        <f>'Calc riepilogo'!$F$39</f>
        <v>198.32</v>
      </c>
      <c r="M58" s="56">
        <f>'Calc riepilogo'!$G$39</f>
        <v>0.189</v>
      </c>
      <c r="N58" s="47">
        <f>'Calc riepilogo'!$H$39</f>
        <v>2400</v>
      </c>
      <c r="P58" s="1" t="n"/>
      <c r="Q58" s="1" t="n"/>
      <c r="R58" s="1" t="n"/>
      <c r="S58" s="1" t="n"/>
      <c r="T58" s="1" t="n"/>
    </row>
    <row r="59" ht="19" customHeight="1">
      <c r="A59" s="1" t="n"/>
      <c r="B59" s="1" t="n"/>
      <c r="C59" s="1" t="n"/>
      <c r="D59" s="54">
        <f>IF('Calc riepilogo'!$C$40="","",'Calc riepilogo'!$A$40)</f>
        <v>3</v>
      </c>
      <c r="E59" s="55" t="str">
        <f>'Calc riepilogo'!$C$40</f>
        <v>Smartphone a rate</v>
      </c>
      <c r="H59" s="44">
        <f>'Calc riepilogo'!$E$40</f>
        <v>46661.0</v>
      </c>
      <c r="J59" s="45">
        <f>IF('Calc riepilogo'!$D$40=9999,"360+",'Calc riepilogo'!$D$40)</f>
        <v>12</v>
      </c>
      <c r="K59" s="47">
        <f>'Calc riepilogo'!$F$40</f>
        <v>0</v>
      </c>
      <c r="M59" s="56">
        <f>'Calc riepilogo'!$G$40</f>
        <v>0</v>
      </c>
      <c r="N59" s="47">
        <f>'Calc riepilogo'!$H$40</f>
        <v>540</v>
      </c>
      <c r="P59" s="1" t="n"/>
      <c r="Q59" s="1" t="n"/>
      <c r="R59" s="1" t="n"/>
      <c r="S59" s="1" t="n"/>
      <c r="T59" s="1" t="n"/>
    </row>
    <row r="60" ht="19" customHeight="1">
      <c r="A60" s="1" t="n"/>
      <c r="B60" s="1" t="n"/>
      <c r="C60" s="1" t="n"/>
      <c r="D60" s="54">
        <f>IF('Calc riepilogo'!$C$41="","",'Calc riepilogo'!$A$41)</f>
        <v>4</v>
      </c>
      <c r="E60" s="55" t="str">
        <f>'Calc riepilogo'!$C$41</f>
        <v>Prestito personale</v>
      </c>
      <c r="H60" s="44">
        <f>'Calc riepilogo'!$E$41</f>
        <v>46844.0</v>
      </c>
      <c r="J60" s="45">
        <f>IF('Calc riepilogo'!$D$41=9999,"360+",'Calc riepilogo'!$D$41)</f>
        <v>18</v>
      </c>
      <c r="K60" s="47">
        <f>'Calc riepilogo'!$F$41</f>
        <v>631.08</v>
      </c>
      <c r="M60" s="56">
        <f>'Calc riepilogo'!$G$41</f>
        <v>0.092</v>
      </c>
      <c r="N60" s="47">
        <f>'Calc riepilogo'!$H$41</f>
        <v>6800</v>
      </c>
      <c r="P60" s="1" t="n"/>
      <c r="Q60" s="1" t="n"/>
      <c r="R60" s="1" t="n"/>
      <c r="S60" s="1" t="n"/>
      <c r="T60" s="1" t="n"/>
    </row>
    <row r="61" ht="19" customHeight="1">
      <c r="A61" s="1" t="n"/>
      <c r="B61" s="1" t="n"/>
      <c r="C61" s="1" t="n"/>
      <c r="D61" s="54">
        <f>IF('Calc riepilogo'!$C$42="","",'Calc riepilogo'!$A$42)</f>
        <v>5</v>
      </c>
      <c r="E61" s="55" t="str">
        <f>'Calc riepilogo'!$C$42</f>
        <v>Prestito dell’auto</v>
      </c>
      <c r="H61" s="44">
        <f>'Calc riepilogo'!$E$42</f>
        <v>47058.0</v>
      </c>
      <c r="J61" s="45">
        <f>IF('Calc riepilogo'!$D$42=9999,"360+",'Calc riepilogo'!$D$42)</f>
        <v>25</v>
      </c>
      <c r="K61" s="47">
        <f>'Calc riepilogo'!$F$42</f>
        <v>837.38</v>
      </c>
      <c r="M61" s="56">
        <f>'Calc riepilogo'!$G$42</f>
        <v>0.064</v>
      </c>
      <c r="N61" s="47">
        <f>'Calc riepilogo'!$H$42</f>
        <v>9500</v>
      </c>
      <c r="P61" s="1" t="n"/>
      <c r="Q61" s="1" t="n"/>
      <c r="R61" s="1" t="n"/>
      <c r="S61" s="1" t="n"/>
      <c r="T61" s="1" t="n"/>
    </row>
    <row r="62" ht="19" customHeight="1">
      <c r="A62" s="1" t="n"/>
      <c r="B62" s="1" t="n"/>
      <c r="C62" s="1" t="n"/>
      <c r="D62" s="54">
        <f>IF('Calc riepilogo'!$C$43="","",'Calc riepilogo'!$A$43)</f>
        <v>6</v>
      </c>
      <c r="E62" s="55" t="str">
        <f>'Calc riepilogo'!$C$43</f>
        <v>Prestito dei genitori</v>
      </c>
      <c r="H62" s="44">
        <f>'Calc riepilogo'!$E$43</f>
        <v>47058.0</v>
      </c>
      <c r="J62" s="45">
        <f>IF('Calc riepilogo'!$D$43=9999,"360+",'Calc riepilogo'!$D$43)</f>
        <v>25</v>
      </c>
      <c r="K62" s="47">
        <f>'Calc riepilogo'!$F$43</f>
        <v>0</v>
      </c>
      <c r="M62" s="56">
        <f>'Calc riepilogo'!$G$43</f>
        <v>0</v>
      </c>
      <c r="N62" s="47">
        <f>'Calc riepilogo'!$H$43</f>
        <v>1500</v>
      </c>
      <c r="P62" s="1" t="n"/>
      <c r="Q62" s="1" t="n"/>
      <c r="R62" s="1" t="n"/>
      <c r="S62" s="1" t="n"/>
      <c r="T62" s="1" t="n"/>
    </row>
    <row r="63" ht="19" customHeight="1">
      <c r="A63" s="1" t="n"/>
      <c r="B63" s="1" t="n"/>
      <c r="C63" s="1" t="n"/>
      <c r="D63" s="54" t="str">
        <f>IF('Calc riepilogo'!$C$44="","",'Calc riepilogo'!$A$44)</f>
        <v/>
      </c>
      <c r="E63" s="55" t="str">
        <f>'Calc riepilogo'!$C$44</f>
        <v/>
      </c>
      <c r="H63" s="44" t="str">
        <f>'Calc riepilogo'!$E$44</f>
        <v/>
      </c>
      <c r="J63" s="45" t="str">
        <f>IF('Calc riepilogo'!$D$44=9999,"360+",'Calc riepilogo'!$D$44)</f>
        <v/>
      </c>
      <c r="K63" s="47" t="str">
        <f>'Calc riepilogo'!$F$44</f>
        <v/>
      </c>
      <c r="M63" s="56" t="str">
        <f>'Calc riepilogo'!$G$44</f>
        <v/>
      </c>
      <c r="N63" s="47" t="str">
        <f>'Calc riepilogo'!$H$44</f>
        <v/>
      </c>
      <c r="P63" s="1" t="n"/>
      <c r="Q63" s="1" t="n"/>
      <c r="R63" s="1" t="n"/>
      <c r="S63" s="1" t="n"/>
      <c r="T63" s="1" t="n"/>
    </row>
    <row r="64" ht="19" customHeight="1">
      <c r="A64" s="1" t="n"/>
      <c r="B64" s="1" t="n"/>
      <c r="C64" s="1" t="n"/>
      <c r="D64" s="54" t="str">
        <f>IF('Calc riepilogo'!$C$45="","",'Calc riepilogo'!$A$45)</f>
        <v/>
      </c>
      <c r="E64" s="55" t="str">
        <f>'Calc riepilogo'!$C$45</f>
        <v/>
      </c>
      <c r="H64" s="44" t="str">
        <f>'Calc riepilogo'!$E$45</f>
        <v/>
      </c>
      <c r="J64" s="45" t="str">
        <f>IF('Calc riepilogo'!$D$45=9999,"360+",'Calc riepilogo'!$D$45)</f>
        <v/>
      </c>
      <c r="K64" s="47" t="str">
        <f>'Calc riepilogo'!$F$45</f>
        <v/>
      </c>
      <c r="M64" s="56" t="str">
        <f>'Calc riepilogo'!$G$45</f>
        <v/>
      </c>
      <c r="N64" s="47" t="str">
        <f>'Calc riepilogo'!$H$45</f>
        <v/>
      </c>
      <c r="P64" s="1" t="n"/>
      <c r="Q64" s="1" t="n"/>
      <c r="R64" s="1" t="n"/>
      <c r="S64" s="1" t="n"/>
      <c r="T64" s="1" t="n"/>
    </row>
    <row r="65" ht="19" customHeight="1">
      <c r="A65" s="1" t="n"/>
      <c r="B65" s="1" t="n"/>
      <c r="C65" s="1" t="n"/>
      <c r="D65" s="54" t="str">
        <f>IF('Calc riepilogo'!$C$46="","",'Calc riepilogo'!$A$46)</f>
        <v/>
      </c>
      <c r="E65" s="55" t="str">
        <f>'Calc riepilogo'!$C$46</f>
        <v/>
      </c>
      <c r="H65" s="44" t="str">
        <f>'Calc riepilogo'!$E$46</f>
        <v/>
      </c>
      <c r="J65" s="45" t="str">
        <f>IF('Calc riepilogo'!$D$46=9999,"360+",'Calc riepilogo'!$D$46)</f>
        <v/>
      </c>
      <c r="K65" s="47" t="str">
        <f>'Calc riepilogo'!$F$46</f>
        <v/>
      </c>
      <c r="M65" s="56" t="str">
        <f>'Calc riepilogo'!$G$46</f>
        <v/>
      </c>
      <c r="N65" s="47" t="str">
        <f>'Calc riepilogo'!$H$46</f>
        <v/>
      </c>
      <c r="P65" s="1" t="n"/>
      <c r="Q65" s="1" t="n"/>
      <c r="R65" s="1" t="n"/>
      <c r="S65" s="1" t="n"/>
      <c r="T65" s="1" t="n"/>
    </row>
    <row r="66" ht="19" customHeight="1">
      <c r="A66" s="1" t="n"/>
      <c r="B66" s="1" t="n"/>
      <c r="C66" s="1" t="n"/>
      <c r="D66" s="54" t="str">
        <f>IF('Calc riepilogo'!$C$47="","",'Calc riepilogo'!$A$47)</f>
        <v/>
      </c>
      <c r="E66" s="55" t="str">
        <f>'Calc riepilogo'!$C$47</f>
        <v/>
      </c>
      <c r="H66" s="44" t="str">
        <f>'Calc riepilogo'!$E$47</f>
        <v/>
      </c>
      <c r="J66" s="45" t="str">
        <f>IF('Calc riepilogo'!$D$47=9999,"360+",'Calc riepilogo'!$D$47)</f>
        <v/>
      </c>
      <c r="K66" s="47" t="str">
        <f>'Calc riepilogo'!$F$47</f>
        <v/>
      </c>
      <c r="M66" s="56" t="str">
        <f>'Calc riepilogo'!$G$47</f>
        <v/>
      </c>
      <c r="N66" s="47" t="str">
        <f>'Calc riepilogo'!$H$47</f>
        <v/>
      </c>
      <c r="P66" s="1" t="n"/>
      <c r="Q66" s="1" t="n"/>
      <c r="R66" s="1" t="n"/>
      <c r="S66" s="1" t="n"/>
      <c r="T66" s="1" t="n"/>
    </row>
    <row r="67" ht="19" customHeight="1">
      <c r="A67" s="1" t="n"/>
      <c r="B67" s="1" t="n"/>
      <c r="C67" s="1" t="n"/>
      <c r="D67" s="54" t="str">
        <f>IF('Calc riepilogo'!$C$48="","",'Calc riepilogo'!$A$48)</f>
        <v/>
      </c>
      <c r="E67" s="55" t="str">
        <f>'Calc riepilogo'!$C$48</f>
        <v/>
      </c>
      <c r="H67" s="44" t="str">
        <f>'Calc riepilogo'!$E$48</f>
        <v/>
      </c>
      <c r="J67" s="45" t="str">
        <f>IF('Calc riepilogo'!$D$48=9999,"360+",'Calc riepilogo'!$D$48)</f>
        <v/>
      </c>
      <c r="K67" s="47" t="str">
        <f>'Calc riepilogo'!$F$48</f>
        <v/>
      </c>
      <c r="M67" s="56" t="str">
        <f>'Calc riepilogo'!$G$48</f>
        <v/>
      </c>
      <c r="N67" s="47" t="str">
        <f>'Calc riepilogo'!$H$48</f>
        <v/>
      </c>
      <c r="P67" s="1" t="n"/>
      <c r="Q67" s="1" t="n"/>
      <c r="R67" s="1" t="n"/>
      <c r="S67" s="1" t="n"/>
      <c r="T67" s="1" t="n"/>
    </row>
    <row r="68" ht="19" customHeight="1">
      <c r="A68" s="1" t="n"/>
      <c r="B68" s="1" t="n"/>
      <c r="C68" s="1" t="n"/>
      <c r="D68" s="54" t="str">
        <f>IF('Calc riepilogo'!$C$49="","",'Calc riepilogo'!$A$49)</f>
        <v/>
      </c>
      <c r="E68" s="55" t="str">
        <f>'Calc riepilogo'!$C$49</f>
        <v/>
      </c>
      <c r="H68" s="44" t="str">
        <f>'Calc riepilogo'!$E$49</f>
        <v/>
      </c>
      <c r="J68" s="45" t="str">
        <f>IF('Calc riepilogo'!$D$49=9999,"360+",'Calc riepilogo'!$D$49)</f>
        <v/>
      </c>
      <c r="K68" s="47" t="str">
        <f>'Calc riepilogo'!$F$49</f>
        <v/>
      </c>
      <c r="M68" s="56" t="str">
        <f>'Calc riepilogo'!$G$49</f>
        <v/>
      </c>
      <c r="N68" s="47" t="str">
        <f>'Calc riepilogo'!$H$49</f>
        <v/>
      </c>
      <c r="P68" s="1" t="n"/>
      <c r="Q68" s="1" t="n"/>
      <c r="R68" s="1" t="n"/>
      <c r="S68" s="1" t="n"/>
      <c r="T68" s="1" t="n"/>
    </row>
    <row r="69">
      <c r="A69" s="1" t="n"/>
      <c r="B69" s="1" t="n"/>
      <c r="C69" s="1" t="n"/>
      <c r="D69" s="22" t="n"/>
      <c r="E69" s="22" t="n"/>
      <c r="F69" s="22" t="n"/>
      <c r="G69" s="22" t="n"/>
      <c r="H69" s="22" t="n"/>
      <c r="I69" s="22" t="n"/>
      <c r="J69" s="22" t="n"/>
      <c r="K69" s="22" t="n"/>
      <c r="L69" s="22" t="n"/>
      <c r="M69" s="22" t="n"/>
      <c r="N69" s="22" t="n"/>
      <c r="O69" s="22" t="n"/>
      <c r="P69" s="1" t="n"/>
      <c r="Q69" s="1" t="n"/>
      <c r="R69" s="1" t="n"/>
      <c r="S69" s="1" t="n"/>
      <c r="T69" s="1" t="n"/>
    </row>
    <row r="70">
      <c r="A70" s="1" t="n"/>
      <c r="B70" s="1" t="n"/>
      <c r="C70" s="1" t="n"/>
      <c r="D70" s="22" t="n"/>
      <c r="E70" s="22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1" t="n"/>
      <c r="Q70" s="1" t="n"/>
      <c r="R70" s="1" t="n"/>
      <c r="S70" s="1" t="n"/>
      <c r="T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</row>
    <row r="72">
      <c r="A72" s="1" t="n"/>
      <c r="B72" s="1" t="n"/>
      <c r="C72" s="1" t="n"/>
      <c r="D72" s="57" t="inlineStr">
        <is>
          <t>Gli interessi sono stimati ogni mese con il TAN diviso 12 e possono differire di poco da quelli della banca. È uno strumento per organizzarti, non una consulenza finanziaria.</t>
        </is>
      </c>
      <c r="P72" s="1" t="n"/>
      <c r="Q72" s="1" t="n"/>
      <c r="R72" s="1" t="n"/>
      <c r="S72" s="1" t="n"/>
      <c r="T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</row>
  </sheetData>
  <mergeCells count="128">
    <mergeCell ref="Q13:R13"/>
    <mergeCell ref="Q29:S29"/>
    <mergeCell ref="D2:O2"/>
    <mergeCell ref="Q21:R21"/>
    <mergeCell ref="Q4:S4"/>
    <mergeCell ref="N66:O66"/>
    <mergeCell ref="Q31:S31"/>
    <mergeCell ref="N68:O68"/>
    <mergeCell ref="E57:G57"/>
    <mergeCell ref="D9:F9"/>
    <mergeCell ref="D30:F30"/>
    <mergeCell ref="N61:O61"/>
    <mergeCell ref="K58:L58"/>
    <mergeCell ref="G34:H34"/>
    <mergeCell ref="K67:L67"/>
    <mergeCell ref="Q41:S41"/>
    <mergeCell ref="G9:I9"/>
    <mergeCell ref="E58:G58"/>
    <mergeCell ref="J31:K31"/>
    <mergeCell ref="Q25:S25"/>
    <mergeCell ref="L31:M31"/>
    <mergeCell ref="N31:O31"/>
    <mergeCell ref="H65:I65"/>
    <mergeCell ref="Q17:R17"/>
    <mergeCell ref="Q11:R11"/>
    <mergeCell ref="H62:I62"/>
    <mergeCell ref="M9:O9"/>
    <mergeCell ref="N65:O65"/>
    <mergeCell ref="Q12:R12"/>
    <mergeCell ref="E60:G60"/>
    <mergeCell ref="N63:O63"/>
    <mergeCell ref="Q37:R37"/>
    <mergeCell ref="H63:I63"/>
    <mergeCell ref="E59:G59"/>
    <mergeCell ref="Q39:R39"/>
    <mergeCell ref="K64:L64"/>
    <mergeCell ref="J7:L7"/>
    <mergeCell ref="H56:I56"/>
    <mergeCell ref="H68:I68"/>
    <mergeCell ref="J34:K34"/>
    <mergeCell ref="Q23:R23"/>
    <mergeCell ref="Q38:R38"/>
    <mergeCell ref="Q5:S6"/>
    <mergeCell ref="E61:G61"/>
    <mergeCell ref="K63:L63"/>
    <mergeCell ref="L30:M30"/>
    <mergeCell ref="K56:L56"/>
    <mergeCell ref="N67:O67"/>
    <mergeCell ref="Q15:R15"/>
    <mergeCell ref="Q32:S32"/>
    <mergeCell ref="D5:O5"/>
    <mergeCell ref="G33:H33"/>
    <mergeCell ref="E56:G56"/>
    <mergeCell ref="Q7:S7"/>
    <mergeCell ref="N30:O30"/>
    <mergeCell ref="D31:F31"/>
    <mergeCell ref="K66:L66"/>
    <mergeCell ref="G8:I8"/>
    <mergeCell ref="Q8:S8"/>
    <mergeCell ref="E63:G63"/>
    <mergeCell ref="K68:L68"/>
    <mergeCell ref="D32:F32"/>
    <mergeCell ref="L32:M32"/>
    <mergeCell ref="Q35:S35"/>
    <mergeCell ref="N32:O32"/>
    <mergeCell ref="E65:G65"/>
    <mergeCell ref="D7:F7"/>
    <mergeCell ref="H58:I58"/>
    <mergeCell ref="K60:L60"/>
    <mergeCell ref="N56:O56"/>
    <mergeCell ref="Q20:R20"/>
    <mergeCell ref="H60:I60"/>
    <mergeCell ref="Q14:R14"/>
    <mergeCell ref="L33:M33"/>
    <mergeCell ref="Q30:S30"/>
    <mergeCell ref="N58:O58"/>
    <mergeCell ref="N33:O33"/>
    <mergeCell ref="D8:F8"/>
    <mergeCell ref="D33:F33"/>
    <mergeCell ref="J8:L8"/>
    <mergeCell ref="H57:I57"/>
    <mergeCell ref="H66:I66"/>
    <mergeCell ref="N59:O59"/>
    <mergeCell ref="D34:F34"/>
    <mergeCell ref="N60:O60"/>
    <mergeCell ref="E62:G62"/>
    <mergeCell ref="G32:H32"/>
    <mergeCell ref="K65:L65"/>
    <mergeCell ref="K57:L57"/>
    <mergeCell ref="E64:G64"/>
    <mergeCell ref="J9:L9"/>
    <mergeCell ref="G7:I7"/>
    <mergeCell ref="D6:O6"/>
    <mergeCell ref="Q16:R16"/>
    <mergeCell ref="H67:I67"/>
    <mergeCell ref="Q24:R24"/>
    <mergeCell ref="M7:O7"/>
    <mergeCell ref="Q18:R18"/>
    <mergeCell ref="Q40:S40"/>
    <mergeCell ref="J30:K30"/>
    <mergeCell ref="H59:I59"/>
    <mergeCell ref="D72:O72"/>
    <mergeCell ref="H64:I64"/>
    <mergeCell ref="N62:O62"/>
    <mergeCell ref="D4:O4"/>
    <mergeCell ref="M8:O8"/>
    <mergeCell ref="Q19:R19"/>
    <mergeCell ref="H61:I61"/>
    <mergeCell ref="Q2:S2"/>
    <mergeCell ref="K59:L59"/>
    <mergeCell ref="N64:O64"/>
    <mergeCell ref="E66:G66"/>
    <mergeCell ref="G30:H30"/>
    <mergeCell ref="J32:K32"/>
    <mergeCell ref="Q22:R22"/>
    <mergeCell ref="N57:O57"/>
    <mergeCell ref="Q36:R36"/>
    <mergeCell ref="K61:L61"/>
    <mergeCell ref="E68:G68"/>
    <mergeCell ref="D35:O35"/>
    <mergeCell ref="Q3:S3"/>
    <mergeCell ref="Q28:S28"/>
    <mergeCell ref="L34:M34"/>
    <mergeCell ref="N34:O34"/>
    <mergeCell ref="E67:G67"/>
    <mergeCell ref="J33:K33"/>
    <mergeCell ref="G31:H31"/>
    <mergeCell ref="K62:L62"/>
  </mergeCells>
  <conditionalFormatting sqref="D31:O33">
    <cfRule type="expression" priority="1" dxfId="0">
      <formula>$D31=$Q$2</formula>
    </cfRule>
  </conditionalFormatting>
  <conditionalFormatting sqref="J31:K33">
    <cfRule type="expression" priority="2" dxfId="1">
      <formula>AND(ISNUMBER($J31),$J31=MIN($J$31:$K$33))</formula>
    </cfRule>
  </conditionalFormatting>
  <dataValidations count="1">
    <dataValidation sqref="Q2" showDropDown="0" showInputMessage="0" showErrorMessage="1" allowBlank="0" errorTitle="Strategia non valida" error="Scegli Valanga, Palla di neve o Personalizzata dal menu." type="list">
      <formula1>"Valanga,Palla di neve,Personalizzata"</formula1>
    </dataValidation>
  </dataValidations>
  <hyperlinks>
    <hyperlink ref="B4" location="'Riepilogo'!A1" display="   📊   Riepilogo"/>
    <hyperlink ref="B5" location="'Piano mese per mese'!A1" display="   📅   Piano mese per mese"/>
    <hyperlink ref="B8" location="'Debiti'!A1" display="   ✎  Debiti"/>
    <hyperlink ref="B9" location="'Budget ed extra'!A1" display="   €  Budget ed extra"/>
    <hyperlink ref="B10" location="'Impostazioni'!A1" display="   ⚙  Impostazioni"/>
    <hyperlink ref="B11" location="'Inizia qui'!A1" display="   ?  Guida"/>
    <hyperlink ref="Q25" location="'Piano mese per mese'!A1" display="   📅  Tutto il piano mese per mese"/>
    <hyperlink ref="Q40" location="'Impostazioni'!A1" display="   ⚙  Cambia nelle Impostazioni"/>
    <hyperlink ref="Q41" location="'Budget ed extra'!A1" display="   €  Cambi di budget ed extra"/>
  </hyperlinks>
  <pageMargins left="0.75" right="0.75" top="1" bottom="1" header="0.5" footer="0.5"/>
  <pageSetup orientation="portrait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747B8"/>
    <outlinePr summaryBelow="1" summaryRight="1"/>
    <pageSetUpPr/>
  </sheetPr>
  <dimension ref="A1:AI36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11" customWidth="1" min="4" max="4"/>
    <col width="10" customWidth="1" min="5" max="5"/>
    <col width="11" customWidth="1" min="6" max="6"/>
    <col width="6" customWidth="1" min="7" max="7"/>
    <col width="11" customWidth="1" min="8" max="8"/>
    <col width="28" customWidth="1" min="9" max="9"/>
    <col width="10" customWidth="1" min="10" max="10"/>
    <col width="9" customWidth="1" min="11" max="11"/>
    <col width="10" customWidth="1" min="12" max="12"/>
    <col width="9" customWidth="1" min="13" max="13"/>
    <col width="10" customWidth="1" min="14" max="14"/>
    <col width="9" customWidth="1" min="15" max="15"/>
    <col width="10" customWidth="1" min="16" max="16"/>
    <col width="9" customWidth="1" min="17" max="17"/>
    <col width="10" customWidth="1" min="18" max="18"/>
    <col width="9" customWidth="1" min="19" max="19"/>
    <col width="10" customWidth="1" min="20" max="20"/>
    <col width="9" customWidth="1" min="21" max="21"/>
    <col width="10" customWidth="1" min="22" max="22"/>
    <col width="9" customWidth="1" min="23" max="23"/>
    <col width="10" customWidth="1" min="24" max="24"/>
    <col width="9" customWidth="1" min="25" max="25"/>
    <col width="10" customWidth="1" min="26" max="26"/>
    <col width="9" customWidth="1" min="27" max="27"/>
    <col width="10" customWidth="1" min="28" max="28"/>
    <col width="9" customWidth="1" min="29" max="29"/>
    <col width="10" customWidth="1" min="30" max="30"/>
    <col width="9" customWidth="1" min="31" max="31"/>
    <col width="10" customWidth="1" min="32" max="32"/>
    <col width="9" customWidth="1" min="33" max="33"/>
    <col hidden="1" width="13" customWidth="1" min="35" max="35"/>
  </cols>
  <sheetData>
    <row r="1">
      <c r="A1" s="58" t="inlineStr">
        <is>
          <t>Piano mese per mese</t>
        </is>
      </c>
    </row>
    <row r="2">
      <c r="A2" s="59" t="inlineStr">
        <is>
          <t>Quanto pagare a ogni debito, mese dopo mese, con la strategia scelta nel Riepilogo. Le righe verdi sono i mesi in cui chiudi un debito.</t>
        </is>
      </c>
    </row>
    <row r="3">
      <c r="A3" s="60" t="inlineStr">
        <is>
          <t>← Torna al Riepilogo</t>
        </is>
      </c>
      <c r="D3" s="61" t="str">
        <f>"Strategia: "&amp;Riepilogo!$Q$2&amp;"   ·   effetto valanga: "&amp;Impostazioni!$B$7</f>
        <v>Strategia: Valanga   ·   effetto valanga: Sì</v>
      </c>
    </row>
    <row r="4">
      <c r="A4" s="62" t="inlineStr">
        <is>
          <t>Ogni mese segna ✓ nella colonna «Fatto» e, se vuoi, scrivi quanto devi davvero: il Riepilogo mostra i progressi. Paga = rata più eventuali extra; Resta = debito dopo il pagamento.</t>
        </is>
      </c>
    </row>
    <row r="5">
      <c r="A5" s="63" t="inlineStr">
        <is>
          <t>Da compilare</t>
        </is>
      </c>
      <c r="B5" s="62" t="inlineStr">
        <is>
          <t>← le celle gialle sono le uniche da personalizzare; tutte le altre si calcolano da sole.</t>
        </is>
      </c>
    </row>
    <row r="6">
      <c r="A6" s="64" t="inlineStr">
        <is>
          <t>IL MESE</t>
        </is>
      </c>
      <c r="G6" s="64" t="inlineStr">
        <is>
          <t>I TUOI PROGRESSI</t>
        </is>
      </c>
      <c r="J6" s="65" t="str">
        <f>'Calc base'!C$6</f>
        <v>Carta revolving</v>
      </c>
      <c r="L6" s="65" t="str">
        <f>'Calc base'!D$6</f>
        <v>Carta del negozio</v>
      </c>
      <c r="N6" s="65" t="str">
        <f>'Calc base'!E$6</f>
        <v>Prestito personale</v>
      </c>
      <c r="P6" s="65" t="str">
        <f>'Calc base'!F$6</f>
        <v>Prestito dell’auto</v>
      </c>
      <c r="R6" s="65" t="str">
        <f>'Calc base'!G$6</f>
        <v>Smartphone a rate</v>
      </c>
      <c r="T6" s="65" t="str">
        <f>'Calc base'!H$6</f>
        <v>Prestito dei genitori</v>
      </c>
      <c r="V6" s="65" t="str">
        <f>'Calc base'!I$6</f>
        <v/>
      </c>
      <c r="X6" s="65" t="str">
        <f>'Calc base'!J$6</f>
        <v/>
      </c>
      <c r="Z6" s="65" t="str">
        <f>'Calc base'!K$6</f>
        <v/>
      </c>
      <c r="AB6" s="65" t="str">
        <f>'Calc base'!L$6</f>
        <v/>
      </c>
      <c r="AD6" s="65" t="str">
        <f>'Calc base'!M$6</f>
        <v/>
      </c>
      <c r="AF6" s="65" t="str">
        <f>'Calc base'!N$6</f>
        <v/>
      </c>
    </row>
    <row r="7" ht="30" customHeight="1">
      <c r="A7" s="66" t="inlineStr">
        <is>
          <t>Mese</t>
        </is>
      </c>
      <c r="B7" s="67" t="inlineStr">
        <is>
          <t>Budget</t>
        </is>
      </c>
      <c r="C7" s="67" t="inlineStr">
        <is>
          <t>Extra</t>
        </is>
      </c>
      <c r="D7" s="67" t="inlineStr">
        <is>
          <t>Pagato in tutto</t>
        </is>
      </c>
      <c r="E7" s="67" t="inlineStr">
        <is>
          <t>Di cui interessi</t>
        </is>
      </c>
      <c r="F7" s="67" t="inlineStr">
        <is>
          <t>Debito residuo</t>
        </is>
      </c>
      <c r="G7" s="67" t="inlineStr">
        <is>
          <t>Fatto</t>
        </is>
      </c>
      <c r="H7" s="67" t="inlineStr">
        <is>
          <t>Debito reale</t>
        </is>
      </c>
      <c r="I7" s="67" t="inlineStr">
        <is>
          <t>Debiti chiusi</t>
        </is>
      </c>
      <c r="J7" s="67" t="inlineStr">
        <is>
          <t>Paga</t>
        </is>
      </c>
      <c r="K7" s="67" t="inlineStr">
        <is>
          <t>Resta</t>
        </is>
      </c>
      <c r="L7" s="67" t="inlineStr">
        <is>
          <t>Paga</t>
        </is>
      </c>
      <c r="M7" s="67" t="inlineStr">
        <is>
          <t>Resta</t>
        </is>
      </c>
      <c r="N7" s="67" t="inlineStr">
        <is>
          <t>Paga</t>
        </is>
      </c>
      <c r="O7" s="67" t="inlineStr">
        <is>
          <t>Resta</t>
        </is>
      </c>
      <c r="P7" s="67" t="inlineStr">
        <is>
          <t>Paga</t>
        </is>
      </c>
      <c r="Q7" s="67" t="inlineStr">
        <is>
          <t>Resta</t>
        </is>
      </c>
      <c r="R7" s="67" t="inlineStr">
        <is>
          <t>Paga</t>
        </is>
      </c>
      <c r="S7" s="67" t="inlineStr">
        <is>
          <t>Resta</t>
        </is>
      </c>
      <c r="T7" s="67" t="inlineStr">
        <is>
          <t>Paga</t>
        </is>
      </c>
      <c r="U7" s="67" t="inlineStr">
        <is>
          <t>Resta</t>
        </is>
      </c>
      <c r="V7" s="67" t="inlineStr">
        <is>
          <t>Paga</t>
        </is>
      </c>
      <c r="W7" s="67" t="inlineStr">
        <is>
          <t>Resta</t>
        </is>
      </c>
      <c r="X7" s="67" t="inlineStr">
        <is>
          <t>Paga</t>
        </is>
      </c>
      <c r="Y7" s="67" t="inlineStr">
        <is>
          <t>Resta</t>
        </is>
      </c>
      <c r="Z7" s="67" t="inlineStr">
        <is>
          <t>Paga</t>
        </is>
      </c>
      <c r="AA7" s="67" t="inlineStr">
        <is>
          <t>Resta</t>
        </is>
      </c>
      <c r="AB7" s="67" t="inlineStr">
        <is>
          <t>Paga</t>
        </is>
      </c>
      <c r="AC7" s="67" t="inlineStr">
        <is>
          <t>Resta</t>
        </is>
      </c>
      <c r="AD7" s="67" t="inlineStr">
        <is>
          <t>Paga</t>
        </is>
      </c>
      <c r="AE7" s="67" t="inlineStr">
        <is>
          <t>Resta</t>
        </is>
      </c>
      <c r="AF7" s="67" t="inlineStr">
        <is>
          <t>Paga</t>
        </is>
      </c>
      <c r="AG7" s="67" t="inlineStr">
        <is>
          <t>Resta</t>
        </is>
      </c>
    </row>
    <row r="8">
      <c r="A8" s="68">
        <f>IF(1&gt;'Calc riepilogo'!$B$7,"",'Calc base'!$B31)</f>
        <v>46327.0</v>
      </c>
      <c r="B8" s="69">
        <f>IF($A8="","",'Calc base'!$C31)</f>
        <v>800</v>
      </c>
      <c r="C8" s="69">
        <f>IF($A8="","",'Calc base'!$E31)</f>
        <v>0</v>
      </c>
      <c r="D8" s="70">
        <f>IF($A8="","",J8+L8+N8+P8+R8+T8+V8+X8+Z8+AB8+AD8+AF8)</f>
        <v>800</v>
      </c>
      <c r="E8" s="70">
        <f>IF($A8="","",CHOOSE('Calc riepilogo'!$B$2,'Calc valanga'!$H31,'Calc palla di neve'!$H31,'Calc personalizzata'!$H31))</f>
        <v>140.599999999999</v>
      </c>
      <c r="F8" s="71">
        <f>IF($A8="","",CHOOSE('Calc riepilogo'!$B$2,'Calc valanga'!$G31,'Calc palla di neve'!$G31,'Calc personalizzata'!$G31))</f>
        <v>20930.6</v>
      </c>
      <c r="G8" s="72" t="n"/>
      <c r="H8" s="73" t="n"/>
      <c r="I8" s="74" t="str">
        <f>IF($A8="","",TRIM(IF(AND('Calc base'!C$8&gt;0,N(K8)&lt;=0.004),"✓ "&amp;'Calc base'!C$6&amp;"   ","")&amp;IF(AND('Calc base'!D$8&gt;0,N(M8)&lt;=0.004),"✓ "&amp;'Calc base'!D$6&amp;"   ","")&amp;IF(AND('Calc base'!E$8&gt;0,N(O8)&lt;=0.004),"✓ "&amp;'Calc base'!E$6&amp;"   ","")&amp;IF(AND('Calc base'!F$8&gt;0,N(Q8)&lt;=0.004),"✓ "&amp;'Calc base'!F$6&amp;"   ","")&amp;IF(AND('Calc base'!G$8&gt;0,N(S8)&lt;=0.004),"✓ "&amp;'Calc base'!G$6&amp;"   ","")&amp;IF(AND('Calc base'!H$8&gt;0,N(U8)&lt;=0.004),"✓ "&amp;'Calc base'!H$6&amp;"   ","")&amp;IF(AND('Calc base'!I$8&gt;0,N(W8)&lt;=0.004),"✓ "&amp;'Calc base'!I$6&amp;"   ","")&amp;IF(AND('Calc base'!J$8&gt;0,N(Y8)&lt;=0.004),"✓ "&amp;'Calc base'!J$6&amp;"   ","")&amp;IF(AND('Calc base'!K$8&gt;0,N(AA8)&lt;=0.004),"✓ "&amp;'Calc base'!K$6&amp;"   ","")&amp;IF(AND('Calc base'!L$8&gt;0,N(AC8)&lt;=0.004),"✓ "&amp;'Calc base'!L$6&amp;"   ","")&amp;IF(AND('Calc base'!M$8&gt;0,N(AE8)&lt;=0.004),"✓ "&amp;'Calc base'!M$6&amp;"   ","")&amp;IF(AND('Calc base'!N$8&gt;0,N(AG8)&lt;=0.004),"✓ "&amp;'Calc base'!N$6&amp;"   ","")))</f>
        <v/>
      </c>
      <c r="J8" s="70">
        <f>IF($A8="","",ROUND('Calc base'!C$8*(1+'Calc base'!H31),2)-K8)</f>
        <v>196</v>
      </c>
      <c r="K8" s="75">
        <f>IF($A8="","",CHOOSE('Calc riepilogo'!$B$2,'Calc valanga'!AT31,'Calc palla di neve'!AT31,'Calc personalizzata'!AT31))</f>
        <v>2241.8</v>
      </c>
      <c r="L8" s="70">
        <f>IF($A8="","",ROUND('Calc base'!D$8*(1+'Calc base'!I31),2)-M8)</f>
        <v>34</v>
      </c>
      <c r="M8" s="75">
        <f>IF($A8="","",CHOOSE('Calc riepilogo'!$B$2,'Calc valanga'!AU31,'Calc palla di neve'!AU31,'Calc personalizzata'!AU31))</f>
        <v>816</v>
      </c>
      <c r="N8" s="70">
        <f>IF($A8="","",ROUND('Calc base'!E$8*(1+'Calc base'!J31),2)-O8)</f>
        <v>210</v>
      </c>
      <c r="O8" s="75">
        <f>IF($A8="","",CHOOSE('Calc riepilogo'!$B$2,'Calc valanga'!AV31,'Calc palla di neve'!AV31,'Calc personalizzata'!AV31))</f>
        <v>6642.13</v>
      </c>
      <c r="P8" s="70">
        <f>IF($A8="","",ROUND('Calc base'!F$8*(1+'Calc base'!K31),2)-Q8)</f>
        <v>265</v>
      </c>
      <c r="Q8" s="75">
        <f>IF($A8="","",CHOOSE('Calc riepilogo'!$B$2,'Calc valanga'!AW31,'Calc palla di neve'!AW31,'Calc personalizzata'!AW31))</f>
        <v>9285.67</v>
      </c>
      <c r="R8" s="70">
        <f>IF($A8="","",ROUND('Calc base'!G$8*(1+'Calc base'!L31),2)-S8)</f>
        <v>45</v>
      </c>
      <c r="S8" s="75">
        <f>IF($A8="","",CHOOSE('Calc riepilogo'!$B$2,'Calc valanga'!AX31,'Calc palla di neve'!AX31,'Calc personalizzata'!AX31))</f>
        <v>495</v>
      </c>
      <c r="T8" s="70">
        <f>IF($A8="","",ROUND('Calc base'!H$8*(1+'Calc base'!M31),2)-U8)</f>
        <v>50</v>
      </c>
      <c r="U8" s="75">
        <f>IF($A8="","",CHOOSE('Calc riepilogo'!$B$2,'Calc valanga'!AY31,'Calc palla di neve'!AY31,'Calc personalizzata'!AY31))</f>
        <v>1450</v>
      </c>
      <c r="V8" s="70">
        <f>IF($A8="","",ROUND('Calc base'!I$8*(1+'Calc base'!N31),2)-W8)</f>
        <v>0</v>
      </c>
      <c r="W8" s="75">
        <f>IF($A8="","",CHOOSE('Calc riepilogo'!$B$2,'Calc valanga'!AZ31,'Calc palla di neve'!AZ31,'Calc personalizzata'!AZ31))</f>
        <v>0</v>
      </c>
      <c r="X8" s="70">
        <f>IF($A8="","",ROUND('Calc base'!J$8*(1+'Calc base'!O31),2)-Y8)</f>
        <v>0</v>
      </c>
      <c r="Y8" s="75">
        <f>IF($A8="","",CHOOSE('Calc riepilogo'!$B$2,'Calc valanga'!BA31,'Calc palla di neve'!BA31,'Calc personalizzata'!BA31))</f>
        <v>0</v>
      </c>
      <c r="Z8" s="70">
        <f>IF($A8="","",ROUND('Calc base'!K$8*(1+'Calc base'!P31),2)-AA8)</f>
        <v>0</v>
      </c>
      <c r="AA8" s="75">
        <f>IF($A8="","",CHOOSE('Calc riepilogo'!$B$2,'Calc valanga'!BB31,'Calc palla di neve'!BB31,'Calc personalizzata'!BB31))</f>
        <v>0</v>
      </c>
      <c r="AB8" s="70">
        <f>IF($A8="","",ROUND('Calc base'!L$8*(1+'Calc base'!Q31),2)-AC8)</f>
        <v>0</v>
      </c>
      <c r="AC8" s="75">
        <f>IF($A8="","",CHOOSE('Calc riepilogo'!$B$2,'Calc valanga'!BC31,'Calc palla di neve'!BC31,'Calc personalizzata'!BC31))</f>
        <v>0</v>
      </c>
      <c r="AD8" s="70">
        <f>IF($A8="","",ROUND('Calc base'!M$8*(1+'Calc base'!R31),2)-AE8)</f>
        <v>0</v>
      </c>
      <c r="AE8" s="75">
        <f>IF($A8="","",CHOOSE('Calc riepilogo'!$B$2,'Calc valanga'!BD31,'Calc palla di neve'!BD31,'Calc personalizzata'!BD31))</f>
        <v>0</v>
      </c>
      <c r="AF8" s="70">
        <f>IF($A8="","",ROUND('Calc base'!N$8*(1+'Calc base'!S31),2)-AG8)</f>
        <v>0</v>
      </c>
      <c r="AG8" s="75">
        <f>IF($A8="","",CHOOSE('Calc riepilogo'!$B$2,'Calc valanga'!BE31,'Calc palla di neve'!BE31,'Calc personalizzata'!BE31))</f>
        <v>0</v>
      </c>
      <c r="AI8" t="n">
        <v>1</v>
      </c>
    </row>
    <row r="9">
      <c r="A9" s="68">
        <f>IF(2&gt;'Calc riepilogo'!$B$7,"",'Calc base'!$B32)</f>
        <v>46357.0</v>
      </c>
      <c r="B9" s="69">
        <f>IF($A9="","",'Calc base'!$C32)</f>
        <v>800</v>
      </c>
      <c r="C9" s="69">
        <f>IF($A9="","",'Calc base'!$E32)</f>
        <v>500</v>
      </c>
      <c r="D9" s="70">
        <f>IF($A9="","",J9+L9+N9+P9+R9+T9+V9+X9+Z9+AB9+AD9+AF9)</f>
        <v>1300</v>
      </c>
      <c r="E9" s="70">
        <f>IF($A9="","",CHOOSE('Calc riepilogo'!$B$2,'Calc valanga'!$H32,'Calc palla di neve'!$H32,'Calc personalizzata'!$H32))</f>
        <v>135.750000000004</v>
      </c>
      <c r="F9" s="71">
        <f>IF($A9="","",CHOOSE('Calc riepilogo'!$B$2,'Calc valanga'!$G32,'Calc palla di neve'!$G32,'Calc personalizzata'!$G32))</f>
        <v>19766.35</v>
      </c>
      <c r="G9" s="72" t="n"/>
      <c r="H9" s="73" t="n"/>
      <c r="I9" s="74" t="str">
        <f>IF($A9="","",TRIM(IF(AND(N(K8)&gt;0,N(K9)&lt;=0.004),"✓ "&amp;'Calc base'!C$6&amp;"   ","")&amp;IF(AND(N(M8)&gt;0,N(M9)&lt;=0.004),"✓ "&amp;'Calc base'!D$6&amp;"   ","")&amp;IF(AND(N(O8)&gt;0,N(O9)&lt;=0.004),"✓ "&amp;'Calc base'!E$6&amp;"   ","")&amp;IF(AND(N(Q8)&gt;0,N(Q9)&lt;=0.004),"✓ "&amp;'Calc base'!F$6&amp;"   ","")&amp;IF(AND(N(S8)&gt;0,N(S9)&lt;=0.004),"✓ "&amp;'Calc base'!G$6&amp;"   ","")&amp;IF(AND(N(U8)&gt;0,N(U9)&lt;=0.004),"✓ "&amp;'Calc base'!H$6&amp;"   ","")&amp;IF(AND(N(W8)&gt;0,N(W9)&lt;=0.004),"✓ "&amp;'Calc base'!I$6&amp;"   ","")&amp;IF(AND(N(Y8)&gt;0,N(Y9)&lt;=0.004),"✓ "&amp;'Calc base'!J$6&amp;"   ","")&amp;IF(AND(N(AA8)&gt;0,N(AA9)&lt;=0.004),"✓ "&amp;'Calc base'!K$6&amp;"   ","")&amp;IF(AND(N(AC8)&gt;0,N(AC9)&lt;=0.004),"✓ "&amp;'Calc base'!L$6&amp;"   ","")&amp;IF(AND(N(AE8)&gt;0,N(AE9)&lt;=0.004),"✓ "&amp;'Calc base'!M$6&amp;"   ","")&amp;IF(AND(N(AG8)&gt;0,N(AG9)&lt;=0.004),"✓ "&amp;'Calc base'!N$6&amp;"   ","")))</f>
        <v/>
      </c>
      <c r="J9" s="70">
        <f>IF($A9="","",ROUND(N(K8)*(1+'Calc base'!H32),2)-K9)</f>
        <v>697.36</v>
      </c>
      <c r="K9" s="75">
        <f>IF($A9="","",CHOOSE('Calc riepilogo'!$B$2,'Calc valanga'!AT32,'Calc palla di neve'!AT32,'Calc personalizzata'!AT32))</f>
        <v>1579.75</v>
      </c>
      <c r="L9" s="70">
        <f>IF($A9="","",ROUND(N(M8)*(1+'Calc base'!I32),2)-M9)</f>
        <v>32.64</v>
      </c>
      <c r="M9" s="75">
        <f>IF($A9="","",CHOOSE('Calc riepilogo'!$B$2,'Calc valanga'!AU32,'Calc palla di neve'!AU32,'Calc personalizzata'!AU32))</f>
        <v>783.36</v>
      </c>
      <c r="N9" s="70">
        <f>IF($A9="","",ROUND(N(O8)*(1+'Calc base'!J32),2)-O9)</f>
        <v>210</v>
      </c>
      <c r="O9" s="75">
        <f>IF($A9="","",CHOOSE('Calc riepilogo'!$B$2,'Calc valanga'!AV32,'Calc palla di neve'!AV32,'Calc personalizzata'!AV32))</f>
        <v>6483.05</v>
      </c>
      <c r="P9" s="70">
        <f>IF($A9="","",ROUND(N(Q8)*(1+'Calc base'!K32),2)-Q9)</f>
        <v>265</v>
      </c>
      <c r="Q9" s="75">
        <f>IF($A9="","",CHOOSE('Calc riepilogo'!$B$2,'Calc valanga'!AW32,'Calc palla di neve'!AW32,'Calc personalizzata'!AW32))</f>
        <v>9070.19</v>
      </c>
      <c r="R9" s="70">
        <f>IF($A9="","",ROUND(N(S8)*(1+'Calc base'!L32),2)-S9)</f>
        <v>45</v>
      </c>
      <c r="S9" s="75">
        <f>IF($A9="","",CHOOSE('Calc riepilogo'!$B$2,'Calc valanga'!AX32,'Calc palla di neve'!AX32,'Calc personalizzata'!AX32))</f>
        <v>450</v>
      </c>
      <c r="T9" s="70">
        <f>IF($A9="","",ROUND(N(U8)*(1+'Calc base'!M32),2)-U9)</f>
        <v>50</v>
      </c>
      <c r="U9" s="75">
        <f>IF($A9="","",CHOOSE('Calc riepilogo'!$B$2,'Calc valanga'!AY32,'Calc palla di neve'!AY32,'Calc personalizzata'!AY32))</f>
        <v>1400</v>
      </c>
      <c r="V9" s="70">
        <f>IF($A9="","",ROUND(N(W8)*(1+'Calc base'!N32),2)-W9)</f>
        <v>0</v>
      </c>
      <c r="W9" s="75">
        <f>IF($A9="","",CHOOSE('Calc riepilogo'!$B$2,'Calc valanga'!AZ32,'Calc palla di neve'!AZ32,'Calc personalizzata'!AZ32))</f>
        <v>0</v>
      </c>
      <c r="X9" s="70">
        <f>IF($A9="","",ROUND(N(Y8)*(1+'Calc base'!O32),2)-Y9)</f>
        <v>0</v>
      </c>
      <c r="Y9" s="75">
        <f>IF($A9="","",CHOOSE('Calc riepilogo'!$B$2,'Calc valanga'!BA32,'Calc palla di neve'!BA32,'Calc personalizzata'!BA32))</f>
        <v>0</v>
      </c>
      <c r="Z9" s="70">
        <f>IF($A9="","",ROUND(N(AA8)*(1+'Calc base'!P32),2)-AA9)</f>
        <v>0</v>
      </c>
      <c r="AA9" s="75">
        <f>IF($A9="","",CHOOSE('Calc riepilogo'!$B$2,'Calc valanga'!BB32,'Calc palla di neve'!BB32,'Calc personalizzata'!BB32))</f>
        <v>0</v>
      </c>
      <c r="AB9" s="70">
        <f>IF($A9="","",ROUND(N(AC8)*(1+'Calc base'!Q32),2)-AC9)</f>
        <v>0</v>
      </c>
      <c r="AC9" s="75">
        <f>IF($A9="","",CHOOSE('Calc riepilogo'!$B$2,'Calc valanga'!BC32,'Calc palla di neve'!BC32,'Calc personalizzata'!BC32))</f>
        <v>0</v>
      </c>
      <c r="AD9" s="70">
        <f>IF($A9="","",ROUND(N(AE8)*(1+'Calc base'!R32),2)-AE9)</f>
        <v>0</v>
      </c>
      <c r="AE9" s="75">
        <f>IF($A9="","",CHOOSE('Calc riepilogo'!$B$2,'Calc valanga'!BD32,'Calc palla di neve'!BD32,'Calc personalizzata'!BD32))</f>
        <v>0</v>
      </c>
      <c r="AF9" s="70">
        <f>IF($A9="","",ROUND(N(AG8)*(1+'Calc base'!S32),2)-AG9)</f>
        <v>0</v>
      </c>
      <c r="AG9" s="75">
        <f>IF($A9="","",CHOOSE('Calc riepilogo'!$B$2,'Calc valanga'!BE32,'Calc palla di neve'!BE32,'Calc personalizzata'!BE32))</f>
        <v>0</v>
      </c>
      <c r="AI9" t="n">
        <v>2</v>
      </c>
    </row>
    <row r="10">
      <c r="A10" s="68">
        <f>IF(3&gt;'Calc riepilogo'!$B$7,"",'Calc base'!$B33)</f>
        <v>46388.0</v>
      </c>
      <c r="B10" s="69">
        <f>IF($A10="","",'Calc base'!$C33)</f>
        <v>800</v>
      </c>
      <c r="C10" s="69">
        <f>IF($A10="","",'Calc base'!$E33)</f>
        <v>0</v>
      </c>
      <c r="D10" s="70">
        <f>IF($A10="","",J10+L10+N10+P10+R10+T10+V10+X10+Z10+AB10+AD10+AF10)</f>
        <v>800</v>
      </c>
      <c r="E10" s="70">
        <f>IF($A10="","",CHOOSE('Calc riepilogo'!$B$2,'Calc valanga'!$H33,'Calc palla di neve'!$H33,'Calc personalizzata'!$H33))</f>
        <v>122.949999999997</v>
      </c>
      <c r="F10" s="71">
        <f>IF($A10="","",CHOOSE('Calc riepilogo'!$B$2,'Calc valanga'!$G33,'Calc palla di neve'!$G33,'Calc personalizzata'!$G33))</f>
        <v>19089.3</v>
      </c>
      <c r="G10" s="72" t="n"/>
      <c r="H10" s="73" t="n"/>
      <c r="I10" s="74" t="str">
        <f>IF($A10="","",TRIM(IF(AND(N(K9)&gt;0,N(K10)&lt;=0.004),"✓ "&amp;'Calc base'!C$6&amp;"   ","")&amp;IF(AND(N(M9)&gt;0,N(M10)&lt;=0.004),"✓ "&amp;'Calc base'!D$6&amp;"   ","")&amp;IF(AND(N(O9)&gt;0,N(O10)&lt;=0.004),"✓ "&amp;'Calc base'!E$6&amp;"   ","")&amp;IF(AND(N(Q9)&gt;0,N(Q10)&lt;=0.004),"✓ "&amp;'Calc base'!F$6&amp;"   ","")&amp;IF(AND(N(S9)&gt;0,N(S10)&lt;=0.004),"✓ "&amp;'Calc base'!G$6&amp;"   ","")&amp;IF(AND(N(U9)&gt;0,N(U10)&lt;=0.004),"✓ "&amp;'Calc base'!H$6&amp;"   ","")&amp;IF(AND(N(W9)&gt;0,N(W10)&lt;=0.004),"✓ "&amp;'Calc base'!I$6&amp;"   ","")&amp;IF(AND(N(Y9)&gt;0,N(Y10)&lt;=0.004),"✓ "&amp;'Calc base'!J$6&amp;"   ","")&amp;IF(AND(N(AA9)&gt;0,N(AA10)&lt;=0.004),"✓ "&amp;'Calc base'!K$6&amp;"   ","")&amp;IF(AND(N(AC9)&gt;0,N(AC10)&lt;=0.004),"✓ "&amp;'Calc base'!L$6&amp;"   ","")&amp;IF(AND(N(AE9)&gt;0,N(AE10)&lt;=0.004),"✓ "&amp;'Calc base'!M$6&amp;"   ","")&amp;IF(AND(N(AG9)&gt;0,N(AG10)&lt;=0.004),"✓ "&amp;'Calc base'!N$6&amp;"   ","")))</f>
        <v/>
      </c>
      <c r="J10" s="70">
        <f>IF($A10="","",ROUND(N(K9)*(1+'Calc base'!H33),2)-K10)</f>
        <v>198.67</v>
      </c>
      <c r="K10" s="75">
        <f>IF($A10="","",CHOOSE('Calc riepilogo'!$B$2,'Calc valanga'!AT33,'Calc palla di neve'!AT33,'Calc personalizzata'!AT33))</f>
        <v>1405.96</v>
      </c>
      <c r="L10" s="70">
        <f>IF($A10="","",ROUND(N(M9)*(1+'Calc base'!I33),2)-M10)</f>
        <v>31.33</v>
      </c>
      <c r="M10" s="75">
        <f>IF($A10="","",CHOOSE('Calc riepilogo'!$B$2,'Calc valanga'!AU33,'Calc palla di neve'!AU33,'Calc personalizzata'!AU33))</f>
        <v>752.03</v>
      </c>
      <c r="N10" s="70">
        <f>IF($A10="","",ROUND(N(O9)*(1+'Calc base'!J33),2)-O10)</f>
        <v>210</v>
      </c>
      <c r="O10" s="75">
        <f>IF($A10="","",CHOOSE('Calc riepilogo'!$B$2,'Calc valanga'!AV33,'Calc palla di neve'!AV33,'Calc personalizzata'!AV33))</f>
        <v>6322.75</v>
      </c>
      <c r="P10" s="70">
        <f>IF($A10="","",ROUND(N(Q9)*(1+'Calc base'!K33),2)-Q10)</f>
        <v>265</v>
      </c>
      <c r="Q10" s="75">
        <f>IF($A10="","",CHOOSE('Calc riepilogo'!$B$2,'Calc valanga'!AW33,'Calc palla di neve'!AW33,'Calc personalizzata'!AW33))</f>
        <v>8853.56</v>
      </c>
      <c r="R10" s="70">
        <f>IF($A10="","",ROUND(N(S9)*(1+'Calc base'!L33),2)-S10)</f>
        <v>45</v>
      </c>
      <c r="S10" s="75">
        <f>IF($A10="","",CHOOSE('Calc riepilogo'!$B$2,'Calc valanga'!AX33,'Calc palla di neve'!AX33,'Calc personalizzata'!AX33))</f>
        <v>405</v>
      </c>
      <c r="T10" s="70">
        <f>IF($A10="","",ROUND(N(U9)*(1+'Calc base'!M33),2)-U10)</f>
        <v>50</v>
      </c>
      <c r="U10" s="75">
        <f>IF($A10="","",CHOOSE('Calc riepilogo'!$B$2,'Calc valanga'!AY33,'Calc palla di neve'!AY33,'Calc personalizzata'!AY33))</f>
        <v>1350</v>
      </c>
      <c r="V10" s="70">
        <f>IF($A10="","",ROUND(N(W9)*(1+'Calc base'!N33),2)-W10)</f>
        <v>0</v>
      </c>
      <c r="W10" s="75">
        <f>IF($A10="","",CHOOSE('Calc riepilogo'!$B$2,'Calc valanga'!AZ33,'Calc palla di neve'!AZ33,'Calc personalizzata'!AZ33))</f>
        <v>0</v>
      </c>
      <c r="X10" s="70">
        <f>IF($A10="","",ROUND(N(Y9)*(1+'Calc base'!O33),2)-Y10)</f>
        <v>0</v>
      </c>
      <c r="Y10" s="75">
        <f>IF($A10="","",CHOOSE('Calc riepilogo'!$B$2,'Calc valanga'!BA33,'Calc palla di neve'!BA33,'Calc personalizzata'!BA33))</f>
        <v>0</v>
      </c>
      <c r="Z10" s="70">
        <f>IF($A10="","",ROUND(N(AA9)*(1+'Calc base'!P33),2)-AA10)</f>
        <v>0</v>
      </c>
      <c r="AA10" s="75">
        <f>IF($A10="","",CHOOSE('Calc riepilogo'!$B$2,'Calc valanga'!BB33,'Calc palla di neve'!BB33,'Calc personalizzata'!BB33))</f>
        <v>0</v>
      </c>
      <c r="AB10" s="70">
        <f>IF($A10="","",ROUND(N(AC9)*(1+'Calc base'!Q33),2)-AC10)</f>
        <v>0</v>
      </c>
      <c r="AC10" s="75">
        <f>IF($A10="","",CHOOSE('Calc riepilogo'!$B$2,'Calc valanga'!BC33,'Calc palla di neve'!BC33,'Calc personalizzata'!BC33))</f>
        <v>0</v>
      </c>
      <c r="AD10" s="70">
        <f>IF($A10="","",ROUND(N(AE9)*(1+'Calc base'!R33),2)-AE10)</f>
        <v>0</v>
      </c>
      <c r="AE10" s="75">
        <f>IF($A10="","",CHOOSE('Calc riepilogo'!$B$2,'Calc valanga'!BD33,'Calc palla di neve'!BD33,'Calc personalizzata'!BD33))</f>
        <v>0</v>
      </c>
      <c r="AF10" s="70">
        <f>IF($A10="","",ROUND(N(AG9)*(1+'Calc base'!S33),2)-AG10)</f>
        <v>0</v>
      </c>
      <c r="AG10" s="75">
        <f>IF($A10="","",CHOOSE('Calc riepilogo'!$B$2,'Calc valanga'!BE33,'Calc palla di neve'!BE33,'Calc personalizzata'!BE33))</f>
        <v>0</v>
      </c>
      <c r="AI10" t="n">
        <v>3</v>
      </c>
    </row>
    <row r="11">
      <c r="A11" s="68">
        <f>IF(4&gt;'Calc riepilogo'!$B$7,"",'Calc base'!$B34)</f>
        <v>46419.0</v>
      </c>
      <c r="B11" s="69">
        <f>IF($A11="","",'Calc base'!$C34)</f>
        <v>800</v>
      </c>
      <c r="C11" s="69">
        <f>IF($A11="","",'Calc base'!$E34)</f>
        <v>0</v>
      </c>
      <c r="D11" s="70">
        <f>IF($A11="","",J11+L11+N11+P11+R11+T11+V11+X11+Z11+AB11+AD11+AF11)</f>
        <v>800</v>
      </c>
      <c r="E11" s="70">
        <f>IF($A11="","",CHOOSE('Calc riepilogo'!$B$2,'Calc valanga'!$H34,'Calc palla di neve'!$H34,'Calc personalizzata'!$H34))</f>
        <v>117.830000000002</v>
      </c>
      <c r="F11" s="71">
        <f>IF($A11="","",CHOOSE('Calc riepilogo'!$B$2,'Calc valanga'!$G34,'Calc palla di neve'!$G34,'Calc personalizzata'!$G34))</f>
        <v>18407.13</v>
      </c>
      <c r="G11" s="72" t="n"/>
      <c r="H11" s="73" t="n"/>
      <c r="I11" s="74" t="str">
        <f>IF($A11="","",TRIM(IF(AND(N(K10)&gt;0,N(K11)&lt;=0.004),"✓ "&amp;'Calc base'!C$6&amp;"   ","")&amp;IF(AND(N(M10)&gt;0,N(M11)&lt;=0.004),"✓ "&amp;'Calc base'!D$6&amp;"   ","")&amp;IF(AND(N(O10)&gt;0,N(O11)&lt;=0.004),"✓ "&amp;'Calc base'!E$6&amp;"   ","")&amp;IF(AND(N(Q10)&gt;0,N(Q11)&lt;=0.004),"✓ "&amp;'Calc base'!F$6&amp;"   ","")&amp;IF(AND(N(S10)&gt;0,N(S11)&lt;=0.004),"✓ "&amp;'Calc base'!G$6&amp;"   ","")&amp;IF(AND(N(U10)&gt;0,N(U11)&lt;=0.004),"✓ "&amp;'Calc base'!H$6&amp;"   ","")&amp;IF(AND(N(W10)&gt;0,N(W11)&lt;=0.004),"✓ "&amp;'Calc base'!I$6&amp;"   ","")&amp;IF(AND(N(Y10)&gt;0,N(Y11)&lt;=0.004),"✓ "&amp;'Calc base'!J$6&amp;"   ","")&amp;IF(AND(N(AA10)&gt;0,N(AA11)&lt;=0.004),"✓ "&amp;'Calc base'!K$6&amp;"   ","")&amp;IF(AND(N(AC10)&gt;0,N(AC11)&lt;=0.004),"✓ "&amp;'Calc base'!L$6&amp;"   ","")&amp;IF(AND(N(AE10)&gt;0,N(AE11)&lt;=0.004),"✓ "&amp;'Calc base'!M$6&amp;"   ","")&amp;IF(AND(N(AG10)&gt;0,N(AG11)&lt;=0.004),"✓ "&amp;'Calc base'!N$6&amp;"   ","")))</f>
        <v/>
      </c>
      <c r="J11" s="70">
        <f>IF($A11="","",ROUND(N(K10)*(1+'Calc base'!H34),2)-K11)</f>
        <v>199.92</v>
      </c>
      <c r="K11" s="75">
        <f>IF($A11="","",CHOOSE('Calc riepilogo'!$B$2,'Calc valanga'!AT34,'Calc palla di neve'!AT34,'Calc personalizzata'!AT34))</f>
        <v>1228.18</v>
      </c>
      <c r="L11" s="70">
        <f>IF($A11="","",ROUND(N(M10)*(1+'Calc base'!I34),2)-M11)</f>
        <v>30.08</v>
      </c>
      <c r="M11" s="75">
        <f>IF($A11="","",CHOOSE('Calc riepilogo'!$B$2,'Calc valanga'!AU34,'Calc palla di neve'!AU34,'Calc personalizzata'!AU34))</f>
        <v>721.95</v>
      </c>
      <c r="N11" s="70">
        <f>IF($A11="","",ROUND(N(O10)*(1+'Calc base'!J34),2)-O11)</f>
        <v>210</v>
      </c>
      <c r="O11" s="75">
        <f>IF($A11="","",CHOOSE('Calc riepilogo'!$B$2,'Calc valanga'!AV34,'Calc palla di neve'!AV34,'Calc personalizzata'!AV34))</f>
        <v>6161.22</v>
      </c>
      <c r="P11" s="70">
        <f>IF($A11="","",ROUND(N(Q10)*(1+'Calc base'!K34),2)-Q11)</f>
        <v>265</v>
      </c>
      <c r="Q11" s="75">
        <f>IF($A11="","",CHOOSE('Calc riepilogo'!$B$2,'Calc valanga'!AW34,'Calc palla di neve'!AW34,'Calc personalizzata'!AW34))</f>
        <v>8635.78</v>
      </c>
      <c r="R11" s="70">
        <f>IF($A11="","",ROUND(N(S10)*(1+'Calc base'!L34),2)-S11)</f>
        <v>45</v>
      </c>
      <c r="S11" s="75">
        <f>IF($A11="","",CHOOSE('Calc riepilogo'!$B$2,'Calc valanga'!AX34,'Calc palla di neve'!AX34,'Calc personalizzata'!AX34))</f>
        <v>360</v>
      </c>
      <c r="T11" s="70">
        <f>IF($A11="","",ROUND(N(U10)*(1+'Calc base'!M34),2)-U11)</f>
        <v>50</v>
      </c>
      <c r="U11" s="75">
        <f>IF($A11="","",CHOOSE('Calc riepilogo'!$B$2,'Calc valanga'!AY34,'Calc palla di neve'!AY34,'Calc personalizzata'!AY34))</f>
        <v>1300</v>
      </c>
      <c r="V11" s="70">
        <f>IF($A11="","",ROUND(N(W10)*(1+'Calc base'!N34),2)-W11)</f>
        <v>0</v>
      </c>
      <c r="W11" s="75">
        <f>IF($A11="","",CHOOSE('Calc riepilogo'!$B$2,'Calc valanga'!AZ34,'Calc palla di neve'!AZ34,'Calc personalizzata'!AZ34))</f>
        <v>0</v>
      </c>
      <c r="X11" s="70">
        <f>IF($A11="","",ROUND(N(Y10)*(1+'Calc base'!O34),2)-Y11)</f>
        <v>0</v>
      </c>
      <c r="Y11" s="75">
        <f>IF($A11="","",CHOOSE('Calc riepilogo'!$B$2,'Calc valanga'!BA34,'Calc palla di neve'!BA34,'Calc personalizzata'!BA34))</f>
        <v>0</v>
      </c>
      <c r="Z11" s="70">
        <f>IF($A11="","",ROUND(N(AA10)*(1+'Calc base'!P34),2)-AA11)</f>
        <v>0</v>
      </c>
      <c r="AA11" s="75">
        <f>IF($A11="","",CHOOSE('Calc riepilogo'!$B$2,'Calc valanga'!BB34,'Calc palla di neve'!BB34,'Calc personalizzata'!BB34))</f>
        <v>0</v>
      </c>
      <c r="AB11" s="70">
        <f>IF($A11="","",ROUND(N(AC10)*(1+'Calc base'!Q34),2)-AC11)</f>
        <v>0</v>
      </c>
      <c r="AC11" s="75">
        <f>IF($A11="","",CHOOSE('Calc riepilogo'!$B$2,'Calc valanga'!BC34,'Calc palla di neve'!BC34,'Calc personalizzata'!BC34))</f>
        <v>0</v>
      </c>
      <c r="AD11" s="70">
        <f>IF($A11="","",ROUND(N(AE10)*(1+'Calc base'!R34),2)-AE11)</f>
        <v>0</v>
      </c>
      <c r="AE11" s="75">
        <f>IF($A11="","",CHOOSE('Calc riepilogo'!$B$2,'Calc valanga'!BD34,'Calc palla di neve'!BD34,'Calc personalizzata'!BD34))</f>
        <v>0</v>
      </c>
      <c r="AF11" s="70">
        <f>IF($A11="","",ROUND(N(AG10)*(1+'Calc base'!S34),2)-AG11)</f>
        <v>0</v>
      </c>
      <c r="AG11" s="75">
        <f>IF($A11="","",CHOOSE('Calc riepilogo'!$B$2,'Calc valanga'!BE34,'Calc palla di neve'!BE34,'Calc personalizzata'!BE34))</f>
        <v>0</v>
      </c>
      <c r="AI11" t="n">
        <v>4</v>
      </c>
    </row>
    <row r="12">
      <c r="A12" s="68">
        <f>IF(5&gt;'Calc riepilogo'!$B$7,"",'Calc base'!$B35)</f>
        <v>46447.0</v>
      </c>
      <c r="B12" s="69">
        <f>IF($A12="","",'Calc base'!$C35)</f>
        <v>800</v>
      </c>
      <c r="C12" s="69">
        <f>IF($A12="","",'Calc base'!$E35)</f>
        <v>400</v>
      </c>
      <c r="D12" s="70">
        <f>IF($A12="","",J12+L12+N12+P12+R12+T12+V12+X12+Z12+AB12+AD12+AF12)</f>
        <v>1200</v>
      </c>
      <c r="E12" s="70">
        <f>IF($A12="","",CHOOSE('Calc riepilogo'!$B$2,'Calc valanga'!$H35,'Calc palla di neve'!$H35,'Calc personalizzata'!$H35))</f>
        <v>112.639999999999</v>
      </c>
      <c r="F12" s="71">
        <f>IF($A12="","",CHOOSE('Calc riepilogo'!$B$2,'Calc valanga'!$G35,'Calc palla di neve'!$G35,'Calc personalizzata'!$G35))</f>
        <v>17319.77</v>
      </c>
      <c r="G12" s="72" t="n"/>
      <c r="H12" s="73" t="n"/>
      <c r="I12" s="74" t="str">
        <f>IF($A12="","",TRIM(IF(AND(N(K11)&gt;0,N(K12)&lt;=0.004),"✓ "&amp;'Calc base'!C$6&amp;"   ","")&amp;IF(AND(N(M11)&gt;0,N(M12)&lt;=0.004),"✓ "&amp;'Calc base'!D$6&amp;"   ","")&amp;IF(AND(N(O11)&gt;0,N(O12)&lt;=0.004),"✓ "&amp;'Calc base'!E$6&amp;"   ","")&amp;IF(AND(N(Q11)&gt;0,N(Q12)&lt;=0.004),"✓ "&amp;'Calc base'!F$6&amp;"   ","")&amp;IF(AND(N(S11)&gt;0,N(S12)&lt;=0.004),"✓ "&amp;'Calc base'!G$6&amp;"   ","")&amp;IF(AND(N(U11)&gt;0,N(U12)&lt;=0.004),"✓ "&amp;'Calc base'!H$6&amp;"   ","")&amp;IF(AND(N(W11)&gt;0,N(W12)&lt;=0.004),"✓ "&amp;'Calc base'!I$6&amp;"   ","")&amp;IF(AND(N(Y11)&gt;0,N(Y12)&lt;=0.004),"✓ "&amp;'Calc base'!J$6&amp;"   ","")&amp;IF(AND(N(AA11)&gt;0,N(AA12)&lt;=0.004),"✓ "&amp;'Calc base'!K$6&amp;"   ","")&amp;IF(AND(N(AC11)&gt;0,N(AC12)&lt;=0.004),"✓ "&amp;'Calc base'!L$6&amp;"   ","")&amp;IF(AND(N(AE11)&gt;0,N(AE12)&lt;=0.004),"✓ "&amp;'Calc base'!M$6&amp;"   ","")&amp;IF(AND(N(AG11)&gt;0,N(AG12)&lt;=0.004),"✓ "&amp;'Calc base'!N$6&amp;"   ","")))</f>
        <v/>
      </c>
      <c r="J12" s="70">
        <f>IF($A12="","",ROUND(N(K11)*(1+'Calc base'!H35),2)-K12)</f>
        <v>201.12</v>
      </c>
      <c r="K12" s="75">
        <f>IF($A12="","",CHOOSE('Calc riepilogo'!$B$2,'Calc valanga'!AT35,'Calc palla di neve'!AT35,'Calc personalizzata'!AT35))</f>
        <v>1046.4</v>
      </c>
      <c r="L12" s="70">
        <f>IF($A12="","",ROUND(N(M11)*(1+'Calc base'!I35),2)-M12)</f>
        <v>428.88</v>
      </c>
      <c r="M12" s="75">
        <f>IF($A12="","",CHOOSE('Calc riepilogo'!$B$2,'Calc valanga'!AU35,'Calc palla di neve'!AU35,'Calc personalizzata'!AU35))</f>
        <v>293.07</v>
      </c>
      <c r="N12" s="70">
        <f>IF($A12="","",ROUND(N(O11)*(1+'Calc base'!J35),2)-O12)</f>
        <v>210</v>
      </c>
      <c r="O12" s="75">
        <f>IF($A12="","",CHOOSE('Calc riepilogo'!$B$2,'Calc valanga'!AV35,'Calc palla di neve'!AV35,'Calc personalizzata'!AV35))</f>
        <v>5998.46</v>
      </c>
      <c r="P12" s="70">
        <f>IF($A12="","",ROUND(N(Q11)*(1+'Calc base'!K35),2)-Q12)</f>
        <v>265</v>
      </c>
      <c r="Q12" s="75">
        <f>IF($A12="","",CHOOSE('Calc riepilogo'!$B$2,'Calc valanga'!AW35,'Calc palla di neve'!AW35,'Calc personalizzata'!AW35))</f>
        <v>8416.84</v>
      </c>
      <c r="R12" s="70">
        <f>IF($A12="","",ROUND(N(S11)*(1+'Calc base'!L35),2)-S12)</f>
        <v>45</v>
      </c>
      <c r="S12" s="75">
        <f>IF($A12="","",CHOOSE('Calc riepilogo'!$B$2,'Calc valanga'!AX35,'Calc palla di neve'!AX35,'Calc personalizzata'!AX35))</f>
        <v>315</v>
      </c>
      <c r="T12" s="70">
        <f>IF($A12="","",ROUND(N(U11)*(1+'Calc base'!M35),2)-U12)</f>
        <v>50</v>
      </c>
      <c r="U12" s="75">
        <f>IF($A12="","",CHOOSE('Calc riepilogo'!$B$2,'Calc valanga'!AY35,'Calc palla di neve'!AY35,'Calc personalizzata'!AY35))</f>
        <v>1250</v>
      </c>
      <c r="V12" s="70">
        <f>IF($A12="","",ROUND(N(W11)*(1+'Calc base'!N35),2)-W12)</f>
        <v>0</v>
      </c>
      <c r="W12" s="75">
        <f>IF($A12="","",CHOOSE('Calc riepilogo'!$B$2,'Calc valanga'!AZ35,'Calc palla di neve'!AZ35,'Calc personalizzata'!AZ35))</f>
        <v>0</v>
      </c>
      <c r="X12" s="70">
        <f>IF($A12="","",ROUND(N(Y11)*(1+'Calc base'!O35),2)-Y12)</f>
        <v>0</v>
      </c>
      <c r="Y12" s="75">
        <f>IF($A12="","",CHOOSE('Calc riepilogo'!$B$2,'Calc valanga'!BA35,'Calc palla di neve'!BA35,'Calc personalizzata'!BA35))</f>
        <v>0</v>
      </c>
      <c r="Z12" s="70">
        <f>IF($A12="","",ROUND(N(AA11)*(1+'Calc base'!P35),2)-AA12)</f>
        <v>0</v>
      </c>
      <c r="AA12" s="75">
        <f>IF($A12="","",CHOOSE('Calc riepilogo'!$B$2,'Calc valanga'!BB35,'Calc palla di neve'!BB35,'Calc personalizzata'!BB35))</f>
        <v>0</v>
      </c>
      <c r="AB12" s="70">
        <f>IF($A12="","",ROUND(N(AC11)*(1+'Calc base'!Q35),2)-AC12)</f>
        <v>0</v>
      </c>
      <c r="AC12" s="75">
        <f>IF($A12="","",CHOOSE('Calc riepilogo'!$B$2,'Calc valanga'!BC35,'Calc palla di neve'!BC35,'Calc personalizzata'!BC35))</f>
        <v>0</v>
      </c>
      <c r="AD12" s="70">
        <f>IF($A12="","",ROUND(N(AE11)*(1+'Calc base'!R35),2)-AE12)</f>
        <v>0</v>
      </c>
      <c r="AE12" s="75">
        <f>IF($A12="","",CHOOSE('Calc riepilogo'!$B$2,'Calc valanga'!BD35,'Calc palla di neve'!BD35,'Calc personalizzata'!BD35))</f>
        <v>0</v>
      </c>
      <c r="AF12" s="70">
        <f>IF($A12="","",ROUND(N(AG11)*(1+'Calc base'!S35),2)-AG12)</f>
        <v>0</v>
      </c>
      <c r="AG12" s="75">
        <f>IF($A12="","",CHOOSE('Calc riepilogo'!$B$2,'Calc valanga'!BE35,'Calc palla di neve'!BE35,'Calc personalizzata'!BE35))</f>
        <v>0</v>
      </c>
      <c r="AI12" t="n">
        <v>5</v>
      </c>
    </row>
    <row r="13">
      <c r="A13" s="68">
        <f>IF(6&gt;'Calc riepilogo'!$B$7,"",'Calc base'!$B36)</f>
        <v>46478.0</v>
      </c>
      <c r="B13" s="69">
        <f>IF($A13="","",'Calc base'!$C36)</f>
        <v>800</v>
      </c>
      <c r="C13" s="69">
        <f>IF($A13="","",'Calc base'!$E36)</f>
        <v>0</v>
      </c>
      <c r="D13" s="70">
        <f>IF($A13="","",J13+L13+N13+P13+R13+T13+V13+X13+Z13+AB13+AD13+AF13)</f>
        <v>800</v>
      </c>
      <c r="E13" s="70">
        <f>IF($A13="","",CHOOSE('Calc riepilogo'!$B$2,'Calc valanga'!$H36,'Calc palla di neve'!$H36,'Calc personalizzata'!$H36))</f>
        <v>112.709999999999</v>
      </c>
      <c r="F13" s="71">
        <f>IF($A13="","",CHOOSE('Calc riepilogo'!$B$2,'Calc valanga'!$G36,'Calc palla di neve'!$G36,'Calc personalizzata'!$G36))</f>
        <v>16632.48</v>
      </c>
      <c r="G13" s="72" t="n"/>
      <c r="H13" s="73" t="n"/>
      <c r="I13" s="74" t="str">
        <f>IF($A13="","",TRIM(IF(AND(N(K12)&gt;0,N(K13)&lt;=0.004),"✓ "&amp;'Calc base'!C$6&amp;"   ","")&amp;IF(AND(N(M12)&gt;0,N(M13)&lt;=0.004),"✓ "&amp;'Calc base'!D$6&amp;"   ","")&amp;IF(AND(N(O12)&gt;0,N(O13)&lt;=0.004),"✓ "&amp;'Calc base'!E$6&amp;"   ","")&amp;IF(AND(N(Q12)&gt;0,N(Q13)&lt;=0.004),"✓ "&amp;'Calc base'!F$6&amp;"   ","")&amp;IF(AND(N(S12)&gt;0,N(S13)&lt;=0.004),"✓ "&amp;'Calc base'!G$6&amp;"   ","")&amp;IF(AND(N(U12)&gt;0,N(U13)&lt;=0.004),"✓ "&amp;'Calc base'!H$6&amp;"   ","")&amp;IF(AND(N(W12)&gt;0,N(W13)&lt;=0.004),"✓ "&amp;'Calc base'!I$6&amp;"   ","")&amp;IF(AND(N(Y12)&gt;0,N(Y13)&lt;=0.004),"✓ "&amp;'Calc base'!J$6&amp;"   ","")&amp;IF(AND(N(AA12)&gt;0,N(AA13)&lt;=0.004),"✓ "&amp;'Calc base'!K$6&amp;"   ","")&amp;IF(AND(N(AC12)&gt;0,N(AC13)&lt;=0.004),"✓ "&amp;'Calc base'!L$6&amp;"   ","")&amp;IF(AND(N(AE12)&gt;0,N(AE13)&lt;=0.004),"✓ "&amp;'Calc base'!M$6&amp;"   ","")&amp;IF(AND(N(AG12)&gt;0,N(AG13)&lt;=0.004),"✓ "&amp;'Calc base'!N$6&amp;"   ","")))</f>
        <v/>
      </c>
      <c r="J13" s="70">
        <f>IF($A13="","",ROUND(N(K12)*(1+'Calc base'!H36),2)-K13)</f>
        <v>31.3900000000001</v>
      </c>
      <c r="K13" s="75">
        <f>IF($A13="","",CHOOSE('Calc riepilogo'!$B$2,'Calc valanga'!AT36,'Calc palla di neve'!AT36,'Calc personalizzata'!AT36))</f>
        <v>1031.49</v>
      </c>
      <c r="L13" s="70">
        <f>IF($A13="","",ROUND(N(M12)*(1+'Calc base'!I36),2)-M13)</f>
        <v>198.61</v>
      </c>
      <c r="M13" s="75">
        <f>IF($A13="","",CHOOSE('Calc riepilogo'!$B$2,'Calc valanga'!AU36,'Calc palla di neve'!AU36,'Calc personalizzata'!AU36))</f>
        <v>99.81</v>
      </c>
      <c r="N13" s="70">
        <f>IF($A13="","",ROUND(N(O12)*(1+'Calc base'!J36),2)-O13)</f>
        <v>210</v>
      </c>
      <c r="O13" s="75">
        <f>IF($A13="","",CHOOSE('Calc riepilogo'!$B$2,'Calc valanga'!AV36,'Calc palla di neve'!AV36,'Calc personalizzata'!AV36))</f>
        <v>5834.45</v>
      </c>
      <c r="P13" s="70">
        <f>IF($A13="","",ROUND(N(Q12)*(1+'Calc base'!K36),2)-Q13)</f>
        <v>265</v>
      </c>
      <c r="Q13" s="75">
        <f>IF($A13="","",CHOOSE('Calc riepilogo'!$B$2,'Calc valanga'!AW36,'Calc palla di neve'!AW36,'Calc personalizzata'!AW36))</f>
        <v>8196.73</v>
      </c>
      <c r="R13" s="70">
        <f>IF($A13="","",ROUND(N(S12)*(1+'Calc base'!L36),2)-S13)</f>
        <v>45</v>
      </c>
      <c r="S13" s="75">
        <f>IF($A13="","",CHOOSE('Calc riepilogo'!$B$2,'Calc valanga'!AX36,'Calc palla di neve'!AX36,'Calc personalizzata'!AX36))</f>
        <v>270</v>
      </c>
      <c r="T13" s="70">
        <f>IF($A13="","",ROUND(N(U12)*(1+'Calc base'!M36),2)-U13)</f>
        <v>50</v>
      </c>
      <c r="U13" s="75">
        <f>IF($A13="","",CHOOSE('Calc riepilogo'!$B$2,'Calc valanga'!AY36,'Calc palla di neve'!AY36,'Calc personalizzata'!AY36))</f>
        <v>1200</v>
      </c>
      <c r="V13" s="70">
        <f>IF($A13="","",ROUND(N(W12)*(1+'Calc base'!N36),2)-W13)</f>
        <v>0</v>
      </c>
      <c r="W13" s="75">
        <f>IF($A13="","",CHOOSE('Calc riepilogo'!$B$2,'Calc valanga'!AZ36,'Calc palla di neve'!AZ36,'Calc personalizzata'!AZ36))</f>
        <v>0</v>
      </c>
      <c r="X13" s="70">
        <f>IF($A13="","",ROUND(N(Y12)*(1+'Calc base'!O36),2)-Y13)</f>
        <v>0</v>
      </c>
      <c r="Y13" s="75">
        <f>IF($A13="","",CHOOSE('Calc riepilogo'!$B$2,'Calc valanga'!BA36,'Calc palla di neve'!BA36,'Calc personalizzata'!BA36))</f>
        <v>0</v>
      </c>
      <c r="Z13" s="70">
        <f>IF($A13="","",ROUND(N(AA12)*(1+'Calc base'!P36),2)-AA13)</f>
        <v>0</v>
      </c>
      <c r="AA13" s="75">
        <f>IF($A13="","",CHOOSE('Calc riepilogo'!$B$2,'Calc valanga'!BB36,'Calc palla di neve'!BB36,'Calc personalizzata'!BB36))</f>
        <v>0</v>
      </c>
      <c r="AB13" s="70">
        <f>IF($A13="","",ROUND(N(AC12)*(1+'Calc base'!Q36),2)-AC13)</f>
        <v>0</v>
      </c>
      <c r="AC13" s="75">
        <f>IF($A13="","",CHOOSE('Calc riepilogo'!$B$2,'Calc valanga'!BC36,'Calc palla di neve'!BC36,'Calc personalizzata'!BC36))</f>
        <v>0</v>
      </c>
      <c r="AD13" s="70">
        <f>IF($A13="","",ROUND(N(AE12)*(1+'Calc base'!R36),2)-AE13)</f>
        <v>0</v>
      </c>
      <c r="AE13" s="75">
        <f>IF($A13="","",CHOOSE('Calc riepilogo'!$B$2,'Calc valanga'!BD36,'Calc palla di neve'!BD36,'Calc personalizzata'!BD36))</f>
        <v>0</v>
      </c>
      <c r="AF13" s="70">
        <f>IF($A13="","",ROUND(N(AG12)*(1+'Calc base'!S36),2)-AG13)</f>
        <v>0</v>
      </c>
      <c r="AG13" s="75">
        <f>IF($A13="","",CHOOSE('Calc riepilogo'!$B$2,'Calc valanga'!BE36,'Calc palla di neve'!BE36,'Calc personalizzata'!BE36))</f>
        <v>0</v>
      </c>
      <c r="AI13" t="n">
        <v>6</v>
      </c>
    </row>
    <row r="14">
      <c r="A14" s="68">
        <f>IF(7&gt;'Calc riepilogo'!$B$7,"",'Calc base'!$B37)</f>
        <v>46508.0</v>
      </c>
      <c r="B14" s="69">
        <f>IF($A14="","",'Calc base'!$C37)</f>
        <v>800</v>
      </c>
      <c r="C14" s="69">
        <f>IF($A14="","",'Calc base'!$E37)</f>
        <v>0</v>
      </c>
      <c r="D14" s="70">
        <f>IF($A14="","",J14+L14+N14+P14+R14+T14+V14+X14+Z14+AB14+AD14+AF14)</f>
        <v>800</v>
      </c>
      <c r="E14" s="70">
        <f>IF($A14="","",CHOOSE('Calc riepilogo'!$B$2,'Calc valanga'!$H37,'Calc palla di neve'!$H37,'Calc personalizzata'!$H37))</f>
        <v>106.52</v>
      </c>
      <c r="F14" s="71">
        <f>IF($A14="","",CHOOSE('Calc riepilogo'!$B$2,'Calc valanga'!$G37,'Calc palla di neve'!$G37,'Calc personalizzata'!$G37))</f>
        <v>15939</v>
      </c>
      <c r="G14" s="72" t="n"/>
      <c r="H14" s="73" t="n"/>
      <c r="I14" s="74" t="str">
        <f>IF($A14="","",TRIM(IF(AND(N(K13)&gt;0,N(K14)&lt;=0.004),"✓ "&amp;'Calc base'!C$6&amp;"   ","")&amp;IF(AND(N(M13)&gt;0,N(M14)&lt;=0.004),"✓ "&amp;'Calc base'!D$6&amp;"   ","")&amp;IF(AND(N(O13)&gt;0,N(O14)&lt;=0.004),"✓ "&amp;'Calc base'!E$6&amp;"   ","")&amp;IF(AND(N(Q13)&gt;0,N(Q14)&lt;=0.004),"✓ "&amp;'Calc base'!F$6&amp;"   ","")&amp;IF(AND(N(S13)&gt;0,N(S14)&lt;=0.004),"✓ "&amp;'Calc base'!G$6&amp;"   ","")&amp;IF(AND(N(U13)&gt;0,N(U14)&lt;=0.004),"✓ "&amp;'Calc base'!H$6&amp;"   ","")&amp;IF(AND(N(W13)&gt;0,N(W14)&lt;=0.004),"✓ "&amp;'Calc base'!I$6&amp;"   ","")&amp;IF(AND(N(Y13)&gt;0,N(Y14)&lt;=0.004),"✓ "&amp;'Calc base'!J$6&amp;"   ","")&amp;IF(AND(N(AA13)&gt;0,N(AA14)&lt;=0.004),"✓ "&amp;'Calc base'!K$6&amp;"   ","")&amp;IF(AND(N(AC13)&gt;0,N(AC14)&lt;=0.004),"✓ "&amp;'Calc base'!L$6&amp;"   ","")&amp;IF(AND(N(AE13)&gt;0,N(AE14)&lt;=0.004),"✓ "&amp;'Calc base'!M$6&amp;"   ","")&amp;IF(AND(N(AG13)&gt;0,N(AG14)&lt;=0.004),"✓ "&amp;'Calc base'!N$6&amp;"   ","")))</f>
        <v>✓ Carta del negozio</v>
      </c>
      <c r="J14" s="70">
        <f>IF($A14="","",ROUND(N(K13)*(1+'Calc base'!H37),2)-K14)</f>
        <v>128.37</v>
      </c>
      <c r="K14" s="75">
        <f>IF($A14="","",CHOOSE('Calc riepilogo'!$B$2,'Calc valanga'!AT37,'Calc palla di neve'!AT37,'Calc personalizzata'!AT37))</f>
        <v>919.37</v>
      </c>
      <c r="L14" s="70">
        <f>IF($A14="","",ROUND(N(M13)*(1+'Calc base'!I37),2)-M14)</f>
        <v>101.63</v>
      </c>
      <c r="M14" s="75">
        <f>IF($A14="","",CHOOSE('Calc riepilogo'!$B$2,'Calc valanga'!AU37,'Calc palla di neve'!AU37,'Calc personalizzata'!AU37))</f>
        <v>0</v>
      </c>
      <c r="N14" s="70">
        <f>IF($A14="","",ROUND(N(O13)*(1+'Calc base'!J37),2)-O14)</f>
        <v>210</v>
      </c>
      <c r="O14" s="75">
        <f>IF($A14="","",CHOOSE('Calc riepilogo'!$B$2,'Calc valanga'!AV37,'Calc palla di neve'!AV37,'Calc personalizzata'!AV37))</f>
        <v>5669.18</v>
      </c>
      <c r="P14" s="70">
        <f>IF($A14="","",ROUND(N(Q13)*(1+'Calc base'!K37),2)-Q14)</f>
        <v>265</v>
      </c>
      <c r="Q14" s="75">
        <f>IF($A14="","",CHOOSE('Calc riepilogo'!$B$2,'Calc valanga'!AW37,'Calc palla di neve'!AW37,'Calc personalizzata'!AW37))</f>
        <v>7975.45</v>
      </c>
      <c r="R14" s="70">
        <f>IF($A14="","",ROUND(N(S13)*(1+'Calc base'!L37),2)-S14)</f>
        <v>45</v>
      </c>
      <c r="S14" s="75">
        <f>IF($A14="","",CHOOSE('Calc riepilogo'!$B$2,'Calc valanga'!AX37,'Calc palla di neve'!AX37,'Calc personalizzata'!AX37))</f>
        <v>225</v>
      </c>
      <c r="T14" s="70">
        <f>IF($A14="","",ROUND(N(U13)*(1+'Calc base'!M37),2)-U14)</f>
        <v>50</v>
      </c>
      <c r="U14" s="75">
        <f>IF($A14="","",CHOOSE('Calc riepilogo'!$B$2,'Calc valanga'!AY37,'Calc palla di neve'!AY37,'Calc personalizzata'!AY37))</f>
        <v>1150</v>
      </c>
      <c r="V14" s="70">
        <f>IF($A14="","",ROUND(N(W13)*(1+'Calc base'!N37),2)-W14)</f>
        <v>0</v>
      </c>
      <c r="W14" s="75">
        <f>IF($A14="","",CHOOSE('Calc riepilogo'!$B$2,'Calc valanga'!AZ37,'Calc palla di neve'!AZ37,'Calc personalizzata'!AZ37))</f>
        <v>0</v>
      </c>
      <c r="X14" s="70">
        <f>IF($A14="","",ROUND(N(Y13)*(1+'Calc base'!O37),2)-Y14)</f>
        <v>0</v>
      </c>
      <c r="Y14" s="75">
        <f>IF($A14="","",CHOOSE('Calc riepilogo'!$B$2,'Calc valanga'!BA37,'Calc palla di neve'!BA37,'Calc personalizzata'!BA37))</f>
        <v>0</v>
      </c>
      <c r="Z14" s="70">
        <f>IF($A14="","",ROUND(N(AA13)*(1+'Calc base'!P37),2)-AA14)</f>
        <v>0</v>
      </c>
      <c r="AA14" s="75">
        <f>IF($A14="","",CHOOSE('Calc riepilogo'!$B$2,'Calc valanga'!BB37,'Calc palla di neve'!BB37,'Calc personalizzata'!BB37))</f>
        <v>0</v>
      </c>
      <c r="AB14" s="70">
        <f>IF($A14="","",ROUND(N(AC13)*(1+'Calc base'!Q37),2)-AC14)</f>
        <v>0</v>
      </c>
      <c r="AC14" s="75">
        <f>IF($A14="","",CHOOSE('Calc riepilogo'!$B$2,'Calc valanga'!BC37,'Calc palla di neve'!BC37,'Calc personalizzata'!BC37))</f>
        <v>0</v>
      </c>
      <c r="AD14" s="70">
        <f>IF($A14="","",ROUND(N(AE13)*(1+'Calc base'!R37),2)-AE14)</f>
        <v>0</v>
      </c>
      <c r="AE14" s="75">
        <f>IF($A14="","",CHOOSE('Calc riepilogo'!$B$2,'Calc valanga'!BD37,'Calc palla di neve'!BD37,'Calc personalizzata'!BD37))</f>
        <v>0</v>
      </c>
      <c r="AF14" s="70">
        <f>IF($A14="","",ROUND(N(AG13)*(1+'Calc base'!S37),2)-AG14)</f>
        <v>0</v>
      </c>
      <c r="AG14" s="75">
        <f>IF($A14="","",CHOOSE('Calc riepilogo'!$B$2,'Calc valanga'!BE37,'Calc palla di neve'!BE37,'Calc personalizzata'!BE37))</f>
        <v>0</v>
      </c>
      <c r="AI14" t="n">
        <v>7</v>
      </c>
    </row>
    <row r="15">
      <c r="A15" s="68">
        <f>IF(8&gt;'Calc riepilogo'!$B$7,"",'Calc base'!$B38)</f>
        <v>46539.0</v>
      </c>
      <c r="B15" s="69">
        <f>IF($A15="","",'Calc base'!$C38)</f>
        <v>800</v>
      </c>
      <c r="C15" s="69">
        <f>IF($A15="","",'Calc base'!$E38)</f>
        <v>0</v>
      </c>
      <c r="D15" s="70">
        <f>IF($A15="","",J15+L15+N15+P15+R15+T15+V15+X15+Z15+AB15+AD15+AF15)</f>
        <v>800</v>
      </c>
      <c r="E15" s="70">
        <f>IF($A15="","",CHOOSE('Calc riepilogo'!$B$2,'Calc valanga'!$H38,'Calc palla di neve'!$H38,'Calc personalizzata'!$H38))</f>
        <v>100.479999999998</v>
      </c>
      <c r="F15" s="71">
        <f>IF($A15="","",CHOOSE('Calc riepilogo'!$B$2,'Calc valanga'!$G38,'Calc palla di neve'!$G38,'Calc personalizzata'!$G38))</f>
        <v>15239.48</v>
      </c>
      <c r="G15" s="72" t="n"/>
      <c r="H15" s="73" t="n"/>
      <c r="I15" s="74" t="str">
        <f>IF($A15="","",TRIM(IF(AND(N(K14)&gt;0,N(K15)&lt;=0.004),"✓ "&amp;'Calc base'!C$6&amp;"   ","")&amp;IF(AND(N(M14)&gt;0,N(M15)&lt;=0.004),"✓ "&amp;'Calc base'!D$6&amp;"   ","")&amp;IF(AND(N(O14)&gt;0,N(O15)&lt;=0.004),"✓ "&amp;'Calc base'!E$6&amp;"   ","")&amp;IF(AND(N(Q14)&gt;0,N(Q15)&lt;=0.004),"✓ "&amp;'Calc base'!F$6&amp;"   ","")&amp;IF(AND(N(S14)&gt;0,N(S15)&lt;=0.004),"✓ "&amp;'Calc base'!G$6&amp;"   ","")&amp;IF(AND(N(U14)&gt;0,N(U15)&lt;=0.004),"✓ "&amp;'Calc base'!H$6&amp;"   ","")&amp;IF(AND(N(W14)&gt;0,N(W15)&lt;=0.004),"✓ "&amp;'Calc base'!I$6&amp;"   ","")&amp;IF(AND(N(Y14)&gt;0,N(Y15)&lt;=0.004),"✓ "&amp;'Calc base'!J$6&amp;"   ","")&amp;IF(AND(N(AA14)&gt;0,N(AA15)&lt;=0.004),"✓ "&amp;'Calc base'!K$6&amp;"   ","")&amp;IF(AND(N(AC14)&gt;0,N(AC15)&lt;=0.004),"✓ "&amp;'Calc base'!L$6&amp;"   ","")&amp;IF(AND(N(AE14)&gt;0,N(AE15)&lt;=0.004),"✓ "&amp;'Calc base'!M$6&amp;"   ","")&amp;IF(AND(N(AG14)&gt;0,N(AG15)&lt;=0.004),"✓ "&amp;'Calc base'!N$6&amp;"   ","")))</f>
        <v/>
      </c>
      <c r="J15" s="70">
        <f>IF($A15="","",ROUND(N(K14)*(1+'Calc base'!H38),2)-K15)</f>
        <v>230</v>
      </c>
      <c r="K15" s="75">
        <f>IF($A15="","",CHOOSE('Calc riepilogo'!$B$2,'Calc valanga'!AT38,'Calc palla di neve'!AT38,'Calc personalizzata'!AT38))</f>
        <v>703.85</v>
      </c>
      <c r="L15" s="70">
        <f>IF($A15="","",ROUND(N(M14)*(1+'Calc base'!I38),2)-M15)</f>
        <v>0</v>
      </c>
      <c r="M15" s="75">
        <f>IF($A15="","",CHOOSE('Calc riepilogo'!$B$2,'Calc valanga'!AU38,'Calc palla di neve'!AU38,'Calc personalizzata'!AU38))</f>
        <v>0</v>
      </c>
      <c r="N15" s="70">
        <f>IF($A15="","",ROUND(N(O14)*(1+'Calc base'!J38),2)-O15)</f>
        <v>210</v>
      </c>
      <c r="O15" s="75">
        <f>IF($A15="","",CHOOSE('Calc riepilogo'!$B$2,'Calc valanga'!AV38,'Calc palla di neve'!AV38,'Calc personalizzata'!AV38))</f>
        <v>5502.64</v>
      </c>
      <c r="P15" s="70">
        <f>IF($A15="","",ROUND(N(Q14)*(1+'Calc base'!K38),2)-Q15)</f>
        <v>265</v>
      </c>
      <c r="Q15" s="75">
        <f>IF($A15="","",CHOOSE('Calc riepilogo'!$B$2,'Calc valanga'!AW38,'Calc palla di neve'!AW38,'Calc personalizzata'!AW38))</f>
        <v>7752.99</v>
      </c>
      <c r="R15" s="70">
        <f>IF($A15="","",ROUND(N(S14)*(1+'Calc base'!L38),2)-S15)</f>
        <v>45</v>
      </c>
      <c r="S15" s="75">
        <f>IF($A15="","",CHOOSE('Calc riepilogo'!$B$2,'Calc valanga'!AX38,'Calc palla di neve'!AX38,'Calc personalizzata'!AX38))</f>
        <v>180</v>
      </c>
      <c r="T15" s="70">
        <f>IF($A15="","",ROUND(N(U14)*(1+'Calc base'!M38),2)-U15)</f>
        <v>50</v>
      </c>
      <c r="U15" s="75">
        <f>IF($A15="","",CHOOSE('Calc riepilogo'!$B$2,'Calc valanga'!AY38,'Calc palla di neve'!AY38,'Calc personalizzata'!AY38))</f>
        <v>1100</v>
      </c>
      <c r="V15" s="70">
        <f>IF($A15="","",ROUND(N(W14)*(1+'Calc base'!N38),2)-W15)</f>
        <v>0</v>
      </c>
      <c r="W15" s="75">
        <f>IF($A15="","",CHOOSE('Calc riepilogo'!$B$2,'Calc valanga'!AZ38,'Calc palla di neve'!AZ38,'Calc personalizzata'!AZ38))</f>
        <v>0</v>
      </c>
      <c r="X15" s="70">
        <f>IF($A15="","",ROUND(N(Y14)*(1+'Calc base'!O38),2)-Y15)</f>
        <v>0</v>
      </c>
      <c r="Y15" s="75">
        <f>IF($A15="","",CHOOSE('Calc riepilogo'!$B$2,'Calc valanga'!BA38,'Calc palla di neve'!BA38,'Calc personalizzata'!BA38))</f>
        <v>0</v>
      </c>
      <c r="Z15" s="70">
        <f>IF($A15="","",ROUND(N(AA14)*(1+'Calc base'!P38),2)-AA15)</f>
        <v>0</v>
      </c>
      <c r="AA15" s="75">
        <f>IF($A15="","",CHOOSE('Calc riepilogo'!$B$2,'Calc valanga'!BB38,'Calc palla di neve'!BB38,'Calc personalizzata'!BB38))</f>
        <v>0</v>
      </c>
      <c r="AB15" s="70">
        <f>IF($A15="","",ROUND(N(AC14)*(1+'Calc base'!Q38),2)-AC15)</f>
        <v>0</v>
      </c>
      <c r="AC15" s="75">
        <f>IF($A15="","",CHOOSE('Calc riepilogo'!$B$2,'Calc valanga'!BC38,'Calc palla di neve'!BC38,'Calc personalizzata'!BC38))</f>
        <v>0</v>
      </c>
      <c r="AD15" s="70">
        <f>IF($A15="","",ROUND(N(AE14)*(1+'Calc base'!R38),2)-AE15)</f>
        <v>0</v>
      </c>
      <c r="AE15" s="75">
        <f>IF($A15="","",CHOOSE('Calc riepilogo'!$B$2,'Calc valanga'!BD38,'Calc palla di neve'!BD38,'Calc personalizzata'!BD38))</f>
        <v>0</v>
      </c>
      <c r="AF15" s="70">
        <f>IF($A15="","",ROUND(N(AG14)*(1+'Calc base'!S38),2)-AG15)</f>
        <v>0</v>
      </c>
      <c r="AG15" s="75">
        <f>IF($A15="","",CHOOSE('Calc riepilogo'!$B$2,'Calc valanga'!BE38,'Calc palla di neve'!BE38,'Calc personalizzata'!BE38))</f>
        <v>0</v>
      </c>
      <c r="AI15" t="n">
        <v>8</v>
      </c>
    </row>
    <row r="16">
      <c r="A16" s="68">
        <f>IF(9&gt;'Calc riepilogo'!$B$7,"",'Calc base'!$B39)</f>
        <v>46569.0</v>
      </c>
      <c r="B16" s="69">
        <f>IF($A16="","",'Calc base'!$C39)</f>
        <v>900</v>
      </c>
      <c r="C16" s="69">
        <f>IF($A16="","",'Calc base'!$E39)</f>
        <v>350</v>
      </c>
      <c r="D16" s="70">
        <f>IF($A16="","",J16+L16+N16+P16+R16+T16+V16+X16+Z16+AB16+AD16+AF16)</f>
        <v>1250</v>
      </c>
      <c r="E16" s="70">
        <f>IF($A16="","",CHOOSE('Calc riepilogo'!$B$2,'Calc valanga'!$H39,'Calc palla di neve'!$H39,'Calc personalizzata'!$H39))</f>
        <v>94.630000000001</v>
      </c>
      <c r="F16" s="71">
        <f>IF($A16="","",CHOOSE('Calc riepilogo'!$B$2,'Calc valanga'!$G39,'Calc palla di neve'!$G39,'Calc personalizzata'!$G39))</f>
        <v>14084.11</v>
      </c>
      <c r="G16" s="72" t="n"/>
      <c r="H16" s="73" t="n"/>
      <c r="I16" s="74" t="str">
        <f>IF($A16="","",TRIM(IF(AND(N(K15)&gt;0,N(K16)&lt;=0.004),"✓ "&amp;'Calc base'!C$6&amp;"   ","")&amp;IF(AND(N(M15)&gt;0,N(M16)&lt;=0.004),"✓ "&amp;'Calc base'!D$6&amp;"   ","")&amp;IF(AND(N(O15)&gt;0,N(O16)&lt;=0.004),"✓ "&amp;'Calc base'!E$6&amp;"   ","")&amp;IF(AND(N(Q15)&gt;0,N(Q16)&lt;=0.004),"✓ "&amp;'Calc base'!F$6&amp;"   ","")&amp;IF(AND(N(S15)&gt;0,N(S16)&lt;=0.004),"✓ "&amp;'Calc base'!G$6&amp;"   ","")&amp;IF(AND(N(U15)&gt;0,N(U16)&lt;=0.004),"✓ "&amp;'Calc base'!H$6&amp;"   ","")&amp;IF(AND(N(W15)&gt;0,N(W16)&lt;=0.004),"✓ "&amp;'Calc base'!I$6&amp;"   ","")&amp;IF(AND(N(Y15)&gt;0,N(Y16)&lt;=0.004),"✓ "&amp;'Calc base'!J$6&amp;"   ","")&amp;IF(AND(N(AA15)&gt;0,N(AA16)&lt;=0.004),"✓ "&amp;'Calc base'!K$6&amp;"   ","")&amp;IF(AND(N(AC15)&gt;0,N(AC16)&lt;=0.004),"✓ "&amp;'Calc base'!L$6&amp;"   ","")&amp;IF(AND(N(AE15)&gt;0,N(AE16)&lt;=0.004),"✓ "&amp;'Calc base'!M$6&amp;"   ","")&amp;IF(AND(N(AG15)&gt;0,N(AG16)&lt;=0.004),"✓ "&amp;'Calc base'!N$6&amp;"   ","")))</f>
        <v/>
      </c>
      <c r="J16" s="70">
        <f>IF($A16="","",ROUND(N(K15)*(1+'Calc base'!H39),2)-K16)</f>
        <v>680</v>
      </c>
      <c r="K16" s="75">
        <f>IF($A16="","",CHOOSE('Calc riepilogo'!$B$2,'Calc valanga'!AT39,'Calc palla di neve'!AT39,'Calc personalizzata'!AT39))</f>
        <v>34.9400000000001</v>
      </c>
      <c r="L16" s="70">
        <f>IF($A16="","",ROUND(N(M15)*(1+'Calc base'!I39),2)-M16)</f>
        <v>0</v>
      </c>
      <c r="M16" s="75">
        <f>IF($A16="","",CHOOSE('Calc riepilogo'!$B$2,'Calc valanga'!AU39,'Calc palla di neve'!AU39,'Calc personalizzata'!AU39))</f>
        <v>0</v>
      </c>
      <c r="N16" s="70">
        <f>IF($A16="","",ROUND(N(O15)*(1+'Calc base'!J39),2)-O16)</f>
        <v>210</v>
      </c>
      <c r="O16" s="75">
        <f>IF($A16="","",CHOOSE('Calc riepilogo'!$B$2,'Calc valanga'!AV39,'Calc palla di neve'!AV39,'Calc personalizzata'!AV39))</f>
        <v>5334.83</v>
      </c>
      <c r="P16" s="70">
        <f>IF($A16="","",ROUND(N(Q15)*(1+'Calc base'!K39),2)-Q16)</f>
        <v>265</v>
      </c>
      <c r="Q16" s="75">
        <f>IF($A16="","",CHOOSE('Calc riepilogo'!$B$2,'Calc valanga'!AW39,'Calc palla di neve'!AW39,'Calc personalizzata'!AW39))</f>
        <v>7529.34</v>
      </c>
      <c r="R16" s="70">
        <f>IF($A16="","",ROUND(N(S15)*(1+'Calc base'!L39),2)-S16)</f>
        <v>45</v>
      </c>
      <c r="S16" s="75">
        <f>IF($A16="","",CHOOSE('Calc riepilogo'!$B$2,'Calc valanga'!AX39,'Calc palla di neve'!AX39,'Calc personalizzata'!AX39))</f>
        <v>135</v>
      </c>
      <c r="T16" s="70">
        <f>IF($A16="","",ROUND(N(U15)*(1+'Calc base'!M39),2)-U16)</f>
        <v>50</v>
      </c>
      <c r="U16" s="75">
        <f>IF($A16="","",CHOOSE('Calc riepilogo'!$B$2,'Calc valanga'!AY39,'Calc palla di neve'!AY39,'Calc personalizzata'!AY39))</f>
        <v>1050</v>
      </c>
      <c r="V16" s="70">
        <f>IF($A16="","",ROUND(N(W15)*(1+'Calc base'!N39),2)-W16)</f>
        <v>0</v>
      </c>
      <c r="W16" s="75">
        <f>IF($A16="","",CHOOSE('Calc riepilogo'!$B$2,'Calc valanga'!AZ39,'Calc palla di neve'!AZ39,'Calc personalizzata'!AZ39))</f>
        <v>0</v>
      </c>
      <c r="X16" s="70">
        <f>IF($A16="","",ROUND(N(Y15)*(1+'Calc base'!O39),2)-Y16)</f>
        <v>0</v>
      </c>
      <c r="Y16" s="75">
        <f>IF($A16="","",CHOOSE('Calc riepilogo'!$B$2,'Calc valanga'!BA39,'Calc palla di neve'!BA39,'Calc personalizzata'!BA39))</f>
        <v>0</v>
      </c>
      <c r="Z16" s="70">
        <f>IF($A16="","",ROUND(N(AA15)*(1+'Calc base'!P39),2)-AA16)</f>
        <v>0</v>
      </c>
      <c r="AA16" s="75">
        <f>IF($A16="","",CHOOSE('Calc riepilogo'!$B$2,'Calc valanga'!BB39,'Calc palla di neve'!BB39,'Calc personalizzata'!BB39))</f>
        <v>0</v>
      </c>
      <c r="AB16" s="70">
        <f>IF($A16="","",ROUND(N(AC15)*(1+'Calc base'!Q39),2)-AC16)</f>
        <v>0</v>
      </c>
      <c r="AC16" s="75">
        <f>IF($A16="","",CHOOSE('Calc riepilogo'!$B$2,'Calc valanga'!BC39,'Calc palla di neve'!BC39,'Calc personalizzata'!BC39))</f>
        <v>0</v>
      </c>
      <c r="AD16" s="70">
        <f>IF($A16="","",ROUND(N(AE15)*(1+'Calc base'!R39),2)-AE16)</f>
        <v>0</v>
      </c>
      <c r="AE16" s="75">
        <f>IF($A16="","",CHOOSE('Calc riepilogo'!$B$2,'Calc valanga'!BD39,'Calc palla di neve'!BD39,'Calc personalizzata'!BD39))</f>
        <v>0</v>
      </c>
      <c r="AF16" s="70">
        <f>IF($A16="","",ROUND(N(AG15)*(1+'Calc base'!S39),2)-AG16)</f>
        <v>0</v>
      </c>
      <c r="AG16" s="75">
        <f>IF($A16="","",CHOOSE('Calc riepilogo'!$B$2,'Calc valanga'!BE39,'Calc palla di neve'!BE39,'Calc personalizzata'!BE39))</f>
        <v>0</v>
      </c>
      <c r="AI16" t="n">
        <v>9</v>
      </c>
    </row>
    <row r="17">
      <c r="A17" s="68">
        <f>IF(10&gt;'Calc riepilogo'!$B$7,"",'Calc base'!$B40)</f>
        <v>46600.0</v>
      </c>
      <c r="B17" s="69">
        <f>IF($A17="","",'Calc base'!$C40)</f>
        <v>900</v>
      </c>
      <c r="C17" s="69">
        <f>IF($A17="","",'Calc base'!$E40)</f>
        <v>0</v>
      </c>
      <c r="D17" s="70">
        <f>IF($A17="","",J17+L17+N17+P17+R17+T17+V17+X17+Z17+AB17+AD17+AF17)</f>
        <v>900</v>
      </c>
      <c r="E17" s="70">
        <f>IF($A17="","",CHOOSE('Calc riepilogo'!$B$2,'Calc valanga'!$H40,'Calc palla di neve'!$H40,'Calc personalizzata'!$H40))</f>
        <v>81.6099999999988</v>
      </c>
      <c r="F17" s="71">
        <f>IF($A17="","",CHOOSE('Calc riepilogo'!$B$2,'Calc valanga'!$G40,'Calc palla di neve'!$G40,'Calc personalizzata'!$G40))</f>
        <v>13265.72</v>
      </c>
      <c r="G17" s="72" t="n"/>
      <c r="H17" s="73" t="n"/>
      <c r="I17" s="74" t="str">
        <f>IF($A17="","",TRIM(IF(AND(N(K16)&gt;0,N(K17)&lt;=0.004),"✓ "&amp;'Calc base'!C$6&amp;"   ","")&amp;IF(AND(N(M16)&gt;0,N(M17)&lt;=0.004),"✓ "&amp;'Calc base'!D$6&amp;"   ","")&amp;IF(AND(N(O16)&gt;0,N(O17)&lt;=0.004),"✓ "&amp;'Calc base'!E$6&amp;"   ","")&amp;IF(AND(N(Q16)&gt;0,N(Q17)&lt;=0.004),"✓ "&amp;'Calc base'!F$6&amp;"   ","")&amp;IF(AND(N(S16)&gt;0,N(S17)&lt;=0.004),"✓ "&amp;'Calc base'!G$6&amp;"   ","")&amp;IF(AND(N(U16)&gt;0,N(U17)&lt;=0.004),"✓ "&amp;'Calc base'!H$6&amp;"   ","")&amp;IF(AND(N(W16)&gt;0,N(W17)&lt;=0.004),"✓ "&amp;'Calc base'!I$6&amp;"   ","")&amp;IF(AND(N(Y16)&gt;0,N(Y17)&lt;=0.004),"✓ "&amp;'Calc base'!J$6&amp;"   ","")&amp;IF(AND(N(AA16)&gt;0,N(AA17)&lt;=0.004),"✓ "&amp;'Calc base'!K$6&amp;"   ","")&amp;IF(AND(N(AC16)&gt;0,N(AC17)&lt;=0.004),"✓ "&amp;'Calc base'!L$6&amp;"   ","")&amp;IF(AND(N(AE16)&gt;0,N(AE17)&lt;=0.004),"✓ "&amp;'Calc base'!M$6&amp;"   ","")&amp;IF(AND(N(AG16)&gt;0,N(AG17)&lt;=0.004),"✓ "&amp;'Calc base'!N$6&amp;"   ","")))</f>
        <v>✓ Carta revolving</v>
      </c>
      <c r="J17" s="70">
        <f>IF($A17="","",ROUND(N(K16)*(1+'Calc base'!H40),2)-K17)</f>
        <v>35.49</v>
      </c>
      <c r="K17" s="75">
        <f>IF($A17="","",CHOOSE('Calc riepilogo'!$B$2,'Calc valanga'!AT40,'Calc palla di neve'!AT40,'Calc personalizzata'!AT40))</f>
        <v>0</v>
      </c>
      <c r="L17" s="70">
        <f>IF($A17="","",ROUND(N(M16)*(1+'Calc base'!I40),2)-M17)</f>
        <v>0</v>
      </c>
      <c r="M17" s="75">
        <f>IF($A17="","",CHOOSE('Calc riepilogo'!$B$2,'Calc valanga'!AU40,'Calc palla di neve'!AU40,'Calc personalizzata'!AU40))</f>
        <v>0</v>
      </c>
      <c r="N17" s="70">
        <f>IF($A17="","",ROUND(N(O16)*(1+'Calc base'!J40),2)-O17)</f>
        <v>504.51</v>
      </c>
      <c r="O17" s="75">
        <f>IF($A17="","",CHOOSE('Calc riepilogo'!$B$2,'Calc valanga'!AV40,'Calc palla di neve'!AV40,'Calc personalizzata'!AV40))</f>
        <v>4871.22</v>
      </c>
      <c r="P17" s="70">
        <f>IF($A17="","",ROUND(N(Q16)*(1+'Calc base'!K40),2)-Q17)</f>
        <v>265</v>
      </c>
      <c r="Q17" s="75">
        <f>IF($A17="","",CHOOSE('Calc riepilogo'!$B$2,'Calc valanga'!AW40,'Calc palla di neve'!AW40,'Calc personalizzata'!AW40))</f>
        <v>7304.5</v>
      </c>
      <c r="R17" s="70">
        <f>IF($A17="","",ROUND(N(S16)*(1+'Calc base'!L40),2)-S17)</f>
        <v>45</v>
      </c>
      <c r="S17" s="75">
        <f>IF($A17="","",CHOOSE('Calc riepilogo'!$B$2,'Calc valanga'!AX40,'Calc palla di neve'!AX40,'Calc personalizzata'!AX40))</f>
        <v>90</v>
      </c>
      <c r="T17" s="70">
        <f>IF($A17="","",ROUND(N(U16)*(1+'Calc base'!M40),2)-U17)</f>
        <v>50</v>
      </c>
      <c r="U17" s="75">
        <f>IF($A17="","",CHOOSE('Calc riepilogo'!$B$2,'Calc valanga'!AY40,'Calc palla di neve'!AY40,'Calc personalizzata'!AY40))</f>
        <v>1000</v>
      </c>
      <c r="V17" s="70">
        <f>IF($A17="","",ROUND(N(W16)*(1+'Calc base'!N40),2)-W17)</f>
        <v>0</v>
      </c>
      <c r="W17" s="75">
        <f>IF($A17="","",CHOOSE('Calc riepilogo'!$B$2,'Calc valanga'!AZ40,'Calc palla di neve'!AZ40,'Calc personalizzata'!AZ40))</f>
        <v>0</v>
      </c>
      <c r="X17" s="70">
        <f>IF($A17="","",ROUND(N(Y16)*(1+'Calc base'!O40),2)-Y17)</f>
        <v>0</v>
      </c>
      <c r="Y17" s="75">
        <f>IF($A17="","",CHOOSE('Calc riepilogo'!$B$2,'Calc valanga'!BA40,'Calc palla di neve'!BA40,'Calc personalizzata'!BA40))</f>
        <v>0</v>
      </c>
      <c r="Z17" s="70">
        <f>IF($A17="","",ROUND(N(AA16)*(1+'Calc base'!P40),2)-AA17)</f>
        <v>0</v>
      </c>
      <c r="AA17" s="75">
        <f>IF($A17="","",CHOOSE('Calc riepilogo'!$B$2,'Calc valanga'!BB40,'Calc palla di neve'!BB40,'Calc personalizzata'!BB40))</f>
        <v>0</v>
      </c>
      <c r="AB17" s="70">
        <f>IF($A17="","",ROUND(N(AC16)*(1+'Calc base'!Q40),2)-AC17)</f>
        <v>0</v>
      </c>
      <c r="AC17" s="75">
        <f>IF($A17="","",CHOOSE('Calc riepilogo'!$B$2,'Calc valanga'!BC40,'Calc palla di neve'!BC40,'Calc personalizzata'!BC40))</f>
        <v>0</v>
      </c>
      <c r="AD17" s="70">
        <f>IF($A17="","",ROUND(N(AE16)*(1+'Calc base'!R40),2)-AE17)</f>
        <v>0</v>
      </c>
      <c r="AE17" s="75">
        <f>IF($A17="","",CHOOSE('Calc riepilogo'!$B$2,'Calc valanga'!BD40,'Calc palla di neve'!BD40,'Calc personalizzata'!BD40))</f>
        <v>0</v>
      </c>
      <c r="AF17" s="70">
        <f>IF($A17="","",ROUND(N(AG16)*(1+'Calc base'!S40),2)-AG17)</f>
        <v>0</v>
      </c>
      <c r="AG17" s="75">
        <f>IF($A17="","",CHOOSE('Calc riepilogo'!$B$2,'Calc valanga'!BE40,'Calc palla di neve'!BE40,'Calc personalizzata'!BE40))</f>
        <v>0</v>
      </c>
      <c r="AI17" t="n">
        <v>10</v>
      </c>
    </row>
    <row r="18">
      <c r="A18" s="68">
        <f>IF(11&gt;'Calc riepilogo'!$B$7,"",'Calc base'!$B41)</f>
        <v>46631.0</v>
      </c>
      <c r="B18" s="69">
        <f>IF($A18="","",'Calc base'!$C41)</f>
        <v>900</v>
      </c>
      <c r="C18" s="69">
        <f>IF($A18="","",'Calc base'!$E41)</f>
        <v>0</v>
      </c>
      <c r="D18" s="70">
        <f>IF($A18="","",J18+L18+N18+P18+R18+T18+V18+X18+Z18+AB18+AD18+AF18)</f>
        <v>900</v>
      </c>
      <c r="E18" s="70">
        <f>IF($A18="","",CHOOSE('Calc riepilogo'!$B$2,'Calc valanga'!$H41,'Calc palla di neve'!$H41,'Calc personalizzata'!$H41))</f>
        <v>76.3099999999995</v>
      </c>
      <c r="F18" s="71">
        <f>IF($A18="","",CHOOSE('Calc riepilogo'!$B$2,'Calc valanga'!$G41,'Calc palla di neve'!$G41,'Calc personalizzata'!$G41))</f>
        <v>12442.03</v>
      </c>
      <c r="G18" s="72" t="n"/>
      <c r="H18" s="73" t="n"/>
      <c r="I18" s="74" t="str">
        <f>IF($A18="","",TRIM(IF(AND(N(K17)&gt;0,N(K18)&lt;=0.004),"✓ "&amp;'Calc base'!C$6&amp;"   ","")&amp;IF(AND(N(M17)&gt;0,N(M18)&lt;=0.004),"✓ "&amp;'Calc base'!D$6&amp;"   ","")&amp;IF(AND(N(O17)&gt;0,N(O18)&lt;=0.004),"✓ "&amp;'Calc base'!E$6&amp;"   ","")&amp;IF(AND(N(Q17)&gt;0,N(Q18)&lt;=0.004),"✓ "&amp;'Calc base'!F$6&amp;"   ","")&amp;IF(AND(N(S17)&gt;0,N(S18)&lt;=0.004),"✓ "&amp;'Calc base'!G$6&amp;"   ","")&amp;IF(AND(N(U17)&gt;0,N(U18)&lt;=0.004),"✓ "&amp;'Calc base'!H$6&amp;"   ","")&amp;IF(AND(N(W17)&gt;0,N(W18)&lt;=0.004),"✓ "&amp;'Calc base'!I$6&amp;"   ","")&amp;IF(AND(N(Y17)&gt;0,N(Y18)&lt;=0.004),"✓ "&amp;'Calc base'!J$6&amp;"   ","")&amp;IF(AND(N(AA17)&gt;0,N(AA18)&lt;=0.004),"✓ "&amp;'Calc base'!K$6&amp;"   ","")&amp;IF(AND(N(AC17)&gt;0,N(AC18)&lt;=0.004),"✓ "&amp;'Calc base'!L$6&amp;"   ","")&amp;IF(AND(N(AE17)&gt;0,N(AE18)&lt;=0.004),"✓ "&amp;'Calc base'!M$6&amp;"   ","")&amp;IF(AND(N(AG17)&gt;0,N(AG18)&lt;=0.004),"✓ "&amp;'Calc base'!N$6&amp;"   ","")))</f>
        <v/>
      </c>
      <c r="J18" s="70">
        <f>IF($A18="","",ROUND(N(K17)*(1+'Calc base'!H41),2)-K18)</f>
        <v>0</v>
      </c>
      <c r="K18" s="75">
        <f>IF($A18="","",CHOOSE('Calc riepilogo'!$B$2,'Calc valanga'!AT41,'Calc palla di neve'!AT41,'Calc personalizzata'!AT41))</f>
        <v>0</v>
      </c>
      <c r="L18" s="70">
        <f>IF($A18="","",ROUND(N(M17)*(1+'Calc base'!I41),2)-M18)</f>
        <v>0</v>
      </c>
      <c r="M18" s="75">
        <f>IF($A18="","",CHOOSE('Calc riepilogo'!$B$2,'Calc valanga'!AU41,'Calc palla di neve'!AU41,'Calc personalizzata'!AU41))</f>
        <v>0</v>
      </c>
      <c r="N18" s="70">
        <f>IF($A18="","",ROUND(N(O17)*(1+'Calc base'!J41),2)-O18)</f>
        <v>540</v>
      </c>
      <c r="O18" s="75">
        <f>IF($A18="","",CHOOSE('Calc riepilogo'!$B$2,'Calc valanga'!AV41,'Calc palla di neve'!AV41,'Calc personalizzata'!AV41))</f>
        <v>4368.57</v>
      </c>
      <c r="P18" s="70">
        <f>IF($A18="","",ROUND(N(Q17)*(1+'Calc base'!K41),2)-Q18)</f>
        <v>265</v>
      </c>
      <c r="Q18" s="75">
        <f>IF($A18="","",CHOOSE('Calc riepilogo'!$B$2,'Calc valanga'!AW41,'Calc palla di neve'!AW41,'Calc personalizzata'!AW41))</f>
        <v>7078.46</v>
      </c>
      <c r="R18" s="70">
        <f>IF($A18="","",ROUND(N(S17)*(1+'Calc base'!L41),2)-S18)</f>
        <v>45</v>
      </c>
      <c r="S18" s="75">
        <f>IF($A18="","",CHOOSE('Calc riepilogo'!$B$2,'Calc valanga'!AX41,'Calc palla di neve'!AX41,'Calc personalizzata'!AX41))</f>
        <v>45</v>
      </c>
      <c r="T18" s="70">
        <f>IF($A18="","",ROUND(N(U17)*(1+'Calc base'!M41),2)-U18)</f>
        <v>50</v>
      </c>
      <c r="U18" s="75">
        <f>IF($A18="","",CHOOSE('Calc riepilogo'!$B$2,'Calc valanga'!AY41,'Calc palla di neve'!AY41,'Calc personalizzata'!AY41))</f>
        <v>950</v>
      </c>
      <c r="V18" s="70">
        <f>IF($A18="","",ROUND(N(W17)*(1+'Calc base'!N41),2)-W18)</f>
        <v>0</v>
      </c>
      <c r="W18" s="75">
        <f>IF($A18="","",CHOOSE('Calc riepilogo'!$B$2,'Calc valanga'!AZ41,'Calc palla di neve'!AZ41,'Calc personalizzata'!AZ41))</f>
        <v>0</v>
      </c>
      <c r="X18" s="70">
        <f>IF($A18="","",ROUND(N(Y17)*(1+'Calc base'!O41),2)-Y18)</f>
        <v>0</v>
      </c>
      <c r="Y18" s="75">
        <f>IF($A18="","",CHOOSE('Calc riepilogo'!$B$2,'Calc valanga'!BA41,'Calc palla di neve'!BA41,'Calc personalizzata'!BA41))</f>
        <v>0</v>
      </c>
      <c r="Z18" s="70">
        <f>IF($A18="","",ROUND(N(AA17)*(1+'Calc base'!P41),2)-AA18)</f>
        <v>0</v>
      </c>
      <c r="AA18" s="75">
        <f>IF($A18="","",CHOOSE('Calc riepilogo'!$B$2,'Calc valanga'!BB41,'Calc palla di neve'!BB41,'Calc personalizzata'!BB41))</f>
        <v>0</v>
      </c>
      <c r="AB18" s="70">
        <f>IF($A18="","",ROUND(N(AC17)*(1+'Calc base'!Q41),2)-AC18)</f>
        <v>0</v>
      </c>
      <c r="AC18" s="75">
        <f>IF($A18="","",CHOOSE('Calc riepilogo'!$B$2,'Calc valanga'!BC41,'Calc palla di neve'!BC41,'Calc personalizzata'!BC41))</f>
        <v>0</v>
      </c>
      <c r="AD18" s="70">
        <f>IF($A18="","",ROUND(N(AE17)*(1+'Calc base'!R41),2)-AE18)</f>
        <v>0</v>
      </c>
      <c r="AE18" s="75">
        <f>IF($A18="","",CHOOSE('Calc riepilogo'!$B$2,'Calc valanga'!BD41,'Calc palla di neve'!BD41,'Calc personalizzata'!BD41))</f>
        <v>0</v>
      </c>
      <c r="AF18" s="70">
        <f>IF($A18="","",ROUND(N(AG17)*(1+'Calc base'!S41),2)-AG18)</f>
        <v>0</v>
      </c>
      <c r="AG18" s="75">
        <f>IF($A18="","",CHOOSE('Calc riepilogo'!$B$2,'Calc valanga'!BE41,'Calc palla di neve'!BE41,'Calc personalizzata'!BE41))</f>
        <v>0</v>
      </c>
      <c r="AI18" t="n">
        <v>11</v>
      </c>
    </row>
    <row r="19">
      <c r="A19" s="68">
        <f>IF(12&gt;'Calc riepilogo'!$B$7,"",'Calc base'!$B42)</f>
        <v>46661.0</v>
      </c>
      <c r="B19" s="69">
        <f>IF($A19="","",'Calc base'!$C42)</f>
        <v>900</v>
      </c>
      <c r="C19" s="69">
        <f>IF($A19="","",'Calc base'!$E42)</f>
        <v>0</v>
      </c>
      <c r="D19" s="70">
        <f>IF($A19="","",J19+L19+N19+P19+R19+T19+V19+X19+Z19+AB19+AD19+AF19)</f>
        <v>900</v>
      </c>
      <c r="E19" s="70">
        <f>IF($A19="","",CHOOSE('Calc riepilogo'!$B$2,'Calc valanga'!$H42,'Calc palla di neve'!$H42,'Calc personalizzata'!$H42))</f>
        <v>71.2400000000016</v>
      </c>
      <c r="F19" s="71">
        <f>IF($A19="","",CHOOSE('Calc riepilogo'!$B$2,'Calc valanga'!$G42,'Calc palla di neve'!$G42,'Calc personalizzata'!$G42))</f>
        <v>11613.27</v>
      </c>
      <c r="G19" s="72" t="n"/>
      <c r="H19" s="73" t="n"/>
      <c r="I19" s="74" t="str">
        <f>IF($A19="","",TRIM(IF(AND(N(K18)&gt;0,N(K19)&lt;=0.004),"✓ "&amp;'Calc base'!C$6&amp;"   ","")&amp;IF(AND(N(M18)&gt;0,N(M19)&lt;=0.004),"✓ "&amp;'Calc base'!D$6&amp;"   ","")&amp;IF(AND(N(O18)&gt;0,N(O19)&lt;=0.004),"✓ "&amp;'Calc base'!E$6&amp;"   ","")&amp;IF(AND(N(Q18)&gt;0,N(Q19)&lt;=0.004),"✓ "&amp;'Calc base'!F$6&amp;"   ","")&amp;IF(AND(N(S18)&gt;0,N(S19)&lt;=0.004),"✓ "&amp;'Calc base'!G$6&amp;"   ","")&amp;IF(AND(N(U18)&gt;0,N(U19)&lt;=0.004),"✓ "&amp;'Calc base'!H$6&amp;"   ","")&amp;IF(AND(N(W18)&gt;0,N(W19)&lt;=0.004),"✓ "&amp;'Calc base'!I$6&amp;"   ","")&amp;IF(AND(N(Y18)&gt;0,N(Y19)&lt;=0.004),"✓ "&amp;'Calc base'!J$6&amp;"   ","")&amp;IF(AND(N(AA18)&gt;0,N(AA19)&lt;=0.004),"✓ "&amp;'Calc base'!K$6&amp;"   ","")&amp;IF(AND(N(AC18)&gt;0,N(AC19)&lt;=0.004),"✓ "&amp;'Calc base'!L$6&amp;"   ","")&amp;IF(AND(N(AE18)&gt;0,N(AE19)&lt;=0.004),"✓ "&amp;'Calc base'!M$6&amp;"   ","")&amp;IF(AND(N(AG18)&gt;0,N(AG19)&lt;=0.004),"✓ "&amp;'Calc base'!N$6&amp;"   ","")))</f>
        <v>✓ Smartphone a rate</v>
      </c>
      <c r="J19" s="70">
        <f>IF($A19="","",ROUND(N(K18)*(1+'Calc base'!H42),2)-K19)</f>
        <v>0</v>
      </c>
      <c r="K19" s="75">
        <f>IF($A19="","",CHOOSE('Calc riepilogo'!$B$2,'Calc valanga'!AT42,'Calc palla di neve'!AT42,'Calc personalizzata'!AT42))</f>
        <v>0</v>
      </c>
      <c r="L19" s="70">
        <f>IF($A19="","",ROUND(N(M18)*(1+'Calc base'!I42),2)-M19)</f>
        <v>0</v>
      </c>
      <c r="M19" s="75">
        <f>IF($A19="","",CHOOSE('Calc riepilogo'!$B$2,'Calc valanga'!AU42,'Calc palla di neve'!AU42,'Calc personalizzata'!AU42))</f>
        <v>0</v>
      </c>
      <c r="N19" s="70">
        <f>IF($A19="","",ROUND(N(O18)*(1+'Calc base'!J42),2)-O19)</f>
        <v>540</v>
      </c>
      <c r="O19" s="75">
        <f>IF($A19="","",CHOOSE('Calc riepilogo'!$B$2,'Calc valanga'!AV42,'Calc palla di neve'!AV42,'Calc personalizzata'!AV42))</f>
        <v>3862.06</v>
      </c>
      <c r="P19" s="70">
        <f>IF($A19="","",ROUND(N(Q18)*(1+'Calc base'!K42),2)-Q19)</f>
        <v>265</v>
      </c>
      <c r="Q19" s="75">
        <f>IF($A19="","",CHOOSE('Calc riepilogo'!$B$2,'Calc valanga'!AW42,'Calc palla di neve'!AW42,'Calc personalizzata'!AW42))</f>
        <v>6851.21</v>
      </c>
      <c r="R19" s="70">
        <f>IF($A19="","",ROUND(N(S18)*(1+'Calc base'!L42),2)-S19)</f>
        <v>45</v>
      </c>
      <c r="S19" s="75">
        <f>IF($A19="","",CHOOSE('Calc riepilogo'!$B$2,'Calc valanga'!AX42,'Calc palla di neve'!AX42,'Calc personalizzata'!AX42))</f>
        <v>0</v>
      </c>
      <c r="T19" s="70">
        <f>IF($A19="","",ROUND(N(U18)*(1+'Calc base'!M42),2)-U19)</f>
        <v>50</v>
      </c>
      <c r="U19" s="75">
        <f>IF($A19="","",CHOOSE('Calc riepilogo'!$B$2,'Calc valanga'!AY42,'Calc palla di neve'!AY42,'Calc personalizzata'!AY42))</f>
        <v>900</v>
      </c>
      <c r="V19" s="70">
        <f>IF($A19="","",ROUND(N(W18)*(1+'Calc base'!N42),2)-W19)</f>
        <v>0</v>
      </c>
      <c r="W19" s="75">
        <f>IF($A19="","",CHOOSE('Calc riepilogo'!$B$2,'Calc valanga'!AZ42,'Calc palla di neve'!AZ42,'Calc personalizzata'!AZ42))</f>
        <v>0</v>
      </c>
      <c r="X19" s="70">
        <f>IF($A19="","",ROUND(N(Y18)*(1+'Calc base'!O42),2)-Y19)</f>
        <v>0</v>
      </c>
      <c r="Y19" s="75">
        <f>IF($A19="","",CHOOSE('Calc riepilogo'!$B$2,'Calc valanga'!BA42,'Calc palla di neve'!BA42,'Calc personalizzata'!BA42))</f>
        <v>0</v>
      </c>
      <c r="Z19" s="70">
        <f>IF($A19="","",ROUND(N(AA18)*(1+'Calc base'!P42),2)-AA19)</f>
        <v>0</v>
      </c>
      <c r="AA19" s="75">
        <f>IF($A19="","",CHOOSE('Calc riepilogo'!$B$2,'Calc valanga'!BB42,'Calc palla di neve'!BB42,'Calc personalizzata'!BB42))</f>
        <v>0</v>
      </c>
      <c r="AB19" s="70">
        <f>IF($A19="","",ROUND(N(AC18)*(1+'Calc base'!Q42),2)-AC19)</f>
        <v>0</v>
      </c>
      <c r="AC19" s="75">
        <f>IF($A19="","",CHOOSE('Calc riepilogo'!$B$2,'Calc valanga'!BC42,'Calc palla di neve'!BC42,'Calc personalizzata'!BC42))</f>
        <v>0</v>
      </c>
      <c r="AD19" s="70">
        <f>IF($A19="","",ROUND(N(AE18)*(1+'Calc base'!R42),2)-AE19)</f>
        <v>0</v>
      </c>
      <c r="AE19" s="75">
        <f>IF($A19="","",CHOOSE('Calc riepilogo'!$B$2,'Calc valanga'!BD42,'Calc palla di neve'!BD42,'Calc personalizzata'!BD42))</f>
        <v>0</v>
      </c>
      <c r="AF19" s="70">
        <f>IF($A19="","",ROUND(N(AG18)*(1+'Calc base'!S42),2)-AG19)</f>
        <v>0</v>
      </c>
      <c r="AG19" s="75">
        <f>IF($A19="","",CHOOSE('Calc riepilogo'!$B$2,'Calc valanga'!BE42,'Calc palla di neve'!BE42,'Calc personalizzata'!BE42))</f>
        <v>0</v>
      </c>
      <c r="AI19" t="n">
        <v>12</v>
      </c>
    </row>
    <row r="20">
      <c r="A20" s="68">
        <f>IF(13&gt;'Calc riepilogo'!$B$7,"",'Calc base'!$B43)</f>
        <v>46692.0</v>
      </c>
      <c r="B20" s="69">
        <f>IF($A20="","",'Calc base'!$C43)</f>
        <v>900</v>
      </c>
      <c r="C20" s="69">
        <f>IF($A20="","",'Calc base'!$E43)</f>
        <v>0</v>
      </c>
      <c r="D20" s="70">
        <f>IF($A20="","",J20+L20+N20+P20+R20+T20+V20+X20+Z20+AB20+AD20+AF20)</f>
        <v>900</v>
      </c>
      <c r="E20" s="70">
        <f>IF($A20="","",CHOOSE('Calc riepilogo'!$B$2,'Calc valanga'!$H43,'Calc palla di neve'!$H43,'Calc personalizzata'!$H43))</f>
        <v>66.1499999999996</v>
      </c>
      <c r="F20" s="71">
        <f>IF($A20="","",CHOOSE('Calc riepilogo'!$B$2,'Calc valanga'!$G43,'Calc palla di neve'!$G43,'Calc personalizzata'!$G43))</f>
        <v>10779.42</v>
      </c>
      <c r="G20" s="72" t="n"/>
      <c r="H20" s="73" t="n"/>
      <c r="I20" s="74" t="str">
        <f>IF($A20="","",TRIM(IF(AND(N(K19)&gt;0,N(K20)&lt;=0.004),"✓ "&amp;'Calc base'!C$6&amp;"   ","")&amp;IF(AND(N(M19)&gt;0,N(M20)&lt;=0.004),"✓ "&amp;'Calc base'!D$6&amp;"   ","")&amp;IF(AND(N(O19)&gt;0,N(O20)&lt;=0.004),"✓ "&amp;'Calc base'!E$6&amp;"   ","")&amp;IF(AND(N(Q19)&gt;0,N(Q20)&lt;=0.004),"✓ "&amp;'Calc base'!F$6&amp;"   ","")&amp;IF(AND(N(S19)&gt;0,N(S20)&lt;=0.004),"✓ "&amp;'Calc base'!G$6&amp;"   ","")&amp;IF(AND(N(U19)&gt;0,N(U20)&lt;=0.004),"✓ "&amp;'Calc base'!H$6&amp;"   ","")&amp;IF(AND(N(W19)&gt;0,N(W20)&lt;=0.004),"✓ "&amp;'Calc base'!I$6&amp;"   ","")&amp;IF(AND(N(Y19)&gt;0,N(Y20)&lt;=0.004),"✓ "&amp;'Calc base'!J$6&amp;"   ","")&amp;IF(AND(N(AA19)&gt;0,N(AA20)&lt;=0.004),"✓ "&amp;'Calc base'!K$6&amp;"   ","")&amp;IF(AND(N(AC19)&gt;0,N(AC20)&lt;=0.004),"✓ "&amp;'Calc base'!L$6&amp;"   ","")&amp;IF(AND(N(AE19)&gt;0,N(AE20)&lt;=0.004),"✓ "&amp;'Calc base'!M$6&amp;"   ","")&amp;IF(AND(N(AG19)&gt;0,N(AG20)&lt;=0.004),"✓ "&amp;'Calc base'!N$6&amp;"   ","")))</f>
        <v/>
      </c>
      <c r="J20" s="70">
        <f>IF($A20="","",ROUND(N(K19)*(1+'Calc base'!H43),2)-K20)</f>
        <v>0</v>
      </c>
      <c r="K20" s="75">
        <f>IF($A20="","",CHOOSE('Calc riepilogo'!$B$2,'Calc valanga'!AT43,'Calc palla di neve'!AT43,'Calc personalizzata'!AT43))</f>
        <v>0</v>
      </c>
      <c r="L20" s="70">
        <f>IF($A20="","",ROUND(N(M19)*(1+'Calc base'!I43),2)-M20)</f>
        <v>0</v>
      </c>
      <c r="M20" s="75">
        <f>IF($A20="","",CHOOSE('Calc riepilogo'!$B$2,'Calc valanga'!AU43,'Calc palla di neve'!AU43,'Calc personalizzata'!AU43))</f>
        <v>0</v>
      </c>
      <c r="N20" s="70">
        <f>IF($A20="","",ROUND(N(O19)*(1+'Calc base'!J43),2)-O20)</f>
        <v>585</v>
      </c>
      <c r="O20" s="75">
        <f>IF($A20="","",CHOOSE('Calc riepilogo'!$B$2,'Calc valanga'!AV43,'Calc palla di neve'!AV43,'Calc personalizzata'!AV43))</f>
        <v>3306.67</v>
      </c>
      <c r="P20" s="70">
        <f>IF($A20="","",ROUND(N(Q19)*(1+'Calc base'!K43),2)-Q20)</f>
        <v>265</v>
      </c>
      <c r="Q20" s="75">
        <f>IF($A20="","",CHOOSE('Calc riepilogo'!$B$2,'Calc valanga'!AW43,'Calc palla di neve'!AW43,'Calc personalizzata'!AW43))</f>
        <v>6622.75</v>
      </c>
      <c r="R20" s="70">
        <f>IF($A20="","",ROUND(N(S19)*(1+'Calc base'!L43),2)-S20)</f>
        <v>0</v>
      </c>
      <c r="S20" s="75">
        <f>IF($A20="","",CHOOSE('Calc riepilogo'!$B$2,'Calc valanga'!AX43,'Calc palla di neve'!AX43,'Calc personalizzata'!AX43))</f>
        <v>0</v>
      </c>
      <c r="T20" s="70">
        <f>IF($A20="","",ROUND(N(U19)*(1+'Calc base'!M43),2)-U20)</f>
        <v>50</v>
      </c>
      <c r="U20" s="75">
        <f>IF($A20="","",CHOOSE('Calc riepilogo'!$B$2,'Calc valanga'!AY43,'Calc palla di neve'!AY43,'Calc personalizzata'!AY43))</f>
        <v>850</v>
      </c>
      <c r="V20" s="70">
        <f>IF($A20="","",ROUND(N(W19)*(1+'Calc base'!N43),2)-W20)</f>
        <v>0</v>
      </c>
      <c r="W20" s="75">
        <f>IF($A20="","",CHOOSE('Calc riepilogo'!$B$2,'Calc valanga'!AZ43,'Calc palla di neve'!AZ43,'Calc personalizzata'!AZ43))</f>
        <v>0</v>
      </c>
      <c r="X20" s="70">
        <f>IF($A20="","",ROUND(N(Y19)*(1+'Calc base'!O43),2)-Y20)</f>
        <v>0</v>
      </c>
      <c r="Y20" s="75">
        <f>IF($A20="","",CHOOSE('Calc riepilogo'!$B$2,'Calc valanga'!BA43,'Calc palla di neve'!BA43,'Calc personalizzata'!BA43))</f>
        <v>0</v>
      </c>
      <c r="Z20" s="70">
        <f>IF($A20="","",ROUND(N(AA19)*(1+'Calc base'!P43),2)-AA20)</f>
        <v>0</v>
      </c>
      <c r="AA20" s="75">
        <f>IF($A20="","",CHOOSE('Calc riepilogo'!$B$2,'Calc valanga'!BB43,'Calc palla di neve'!BB43,'Calc personalizzata'!BB43))</f>
        <v>0</v>
      </c>
      <c r="AB20" s="70">
        <f>IF($A20="","",ROUND(N(AC19)*(1+'Calc base'!Q43),2)-AC20)</f>
        <v>0</v>
      </c>
      <c r="AC20" s="75">
        <f>IF($A20="","",CHOOSE('Calc riepilogo'!$B$2,'Calc valanga'!BC43,'Calc palla di neve'!BC43,'Calc personalizzata'!BC43))</f>
        <v>0</v>
      </c>
      <c r="AD20" s="70">
        <f>IF($A20="","",ROUND(N(AE19)*(1+'Calc base'!R43),2)-AE20)</f>
        <v>0</v>
      </c>
      <c r="AE20" s="75">
        <f>IF($A20="","",CHOOSE('Calc riepilogo'!$B$2,'Calc valanga'!BD43,'Calc palla di neve'!BD43,'Calc personalizzata'!BD43))</f>
        <v>0</v>
      </c>
      <c r="AF20" s="70">
        <f>IF($A20="","",ROUND(N(AG19)*(1+'Calc base'!S43),2)-AG20)</f>
        <v>0</v>
      </c>
      <c r="AG20" s="75">
        <f>IF($A20="","",CHOOSE('Calc riepilogo'!$B$2,'Calc valanga'!BE43,'Calc palla di neve'!BE43,'Calc personalizzata'!BE43))</f>
        <v>0</v>
      </c>
      <c r="AI20" t="n">
        <v>13</v>
      </c>
    </row>
    <row r="21">
      <c r="A21" s="68">
        <f>IF(14&gt;'Calc riepilogo'!$B$7,"",'Calc base'!$B44)</f>
        <v>46722.0</v>
      </c>
      <c r="B21" s="69">
        <f>IF($A21="","",'Calc base'!$C44)</f>
        <v>900</v>
      </c>
      <c r="C21" s="69">
        <f>IF($A21="","",'Calc base'!$E44)</f>
        <v>600</v>
      </c>
      <c r="D21" s="70">
        <f>IF($A21="","",J21+L21+N21+P21+R21+T21+V21+X21+Z21+AB21+AD21+AF21)</f>
        <v>1500</v>
      </c>
      <c r="E21" s="70">
        <f>IF($A21="","",CHOOSE('Calc riepilogo'!$B$2,'Calc valanga'!$H44,'Calc palla di neve'!$H44,'Calc personalizzata'!$H44))</f>
        <v>60.6700000000001</v>
      </c>
      <c r="F21" s="71">
        <f>IF($A21="","",CHOOSE('Calc riepilogo'!$B$2,'Calc valanga'!$G44,'Calc palla di neve'!$G44,'Calc personalizzata'!$G44))</f>
        <v>9340.09</v>
      </c>
      <c r="G21" s="72" t="n"/>
      <c r="H21" s="73" t="n"/>
      <c r="I21" s="74" t="str">
        <f>IF($A21="","",TRIM(IF(AND(N(K20)&gt;0,N(K21)&lt;=0.004),"✓ "&amp;'Calc base'!C$6&amp;"   ","")&amp;IF(AND(N(M20)&gt;0,N(M21)&lt;=0.004),"✓ "&amp;'Calc base'!D$6&amp;"   ","")&amp;IF(AND(N(O20)&gt;0,N(O21)&lt;=0.004),"✓ "&amp;'Calc base'!E$6&amp;"   ","")&amp;IF(AND(N(Q20)&gt;0,N(Q21)&lt;=0.004),"✓ "&amp;'Calc base'!F$6&amp;"   ","")&amp;IF(AND(N(S20)&gt;0,N(S21)&lt;=0.004),"✓ "&amp;'Calc base'!G$6&amp;"   ","")&amp;IF(AND(N(U20)&gt;0,N(U21)&lt;=0.004),"✓ "&amp;'Calc base'!H$6&amp;"   ","")&amp;IF(AND(N(W20)&gt;0,N(W21)&lt;=0.004),"✓ "&amp;'Calc base'!I$6&amp;"   ","")&amp;IF(AND(N(Y20)&gt;0,N(Y21)&lt;=0.004),"✓ "&amp;'Calc base'!J$6&amp;"   ","")&amp;IF(AND(N(AA20)&gt;0,N(AA21)&lt;=0.004),"✓ "&amp;'Calc base'!K$6&amp;"   ","")&amp;IF(AND(N(AC20)&gt;0,N(AC21)&lt;=0.004),"✓ "&amp;'Calc base'!L$6&amp;"   ","")&amp;IF(AND(N(AE20)&gt;0,N(AE21)&lt;=0.004),"✓ "&amp;'Calc base'!M$6&amp;"   ","")&amp;IF(AND(N(AG20)&gt;0,N(AG21)&lt;=0.004),"✓ "&amp;'Calc base'!N$6&amp;"   ","")))</f>
        <v/>
      </c>
      <c r="J21" s="70">
        <f>IF($A21="","",ROUND(N(K20)*(1+'Calc base'!H44),2)-K21)</f>
        <v>0</v>
      </c>
      <c r="K21" s="75">
        <f>IF($A21="","",CHOOSE('Calc riepilogo'!$B$2,'Calc valanga'!AT44,'Calc palla di neve'!AT44,'Calc personalizzata'!AT44))</f>
        <v>0</v>
      </c>
      <c r="L21" s="70">
        <f>IF($A21="","",ROUND(N(M20)*(1+'Calc base'!I44),2)-M21)</f>
        <v>0</v>
      </c>
      <c r="M21" s="75">
        <f>IF($A21="","",CHOOSE('Calc riepilogo'!$B$2,'Calc valanga'!AU44,'Calc palla di neve'!AU44,'Calc personalizzata'!AU44))</f>
        <v>0</v>
      </c>
      <c r="N21" s="70">
        <f>IF($A21="","",ROUND(N(O20)*(1+'Calc base'!J44),2)-O21)</f>
        <v>1185</v>
      </c>
      <c r="O21" s="75">
        <f>IF($A21="","",CHOOSE('Calc riepilogo'!$B$2,'Calc valanga'!AV44,'Calc palla di neve'!AV44,'Calc personalizzata'!AV44))</f>
        <v>2147.02</v>
      </c>
      <c r="P21" s="70">
        <f>IF($A21="","",ROUND(N(Q20)*(1+'Calc base'!K44),2)-Q21)</f>
        <v>265</v>
      </c>
      <c r="Q21" s="75">
        <f>IF($A21="","",CHOOSE('Calc riepilogo'!$B$2,'Calc valanga'!AW44,'Calc palla di neve'!AW44,'Calc personalizzata'!AW44))</f>
        <v>6393.07</v>
      </c>
      <c r="R21" s="70">
        <f>IF($A21="","",ROUND(N(S20)*(1+'Calc base'!L44),2)-S21)</f>
        <v>0</v>
      </c>
      <c r="S21" s="75">
        <f>IF($A21="","",CHOOSE('Calc riepilogo'!$B$2,'Calc valanga'!AX44,'Calc palla di neve'!AX44,'Calc personalizzata'!AX44))</f>
        <v>0</v>
      </c>
      <c r="T21" s="70">
        <f>IF($A21="","",ROUND(N(U20)*(1+'Calc base'!M44),2)-U21)</f>
        <v>50</v>
      </c>
      <c r="U21" s="75">
        <f>IF($A21="","",CHOOSE('Calc riepilogo'!$B$2,'Calc valanga'!AY44,'Calc palla di neve'!AY44,'Calc personalizzata'!AY44))</f>
        <v>800</v>
      </c>
      <c r="V21" s="70">
        <f>IF($A21="","",ROUND(N(W20)*(1+'Calc base'!N44),2)-W21)</f>
        <v>0</v>
      </c>
      <c r="W21" s="75">
        <f>IF($A21="","",CHOOSE('Calc riepilogo'!$B$2,'Calc valanga'!AZ44,'Calc palla di neve'!AZ44,'Calc personalizzata'!AZ44))</f>
        <v>0</v>
      </c>
      <c r="X21" s="70">
        <f>IF($A21="","",ROUND(N(Y20)*(1+'Calc base'!O44),2)-Y21)</f>
        <v>0</v>
      </c>
      <c r="Y21" s="75">
        <f>IF($A21="","",CHOOSE('Calc riepilogo'!$B$2,'Calc valanga'!BA44,'Calc palla di neve'!BA44,'Calc personalizzata'!BA44))</f>
        <v>0</v>
      </c>
      <c r="Z21" s="70">
        <f>IF($A21="","",ROUND(N(AA20)*(1+'Calc base'!P44),2)-AA21)</f>
        <v>0</v>
      </c>
      <c r="AA21" s="75">
        <f>IF($A21="","",CHOOSE('Calc riepilogo'!$B$2,'Calc valanga'!BB44,'Calc palla di neve'!BB44,'Calc personalizzata'!BB44))</f>
        <v>0</v>
      </c>
      <c r="AB21" s="70">
        <f>IF($A21="","",ROUND(N(AC20)*(1+'Calc base'!Q44),2)-AC21)</f>
        <v>0</v>
      </c>
      <c r="AC21" s="75">
        <f>IF($A21="","",CHOOSE('Calc riepilogo'!$B$2,'Calc valanga'!BC44,'Calc palla di neve'!BC44,'Calc personalizzata'!BC44))</f>
        <v>0</v>
      </c>
      <c r="AD21" s="70">
        <f>IF($A21="","",ROUND(N(AE20)*(1+'Calc base'!R44),2)-AE21)</f>
        <v>0</v>
      </c>
      <c r="AE21" s="75">
        <f>IF($A21="","",CHOOSE('Calc riepilogo'!$B$2,'Calc valanga'!BD44,'Calc palla di neve'!BD44,'Calc personalizzata'!BD44))</f>
        <v>0</v>
      </c>
      <c r="AF21" s="70">
        <f>IF($A21="","",ROUND(N(AG20)*(1+'Calc base'!S44),2)-AG21)</f>
        <v>0</v>
      </c>
      <c r="AG21" s="75">
        <f>IF($A21="","",CHOOSE('Calc riepilogo'!$B$2,'Calc valanga'!BE44,'Calc palla di neve'!BE44,'Calc personalizzata'!BE44))</f>
        <v>0</v>
      </c>
      <c r="AI21" t="n">
        <v>14</v>
      </c>
    </row>
    <row r="22">
      <c r="A22" s="68">
        <f>IF(15&gt;'Calc riepilogo'!$B$7,"",'Calc base'!$B45)</f>
        <v>46753.0</v>
      </c>
      <c r="B22" s="69">
        <f>IF($A22="","",'Calc base'!$C45)</f>
        <v>900</v>
      </c>
      <c r="C22" s="69">
        <f>IF($A22="","",'Calc base'!$E45)</f>
        <v>0</v>
      </c>
      <c r="D22" s="70">
        <f>IF($A22="","",J22+L22+N22+P22+R22+T22+V22+X22+Z22+AB22+AD22+AF22)</f>
        <v>900</v>
      </c>
      <c r="E22" s="70">
        <f>IF($A22="","",CHOOSE('Calc riepilogo'!$B$2,'Calc valanga'!$H45,'Calc palla di neve'!$H45,'Calc personalizzata'!$H45))</f>
        <v>50.5599999999995</v>
      </c>
      <c r="F22" s="71">
        <f>IF($A22="","",CHOOSE('Calc riepilogo'!$B$2,'Calc valanga'!$G45,'Calc palla di neve'!$G45,'Calc personalizzata'!$G45))</f>
        <v>8490.65</v>
      </c>
      <c r="G22" s="72" t="n"/>
      <c r="H22" s="73" t="n"/>
      <c r="I22" s="74" t="str">
        <f>IF($A22="","",TRIM(IF(AND(N(K21)&gt;0,N(K22)&lt;=0.004),"✓ "&amp;'Calc base'!C$6&amp;"   ","")&amp;IF(AND(N(M21)&gt;0,N(M22)&lt;=0.004),"✓ "&amp;'Calc base'!D$6&amp;"   ","")&amp;IF(AND(N(O21)&gt;0,N(O22)&lt;=0.004),"✓ "&amp;'Calc base'!E$6&amp;"   ","")&amp;IF(AND(N(Q21)&gt;0,N(Q22)&lt;=0.004),"✓ "&amp;'Calc base'!F$6&amp;"   ","")&amp;IF(AND(N(S21)&gt;0,N(S22)&lt;=0.004),"✓ "&amp;'Calc base'!G$6&amp;"   ","")&amp;IF(AND(N(U21)&gt;0,N(U22)&lt;=0.004),"✓ "&amp;'Calc base'!H$6&amp;"   ","")&amp;IF(AND(N(W21)&gt;0,N(W22)&lt;=0.004),"✓ "&amp;'Calc base'!I$6&amp;"   ","")&amp;IF(AND(N(Y21)&gt;0,N(Y22)&lt;=0.004),"✓ "&amp;'Calc base'!J$6&amp;"   ","")&amp;IF(AND(N(AA21)&gt;0,N(AA22)&lt;=0.004),"✓ "&amp;'Calc base'!K$6&amp;"   ","")&amp;IF(AND(N(AC21)&gt;0,N(AC22)&lt;=0.004),"✓ "&amp;'Calc base'!L$6&amp;"   ","")&amp;IF(AND(N(AE21)&gt;0,N(AE22)&lt;=0.004),"✓ "&amp;'Calc base'!M$6&amp;"   ","")&amp;IF(AND(N(AG21)&gt;0,N(AG22)&lt;=0.004),"✓ "&amp;'Calc base'!N$6&amp;"   ","")))</f>
        <v/>
      </c>
      <c r="J22" s="70">
        <f>IF($A22="","",ROUND(N(K21)*(1+'Calc base'!H45),2)-K22)</f>
        <v>0</v>
      </c>
      <c r="K22" s="75">
        <f>IF($A22="","",CHOOSE('Calc riepilogo'!$B$2,'Calc valanga'!AT45,'Calc palla di neve'!AT45,'Calc personalizzata'!AT45))</f>
        <v>0</v>
      </c>
      <c r="L22" s="70">
        <f>IF($A22="","",ROUND(N(M21)*(1+'Calc base'!I45),2)-M22)</f>
        <v>0</v>
      </c>
      <c r="M22" s="75">
        <f>IF($A22="","",CHOOSE('Calc riepilogo'!$B$2,'Calc valanga'!AU45,'Calc palla di neve'!AU45,'Calc personalizzata'!AU45))</f>
        <v>0</v>
      </c>
      <c r="N22" s="70">
        <f>IF($A22="","",ROUND(N(O21)*(1+'Calc base'!J45),2)-O22)</f>
        <v>585</v>
      </c>
      <c r="O22" s="75">
        <f>IF($A22="","",CHOOSE('Calc riepilogo'!$B$2,'Calc valanga'!AV45,'Calc palla di neve'!AV45,'Calc personalizzata'!AV45))</f>
        <v>1578.48</v>
      </c>
      <c r="P22" s="70">
        <f>IF($A22="","",ROUND(N(Q21)*(1+'Calc base'!K45),2)-Q22)</f>
        <v>265</v>
      </c>
      <c r="Q22" s="75">
        <f>IF($A22="","",CHOOSE('Calc riepilogo'!$B$2,'Calc valanga'!AW45,'Calc palla di neve'!AW45,'Calc personalizzata'!AW45))</f>
        <v>6162.17</v>
      </c>
      <c r="R22" s="70">
        <f>IF($A22="","",ROUND(N(S21)*(1+'Calc base'!L45),2)-S22)</f>
        <v>0</v>
      </c>
      <c r="S22" s="75">
        <f>IF($A22="","",CHOOSE('Calc riepilogo'!$B$2,'Calc valanga'!AX45,'Calc palla di neve'!AX45,'Calc personalizzata'!AX45))</f>
        <v>0</v>
      </c>
      <c r="T22" s="70">
        <f>IF($A22="","",ROUND(N(U21)*(1+'Calc base'!M45),2)-U22)</f>
        <v>50</v>
      </c>
      <c r="U22" s="75">
        <f>IF($A22="","",CHOOSE('Calc riepilogo'!$B$2,'Calc valanga'!AY45,'Calc palla di neve'!AY45,'Calc personalizzata'!AY45))</f>
        <v>750</v>
      </c>
      <c r="V22" s="70">
        <f>IF($A22="","",ROUND(N(W21)*(1+'Calc base'!N45),2)-W22)</f>
        <v>0</v>
      </c>
      <c r="W22" s="75">
        <f>IF($A22="","",CHOOSE('Calc riepilogo'!$B$2,'Calc valanga'!AZ45,'Calc palla di neve'!AZ45,'Calc personalizzata'!AZ45))</f>
        <v>0</v>
      </c>
      <c r="X22" s="70">
        <f>IF($A22="","",ROUND(N(Y21)*(1+'Calc base'!O45),2)-Y22)</f>
        <v>0</v>
      </c>
      <c r="Y22" s="75">
        <f>IF($A22="","",CHOOSE('Calc riepilogo'!$B$2,'Calc valanga'!BA45,'Calc palla di neve'!BA45,'Calc personalizzata'!BA45))</f>
        <v>0</v>
      </c>
      <c r="Z22" s="70">
        <f>IF($A22="","",ROUND(N(AA21)*(1+'Calc base'!P45),2)-AA22)</f>
        <v>0</v>
      </c>
      <c r="AA22" s="75">
        <f>IF($A22="","",CHOOSE('Calc riepilogo'!$B$2,'Calc valanga'!BB45,'Calc palla di neve'!BB45,'Calc personalizzata'!BB45))</f>
        <v>0</v>
      </c>
      <c r="AB22" s="70">
        <f>IF($A22="","",ROUND(N(AC21)*(1+'Calc base'!Q45),2)-AC22)</f>
        <v>0</v>
      </c>
      <c r="AC22" s="75">
        <f>IF($A22="","",CHOOSE('Calc riepilogo'!$B$2,'Calc valanga'!BC45,'Calc palla di neve'!BC45,'Calc personalizzata'!BC45))</f>
        <v>0</v>
      </c>
      <c r="AD22" s="70">
        <f>IF($A22="","",ROUND(N(AE21)*(1+'Calc base'!R45),2)-AE22)</f>
        <v>0</v>
      </c>
      <c r="AE22" s="75">
        <f>IF($A22="","",CHOOSE('Calc riepilogo'!$B$2,'Calc valanga'!BD45,'Calc palla di neve'!BD45,'Calc personalizzata'!BD45))</f>
        <v>0</v>
      </c>
      <c r="AF22" s="70">
        <f>IF($A22="","",ROUND(N(AG21)*(1+'Calc base'!S45),2)-AG22)</f>
        <v>0</v>
      </c>
      <c r="AG22" s="75">
        <f>IF($A22="","",CHOOSE('Calc riepilogo'!$B$2,'Calc valanga'!BE45,'Calc palla di neve'!BE45,'Calc personalizzata'!BE45))</f>
        <v>0</v>
      </c>
      <c r="AI22" t="n">
        <v>15</v>
      </c>
    </row>
    <row r="23">
      <c r="A23" s="68">
        <f>IF(16&gt;'Calc riepilogo'!$B$7,"",'Calc base'!$B46)</f>
        <v>46784.0</v>
      </c>
      <c r="B23" s="69">
        <f>IF($A23="","",'Calc base'!$C46)</f>
        <v>900</v>
      </c>
      <c r="C23" s="69">
        <f>IF($A23="","",'Calc base'!$E46)</f>
        <v>0</v>
      </c>
      <c r="D23" s="70">
        <f>IF($A23="","",J23+L23+N23+P23+R23+T23+V23+X23+Z23+AB23+AD23+AF23)</f>
        <v>900</v>
      </c>
      <c r="E23" s="70">
        <f>IF($A23="","",CHOOSE('Calc riepilogo'!$B$2,'Calc valanga'!$H46,'Calc palla di neve'!$H46,'Calc personalizzata'!$H46))</f>
        <v>44.9600000000009</v>
      </c>
      <c r="F23" s="71">
        <f>IF($A23="","",CHOOSE('Calc riepilogo'!$B$2,'Calc valanga'!$G46,'Calc palla di neve'!$G46,'Calc personalizzata'!$G46))</f>
        <v>7635.61</v>
      </c>
      <c r="G23" s="72" t="n"/>
      <c r="H23" s="73" t="n"/>
      <c r="I23" s="74" t="str">
        <f>IF($A23="","",TRIM(IF(AND(N(K22)&gt;0,N(K23)&lt;=0.004),"✓ "&amp;'Calc base'!C$6&amp;"   ","")&amp;IF(AND(N(M22)&gt;0,N(M23)&lt;=0.004),"✓ "&amp;'Calc base'!D$6&amp;"   ","")&amp;IF(AND(N(O22)&gt;0,N(O23)&lt;=0.004),"✓ "&amp;'Calc base'!E$6&amp;"   ","")&amp;IF(AND(N(Q22)&gt;0,N(Q23)&lt;=0.004),"✓ "&amp;'Calc base'!F$6&amp;"   ","")&amp;IF(AND(N(S22)&gt;0,N(S23)&lt;=0.004),"✓ "&amp;'Calc base'!G$6&amp;"   ","")&amp;IF(AND(N(U22)&gt;0,N(U23)&lt;=0.004),"✓ "&amp;'Calc base'!H$6&amp;"   ","")&amp;IF(AND(N(W22)&gt;0,N(W23)&lt;=0.004),"✓ "&amp;'Calc base'!I$6&amp;"   ","")&amp;IF(AND(N(Y22)&gt;0,N(Y23)&lt;=0.004),"✓ "&amp;'Calc base'!J$6&amp;"   ","")&amp;IF(AND(N(AA22)&gt;0,N(AA23)&lt;=0.004),"✓ "&amp;'Calc base'!K$6&amp;"   ","")&amp;IF(AND(N(AC22)&gt;0,N(AC23)&lt;=0.004),"✓ "&amp;'Calc base'!L$6&amp;"   ","")&amp;IF(AND(N(AE22)&gt;0,N(AE23)&lt;=0.004),"✓ "&amp;'Calc base'!M$6&amp;"   ","")&amp;IF(AND(N(AG22)&gt;0,N(AG23)&lt;=0.004),"✓ "&amp;'Calc base'!N$6&amp;"   ","")))</f>
        <v/>
      </c>
      <c r="J23" s="70">
        <f>IF($A23="","",ROUND(N(K22)*(1+'Calc base'!H46),2)-K23)</f>
        <v>0</v>
      </c>
      <c r="K23" s="75">
        <f>IF($A23="","",CHOOSE('Calc riepilogo'!$B$2,'Calc valanga'!AT46,'Calc palla di neve'!AT46,'Calc personalizzata'!AT46))</f>
        <v>0</v>
      </c>
      <c r="L23" s="70">
        <f>IF($A23="","",ROUND(N(M22)*(1+'Calc base'!I46),2)-M23)</f>
        <v>0</v>
      </c>
      <c r="M23" s="75">
        <f>IF($A23="","",CHOOSE('Calc riepilogo'!$B$2,'Calc valanga'!AU46,'Calc palla di neve'!AU46,'Calc personalizzata'!AU46))</f>
        <v>0</v>
      </c>
      <c r="N23" s="70">
        <f>IF($A23="","",ROUND(N(O22)*(1+'Calc base'!J46),2)-O23)</f>
        <v>585</v>
      </c>
      <c r="O23" s="75">
        <f>IF($A23="","",CHOOSE('Calc riepilogo'!$B$2,'Calc valanga'!AV46,'Calc palla di neve'!AV46,'Calc personalizzata'!AV46))</f>
        <v>1005.58</v>
      </c>
      <c r="P23" s="70">
        <f>IF($A23="","",ROUND(N(Q22)*(1+'Calc base'!K46),2)-Q23)</f>
        <v>265</v>
      </c>
      <c r="Q23" s="75">
        <f>IF($A23="","",CHOOSE('Calc riepilogo'!$B$2,'Calc valanga'!AW46,'Calc palla di neve'!AW46,'Calc personalizzata'!AW46))</f>
        <v>5930.03</v>
      </c>
      <c r="R23" s="70">
        <f>IF($A23="","",ROUND(N(S22)*(1+'Calc base'!L46),2)-S23)</f>
        <v>0</v>
      </c>
      <c r="S23" s="75">
        <f>IF($A23="","",CHOOSE('Calc riepilogo'!$B$2,'Calc valanga'!AX46,'Calc palla di neve'!AX46,'Calc personalizzata'!AX46))</f>
        <v>0</v>
      </c>
      <c r="T23" s="70">
        <f>IF($A23="","",ROUND(N(U22)*(1+'Calc base'!M46),2)-U23)</f>
        <v>50</v>
      </c>
      <c r="U23" s="75">
        <f>IF($A23="","",CHOOSE('Calc riepilogo'!$B$2,'Calc valanga'!AY46,'Calc palla di neve'!AY46,'Calc personalizzata'!AY46))</f>
        <v>700</v>
      </c>
      <c r="V23" s="70">
        <f>IF($A23="","",ROUND(N(W22)*(1+'Calc base'!N46),2)-W23)</f>
        <v>0</v>
      </c>
      <c r="W23" s="75">
        <f>IF($A23="","",CHOOSE('Calc riepilogo'!$B$2,'Calc valanga'!AZ46,'Calc palla di neve'!AZ46,'Calc personalizzata'!AZ46))</f>
        <v>0</v>
      </c>
      <c r="X23" s="70">
        <f>IF($A23="","",ROUND(N(Y22)*(1+'Calc base'!O46),2)-Y23)</f>
        <v>0</v>
      </c>
      <c r="Y23" s="75">
        <f>IF($A23="","",CHOOSE('Calc riepilogo'!$B$2,'Calc valanga'!BA46,'Calc palla di neve'!BA46,'Calc personalizzata'!BA46))</f>
        <v>0</v>
      </c>
      <c r="Z23" s="70">
        <f>IF($A23="","",ROUND(N(AA22)*(1+'Calc base'!P46),2)-AA23)</f>
        <v>0</v>
      </c>
      <c r="AA23" s="75">
        <f>IF($A23="","",CHOOSE('Calc riepilogo'!$B$2,'Calc valanga'!BB46,'Calc palla di neve'!BB46,'Calc personalizzata'!BB46))</f>
        <v>0</v>
      </c>
      <c r="AB23" s="70">
        <f>IF($A23="","",ROUND(N(AC22)*(1+'Calc base'!Q46),2)-AC23)</f>
        <v>0</v>
      </c>
      <c r="AC23" s="75">
        <f>IF($A23="","",CHOOSE('Calc riepilogo'!$B$2,'Calc valanga'!BC46,'Calc palla di neve'!BC46,'Calc personalizzata'!BC46))</f>
        <v>0</v>
      </c>
      <c r="AD23" s="70">
        <f>IF($A23="","",ROUND(N(AE22)*(1+'Calc base'!R46),2)-AE23)</f>
        <v>0</v>
      </c>
      <c r="AE23" s="75">
        <f>IF($A23="","",CHOOSE('Calc riepilogo'!$B$2,'Calc valanga'!BD46,'Calc palla di neve'!BD46,'Calc personalizzata'!BD46))</f>
        <v>0</v>
      </c>
      <c r="AF23" s="70">
        <f>IF($A23="","",ROUND(N(AG22)*(1+'Calc base'!S46),2)-AG23)</f>
        <v>0</v>
      </c>
      <c r="AG23" s="75">
        <f>IF($A23="","",CHOOSE('Calc riepilogo'!$B$2,'Calc valanga'!BE46,'Calc palla di neve'!BE46,'Calc personalizzata'!BE46))</f>
        <v>0</v>
      </c>
      <c r="AI23" t="n">
        <v>16</v>
      </c>
    </row>
    <row r="24">
      <c r="A24" s="68">
        <f>IF(17&gt;'Calc riepilogo'!$B$7,"",'Calc base'!$B47)</f>
        <v>46813.0</v>
      </c>
      <c r="B24" s="69">
        <f>IF($A24="","",'Calc base'!$C47)</f>
        <v>900</v>
      </c>
      <c r="C24" s="69">
        <f>IF($A24="","",'Calc base'!$E47)</f>
        <v>0</v>
      </c>
      <c r="D24" s="70">
        <f>IF($A24="","",J24+L24+N24+P24+R24+T24+V24+X24+Z24+AB24+AD24+AF24)</f>
        <v>900</v>
      </c>
      <c r="E24" s="70">
        <f>IF($A24="","",CHOOSE('Calc riepilogo'!$B$2,'Calc valanga'!$H47,'Calc palla di neve'!$H47,'Calc personalizzata'!$H47))</f>
        <v>39.3400000000001</v>
      </c>
      <c r="F24" s="71">
        <f>IF($A24="","",CHOOSE('Calc riepilogo'!$B$2,'Calc valanga'!$G47,'Calc palla di neve'!$G47,'Calc personalizzata'!$G47))</f>
        <v>6774.95</v>
      </c>
      <c r="G24" s="72" t="n"/>
      <c r="H24" s="73" t="n"/>
      <c r="I24" s="74" t="str">
        <f>IF($A24="","",TRIM(IF(AND(N(K23)&gt;0,N(K24)&lt;=0.004),"✓ "&amp;'Calc base'!C$6&amp;"   ","")&amp;IF(AND(N(M23)&gt;0,N(M24)&lt;=0.004),"✓ "&amp;'Calc base'!D$6&amp;"   ","")&amp;IF(AND(N(O23)&gt;0,N(O24)&lt;=0.004),"✓ "&amp;'Calc base'!E$6&amp;"   ","")&amp;IF(AND(N(Q23)&gt;0,N(Q24)&lt;=0.004),"✓ "&amp;'Calc base'!F$6&amp;"   ","")&amp;IF(AND(N(S23)&gt;0,N(S24)&lt;=0.004),"✓ "&amp;'Calc base'!G$6&amp;"   ","")&amp;IF(AND(N(U23)&gt;0,N(U24)&lt;=0.004),"✓ "&amp;'Calc base'!H$6&amp;"   ","")&amp;IF(AND(N(W23)&gt;0,N(W24)&lt;=0.004),"✓ "&amp;'Calc base'!I$6&amp;"   ","")&amp;IF(AND(N(Y23)&gt;0,N(Y24)&lt;=0.004),"✓ "&amp;'Calc base'!J$6&amp;"   ","")&amp;IF(AND(N(AA23)&gt;0,N(AA24)&lt;=0.004),"✓ "&amp;'Calc base'!K$6&amp;"   ","")&amp;IF(AND(N(AC23)&gt;0,N(AC24)&lt;=0.004),"✓ "&amp;'Calc base'!L$6&amp;"   ","")&amp;IF(AND(N(AE23)&gt;0,N(AE24)&lt;=0.004),"✓ "&amp;'Calc base'!M$6&amp;"   ","")&amp;IF(AND(N(AG23)&gt;0,N(AG24)&lt;=0.004),"✓ "&amp;'Calc base'!N$6&amp;"   ","")))</f>
        <v/>
      </c>
      <c r="J24" s="70">
        <f>IF($A24="","",ROUND(N(K23)*(1+'Calc base'!H47),2)-K24)</f>
        <v>0</v>
      </c>
      <c r="K24" s="75">
        <f>IF($A24="","",CHOOSE('Calc riepilogo'!$B$2,'Calc valanga'!AT47,'Calc palla di neve'!AT47,'Calc personalizzata'!AT47))</f>
        <v>0</v>
      </c>
      <c r="L24" s="70">
        <f>IF($A24="","",ROUND(N(M23)*(1+'Calc base'!I47),2)-M24)</f>
        <v>0</v>
      </c>
      <c r="M24" s="75">
        <f>IF($A24="","",CHOOSE('Calc riepilogo'!$B$2,'Calc valanga'!AU47,'Calc palla di neve'!AU47,'Calc personalizzata'!AU47))</f>
        <v>0</v>
      </c>
      <c r="N24" s="70">
        <f>IF($A24="","",ROUND(N(O23)*(1+'Calc base'!J47),2)-O24)</f>
        <v>585</v>
      </c>
      <c r="O24" s="75">
        <f>IF($A24="","",CHOOSE('Calc riepilogo'!$B$2,'Calc valanga'!AV47,'Calc palla di neve'!AV47,'Calc personalizzata'!AV47))</f>
        <v>428.29</v>
      </c>
      <c r="P24" s="70">
        <f>IF($A24="","",ROUND(N(Q23)*(1+'Calc base'!K47),2)-Q24)</f>
        <v>265</v>
      </c>
      <c r="Q24" s="75">
        <f>IF($A24="","",CHOOSE('Calc riepilogo'!$B$2,'Calc valanga'!AW47,'Calc palla di neve'!AW47,'Calc personalizzata'!AW47))</f>
        <v>5696.66</v>
      </c>
      <c r="R24" s="70">
        <f>IF($A24="","",ROUND(N(S23)*(1+'Calc base'!L47),2)-S24)</f>
        <v>0</v>
      </c>
      <c r="S24" s="75">
        <f>IF($A24="","",CHOOSE('Calc riepilogo'!$B$2,'Calc valanga'!AX47,'Calc palla di neve'!AX47,'Calc personalizzata'!AX47))</f>
        <v>0</v>
      </c>
      <c r="T24" s="70">
        <f>IF($A24="","",ROUND(N(U23)*(1+'Calc base'!M47),2)-U24)</f>
        <v>50</v>
      </c>
      <c r="U24" s="75">
        <f>IF($A24="","",CHOOSE('Calc riepilogo'!$B$2,'Calc valanga'!AY47,'Calc palla di neve'!AY47,'Calc personalizzata'!AY47))</f>
        <v>650</v>
      </c>
      <c r="V24" s="70">
        <f>IF($A24="","",ROUND(N(W23)*(1+'Calc base'!N47),2)-W24)</f>
        <v>0</v>
      </c>
      <c r="W24" s="75">
        <f>IF($A24="","",CHOOSE('Calc riepilogo'!$B$2,'Calc valanga'!AZ47,'Calc palla di neve'!AZ47,'Calc personalizzata'!AZ47))</f>
        <v>0</v>
      </c>
      <c r="X24" s="70">
        <f>IF($A24="","",ROUND(N(Y23)*(1+'Calc base'!O47),2)-Y24)</f>
        <v>0</v>
      </c>
      <c r="Y24" s="75">
        <f>IF($A24="","",CHOOSE('Calc riepilogo'!$B$2,'Calc valanga'!BA47,'Calc palla di neve'!BA47,'Calc personalizzata'!BA47))</f>
        <v>0</v>
      </c>
      <c r="Z24" s="70">
        <f>IF($A24="","",ROUND(N(AA23)*(1+'Calc base'!P47),2)-AA24)</f>
        <v>0</v>
      </c>
      <c r="AA24" s="75">
        <f>IF($A24="","",CHOOSE('Calc riepilogo'!$B$2,'Calc valanga'!BB47,'Calc palla di neve'!BB47,'Calc personalizzata'!BB47))</f>
        <v>0</v>
      </c>
      <c r="AB24" s="70">
        <f>IF($A24="","",ROUND(N(AC23)*(1+'Calc base'!Q47),2)-AC24)</f>
        <v>0</v>
      </c>
      <c r="AC24" s="75">
        <f>IF($A24="","",CHOOSE('Calc riepilogo'!$B$2,'Calc valanga'!BC47,'Calc palla di neve'!BC47,'Calc personalizzata'!BC47))</f>
        <v>0</v>
      </c>
      <c r="AD24" s="70">
        <f>IF($A24="","",ROUND(N(AE23)*(1+'Calc base'!R47),2)-AE24)</f>
        <v>0</v>
      </c>
      <c r="AE24" s="75">
        <f>IF($A24="","",CHOOSE('Calc riepilogo'!$B$2,'Calc valanga'!BD47,'Calc palla di neve'!BD47,'Calc personalizzata'!BD47))</f>
        <v>0</v>
      </c>
      <c r="AF24" s="70">
        <f>IF($A24="","",ROUND(N(AG23)*(1+'Calc base'!S47),2)-AG24)</f>
        <v>0</v>
      </c>
      <c r="AG24" s="75">
        <f>IF($A24="","",CHOOSE('Calc riepilogo'!$B$2,'Calc valanga'!BE47,'Calc palla di neve'!BE47,'Calc personalizzata'!BE47))</f>
        <v>0</v>
      </c>
      <c r="AI24" t="n">
        <v>17</v>
      </c>
    </row>
    <row r="25">
      <c r="A25" s="68">
        <f>IF(18&gt;'Calc riepilogo'!$B$7,"",'Calc base'!$B48)</f>
        <v>46844.0</v>
      </c>
      <c r="B25" s="69">
        <f>IF($A25="","",'Calc base'!$C48)</f>
        <v>900</v>
      </c>
      <c r="C25" s="69">
        <f>IF($A25="","",'Calc base'!$E48)</f>
        <v>0</v>
      </c>
      <c r="D25" s="70">
        <f>IF($A25="","",J25+L25+N25+P25+R25+T25+V25+X25+Z25+AB25+AD25+AF25)</f>
        <v>900</v>
      </c>
      <c r="E25" s="70">
        <f>IF($A25="","",CHOOSE('Calc riepilogo'!$B$2,'Calc valanga'!$H48,'Calc palla di neve'!$H48,'Calc personalizzata'!$H48))</f>
        <v>33.6599999999999</v>
      </c>
      <c r="F25" s="71">
        <f>IF($A25="","",CHOOSE('Calc riepilogo'!$B$2,'Calc valanga'!$G48,'Calc palla di neve'!$G48,'Calc personalizzata'!$G48))</f>
        <v>5908.61</v>
      </c>
      <c r="G25" s="72" t="n"/>
      <c r="H25" s="73" t="n"/>
      <c r="I25" s="74" t="str">
        <f>IF($A25="","",TRIM(IF(AND(N(K24)&gt;0,N(K25)&lt;=0.004),"✓ "&amp;'Calc base'!C$6&amp;"   ","")&amp;IF(AND(N(M24)&gt;0,N(M25)&lt;=0.004),"✓ "&amp;'Calc base'!D$6&amp;"   ","")&amp;IF(AND(N(O24)&gt;0,N(O25)&lt;=0.004),"✓ "&amp;'Calc base'!E$6&amp;"   ","")&amp;IF(AND(N(Q24)&gt;0,N(Q25)&lt;=0.004),"✓ "&amp;'Calc base'!F$6&amp;"   ","")&amp;IF(AND(N(S24)&gt;0,N(S25)&lt;=0.004),"✓ "&amp;'Calc base'!G$6&amp;"   ","")&amp;IF(AND(N(U24)&gt;0,N(U25)&lt;=0.004),"✓ "&amp;'Calc base'!H$6&amp;"   ","")&amp;IF(AND(N(W24)&gt;0,N(W25)&lt;=0.004),"✓ "&amp;'Calc base'!I$6&amp;"   ","")&amp;IF(AND(N(Y24)&gt;0,N(Y25)&lt;=0.004),"✓ "&amp;'Calc base'!J$6&amp;"   ","")&amp;IF(AND(N(AA24)&gt;0,N(AA25)&lt;=0.004),"✓ "&amp;'Calc base'!K$6&amp;"   ","")&amp;IF(AND(N(AC24)&gt;0,N(AC25)&lt;=0.004),"✓ "&amp;'Calc base'!L$6&amp;"   ","")&amp;IF(AND(N(AE24)&gt;0,N(AE25)&lt;=0.004),"✓ "&amp;'Calc base'!M$6&amp;"   ","")&amp;IF(AND(N(AG24)&gt;0,N(AG25)&lt;=0.004),"✓ "&amp;'Calc base'!N$6&amp;"   ","")))</f>
        <v>✓ Prestito personale</v>
      </c>
      <c r="J25" s="70">
        <f>IF($A25="","",ROUND(N(K24)*(1+'Calc base'!H48),2)-K25)</f>
        <v>0</v>
      </c>
      <c r="K25" s="75">
        <f>IF($A25="","",CHOOSE('Calc riepilogo'!$B$2,'Calc valanga'!AT48,'Calc palla di neve'!AT48,'Calc personalizzata'!AT48))</f>
        <v>0</v>
      </c>
      <c r="L25" s="70">
        <f>IF($A25="","",ROUND(N(M24)*(1+'Calc base'!I48),2)-M25)</f>
        <v>0</v>
      </c>
      <c r="M25" s="75">
        <f>IF($A25="","",CHOOSE('Calc riepilogo'!$B$2,'Calc valanga'!AU48,'Calc palla di neve'!AU48,'Calc personalizzata'!AU48))</f>
        <v>0</v>
      </c>
      <c r="N25" s="70">
        <f>IF($A25="","",ROUND(N(O24)*(1+'Calc base'!J48),2)-O25)</f>
        <v>431.57</v>
      </c>
      <c r="O25" s="75">
        <f>IF($A25="","",CHOOSE('Calc riepilogo'!$B$2,'Calc valanga'!AV48,'Calc palla di neve'!AV48,'Calc personalizzata'!AV48))</f>
        <v>0</v>
      </c>
      <c r="P25" s="70">
        <f>IF($A25="","",ROUND(N(Q24)*(1+'Calc base'!K48),2)-Q25)</f>
        <v>418.43</v>
      </c>
      <c r="Q25" s="75">
        <f>IF($A25="","",CHOOSE('Calc riepilogo'!$B$2,'Calc valanga'!AW48,'Calc palla di neve'!AW48,'Calc personalizzata'!AW48))</f>
        <v>5308.61</v>
      </c>
      <c r="R25" s="70">
        <f>IF($A25="","",ROUND(N(S24)*(1+'Calc base'!L48),2)-S25)</f>
        <v>0</v>
      </c>
      <c r="S25" s="75">
        <f>IF($A25="","",CHOOSE('Calc riepilogo'!$B$2,'Calc valanga'!AX48,'Calc palla di neve'!AX48,'Calc personalizzata'!AX48))</f>
        <v>0</v>
      </c>
      <c r="T25" s="70">
        <f>IF($A25="","",ROUND(N(U24)*(1+'Calc base'!M48),2)-U25)</f>
        <v>50</v>
      </c>
      <c r="U25" s="75">
        <f>IF($A25="","",CHOOSE('Calc riepilogo'!$B$2,'Calc valanga'!AY48,'Calc palla di neve'!AY48,'Calc personalizzata'!AY48))</f>
        <v>600</v>
      </c>
      <c r="V25" s="70">
        <f>IF($A25="","",ROUND(N(W24)*(1+'Calc base'!N48),2)-W25)</f>
        <v>0</v>
      </c>
      <c r="W25" s="75">
        <f>IF($A25="","",CHOOSE('Calc riepilogo'!$B$2,'Calc valanga'!AZ48,'Calc palla di neve'!AZ48,'Calc personalizzata'!AZ48))</f>
        <v>0</v>
      </c>
      <c r="X25" s="70">
        <f>IF($A25="","",ROUND(N(Y24)*(1+'Calc base'!O48),2)-Y25)</f>
        <v>0</v>
      </c>
      <c r="Y25" s="75">
        <f>IF($A25="","",CHOOSE('Calc riepilogo'!$B$2,'Calc valanga'!BA48,'Calc palla di neve'!BA48,'Calc personalizzata'!BA48))</f>
        <v>0</v>
      </c>
      <c r="Z25" s="70">
        <f>IF($A25="","",ROUND(N(AA24)*(1+'Calc base'!P48),2)-AA25)</f>
        <v>0</v>
      </c>
      <c r="AA25" s="75">
        <f>IF($A25="","",CHOOSE('Calc riepilogo'!$B$2,'Calc valanga'!BB48,'Calc palla di neve'!BB48,'Calc personalizzata'!BB48))</f>
        <v>0</v>
      </c>
      <c r="AB25" s="70">
        <f>IF($A25="","",ROUND(N(AC24)*(1+'Calc base'!Q48),2)-AC25)</f>
        <v>0</v>
      </c>
      <c r="AC25" s="75">
        <f>IF($A25="","",CHOOSE('Calc riepilogo'!$B$2,'Calc valanga'!BC48,'Calc palla di neve'!BC48,'Calc personalizzata'!BC48))</f>
        <v>0</v>
      </c>
      <c r="AD25" s="70">
        <f>IF($A25="","",ROUND(N(AE24)*(1+'Calc base'!R48),2)-AE25)</f>
        <v>0</v>
      </c>
      <c r="AE25" s="75">
        <f>IF($A25="","",CHOOSE('Calc riepilogo'!$B$2,'Calc valanga'!BD48,'Calc palla di neve'!BD48,'Calc personalizzata'!BD48))</f>
        <v>0</v>
      </c>
      <c r="AF25" s="70">
        <f>IF($A25="","",ROUND(N(AG24)*(1+'Calc base'!S48),2)-AG25)</f>
        <v>0</v>
      </c>
      <c r="AG25" s="75">
        <f>IF($A25="","",CHOOSE('Calc riepilogo'!$B$2,'Calc valanga'!BE48,'Calc palla di neve'!BE48,'Calc personalizzata'!BE48))</f>
        <v>0</v>
      </c>
      <c r="AI25" t="n">
        <v>18</v>
      </c>
    </row>
    <row r="26">
      <c r="A26" s="68">
        <f>IF(19&gt;'Calc riepilogo'!$B$7,"",'Calc base'!$B49)</f>
        <v>46874.0</v>
      </c>
      <c r="B26" s="69">
        <f>IF($A26="","",'Calc base'!$C49)</f>
        <v>900</v>
      </c>
      <c r="C26" s="69">
        <f>IF($A26="","",'Calc base'!$E49)</f>
        <v>0</v>
      </c>
      <c r="D26" s="70">
        <f>IF($A26="","",J26+L26+N26+P26+R26+T26+V26+X26+Z26+AB26+AD26+AF26)</f>
        <v>900</v>
      </c>
      <c r="E26" s="70">
        <f>IF($A26="","",CHOOSE('Calc riepilogo'!$B$2,'Calc valanga'!$H49,'Calc palla di neve'!$H49,'Calc personalizzata'!$H49))</f>
        <v>28.3100000000004</v>
      </c>
      <c r="F26" s="71">
        <f>IF($A26="","",CHOOSE('Calc riepilogo'!$B$2,'Calc valanga'!$G49,'Calc palla di neve'!$G49,'Calc personalizzata'!$G49))</f>
        <v>5036.92</v>
      </c>
      <c r="G26" s="72" t="n"/>
      <c r="H26" s="73" t="n"/>
      <c r="I26" s="74" t="str">
        <f>IF($A26="","",TRIM(IF(AND(N(K25)&gt;0,N(K26)&lt;=0.004),"✓ "&amp;'Calc base'!C$6&amp;"   ","")&amp;IF(AND(N(M25)&gt;0,N(M26)&lt;=0.004),"✓ "&amp;'Calc base'!D$6&amp;"   ","")&amp;IF(AND(N(O25)&gt;0,N(O26)&lt;=0.004),"✓ "&amp;'Calc base'!E$6&amp;"   ","")&amp;IF(AND(N(Q25)&gt;0,N(Q26)&lt;=0.004),"✓ "&amp;'Calc base'!F$6&amp;"   ","")&amp;IF(AND(N(S25)&gt;0,N(S26)&lt;=0.004),"✓ "&amp;'Calc base'!G$6&amp;"   ","")&amp;IF(AND(N(U25)&gt;0,N(U26)&lt;=0.004),"✓ "&amp;'Calc base'!H$6&amp;"   ","")&amp;IF(AND(N(W25)&gt;0,N(W26)&lt;=0.004),"✓ "&amp;'Calc base'!I$6&amp;"   ","")&amp;IF(AND(N(Y25)&gt;0,N(Y26)&lt;=0.004),"✓ "&amp;'Calc base'!J$6&amp;"   ","")&amp;IF(AND(N(AA25)&gt;0,N(AA26)&lt;=0.004),"✓ "&amp;'Calc base'!K$6&amp;"   ","")&amp;IF(AND(N(AC25)&gt;0,N(AC26)&lt;=0.004),"✓ "&amp;'Calc base'!L$6&amp;"   ","")&amp;IF(AND(N(AE25)&gt;0,N(AE26)&lt;=0.004),"✓ "&amp;'Calc base'!M$6&amp;"   ","")&amp;IF(AND(N(AG25)&gt;0,N(AG26)&lt;=0.004),"✓ "&amp;'Calc base'!N$6&amp;"   ","")))</f>
        <v/>
      </c>
      <c r="J26" s="70">
        <f>IF($A26="","",ROUND(N(K25)*(1+'Calc base'!H49),2)-K26)</f>
        <v>0</v>
      </c>
      <c r="K26" s="75">
        <f>IF($A26="","",CHOOSE('Calc riepilogo'!$B$2,'Calc valanga'!AT49,'Calc palla di neve'!AT49,'Calc personalizzata'!AT49))</f>
        <v>0</v>
      </c>
      <c r="L26" s="70">
        <f>IF($A26="","",ROUND(N(M25)*(1+'Calc base'!I49),2)-M26)</f>
        <v>0</v>
      </c>
      <c r="M26" s="75">
        <f>IF($A26="","",CHOOSE('Calc riepilogo'!$B$2,'Calc valanga'!AU49,'Calc palla di neve'!AU49,'Calc personalizzata'!AU49))</f>
        <v>0</v>
      </c>
      <c r="N26" s="70">
        <f>IF($A26="","",ROUND(N(O25)*(1+'Calc base'!J49),2)-O26)</f>
        <v>0</v>
      </c>
      <c r="O26" s="75">
        <f>IF($A26="","",CHOOSE('Calc riepilogo'!$B$2,'Calc valanga'!AV49,'Calc palla di neve'!AV49,'Calc personalizzata'!AV49))</f>
        <v>0</v>
      </c>
      <c r="P26" s="70">
        <f>IF($A26="","",ROUND(N(Q25)*(1+'Calc base'!K49),2)-Q26)</f>
        <v>850</v>
      </c>
      <c r="Q26" s="75">
        <f>IF($A26="","",CHOOSE('Calc riepilogo'!$B$2,'Calc valanga'!AW49,'Calc palla di neve'!AW49,'Calc personalizzata'!AW49))</f>
        <v>4486.92</v>
      </c>
      <c r="R26" s="70">
        <f>IF($A26="","",ROUND(N(S25)*(1+'Calc base'!L49),2)-S26)</f>
        <v>0</v>
      </c>
      <c r="S26" s="75">
        <f>IF($A26="","",CHOOSE('Calc riepilogo'!$B$2,'Calc valanga'!AX49,'Calc palla di neve'!AX49,'Calc personalizzata'!AX49))</f>
        <v>0</v>
      </c>
      <c r="T26" s="70">
        <f>IF($A26="","",ROUND(N(U25)*(1+'Calc base'!M49),2)-U26)</f>
        <v>50</v>
      </c>
      <c r="U26" s="75">
        <f>IF($A26="","",CHOOSE('Calc riepilogo'!$B$2,'Calc valanga'!AY49,'Calc palla di neve'!AY49,'Calc personalizzata'!AY49))</f>
        <v>550</v>
      </c>
      <c r="V26" s="70">
        <f>IF($A26="","",ROUND(N(W25)*(1+'Calc base'!N49),2)-W26)</f>
        <v>0</v>
      </c>
      <c r="W26" s="75">
        <f>IF($A26="","",CHOOSE('Calc riepilogo'!$B$2,'Calc valanga'!AZ49,'Calc palla di neve'!AZ49,'Calc personalizzata'!AZ49))</f>
        <v>0</v>
      </c>
      <c r="X26" s="70">
        <f>IF($A26="","",ROUND(N(Y25)*(1+'Calc base'!O49),2)-Y26)</f>
        <v>0</v>
      </c>
      <c r="Y26" s="75">
        <f>IF($A26="","",CHOOSE('Calc riepilogo'!$B$2,'Calc valanga'!BA49,'Calc palla di neve'!BA49,'Calc personalizzata'!BA49))</f>
        <v>0</v>
      </c>
      <c r="Z26" s="70">
        <f>IF($A26="","",ROUND(N(AA25)*(1+'Calc base'!P49),2)-AA26)</f>
        <v>0</v>
      </c>
      <c r="AA26" s="75">
        <f>IF($A26="","",CHOOSE('Calc riepilogo'!$B$2,'Calc valanga'!BB49,'Calc palla di neve'!BB49,'Calc personalizzata'!BB49))</f>
        <v>0</v>
      </c>
      <c r="AB26" s="70">
        <f>IF($A26="","",ROUND(N(AC25)*(1+'Calc base'!Q49),2)-AC26)</f>
        <v>0</v>
      </c>
      <c r="AC26" s="75">
        <f>IF($A26="","",CHOOSE('Calc riepilogo'!$B$2,'Calc valanga'!BC49,'Calc palla di neve'!BC49,'Calc personalizzata'!BC49))</f>
        <v>0</v>
      </c>
      <c r="AD26" s="70">
        <f>IF($A26="","",ROUND(N(AE25)*(1+'Calc base'!R49),2)-AE26)</f>
        <v>0</v>
      </c>
      <c r="AE26" s="75">
        <f>IF($A26="","",CHOOSE('Calc riepilogo'!$B$2,'Calc valanga'!BD49,'Calc palla di neve'!BD49,'Calc personalizzata'!BD49))</f>
        <v>0</v>
      </c>
      <c r="AF26" s="70">
        <f>IF($A26="","",ROUND(N(AG25)*(1+'Calc base'!S49),2)-AG26)</f>
        <v>0</v>
      </c>
      <c r="AG26" s="75">
        <f>IF($A26="","",CHOOSE('Calc riepilogo'!$B$2,'Calc valanga'!BE49,'Calc palla di neve'!BE49,'Calc personalizzata'!BE49))</f>
        <v>0</v>
      </c>
      <c r="AI26" t="n">
        <v>19</v>
      </c>
    </row>
    <row r="27">
      <c r="A27" s="68">
        <f>IF(20&gt;'Calc riepilogo'!$B$7,"",'Calc base'!$B50)</f>
        <v>46905.0</v>
      </c>
      <c r="B27" s="69">
        <f>IF($A27="","",'Calc base'!$C50)</f>
        <v>900</v>
      </c>
      <c r="C27" s="69">
        <f>IF($A27="","",'Calc base'!$E50)</f>
        <v>0</v>
      </c>
      <c r="D27" s="70">
        <f>IF($A27="","",J27+L27+N27+P27+R27+T27+V27+X27+Z27+AB27+AD27+AF27)</f>
        <v>900</v>
      </c>
      <c r="E27" s="70">
        <f>IF($A27="","",CHOOSE('Calc riepilogo'!$B$2,'Calc valanga'!$H50,'Calc palla di neve'!$H50,'Calc personalizzata'!$H50))</f>
        <v>23.9300000000003</v>
      </c>
      <c r="F27" s="71">
        <f>IF($A27="","",CHOOSE('Calc riepilogo'!$B$2,'Calc valanga'!$G50,'Calc palla di neve'!$G50,'Calc personalizzata'!$G50))</f>
        <v>4160.85</v>
      </c>
      <c r="G27" s="72" t="n"/>
      <c r="H27" s="73" t="n"/>
      <c r="I27" s="74" t="str">
        <f>IF($A27="","",TRIM(IF(AND(N(K26)&gt;0,N(K27)&lt;=0.004),"✓ "&amp;'Calc base'!C$6&amp;"   ","")&amp;IF(AND(N(M26)&gt;0,N(M27)&lt;=0.004),"✓ "&amp;'Calc base'!D$6&amp;"   ","")&amp;IF(AND(N(O26)&gt;0,N(O27)&lt;=0.004),"✓ "&amp;'Calc base'!E$6&amp;"   ","")&amp;IF(AND(N(Q26)&gt;0,N(Q27)&lt;=0.004),"✓ "&amp;'Calc base'!F$6&amp;"   ","")&amp;IF(AND(N(S26)&gt;0,N(S27)&lt;=0.004),"✓ "&amp;'Calc base'!G$6&amp;"   ","")&amp;IF(AND(N(U26)&gt;0,N(U27)&lt;=0.004),"✓ "&amp;'Calc base'!H$6&amp;"   ","")&amp;IF(AND(N(W26)&gt;0,N(W27)&lt;=0.004),"✓ "&amp;'Calc base'!I$6&amp;"   ","")&amp;IF(AND(N(Y26)&gt;0,N(Y27)&lt;=0.004),"✓ "&amp;'Calc base'!J$6&amp;"   ","")&amp;IF(AND(N(AA26)&gt;0,N(AA27)&lt;=0.004),"✓ "&amp;'Calc base'!K$6&amp;"   ","")&amp;IF(AND(N(AC26)&gt;0,N(AC27)&lt;=0.004),"✓ "&amp;'Calc base'!L$6&amp;"   ","")&amp;IF(AND(N(AE26)&gt;0,N(AE27)&lt;=0.004),"✓ "&amp;'Calc base'!M$6&amp;"   ","")&amp;IF(AND(N(AG26)&gt;0,N(AG27)&lt;=0.004),"✓ "&amp;'Calc base'!N$6&amp;"   ","")))</f>
        <v/>
      </c>
      <c r="J27" s="70">
        <f>IF($A27="","",ROUND(N(K26)*(1+'Calc base'!H50),2)-K27)</f>
        <v>0</v>
      </c>
      <c r="K27" s="75">
        <f>IF($A27="","",CHOOSE('Calc riepilogo'!$B$2,'Calc valanga'!AT50,'Calc palla di neve'!AT50,'Calc personalizzata'!AT50))</f>
        <v>0</v>
      </c>
      <c r="L27" s="70">
        <f>IF($A27="","",ROUND(N(M26)*(1+'Calc base'!I50),2)-M27)</f>
        <v>0</v>
      </c>
      <c r="M27" s="75">
        <f>IF($A27="","",CHOOSE('Calc riepilogo'!$B$2,'Calc valanga'!AU50,'Calc palla di neve'!AU50,'Calc personalizzata'!AU50))</f>
        <v>0</v>
      </c>
      <c r="N27" s="70">
        <f>IF($A27="","",ROUND(N(O26)*(1+'Calc base'!J50),2)-O27)</f>
        <v>0</v>
      </c>
      <c r="O27" s="75">
        <f>IF($A27="","",CHOOSE('Calc riepilogo'!$B$2,'Calc valanga'!AV50,'Calc palla di neve'!AV50,'Calc personalizzata'!AV50))</f>
        <v>0</v>
      </c>
      <c r="P27" s="70">
        <f>IF($A27="","",ROUND(N(Q26)*(1+'Calc base'!K50),2)-Q27)</f>
        <v>850</v>
      </c>
      <c r="Q27" s="75">
        <f>IF($A27="","",CHOOSE('Calc riepilogo'!$B$2,'Calc valanga'!AW50,'Calc palla di neve'!AW50,'Calc personalizzata'!AW50))</f>
        <v>3660.85</v>
      </c>
      <c r="R27" s="70">
        <f>IF($A27="","",ROUND(N(S26)*(1+'Calc base'!L50),2)-S27)</f>
        <v>0</v>
      </c>
      <c r="S27" s="75">
        <f>IF($A27="","",CHOOSE('Calc riepilogo'!$B$2,'Calc valanga'!AX50,'Calc palla di neve'!AX50,'Calc personalizzata'!AX50))</f>
        <v>0</v>
      </c>
      <c r="T27" s="70">
        <f>IF($A27="","",ROUND(N(U26)*(1+'Calc base'!M50),2)-U27)</f>
        <v>50</v>
      </c>
      <c r="U27" s="75">
        <f>IF($A27="","",CHOOSE('Calc riepilogo'!$B$2,'Calc valanga'!AY50,'Calc palla di neve'!AY50,'Calc personalizzata'!AY50))</f>
        <v>500</v>
      </c>
      <c r="V27" s="70">
        <f>IF($A27="","",ROUND(N(W26)*(1+'Calc base'!N50),2)-W27)</f>
        <v>0</v>
      </c>
      <c r="W27" s="75">
        <f>IF($A27="","",CHOOSE('Calc riepilogo'!$B$2,'Calc valanga'!AZ50,'Calc palla di neve'!AZ50,'Calc personalizzata'!AZ50))</f>
        <v>0</v>
      </c>
      <c r="X27" s="70">
        <f>IF($A27="","",ROUND(N(Y26)*(1+'Calc base'!O50),2)-Y27)</f>
        <v>0</v>
      </c>
      <c r="Y27" s="75">
        <f>IF($A27="","",CHOOSE('Calc riepilogo'!$B$2,'Calc valanga'!BA50,'Calc palla di neve'!BA50,'Calc personalizzata'!BA50))</f>
        <v>0</v>
      </c>
      <c r="Z27" s="70">
        <f>IF($A27="","",ROUND(N(AA26)*(1+'Calc base'!P50),2)-AA27)</f>
        <v>0</v>
      </c>
      <c r="AA27" s="75">
        <f>IF($A27="","",CHOOSE('Calc riepilogo'!$B$2,'Calc valanga'!BB50,'Calc palla di neve'!BB50,'Calc personalizzata'!BB50))</f>
        <v>0</v>
      </c>
      <c r="AB27" s="70">
        <f>IF($A27="","",ROUND(N(AC26)*(1+'Calc base'!Q50),2)-AC27)</f>
        <v>0</v>
      </c>
      <c r="AC27" s="75">
        <f>IF($A27="","",CHOOSE('Calc riepilogo'!$B$2,'Calc valanga'!BC50,'Calc palla di neve'!BC50,'Calc personalizzata'!BC50))</f>
        <v>0</v>
      </c>
      <c r="AD27" s="70">
        <f>IF($A27="","",ROUND(N(AE26)*(1+'Calc base'!R50),2)-AE27)</f>
        <v>0</v>
      </c>
      <c r="AE27" s="75">
        <f>IF($A27="","",CHOOSE('Calc riepilogo'!$B$2,'Calc valanga'!BD50,'Calc palla di neve'!BD50,'Calc personalizzata'!BD50))</f>
        <v>0</v>
      </c>
      <c r="AF27" s="70">
        <f>IF($A27="","",ROUND(N(AG26)*(1+'Calc base'!S50),2)-AG27)</f>
        <v>0</v>
      </c>
      <c r="AG27" s="75">
        <f>IF($A27="","",CHOOSE('Calc riepilogo'!$B$2,'Calc valanga'!BE50,'Calc palla di neve'!BE50,'Calc personalizzata'!BE50))</f>
        <v>0</v>
      </c>
      <c r="AI27" t="n">
        <v>20</v>
      </c>
    </row>
    <row r="28">
      <c r="A28" s="68">
        <f>IF(21&gt;'Calc riepilogo'!$B$7,"",'Calc base'!$B51)</f>
        <v>46935.0</v>
      </c>
      <c r="B28" s="69">
        <f>IF($A28="","",'Calc base'!$C51)</f>
        <v>900</v>
      </c>
      <c r="C28" s="69">
        <f>IF($A28="","",'Calc base'!$E51)</f>
        <v>0</v>
      </c>
      <c r="D28" s="70">
        <f>IF($A28="","",J28+L28+N28+P28+R28+T28+V28+X28+Z28+AB28+AD28+AF28)</f>
        <v>900</v>
      </c>
      <c r="E28" s="70">
        <f>IF($A28="","",CHOOSE('Calc riepilogo'!$B$2,'Calc valanga'!$H51,'Calc palla di neve'!$H51,'Calc personalizzata'!$H51))</f>
        <v>19.5199999999995</v>
      </c>
      <c r="F28" s="71">
        <f>IF($A28="","",CHOOSE('Calc riepilogo'!$B$2,'Calc valanga'!$G51,'Calc palla di neve'!$G51,'Calc personalizzata'!$G51))</f>
        <v>3280.37</v>
      </c>
      <c r="G28" s="72" t="n"/>
      <c r="H28" s="73" t="n"/>
      <c r="I28" s="74" t="str">
        <f>IF($A28="","",TRIM(IF(AND(N(K27)&gt;0,N(K28)&lt;=0.004),"✓ "&amp;'Calc base'!C$6&amp;"   ","")&amp;IF(AND(N(M27)&gt;0,N(M28)&lt;=0.004),"✓ "&amp;'Calc base'!D$6&amp;"   ","")&amp;IF(AND(N(O27)&gt;0,N(O28)&lt;=0.004),"✓ "&amp;'Calc base'!E$6&amp;"   ","")&amp;IF(AND(N(Q27)&gt;0,N(Q28)&lt;=0.004),"✓ "&amp;'Calc base'!F$6&amp;"   ","")&amp;IF(AND(N(S27)&gt;0,N(S28)&lt;=0.004),"✓ "&amp;'Calc base'!G$6&amp;"   ","")&amp;IF(AND(N(U27)&gt;0,N(U28)&lt;=0.004),"✓ "&amp;'Calc base'!H$6&amp;"   ","")&amp;IF(AND(N(W27)&gt;0,N(W28)&lt;=0.004),"✓ "&amp;'Calc base'!I$6&amp;"   ","")&amp;IF(AND(N(Y27)&gt;0,N(Y28)&lt;=0.004),"✓ "&amp;'Calc base'!J$6&amp;"   ","")&amp;IF(AND(N(AA27)&gt;0,N(AA28)&lt;=0.004),"✓ "&amp;'Calc base'!K$6&amp;"   ","")&amp;IF(AND(N(AC27)&gt;0,N(AC28)&lt;=0.004),"✓ "&amp;'Calc base'!L$6&amp;"   ","")&amp;IF(AND(N(AE27)&gt;0,N(AE28)&lt;=0.004),"✓ "&amp;'Calc base'!M$6&amp;"   ","")&amp;IF(AND(N(AG27)&gt;0,N(AG28)&lt;=0.004),"✓ "&amp;'Calc base'!N$6&amp;"   ","")))</f>
        <v/>
      </c>
      <c r="J28" s="70">
        <f>IF($A28="","",ROUND(N(K27)*(1+'Calc base'!H51),2)-K28)</f>
        <v>0</v>
      </c>
      <c r="K28" s="75">
        <f>IF($A28="","",CHOOSE('Calc riepilogo'!$B$2,'Calc valanga'!AT51,'Calc palla di neve'!AT51,'Calc personalizzata'!AT51))</f>
        <v>0</v>
      </c>
      <c r="L28" s="70">
        <f>IF($A28="","",ROUND(N(M27)*(1+'Calc base'!I51),2)-M28)</f>
        <v>0</v>
      </c>
      <c r="M28" s="75">
        <f>IF($A28="","",CHOOSE('Calc riepilogo'!$B$2,'Calc valanga'!AU51,'Calc palla di neve'!AU51,'Calc personalizzata'!AU51))</f>
        <v>0</v>
      </c>
      <c r="N28" s="70">
        <f>IF($A28="","",ROUND(N(O27)*(1+'Calc base'!J51),2)-O28)</f>
        <v>0</v>
      </c>
      <c r="O28" s="75">
        <f>IF($A28="","",CHOOSE('Calc riepilogo'!$B$2,'Calc valanga'!AV51,'Calc palla di neve'!AV51,'Calc personalizzata'!AV51))</f>
        <v>0</v>
      </c>
      <c r="P28" s="70">
        <f>IF($A28="","",ROUND(N(Q27)*(1+'Calc base'!K51),2)-Q28)</f>
        <v>850</v>
      </c>
      <c r="Q28" s="75">
        <f>IF($A28="","",CHOOSE('Calc riepilogo'!$B$2,'Calc valanga'!AW51,'Calc palla di neve'!AW51,'Calc personalizzata'!AW51))</f>
        <v>2830.37</v>
      </c>
      <c r="R28" s="70">
        <f>IF($A28="","",ROUND(N(S27)*(1+'Calc base'!L51),2)-S28)</f>
        <v>0</v>
      </c>
      <c r="S28" s="75">
        <f>IF($A28="","",CHOOSE('Calc riepilogo'!$B$2,'Calc valanga'!AX51,'Calc palla di neve'!AX51,'Calc personalizzata'!AX51))</f>
        <v>0</v>
      </c>
      <c r="T28" s="70">
        <f>IF($A28="","",ROUND(N(U27)*(1+'Calc base'!M51),2)-U28)</f>
        <v>50</v>
      </c>
      <c r="U28" s="75">
        <f>IF($A28="","",CHOOSE('Calc riepilogo'!$B$2,'Calc valanga'!AY51,'Calc palla di neve'!AY51,'Calc personalizzata'!AY51))</f>
        <v>450</v>
      </c>
      <c r="V28" s="70">
        <f>IF($A28="","",ROUND(N(W27)*(1+'Calc base'!N51),2)-W28)</f>
        <v>0</v>
      </c>
      <c r="W28" s="75">
        <f>IF($A28="","",CHOOSE('Calc riepilogo'!$B$2,'Calc valanga'!AZ51,'Calc palla di neve'!AZ51,'Calc personalizzata'!AZ51))</f>
        <v>0</v>
      </c>
      <c r="X28" s="70">
        <f>IF($A28="","",ROUND(N(Y27)*(1+'Calc base'!O51),2)-Y28)</f>
        <v>0</v>
      </c>
      <c r="Y28" s="75">
        <f>IF($A28="","",CHOOSE('Calc riepilogo'!$B$2,'Calc valanga'!BA51,'Calc palla di neve'!BA51,'Calc personalizzata'!BA51))</f>
        <v>0</v>
      </c>
      <c r="Z28" s="70">
        <f>IF($A28="","",ROUND(N(AA27)*(1+'Calc base'!P51),2)-AA28)</f>
        <v>0</v>
      </c>
      <c r="AA28" s="75">
        <f>IF($A28="","",CHOOSE('Calc riepilogo'!$B$2,'Calc valanga'!BB51,'Calc palla di neve'!BB51,'Calc personalizzata'!BB51))</f>
        <v>0</v>
      </c>
      <c r="AB28" s="70">
        <f>IF($A28="","",ROUND(N(AC27)*(1+'Calc base'!Q51),2)-AC28)</f>
        <v>0</v>
      </c>
      <c r="AC28" s="75">
        <f>IF($A28="","",CHOOSE('Calc riepilogo'!$B$2,'Calc valanga'!BC51,'Calc palla di neve'!BC51,'Calc personalizzata'!BC51))</f>
        <v>0</v>
      </c>
      <c r="AD28" s="70">
        <f>IF($A28="","",ROUND(N(AE27)*(1+'Calc base'!R51),2)-AE28)</f>
        <v>0</v>
      </c>
      <c r="AE28" s="75">
        <f>IF($A28="","",CHOOSE('Calc riepilogo'!$B$2,'Calc valanga'!BD51,'Calc palla di neve'!BD51,'Calc personalizzata'!BD51))</f>
        <v>0</v>
      </c>
      <c r="AF28" s="70">
        <f>IF($A28="","",ROUND(N(AG27)*(1+'Calc base'!S51),2)-AG28)</f>
        <v>0</v>
      </c>
      <c r="AG28" s="75">
        <f>IF($A28="","",CHOOSE('Calc riepilogo'!$B$2,'Calc valanga'!BE51,'Calc palla di neve'!BE51,'Calc personalizzata'!BE51))</f>
        <v>0</v>
      </c>
      <c r="AI28" t="n">
        <v>21</v>
      </c>
    </row>
    <row r="29">
      <c r="A29" s="68">
        <f>IF(22&gt;'Calc riepilogo'!$B$7,"",'Calc base'!$B52)</f>
        <v>46966.0</v>
      </c>
      <c r="B29" s="69">
        <f>IF($A29="","",'Calc base'!$C52)</f>
        <v>900</v>
      </c>
      <c r="C29" s="69">
        <f>IF($A29="","",'Calc base'!$E52)</f>
        <v>0</v>
      </c>
      <c r="D29" s="70">
        <f>IF($A29="","",J29+L29+N29+P29+R29+T29+V29+X29+Z29+AB29+AD29+AF29)</f>
        <v>900</v>
      </c>
      <c r="E29" s="70">
        <f>IF($A29="","",CHOOSE('Calc riepilogo'!$B$2,'Calc valanga'!$H52,'Calc palla di neve'!$H52,'Calc personalizzata'!$H52))</f>
        <v>15.0999999999999</v>
      </c>
      <c r="F29" s="71">
        <f>IF($A29="","",CHOOSE('Calc riepilogo'!$B$2,'Calc valanga'!$G52,'Calc palla di neve'!$G52,'Calc personalizzata'!$G52))</f>
        <v>2395.47</v>
      </c>
      <c r="G29" s="72" t="n"/>
      <c r="H29" s="73" t="n"/>
      <c r="I29" s="74" t="str">
        <f>IF($A29="","",TRIM(IF(AND(N(K28)&gt;0,N(K29)&lt;=0.004),"✓ "&amp;'Calc base'!C$6&amp;"   ","")&amp;IF(AND(N(M28)&gt;0,N(M29)&lt;=0.004),"✓ "&amp;'Calc base'!D$6&amp;"   ","")&amp;IF(AND(N(O28)&gt;0,N(O29)&lt;=0.004),"✓ "&amp;'Calc base'!E$6&amp;"   ","")&amp;IF(AND(N(Q28)&gt;0,N(Q29)&lt;=0.004),"✓ "&amp;'Calc base'!F$6&amp;"   ","")&amp;IF(AND(N(S28)&gt;0,N(S29)&lt;=0.004),"✓ "&amp;'Calc base'!G$6&amp;"   ","")&amp;IF(AND(N(U28)&gt;0,N(U29)&lt;=0.004),"✓ "&amp;'Calc base'!H$6&amp;"   ","")&amp;IF(AND(N(W28)&gt;0,N(W29)&lt;=0.004),"✓ "&amp;'Calc base'!I$6&amp;"   ","")&amp;IF(AND(N(Y28)&gt;0,N(Y29)&lt;=0.004),"✓ "&amp;'Calc base'!J$6&amp;"   ","")&amp;IF(AND(N(AA28)&gt;0,N(AA29)&lt;=0.004),"✓ "&amp;'Calc base'!K$6&amp;"   ","")&amp;IF(AND(N(AC28)&gt;0,N(AC29)&lt;=0.004),"✓ "&amp;'Calc base'!L$6&amp;"   ","")&amp;IF(AND(N(AE28)&gt;0,N(AE29)&lt;=0.004),"✓ "&amp;'Calc base'!M$6&amp;"   ","")&amp;IF(AND(N(AG28)&gt;0,N(AG29)&lt;=0.004),"✓ "&amp;'Calc base'!N$6&amp;"   ","")))</f>
        <v/>
      </c>
      <c r="J29" s="70">
        <f>IF($A29="","",ROUND(N(K28)*(1+'Calc base'!H52),2)-K29)</f>
        <v>0</v>
      </c>
      <c r="K29" s="75">
        <f>IF($A29="","",CHOOSE('Calc riepilogo'!$B$2,'Calc valanga'!AT52,'Calc palla di neve'!AT52,'Calc personalizzata'!AT52))</f>
        <v>0</v>
      </c>
      <c r="L29" s="70">
        <f>IF($A29="","",ROUND(N(M28)*(1+'Calc base'!I52),2)-M29)</f>
        <v>0</v>
      </c>
      <c r="M29" s="75">
        <f>IF($A29="","",CHOOSE('Calc riepilogo'!$B$2,'Calc valanga'!AU52,'Calc palla di neve'!AU52,'Calc personalizzata'!AU52))</f>
        <v>0</v>
      </c>
      <c r="N29" s="70">
        <f>IF($A29="","",ROUND(N(O28)*(1+'Calc base'!J52),2)-O29)</f>
        <v>0</v>
      </c>
      <c r="O29" s="75">
        <f>IF($A29="","",CHOOSE('Calc riepilogo'!$B$2,'Calc valanga'!AV52,'Calc palla di neve'!AV52,'Calc personalizzata'!AV52))</f>
        <v>0</v>
      </c>
      <c r="P29" s="70">
        <f>IF($A29="","",ROUND(N(Q28)*(1+'Calc base'!K52),2)-Q29)</f>
        <v>850</v>
      </c>
      <c r="Q29" s="75">
        <f>IF($A29="","",CHOOSE('Calc riepilogo'!$B$2,'Calc valanga'!AW52,'Calc palla di neve'!AW52,'Calc personalizzata'!AW52))</f>
        <v>1995.47</v>
      </c>
      <c r="R29" s="70">
        <f>IF($A29="","",ROUND(N(S28)*(1+'Calc base'!L52),2)-S29)</f>
        <v>0</v>
      </c>
      <c r="S29" s="75">
        <f>IF($A29="","",CHOOSE('Calc riepilogo'!$B$2,'Calc valanga'!AX52,'Calc palla di neve'!AX52,'Calc personalizzata'!AX52))</f>
        <v>0</v>
      </c>
      <c r="T29" s="70">
        <f>IF($A29="","",ROUND(N(U28)*(1+'Calc base'!M52),2)-U29)</f>
        <v>50</v>
      </c>
      <c r="U29" s="75">
        <f>IF($A29="","",CHOOSE('Calc riepilogo'!$B$2,'Calc valanga'!AY52,'Calc palla di neve'!AY52,'Calc personalizzata'!AY52))</f>
        <v>400</v>
      </c>
      <c r="V29" s="70">
        <f>IF($A29="","",ROUND(N(W28)*(1+'Calc base'!N52),2)-W29)</f>
        <v>0</v>
      </c>
      <c r="W29" s="75">
        <f>IF($A29="","",CHOOSE('Calc riepilogo'!$B$2,'Calc valanga'!AZ52,'Calc palla di neve'!AZ52,'Calc personalizzata'!AZ52))</f>
        <v>0</v>
      </c>
      <c r="X29" s="70">
        <f>IF($A29="","",ROUND(N(Y28)*(1+'Calc base'!O52),2)-Y29)</f>
        <v>0</v>
      </c>
      <c r="Y29" s="75">
        <f>IF($A29="","",CHOOSE('Calc riepilogo'!$B$2,'Calc valanga'!BA52,'Calc palla di neve'!BA52,'Calc personalizzata'!BA52))</f>
        <v>0</v>
      </c>
      <c r="Z29" s="70">
        <f>IF($A29="","",ROUND(N(AA28)*(1+'Calc base'!P52),2)-AA29)</f>
        <v>0</v>
      </c>
      <c r="AA29" s="75">
        <f>IF($A29="","",CHOOSE('Calc riepilogo'!$B$2,'Calc valanga'!BB52,'Calc palla di neve'!BB52,'Calc personalizzata'!BB52))</f>
        <v>0</v>
      </c>
      <c r="AB29" s="70">
        <f>IF($A29="","",ROUND(N(AC28)*(1+'Calc base'!Q52),2)-AC29)</f>
        <v>0</v>
      </c>
      <c r="AC29" s="75">
        <f>IF($A29="","",CHOOSE('Calc riepilogo'!$B$2,'Calc valanga'!BC52,'Calc palla di neve'!BC52,'Calc personalizzata'!BC52))</f>
        <v>0</v>
      </c>
      <c r="AD29" s="70">
        <f>IF($A29="","",ROUND(N(AE28)*(1+'Calc base'!R52),2)-AE29)</f>
        <v>0</v>
      </c>
      <c r="AE29" s="75">
        <f>IF($A29="","",CHOOSE('Calc riepilogo'!$B$2,'Calc valanga'!BD52,'Calc palla di neve'!BD52,'Calc personalizzata'!BD52))</f>
        <v>0</v>
      </c>
      <c r="AF29" s="70">
        <f>IF($A29="","",ROUND(N(AG28)*(1+'Calc base'!S52),2)-AG29)</f>
        <v>0</v>
      </c>
      <c r="AG29" s="75">
        <f>IF($A29="","",CHOOSE('Calc riepilogo'!$B$2,'Calc valanga'!BE52,'Calc palla di neve'!BE52,'Calc personalizzata'!BE52))</f>
        <v>0</v>
      </c>
      <c r="AI29" t="n">
        <v>22</v>
      </c>
    </row>
    <row r="30">
      <c r="A30" s="68">
        <f>IF(23&gt;'Calc riepilogo'!$B$7,"",'Calc base'!$B53)</f>
        <v>46997.0</v>
      </c>
      <c r="B30" s="69">
        <f>IF($A30="","",'Calc base'!$C53)</f>
        <v>900</v>
      </c>
      <c r="C30" s="69">
        <f>IF($A30="","",'Calc base'!$E53)</f>
        <v>0</v>
      </c>
      <c r="D30" s="70">
        <f>IF($A30="","",J30+L30+N30+P30+R30+T30+V30+X30+Z30+AB30+AD30+AF30)</f>
        <v>900</v>
      </c>
      <c r="E30" s="70">
        <f>IF($A30="","",CHOOSE('Calc riepilogo'!$B$2,'Calc valanga'!$H53,'Calc palla di neve'!$H53,'Calc personalizzata'!$H53))</f>
        <v>10.6399999999999</v>
      </c>
      <c r="F30" s="71">
        <f>IF($A30="","",CHOOSE('Calc riepilogo'!$B$2,'Calc valanga'!$G53,'Calc palla di neve'!$G53,'Calc personalizzata'!$G53))</f>
        <v>1506.11</v>
      </c>
      <c r="G30" s="72" t="n"/>
      <c r="H30" s="73" t="n"/>
      <c r="I30" s="74" t="str">
        <f>IF($A30="","",TRIM(IF(AND(N(K29)&gt;0,N(K30)&lt;=0.004),"✓ "&amp;'Calc base'!C$6&amp;"   ","")&amp;IF(AND(N(M29)&gt;0,N(M30)&lt;=0.004),"✓ "&amp;'Calc base'!D$6&amp;"   ","")&amp;IF(AND(N(O29)&gt;0,N(O30)&lt;=0.004),"✓ "&amp;'Calc base'!E$6&amp;"   ","")&amp;IF(AND(N(Q29)&gt;0,N(Q30)&lt;=0.004),"✓ "&amp;'Calc base'!F$6&amp;"   ","")&amp;IF(AND(N(S29)&gt;0,N(S30)&lt;=0.004),"✓ "&amp;'Calc base'!G$6&amp;"   ","")&amp;IF(AND(N(U29)&gt;0,N(U30)&lt;=0.004),"✓ "&amp;'Calc base'!H$6&amp;"   ","")&amp;IF(AND(N(W29)&gt;0,N(W30)&lt;=0.004),"✓ "&amp;'Calc base'!I$6&amp;"   ","")&amp;IF(AND(N(Y29)&gt;0,N(Y30)&lt;=0.004),"✓ "&amp;'Calc base'!J$6&amp;"   ","")&amp;IF(AND(N(AA29)&gt;0,N(AA30)&lt;=0.004),"✓ "&amp;'Calc base'!K$6&amp;"   ","")&amp;IF(AND(N(AC29)&gt;0,N(AC30)&lt;=0.004),"✓ "&amp;'Calc base'!L$6&amp;"   ","")&amp;IF(AND(N(AE29)&gt;0,N(AE30)&lt;=0.004),"✓ "&amp;'Calc base'!M$6&amp;"   ","")&amp;IF(AND(N(AG29)&gt;0,N(AG30)&lt;=0.004),"✓ "&amp;'Calc base'!N$6&amp;"   ","")))</f>
        <v/>
      </c>
      <c r="J30" s="70">
        <f>IF($A30="","",ROUND(N(K29)*(1+'Calc base'!H53),2)-K30)</f>
        <v>0</v>
      </c>
      <c r="K30" s="75">
        <f>IF($A30="","",CHOOSE('Calc riepilogo'!$B$2,'Calc valanga'!AT53,'Calc palla di neve'!AT53,'Calc personalizzata'!AT53))</f>
        <v>0</v>
      </c>
      <c r="L30" s="70">
        <f>IF($A30="","",ROUND(N(M29)*(1+'Calc base'!I53),2)-M30)</f>
        <v>0</v>
      </c>
      <c r="M30" s="75">
        <f>IF($A30="","",CHOOSE('Calc riepilogo'!$B$2,'Calc valanga'!AU53,'Calc palla di neve'!AU53,'Calc personalizzata'!AU53))</f>
        <v>0</v>
      </c>
      <c r="N30" s="70">
        <f>IF($A30="","",ROUND(N(O29)*(1+'Calc base'!J53),2)-O30)</f>
        <v>0</v>
      </c>
      <c r="O30" s="75">
        <f>IF($A30="","",CHOOSE('Calc riepilogo'!$B$2,'Calc valanga'!AV53,'Calc palla di neve'!AV53,'Calc personalizzata'!AV53))</f>
        <v>0</v>
      </c>
      <c r="P30" s="70">
        <f>IF($A30="","",ROUND(N(Q29)*(1+'Calc base'!K53),2)-Q30)</f>
        <v>850</v>
      </c>
      <c r="Q30" s="75">
        <f>IF($A30="","",CHOOSE('Calc riepilogo'!$B$2,'Calc valanga'!AW53,'Calc palla di neve'!AW53,'Calc personalizzata'!AW53))</f>
        <v>1156.11</v>
      </c>
      <c r="R30" s="70">
        <f>IF($A30="","",ROUND(N(S29)*(1+'Calc base'!L53),2)-S30)</f>
        <v>0</v>
      </c>
      <c r="S30" s="75">
        <f>IF($A30="","",CHOOSE('Calc riepilogo'!$B$2,'Calc valanga'!AX53,'Calc palla di neve'!AX53,'Calc personalizzata'!AX53))</f>
        <v>0</v>
      </c>
      <c r="T30" s="70">
        <f>IF($A30="","",ROUND(N(U29)*(1+'Calc base'!M53),2)-U30)</f>
        <v>50</v>
      </c>
      <c r="U30" s="75">
        <f>IF($A30="","",CHOOSE('Calc riepilogo'!$B$2,'Calc valanga'!AY53,'Calc palla di neve'!AY53,'Calc personalizzata'!AY53))</f>
        <v>350</v>
      </c>
      <c r="V30" s="70">
        <f>IF($A30="","",ROUND(N(W29)*(1+'Calc base'!N53),2)-W30)</f>
        <v>0</v>
      </c>
      <c r="W30" s="75">
        <f>IF($A30="","",CHOOSE('Calc riepilogo'!$B$2,'Calc valanga'!AZ53,'Calc palla di neve'!AZ53,'Calc personalizzata'!AZ53))</f>
        <v>0</v>
      </c>
      <c r="X30" s="70">
        <f>IF($A30="","",ROUND(N(Y29)*(1+'Calc base'!O53),2)-Y30)</f>
        <v>0</v>
      </c>
      <c r="Y30" s="75">
        <f>IF($A30="","",CHOOSE('Calc riepilogo'!$B$2,'Calc valanga'!BA53,'Calc palla di neve'!BA53,'Calc personalizzata'!BA53))</f>
        <v>0</v>
      </c>
      <c r="Z30" s="70">
        <f>IF($A30="","",ROUND(N(AA29)*(1+'Calc base'!P53),2)-AA30)</f>
        <v>0</v>
      </c>
      <c r="AA30" s="75">
        <f>IF($A30="","",CHOOSE('Calc riepilogo'!$B$2,'Calc valanga'!BB53,'Calc palla di neve'!BB53,'Calc personalizzata'!BB53))</f>
        <v>0</v>
      </c>
      <c r="AB30" s="70">
        <f>IF($A30="","",ROUND(N(AC29)*(1+'Calc base'!Q53),2)-AC30)</f>
        <v>0</v>
      </c>
      <c r="AC30" s="75">
        <f>IF($A30="","",CHOOSE('Calc riepilogo'!$B$2,'Calc valanga'!BC53,'Calc palla di neve'!BC53,'Calc personalizzata'!BC53))</f>
        <v>0</v>
      </c>
      <c r="AD30" s="70">
        <f>IF($A30="","",ROUND(N(AE29)*(1+'Calc base'!R53),2)-AE30)</f>
        <v>0</v>
      </c>
      <c r="AE30" s="75">
        <f>IF($A30="","",CHOOSE('Calc riepilogo'!$B$2,'Calc valanga'!BD53,'Calc palla di neve'!BD53,'Calc personalizzata'!BD53))</f>
        <v>0</v>
      </c>
      <c r="AF30" s="70">
        <f>IF($A30="","",ROUND(N(AG29)*(1+'Calc base'!S53),2)-AG30)</f>
        <v>0</v>
      </c>
      <c r="AG30" s="75">
        <f>IF($A30="","",CHOOSE('Calc riepilogo'!$B$2,'Calc valanga'!BE53,'Calc palla di neve'!BE53,'Calc personalizzata'!BE53))</f>
        <v>0</v>
      </c>
      <c r="AI30" t="n">
        <v>23</v>
      </c>
    </row>
    <row r="31">
      <c r="A31" s="68">
        <f>IF(24&gt;'Calc riepilogo'!$B$7,"",'Calc base'!$B54)</f>
        <v>47027.0</v>
      </c>
      <c r="B31" s="69">
        <f>IF($A31="","",'Calc base'!$C54)</f>
        <v>900</v>
      </c>
      <c r="C31" s="69">
        <f>IF($A31="","",'Calc base'!$E54)</f>
        <v>0</v>
      </c>
      <c r="D31" s="70">
        <f>IF($A31="","",J31+L31+N31+P31+R31+T31+V31+X31+Z31+AB31+AD31+AF31)</f>
        <v>900</v>
      </c>
      <c r="E31" s="70">
        <f>IF($A31="","",CHOOSE('Calc riepilogo'!$B$2,'Calc valanga'!$H54,'Calc palla di neve'!$H54,'Calc personalizzata'!$H54))</f>
        <v>6.17000000000007</v>
      </c>
      <c r="F31" s="71">
        <f>IF($A31="","",CHOOSE('Calc riepilogo'!$B$2,'Calc valanga'!$G54,'Calc palla di neve'!$G54,'Calc personalizzata'!$G54))</f>
        <v>612.28</v>
      </c>
      <c r="G31" s="72" t="n"/>
      <c r="H31" s="73" t="n"/>
      <c r="I31" s="74" t="str">
        <f>IF($A31="","",TRIM(IF(AND(N(K30)&gt;0,N(K31)&lt;=0.004),"✓ "&amp;'Calc base'!C$6&amp;"   ","")&amp;IF(AND(N(M30)&gt;0,N(M31)&lt;=0.004),"✓ "&amp;'Calc base'!D$6&amp;"   ","")&amp;IF(AND(N(O30)&gt;0,N(O31)&lt;=0.004),"✓ "&amp;'Calc base'!E$6&amp;"   ","")&amp;IF(AND(N(Q30)&gt;0,N(Q31)&lt;=0.004),"✓ "&amp;'Calc base'!F$6&amp;"   ","")&amp;IF(AND(N(S30)&gt;0,N(S31)&lt;=0.004),"✓ "&amp;'Calc base'!G$6&amp;"   ","")&amp;IF(AND(N(U30)&gt;0,N(U31)&lt;=0.004),"✓ "&amp;'Calc base'!H$6&amp;"   ","")&amp;IF(AND(N(W30)&gt;0,N(W31)&lt;=0.004),"✓ "&amp;'Calc base'!I$6&amp;"   ","")&amp;IF(AND(N(Y30)&gt;0,N(Y31)&lt;=0.004),"✓ "&amp;'Calc base'!J$6&amp;"   ","")&amp;IF(AND(N(AA30)&gt;0,N(AA31)&lt;=0.004),"✓ "&amp;'Calc base'!K$6&amp;"   ","")&amp;IF(AND(N(AC30)&gt;0,N(AC31)&lt;=0.004),"✓ "&amp;'Calc base'!L$6&amp;"   ","")&amp;IF(AND(N(AE30)&gt;0,N(AE31)&lt;=0.004),"✓ "&amp;'Calc base'!M$6&amp;"   ","")&amp;IF(AND(N(AG30)&gt;0,N(AG31)&lt;=0.004),"✓ "&amp;'Calc base'!N$6&amp;"   ","")))</f>
        <v/>
      </c>
      <c r="J31" s="70">
        <f>IF($A31="","",ROUND(N(K30)*(1+'Calc base'!H54),2)-K31)</f>
        <v>0</v>
      </c>
      <c r="K31" s="75">
        <f>IF($A31="","",CHOOSE('Calc riepilogo'!$B$2,'Calc valanga'!AT54,'Calc palla di neve'!AT54,'Calc personalizzata'!AT54))</f>
        <v>0</v>
      </c>
      <c r="L31" s="70">
        <f>IF($A31="","",ROUND(N(M30)*(1+'Calc base'!I54),2)-M31)</f>
        <v>0</v>
      </c>
      <c r="M31" s="75">
        <f>IF($A31="","",CHOOSE('Calc riepilogo'!$B$2,'Calc valanga'!AU54,'Calc palla di neve'!AU54,'Calc personalizzata'!AU54))</f>
        <v>0</v>
      </c>
      <c r="N31" s="70">
        <f>IF($A31="","",ROUND(N(O30)*(1+'Calc base'!J54),2)-O31)</f>
        <v>0</v>
      </c>
      <c r="O31" s="75">
        <f>IF($A31="","",CHOOSE('Calc riepilogo'!$B$2,'Calc valanga'!AV54,'Calc palla di neve'!AV54,'Calc personalizzata'!AV54))</f>
        <v>0</v>
      </c>
      <c r="P31" s="70">
        <f>IF($A31="","",ROUND(N(Q30)*(1+'Calc base'!K54),2)-Q31)</f>
        <v>850</v>
      </c>
      <c r="Q31" s="75">
        <f>IF($A31="","",CHOOSE('Calc riepilogo'!$B$2,'Calc valanga'!AW54,'Calc palla di neve'!AW54,'Calc personalizzata'!AW54))</f>
        <v>312.28</v>
      </c>
      <c r="R31" s="70">
        <f>IF($A31="","",ROUND(N(S30)*(1+'Calc base'!L54),2)-S31)</f>
        <v>0</v>
      </c>
      <c r="S31" s="75">
        <f>IF($A31="","",CHOOSE('Calc riepilogo'!$B$2,'Calc valanga'!AX54,'Calc palla di neve'!AX54,'Calc personalizzata'!AX54))</f>
        <v>0</v>
      </c>
      <c r="T31" s="70">
        <f>IF($A31="","",ROUND(N(U30)*(1+'Calc base'!M54),2)-U31)</f>
        <v>50</v>
      </c>
      <c r="U31" s="75">
        <f>IF($A31="","",CHOOSE('Calc riepilogo'!$B$2,'Calc valanga'!AY54,'Calc palla di neve'!AY54,'Calc personalizzata'!AY54))</f>
        <v>300</v>
      </c>
      <c r="V31" s="70">
        <f>IF($A31="","",ROUND(N(W30)*(1+'Calc base'!N54),2)-W31)</f>
        <v>0</v>
      </c>
      <c r="W31" s="75">
        <f>IF($A31="","",CHOOSE('Calc riepilogo'!$B$2,'Calc valanga'!AZ54,'Calc palla di neve'!AZ54,'Calc personalizzata'!AZ54))</f>
        <v>0</v>
      </c>
      <c r="X31" s="70">
        <f>IF($A31="","",ROUND(N(Y30)*(1+'Calc base'!O54),2)-Y31)</f>
        <v>0</v>
      </c>
      <c r="Y31" s="75">
        <f>IF($A31="","",CHOOSE('Calc riepilogo'!$B$2,'Calc valanga'!BA54,'Calc palla di neve'!BA54,'Calc personalizzata'!BA54))</f>
        <v>0</v>
      </c>
      <c r="Z31" s="70">
        <f>IF($A31="","",ROUND(N(AA30)*(1+'Calc base'!P54),2)-AA31)</f>
        <v>0</v>
      </c>
      <c r="AA31" s="75">
        <f>IF($A31="","",CHOOSE('Calc riepilogo'!$B$2,'Calc valanga'!BB54,'Calc palla di neve'!BB54,'Calc personalizzata'!BB54))</f>
        <v>0</v>
      </c>
      <c r="AB31" s="70">
        <f>IF($A31="","",ROUND(N(AC30)*(1+'Calc base'!Q54),2)-AC31)</f>
        <v>0</v>
      </c>
      <c r="AC31" s="75">
        <f>IF($A31="","",CHOOSE('Calc riepilogo'!$B$2,'Calc valanga'!BC54,'Calc palla di neve'!BC54,'Calc personalizzata'!BC54))</f>
        <v>0</v>
      </c>
      <c r="AD31" s="70">
        <f>IF($A31="","",ROUND(N(AE30)*(1+'Calc base'!R54),2)-AE31)</f>
        <v>0</v>
      </c>
      <c r="AE31" s="75">
        <f>IF($A31="","",CHOOSE('Calc riepilogo'!$B$2,'Calc valanga'!BD54,'Calc palla di neve'!BD54,'Calc personalizzata'!BD54))</f>
        <v>0</v>
      </c>
      <c r="AF31" s="70">
        <f>IF($A31="","",ROUND(N(AG30)*(1+'Calc base'!S54),2)-AG31)</f>
        <v>0</v>
      </c>
      <c r="AG31" s="75">
        <f>IF($A31="","",CHOOSE('Calc riepilogo'!$B$2,'Calc valanga'!BE54,'Calc palla di neve'!BE54,'Calc personalizzata'!BE54))</f>
        <v>0</v>
      </c>
      <c r="AI31" t="n">
        <v>24</v>
      </c>
    </row>
    <row r="32">
      <c r="A32" s="68">
        <f>IF(25&gt;'Calc riepilogo'!$B$7,"",'Calc base'!$B55)</f>
        <v>47058.0</v>
      </c>
      <c r="B32" s="69">
        <f>IF($A32="","",'Calc base'!$C55)</f>
        <v>900</v>
      </c>
      <c r="C32" s="69">
        <f>IF($A32="","",'Calc base'!$E55)</f>
        <v>0</v>
      </c>
      <c r="D32" s="70">
        <f>IF($A32="","",J32+L32+N32+P32+R32+T32+V32+X32+Z32+AB32+AD32+AF32)</f>
        <v>613.95</v>
      </c>
      <c r="E32" s="70">
        <f>IF($A32="","",CHOOSE('Calc riepilogo'!$B$2,'Calc valanga'!$H55,'Calc palla di neve'!$H55,'Calc personalizzata'!$H55))</f>
        <v>1.67000000000007</v>
      </c>
      <c r="F32" s="71">
        <f>IF($A32="","",CHOOSE('Calc riepilogo'!$B$2,'Calc valanga'!$G55,'Calc palla di neve'!$G55,'Calc personalizzata'!$G55))</f>
        <v>0</v>
      </c>
      <c r="G32" s="72" t="n"/>
      <c r="H32" s="73" t="n"/>
      <c r="I32" s="74" t="str">
        <f>IF($A32="","",TRIM(IF(AND(N(K31)&gt;0,N(K32)&lt;=0.004),"✓ "&amp;'Calc base'!C$6&amp;"   ","")&amp;IF(AND(N(M31)&gt;0,N(M32)&lt;=0.004),"✓ "&amp;'Calc base'!D$6&amp;"   ","")&amp;IF(AND(N(O31)&gt;0,N(O32)&lt;=0.004),"✓ "&amp;'Calc base'!E$6&amp;"   ","")&amp;IF(AND(N(Q31)&gt;0,N(Q32)&lt;=0.004),"✓ "&amp;'Calc base'!F$6&amp;"   ","")&amp;IF(AND(N(S31)&gt;0,N(S32)&lt;=0.004),"✓ "&amp;'Calc base'!G$6&amp;"   ","")&amp;IF(AND(N(U31)&gt;0,N(U32)&lt;=0.004),"✓ "&amp;'Calc base'!H$6&amp;"   ","")&amp;IF(AND(N(W31)&gt;0,N(W32)&lt;=0.004),"✓ "&amp;'Calc base'!I$6&amp;"   ","")&amp;IF(AND(N(Y31)&gt;0,N(Y32)&lt;=0.004),"✓ "&amp;'Calc base'!J$6&amp;"   ","")&amp;IF(AND(N(AA31)&gt;0,N(AA32)&lt;=0.004),"✓ "&amp;'Calc base'!K$6&amp;"   ","")&amp;IF(AND(N(AC31)&gt;0,N(AC32)&lt;=0.004),"✓ "&amp;'Calc base'!L$6&amp;"   ","")&amp;IF(AND(N(AE31)&gt;0,N(AE32)&lt;=0.004),"✓ "&amp;'Calc base'!M$6&amp;"   ","")&amp;IF(AND(N(AG31)&gt;0,N(AG32)&lt;=0.004),"✓ "&amp;'Calc base'!N$6&amp;"   ","")))</f>
        <v>✓ Prestito dell’auto ✓ Prestito dei genitori</v>
      </c>
      <c r="J32" s="70">
        <f>IF($A32="","",ROUND(N(K31)*(1+'Calc base'!H55),2)-K32)</f>
        <v>0</v>
      </c>
      <c r="K32" s="75">
        <f>IF($A32="","",CHOOSE('Calc riepilogo'!$B$2,'Calc valanga'!AT55,'Calc palla di neve'!AT55,'Calc personalizzata'!AT55))</f>
        <v>0</v>
      </c>
      <c r="L32" s="70">
        <f>IF($A32="","",ROUND(N(M31)*(1+'Calc base'!I55),2)-M32)</f>
        <v>0</v>
      </c>
      <c r="M32" s="75">
        <f>IF($A32="","",CHOOSE('Calc riepilogo'!$B$2,'Calc valanga'!AU55,'Calc palla di neve'!AU55,'Calc personalizzata'!AU55))</f>
        <v>0</v>
      </c>
      <c r="N32" s="70">
        <f>IF($A32="","",ROUND(N(O31)*(1+'Calc base'!J55),2)-O32)</f>
        <v>0</v>
      </c>
      <c r="O32" s="75">
        <f>IF($A32="","",CHOOSE('Calc riepilogo'!$B$2,'Calc valanga'!AV55,'Calc palla di neve'!AV55,'Calc personalizzata'!AV55))</f>
        <v>0</v>
      </c>
      <c r="P32" s="70">
        <f>IF($A32="","",ROUND(N(Q31)*(1+'Calc base'!K55),2)-Q32)</f>
        <v>313.95</v>
      </c>
      <c r="Q32" s="75">
        <f>IF($A32="","",CHOOSE('Calc riepilogo'!$B$2,'Calc valanga'!AW55,'Calc palla di neve'!AW55,'Calc personalizzata'!AW55))</f>
        <v>0</v>
      </c>
      <c r="R32" s="70">
        <f>IF($A32="","",ROUND(N(S31)*(1+'Calc base'!L55),2)-S32)</f>
        <v>0</v>
      </c>
      <c r="S32" s="75">
        <f>IF($A32="","",CHOOSE('Calc riepilogo'!$B$2,'Calc valanga'!AX55,'Calc palla di neve'!AX55,'Calc personalizzata'!AX55))</f>
        <v>0</v>
      </c>
      <c r="T32" s="70">
        <f>IF($A32="","",ROUND(N(U31)*(1+'Calc base'!M55),2)-U32)</f>
        <v>300</v>
      </c>
      <c r="U32" s="75">
        <f>IF($A32="","",CHOOSE('Calc riepilogo'!$B$2,'Calc valanga'!AY55,'Calc palla di neve'!AY55,'Calc personalizzata'!AY55))</f>
        <v>0</v>
      </c>
      <c r="V32" s="70">
        <f>IF($A32="","",ROUND(N(W31)*(1+'Calc base'!N55),2)-W32)</f>
        <v>0</v>
      </c>
      <c r="W32" s="75">
        <f>IF($A32="","",CHOOSE('Calc riepilogo'!$B$2,'Calc valanga'!AZ55,'Calc palla di neve'!AZ55,'Calc personalizzata'!AZ55))</f>
        <v>0</v>
      </c>
      <c r="X32" s="70">
        <f>IF($A32="","",ROUND(N(Y31)*(1+'Calc base'!O55),2)-Y32)</f>
        <v>0</v>
      </c>
      <c r="Y32" s="75">
        <f>IF($A32="","",CHOOSE('Calc riepilogo'!$B$2,'Calc valanga'!BA55,'Calc palla di neve'!BA55,'Calc personalizzata'!BA55))</f>
        <v>0</v>
      </c>
      <c r="Z32" s="70">
        <f>IF($A32="","",ROUND(N(AA31)*(1+'Calc base'!P55),2)-AA32)</f>
        <v>0</v>
      </c>
      <c r="AA32" s="75">
        <f>IF($A32="","",CHOOSE('Calc riepilogo'!$B$2,'Calc valanga'!BB55,'Calc palla di neve'!BB55,'Calc personalizzata'!BB55))</f>
        <v>0</v>
      </c>
      <c r="AB32" s="70">
        <f>IF($A32="","",ROUND(N(AC31)*(1+'Calc base'!Q55),2)-AC32)</f>
        <v>0</v>
      </c>
      <c r="AC32" s="75">
        <f>IF($A32="","",CHOOSE('Calc riepilogo'!$B$2,'Calc valanga'!BC55,'Calc palla di neve'!BC55,'Calc personalizzata'!BC55))</f>
        <v>0</v>
      </c>
      <c r="AD32" s="70">
        <f>IF($A32="","",ROUND(N(AE31)*(1+'Calc base'!R55),2)-AE32)</f>
        <v>0</v>
      </c>
      <c r="AE32" s="75">
        <f>IF($A32="","",CHOOSE('Calc riepilogo'!$B$2,'Calc valanga'!BD55,'Calc palla di neve'!BD55,'Calc personalizzata'!BD55))</f>
        <v>0</v>
      </c>
      <c r="AF32" s="70">
        <f>IF($A32="","",ROUND(N(AG31)*(1+'Calc base'!S55),2)-AG32)</f>
        <v>0</v>
      </c>
      <c r="AG32" s="75">
        <f>IF($A32="","",CHOOSE('Calc riepilogo'!$B$2,'Calc valanga'!BE55,'Calc palla di neve'!BE55,'Calc personalizzata'!BE55))</f>
        <v>0</v>
      </c>
      <c r="AI32" t="n">
        <v>25</v>
      </c>
    </row>
    <row r="33">
      <c r="A33" s="68" t="str">
        <f>IF(26&gt;'Calc riepilogo'!$B$7,"",'Calc base'!$B56)</f>
        <v/>
      </c>
      <c r="B33" s="69" t="str">
        <f>IF($A33="","",'Calc base'!$C56)</f>
        <v/>
      </c>
      <c r="C33" s="69" t="str">
        <f>IF($A33="","",'Calc base'!$E56)</f>
        <v/>
      </c>
      <c r="D33" s="70" t="str">
        <f>IF($A33="","",J33+L33+N33+P33+R33+T33+V33+X33+Z33+AB33+AD33+AF33)</f>
        <v/>
      </c>
      <c r="E33" s="70" t="str">
        <f>IF($A33="","",CHOOSE('Calc riepilogo'!$B$2,'Calc valanga'!$H56,'Calc palla di neve'!$H56,'Calc personalizzata'!$H56))</f>
        <v/>
      </c>
      <c r="F33" s="71" t="str">
        <f>IF($A33="","",CHOOSE('Calc riepilogo'!$B$2,'Calc valanga'!$G56,'Calc palla di neve'!$G56,'Calc personalizzata'!$G56))</f>
        <v/>
      </c>
      <c r="G33" s="72" t="n"/>
      <c r="H33" s="73" t="n"/>
      <c r="I33" s="74" t="str">
        <f>IF($A33="","",TRIM(IF(AND(N(K32)&gt;0,N(K33)&lt;=0.004),"✓ "&amp;'Calc base'!C$6&amp;"   ","")&amp;IF(AND(N(M32)&gt;0,N(M33)&lt;=0.004),"✓ "&amp;'Calc base'!D$6&amp;"   ","")&amp;IF(AND(N(O32)&gt;0,N(O33)&lt;=0.004),"✓ "&amp;'Calc base'!E$6&amp;"   ","")&amp;IF(AND(N(Q32)&gt;0,N(Q33)&lt;=0.004),"✓ "&amp;'Calc base'!F$6&amp;"   ","")&amp;IF(AND(N(S32)&gt;0,N(S33)&lt;=0.004),"✓ "&amp;'Calc base'!G$6&amp;"   ","")&amp;IF(AND(N(U32)&gt;0,N(U33)&lt;=0.004),"✓ "&amp;'Calc base'!H$6&amp;"   ","")&amp;IF(AND(N(W32)&gt;0,N(W33)&lt;=0.004),"✓ "&amp;'Calc base'!I$6&amp;"   ","")&amp;IF(AND(N(Y32)&gt;0,N(Y33)&lt;=0.004),"✓ "&amp;'Calc base'!J$6&amp;"   ","")&amp;IF(AND(N(AA32)&gt;0,N(AA33)&lt;=0.004),"✓ "&amp;'Calc base'!K$6&amp;"   ","")&amp;IF(AND(N(AC32)&gt;0,N(AC33)&lt;=0.004),"✓ "&amp;'Calc base'!L$6&amp;"   ","")&amp;IF(AND(N(AE32)&gt;0,N(AE33)&lt;=0.004),"✓ "&amp;'Calc base'!M$6&amp;"   ","")&amp;IF(AND(N(AG32)&gt;0,N(AG33)&lt;=0.004),"✓ "&amp;'Calc base'!N$6&amp;"   ","")))</f>
        <v/>
      </c>
      <c r="J33" s="70" t="str">
        <f>IF($A33="","",ROUND(N(K32)*(1+'Calc base'!H56),2)-K33)</f>
        <v/>
      </c>
      <c r="K33" s="75" t="str">
        <f>IF($A33="","",CHOOSE('Calc riepilogo'!$B$2,'Calc valanga'!AT56,'Calc palla di neve'!AT56,'Calc personalizzata'!AT56))</f>
        <v/>
      </c>
      <c r="L33" s="70" t="str">
        <f>IF($A33="","",ROUND(N(M32)*(1+'Calc base'!I56),2)-M33)</f>
        <v/>
      </c>
      <c r="M33" s="75" t="str">
        <f>IF($A33="","",CHOOSE('Calc riepilogo'!$B$2,'Calc valanga'!AU56,'Calc palla di neve'!AU56,'Calc personalizzata'!AU56))</f>
        <v/>
      </c>
      <c r="N33" s="70" t="str">
        <f>IF($A33="","",ROUND(N(O32)*(1+'Calc base'!J56),2)-O33)</f>
        <v/>
      </c>
      <c r="O33" s="75" t="str">
        <f>IF($A33="","",CHOOSE('Calc riepilogo'!$B$2,'Calc valanga'!AV56,'Calc palla di neve'!AV56,'Calc personalizzata'!AV56))</f>
        <v/>
      </c>
      <c r="P33" s="70" t="str">
        <f>IF($A33="","",ROUND(N(Q32)*(1+'Calc base'!K56),2)-Q33)</f>
        <v/>
      </c>
      <c r="Q33" s="75" t="str">
        <f>IF($A33="","",CHOOSE('Calc riepilogo'!$B$2,'Calc valanga'!AW56,'Calc palla di neve'!AW56,'Calc personalizzata'!AW56))</f>
        <v/>
      </c>
      <c r="R33" s="70" t="str">
        <f>IF($A33="","",ROUND(N(S32)*(1+'Calc base'!L56),2)-S33)</f>
        <v/>
      </c>
      <c r="S33" s="75" t="str">
        <f>IF($A33="","",CHOOSE('Calc riepilogo'!$B$2,'Calc valanga'!AX56,'Calc palla di neve'!AX56,'Calc personalizzata'!AX56))</f>
        <v/>
      </c>
      <c r="T33" s="70" t="str">
        <f>IF($A33="","",ROUND(N(U32)*(1+'Calc base'!M56),2)-U33)</f>
        <v/>
      </c>
      <c r="U33" s="75" t="str">
        <f>IF($A33="","",CHOOSE('Calc riepilogo'!$B$2,'Calc valanga'!AY56,'Calc palla di neve'!AY56,'Calc personalizzata'!AY56))</f>
        <v/>
      </c>
      <c r="V33" s="70" t="str">
        <f>IF($A33="","",ROUND(N(W32)*(1+'Calc base'!N56),2)-W33)</f>
        <v/>
      </c>
      <c r="W33" s="75" t="str">
        <f>IF($A33="","",CHOOSE('Calc riepilogo'!$B$2,'Calc valanga'!AZ56,'Calc palla di neve'!AZ56,'Calc personalizzata'!AZ56))</f>
        <v/>
      </c>
      <c r="X33" s="70" t="str">
        <f>IF($A33="","",ROUND(N(Y32)*(1+'Calc base'!O56),2)-Y33)</f>
        <v/>
      </c>
      <c r="Y33" s="75" t="str">
        <f>IF($A33="","",CHOOSE('Calc riepilogo'!$B$2,'Calc valanga'!BA56,'Calc palla di neve'!BA56,'Calc personalizzata'!BA56))</f>
        <v/>
      </c>
      <c r="Z33" s="70" t="str">
        <f>IF($A33="","",ROUND(N(AA32)*(1+'Calc base'!P56),2)-AA33)</f>
        <v/>
      </c>
      <c r="AA33" s="75" t="str">
        <f>IF($A33="","",CHOOSE('Calc riepilogo'!$B$2,'Calc valanga'!BB56,'Calc palla di neve'!BB56,'Calc personalizzata'!BB56))</f>
        <v/>
      </c>
      <c r="AB33" s="70" t="str">
        <f>IF($A33="","",ROUND(N(AC32)*(1+'Calc base'!Q56),2)-AC33)</f>
        <v/>
      </c>
      <c r="AC33" s="75" t="str">
        <f>IF($A33="","",CHOOSE('Calc riepilogo'!$B$2,'Calc valanga'!BC56,'Calc palla di neve'!BC56,'Calc personalizzata'!BC56))</f>
        <v/>
      </c>
      <c r="AD33" s="70" t="str">
        <f>IF($A33="","",ROUND(N(AE32)*(1+'Calc base'!R56),2)-AE33)</f>
        <v/>
      </c>
      <c r="AE33" s="75" t="str">
        <f>IF($A33="","",CHOOSE('Calc riepilogo'!$B$2,'Calc valanga'!BD56,'Calc palla di neve'!BD56,'Calc personalizzata'!BD56))</f>
        <v/>
      </c>
      <c r="AF33" s="70" t="str">
        <f>IF($A33="","",ROUND(N(AG32)*(1+'Calc base'!S56),2)-AG33)</f>
        <v/>
      </c>
      <c r="AG33" s="75" t="str">
        <f>IF($A33="","",CHOOSE('Calc riepilogo'!$B$2,'Calc valanga'!BE56,'Calc palla di neve'!BE56,'Calc personalizzata'!BE56))</f>
        <v/>
      </c>
      <c r="AI33" t="n">
        <v>26</v>
      </c>
    </row>
    <row r="34">
      <c r="A34" s="68" t="str">
        <f>IF(27&gt;'Calc riepilogo'!$B$7,"",'Calc base'!$B57)</f>
        <v/>
      </c>
      <c r="B34" s="69" t="str">
        <f>IF($A34="","",'Calc base'!$C57)</f>
        <v/>
      </c>
      <c r="C34" s="69" t="str">
        <f>IF($A34="","",'Calc base'!$E57)</f>
        <v/>
      </c>
      <c r="D34" s="70" t="str">
        <f>IF($A34="","",J34+L34+N34+P34+R34+T34+V34+X34+Z34+AB34+AD34+AF34)</f>
        <v/>
      </c>
      <c r="E34" s="70" t="str">
        <f>IF($A34="","",CHOOSE('Calc riepilogo'!$B$2,'Calc valanga'!$H57,'Calc palla di neve'!$H57,'Calc personalizzata'!$H57))</f>
        <v/>
      </c>
      <c r="F34" s="71" t="str">
        <f>IF($A34="","",CHOOSE('Calc riepilogo'!$B$2,'Calc valanga'!$G57,'Calc palla di neve'!$G57,'Calc personalizzata'!$G57))</f>
        <v/>
      </c>
      <c r="G34" s="72" t="n"/>
      <c r="H34" s="73" t="n"/>
      <c r="I34" s="74" t="str">
        <f>IF($A34="","",TRIM(IF(AND(N(K33)&gt;0,N(K34)&lt;=0.004),"✓ "&amp;'Calc base'!C$6&amp;"   ","")&amp;IF(AND(N(M33)&gt;0,N(M34)&lt;=0.004),"✓ "&amp;'Calc base'!D$6&amp;"   ","")&amp;IF(AND(N(O33)&gt;0,N(O34)&lt;=0.004),"✓ "&amp;'Calc base'!E$6&amp;"   ","")&amp;IF(AND(N(Q33)&gt;0,N(Q34)&lt;=0.004),"✓ "&amp;'Calc base'!F$6&amp;"   ","")&amp;IF(AND(N(S33)&gt;0,N(S34)&lt;=0.004),"✓ "&amp;'Calc base'!G$6&amp;"   ","")&amp;IF(AND(N(U33)&gt;0,N(U34)&lt;=0.004),"✓ "&amp;'Calc base'!H$6&amp;"   ","")&amp;IF(AND(N(W33)&gt;0,N(W34)&lt;=0.004),"✓ "&amp;'Calc base'!I$6&amp;"   ","")&amp;IF(AND(N(Y33)&gt;0,N(Y34)&lt;=0.004),"✓ "&amp;'Calc base'!J$6&amp;"   ","")&amp;IF(AND(N(AA33)&gt;0,N(AA34)&lt;=0.004),"✓ "&amp;'Calc base'!K$6&amp;"   ","")&amp;IF(AND(N(AC33)&gt;0,N(AC34)&lt;=0.004),"✓ "&amp;'Calc base'!L$6&amp;"   ","")&amp;IF(AND(N(AE33)&gt;0,N(AE34)&lt;=0.004),"✓ "&amp;'Calc base'!M$6&amp;"   ","")&amp;IF(AND(N(AG33)&gt;0,N(AG34)&lt;=0.004),"✓ "&amp;'Calc base'!N$6&amp;"   ","")))</f>
        <v/>
      </c>
      <c r="J34" s="70" t="str">
        <f>IF($A34="","",ROUND(N(K33)*(1+'Calc base'!H57),2)-K34)</f>
        <v/>
      </c>
      <c r="K34" s="75" t="str">
        <f>IF($A34="","",CHOOSE('Calc riepilogo'!$B$2,'Calc valanga'!AT57,'Calc palla di neve'!AT57,'Calc personalizzata'!AT57))</f>
        <v/>
      </c>
      <c r="L34" s="70" t="str">
        <f>IF($A34="","",ROUND(N(M33)*(1+'Calc base'!I57),2)-M34)</f>
        <v/>
      </c>
      <c r="M34" s="75" t="str">
        <f>IF($A34="","",CHOOSE('Calc riepilogo'!$B$2,'Calc valanga'!AU57,'Calc palla di neve'!AU57,'Calc personalizzata'!AU57))</f>
        <v/>
      </c>
      <c r="N34" s="70" t="str">
        <f>IF($A34="","",ROUND(N(O33)*(1+'Calc base'!J57),2)-O34)</f>
        <v/>
      </c>
      <c r="O34" s="75" t="str">
        <f>IF($A34="","",CHOOSE('Calc riepilogo'!$B$2,'Calc valanga'!AV57,'Calc palla di neve'!AV57,'Calc personalizzata'!AV57))</f>
        <v/>
      </c>
      <c r="P34" s="70" t="str">
        <f>IF($A34="","",ROUND(N(Q33)*(1+'Calc base'!K57),2)-Q34)</f>
        <v/>
      </c>
      <c r="Q34" s="75" t="str">
        <f>IF($A34="","",CHOOSE('Calc riepilogo'!$B$2,'Calc valanga'!AW57,'Calc palla di neve'!AW57,'Calc personalizzata'!AW57))</f>
        <v/>
      </c>
      <c r="R34" s="70" t="str">
        <f>IF($A34="","",ROUND(N(S33)*(1+'Calc base'!L57),2)-S34)</f>
        <v/>
      </c>
      <c r="S34" s="75" t="str">
        <f>IF($A34="","",CHOOSE('Calc riepilogo'!$B$2,'Calc valanga'!AX57,'Calc palla di neve'!AX57,'Calc personalizzata'!AX57))</f>
        <v/>
      </c>
      <c r="T34" s="70" t="str">
        <f>IF($A34="","",ROUND(N(U33)*(1+'Calc base'!M57),2)-U34)</f>
        <v/>
      </c>
      <c r="U34" s="75" t="str">
        <f>IF($A34="","",CHOOSE('Calc riepilogo'!$B$2,'Calc valanga'!AY57,'Calc palla di neve'!AY57,'Calc personalizzata'!AY57))</f>
        <v/>
      </c>
      <c r="V34" s="70" t="str">
        <f>IF($A34="","",ROUND(N(W33)*(1+'Calc base'!N57),2)-W34)</f>
        <v/>
      </c>
      <c r="W34" s="75" t="str">
        <f>IF($A34="","",CHOOSE('Calc riepilogo'!$B$2,'Calc valanga'!AZ57,'Calc palla di neve'!AZ57,'Calc personalizzata'!AZ57))</f>
        <v/>
      </c>
      <c r="X34" s="70" t="str">
        <f>IF($A34="","",ROUND(N(Y33)*(1+'Calc base'!O57),2)-Y34)</f>
        <v/>
      </c>
      <c r="Y34" s="75" t="str">
        <f>IF($A34="","",CHOOSE('Calc riepilogo'!$B$2,'Calc valanga'!BA57,'Calc palla di neve'!BA57,'Calc personalizzata'!BA57))</f>
        <v/>
      </c>
      <c r="Z34" s="70" t="str">
        <f>IF($A34="","",ROUND(N(AA33)*(1+'Calc base'!P57),2)-AA34)</f>
        <v/>
      </c>
      <c r="AA34" s="75" t="str">
        <f>IF($A34="","",CHOOSE('Calc riepilogo'!$B$2,'Calc valanga'!BB57,'Calc palla di neve'!BB57,'Calc personalizzata'!BB57))</f>
        <v/>
      </c>
      <c r="AB34" s="70" t="str">
        <f>IF($A34="","",ROUND(N(AC33)*(1+'Calc base'!Q57),2)-AC34)</f>
        <v/>
      </c>
      <c r="AC34" s="75" t="str">
        <f>IF($A34="","",CHOOSE('Calc riepilogo'!$B$2,'Calc valanga'!BC57,'Calc palla di neve'!BC57,'Calc personalizzata'!BC57))</f>
        <v/>
      </c>
      <c r="AD34" s="70" t="str">
        <f>IF($A34="","",ROUND(N(AE33)*(1+'Calc base'!R57),2)-AE34)</f>
        <v/>
      </c>
      <c r="AE34" s="75" t="str">
        <f>IF($A34="","",CHOOSE('Calc riepilogo'!$B$2,'Calc valanga'!BD57,'Calc palla di neve'!BD57,'Calc personalizzata'!BD57))</f>
        <v/>
      </c>
      <c r="AF34" s="70" t="str">
        <f>IF($A34="","",ROUND(N(AG33)*(1+'Calc base'!S57),2)-AG34)</f>
        <v/>
      </c>
      <c r="AG34" s="75" t="str">
        <f>IF($A34="","",CHOOSE('Calc riepilogo'!$B$2,'Calc valanga'!BE57,'Calc palla di neve'!BE57,'Calc personalizzata'!BE57))</f>
        <v/>
      </c>
      <c r="AI34" t="n">
        <v>27</v>
      </c>
    </row>
    <row r="35">
      <c r="A35" s="68" t="str">
        <f>IF(28&gt;'Calc riepilogo'!$B$7,"",'Calc base'!$B58)</f>
        <v/>
      </c>
      <c r="B35" s="69" t="str">
        <f>IF($A35="","",'Calc base'!$C58)</f>
        <v/>
      </c>
      <c r="C35" s="69" t="str">
        <f>IF($A35="","",'Calc base'!$E58)</f>
        <v/>
      </c>
      <c r="D35" s="70" t="str">
        <f>IF($A35="","",J35+L35+N35+P35+R35+T35+V35+X35+Z35+AB35+AD35+AF35)</f>
        <v/>
      </c>
      <c r="E35" s="70" t="str">
        <f>IF($A35="","",CHOOSE('Calc riepilogo'!$B$2,'Calc valanga'!$H58,'Calc palla di neve'!$H58,'Calc personalizzata'!$H58))</f>
        <v/>
      </c>
      <c r="F35" s="71" t="str">
        <f>IF($A35="","",CHOOSE('Calc riepilogo'!$B$2,'Calc valanga'!$G58,'Calc palla di neve'!$G58,'Calc personalizzata'!$G58))</f>
        <v/>
      </c>
      <c r="G35" s="72" t="n"/>
      <c r="H35" s="73" t="n"/>
      <c r="I35" s="74" t="str">
        <f>IF($A35="","",TRIM(IF(AND(N(K34)&gt;0,N(K35)&lt;=0.004),"✓ "&amp;'Calc base'!C$6&amp;"   ","")&amp;IF(AND(N(M34)&gt;0,N(M35)&lt;=0.004),"✓ "&amp;'Calc base'!D$6&amp;"   ","")&amp;IF(AND(N(O34)&gt;0,N(O35)&lt;=0.004),"✓ "&amp;'Calc base'!E$6&amp;"   ","")&amp;IF(AND(N(Q34)&gt;0,N(Q35)&lt;=0.004),"✓ "&amp;'Calc base'!F$6&amp;"   ","")&amp;IF(AND(N(S34)&gt;0,N(S35)&lt;=0.004),"✓ "&amp;'Calc base'!G$6&amp;"   ","")&amp;IF(AND(N(U34)&gt;0,N(U35)&lt;=0.004),"✓ "&amp;'Calc base'!H$6&amp;"   ","")&amp;IF(AND(N(W34)&gt;0,N(W35)&lt;=0.004),"✓ "&amp;'Calc base'!I$6&amp;"   ","")&amp;IF(AND(N(Y34)&gt;0,N(Y35)&lt;=0.004),"✓ "&amp;'Calc base'!J$6&amp;"   ","")&amp;IF(AND(N(AA34)&gt;0,N(AA35)&lt;=0.004),"✓ "&amp;'Calc base'!K$6&amp;"   ","")&amp;IF(AND(N(AC34)&gt;0,N(AC35)&lt;=0.004),"✓ "&amp;'Calc base'!L$6&amp;"   ","")&amp;IF(AND(N(AE34)&gt;0,N(AE35)&lt;=0.004),"✓ "&amp;'Calc base'!M$6&amp;"   ","")&amp;IF(AND(N(AG34)&gt;0,N(AG35)&lt;=0.004),"✓ "&amp;'Calc base'!N$6&amp;"   ","")))</f>
        <v/>
      </c>
      <c r="J35" s="70" t="str">
        <f>IF($A35="","",ROUND(N(K34)*(1+'Calc base'!H58),2)-K35)</f>
        <v/>
      </c>
      <c r="K35" s="75" t="str">
        <f>IF($A35="","",CHOOSE('Calc riepilogo'!$B$2,'Calc valanga'!AT58,'Calc palla di neve'!AT58,'Calc personalizzata'!AT58))</f>
        <v/>
      </c>
      <c r="L35" s="70" t="str">
        <f>IF($A35="","",ROUND(N(M34)*(1+'Calc base'!I58),2)-M35)</f>
        <v/>
      </c>
      <c r="M35" s="75" t="str">
        <f>IF($A35="","",CHOOSE('Calc riepilogo'!$B$2,'Calc valanga'!AU58,'Calc palla di neve'!AU58,'Calc personalizzata'!AU58))</f>
        <v/>
      </c>
      <c r="N35" s="70" t="str">
        <f>IF($A35="","",ROUND(N(O34)*(1+'Calc base'!J58),2)-O35)</f>
        <v/>
      </c>
      <c r="O35" s="75" t="str">
        <f>IF($A35="","",CHOOSE('Calc riepilogo'!$B$2,'Calc valanga'!AV58,'Calc palla di neve'!AV58,'Calc personalizzata'!AV58))</f>
        <v/>
      </c>
      <c r="P35" s="70" t="str">
        <f>IF($A35="","",ROUND(N(Q34)*(1+'Calc base'!K58),2)-Q35)</f>
        <v/>
      </c>
      <c r="Q35" s="75" t="str">
        <f>IF($A35="","",CHOOSE('Calc riepilogo'!$B$2,'Calc valanga'!AW58,'Calc palla di neve'!AW58,'Calc personalizzata'!AW58))</f>
        <v/>
      </c>
      <c r="R35" s="70" t="str">
        <f>IF($A35="","",ROUND(N(S34)*(1+'Calc base'!L58),2)-S35)</f>
        <v/>
      </c>
      <c r="S35" s="75" t="str">
        <f>IF($A35="","",CHOOSE('Calc riepilogo'!$B$2,'Calc valanga'!AX58,'Calc palla di neve'!AX58,'Calc personalizzata'!AX58))</f>
        <v/>
      </c>
      <c r="T35" s="70" t="str">
        <f>IF($A35="","",ROUND(N(U34)*(1+'Calc base'!M58),2)-U35)</f>
        <v/>
      </c>
      <c r="U35" s="75" t="str">
        <f>IF($A35="","",CHOOSE('Calc riepilogo'!$B$2,'Calc valanga'!AY58,'Calc palla di neve'!AY58,'Calc personalizzata'!AY58))</f>
        <v/>
      </c>
      <c r="V35" s="70" t="str">
        <f>IF($A35="","",ROUND(N(W34)*(1+'Calc base'!N58),2)-W35)</f>
        <v/>
      </c>
      <c r="W35" s="75" t="str">
        <f>IF($A35="","",CHOOSE('Calc riepilogo'!$B$2,'Calc valanga'!AZ58,'Calc palla di neve'!AZ58,'Calc personalizzata'!AZ58))</f>
        <v/>
      </c>
      <c r="X35" s="70" t="str">
        <f>IF($A35="","",ROUND(N(Y34)*(1+'Calc base'!O58),2)-Y35)</f>
        <v/>
      </c>
      <c r="Y35" s="75" t="str">
        <f>IF($A35="","",CHOOSE('Calc riepilogo'!$B$2,'Calc valanga'!BA58,'Calc palla di neve'!BA58,'Calc personalizzata'!BA58))</f>
        <v/>
      </c>
      <c r="Z35" s="70" t="str">
        <f>IF($A35="","",ROUND(N(AA34)*(1+'Calc base'!P58),2)-AA35)</f>
        <v/>
      </c>
      <c r="AA35" s="75" t="str">
        <f>IF($A35="","",CHOOSE('Calc riepilogo'!$B$2,'Calc valanga'!BB58,'Calc palla di neve'!BB58,'Calc personalizzata'!BB58))</f>
        <v/>
      </c>
      <c r="AB35" s="70" t="str">
        <f>IF($A35="","",ROUND(N(AC34)*(1+'Calc base'!Q58),2)-AC35)</f>
        <v/>
      </c>
      <c r="AC35" s="75" t="str">
        <f>IF($A35="","",CHOOSE('Calc riepilogo'!$B$2,'Calc valanga'!BC58,'Calc palla di neve'!BC58,'Calc personalizzata'!BC58))</f>
        <v/>
      </c>
      <c r="AD35" s="70" t="str">
        <f>IF($A35="","",ROUND(N(AE34)*(1+'Calc base'!R58),2)-AE35)</f>
        <v/>
      </c>
      <c r="AE35" s="75" t="str">
        <f>IF($A35="","",CHOOSE('Calc riepilogo'!$B$2,'Calc valanga'!BD58,'Calc palla di neve'!BD58,'Calc personalizzata'!BD58))</f>
        <v/>
      </c>
      <c r="AF35" s="70" t="str">
        <f>IF($A35="","",ROUND(N(AG34)*(1+'Calc base'!S58),2)-AG35)</f>
        <v/>
      </c>
      <c r="AG35" s="75" t="str">
        <f>IF($A35="","",CHOOSE('Calc riepilogo'!$B$2,'Calc valanga'!BE58,'Calc palla di neve'!BE58,'Calc personalizzata'!BE58))</f>
        <v/>
      </c>
      <c r="AI35" t="n">
        <v>28</v>
      </c>
    </row>
    <row r="36">
      <c r="A36" s="68" t="str">
        <f>IF(29&gt;'Calc riepilogo'!$B$7,"",'Calc base'!$B59)</f>
        <v/>
      </c>
      <c r="B36" s="69" t="str">
        <f>IF($A36="","",'Calc base'!$C59)</f>
        <v/>
      </c>
      <c r="C36" s="69" t="str">
        <f>IF($A36="","",'Calc base'!$E59)</f>
        <v/>
      </c>
      <c r="D36" s="70" t="str">
        <f>IF($A36="","",J36+L36+N36+P36+R36+T36+V36+X36+Z36+AB36+AD36+AF36)</f>
        <v/>
      </c>
      <c r="E36" s="70" t="str">
        <f>IF($A36="","",CHOOSE('Calc riepilogo'!$B$2,'Calc valanga'!$H59,'Calc palla di neve'!$H59,'Calc personalizzata'!$H59))</f>
        <v/>
      </c>
      <c r="F36" s="71" t="str">
        <f>IF($A36="","",CHOOSE('Calc riepilogo'!$B$2,'Calc valanga'!$G59,'Calc palla di neve'!$G59,'Calc personalizzata'!$G59))</f>
        <v/>
      </c>
      <c r="G36" s="72" t="n"/>
      <c r="H36" s="73" t="n"/>
      <c r="I36" s="74" t="str">
        <f>IF($A36="","",TRIM(IF(AND(N(K35)&gt;0,N(K36)&lt;=0.004),"✓ "&amp;'Calc base'!C$6&amp;"   ","")&amp;IF(AND(N(M35)&gt;0,N(M36)&lt;=0.004),"✓ "&amp;'Calc base'!D$6&amp;"   ","")&amp;IF(AND(N(O35)&gt;0,N(O36)&lt;=0.004),"✓ "&amp;'Calc base'!E$6&amp;"   ","")&amp;IF(AND(N(Q35)&gt;0,N(Q36)&lt;=0.004),"✓ "&amp;'Calc base'!F$6&amp;"   ","")&amp;IF(AND(N(S35)&gt;0,N(S36)&lt;=0.004),"✓ "&amp;'Calc base'!G$6&amp;"   ","")&amp;IF(AND(N(U35)&gt;0,N(U36)&lt;=0.004),"✓ "&amp;'Calc base'!H$6&amp;"   ","")&amp;IF(AND(N(W35)&gt;0,N(W36)&lt;=0.004),"✓ "&amp;'Calc base'!I$6&amp;"   ","")&amp;IF(AND(N(Y35)&gt;0,N(Y36)&lt;=0.004),"✓ "&amp;'Calc base'!J$6&amp;"   ","")&amp;IF(AND(N(AA35)&gt;0,N(AA36)&lt;=0.004),"✓ "&amp;'Calc base'!K$6&amp;"   ","")&amp;IF(AND(N(AC35)&gt;0,N(AC36)&lt;=0.004),"✓ "&amp;'Calc base'!L$6&amp;"   ","")&amp;IF(AND(N(AE35)&gt;0,N(AE36)&lt;=0.004),"✓ "&amp;'Calc base'!M$6&amp;"   ","")&amp;IF(AND(N(AG35)&gt;0,N(AG36)&lt;=0.004),"✓ "&amp;'Calc base'!N$6&amp;"   ","")))</f>
        <v/>
      </c>
      <c r="J36" s="70" t="str">
        <f>IF($A36="","",ROUND(N(K35)*(1+'Calc base'!H59),2)-K36)</f>
        <v/>
      </c>
      <c r="K36" s="75" t="str">
        <f>IF($A36="","",CHOOSE('Calc riepilogo'!$B$2,'Calc valanga'!AT59,'Calc palla di neve'!AT59,'Calc personalizzata'!AT59))</f>
        <v/>
      </c>
      <c r="L36" s="70" t="str">
        <f>IF($A36="","",ROUND(N(M35)*(1+'Calc base'!I59),2)-M36)</f>
        <v/>
      </c>
      <c r="M36" s="75" t="str">
        <f>IF($A36="","",CHOOSE('Calc riepilogo'!$B$2,'Calc valanga'!AU59,'Calc palla di neve'!AU59,'Calc personalizzata'!AU59))</f>
        <v/>
      </c>
      <c r="N36" s="70" t="str">
        <f>IF($A36="","",ROUND(N(O35)*(1+'Calc base'!J59),2)-O36)</f>
        <v/>
      </c>
      <c r="O36" s="75" t="str">
        <f>IF($A36="","",CHOOSE('Calc riepilogo'!$B$2,'Calc valanga'!AV59,'Calc palla di neve'!AV59,'Calc personalizzata'!AV59))</f>
        <v/>
      </c>
      <c r="P36" s="70" t="str">
        <f>IF($A36="","",ROUND(N(Q35)*(1+'Calc base'!K59),2)-Q36)</f>
        <v/>
      </c>
      <c r="Q36" s="75" t="str">
        <f>IF($A36="","",CHOOSE('Calc riepilogo'!$B$2,'Calc valanga'!AW59,'Calc palla di neve'!AW59,'Calc personalizzata'!AW59))</f>
        <v/>
      </c>
      <c r="R36" s="70" t="str">
        <f>IF($A36="","",ROUND(N(S35)*(1+'Calc base'!L59),2)-S36)</f>
        <v/>
      </c>
      <c r="S36" s="75" t="str">
        <f>IF($A36="","",CHOOSE('Calc riepilogo'!$B$2,'Calc valanga'!AX59,'Calc palla di neve'!AX59,'Calc personalizzata'!AX59))</f>
        <v/>
      </c>
      <c r="T36" s="70" t="str">
        <f>IF($A36="","",ROUND(N(U35)*(1+'Calc base'!M59),2)-U36)</f>
        <v/>
      </c>
      <c r="U36" s="75" t="str">
        <f>IF($A36="","",CHOOSE('Calc riepilogo'!$B$2,'Calc valanga'!AY59,'Calc palla di neve'!AY59,'Calc personalizzata'!AY59))</f>
        <v/>
      </c>
      <c r="V36" s="70" t="str">
        <f>IF($A36="","",ROUND(N(W35)*(1+'Calc base'!N59),2)-W36)</f>
        <v/>
      </c>
      <c r="W36" s="75" t="str">
        <f>IF($A36="","",CHOOSE('Calc riepilogo'!$B$2,'Calc valanga'!AZ59,'Calc palla di neve'!AZ59,'Calc personalizzata'!AZ59))</f>
        <v/>
      </c>
      <c r="X36" s="70" t="str">
        <f>IF($A36="","",ROUND(N(Y35)*(1+'Calc base'!O59),2)-Y36)</f>
        <v/>
      </c>
      <c r="Y36" s="75" t="str">
        <f>IF($A36="","",CHOOSE('Calc riepilogo'!$B$2,'Calc valanga'!BA59,'Calc palla di neve'!BA59,'Calc personalizzata'!BA59))</f>
        <v/>
      </c>
      <c r="Z36" s="70" t="str">
        <f>IF($A36="","",ROUND(N(AA35)*(1+'Calc base'!P59),2)-AA36)</f>
        <v/>
      </c>
      <c r="AA36" s="75" t="str">
        <f>IF($A36="","",CHOOSE('Calc riepilogo'!$B$2,'Calc valanga'!BB59,'Calc palla di neve'!BB59,'Calc personalizzata'!BB59))</f>
        <v/>
      </c>
      <c r="AB36" s="70" t="str">
        <f>IF($A36="","",ROUND(N(AC35)*(1+'Calc base'!Q59),2)-AC36)</f>
        <v/>
      </c>
      <c r="AC36" s="75" t="str">
        <f>IF($A36="","",CHOOSE('Calc riepilogo'!$B$2,'Calc valanga'!BC59,'Calc palla di neve'!BC59,'Calc personalizzata'!BC59))</f>
        <v/>
      </c>
      <c r="AD36" s="70" t="str">
        <f>IF($A36="","",ROUND(N(AE35)*(1+'Calc base'!R59),2)-AE36)</f>
        <v/>
      </c>
      <c r="AE36" s="75" t="str">
        <f>IF($A36="","",CHOOSE('Calc riepilogo'!$B$2,'Calc valanga'!BD59,'Calc palla di neve'!BD59,'Calc personalizzata'!BD59))</f>
        <v/>
      </c>
      <c r="AF36" s="70" t="str">
        <f>IF($A36="","",ROUND(N(AG35)*(1+'Calc base'!S59),2)-AG36)</f>
        <v/>
      </c>
      <c r="AG36" s="75" t="str">
        <f>IF($A36="","",CHOOSE('Calc riepilogo'!$B$2,'Calc valanga'!BE59,'Calc palla di neve'!BE59,'Calc personalizzata'!BE59))</f>
        <v/>
      </c>
      <c r="AI36" t="n">
        <v>29</v>
      </c>
    </row>
    <row r="37">
      <c r="A37" s="68" t="str">
        <f>IF(30&gt;'Calc riepilogo'!$B$7,"",'Calc base'!$B60)</f>
        <v/>
      </c>
      <c r="B37" s="69" t="str">
        <f>IF($A37="","",'Calc base'!$C60)</f>
        <v/>
      </c>
      <c r="C37" s="69" t="str">
        <f>IF($A37="","",'Calc base'!$E60)</f>
        <v/>
      </c>
      <c r="D37" s="70" t="str">
        <f>IF($A37="","",J37+L37+N37+P37+R37+T37+V37+X37+Z37+AB37+AD37+AF37)</f>
        <v/>
      </c>
      <c r="E37" s="70" t="str">
        <f>IF($A37="","",CHOOSE('Calc riepilogo'!$B$2,'Calc valanga'!$H60,'Calc palla di neve'!$H60,'Calc personalizzata'!$H60))</f>
        <v/>
      </c>
      <c r="F37" s="71" t="str">
        <f>IF($A37="","",CHOOSE('Calc riepilogo'!$B$2,'Calc valanga'!$G60,'Calc palla di neve'!$G60,'Calc personalizzata'!$G60))</f>
        <v/>
      </c>
      <c r="G37" s="72" t="n"/>
      <c r="H37" s="73" t="n"/>
      <c r="I37" s="74" t="str">
        <f>IF($A37="","",TRIM(IF(AND(N(K36)&gt;0,N(K37)&lt;=0.004),"✓ "&amp;'Calc base'!C$6&amp;"   ","")&amp;IF(AND(N(M36)&gt;0,N(M37)&lt;=0.004),"✓ "&amp;'Calc base'!D$6&amp;"   ","")&amp;IF(AND(N(O36)&gt;0,N(O37)&lt;=0.004),"✓ "&amp;'Calc base'!E$6&amp;"   ","")&amp;IF(AND(N(Q36)&gt;0,N(Q37)&lt;=0.004),"✓ "&amp;'Calc base'!F$6&amp;"   ","")&amp;IF(AND(N(S36)&gt;0,N(S37)&lt;=0.004),"✓ "&amp;'Calc base'!G$6&amp;"   ","")&amp;IF(AND(N(U36)&gt;0,N(U37)&lt;=0.004),"✓ "&amp;'Calc base'!H$6&amp;"   ","")&amp;IF(AND(N(W36)&gt;0,N(W37)&lt;=0.004),"✓ "&amp;'Calc base'!I$6&amp;"   ","")&amp;IF(AND(N(Y36)&gt;0,N(Y37)&lt;=0.004),"✓ "&amp;'Calc base'!J$6&amp;"   ","")&amp;IF(AND(N(AA36)&gt;0,N(AA37)&lt;=0.004),"✓ "&amp;'Calc base'!K$6&amp;"   ","")&amp;IF(AND(N(AC36)&gt;0,N(AC37)&lt;=0.004),"✓ "&amp;'Calc base'!L$6&amp;"   ","")&amp;IF(AND(N(AE36)&gt;0,N(AE37)&lt;=0.004),"✓ "&amp;'Calc base'!M$6&amp;"   ","")&amp;IF(AND(N(AG36)&gt;0,N(AG37)&lt;=0.004),"✓ "&amp;'Calc base'!N$6&amp;"   ","")))</f>
        <v/>
      </c>
      <c r="J37" s="70" t="str">
        <f>IF($A37="","",ROUND(N(K36)*(1+'Calc base'!H60),2)-K37)</f>
        <v/>
      </c>
      <c r="K37" s="75" t="str">
        <f>IF($A37="","",CHOOSE('Calc riepilogo'!$B$2,'Calc valanga'!AT60,'Calc palla di neve'!AT60,'Calc personalizzata'!AT60))</f>
        <v/>
      </c>
      <c r="L37" s="70" t="str">
        <f>IF($A37="","",ROUND(N(M36)*(1+'Calc base'!I60),2)-M37)</f>
        <v/>
      </c>
      <c r="M37" s="75" t="str">
        <f>IF($A37="","",CHOOSE('Calc riepilogo'!$B$2,'Calc valanga'!AU60,'Calc palla di neve'!AU60,'Calc personalizzata'!AU60))</f>
        <v/>
      </c>
      <c r="N37" s="70" t="str">
        <f>IF($A37="","",ROUND(N(O36)*(1+'Calc base'!J60),2)-O37)</f>
        <v/>
      </c>
      <c r="O37" s="75" t="str">
        <f>IF($A37="","",CHOOSE('Calc riepilogo'!$B$2,'Calc valanga'!AV60,'Calc palla di neve'!AV60,'Calc personalizzata'!AV60))</f>
        <v/>
      </c>
      <c r="P37" s="70" t="str">
        <f>IF($A37="","",ROUND(N(Q36)*(1+'Calc base'!K60),2)-Q37)</f>
        <v/>
      </c>
      <c r="Q37" s="75" t="str">
        <f>IF($A37="","",CHOOSE('Calc riepilogo'!$B$2,'Calc valanga'!AW60,'Calc palla di neve'!AW60,'Calc personalizzata'!AW60))</f>
        <v/>
      </c>
      <c r="R37" s="70" t="str">
        <f>IF($A37="","",ROUND(N(S36)*(1+'Calc base'!L60),2)-S37)</f>
        <v/>
      </c>
      <c r="S37" s="75" t="str">
        <f>IF($A37="","",CHOOSE('Calc riepilogo'!$B$2,'Calc valanga'!AX60,'Calc palla di neve'!AX60,'Calc personalizzata'!AX60))</f>
        <v/>
      </c>
      <c r="T37" s="70" t="str">
        <f>IF($A37="","",ROUND(N(U36)*(1+'Calc base'!M60),2)-U37)</f>
        <v/>
      </c>
      <c r="U37" s="75" t="str">
        <f>IF($A37="","",CHOOSE('Calc riepilogo'!$B$2,'Calc valanga'!AY60,'Calc palla di neve'!AY60,'Calc personalizzata'!AY60))</f>
        <v/>
      </c>
      <c r="V37" s="70" t="str">
        <f>IF($A37="","",ROUND(N(W36)*(1+'Calc base'!N60),2)-W37)</f>
        <v/>
      </c>
      <c r="W37" s="75" t="str">
        <f>IF($A37="","",CHOOSE('Calc riepilogo'!$B$2,'Calc valanga'!AZ60,'Calc palla di neve'!AZ60,'Calc personalizzata'!AZ60))</f>
        <v/>
      </c>
      <c r="X37" s="70" t="str">
        <f>IF($A37="","",ROUND(N(Y36)*(1+'Calc base'!O60),2)-Y37)</f>
        <v/>
      </c>
      <c r="Y37" s="75" t="str">
        <f>IF($A37="","",CHOOSE('Calc riepilogo'!$B$2,'Calc valanga'!BA60,'Calc palla di neve'!BA60,'Calc personalizzata'!BA60))</f>
        <v/>
      </c>
      <c r="Z37" s="70" t="str">
        <f>IF($A37="","",ROUND(N(AA36)*(1+'Calc base'!P60),2)-AA37)</f>
        <v/>
      </c>
      <c r="AA37" s="75" t="str">
        <f>IF($A37="","",CHOOSE('Calc riepilogo'!$B$2,'Calc valanga'!BB60,'Calc palla di neve'!BB60,'Calc personalizzata'!BB60))</f>
        <v/>
      </c>
      <c r="AB37" s="70" t="str">
        <f>IF($A37="","",ROUND(N(AC36)*(1+'Calc base'!Q60),2)-AC37)</f>
        <v/>
      </c>
      <c r="AC37" s="75" t="str">
        <f>IF($A37="","",CHOOSE('Calc riepilogo'!$B$2,'Calc valanga'!BC60,'Calc palla di neve'!BC60,'Calc personalizzata'!BC60))</f>
        <v/>
      </c>
      <c r="AD37" s="70" t="str">
        <f>IF($A37="","",ROUND(N(AE36)*(1+'Calc base'!R60),2)-AE37)</f>
        <v/>
      </c>
      <c r="AE37" s="75" t="str">
        <f>IF($A37="","",CHOOSE('Calc riepilogo'!$B$2,'Calc valanga'!BD60,'Calc palla di neve'!BD60,'Calc personalizzata'!BD60))</f>
        <v/>
      </c>
      <c r="AF37" s="70" t="str">
        <f>IF($A37="","",ROUND(N(AG36)*(1+'Calc base'!S60),2)-AG37)</f>
        <v/>
      </c>
      <c r="AG37" s="75" t="str">
        <f>IF($A37="","",CHOOSE('Calc riepilogo'!$B$2,'Calc valanga'!BE60,'Calc palla di neve'!BE60,'Calc personalizzata'!BE60))</f>
        <v/>
      </c>
      <c r="AI37" t="n">
        <v>30</v>
      </c>
    </row>
    <row r="38">
      <c r="A38" s="68" t="str">
        <f>IF(31&gt;'Calc riepilogo'!$B$7,"",'Calc base'!$B61)</f>
        <v/>
      </c>
      <c r="B38" s="69" t="str">
        <f>IF($A38="","",'Calc base'!$C61)</f>
        <v/>
      </c>
      <c r="C38" s="69" t="str">
        <f>IF($A38="","",'Calc base'!$E61)</f>
        <v/>
      </c>
      <c r="D38" s="70" t="str">
        <f>IF($A38="","",J38+L38+N38+P38+R38+T38+V38+X38+Z38+AB38+AD38+AF38)</f>
        <v/>
      </c>
      <c r="E38" s="70" t="str">
        <f>IF($A38="","",CHOOSE('Calc riepilogo'!$B$2,'Calc valanga'!$H61,'Calc palla di neve'!$H61,'Calc personalizzata'!$H61))</f>
        <v/>
      </c>
      <c r="F38" s="71" t="str">
        <f>IF($A38="","",CHOOSE('Calc riepilogo'!$B$2,'Calc valanga'!$G61,'Calc palla di neve'!$G61,'Calc personalizzata'!$G61))</f>
        <v/>
      </c>
      <c r="G38" s="72" t="n"/>
      <c r="H38" s="73" t="n"/>
      <c r="I38" s="74" t="str">
        <f>IF($A38="","",TRIM(IF(AND(N(K37)&gt;0,N(K38)&lt;=0.004),"✓ "&amp;'Calc base'!C$6&amp;"   ","")&amp;IF(AND(N(M37)&gt;0,N(M38)&lt;=0.004),"✓ "&amp;'Calc base'!D$6&amp;"   ","")&amp;IF(AND(N(O37)&gt;0,N(O38)&lt;=0.004),"✓ "&amp;'Calc base'!E$6&amp;"   ","")&amp;IF(AND(N(Q37)&gt;0,N(Q38)&lt;=0.004),"✓ "&amp;'Calc base'!F$6&amp;"   ","")&amp;IF(AND(N(S37)&gt;0,N(S38)&lt;=0.004),"✓ "&amp;'Calc base'!G$6&amp;"   ","")&amp;IF(AND(N(U37)&gt;0,N(U38)&lt;=0.004),"✓ "&amp;'Calc base'!H$6&amp;"   ","")&amp;IF(AND(N(W37)&gt;0,N(W38)&lt;=0.004),"✓ "&amp;'Calc base'!I$6&amp;"   ","")&amp;IF(AND(N(Y37)&gt;0,N(Y38)&lt;=0.004),"✓ "&amp;'Calc base'!J$6&amp;"   ","")&amp;IF(AND(N(AA37)&gt;0,N(AA38)&lt;=0.004),"✓ "&amp;'Calc base'!K$6&amp;"   ","")&amp;IF(AND(N(AC37)&gt;0,N(AC38)&lt;=0.004),"✓ "&amp;'Calc base'!L$6&amp;"   ","")&amp;IF(AND(N(AE37)&gt;0,N(AE38)&lt;=0.004),"✓ "&amp;'Calc base'!M$6&amp;"   ","")&amp;IF(AND(N(AG37)&gt;0,N(AG38)&lt;=0.004),"✓ "&amp;'Calc base'!N$6&amp;"   ","")))</f>
        <v/>
      </c>
      <c r="J38" s="70" t="str">
        <f>IF($A38="","",ROUND(N(K37)*(1+'Calc base'!H61),2)-K38)</f>
        <v/>
      </c>
      <c r="K38" s="75" t="str">
        <f>IF($A38="","",CHOOSE('Calc riepilogo'!$B$2,'Calc valanga'!AT61,'Calc palla di neve'!AT61,'Calc personalizzata'!AT61))</f>
        <v/>
      </c>
      <c r="L38" s="70" t="str">
        <f>IF($A38="","",ROUND(N(M37)*(1+'Calc base'!I61),2)-M38)</f>
        <v/>
      </c>
      <c r="M38" s="75" t="str">
        <f>IF($A38="","",CHOOSE('Calc riepilogo'!$B$2,'Calc valanga'!AU61,'Calc palla di neve'!AU61,'Calc personalizzata'!AU61))</f>
        <v/>
      </c>
      <c r="N38" s="70" t="str">
        <f>IF($A38="","",ROUND(N(O37)*(1+'Calc base'!J61),2)-O38)</f>
        <v/>
      </c>
      <c r="O38" s="75" t="str">
        <f>IF($A38="","",CHOOSE('Calc riepilogo'!$B$2,'Calc valanga'!AV61,'Calc palla di neve'!AV61,'Calc personalizzata'!AV61))</f>
        <v/>
      </c>
      <c r="P38" s="70" t="str">
        <f>IF($A38="","",ROUND(N(Q37)*(1+'Calc base'!K61),2)-Q38)</f>
        <v/>
      </c>
      <c r="Q38" s="75" t="str">
        <f>IF($A38="","",CHOOSE('Calc riepilogo'!$B$2,'Calc valanga'!AW61,'Calc palla di neve'!AW61,'Calc personalizzata'!AW61))</f>
        <v/>
      </c>
      <c r="R38" s="70" t="str">
        <f>IF($A38="","",ROUND(N(S37)*(1+'Calc base'!L61),2)-S38)</f>
        <v/>
      </c>
      <c r="S38" s="75" t="str">
        <f>IF($A38="","",CHOOSE('Calc riepilogo'!$B$2,'Calc valanga'!AX61,'Calc palla di neve'!AX61,'Calc personalizzata'!AX61))</f>
        <v/>
      </c>
      <c r="T38" s="70" t="str">
        <f>IF($A38="","",ROUND(N(U37)*(1+'Calc base'!M61),2)-U38)</f>
        <v/>
      </c>
      <c r="U38" s="75" t="str">
        <f>IF($A38="","",CHOOSE('Calc riepilogo'!$B$2,'Calc valanga'!AY61,'Calc palla di neve'!AY61,'Calc personalizzata'!AY61))</f>
        <v/>
      </c>
      <c r="V38" s="70" t="str">
        <f>IF($A38="","",ROUND(N(W37)*(1+'Calc base'!N61),2)-W38)</f>
        <v/>
      </c>
      <c r="W38" s="75" t="str">
        <f>IF($A38="","",CHOOSE('Calc riepilogo'!$B$2,'Calc valanga'!AZ61,'Calc palla di neve'!AZ61,'Calc personalizzata'!AZ61))</f>
        <v/>
      </c>
      <c r="X38" s="70" t="str">
        <f>IF($A38="","",ROUND(N(Y37)*(1+'Calc base'!O61),2)-Y38)</f>
        <v/>
      </c>
      <c r="Y38" s="75" t="str">
        <f>IF($A38="","",CHOOSE('Calc riepilogo'!$B$2,'Calc valanga'!BA61,'Calc palla di neve'!BA61,'Calc personalizzata'!BA61))</f>
        <v/>
      </c>
      <c r="Z38" s="70" t="str">
        <f>IF($A38="","",ROUND(N(AA37)*(1+'Calc base'!P61),2)-AA38)</f>
        <v/>
      </c>
      <c r="AA38" s="75" t="str">
        <f>IF($A38="","",CHOOSE('Calc riepilogo'!$B$2,'Calc valanga'!BB61,'Calc palla di neve'!BB61,'Calc personalizzata'!BB61))</f>
        <v/>
      </c>
      <c r="AB38" s="70" t="str">
        <f>IF($A38="","",ROUND(N(AC37)*(1+'Calc base'!Q61),2)-AC38)</f>
        <v/>
      </c>
      <c r="AC38" s="75" t="str">
        <f>IF($A38="","",CHOOSE('Calc riepilogo'!$B$2,'Calc valanga'!BC61,'Calc palla di neve'!BC61,'Calc personalizzata'!BC61))</f>
        <v/>
      </c>
      <c r="AD38" s="70" t="str">
        <f>IF($A38="","",ROUND(N(AE37)*(1+'Calc base'!R61),2)-AE38)</f>
        <v/>
      </c>
      <c r="AE38" s="75" t="str">
        <f>IF($A38="","",CHOOSE('Calc riepilogo'!$B$2,'Calc valanga'!BD61,'Calc palla di neve'!BD61,'Calc personalizzata'!BD61))</f>
        <v/>
      </c>
      <c r="AF38" s="70" t="str">
        <f>IF($A38="","",ROUND(N(AG37)*(1+'Calc base'!S61),2)-AG38)</f>
        <v/>
      </c>
      <c r="AG38" s="75" t="str">
        <f>IF($A38="","",CHOOSE('Calc riepilogo'!$B$2,'Calc valanga'!BE61,'Calc palla di neve'!BE61,'Calc personalizzata'!BE61))</f>
        <v/>
      </c>
      <c r="AI38" t="n">
        <v>31</v>
      </c>
    </row>
    <row r="39">
      <c r="A39" s="68" t="str">
        <f>IF(32&gt;'Calc riepilogo'!$B$7,"",'Calc base'!$B62)</f>
        <v/>
      </c>
      <c r="B39" s="69" t="str">
        <f>IF($A39="","",'Calc base'!$C62)</f>
        <v/>
      </c>
      <c r="C39" s="69" t="str">
        <f>IF($A39="","",'Calc base'!$E62)</f>
        <v/>
      </c>
      <c r="D39" s="70" t="str">
        <f>IF($A39="","",J39+L39+N39+P39+R39+T39+V39+X39+Z39+AB39+AD39+AF39)</f>
        <v/>
      </c>
      <c r="E39" s="70" t="str">
        <f>IF($A39="","",CHOOSE('Calc riepilogo'!$B$2,'Calc valanga'!$H62,'Calc palla di neve'!$H62,'Calc personalizzata'!$H62))</f>
        <v/>
      </c>
      <c r="F39" s="71" t="str">
        <f>IF($A39="","",CHOOSE('Calc riepilogo'!$B$2,'Calc valanga'!$G62,'Calc palla di neve'!$G62,'Calc personalizzata'!$G62))</f>
        <v/>
      </c>
      <c r="G39" s="72" t="n"/>
      <c r="H39" s="73" t="n"/>
      <c r="I39" s="74" t="str">
        <f>IF($A39="","",TRIM(IF(AND(N(K38)&gt;0,N(K39)&lt;=0.004),"✓ "&amp;'Calc base'!C$6&amp;"   ","")&amp;IF(AND(N(M38)&gt;0,N(M39)&lt;=0.004),"✓ "&amp;'Calc base'!D$6&amp;"   ","")&amp;IF(AND(N(O38)&gt;0,N(O39)&lt;=0.004),"✓ "&amp;'Calc base'!E$6&amp;"   ","")&amp;IF(AND(N(Q38)&gt;0,N(Q39)&lt;=0.004),"✓ "&amp;'Calc base'!F$6&amp;"   ","")&amp;IF(AND(N(S38)&gt;0,N(S39)&lt;=0.004),"✓ "&amp;'Calc base'!G$6&amp;"   ","")&amp;IF(AND(N(U38)&gt;0,N(U39)&lt;=0.004),"✓ "&amp;'Calc base'!H$6&amp;"   ","")&amp;IF(AND(N(W38)&gt;0,N(W39)&lt;=0.004),"✓ "&amp;'Calc base'!I$6&amp;"   ","")&amp;IF(AND(N(Y38)&gt;0,N(Y39)&lt;=0.004),"✓ "&amp;'Calc base'!J$6&amp;"   ","")&amp;IF(AND(N(AA38)&gt;0,N(AA39)&lt;=0.004),"✓ "&amp;'Calc base'!K$6&amp;"   ","")&amp;IF(AND(N(AC38)&gt;0,N(AC39)&lt;=0.004),"✓ "&amp;'Calc base'!L$6&amp;"   ","")&amp;IF(AND(N(AE38)&gt;0,N(AE39)&lt;=0.004),"✓ "&amp;'Calc base'!M$6&amp;"   ","")&amp;IF(AND(N(AG38)&gt;0,N(AG39)&lt;=0.004),"✓ "&amp;'Calc base'!N$6&amp;"   ","")))</f>
        <v/>
      </c>
      <c r="J39" s="70" t="str">
        <f>IF($A39="","",ROUND(N(K38)*(1+'Calc base'!H62),2)-K39)</f>
        <v/>
      </c>
      <c r="K39" s="75" t="str">
        <f>IF($A39="","",CHOOSE('Calc riepilogo'!$B$2,'Calc valanga'!AT62,'Calc palla di neve'!AT62,'Calc personalizzata'!AT62))</f>
        <v/>
      </c>
      <c r="L39" s="70" t="str">
        <f>IF($A39="","",ROUND(N(M38)*(1+'Calc base'!I62),2)-M39)</f>
        <v/>
      </c>
      <c r="M39" s="75" t="str">
        <f>IF($A39="","",CHOOSE('Calc riepilogo'!$B$2,'Calc valanga'!AU62,'Calc palla di neve'!AU62,'Calc personalizzata'!AU62))</f>
        <v/>
      </c>
      <c r="N39" s="70" t="str">
        <f>IF($A39="","",ROUND(N(O38)*(1+'Calc base'!J62),2)-O39)</f>
        <v/>
      </c>
      <c r="O39" s="75" t="str">
        <f>IF($A39="","",CHOOSE('Calc riepilogo'!$B$2,'Calc valanga'!AV62,'Calc palla di neve'!AV62,'Calc personalizzata'!AV62))</f>
        <v/>
      </c>
      <c r="P39" s="70" t="str">
        <f>IF($A39="","",ROUND(N(Q38)*(1+'Calc base'!K62),2)-Q39)</f>
        <v/>
      </c>
      <c r="Q39" s="75" t="str">
        <f>IF($A39="","",CHOOSE('Calc riepilogo'!$B$2,'Calc valanga'!AW62,'Calc palla di neve'!AW62,'Calc personalizzata'!AW62))</f>
        <v/>
      </c>
      <c r="R39" s="70" t="str">
        <f>IF($A39="","",ROUND(N(S38)*(1+'Calc base'!L62),2)-S39)</f>
        <v/>
      </c>
      <c r="S39" s="75" t="str">
        <f>IF($A39="","",CHOOSE('Calc riepilogo'!$B$2,'Calc valanga'!AX62,'Calc palla di neve'!AX62,'Calc personalizzata'!AX62))</f>
        <v/>
      </c>
      <c r="T39" s="70" t="str">
        <f>IF($A39="","",ROUND(N(U38)*(1+'Calc base'!M62),2)-U39)</f>
        <v/>
      </c>
      <c r="U39" s="75" t="str">
        <f>IF($A39="","",CHOOSE('Calc riepilogo'!$B$2,'Calc valanga'!AY62,'Calc palla di neve'!AY62,'Calc personalizzata'!AY62))</f>
        <v/>
      </c>
      <c r="V39" s="70" t="str">
        <f>IF($A39="","",ROUND(N(W38)*(1+'Calc base'!N62),2)-W39)</f>
        <v/>
      </c>
      <c r="W39" s="75" t="str">
        <f>IF($A39="","",CHOOSE('Calc riepilogo'!$B$2,'Calc valanga'!AZ62,'Calc palla di neve'!AZ62,'Calc personalizzata'!AZ62))</f>
        <v/>
      </c>
      <c r="X39" s="70" t="str">
        <f>IF($A39="","",ROUND(N(Y38)*(1+'Calc base'!O62),2)-Y39)</f>
        <v/>
      </c>
      <c r="Y39" s="75" t="str">
        <f>IF($A39="","",CHOOSE('Calc riepilogo'!$B$2,'Calc valanga'!BA62,'Calc palla di neve'!BA62,'Calc personalizzata'!BA62))</f>
        <v/>
      </c>
      <c r="Z39" s="70" t="str">
        <f>IF($A39="","",ROUND(N(AA38)*(1+'Calc base'!P62),2)-AA39)</f>
        <v/>
      </c>
      <c r="AA39" s="75" t="str">
        <f>IF($A39="","",CHOOSE('Calc riepilogo'!$B$2,'Calc valanga'!BB62,'Calc palla di neve'!BB62,'Calc personalizzata'!BB62))</f>
        <v/>
      </c>
      <c r="AB39" s="70" t="str">
        <f>IF($A39="","",ROUND(N(AC38)*(1+'Calc base'!Q62),2)-AC39)</f>
        <v/>
      </c>
      <c r="AC39" s="75" t="str">
        <f>IF($A39="","",CHOOSE('Calc riepilogo'!$B$2,'Calc valanga'!BC62,'Calc palla di neve'!BC62,'Calc personalizzata'!BC62))</f>
        <v/>
      </c>
      <c r="AD39" s="70" t="str">
        <f>IF($A39="","",ROUND(N(AE38)*(1+'Calc base'!R62),2)-AE39)</f>
        <v/>
      </c>
      <c r="AE39" s="75" t="str">
        <f>IF($A39="","",CHOOSE('Calc riepilogo'!$B$2,'Calc valanga'!BD62,'Calc palla di neve'!BD62,'Calc personalizzata'!BD62))</f>
        <v/>
      </c>
      <c r="AF39" s="70" t="str">
        <f>IF($A39="","",ROUND(N(AG38)*(1+'Calc base'!S62),2)-AG39)</f>
        <v/>
      </c>
      <c r="AG39" s="75" t="str">
        <f>IF($A39="","",CHOOSE('Calc riepilogo'!$B$2,'Calc valanga'!BE62,'Calc palla di neve'!BE62,'Calc personalizzata'!BE62))</f>
        <v/>
      </c>
      <c r="AI39" t="n">
        <v>32</v>
      </c>
    </row>
    <row r="40">
      <c r="A40" s="68" t="str">
        <f>IF(33&gt;'Calc riepilogo'!$B$7,"",'Calc base'!$B63)</f>
        <v/>
      </c>
      <c r="B40" s="69" t="str">
        <f>IF($A40="","",'Calc base'!$C63)</f>
        <v/>
      </c>
      <c r="C40" s="69" t="str">
        <f>IF($A40="","",'Calc base'!$E63)</f>
        <v/>
      </c>
      <c r="D40" s="70" t="str">
        <f>IF($A40="","",J40+L40+N40+P40+R40+T40+V40+X40+Z40+AB40+AD40+AF40)</f>
        <v/>
      </c>
      <c r="E40" s="70" t="str">
        <f>IF($A40="","",CHOOSE('Calc riepilogo'!$B$2,'Calc valanga'!$H63,'Calc palla di neve'!$H63,'Calc personalizzata'!$H63))</f>
        <v/>
      </c>
      <c r="F40" s="71" t="str">
        <f>IF($A40="","",CHOOSE('Calc riepilogo'!$B$2,'Calc valanga'!$G63,'Calc palla di neve'!$G63,'Calc personalizzata'!$G63))</f>
        <v/>
      </c>
      <c r="G40" s="72" t="n"/>
      <c r="H40" s="73" t="n"/>
      <c r="I40" s="74" t="str">
        <f>IF($A40="","",TRIM(IF(AND(N(K39)&gt;0,N(K40)&lt;=0.004),"✓ "&amp;'Calc base'!C$6&amp;"   ","")&amp;IF(AND(N(M39)&gt;0,N(M40)&lt;=0.004),"✓ "&amp;'Calc base'!D$6&amp;"   ","")&amp;IF(AND(N(O39)&gt;0,N(O40)&lt;=0.004),"✓ "&amp;'Calc base'!E$6&amp;"   ","")&amp;IF(AND(N(Q39)&gt;0,N(Q40)&lt;=0.004),"✓ "&amp;'Calc base'!F$6&amp;"   ","")&amp;IF(AND(N(S39)&gt;0,N(S40)&lt;=0.004),"✓ "&amp;'Calc base'!G$6&amp;"   ","")&amp;IF(AND(N(U39)&gt;0,N(U40)&lt;=0.004),"✓ "&amp;'Calc base'!H$6&amp;"   ","")&amp;IF(AND(N(W39)&gt;0,N(W40)&lt;=0.004),"✓ "&amp;'Calc base'!I$6&amp;"   ","")&amp;IF(AND(N(Y39)&gt;0,N(Y40)&lt;=0.004),"✓ "&amp;'Calc base'!J$6&amp;"   ","")&amp;IF(AND(N(AA39)&gt;0,N(AA40)&lt;=0.004),"✓ "&amp;'Calc base'!K$6&amp;"   ","")&amp;IF(AND(N(AC39)&gt;0,N(AC40)&lt;=0.004),"✓ "&amp;'Calc base'!L$6&amp;"   ","")&amp;IF(AND(N(AE39)&gt;0,N(AE40)&lt;=0.004),"✓ "&amp;'Calc base'!M$6&amp;"   ","")&amp;IF(AND(N(AG39)&gt;0,N(AG40)&lt;=0.004),"✓ "&amp;'Calc base'!N$6&amp;"   ","")))</f>
        <v/>
      </c>
      <c r="J40" s="70" t="str">
        <f>IF($A40="","",ROUND(N(K39)*(1+'Calc base'!H63),2)-K40)</f>
        <v/>
      </c>
      <c r="K40" s="75" t="str">
        <f>IF($A40="","",CHOOSE('Calc riepilogo'!$B$2,'Calc valanga'!AT63,'Calc palla di neve'!AT63,'Calc personalizzata'!AT63))</f>
        <v/>
      </c>
      <c r="L40" s="70" t="str">
        <f>IF($A40="","",ROUND(N(M39)*(1+'Calc base'!I63),2)-M40)</f>
        <v/>
      </c>
      <c r="M40" s="75" t="str">
        <f>IF($A40="","",CHOOSE('Calc riepilogo'!$B$2,'Calc valanga'!AU63,'Calc palla di neve'!AU63,'Calc personalizzata'!AU63))</f>
        <v/>
      </c>
      <c r="N40" s="70" t="str">
        <f>IF($A40="","",ROUND(N(O39)*(1+'Calc base'!J63),2)-O40)</f>
        <v/>
      </c>
      <c r="O40" s="75" t="str">
        <f>IF($A40="","",CHOOSE('Calc riepilogo'!$B$2,'Calc valanga'!AV63,'Calc palla di neve'!AV63,'Calc personalizzata'!AV63))</f>
        <v/>
      </c>
      <c r="P40" s="70" t="str">
        <f>IF($A40="","",ROUND(N(Q39)*(1+'Calc base'!K63),2)-Q40)</f>
        <v/>
      </c>
      <c r="Q40" s="75" t="str">
        <f>IF($A40="","",CHOOSE('Calc riepilogo'!$B$2,'Calc valanga'!AW63,'Calc palla di neve'!AW63,'Calc personalizzata'!AW63))</f>
        <v/>
      </c>
      <c r="R40" s="70" t="str">
        <f>IF($A40="","",ROUND(N(S39)*(1+'Calc base'!L63),2)-S40)</f>
        <v/>
      </c>
      <c r="S40" s="75" t="str">
        <f>IF($A40="","",CHOOSE('Calc riepilogo'!$B$2,'Calc valanga'!AX63,'Calc palla di neve'!AX63,'Calc personalizzata'!AX63))</f>
        <v/>
      </c>
      <c r="T40" s="70" t="str">
        <f>IF($A40="","",ROUND(N(U39)*(1+'Calc base'!M63),2)-U40)</f>
        <v/>
      </c>
      <c r="U40" s="75" t="str">
        <f>IF($A40="","",CHOOSE('Calc riepilogo'!$B$2,'Calc valanga'!AY63,'Calc palla di neve'!AY63,'Calc personalizzata'!AY63))</f>
        <v/>
      </c>
      <c r="V40" s="70" t="str">
        <f>IF($A40="","",ROUND(N(W39)*(1+'Calc base'!N63),2)-W40)</f>
        <v/>
      </c>
      <c r="W40" s="75" t="str">
        <f>IF($A40="","",CHOOSE('Calc riepilogo'!$B$2,'Calc valanga'!AZ63,'Calc palla di neve'!AZ63,'Calc personalizzata'!AZ63))</f>
        <v/>
      </c>
      <c r="X40" s="70" t="str">
        <f>IF($A40="","",ROUND(N(Y39)*(1+'Calc base'!O63),2)-Y40)</f>
        <v/>
      </c>
      <c r="Y40" s="75" t="str">
        <f>IF($A40="","",CHOOSE('Calc riepilogo'!$B$2,'Calc valanga'!BA63,'Calc palla di neve'!BA63,'Calc personalizzata'!BA63))</f>
        <v/>
      </c>
      <c r="Z40" s="70" t="str">
        <f>IF($A40="","",ROUND(N(AA39)*(1+'Calc base'!P63),2)-AA40)</f>
        <v/>
      </c>
      <c r="AA40" s="75" t="str">
        <f>IF($A40="","",CHOOSE('Calc riepilogo'!$B$2,'Calc valanga'!BB63,'Calc palla di neve'!BB63,'Calc personalizzata'!BB63))</f>
        <v/>
      </c>
      <c r="AB40" s="70" t="str">
        <f>IF($A40="","",ROUND(N(AC39)*(1+'Calc base'!Q63),2)-AC40)</f>
        <v/>
      </c>
      <c r="AC40" s="75" t="str">
        <f>IF($A40="","",CHOOSE('Calc riepilogo'!$B$2,'Calc valanga'!BC63,'Calc palla di neve'!BC63,'Calc personalizzata'!BC63))</f>
        <v/>
      </c>
      <c r="AD40" s="70" t="str">
        <f>IF($A40="","",ROUND(N(AE39)*(1+'Calc base'!R63),2)-AE40)</f>
        <v/>
      </c>
      <c r="AE40" s="75" t="str">
        <f>IF($A40="","",CHOOSE('Calc riepilogo'!$B$2,'Calc valanga'!BD63,'Calc palla di neve'!BD63,'Calc personalizzata'!BD63))</f>
        <v/>
      </c>
      <c r="AF40" s="70" t="str">
        <f>IF($A40="","",ROUND(N(AG39)*(1+'Calc base'!S63),2)-AG40)</f>
        <v/>
      </c>
      <c r="AG40" s="75" t="str">
        <f>IF($A40="","",CHOOSE('Calc riepilogo'!$B$2,'Calc valanga'!BE63,'Calc palla di neve'!BE63,'Calc personalizzata'!BE63))</f>
        <v/>
      </c>
      <c r="AI40" t="n">
        <v>33</v>
      </c>
    </row>
    <row r="41">
      <c r="A41" s="68" t="str">
        <f>IF(34&gt;'Calc riepilogo'!$B$7,"",'Calc base'!$B64)</f>
        <v/>
      </c>
      <c r="B41" s="69" t="str">
        <f>IF($A41="","",'Calc base'!$C64)</f>
        <v/>
      </c>
      <c r="C41" s="69" t="str">
        <f>IF($A41="","",'Calc base'!$E64)</f>
        <v/>
      </c>
      <c r="D41" s="70" t="str">
        <f>IF($A41="","",J41+L41+N41+P41+R41+T41+V41+X41+Z41+AB41+AD41+AF41)</f>
        <v/>
      </c>
      <c r="E41" s="70" t="str">
        <f>IF($A41="","",CHOOSE('Calc riepilogo'!$B$2,'Calc valanga'!$H64,'Calc palla di neve'!$H64,'Calc personalizzata'!$H64))</f>
        <v/>
      </c>
      <c r="F41" s="71" t="str">
        <f>IF($A41="","",CHOOSE('Calc riepilogo'!$B$2,'Calc valanga'!$G64,'Calc palla di neve'!$G64,'Calc personalizzata'!$G64))</f>
        <v/>
      </c>
      <c r="G41" s="72" t="n"/>
      <c r="H41" s="73" t="n"/>
      <c r="I41" s="74" t="str">
        <f>IF($A41="","",TRIM(IF(AND(N(K40)&gt;0,N(K41)&lt;=0.004),"✓ "&amp;'Calc base'!C$6&amp;"   ","")&amp;IF(AND(N(M40)&gt;0,N(M41)&lt;=0.004),"✓ "&amp;'Calc base'!D$6&amp;"   ","")&amp;IF(AND(N(O40)&gt;0,N(O41)&lt;=0.004),"✓ "&amp;'Calc base'!E$6&amp;"   ","")&amp;IF(AND(N(Q40)&gt;0,N(Q41)&lt;=0.004),"✓ "&amp;'Calc base'!F$6&amp;"   ","")&amp;IF(AND(N(S40)&gt;0,N(S41)&lt;=0.004),"✓ "&amp;'Calc base'!G$6&amp;"   ","")&amp;IF(AND(N(U40)&gt;0,N(U41)&lt;=0.004),"✓ "&amp;'Calc base'!H$6&amp;"   ","")&amp;IF(AND(N(W40)&gt;0,N(W41)&lt;=0.004),"✓ "&amp;'Calc base'!I$6&amp;"   ","")&amp;IF(AND(N(Y40)&gt;0,N(Y41)&lt;=0.004),"✓ "&amp;'Calc base'!J$6&amp;"   ","")&amp;IF(AND(N(AA40)&gt;0,N(AA41)&lt;=0.004),"✓ "&amp;'Calc base'!K$6&amp;"   ","")&amp;IF(AND(N(AC40)&gt;0,N(AC41)&lt;=0.004),"✓ "&amp;'Calc base'!L$6&amp;"   ","")&amp;IF(AND(N(AE40)&gt;0,N(AE41)&lt;=0.004),"✓ "&amp;'Calc base'!M$6&amp;"   ","")&amp;IF(AND(N(AG40)&gt;0,N(AG41)&lt;=0.004),"✓ "&amp;'Calc base'!N$6&amp;"   ","")))</f>
        <v/>
      </c>
      <c r="J41" s="70" t="str">
        <f>IF($A41="","",ROUND(N(K40)*(1+'Calc base'!H64),2)-K41)</f>
        <v/>
      </c>
      <c r="K41" s="75" t="str">
        <f>IF($A41="","",CHOOSE('Calc riepilogo'!$B$2,'Calc valanga'!AT64,'Calc palla di neve'!AT64,'Calc personalizzata'!AT64))</f>
        <v/>
      </c>
      <c r="L41" s="70" t="str">
        <f>IF($A41="","",ROUND(N(M40)*(1+'Calc base'!I64),2)-M41)</f>
        <v/>
      </c>
      <c r="M41" s="75" t="str">
        <f>IF($A41="","",CHOOSE('Calc riepilogo'!$B$2,'Calc valanga'!AU64,'Calc palla di neve'!AU64,'Calc personalizzata'!AU64))</f>
        <v/>
      </c>
      <c r="N41" s="70" t="str">
        <f>IF($A41="","",ROUND(N(O40)*(1+'Calc base'!J64),2)-O41)</f>
        <v/>
      </c>
      <c r="O41" s="75" t="str">
        <f>IF($A41="","",CHOOSE('Calc riepilogo'!$B$2,'Calc valanga'!AV64,'Calc palla di neve'!AV64,'Calc personalizzata'!AV64))</f>
        <v/>
      </c>
      <c r="P41" s="70" t="str">
        <f>IF($A41="","",ROUND(N(Q40)*(1+'Calc base'!K64),2)-Q41)</f>
        <v/>
      </c>
      <c r="Q41" s="75" t="str">
        <f>IF($A41="","",CHOOSE('Calc riepilogo'!$B$2,'Calc valanga'!AW64,'Calc palla di neve'!AW64,'Calc personalizzata'!AW64))</f>
        <v/>
      </c>
      <c r="R41" s="70" t="str">
        <f>IF($A41="","",ROUND(N(S40)*(1+'Calc base'!L64),2)-S41)</f>
        <v/>
      </c>
      <c r="S41" s="75" t="str">
        <f>IF($A41="","",CHOOSE('Calc riepilogo'!$B$2,'Calc valanga'!AX64,'Calc palla di neve'!AX64,'Calc personalizzata'!AX64))</f>
        <v/>
      </c>
      <c r="T41" s="70" t="str">
        <f>IF($A41="","",ROUND(N(U40)*(1+'Calc base'!M64),2)-U41)</f>
        <v/>
      </c>
      <c r="U41" s="75" t="str">
        <f>IF($A41="","",CHOOSE('Calc riepilogo'!$B$2,'Calc valanga'!AY64,'Calc palla di neve'!AY64,'Calc personalizzata'!AY64))</f>
        <v/>
      </c>
      <c r="V41" s="70" t="str">
        <f>IF($A41="","",ROUND(N(W40)*(1+'Calc base'!N64),2)-W41)</f>
        <v/>
      </c>
      <c r="W41" s="75" t="str">
        <f>IF($A41="","",CHOOSE('Calc riepilogo'!$B$2,'Calc valanga'!AZ64,'Calc palla di neve'!AZ64,'Calc personalizzata'!AZ64))</f>
        <v/>
      </c>
      <c r="X41" s="70" t="str">
        <f>IF($A41="","",ROUND(N(Y40)*(1+'Calc base'!O64),2)-Y41)</f>
        <v/>
      </c>
      <c r="Y41" s="75" t="str">
        <f>IF($A41="","",CHOOSE('Calc riepilogo'!$B$2,'Calc valanga'!BA64,'Calc palla di neve'!BA64,'Calc personalizzata'!BA64))</f>
        <v/>
      </c>
      <c r="Z41" s="70" t="str">
        <f>IF($A41="","",ROUND(N(AA40)*(1+'Calc base'!P64),2)-AA41)</f>
        <v/>
      </c>
      <c r="AA41" s="75" t="str">
        <f>IF($A41="","",CHOOSE('Calc riepilogo'!$B$2,'Calc valanga'!BB64,'Calc palla di neve'!BB64,'Calc personalizzata'!BB64))</f>
        <v/>
      </c>
      <c r="AB41" s="70" t="str">
        <f>IF($A41="","",ROUND(N(AC40)*(1+'Calc base'!Q64),2)-AC41)</f>
        <v/>
      </c>
      <c r="AC41" s="75" t="str">
        <f>IF($A41="","",CHOOSE('Calc riepilogo'!$B$2,'Calc valanga'!BC64,'Calc palla di neve'!BC64,'Calc personalizzata'!BC64))</f>
        <v/>
      </c>
      <c r="AD41" s="70" t="str">
        <f>IF($A41="","",ROUND(N(AE40)*(1+'Calc base'!R64),2)-AE41)</f>
        <v/>
      </c>
      <c r="AE41" s="75" t="str">
        <f>IF($A41="","",CHOOSE('Calc riepilogo'!$B$2,'Calc valanga'!BD64,'Calc palla di neve'!BD64,'Calc personalizzata'!BD64))</f>
        <v/>
      </c>
      <c r="AF41" s="70" t="str">
        <f>IF($A41="","",ROUND(N(AG40)*(1+'Calc base'!S64),2)-AG41)</f>
        <v/>
      </c>
      <c r="AG41" s="75" t="str">
        <f>IF($A41="","",CHOOSE('Calc riepilogo'!$B$2,'Calc valanga'!BE64,'Calc palla di neve'!BE64,'Calc personalizzata'!BE64))</f>
        <v/>
      </c>
      <c r="AI41" t="n">
        <v>34</v>
      </c>
    </row>
    <row r="42">
      <c r="A42" s="68" t="str">
        <f>IF(35&gt;'Calc riepilogo'!$B$7,"",'Calc base'!$B65)</f>
        <v/>
      </c>
      <c r="B42" s="69" t="str">
        <f>IF($A42="","",'Calc base'!$C65)</f>
        <v/>
      </c>
      <c r="C42" s="69" t="str">
        <f>IF($A42="","",'Calc base'!$E65)</f>
        <v/>
      </c>
      <c r="D42" s="70" t="str">
        <f>IF($A42="","",J42+L42+N42+P42+R42+T42+V42+X42+Z42+AB42+AD42+AF42)</f>
        <v/>
      </c>
      <c r="E42" s="70" t="str">
        <f>IF($A42="","",CHOOSE('Calc riepilogo'!$B$2,'Calc valanga'!$H65,'Calc palla di neve'!$H65,'Calc personalizzata'!$H65))</f>
        <v/>
      </c>
      <c r="F42" s="71" t="str">
        <f>IF($A42="","",CHOOSE('Calc riepilogo'!$B$2,'Calc valanga'!$G65,'Calc palla di neve'!$G65,'Calc personalizzata'!$G65))</f>
        <v/>
      </c>
      <c r="G42" s="72" t="n"/>
      <c r="H42" s="73" t="n"/>
      <c r="I42" s="74" t="str">
        <f>IF($A42="","",TRIM(IF(AND(N(K41)&gt;0,N(K42)&lt;=0.004),"✓ "&amp;'Calc base'!C$6&amp;"   ","")&amp;IF(AND(N(M41)&gt;0,N(M42)&lt;=0.004),"✓ "&amp;'Calc base'!D$6&amp;"   ","")&amp;IF(AND(N(O41)&gt;0,N(O42)&lt;=0.004),"✓ "&amp;'Calc base'!E$6&amp;"   ","")&amp;IF(AND(N(Q41)&gt;0,N(Q42)&lt;=0.004),"✓ "&amp;'Calc base'!F$6&amp;"   ","")&amp;IF(AND(N(S41)&gt;0,N(S42)&lt;=0.004),"✓ "&amp;'Calc base'!G$6&amp;"   ","")&amp;IF(AND(N(U41)&gt;0,N(U42)&lt;=0.004),"✓ "&amp;'Calc base'!H$6&amp;"   ","")&amp;IF(AND(N(W41)&gt;0,N(W42)&lt;=0.004),"✓ "&amp;'Calc base'!I$6&amp;"   ","")&amp;IF(AND(N(Y41)&gt;0,N(Y42)&lt;=0.004),"✓ "&amp;'Calc base'!J$6&amp;"   ","")&amp;IF(AND(N(AA41)&gt;0,N(AA42)&lt;=0.004),"✓ "&amp;'Calc base'!K$6&amp;"   ","")&amp;IF(AND(N(AC41)&gt;0,N(AC42)&lt;=0.004),"✓ "&amp;'Calc base'!L$6&amp;"   ","")&amp;IF(AND(N(AE41)&gt;0,N(AE42)&lt;=0.004),"✓ "&amp;'Calc base'!M$6&amp;"   ","")&amp;IF(AND(N(AG41)&gt;0,N(AG42)&lt;=0.004),"✓ "&amp;'Calc base'!N$6&amp;"   ","")))</f>
        <v/>
      </c>
      <c r="J42" s="70" t="str">
        <f>IF($A42="","",ROUND(N(K41)*(1+'Calc base'!H65),2)-K42)</f>
        <v/>
      </c>
      <c r="K42" s="75" t="str">
        <f>IF($A42="","",CHOOSE('Calc riepilogo'!$B$2,'Calc valanga'!AT65,'Calc palla di neve'!AT65,'Calc personalizzata'!AT65))</f>
        <v/>
      </c>
      <c r="L42" s="70" t="str">
        <f>IF($A42="","",ROUND(N(M41)*(1+'Calc base'!I65),2)-M42)</f>
        <v/>
      </c>
      <c r="M42" s="75" t="str">
        <f>IF($A42="","",CHOOSE('Calc riepilogo'!$B$2,'Calc valanga'!AU65,'Calc palla di neve'!AU65,'Calc personalizzata'!AU65))</f>
        <v/>
      </c>
      <c r="N42" s="70" t="str">
        <f>IF($A42="","",ROUND(N(O41)*(1+'Calc base'!J65),2)-O42)</f>
        <v/>
      </c>
      <c r="O42" s="75" t="str">
        <f>IF($A42="","",CHOOSE('Calc riepilogo'!$B$2,'Calc valanga'!AV65,'Calc palla di neve'!AV65,'Calc personalizzata'!AV65))</f>
        <v/>
      </c>
      <c r="P42" s="70" t="str">
        <f>IF($A42="","",ROUND(N(Q41)*(1+'Calc base'!K65),2)-Q42)</f>
        <v/>
      </c>
      <c r="Q42" s="75" t="str">
        <f>IF($A42="","",CHOOSE('Calc riepilogo'!$B$2,'Calc valanga'!AW65,'Calc palla di neve'!AW65,'Calc personalizzata'!AW65))</f>
        <v/>
      </c>
      <c r="R42" s="70" t="str">
        <f>IF($A42="","",ROUND(N(S41)*(1+'Calc base'!L65),2)-S42)</f>
        <v/>
      </c>
      <c r="S42" s="75" t="str">
        <f>IF($A42="","",CHOOSE('Calc riepilogo'!$B$2,'Calc valanga'!AX65,'Calc palla di neve'!AX65,'Calc personalizzata'!AX65))</f>
        <v/>
      </c>
      <c r="T42" s="70" t="str">
        <f>IF($A42="","",ROUND(N(U41)*(1+'Calc base'!M65),2)-U42)</f>
        <v/>
      </c>
      <c r="U42" s="75" t="str">
        <f>IF($A42="","",CHOOSE('Calc riepilogo'!$B$2,'Calc valanga'!AY65,'Calc palla di neve'!AY65,'Calc personalizzata'!AY65))</f>
        <v/>
      </c>
      <c r="V42" s="70" t="str">
        <f>IF($A42="","",ROUND(N(W41)*(1+'Calc base'!N65),2)-W42)</f>
        <v/>
      </c>
      <c r="W42" s="75" t="str">
        <f>IF($A42="","",CHOOSE('Calc riepilogo'!$B$2,'Calc valanga'!AZ65,'Calc palla di neve'!AZ65,'Calc personalizzata'!AZ65))</f>
        <v/>
      </c>
      <c r="X42" s="70" t="str">
        <f>IF($A42="","",ROUND(N(Y41)*(1+'Calc base'!O65),2)-Y42)</f>
        <v/>
      </c>
      <c r="Y42" s="75" t="str">
        <f>IF($A42="","",CHOOSE('Calc riepilogo'!$B$2,'Calc valanga'!BA65,'Calc palla di neve'!BA65,'Calc personalizzata'!BA65))</f>
        <v/>
      </c>
      <c r="Z42" s="70" t="str">
        <f>IF($A42="","",ROUND(N(AA41)*(1+'Calc base'!P65),2)-AA42)</f>
        <v/>
      </c>
      <c r="AA42" s="75" t="str">
        <f>IF($A42="","",CHOOSE('Calc riepilogo'!$B$2,'Calc valanga'!BB65,'Calc palla di neve'!BB65,'Calc personalizzata'!BB65))</f>
        <v/>
      </c>
      <c r="AB42" s="70" t="str">
        <f>IF($A42="","",ROUND(N(AC41)*(1+'Calc base'!Q65),2)-AC42)</f>
        <v/>
      </c>
      <c r="AC42" s="75" t="str">
        <f>IF($A42="","",CHOOSE('Calc riepilogo'!$B$2,'Calc valanga'!BC65,'Calc palla di neve'!BC65,'Calc personalizzata'!BC65))</f>
        <v/>
      </c>
      <c r="AD42" s="70" t="str">
        <f>IF($A42="","",ROUND(N(AE41)*(1+'Calc base'!R65),2)-AE42)</f>
        <v/>
      </c>
      <c r="AE42" s="75" t="str">
        <f>IF($A42="","",CHOOSE('Calc riepilogo'!$B$2,'Calc valanga'!BD65,'Calc palla di neve'!BD65,'Calc personalizzata'!BD65))</f>
        <v/>
      </c>
      <c r="AF42" s="70" t="str">
        <f>IF($A42="","",ROUND(N(AG41)*(1+'Calc base'!S65),2)-AG42)</f>
        <v/>
      </c>
      <c r="AG42" s="75" t="str">
        <f>IF($A42="","",CHOOSE('Calc riepilogo'!$B$2,'Calc valanga'!BE65,'Calc palla di neve'!BE65,'Calc personalizzata'!BE65))</f>
        <v/>
      </c>
      <c r="AI42" t="n">
        <v>35</v>
      </c>
    </row>
    <row r="43">
      <c r="A43" s="68" t="str">
        <f>IF(36&gt;'Calc riepilogo'!$B$7,"",'Calc base'!$B66)</f>
        <v/>
      </c>
      <c r="B43" s="69" t="str">
        <f>IF($A43="","",'Calc base'!$C66)</f>
        <v/>
      </c>
      <c r="C43" s="69" t="str">
        <f>IF($A43="","",'Calc base'!$E66)</f>
        <v/>
      </c>
      <c r="D43" s="70" t="str">
        <f>IF($A43="","",J43+L43+N43+P43+R43+T43+V43+X43+Z43+AB43+AD43+AF43)</f>
        <v/>
      </c>
      <c r="E43" s="70" t="str">
        <f>IF($A43="","",CHOOSE('Calc riepilogo'!$B$2,'Calc valanga'!$H66,'Calc palla di neve'!$H66,'Calc personalizzata'!$H66))</f>
        <v/>
      </c>
      <c r="F43" s="71" t="str">
        <f>IF($A43="","",CHOOSE('Calc riepilogo'!$B$2,'Calc valanga'!$G66,'Calc palla di neve'!$G66,'Calc personalizzata'!$G66))</f>
        <v/>
      </c>
      <c r="G43" s="72" t="n"/>
      <c r="H43" s="73" t="n"/>
      <c r="I43" s="74" t="str">
        <f>IF($A43="","",TRIM(IF(AND(N(K42)&gt;0,N(K43)&lt;=0.004),"✓ "&amp;'Calc base'!C$6&amp;"   ","")&amp;IF(AND(N(M42)&gt;0,N(M43)&lt;=0.004),"✓ "&amp;'Calc base'!D$6&amp;"   ","")&amp;IF(AND(N(O42)&gt;0,N(O43)&lt;=0.004),"✓ "&amp;'Calc base'!E$6&amp;"   ","")&amp;IF(AND(N(Q42)&gt;0,N(Q43)&lt;=0.004),"✓ "&amp;'Calc base'!F$6&amp;"   ","")&amp;IF(AND(N(S42)&gt;0,N(S43)&lt;=0.004),"✓ "&amp;'Calc base'!G$6&amp;"   ","")&amp;IF(AND(N(U42)&gt;0,N(U43)&lt;=0.004),"✓ "&amp;'Calc base'!H$6&amp;"   ","")&amp;IF(AND(N(W42)&gt;0,N(W43)&lt;=0.004),"✓ "&amp;'Calc base'!I$6&amp;"   ","")&amp;IF(AND(N(Y42)&gt;0,N(Y43)&lt;=0.004),"✓ "&amp;'Calc base'!J$6&amp;"   ","")&amp;IF(AND(N(AA42)&gt;0,N(AA43)&lt;=0.004),"✓ "&amp;'Calc base'!K$6&amp;"   ","")&amp;IF(AND(N(AC42)&gt;0,N(AC43)&lt;=0.004),"✓ "&amp;'Calc base'!L$6&amp;"   ","")&amp;IF(AND(N(AE42)&gt;0,N(AE43)&lt;=0.004),"✓ "&amp;'Calc base'!M$6&amp;"   ","")&amp;IF(AND(N(AG42)&gt;0,N(AG43)&lt;=0.004),"✓ "&amp;'Calc base'!N$6&amp;"   ","")))</f>
        <v/>
      </c>
      <c r="J43" s="70" t="str">
        <f>IF($A43="","",ROUND(N(K42)*(1+'Calc base'!H66),2)-K43)</f>
        <v/>
      </c>
      <c r="K43" s="75" t="str">
        <f>IF($A43="","",CHOOSE('Calc riepilogo'!$B$2,'Calc valanga'!AT66,'Calc palla di neve'!AT66,'Calc personalizzata'!AT66))</f>
        <v/>
      </c>
      <c r="L43" s="70" t="str">
        <f>IF($A43="","",ROUND(N(M42)*(1+'Calc base'!I66),2)-M43)</f>
        <v/>
      </c>
      <c r="M43" s="75" t="str">
        <f>IF($A43="","",CHOOSE('Calc riepilogo'!$B$2,'Calc valanga'!AU66,'Calc palla di neve'!AU66,'Calc personalizzata'!AU66))</f>
        <v/>
      </c>
      <c r="N43" s="70" t="str">
        <f>IF($A43="","",ROUND(N(O42)*(1+'Calc base'!J66),2)-O43)</f>
        <v/>
      </c>
      <c r="O43" s="75" t="str">
        <f>IF($A43="","",CHOOSE('Calc riepilogo'!$B$2,'Calc valanga'!AV66,'Calc palla di neve'!AV66,'Calc personalizzata'!AV66))</f>
        <v/>
      </c>
      <c r="P43" s="70" t="str">
        <f>IF($A43="","",ROUND(N(Q42)*(1+'Calc base'!K66),2)-Q43)</f>
        <v/>
      </c>
      <c r="Q43" s="75" t="str">
        <f>IF($A43="","",CHOOSE('Calc riepilogo'!$B$2,'Calc valanga'!AW66,'Calc palla di neve'!AW66,'Calc personalizzata'!AW66))</f>
        <v/>
      </c>
      <c r="R43" s="70" t="str">
        <f>IF($A43="","",ROUND(N(S42)*(1+'Calc base'!L66),2)-S43)</f>
        <v/>
      </c>
      <c r="S43" s="75" t="str">
        <f>IF($A43="","",CHOOSE('Calc riepilogo'!$B$2,'Calc valanga'!AX66,'Calc palla di neve'!AX66,'Calc personalizzata'!AX66))</f>
        <v/>
      </c>
      <c r="T43" s="70" t="str">
        <f>IF($A43="","",ROUND(N(U42)*(1+'Calc base'!M66),2)-U43)</f>
        <v/>
      </c>
      <c r="U43" s="75" t="str">
        <f>IF($A43="","",CHOOSE('Calc riepilogo'!$B$2,'Calc valanga'!AY66,'Calc palla di neve'!AY66,'Calc personalizzata'!AY66))</f>
        <v/>
      </c>
      <c r="V43" s="70" t="str">
        <f>IF($A43="","",ROUND(N(W42)*(1+'Calc base'!N66),2)-W43)</f>
        <v/>
      </c>
      <c r="W43" s="75" t="str">
        <f>IF($A43="","",CHOOSE('Calc riepilogo'!$B$2,'Calc valanga'!AZ66,'Calc palla di neve'!AZ66,'Calc personalizzata'!AZ66))</f>
        <v/>
      </c>
      <c r="X43" s="70" t="str">
        <f>IF($A43="","",ROUND(N(Y42)*(1+'Calc base'!O66),2)-Y43)</f>
        <v/>
      </c>
      <c r="Y43" s="75" t="str">
        <f>IF($A43="","",CHOOSE('Calc riepilogo'!$B$2,'Calc valanga'!BA66,'Calc palla di neve'!BA66,'Calc personalizzata'!BA66))</f>
        <v/>
      </c>
      <c r="Z43" s="70" t="str">
        <f>IF($A43="","",ROUND(N(AA42)*(1+'Calc base'!P66),2)-AA43)</f>
        <v/>
      </c>
      <c r="AA43" s="75" t="str">
        <f>IF($A43="","",CHOOSE('Calc riepilogo'!$B$2,'Calc valanga'!BB66,'Calc palla di neve'!BB66,'Calc personalizzata'!BB66))</f>
        <v/>
      </c>
      <c r="AB43" s="70" t="str">
        <f>IF($A43="","",ROUND(N(AC42)*(1+'Calc base'!Q66),2)-AC43)</f>
        <v/>
      </c>
      <c r="AC43" s="75" t="str">
        <f>IF($A43="","",CHOOSE('Calc riepilogo'!$B$2,'Calc valanga'!BC66,'Calc palla di neve'!BC66,'Calc personalizzata'!BC66))</f>
        <v/>
      </c>
      <c r="AD43" s="70" t="str">
        <f>IF($A43="","",ROUND(N(AE42)*(1+'Calc base'!R66),2)-AE43)</f>
        <v/>
      </c>
      <c r="AE43" s="75" t="str">
        <f>IF($A43="","",CHOOSE('Calc riepilogo'!$B$2,'Calc valanga'!BD66,'Calc palla di neve'!BD66,'Calc personalizzata'!BD66))</f>
        <v/>
      </c>
      <c r="AF43" s="70" t="str">
        <f>IF($A43="","",ROUND(N(AG42)*(1+'Calc base'!S66),2)-AG43)</f>
        <v/>
      </c>
      <c r="AG43" s="75" t="str">
        <f>IF($A43="","",CHOOSE('Calc riepilogo'!$B$2,'Calc valanga'!BE66,'Calc palla di neve'!BE66,'Calc personalizzata'!BE66))</f>
        <v/>
      </c>
      <c r="AI43" t="n">
        <v>36</v>
      </c>
    </row>
    <row r="44">
      <c r="A44" s="68" t="str">
        <f>IF(37&gt;'Calc riepilogo'!$B$7,"",'Calc base'!$B67)</f>
        <v/>
      </c>
      <c r="B44" s="69" t="str">
        <f>IF($A44="","",'Calc base'!$C67)</f>
        <v/>
      </c>
      <c r="C44" s="69" t="str">
        <f>IF($A44="","",'Calc base'!$E67)</f>
        <v/>
      </c>
      <c r="D44" s="70" t="str">
        <f>IF($A44="","",J44+L44+N44+P44+R44+T44+V44+X44+Z44+AB44+AD44+AF44)</f>
        <v/>
      </c>
      <c r="E44" s="70" t="str">
        <f>IF($A44="","",CHOOSE('Calc riepilogo'!$B$2,'Calc valanga'!$H67,'Calc palla di neve'!$H67,'Calc personalizzata'!$H67))</f>
        <v/>
      </c>
      <c r="F44" s="71" t="str">
        <f>IF($A44="","",CHOOSE('Calc riepilogo'!$B$2,'Calc valanga'!$G67,'Calc palla di neve'!$G67,'Calc personalizzata'!$G67))</f>
        <v/>
      </c>
      <c r="G44" s="72" t="n"/>
      <c r="H44" s="73" t="n"/>
      <c r="I44" s="74" t="str">
        <f>IF($A44="","",TRIM(IF(AND(N(K43)&gt;0,N(K44)&lt;=0.004),"✓ "&amp;'Calc base'!C$6&amp;"   ","")&amp;IF(AND(N(M43)&gt;0,N(M44)&lt;=0.004),"✓ "&amp;'Calc base'!D$6&amp;"   ","")&amp;IF(AND(N(O43)&gt;0,N(O44)&lt;=0.004),"✓ "&amp;'Calc base'!E$6&amp;"   ","")&amp;IF(AND(N(Q43)&gt;0,N(Q44)&lt;=0.004),"✓ "&amp;'Calc base'!F$6&amp;"   ","")&amp;IF(AND(N(S43)&gt;0,N(S44)&lt;=0.004),"✓ "&amp;'Calc base'!G$6&amp;"   ","")&amp;IF(AND(N(U43)&gt;0,N(U44)&lt;=0.004),"✓ "&amp;'Calc base'!H$6&amp;"   ","")&amp;IF(AND(N(W43)&gt;0,N(W44)&lt;=0.004),"✓ "&amp;'Calc base'!I$6&amp;"   ","")&amp;IF(AND(N(Y43)&gt;0,N(Y44)&lt;=0.004),"✓ "&amp;'Calc base'!J$6&amp;"   ","")&amp;IF(AND(N(AA43)&gt;0,N(AA44)&lt;=0.004),"✓ "&amp;'Calc base'!K$6&amp;"   ","")&amp;IF(AND(N(AC43)&gt;0,N(AC44)&lt;=0.004),"✓ "&amp;'Calc base'!L$6&amp;"   ","")&amp;IF(AND(N(AE43)&gt;0,N(AE44)&lt;=0.004),"✓ "&amp;'Calc base'!M$6&amp;"   ","")&amp;IF(AND(N(AG43)&gt;0,N(AG44)&lt;=0.004),"✓ "&amp;'Calc base'!N$6&amp;"   ","")))</f>
        <v/>
      </c>
      <c r="J44" s="70" t="str">
        <f>IF($A44="","",ROUND(N(K43)*(1+'Calc base'!H67),2)-K44)</f>
        <v/>
      </c>
      <c r="K44" s="75" t="str">
        <f>IF($A44="","",CHOOSE('Calc riepilogo'!$B$2,'Calc valanga'!AT67,'Calc palla di neve'!AT67,'Calc personalizzata'!AT67))</f>
        <v/>
      </c>
      <c r="L44" s="70" t="str">
        <f>IF($A44="","",ROUND(N(M43)*(1+'Calc base'!I67),2)-M44)</f>
        <v/>
      </c>
      <c r="M44" s="75" t="str">
        <f>IF($A44="","",CHOOSE('Calc riepilogo'!$B$2,'Calc valanga'!AU67,'Calc palla di neve'!AU67,'Calc personalizzata'!AU67))</f>
        <v/>
      </c>
      <c r="N44" s="70" t="str">
        <f>IF($A44="","",ROUND(N(O43)*(1+'Calc base'!J67),2)-O44)</f>
        <v/>
      </c>
      <c r="O44" s="75" t="str">
        <f>IF($A44="","",CHOOSE('Calc riepilogo'!$B$2,'Calc valanga'!AV67,'Calc palla di neve'!AV67,'Calc personalizzata'!AV67))</f>
        <v/>
      </c>
      <c r="P44" s="70" t="str">
        <f>IF($A44="","",ROUND(N(Q43)*(1+'Calc base'!K67),2)-Q44)</f>
        <v/>
      </c>
      <c r="Q44" s="75" t="str">
        <f>IF($A44="","",CHOOSE('Calc riepilogo'!$B$2,'Calc valanga'!AW67,'Calc palla di neve'!AW67,'Calc personalizzata'!AW67))</f>
        <v/>
      </c>
      <c r="R44" s="70" t="str">
        <f>IF($A44="","",ROUND(N(S43)*(1+'Calc base'!L67),2)-S44)</f>
        <v/>
      </c>
      <c r="S44" s="75" t="str">
        <f>IF($A44="","",CHOOSE('Calc riepilogo'!$B$2,'Calc valanga'!AX67,'Calc palla di neve'!AX67,'Calc personalizzata'!AX67))</f>
        <v/>
      </c>
      <c r="T44" s="70" t="str">
        <f>IF($A44="","",ROUND(N(U43)*(1+'Calc base'!M67),2)-U44)</f>
        <v/>
      </c>
      <c r="U44" s="75" t="str">
        <f>IF($A44="","",CHOOSE('Calc riepilogo'!$B$2,'Calc valanga'!AY67,'Calc palla di neve'!AY67,'Calc personalizzata'!AY67))</f>
        <v/>
      </c>
      <c r="V44" s="70" t="str">
        <f>IF($A44="","",ROUND(N(W43)*(1+'Calc base'!N67),2)-W44)</f>
        <v/>
      </c>
      <c r="W44" s="75" t="str">
        <f>IF($A44="","",CHOOSE('Calc riepilogo'!$B$2,'Calc valanga'!AZ67,'Calc palla di neve'!AZ67,'Calc personalizzata'!AZ67))</f>
        <v/>
      </c>
      <c r="X44" s="70" t="str">
        <f>IF($A44="","",ROUND(N(Y43)*(1+'Calc base'!O67),2)-Y44)</f>
        <v/>
      </c>
      <c r="Y44" s="75" t="str">
        <f>IF($A44="","",CHOOSE('Calc riepilogo'!$B$2,'Calc valanga'!BA67,'Calc palla di neve'!BA67,'Calc personalizzata'!BA67))</f>
        <v/>
      </c>
      <c r="Z44" s="70" t="str">
        <f>IF($A44="","",ROUND(N(AA43)*(1+'Calc base'!P67),2)-AA44)</f>
        <v/>
      </c>
      <c r="AA44" s="75" t="str">
        <f>IF($A44="","",CHOOSE('Calc riepilogo'!$B$2,'Calc valanga'!BB67,'Calc palla di neve'!BB67,'Calc personalizzata'!BB67))</f>
        <v/>
      </c>
      <c r="AB44" s="70" t="str">
        <f>IF($A44="","",ROUND(N(AC43)*(1+'Calc base'!Q67),2)-AC44)</f>
        <v/>
      </c>
      <c r="AC44" s="75" t="str">
        <f>IF($A44="","",CHOOSE('Calc riepilogo'!$B$2,'Calc valanga'!BC67,'Calc palla di neve'!BC67,'Calc personalizzata'!BC67))</f>
        <v/>
      </c>
      <c r="AD44" s="70" t="str">
        <f>IF($A44="","",ROUND(N(AE43)*(1+'Calc base'!R67),2)-AE44)</f>
        <v/>
      </c>
      <c r="AE44" s="75" t="str">
        <f>IF($A44="","",CHOOSE('Calc riepilogo'!$B$2,'Calc valanga'!BD67,'Calc palla di neve'!BD67,'Calc personalizzata'!BD67))</f>
        <v/>
      </c>
      <c r="AF44" s="70" t="str">
        <f>IF($A44="","",ROUND(N(AG43)*(1+'Calc base'!S67),2)-AG44)</f>
        <v/>
      </c>
      <c r="AG44" s="75" t="str">
        <f>IF($A44="","",CHOOSE('Calc riepilogo'!$B$2,'Calc valanga'!BE67,'Calc palla di neve'!BE67,'Calc personalizzata'!BE67))</f>
        <v/>
      </c>
      <c r="AI44" t="n">
        <v>37</v>
      </c>
    </row>
    <row r="45">
      <c r="A45" s="68" t="str">
        <f>IF(38&gt;'Calc riepilogo'!$B$7,"",'Calc base'!$B68)</f>
        <v/>
      </c>
      <c r="B45" s="69" t="str">
        <f>IF($A45="","",'Calc base'!$C68)</f>
        <v/>
      </c>
      <c r="C45" s="69" t="str">
        <f>IF($A45="","",'Calc base'!$E68)</f>
        <v/>
      </c>
      <c r="D45" s="70" t="str">
        <f>IF($A45="","",J45+L45+N45+P45+R45+T45+V45+X45+Z45+AB45+AD45+AF45)</f>
        <v/>
      </c>
      <c r="E45" s="70" t="str">
        <f>IF($A45="","",CHOOSE('Calc riepilogo'!$B$2,'Calc valanga'!$H68,'Calc palla di neve'!$H68,'Calc personalizzata'!$H68))</f>
        <v/>
      </c>
      <c r="F45" s="71" t="str">
        <f>IF($A45="","",CHOOSE('Calc riepilogo'!$B$2,'Calc valanga'!$G68,'Calc palla di neve'!$G68,'Calc personalizzata'!$G68))</f>
        <v/>
      </c>
      <c r="G45" s="72" t="n"/>
      <c r="H45" s="73" t="n"/>
      <c r="I45" s="74" t="str">
        <f>IF($A45="","",TRIM(IF(AND(N(K44)&gt;0,N(K45)&lt;=0.004),"✓ "&amp;'Calc base'!C$6&amp;"   ","")&amp;IF(AND(N(M44)&gt;0,N(M45)&lt;=0.004),"✓ "&amp;'Calc base'!D$6&amp;"   ","")&amp;IF(AND(N(O44)&gt;0,N(O45)&lt;=0.004),"✓ "&amp;'Calc base'!E$6&amp;"   ","")&amp;IF(AND(N(Q44)&gt;0,N(Q45)&lt;=0.004),"✓ "&amp;'Calc base'!F$6&amp;"   ","")&amp;IF(AND(N(S44)&gt;0,N(S45)&lt;=0.004),"✓ "&amp;'Calc base'!G$6&amp;"   ","")&amp;IF(AND(N(U44)&gt;0,N(U45)&lt;=0.004),"✓ "&amp;'Calc base'!H$6&amp;"   ","")&amp;IF(AND(N(W44)&gt;0,N(W45)&lt;=0.004),"✓ "&amp;'Calc base'!I$6&amp;"   ","")&amp;IF(AND(N(Y44)&gt;0,N(Y45)&lt;=0.004),"✓ "&amp;'Calc base'!J$6&amp;"   ","")&amp;IF(AND(N(AA44)&gt;0,N(AA45)&lt;=0.004),"✓ "&amp;'Calc base'!K$6&amp;"   ","")&amp;IF(AND(N(AC44)&gt;0,N(AC45)&lt;=0.004),"✓ "&amp;'Calc base'!L$6&amp;"   ","")&amp;IF(AND(N(AE44)&gt;0,N(AE45)&lt;=0.004),"✓ "&amp;'Calc base'!M$6&amp;"   ","")&amp;IF(AND(N(AG44)&gt;0,N(AG45)&lt;=0.004),"✓ "&amp;'Calc base'!N$6&amp;"   ","")))</f>
        <v/>
      </c>
      <c r="J45" s="70" t="str">
        <f>IF($A45="","",ROUND(N(K44)*(1+'Calc base'!H68),2)-K45)</f>
        <v/>
      </c>
      <c r="K45" s="75" t="str">
        <f>IF($A45="","",CHOOSE('Calc riepilogo'!$B$2,'Calc valanga'!AT68,'Calc palla di neve'!AT68,'Calc personalizzata'!AT68))</f>
        <v/>
      </c>
      <c r="L45" s="70" t="str">
        <f>IF($A45="","",ROUND(N(M44)*(1+'Calc base'!I68),2)-M45)</f>
        <v/>
      </c>
      <c r="M45" s="75" t="str">
        <f>IF($A45="","",CHOOSE('Calc riepilogo'!$B$2,'Calc valanga'!AU68,'Calc palla di neve'!AU68,'Calc personalizzata'!AU68))</f>
        <v/>
      </c>
      <c r="N45" s="70" t="str">
        <f>IF($A45="","",ROUND(N(O44)*(1+'Calc base'!J68),2)-O45)</f>
        <v/>
      </c>
      <c r="O45" s="75" t="str">
        <f>IF($A45="","",CHOOSE('Calc riepilogo'!$B$2,'Calc valanga'!AV68,'Calc palla di neve'!AV68,'Calc personalizzata'!AV68))</f>
        <v/>
      </c>
      <c r="P45" s="70" t="str">
        <f>IF($A45="","",ROUND(N(Q44)*(1+'Calc base'!K68),2)-Q45)</f>
        <v/>
      </c>
      <c r="Q45" s="75" t="str">
        <f>IF($A45="","",CHOOSE('Calc riepilogo'!$B$2,'Calc valanga'!AW68,'Calc palla di neve'!AW68,'Calc personalizzata'!AW68))</f>
        <v/>
      </c>
      <c r="R45" s="70" t="str">
        <f>IF($A45="","",ROUND(N(S44)*(1+'Calc base'!L68),2)-S45)</f>
        <v/>
      </c>
      <c r="S45" s="75" t="str">
        <f>IF($A45="","",CHOOSE('Calc riepilogo'!$B$2,'Calc valanga'!AX68,'Calc palla di neve'!AX68,'Calc personalizzata'!AX68))</f>
        <v/>
      </c>
      <c r="T45" s="70" t="str">
        <f>IF($A45="","",ROUND(N(U44)*(1+'Calc base'!M68),2)-U45)</f>
        <v/>
      </c>
      <c r="U45" s="75" t="str">
        <f>IF($A45="","",CHOOSE('Calc riepilogo'!$B$2,'Calc valanga'!AY68,'Calc palla di neve'!AY68,'Calc personalizzata'!AY68))</f>
        <v/>
      </c>
      <c r="V45" s="70" t="str">
        <f>IF($A45="","",ROUND(N(W44)*(1+'Calc base'!N68),2)-W45)</f>
        <v/>
      </c>
      <c r="W45" s="75" t="str">
        <f>IF($A45="","",CHOOSE('Calc riepilogo'!$B$2,'Calc valanga'!AZ68,'Calc palla di neve'!AZ68,'Calc personalizzata'!AZ68))</f>
        <v/>
      </c>
      <c r="X45" s="70" t="str">
        <f>IF($A45="","",ROUND(N(Y44)*(1+'Calc base'!O68),2)-Y45)</f>
        <v/>
      </c>
      <c r="Y45" s="75" t="str">
        <f>IF($A45="","",CHOOSE('Calc riepilogo'!$B$2,'Calc valanga'!BA68,'Calc palla di neve'!BA68,'Calc personalizzata'!BA68))</f>
        <v/>
      </c>
      <c r="Z45" s="70" t="str">
        <f>IF($A45="","",ROUND(N(AA44)*(1+'Calc base'!P68),2)-AA45)</f>
        <v/>
      </c>
      <c r="AA45" s="75" t="str">
        <f>IF($A45="","",CHOOSE('Calc riepilogo'!$B$2,'Calc valanga'!BB68,'Calc palla di neve'!BB68,'Calc personalizzata'!BB68))</f>
        <v/>
      </c>
      <c r="AB45" s="70" t="str">
        <f>IF($A45="","",ROUND(N(AC44)*(1+'Calc base'!Q68),2)-AC45)</f>
        <v/>
      </c>
      <c r="AC45" s="75" t="str">
        <f>IF($A45="","",CHOOSE('Calc riepilogo'!$B$2,'Calc valanga'!BC68,'Calc palla di neve'!BC68,'Calc personalizzata'!BC68))</f>
        <v/>
      </c>
      <c r="AD45" s="70" t="str">
        <f>IF($A45="","",ROUND(N(AE44)*(1+'Calc base'!R68),2)-AE45)</f>
        <v/>
      </c>
      <c r="AE45" s="75" t="str">
        <f>IF($A45="","",CHOOSE('Calc riepilogo'!$B$2,'Calc valanga'!BD68,'Calc palla di neve'!BD68,'Calc personalizzata'!BD68))</f>
        <v/>
      </c>
      <c r="AF45" s="70" t="str">
        <f>IF($A45="","",ROUND(N(AG44)*(1+'Calc base'!S68),2)-AG45)</f>
        <v/>
      </c>
      <c r="AG45" s="75" t="str">
        <f>IF($A45="","",CHOOSE('Calc riepilogo'!$B$2,'Calc valanga'!BE68,'Calc palla di neve'!BE68,'Calc personalizzata'!BE68))</f>
        <v/>
      </c>
      <c r="AI45" t="n">
        <v>38</v>
      </c>
    </row>
    <row r="46">
      <c r="A46" s="68" t="str">
        <f>IF(39&gt;'Calc riepilogo'!$B$7,"",'Calc base'!$B69)</f>
        <v/>
      </c>
      <c r="B46" s="69" t="str">
        <f>IF($A46="","",'Calc base'!$C69)</f>
        <v/>
      </c>
      <c r="C46" s="69" t="str">
        <f>IF($A46="","",'Calc base'!$E69)</f>
        <v/>
      </c>
      <c r="D46" s="70" t="str">
        <f>IF($A46="","",J46+L46+N46+P46+R46+T46+V46+X46+Z46+AB46+AD46+AF46)</f>
        <v/>
      </c>
      <c r="E46" s="70" t="str">
        <f>IF($A46="","",CHOOSE('Calc riepilogo'!$B$2,'Calc valanga'!$H69,'Calc palla di neve'!$H69,'Calc personalizzata'!$H69))</f>
        <v/>
      </c>
      <c r="F46" s="71" t="str">
        <f>IF($A46="","",CHOOSE('Calc riepilogo'!$B$2,'Calc valanga'!$G69,'Calc palla di neve'!$G69,'Calc personalizzata'!$G69))</f>
        <v/>
      </c>
      <c r="G46" s="72" t="n"/>
      <c r="H46" s="73" t="n"/>
      <c r="I46" s="74" t="str">
        <f>IF($A46="","",TRIM(IF(AND(N(K45)&gt;0,N(K46)&lt;=0.004),"✓ "&amp;'Calc base'!C$6&amp;"   ","")&amp;IF(AND(N(M45)&gt;0,N(M46)&lt;=0.004),"✓ "&amp;'Calc base'!D$6&amp;"   ","")&amp;IF(AND(N(O45)&gt;0,N(O46)&lt;=0.004),"✓ "&amp;'Calc base'!E$6&amp;"   ","")&amp;IF(AND(N(Q45)&gt;0,N(Q46)&lt;=0.004),"✓ "&amp;'Calc base'!F$6&amp;"   ","")&amp;IF(AND(N(S45)&gt;0,N(S46)&lt;=0.004),"✓ "&amp;'Calc base'!G$6&amp;"   ","")&amp;IF(AND(N(U45)&gt;0,N(U46)&lt;=0.004),"✓ "&amp;'Calc base'!H$6&amp;"   ","")&amp;IF(AND(N(W45)&gt;0,N(W46)&lt;=0.004),"✓ "&amp;'Calc base'!I$6&amp;"   ","")&amp;IF(AND(N(Y45)&gt;0,N(Y46)&lt;=0.004),"✓ "&amp;'Calc base'!J$6&amp;"   ","")&amp;IF(AND(N(AA45)&gt;0,N(AA46)&lt;=0.004),"✓ "&amp;'Calc base'!K$6&amp;"   ","")&amp;IF(AND(N(AC45)&gt;0,N(AC46)&lt;=0.004),"✓ "&amp;'Calc base'!L$6&amp;"   ","")&amp;IF(AND(N(AE45)&gt;0,N(AE46)&lt;=0.004),"✓ "&amp;'Calc base'!M$6&amp;"   ","")&amp;IF(AND(N(AG45)&gt;0,N(AG46)&lt;=0.004),"✓ "&amp;'Calc base'!N$6&amp;"   ","")))</f>
        <v/>
      </c>
      <c r="J46" s="70" t="str">
        <f>IF($A46="","",ROUND(N(K45)*(1+'Calc base'!H69),2)-K46)</f>
        <v/>
      </c>
      <c r="K46" s="75" t="str">
        <f>IF($A46="","",CHOOSE('Calc riepilogo'!$B$2,'Calc valanga'!AT69,'Calc palla di neve'!AT69,'Calc personalizzata'!AT69))</f>
        <v/>
      </c>
      <c r="L46" s="70" t="str">
        <f>IF($A46="","",ROUND(N(M45)*(1+'Calc base'!I69),2)-M46)</f>
        <v/>
      </c>
      <c r="M46" s="75" t="str">
        <f>IF($A46="","",CHOOSE('Calc riepilogo'!$B$2,'Calc valanga'!AU69,'Calc palla di neve'!AU69,'Calc personalizzata'!AU69))</f>
        <v/>
      </c>
      <c r="N46" s="70" t="str">
        <f>IF($A46="","",ROUND(N(O45)*(1+'Calc base'!J69),2)-O46)</f>
        <v/>
      </c>
      <c r="O46" s="75" t="str">
        <f>IF($A46="","",CHOOSE('Calc riepilogo'!$B$2,'Calc valanga'!AV69,'Calc palla di neve'!AV69,'Calc personalizzata'!AV69))</f>
        <v/>
      </c>
      <c r="P46" s="70" t="str">
        <f>IF($A46="","",ROUND(N(Q45)*(1+'Calc base'!K69),2)-Q46)</f>
        <v/>
      </c>
      <c r="Q46" s="75" t="str">
        <f>IF($A46="","",CHOOSE('Calc riepilogo'!$B$2,'Calc valanga'!AW69,'Calc palla di neve'!AW69,'Calc personalizzata'!AW69))</f>
        <v/>
      </c>
      <c r="R46" s="70" t="str">
        <f>IF($A46="","",ROUND(N(S45)*(1+'Calc base'!L69),2)-S46)</f>
        <v/>
      </c>
      <c r="S46" s="75" t="str">
        <f>IF($A46="","",CHOOSE('Calc riepilogo'!$B$2,'Calc valanga'!AX69,'Calc palla di neve'!AX69,'Calc personalizzata'!AX69))</f>
        <v/>
      </c>
      <c r="T46" s="70" t="str">
        <f>IF($A46="","",ROUND(N(U45)*(1+'Calc base'!M69),2)-U46)</f>
        <v/>
      </c>
      <c r="U46" s="75" t="str">
        <f>IF($A46="","",CHOOSE('Calc riepilogo'!$B$2,'Calc valanga'!AY69,'Calc palla di neve'!AY69,'Calc personalizzata'!AY69))</f>
        <v/>
      </c>
      <c r="V46" s="70" t="str">
        <f>IF($A46="","",ROUND(N(W45)*(1+'Calc base'!N69),2)-W46)</f>
        <v/>
      </c>
      <c r="W46" s="75" t="str">
        <f>IF($A46="","",CHOOSE('Calc riepilogo'!$B$2,'Calc valanga'!AZ69,'Calc palla di neve'!AZ69,'Calc personalizzata'!AZ69))</f>
        <v/>
      </c>
      <c r="X46" s="70" t="str">
        <f>IF($A46="","",ROUND(N(Y45)*(1+'Calc base'!O69),2)-Y46)</f>
        <v/>
      </c>
      <c r="Y46" s="75" t="str">
        <f>IF($A46="","",CHOOSE('Calc riepilogo'!$B$2,'Calc valanga'!BA69,'Calc palla di neve'!BA69,'Calc personalizzata'!BA69))</f>
        <v/>
      </c>
      <c r="Z46" s="70" t="str">
        <f>IF($A46="","",ROUND(N(AA45)*(1+'Calc base'!P69),2)-AA46)</f>
        <v/>
      </c>
      <c r="AA46" s="75" t="str">
        <f>IF($A46="","",CHOOSE('Calc riepilogo'!$B$2,'Calc valanga'!BB69,'Calc palla di neve'!BB69,'Calc personalizzata'!BB69))</f>
        <v/>
      </c>
      <c r="AB46" s="70" t="str">
        <f>IF($A46="","",ROUND(N(AC45)*(1+'Calc base'!Q69),2)-AC46)</f>
        <v/>
      </c>
      <c r="AC46" s="75" t="str">
        <f>IF($A46="","",CHOOSE('Calc riepilogo'!$B$2,'Calc valanga'!BC69,'Calc palla di neve'!BC69,'Calc personalizzata'!BC69))</f>
        <v/>
      </c>
      <c r="AD46" s="70" t="str">
        <f>IF($A46="","",ROUND(N(AE45)*(1+'Calc base'!R69),2)-AE46)</f>
        <v/>
      </c>
      <c r="AE46" s="75" t="str">
        <f>IF($A46="","",CHOOSE('Calc riepilogo'!$B$2,'Calc valanga'!BD69,'Calc palla di neve'!BD69,'Calc personalizzata'!BD69))</f>
        <v/>
      </c>
      <c r="AF46" s="70" t="str">
        <f>IF($A46="","",ROUND(N(AG45)*(1+'Calc base'!S69),2)-AG46)</f>
        <v/>
      </c>
      <c r="AG46" s="75" t="str">
        <f>IF($A46="","",CHOOSE('Calc riepilogo'!$B$2,'Calc valanga'!BE69,'Calc palla di neve'!BE69,'Calc personalizzata'!BE69))</f>
        <v/>
      </c>
      <c r="AI46" t="n">
        <v>39</v>
      </c>
    </row>
    <row r="47">
      <c r="A47" s="68" t="str">
        <f>IF(40&gt;'Calc riepilogo'!$B$7,"",'Calc base'!$B70)</f>
        <v/>
      </c>
      <c r="B47" s="69" t="str">
        <f>IF($A47="","",'Calc base'!$C70)</f>
        <v/>
      </c>
      <c r="C47" s="69" t="str">
        <f>IF($A47="","",'Calc base'!$E70)</f>
        <v/>
      </c>
      <c r="D47" s="70" t="str">
        <f>IF($A47="","",J47+L47+N47+P47+R47+T47+V47+X47+Z47+AB47+AD47+AF47)</f>
        <v/>
      </c>
      <c r="E47" s="70" t="str">
        <f>IF($A47="","",CHOOSE('Calc riepilogo'!$B$2,'Calc valanga'!$H70,'Calc palla di neve'!$H70,'Calc personalizzata'!$H70))</f>
        <v/>
      </c>
      <c r="F47" s="71" t="str">
        <f>IF($A47="","",CHOOSE('Calc riepilogo'!$B$2,'Calc valanga'!$G70,'Calc palla di neve'!$G70,'Calc personalizzata'!$G70))</f>
        <v/>
      </c>
      <c r="G47" s="72" t="n"/>
      <c r="H47" s="73" t="n"/>
      <c r="I47" s="74" t="str">
        <f>IF($A47="","",TRIM(IF(AND(N(K46)&gt;0,N(K47)&lt;=0.004),"✓ "&amp;'Calc base'!C$6&amp;"   ","")&amp;IF(AND(N(M46)&gt;0,N(M47)&lt;=0.004),"✓ "&amp;'Calc base'!D$6&amp;"   ","")&amp;IF(AND(N(O46)&gt;0,N(O47)&lt;=0.004),"✓ "&amp;'Calc base'!E$6&amp;"   ","")&amp;IF(AND(N(Q46)&gt;0,N(Q47)&lt;=0.004),"✓ "&amp;'Calc base'!F$6&amp;"   ","")&amp;IF(AND(N(S46)&gt;0,N(S47)&lt;=0.004),"✓ "&amp;'Calc base'!G$6&amp;"   ","")&amp;IF(AND(N(U46)&gt;0,N(U47)&lt;=0.004),"✓ "&amp;'Calc base'!H$6&amp;"   ","")&amp;IF(AND(N(W46)&gt;0,N(W47)&lt;=0.004),"✓ "&amp;'Calc base'!I$6&amp;"   ","")&amp;IF(AND(N(Y46)&gt;0,N(Y47)&lt;=0.004),"✓ "&amp;'Calc base'!J$6&amp;"   ","")&amp;IF(AND(N(AA46)&gt;0,N(AA47)&lt;=0.004),"✓ "&amp;'Calc base'!K$6&amp;"   ","")&amp;IF(AND(N(AC46)&gt;0,N(AC47)&lt;=0.004),"✓ "&amp;'Calc base'!L$6&amp;"   ","")&amp;IF(AND(N(AE46)&gt;0,N(AE47)&lt;=0.004),"✓ "&amp;'Calc base'!M$6&amp;"   ","")&amp;IF(AND(N(AG46)&gt;0,N(AG47)&lt;=0.004),"✓ "&amp;'Calc base'!N$6&amp;"   ","")))</f>
        <v/>
      </c>
      <c r="J47" s="70" t="str">
        <f>IF($A47="","",ROUND(N(K46)*(1+'Calc base'!H70),2)-K47)</f>
        <v/>
      </c>
      <c r="K47" s="75" t="str">
        <f>IF($A47="","",CHOOSE('Calc riepilogo'!$B$2,'Calc valanga'!AT70,'Calc palla di neve'!AT70,'Calc personalizzata'!AT70))</f>
        <v/>
      </c>
      <c r="L47" s="70" t="str">
        <f>IF($A47="","",ROUND(N(M46)*(1+'Calc base'!I70),2)-M47)</f>
        <v/>
      </c>
      <c r="M47" s="75" t="str">
        <f>IF($A47="","",CHOOSE('Calc riepilogo'!$B$2,'Calc valanga'!AU70,'Calc palla di neve'!AU70,'Calc personalizzata'!AU70))</f>
        <v/>
      </c>
      <c r="N47" s="70" t="str">
        <f>IF($A47="","",ROUND(N(O46)*(1+'Calc base'!J70),2)-O47)</f>
        <v/>
      </c>
      <c r="O47" s="75" t="str">
        <f>IF($A47="","",CHOOSE('Calc riepilogo'!$B$2,'Calc valanga'!AV70,'Calc palla di neve'!AV70,'Calc personalizzata'!AV70))</f>
        <v/>
      </c>
      <c r="P47" s="70" t="str">
        <f>IF($A47="","",ROUND(N(Q46)*(1+'Calc base'!K70),2)-Q47)</f>
        <v/>
      </c>
      <c r="Q47" s="75" t="str">
        <f>IF($A47="","",CHOOSE('Calc riepilogo'!$B$2,'Calc valanga'!AW70,'Calc palla di neve'!AW70,'Calc personalizzata'!AW70))</f>
        <v/>
      </c>
      <c r="R47" s="70" t="str">
        <f>IF($A47="","",ROUND(N(S46)*(1+'Calc base'!L70),2)-S47)</f>
        <v/>
      </c>
      <c r="S47" s="75" t="str">
        <f>IF($A47="","",CHOOSE('Calc riepilogo'!$B$2,'Calc valanga'!AX70,'Calc palla di neve'!AX70,'Calc personalizzata'!AX70))</f>
        <v/>
      </c>
      <c r="T47" s="70" t="str">
        <f>IF($A47="","",ROUND(N(U46)*(1+'Calc base'!M70),2)-U47)</f>
        <v/>
      </c>
      <c r="U47" s="75" t="str">
        <f>IF($A47="","",CHOOSE('Calc riepilogo'!$B$2,'Calc valanga'!AY70,'Calc palla di neve'!AY70,'Calc personalizzata'!AY70))</f>
        <v/>
      </c>
      <c r="V47" s="70" t="str">
        <f>IF($A47="","",ROUND(N(W46)*(1+'Calc base'!N70),2)-W47)</f>
        <v/>
      </c>
      <c r="W47" s="75" t="str">
        <f>IF($A47="","",CHOOSE('Calc riepilogo'!$B$2,'Calc valanga'!AZ70,'Calc palla di neve'!AZ70,'Calc personalizzata'!AZ70))</f>
        <v/>
      </c>
      <c r="X47" s="70" t="str">
        <f>IF($A47="","",ROUND(N(Y46)*(1+'Calc base'!O70),2)-Y47)</f>
        <v/>
      </c>
      <c r="Y47" s="75" t="str">
        <f>IF($A47="","",CHOOSE('Calc riepilogo'!$B$2,'Calc valanga'!BA70,'Calc palla di neve'!BA70,'Calc personalizzata'!BA70))</f>
        <v/>
      </c>
      <c r="Z47" s="70" t="str">
        <f>IF($A47="","",ROUND(N(AA46)*(1+'Calc base'!P70),2)-AA47)</f>
        <v/>
      </c>
      <c r="AA47" s="75" t="str">
        <f>IF($A47="","",CHOOSE('Calc riepilogo'!$B$2,'Calc valanga'!BB70,'Calc palla di neve'!BB70,'Calc personalizzata'!BB70))</f>
        <v/>
      </c>
      <c r="AB47" s="70" t="str">
        <f>IF($A47="","",ROUND(N(AC46)*(1+'Calc base'!Q70),2)-AC47)</f>
        <v/>
      </c>
      <c r="AC47" s="75" t="str">
        <f>IF($A47="","",CHOOSE('Calc riepilogo'!$B$2,'Calc valanga'!BC70,'Calc palla di neve'!BC70,'Calc personalizzata'!BC70))</f>
        <v/>
      </c>
      <c r="AD47" s="70" t="str">
        <f>IF($A47="","",ROUND(N(AE46)*(1+'Calc base'!R70),2)-AE47)</f>
        <v/>
      </c>
      <c r="AE47" s="75" t="str">
        <f>IF($A47="","",CHOOSE('Calc riepilogo'!$B$2,'Calc valanga'!BD70,'Calc palla di neve'!BD70,'Calc personalizzata'!BD70))</f>
        <v/>
      </c>
      <c r="AF47" s="70" t="str">
        <f>IF($A47="","",ROUND(N(AG46)*(1+'Calc base'!S70),2)-AG47)</f>
        <v/>
      </c>
      <c r="AG47" s="75" t="str">
        <f>IF($A47="","",CHOOSE('Calc riepilogo'!$B$2,'Calc valanga'!BE70,'Calc palla di neve'!BE70,'Calc personalizzata'!BE70))</f>
        <v/>
      </c>
      <c r="AI47" t="n">
        <v>40</v>
      </c>
    </row>
    <row r="48">
      <c r="A48" s="68" t="str">
        <f>IF(41&gt;'Calc riepilogo'!$B$7,"",'Calc base'!$B71)</f>
        <v/>
      </c>
      <c r="B48" s="69" t="str">
        <f>IF($A48="","",'Calc base'!$C71)</f>
        <v/>
      </c>
      <c r="C48" s="69" t="str">
        <f>IF($A48="","",'Calc base'!$E71)</f>
        <v/>
      </c>
      <c r="D48" s="70" t="str">
        <f>IF($A48="","",J48+L48+N48+P48+R48+T48+V48+X48+Z48+AB48+AD48+AF48)</f>
        <v/>
      </c>
      <c r="E48" s="70" t="str">
        <f>IF($A48="","",CHOOSE('Calc riepilogo'!$B$2,'Calc valanga'!$H71,'Calc palla di neve'!$H71,'Calc personalizzata'!$H71))</f>
        <v/>
      </c>
      <c r="F48" s="71" t="str">
        <f>IF($A48="","",CHOOSE('Calc riepilogo'!$B$2,'Calc valanga'!$G71,'Calc palla di neve'!$G71,'Calc personalizzata'!$G71))</f>
        <v/>
      </c>
      <c r="G48" s="72" t="n"/>
      <c r="H48" s="73" t="n"/>
      <c r="I48" s="74" t="str">
        <f>IF($A48="","",TRIM(IF(AND(N(K47)&gt;0,N(K48)&lt;=0.004),"✓ "&amp;'Calc base'!C$6&amp;"   ","")&amp;IF(AND(N(M47)&gt;0,N(M48)&lt;=0.004),"✓ "&amp;'Calc base'!D$6&amp;"   ","")&amp;IF(AND(N(O47)&gt;0,N(O48)&lt;=0.004),"✓ "&amp;'Calc base'!E$6&amp;"   ","")&amp;IF(AND(N(Q47)&gt;0,N(Q48)&lt;=0.004),"✓ "&amp;'Calc base'!F$6&amp;"   ","")&amp;IF(AND(N(S47)&gt;0,N(S48)&lt;=0.004),"✓ "&amp;'Calc base'!G$6&amp;"   ","")&amp;IF(AND(N(U47)&gt;0,N(U48)&lt;=0.004),"✓ "&amp;'Calc base'!H$6&amp;"   ","")&amp;IF(AND(N(W47)&gt;0,N(W48)&lt;=0.004),"✓ "&amp;'Calc base'!I$6&amp;"   ","")&amp;IF(AND(N(Y47)&gt;0,N(Y48)&lt;=0.004),"✓ "&amp;'Calc base'!J$6&amp;"   ","")&amp;IF(AND(N(AA47)&gt;0,N(AA48)&lt;=0.004),"✓ "&amp;'Calc base'!K$6&amp;"   ","")&amp;IF(AND(N(AC47)&gt;0,N(AC48)&lt;=0.004),"✓ "&amp;'Calc base'!L$6&amp;"   ","")&amp;IF(AND(N(AE47)&gt;0,N(AE48)&lt;=0.004),"✓ "&amp;'Calc base'!M$6&amp;"   ","")&amp;IF(AND(N(AG47)&gt;0,N(AG48)&lt;=0.004),"✓ "&amp;'Calc base'!N$6&amp;"   ","")))</f>
        <v/>
      </c>
      <c r="J48" s="70" t="str">
        <f>IF($A48="","",ROUND(N(K47)*(1+'Calc base'!H71),2)-K48)</f>
        <v/>
      </c>
      <c r="K48" s="75" t="str">
        <f>IF($A48="","",CHOOSE('Calc riepilogo'!$B$2,'Calc valanga'!AT71,'Calc palla di neve'!AT71,'Calc personalizzata'!AT71))</f>
        <v/>
      </c>
      <c r="L48" s="70" t="str">
        <f>IF($A48="","",ROUND(N(M47)*(1+'Calc base'!I71),2)-M48)</f>
        <v/>
      </c>
      <c r="M48" s="75" t="str">
        <f>IF($A48="","",CHOOSE('Calc riepilogo'!$B$2,'Calc valanga'!AU71,'Calc palla di neve'!AU71,'Calc personalizzata'!AU71))</f>
        <v/>
      </c>
      <c r="N48" s="70" t="str">
        <f>IF($A48="","",ROUND(N(O47)*(1+'Calc base'!J71),2)-O48)</f>
        <v/>
      </c>
      <c r="O48" s="75" t="str">
        <f>IF($A48="","",CHOOSE('Calc riepilogo'!$B$2,'Calc valanga'!AV71,'Calc palla di neve'!AV71,'Calc personalizzata'!AV71))</f>
        <v/>
      </c>
      <c r="P48" s="70" t="str">
        <f>IF($A48="","",ROUND(N(Q47)*(1+'Calc base'!K71),2)-Q48)</f>
        <v/>
      </c>
      <c r="Q48" s="75" t="str">
        <f>IF($A48="","",CHOOSE('Calc riepilogo'!$B$2,'Calc valanga'!AW71,'Calc palla di neve'!AW71,'Calc personalizzata'!AW71))</f>
        <v/>
      </c>
      <c r="R48" s="70" t="str">
        <f>IF($A48="","",ROUND(N(S47)*(1+'Calc base'!L71),2)-S48)</f>
        <v/>
      </c>
      <c r="S48" s="75" t="str">
        <f>IF($A48="","",CHOOSE('Calc riepilogo'!$B$2,'Calc valanga'!AX71,'Calc palla di neve'!AX71,'Calc personalizzata'!AX71))</f>
        <v/>
      </c>
      <c r="T48" s="70" t="str">
        <f>IF($A48="","",ROUND(N(U47)*(1+'Calc base'!M71),2)-U48)</f>
        <v/>
      </c>
      <c r="U48" s="75" t="str">
        <f>IF($A48="","",CHOOSE('Calc riepilogo'!$B$2,'Calc valanga'!AY71,'Calc palla di neve'!AY71,'Calc personalizzata'!AY71))</f>
        <v/>
      </c>
      <c r="V48" s="70" t="str">
        <f>IF($A48="","",ROUND(N(W47)*(1+'Calc base'!N71),2)-W48)</f>
        <v/>
      </c>
      <c r="W48" s="75" t="str">
        <f>IF($A48="","",CHOOSE('Calc riepilogo'!$B$2,'Calc valanga'!AZ71,'Calc palla di neve'!AZ71,'Calc personalizzata'!AZ71))</f>
        <v/>
      </c>
      <c r="X48" s="70" t="str">
        <f>IF($A48="","",ROUND(N(Y47)*(1+'Calc base'!O71),2)-Y48)</f>
        <v/>
      </c>
      <c r="Y48" s="75" t="str">
        <f>IF($A48="","",CHOOSE('Calc riepilogo'!$B$2,'Calc valanga'!BA71,'Calc palla di neve'!BA71,'Calc personalizzata'!BA71))</f>
        <v/>
      </c>
      <c r="Z48" s="70" t="str">
        <f>IF($A48="","",ROUND(N(AA47)*(1+'Calc base'!P71),2)-AA48)</f>
        <v/>
      </c>
      <c r="AA48" s="75" t="str">
        <f>IF($A48="","",CHOOSE('Calc riepilogo'!$B$2,'Calc valanga'!BB71,'Calc palla di neve'!BB71,'Calc personalizzata'!BB71))</f>
        <v/>
      </c>
      <c r="AB48" s="70" t="str">
        <f>IF($A48="","",ROUND(N(AC47)*(1+'Calc base'!Q71),2)-AC48)</f>
        <v/>
      </c>
      <c r="AC48" s="75" t="str">
        <f>IF($A48="","",CHOOSE('Calc riepilogo'!$B$2,'Calc valanga'!BC71,'Calc palla di neve'!BC71,'Calc personalizzata'!BC71))</f>
        <v/>
      </c>
      <c r="AD48" s="70" t="str">
        <f>IF($A48="","",ROUND(N(AE47)*(1+'Calc base'!R71),2)-AE48)</f>
        <v/>
      </c>
      <c r="AE48" s="75" t="str">
        <f>IF($A48="","",CHOOSE('Calc riepilogo'!$B$2,'Calc valanga'!BD71,'Calc palla di neve'!BD71,'Calc personalizzata'!BD71))</f>
        <v/>
      </c>
      <c r="AF48" s="70" t="str">
        <f>IF($A48="","",ROUND(N(AG47)*(1+'Calc base'!S71),2)-AG48)</f>
        <v/>
      </c>
      <c r="AG48" s="75" t="str">
        <f>IF($A48="","",CHOOSE('Calc riepilogo'!$B$2,'Calc valanga'!BE71,'Calc palla di neve'!BE71,'Calc personalizzata'!BE71))</f>
        <v/>
      </c>
      <c r="AI48" t="n">
        <v>41</v>
      </c>
    </row>
    <row r="49">
      <c r="A49" s="68" t="str">
        <f>IF(42&gt;'Calc riepilogo'!$B$7,"",'Calc base'!$B72)</f>
        <v/>
      </c>
      <c r="B49" s="69" t="str">
        <f>IF($A49="","",'Calc base'!$C72)</f>
        <v/>
      </c>
      <c r="C49" s="69" t="str">
        <f>IF($A49="","",'Calc base'!$E72)</f>
        <v/>
      </c>
      <c r="D49" s="70" t="str">
        <f>IF($A49="","",J49+L49+N49+P49+R49+T49+V49+X49+Z49+AB49+AD49+AF49)</f>
        <v/>
      </c>
      <c r="E49" s="70" t="str">
        <f>IF($A49="","",CHOOSE('Calc riepilogo'!$B$2,'Calc valanga'!$H72,'Calc palla di neve'!$H72,'Calc personalizzata'!$H72))</f>
        <v/>
      </c>
      <c r="F49" s="71" t="str">
        <f>IF($A49="","",CHOOSE('Calc riepilogo'!$B$2,'Calc valanga'!$G72,'Calc palla di neve'!$G72,'Calc personalizzata'!$G72))</f>
        <v/>
      </c>
      <c r="G49" s="72" t="n"/>
      <c r="H49" s="73" t="n"/>
      <c r="I49" s="74" t="str">
        <f>IF($A49="","",TRIM(IF(AND(N(K48)&gt;0,N(K49)&lt;=0.004),"✓ "&amp;'Calc base'!C$6&amp;"   ","")&amp;IF(AND(N(M48)&gt;0,N(M49)&lt;=0.004),"✓ "&amp;'Calc base'!D$6&amp;"   ","")&amp;IF(AND(N(O48)&gt;0,N(O49)&lt;=0.004),"✓ "&amp;'Calc base'!E$6&amp;"   ","")&amp;IF(AND(N(Q48)&gt;0,N(Q49)&lt;=0.004),"✓ "&amp;'Calc base'!F$6&amp;"   ","")&amp;IF(AND(N(S48)&gt;0,N(S49)&lt;=0.004),"✓ "&amp;'Calc base'!G$6&amp;"   ","")&amp;IF(AND(N(U48)&gt;0,N(U49)&lt;=0.004),"✓ "&amp;'Calc base'!H$6&amp;"   ","")&amp;IF(AND(N(W48)&gt;0,N(W49)&lt;=0.004),"✓ "&amp;'Calc base'!I$6&amp;"   ","")&amp;IF(AND(N(Y48)&gt;0,N(Y49)&lt;=0.004),"✓ "&amp;'Calc base'!J$6&amp;"   ","")&amp;IF(AND(N(AA48)&gt;0,N(AA49)&lt;=0.004),"✓ "&amp;'Calc base'!K$6&amp;"   ","")&amp;IF(AND(N(AC48)&gt;0,N(AC49)&lt;=0.004),"✓ "&amp;'Calc base'!L$6&amp;"   ","")&amp;IF(AND(N(AE48)&gt;0,N(AE49)&lt;=0.004),"✓ "&amp;'Calc base'!M$6&amp;"   ","")&amp;IF(AND(N(AG48)&gt;0,N(AG49)&lt;=0.004),"✓ "&amp;'Calc base'!N$6&amp;"   ","")))</f>
        <v/>
      </c>
      <c r="J49" s="70" t="str">
        <f>IF($A49="","",ROUND(N(K48)*(1+'Calc base'!H72),2)-K49)</f>
        <v/>
      </c>
      <c r="K49" s="75" t="str">
        <f>IF($A49="","",CHOOSE('Calc riepilogo'!$B$2,'Calc valanga'!AT72,'Calc palla di neve'!AT72,'Calc personalizzata'!AT72))</f>
        <v/>
      </c>
      <c r="L49" s="70" t="str">
        <f>IF($A49="","",ROUND(N(M48)*(1+'Calc base'!I72),2)-M49)</f>
        <v/>
      </c>
      <c r="M49" s="75" t="str">
        <f>IF($A49="","",CHOOSE('Calc riepilogo'!$B$2,'Calc valanga'!AU72,'Calc palla di neve'!AU72,'Calc personalizzata'!AU72))</f>
        <v/>
      </c>
      <c r="N49" s="70" t="str">
        <f>IF($A49="","",ROUND(N(O48)*(1+'Calc base'!J72),2)-O49)</f>
        <v/>
      </c>
      <c r="O49" s="75" t="str">
        <f>IF($A49="","",CHOOSE('Calc riepilogo'!$B$2,'Calc valanga'!AV72,'Calc palla di neve'!AV72,'Calc personalizzata'!AV72))</f>
        <v/>
      </c>
      <c r="P49" s="70" t="str">
        <f>IF($A49="","",ROUND(N(Q48)*(1+'Calc base'!K72),2)-Q49)</f>
        <v/>
      </c>
      <c r="Q49" s="75" t="str">
        <f>IF($A49="","",CHOOSE('Calc riepilogo'!$B$2,'Calc valanga'!AW72,'Calc palla di neve'!AW72,'Calc personalizzata'!AW72))</f>
        <v/>
      </c>
      <c r="R49" s="70" t="str">
        <f>IF($A49="","",ROUND(N(S48)*(1+'Calc base'!L72),2)-S49)</f>
        <v/>
      </c>
      <c r="S49" s="75" t="str">
        <f>IF($A49="","",CHOOSE('Calc riepilogo'!$B$2,'Calc valanga'!AX72,'Calc palla di neve'!AX72,'Calc personalizzata'!AX72))</f>
        <v/>
      </c>
      <c r="T49" s="70" t="str">
        <f>IF($A49="","",ROUND(N(U48)*(1+'Calc base'!M72),2)-U49)</f>
        <v/>
      </c>
      <c r="U49" s="75" t="str">
        <f>IF($A49="","",CHOOSE('Calc riepilogo'!$B$2,'Calc valanga'!AY72,'Calc palla di neve'!AY72,'Calc personalizzata'!AY72))</f>
        <v/>
      </c>
      <c r="V49" s="70" t="str">
        <f>IF($A49="","",ROUND(N(W48)*(1+'Calc base'!N72),2)-W49)</f>
        <v/>
      </c>
      <c r="W49" s="75" t="str">
        <f>IF($A49="","",CHOOSE('Calc riepilogo'!$B$2,'Calc valanga'!AZ72,'Calc palla di neve'!AZ72,'Calc personalizzata'!AZ72))</f>
        <v/>
      </c>
      <c r="X49" s="70" t="str">
        <f>IF($A49="","",ROUND(N(Y48)*(1+'Calc base'!O72),2)-Y49)</f>
        <v/>
      </c>
      <c r="Y49" s="75" t="str">
        <f>IF($A49="","",CHOOSE('Calc riepilogo'!$B$2,'Calc valanga'!BA72,'Calc palla di neve'!BA72,'Calc personalizzata'!BA72))</f>
        <v/>
      </c>
      <c r="Z49" s="70" t="str">
        <f>IF($A49="","",ROUND(N(AA48)*(1+'Calc base'!P72),2)-AA49)</f>
        <v/>
      </c>
      <c r="AA49" s="75" t="str">
        <f>IF($A49="","",CHOOSE('Calc riepilogo'!$B$2,'Calc valanga'!BB72,'Calc palla di neve'!BB72,'Calc personalizzata'!BB72))</f>
        <v/>
      </c>
      <c r="AB49" s="70" t="str">
        <f>IF($A49="","",ROUND(N(AC48)*(1+'Calc base'!Q72),2)-AC49)</f>
        <v/>
      </c>
      <c r="AC49" s="75" t="str">
        <f>IF($A49="","",CHOOSE('Calc riepilogo'!$B$2,'Calc valanga'!BC72,'Calc palla di neve'!BC72,'Calc personalizzata'!BC72))</f>
        <v/>
      </c>
      <c r="AD49" s="70" t="str">
        <f>IF($A49="","",ROUND(N(AE48)*(1+'Calc base'!R72),2)-AE49)</f>
        <v/>
      </c>
      <c r="AE49" s="75" t="str">
        <f>IF($A49="","",CHOOSE('Calc riepilogo'!$B$2,'Calc valanga'!BD72,'Calc palla di neve'!BD72,'Calc personalizzata'!BD72))</f>
        <v/>
      </c>
      <c r="AF49" s="70" t="str">
        <f>IF($A49="","",ROUND(N(AG48)*(1+'Calc base'!S72),2)-AG49)</f>
        <v/>
      </c>
      <c r="AG49" s="75" t="str">
        <f>IF($A49="","",CHOOSE('Calc riepilogo'!$B$2,'Calc valanga'!BE72,'Calc palla di neve'!BE72,'Calc personalizzata'!BE72))</f>
        <v/>
      </c>
      <c r="AI49" t="n">
        <v>42</v>
      </c>
    </row>
    <row r="50">
      <c r="A50" s="68" t="str">
        <f>IF(43&gt;'Calc riepilogo'!$B$7,"",'Calc base'!$B73)</f>
        <v/>
      </c>
      <c r="B50" s="69" t="str">
        <f>IF($A50="","",'Calc base'!$C73)</f>
        <v/>
      </c>
      <c r="C50" s="69" t="str">
        <f>IF($A50="","",'Calc base'!$E73)</f>
        <v/>
      </c>
      <c r="D50" s="70" t="str">
        <f>IF($A50="","",J50+L50+N50+P50+R50+T50+V50+X50+Z50+AB50+AD50+AF50)</f>
        <v/>
      </c>
      <c r="E50" s="70" t="str">
        <f>IF($A50="","",CHOOSE('Calc riepilogo'!$B$2,'Calc valanga'!$H73,'Calc palla di neve'!$H73,'Calc personalizzata'!$H73))</f>
        <v/>
      </c>
      <c r="F50" s="71" t="str">
        <f>IF($A50="","",CHOOSE('Calc riepilogo'!$B$2,'Calc valanga'!$G73,'Calc palla di neve'!$G73,'Calc personalizzata'!$G73))</f>
        <v/>
      </c>
      <c r="G50" s="72" t="n"/>
      <c r="H50" s="73" t="n"/>
      <c r="I50" s="74" t="str">
        <f>IF($A50="","",TRIM(IF(AND(N(K49)&gt;0,N(K50)&lt;=0.004),"✓ "&amp;'Calc base'!C$6&amp;"   ","")&amp;IF(AND(N(M49)&gt;0,N(M50)&lt;=0.004),"✓ "&amp;'Calc base'!D$6&amp;"   ","")&amp;IF(AND(N(O49)&gt;0,N(O50)&lt;=0.004),"✓ "&amp;'Calc base'!E$6&amp;"   ","")&amp;IF(AND(N(Q49)&gt;0,N(Q50)&lt;=0.004),"✓ "&amp;'Calc base'!F$6&amp;"   ","")&amp;IF(AND(N(S49)&gt;0,N(S50)&lt;=0.004),"✓ "&amp;'Calc base'!G$6&amp;"   ","")&amp;IF(AND(N(U49)&gt;0,N(U50)&lt;=0.004),"✓ "&amp;'Calc base'!H$6&amp;"   ","")&amp;IF(AND(N(W49)&gt;0,N(W50)&lt;=0.004),"✓ "&amp;'Calc base'!I$6&amp;"   ","")&amp;IF(AND(N(Y49)&gt;0,N(Y50)&lt;=0.004),"✓ "&amp;'Calc base'!J$6&amp;"   ","")&amp;IF(AND(N(AA49)&gt;0,N(AA50)&lt;=0.004),"✓ "&amp;'Calc base'!K$6&amp;"   ","")&amp;IF(AND(N(AC49)&gt;0,N(AC50)&lt;=0.004),"✓ "&amp;'Calc base'!L$6&amp;"   ","")&amp;IF(AND(N(AE49)&gt;0,N(AE50)&lt;=0.004),"✓ "&amp;'Calc base'!M$6&amp;"   ","")&amp;IF(AND(N(AG49)&gt;0,N(AG50)&lt;=0.004),"✓ "&amp;'Calc base'!N$6&amp;"   ","")))</f>
        <v/>
      </c>
      <c r="J50" s="70" t="str">
        <f>IF($A50="","",ROUND(N(K49)*(1+'Calc base'!H73),2)-K50)</f>
        <v/>
      </c>
      <c r="K50" s="75" t="str">
        <f>IF($A50="","",CHOOSE('Calc riepilogo'!$B$2,'Calc valanga'!AT73,'Calc palla di neve'!AT73,'Calc personalizzata'!AT73))</f>
        <v/>
      </c>
      <c r="L50" s="70" t="str">
        <f>IF($A50="","",ROUND(N(M49)*(1+'Calc base'!I73),2)-M50)</f>
        <v/>
      </c>
      <c r="M50" s="75" t="str">
        <f>IF($A50="","",CHOOSE('Calc riepilogo'!$B$2,'Calc valanga'!AU73,'Calc palla di neve'!AU73,'Calc personalizzata'!AU73))</f>
        <v/>
      </c>
      <c r="N50" s="70" t="str">
        <f>IF($A50="","",ROUND(N(O49)*(1+'Calc base'!J73),2)-O50)</f>
        <v/>
      </c>
      <c r="O50" s="75" t="str">
        <f>IF($A50="","",CHOOSE('Calc riepilogo'!$B$2,'Calc valanga'!AV73,'Calc palla di neve'!AV73,'Calc personalizzata'!AV73))</f>
        <v/>
      </c>
      <c r="P50" s="70" t="str">
        <f>IF($A50="","",ROUND(N(Q49)*(1+'Calc base'!K73),2)-Q50)</f>
        <v/>
      </c>
      <c r="Q50" s="75" t="str">
        <f>IF($A50="","",CHOOSE('Calc riepilogo'!$B$2,'Calc valanga'!AW73,'Calc palla di neve'!AW73,'Calc personalizzata'!AW73))</f>
        <v/>
      </c>
      <c r="R50" s="70" t="str">
        <f>IF($A50="","",ROUND(N(S49)*(1+'Calc base'!L73),2)-S50)</f>
        <v/>
      </c>
      <c r="S50" s="75" t="str">
        <f>IF($A50="","",CHOOSE('Calc riepilogo'!$B$2,'Calc valanga'!AX73,'Calc palla di neve'!AX73,'Calc personalizzata'!AX73))</f>
        <v/>
      </c>
      <c r="T50" s="70" t="str">
        <f>IF($A50="","",ROUND(N(U49)*(1+'Calc base'!M73),2)-U50)</f>
        <v/>
      </c>
      <c r="U50" s="75" t="str">
        <f>IF($A50="","",CHOOSE('Calc riepilogo'!$B$2,'Calc valanga'!AY73,'Calc palla di neve'!AY73,'Calc personalizzata'!AY73))</f>
        <v/>
      </c>
      <c r="V50" s="70" t="str">
        <f>IF($A50="","",ROUND(N(W49)*(1+'Calc base'!N73),2)-W50)</f>
        <v/>
      </c>
      <c r="W50" s="75" t="str">
        <f>IF($A50="","",CHOOSE('Calc riepilogo'!$B$2,'Calc valanga'!AZ73,'Calc palla di neve'!AZ73,'Calc personalizzata'!AZ73))</f>
        <v/>
      </c>
      <c r="X50" s="70" t="str">
        <f>IF($A50="","",ROUND(N(Y49)*(1+'Calc base'!O73),2)-Y50)</f>
        <v/>
      </c>
      <c r="Y50" s="75" t="str">
        <f>IF($A50="","",CHOOSE('Calc riepilogo'!$B$2,'Calc valanga'!BA73,'Calc palla di neve'!BA73,'Calc personalizzata'!BA73))</f>
        <v/>
      </c>
      <c r="Z50" s="70" t="str">
        <f>IF($A50="","",ROUND(N(AA49)*(1+'Calc base'!P73),2)-AA50)</f>
        <v/>
      </c>
      <c r="AA50" s="75" t="str">
        <f>IF($A50="","",CHOOSE('Calc riepilogo'!$B$2,'Calc valanga'!BB73,'Calc palla di neve'!BB73,'Calc personalizzata'!BB73))</f>
        <v/>
      </c>
      <c r="AB50" s="70" t="str">
        <f>IF($A50="","",ROUND(N(AC49)*(1+'Calc base'!Q73),2)-AC50)</f>
        <v/>
      </c>
      <c r="AC50" s="75" t="str">
        <f>IF($A50="","",CHOOSE('Calc riepilogo'!$B$2,'Calc valanga'!BC73,'Calc palla di neve'!BC73,'Calc personalizzata'!BC73))</f>
        <v/>
      </c>
      <c r="AD50" s="70" t="str">
        <f>IF($A50="","",ROUND(N(AE49)*(1+'Calc base'!R73),2)-AE50)</f>
        <v/>
      </c>
      <c r="AE50" s="75" t="str">
        <f>IF($A50="","",CHOOSE('Calc riepilogo'!$B$2,'Calc valanga'!BD73,'Calc palla di neve'!BD73,'Calc personalizzata'!BD73))</f>
        <v/>
      </c>
      <c r="AF50" s="70" t="str">
        <f>IF($A50="","",ROUND(N(AG49)*(1+'Calc base'!S73),2)-AG50)</f>
        <v/>
      </c>
      <c r="AG50" s="75" t="str">
        <f>IF($A50="","",CHOOSE('Calc riepilogo'!$B$2,'Calc valanga'!BE73,'Calc palla di neve'!BE73,'Calc personalizzata'!BE73))</f>
        <v/>
      </c>
      <c r="AI50" t="n">
        <v>43</v>
      </c>
    </row>
    <row r="51">
      <c r="A51" s="68" t="str">
        <f>IF(44&gt;'Calc riepilogo'!$B$7,"",'Calc base'!$B74)</f>
        <v/>
      </c>
      <c r="B51" s="69" t="str">
        <f>IF($A51="","",'Calc base'!$C74)</f>
        <v/>
      </c>
      <c r="C51" s="69" t="str">
        <f>IF($A51="","",'Calc base'!$E74)</f>
        <v/>
      </c>
      <c r="D51" s="70" t="str">
        <f>IF($A51="","",J51+L51+N51+P51+R51+T51+V51+X51+Z51+AB51+AD51+AF51)</f>
        <v/>
      </c>
      <c r="E51" s="70" t="str">
        <f>IF($A51="","",CHOOSE('Calc riepilogo'!$B$2,'Calc valanga'!$H74,'Calc palla di neve'!$H74,'Calc personalizzata'!$H74))</f>
        <v/>
      </c>
      <c r="F51" s="71" t="str">
        <f>IF($A51="","",CHOOSE('Calc riepilogo'!$B$2,'Calc valanga'!$G74,'Calc palla di neve'!$G74,'Calc personalizzata'!$G74))</f>
        <v/>
      </c>
      <c r="G51" s="72" t="n"/>
      <c r="H51" s="73" t="n"/>
      <c r="I51" s="74" t="str">
        <f>IF($A51="","",TRIM(IF(AND(N(K50)&gt;0,N(K51)&lt;=0.004),"✓ "&amp;'Calc base'!C$6&amp;"   ","")&amp;IF(AND(N(M50)&gt;0,N(M51)&lt;=0.004),"✓ "&amp;'Calc base'!D$6&amp;"   ","")&amp;IF(AND(N(O50)&gt;0,N(O51)&lt;=0.004),"✓ "&amp;'Calc base'!E$6&amp;"   ","")&amp;IF(AND(N(Q50)&gt;0,N(Q51)&lt;=0.004),"✓ "&amp;'Calc base'!F$6&amp;"   ","")&amp;IF(AND(N(S50)&gt;0,N(S51)&lt;=0.004),"✓ "&amp;'Calc base'!G$6&amp;"   ","")&amp;IF(AND(N(U50)&gt;0,N(U51)&lt;=0.004),"✓ "&amp;'Calc base'!H$6&amp;"   ","")&amp;IF(AND(N(W50)&gt;0,N(W51)&lt;=0.004),"✓ "&amp;'Calc base'!I$6&amp;"   ","")&amp;IF(AND(N(Y50)&gt;0,N(Y51)&lt;=0.004),"✓ "&amp;'Calc base'!J$6&amp;"   ","")&amp;IF(AND(N(AA50)&gt;0,N(AA51)&lt;=0.004),"✓ "&amp;'Calc base'!K$6&amp;"   ","")&amp;IF(AND(N(AC50)&gt;0,N(AC51)&lt;=0.004),"✓ "&amp;'Calc base'!L$6&amp;"   ","")&amp;IF(AND(N(AE50)&gt;0,N(AE51)&lt;=0.004),"✓ "&amp;'Calc base'!M$6&amp;"   ","")&amp;IF(AND(N(AG50)&gt;0,N(AG51)&lt;=0.004),"✓ "&amp;'Calc base'!N$6&amp;"   ","")))</f>
        <v/>
      </c>
      <c r="J51" s="70" t="str">
        <f>IF($A51="","",ROUND(N(K50)*(1+'Calc base'!H74),2)-K51)</f>
        <v/>
      </c>
      <c r="K51" s="75" t="str">
        <f>IF($A51="","",CHOOSE('Calc riepilogo'!$B$2,'Calc valanga'!AT74,'Calc palla di neve'!AT74,'Calc personalizzata'!AT74))</f>
        <v/>
      </c>
      <c r="L51" s="70" t="str">
        <f>IF($A51="","",ROUND(N(M50)*(1+'Calc base'!I74),2)-M51)</f>
        <v/>
      </c>
      <c r="M51" s="75" t="str">
        <f>IF($A51="","",CHOOSE('Calc riepilogo'!$B$2,'Calc valanga'!AU74,'Calc palla di neve'!AU74,'Calc personalizzata'!AU74))</f>
        <v/>
      </c>
      <c r="N51" s="70" t="str">
        <f>IF($A51="","",ROUND(N(O50)*(1+'Calc base'!J74),2)-O51)</f>
        <v/>
      </c>
      <c r="O51" s="75" t="str">
        <f>IF($A51="","",CHOOSE('Calc riepilogo'!$B$2,'Calc valanga'!AV74,'Calc palla di neve'!AV74,'Calc personalizzata'!AV74))</f>
        <v/>
      </c>
      <c r="P51" s="70" t="str">
        <f>IF($A51="","",ROUND(N(Q50)*(1+'Calc base'!K74),2)-Q51)</f>
        <v/>
      </c>
      <c r="Q51" s="75" t="str">
        <f>IF($A51="","",CHOOSE('Calc riepilogo'!$B$2,'Calc valanga'!AW74,'Calc palla di neve'!AW74,'Calc personalizzata'!AW74))</f>
        <v/>
      </c>
      <c r="R51" s="70" t="str">
        <f>IF($A51="","",ROUND(N(S50)*(1+'Calc base'!L74),2)-S51)</f>
        <v/>
      </c>
      <c r="S51" s="75" t="str">
        <f>IF($A51="","",CHOOSE('Calc riepilogo'!$B$2,'Calc valanga'!AX74,'Calc palla di neve'!AX74,'Calc personalizzata'!AX74))</f>
        <v/>
      </c>
      <c r="T51" s="70" t="str">
        <f>IF($A51="","",ROUND(N(U50)*(1+'Calc base'!M74),2)-U51)</f>
        <v/>
      </c>
      <c r="U51" s="75" t="str">
        <f>IF($A51="","",CHOOSE('Calc riepilogo'!$B$2,'Calc valanga'!AY74,'Calc palla di neve'!AY74,'Calc personalizzata'!AY74))</f>
        <v/>
      </c>
      <c r="V51" s="70" t="str">
        <f>IF($A51="","",ROUND(N(W50)*(1+'Calc base'!N74),2)-W51)</f>
        <v/>
      </c>
      <c r="W51" s="75" t="str">
        <f>IF($A51="","",CHOOSE('Calc riepilogo'!$B$2,'Calc valanga'!AZ74,'Calc palla di neve'!AZ74,'Calc personalizzata'!AZ74))</f>
        <v/>
      </c>
      <c r="X51" s="70" t="str">
        <f>IF($A51="","",ROUND(N(Y50)*(1+'Calc base'!O74),2)-Y51)</f>
        <v/>
      </c>
      <c r="Y51" s="75" t="str">
        <f>IF($A51="","",CHOOSE('Calc riepilogo'!$B$2,'Calc valanga'!BA74,'Calc palla di neve'!BA74,'Calc personalizzata'!BA74))</f>
        <v/>
      </c>
      <c r="Z51" s="70" t="str">
        <f>IF($A51="","",ROUND(N(AA50)*(1+'Calc base'!P74),2)-AA51)</f>
        <v/>
      </c>
      <c r="AA51" s="75" t="str">
        <f>IF($A51="","",CHOOSE('Calc riepilogo'!$B$2,'Calc valanga'!BB74,'Calc palla di neve'!BB74,'Calc personalizzata'!BB74))</f>
        <v/>
      </c>
      <c r="AB51" s="70" t="str">
        <f>IF($A51="","",ROUND(N(AC50)*(1+'Calc base'!Q74),2)-AC51)</f>
        <v/>
      </c>
      <c r="AC51" s="75" t="str">
        <f>IF($A51="","",CHOOSE('Calc riepilogo'!$B$2,'Calc valanga'!BC74,'Calc palla di neve'!BC74,'Calc personalizzata'!BC74))</f>
        <v/>
      </c>
      <c r="AD51" s="70" t="str">
        <f>IF($A51="","",ROUND(N(AE50)*(1+'Calc base'!R74),2)-AE51)</f>
        <v/>
      </c>
      <c r="AE51" s="75" t="str">
        <f>IF($A51="","",CHOOSE('Calc riepilogo'!$B$2,'Calc valanga'!BD74,'Calc palla di neve'!BD74,'Calc personalizzata'!BD74))</f>
        <v/>
      </c>
      <c r="AF51" s="70" t="str">
        <f>IF($A51="","",ROUND(N(AG50)*(1+'Calc base'!S74),2)-AG51)</f>
        <v/>
      </c>
      <c r="AG51" s="75" t="str">
        <f>IF($A51="","",CHOOSE('Calc riepilogo'!$B$2,'Calc valanga'!BE74,'Calc palla di neve'!BE74,'Calc personalizzata'!BE74))</f>
        <v/>
      </c>
      <c r="AI51" t="n">
        <v>44</v>
      </c>
    </row>
    <row r="52">
      <c r="A52" s="68" t="str">
        <f>IF(45&gt;'Calc riepilogo'!$B$7,"",'Calc base'!$B75)</f>
        <v/>
      </c>
      <c r="B52" s="69" t="str">
        <f>IF($A52="","",'Calc base'!$C75)</f>
        <v/>
      </c>
      <c r="C52" s="69" t="str">
        <f>IF($A52="","",'Calc base'!$E75)</f>
        <v/>
      </c>
      <c r="D52" s="70" t="str">
        <f>IF($A52="","",J52+L52+N52+P52+R52+T52+V52+X52+Z52+AB52+AD52+AF52)</f>
        <v/>
      </c>
      <c r="E52" s="70" t="str">
        <f>IF($A52="","",CHOOSE('Calc riepilogo'!$B$2,'Calc valanga'!$H75,'Calc palla di neve'!$H75,'Calc personalizzata'!$H75))</f>
        <v/>
      </c>
      <c r="F52" s="71" t="str">
        <f>IF($A52="","",CHOOSE('Calc riepilogo'!$B$2,'Calc valanga'!$G75,'Calc palla di neve'!$G75,'Calc personalizzata'!$G75))</f>
        <v/>
      </c>
      <c r="G52" s="72" t="n"/>
      <c r="H52" s="73" t="n"/>
      <c r="I52" s="74" t="str">
        <f>IF($A52="","",TRIM(IF(AND(N(K51)&gt;0,N(K52)&lt;=0.004),"✓ "&amp;'Calc base'!C$6&amp;"   ","")&amp;IF(AND(N(M51)&gt;0,N(M52)&lt;=0.004),"✓ "&amp;'Calc base'!D$6&amp;"   ","")&amp;IF(AND(N(O51)&gt;0,N(O52)&lt;=0.004),"✓ "&amp;'Calc base'!E$6&amp;"   ","")&amp;IF(AND(N(Q51)&gt;0,N(Q52)&lt;=0.004),"✓ "&amp;'Calc base'!F$6&amp;"   ","")&amp;IF(AND(N(S51)&gt;0,N(S52)&lt;=0.004),"✓ "&amp;'Calc base'!G$6&amp;"   ","")&amp;IF(AND(N(U51)&gt;0,N(U52)&lt;=0.004),"✓ "&amp;'Calc base'!H$6&amp;"   ","")&amp;IF(AND(N(W51)&gt;0,N(W52)&lt;=0.004),"✓ "&amp;'Calc base'!I$6&amp;"   ","")&amp;IF(AND(N(Y51)&gt;0,N(Y52)&lt;=0.004),"✓ "&amp;'Calc base'!J$6&amp;"   ","")&amp;IF(AND(N(AA51)&gt;0,N(AA52)&lt;=0.004),"✓ "&amp;'Calc base'!K$6&amp;"   ","")&amp;IF(AND(N(AC51)&gt;0,N(AC52)&lt;=0.004),"✓ "&amp;'Calc base'!L$6&amp;"   ","")&amp;IF(AND(N(AE51)&gt;0,N(AE52)&lt;=0.004),"✓ "&amp;'Calc base'!M$6&amp;"   ","")&amp;IF(AND(N(AG51)&gt;0,N(AG52)&lt;=0.004),"✓ "&amp;'Calc base'!N$6&amp;"   ","")))</f>
        <v/>
      </c>
      <c r="J52" s="70" t="str">
        <f>IF($A52="","",ROUND(N(K51)*(1+'Calc base'!H75),2)-K52)</f>
        <v/>
      </c>
      <c r="K52" s="75" t="str">
        <f>IF($A52="","",CHOOSE('Calc riepilogo'!$B$2,'Calc valanga'!AT75,'Calc palla di neve'!AT75,'Calc personalizzata'!AT75))</f>
        <v/>
      </c>
      <c r="L52" s="70" t="str">
        <f>IF($A52="","",ROUND(N(M51)*(1+'Calc base'!I75),2)-M52)</f>
        <v/>
      </c>
      <c r="M52" s="75" t="str">
        <f>IF($A52="","",CHOOSE('Calc riepilogo'!$B$2,'Calc valanga'!AU75,'Calc palla di neve'!AU75,'Calc personalizzata'!AU75))</f>
        <v/>
      </c>
      <c r="N52" s="70" t="str">
        <f>IF($A52="","",ROUND(N(O51)*(1+'Calc base'!J75),2)-O52)</f>
        <v/>
      </c>
      <c r="O52" s="75" t="str">
        <f>IF($A52="","",CHOOSE('Calc riepilogo'!$B$2,'Calc valanga'!AV75,'Calc palla di neve'!AV75,'Calc personalizzata'!AV75))</f>
        <v/>
      </c>
      <c r="P52" s="70" t="str">
        <f>IF($A52="","",ROUND(N(Q51)*(1+'Calc base'!K75),2)-Q52)</f>
        <v/>
      </c>
      <c r="Q52" s="75" t="str">
        <f>IF($A52="","",CHOOSE('Calc riepilogo'!$B$2,'Calc valanga'!AW75,'Calc palla di neve'!AW75,'Calc personalizzata'!AW75))</f>
        <v/>
      </c>
      <c r="R52" s="70" t="str">
        <f>IF($A52="","",ROUND(N(S51)*(1+'Calc base'!L75),2)-S52)</f>
        <v/>
      </c>
      <c r="S52" s="75" t="str">
        <f>IF($A52="","",CHOOSE('Calc riepilogo'!$B$2,'Calc valanga'!AX75,'Calc palla di neve'!AX75,'Calc personalizzata'!AX75))</f>
        <v/>
      </c>
      <c r="T52" s="70" t="str">
        <f>IF($A52="","",ROUND(N(U51)*(1+'Calc base'!M75),2)-U52)</f>
        <v/>
      </c>
      <c r="U52" s="75" t="str">
        <f>IF($A52="","",CHOOSE('Calc riepilogo'!$B$2,'Calc valanga'!AY75,'Calc palla di neve'!AY75,'Calc personalizzata'!AY75))</f>
        <v/>
      </c>
      <c r="V52" s="70" t="str">
        <f>IF($A52="","",ROUND(N(W51)*(1+'Calc base'!N75),2)-W52)</f>
        <v/>
      </c>
      <c r="W52" s="75" t="str">
        <f>IF($A52="","",CHOOSE('Calc riepilogo'!$B$2,'Calc valanga'!AZ75,'Calc palla di neve'!AZ75,'Calc personalizzata'!AZ75))</f>
        <v/>
      </c>
      <c r="X52" s="70" t="str">
        <f>IF($A52="","",ROUND(N(Y51)*(1+'Calc base'!O75),2)-Y52)</f>
        <v/>
      </c>
      <c r="Y52" s="75" t="str">
        <f>IF($A52="","",CHOOSE('Calc riepilogo'!$B$2,'Calc valanga'!BA75,'Calc palla di neve'!BA75,'Calc personalizzata'!BA75))</f>
        <v/>
      </c>
      <c r="Z52" s="70" t="str">
        <f>IF($A52="","",ROUND(N(AA51)*(1+'Calc base'!P75),2)-AA52)</f>
        <v/>
      </c>
      <c r="AA52" s="75" t="str">
        <f>IF($A52="","",CHOOSE('Calc riepilogo'!$B$2,'Calc valanga'!BB75,'Calc palla di neve'!BB75,'Calc personalizzata'!BB75))</f>
        <v/>
      </c>
      <c r="AB52" s="70" t="str">
        <f>IF($A52="","",ROUND(N(AC51)*(1+'Calc base'!Q75),2)-AC52)</f>
        <v/>
      </c>
      <c r="AC52" s="75" t="str">
        <f>IF($A52="","",CHOOSE('Calc riepilogo'!$B$2,'Calc valanga'!BC75,'Calc palla di neve'!BC75,'Calc personalizzata'!BC75))</f>
        <v/>
      </c>
      <c r="AD52" s="70" t="str">
        <f>IF($A52="","",ROUND(N(AE51)*(1+'Calc base'!R75),2)-AE52)</f>
        <v/>
      </c>
      <c r="AE52" s="75" t="str">
        <f>IF($A52="","",CHOOSE('Calc riepilogo'!$B$2,'Calc valanga'!BD75,'Calc palla di neve'!BD75,'Calc personalizzata'!BD75))</f>
        <v/>
      </c>
      <c r="AF52" s="70" t="str">
        <f>IF($A52="","",ROUND(N(AG51)*(1+'Calc base'!S75),2)-AG52)</f>
        <v/>
      </c>
      <c r="AG52" s="75" t="str">
        <f>IF($A52="","",CHOOSE('Calc riepilogo'!$B$2,'Calc valanga'!BE75,'Calc palla di neve'!BE75,'Calc personalizzata'!BE75))</f>
        <v/>
      </c>
      <c r="AI52" t="n">
        <v>45</v>
      </c>
    </row>
    <row r="53">
      <c r="A53" s="68" t="str">
        <f>IF(46&gt;'Calc riepilogo'!$B$7,"",'Calc base'!$B76)</f>
        <v/>
      </c>
      <c r="B53" s="69" t="str">
        <f>IF($A53="","",'Calc base'!$C76)</f>
        <v/>
      </c>
      <c r="C53" s="69" t="str">
        <f>IF($A53="","",'Calc base'!$E76)</f>
        <v/>
      </c>
      <c r="D53" s="70" t="str">
        <f>IF($A53="","",J53+L53+N53+P53+R53+T53+V53+X53+Z53+AB53+AD53+AF53)</f>
        <v/>
      </c>
      <c r="E53" s="70" t="str">
        <f>IF($A53="","",CHOOSE('Calc riepilogo'!$B$2,'Calc valanga'!$H76,'Calc palla di neve'!$H76,'Calc personalizzata'!$H76))</f>
        <v/>
      </c>
      <c r="F53" s="71" t="str">
        <f>IF($A53="","",CHOOSE('Calc riepilogo'!$B$2,'Calc valanga'!$G76,'Calc palla di neve'!$G76,'Calc personalizzata'!$G76))</f>
        <v/>
      </c>
      <c r="G53" s="72" t="n"/>
      <c r="H53" s="73" t="n"/>
      <c r="I53" s="74" t="str">
        <f>IF($A53="","",TRIM(IF(AND(N(K52)&gt;0,N(K53)&lt;=0.004),"✓ "&amp;'Calc base'!C$6&amp;"   ","")&amp;IF(AND(N(M52)&gt;0,N(M53)&lt;=0.004),"✓ "&amp;'Calc base'!D$6&amp;"   ","")&amp;IF(AND(N(O52)&gt;0,N(O53)&lt;=0.004),"✓ "&amp;'Calc base'!E$6&amp;"   ","")&amp;IF(AND(N(Q52)&gt;0,N(Q53)&lt;=0.004),"✓ "&amp;'Calc base'!F$6&amp;"   ","")&amp;IF(AND(N(S52)&gt;0,N(S53)&lt;=0.004),"✓ "&amp;'Calc base'!G$6&amp;"   ","")&amp;IF(AND(N(U52)&gt;0,N(U53)&lt;=0.004),"✓ "&amp;'Calc base'!H$6&amp;"   ","")&amp;IF(AND(N(W52)&gt;0,N(W53)&lt;=0.004),"✓ "&amp;'Calc base'!I$6&amp;"   ","")&amp;IF(AND(N(Y52)&gt;0,N(Y53)&lt;=0.004),"✓ "&amp;'Calc base'!J$6&amp;"   ","")&amp;IF(AND(N(AA52)&gt;0,N(AA53)&lt;=0.004),"✓ "&amp;'Calc base'!K$6&amp;"   ","")&amp;IF(AND(N(AC52)&gt;0,N(AC53)&lt;=0.004),"✓ "&amp;'Calc base'!L$6&amp;"   ","")&amp;IF(AND(N(AE52)&gt;0,N(AE53)&lt;=0.004),"✓ "&amp;'Calc base'!M$6&amp;"   ","")&amp;IF(AND(N(AG52)&gt;0,N(AG53)&lt;=0.004),"✓ "&amp;'Calc base'!N$6&amp;"   ","")))</f>
        <v/>
      </c>
      <c r="J53" s="70" t="str">
        <f>IF($A53="","",ROUND(N(K52)*(1+'Calc base'!H76),2)-K53)</f>
        <v/>
      </c>
      <c r="K53" s="75" t="str">
        <f>IF($A53="","",CHOOSE('Calc riepilogo'!$B$2,'Calc valanga'!AT76,'Calc palla di neve'!AT76,'Calc personalizzata'!AT76))</f>
        <v/>
      </c>
      <c r="L53" s="70" t="str">
        <f>IF($A53="","",ROUND(N(M52)*(1+'Calc base'!I76),2)-M53)</f>
        <v/>
      </c>
      <c r="M53" s="75" t="str">
        <f>IF($A53="","",CHOOSE('Calc riepilogo'!$B$2,'Calc valanga'!AU76,'Calc palla di neve'!AU76,'Calc personalizzata'!AU76))</f>
        <v/>
      </c>
      <c r="N53" s="70" t="str">
        <f>IF($A53="","",ROUND(N(O52)*(1+'Calc base'!J76),2)-O53)</f>
        <v/>
      </c>
      <c r="O53" s="75" t="str">
        <f>IF($A53="","",CHOOSE('Calc riepilogo'!$B$2,'Calc valanga'!AV76,'Calc palla di neve'!AV76,'Calc personalizzata'!AV76))</f>
        <v/>
      </c>
      <c r="P53" s="70" t="str">
        <f>IF($A53="","",ROUND(N(Q52)*(1+'Calc base'!K76),2)-Q53)</f>
        <v/>
      </c>
      <c r="Q53" s="75" t="str">
        <f>IF($A53="","",CHOOSE('Calc riepilogo'!$B$2,'Calc valanga'!AW76,'Calc palla di neve'!AW76,'Calc personalizzata'!AW76))</f>
        <v/>
      </c>
      <c r="R53" s="70" t="str">
        <f>IF($A53="","",ROUND(N(S52)*(1+'Calc base'!L76),2)-S53)</f>
        <v/>
      </c>
      <c r="S53" s="75" t="str">
        <f>IF($A53="","",CHOOSE('Calc riepilogo'!$B$2,'Calc valanga'!AX76,'Calc palla di neve'!AX76,'Calc personalizzata'!AX76))</f>
        <v/>
      </c>
      <c r="T53" s="70" t="str">
        <f>IF($A53="","",ROUND(N(U52)*(1+'Calc base'!M76),2)-U53)</f>
        <v/>
      </c>
      <c r="U53" s="75" t="str">
        <f>IF($A53="","",CHOOSE('Calc riepilogo'!$B$2,'Calc valanga'!AY76,'Calc palla di neve'!AY76,'Calc personalizzata'!AY76))</f>
        <v/>
      </c>
      <c r="V53" s="70" t="str">
        <f>IF($A53="","",ROUND(N(W52)*(1+'Calc base'!N76),2)-W53)</f>
        <v/>
      </c>
      <c r="W53" s="75" t="str">
        <f>IF($A53="","",CHOOSE('Calc riepilogo'!$B$2,'Calc valanga'!AZ76,'Calc palla di neve'!AZ76,'Calc personalizzata'!AZ76))</f>
        <v/>
      </c>
      <c r="X53" s="70" t="str">
        <f>IF($A53="","",ROUND(N(Y52)*(1+'Calc base'!O76),2)-Y53)</f>
        <v/>
      </c>
      <c r="Y53" s="75" t="str">
        <f>IF($A53="","",CHOOSE('Calc riepilogo'!$B$2,'Calc valanga'!BA76,'Calc palla di neve'!BA76,'Calc personalizzata'!BA76))</f>
        <v/>
      </c>
      <c r="Z53" s="70" t="str">
        <f>IF($A53="","",ROUND(N(AA52)*(1+'Calc base'!P76),2)-AA53)</f>
        <v/>
      </c>
      <c r="AA53" s="75" t="str">
        <f>IF($A53="","",CHOOSE('Calc riepilogo'!$B$2,'Calc valanga'!BB76,'Calc palla di neve'!BB76,'Calc personalizzata'!BB76))</f>
        <v/>
      </c>
      <c r="AB53" s="70" t="str">
        <f>IF($A53="","",ROUND(N(AC52)*(1+'Calc base'!Q76),2)-AC53)</f>
        <v/>
      </c>
      <c r="AC53" s="75" t="str">
        <f>IF($A53="","",CHOOSE('Calc riepilogo'!$B$2,'Calc valanga'!BC76,'Calc palla di neve'!BC76,'Calc personalizzata'!BC76))</f>
        <v/>
      </c>
      <c r="AD53" s="70" t="str">
        <f>IF($A53="","",ROUND(N(AE52)*(1+'Calc base'!R76),2)-AE53)</f>
        <v/>
      </c>
      <c r="AE53" s="75" t="str">
        <f>IF($A53="","",CHOOSE('Calc riepilogo'!$B$2,'Calc valanga'!BD76,'Calc palla di neve'!BD76,'Calc personalizzata'!BD76))</f>
        <v/>
      </c>
      <c r="AF53" s="70" t="str">
        <f>IF($A53="","",ROUND(N(AG52)*(1+'Calc base'!S76),2)-AG53)</f>
        <v/>
      </c>
      <c r="AG53" s="75" t="str">
        <f>IF($A53="","",CHOOSE('Calc riepilogo'!$B$2,'Calc valanga'!BE76,'Calc palla di neve'!BE76,'Calc personalizzata'!BE76))</f>
        <v/>
      </c>
      <c r="AI53" t="n">
        <v>46</v>
      </c>
    </row>
    <row r="54">
      <c r="A54" s="68" t="str">
        <f>IF(47&gt;'Calc riepilogo'!$B$7,"",'Calc base'!$B77)</f>
        <v/>
      </c>
      <c r="B54" s="69" t="str">
        <f>IF($A54="","",'Calc base'!$C77)</f>
        <v/>
      </c>
      <c r="C54" s="69" t="str">
        <f>IF($A54="","",'Calc base'!$E77)</f>
        <v/>
      </c>
      <c r="D54" s="70" t="str">
        <f>IF($A54="","",J54+L54+N54+P54+R54+T54+V54+X54+Z54+AB54+AD54+AF54)</f>
        <v/>
      </c>
      <c r="E54" s="70" t="str">
        <f>IF($A54="","",CHOOSE('Calc riepilogo'!$B$2,'Calc valanga'!$H77,'Calc palla di neve'!$H77,'Calc personalizzata'!$H77))</f>
        <v/>
      </c>
      <c r="F54" s="71" t="str">
        <f>IF($A54="","",CHOOSE('Calc riepilogo'!$B$2,'Calc valanga'!$G77,'Calc palla di neve'!$G77,'Calc personalizzata'!$G77))</f>
        <v/>
      </c>
      <c r="G54" s="72" t="n"/>
      <c r="H54" s="73" t="n"/>
      <c r="I54" s="74" t="str">
        <f>IF($A54="","",TRIM(IF(AND(N(K53)&gt;0,N(K54)&lt;=0.004),"✓ "&amp;'Calc base'!C$6&amp;"   ","")&amp;IF(AND(N(M53)&gt;0,N(M54)&lt;=0.004),"✓ "&amp;'Calc base'!D$6&amp;"   ","")&amp;IF(AND(N(O53)&gt;0,N(O54)&lt;=0.004),"✓ "&amp;'Calc base'!E$6&amp;"   ","")&amp;IF(AND(N(Q53)&gt;0,N(Q54)&lt;=0.004),"✓ "&amp;'Calc base'!F$6&amp;"   ","")&amp;IF(AND(N(S53)&gt;0,N(S54)&lt;=0.004),"✓ "&amp;'Calc base'!G$6&amp;"   ","")&amp;IF(AND(N(U53)&gt;0,N(U54)&lt;=0.004),"✓ "&amp;'Calc base'!H$6&amp;"   ","")&amp;IF(AND(N(W53)&gt;0,N(W54)&lt;=0.004),"✓ "&amp;'Calc base'!I$6&amp;"   ","")&amp;IF(AND(N(Y53)&gt;0,N(Y54)&lt;=0.004),"✓ "&amp;'Calc base'!J$6&amp;"   ","")&amp;IF(AND(N(AA53)&gt;0,N(AA54)&lt;=0.004),"✓ "&amp;'Calc base'!K$6&amp;"   ","")&amp;IF(AND(N(AC53)&gt;0,N(AC54)&lt;=0.004),"✓ "&amp;'Calc base'!L$6&amp;"   ","")&amp;IF(AND(N(AE53)&gt;0,N(AE54)&lt;=0.004),"✓ "&amp;'Calc base'!M$6&amp;"   ","")&amp;IF(AND(N(AG53)&gt;0,N(AG54)&lt;=0.004),"✓ "&amp;'Calc base'!N$6&amp;"   ","")))</f>
        <v/>
      </c>
      <c r="J54" s="70" t="str">
        <f>IF($A54="","",ROUND(N(K53)*(1+'Calc base'!H77),2)-K54)</f>
        <v/>
      </c>
      <c r="K54" s="75" t="str">
        <f>IF($A54="","",CHOOSE('Calc riepilogo'!$B$2,'Calc valanga'!AT77,'Calc palla di neve'!AT77,'Calc personalizzata'!AT77))</f>
        <v/>
      </c>
      <c r="L54" s="70" t="str">
        <f>IF($A54="","",ROUND(N(M53)*(1+'Calc base'!I77),2)-M54)</f>
        <v/>
      </c>
      <c r="M54" s="75" t="str">
        <f>IF($A54="","",CHOOSE('Calc riepilogo'!$B$2,'Calc valanga'!AU77,'Calc palla di neve'!AU77,'Calc personalizzata'!AU77))</f>
        <v/>
      </c>
      <c r="N54" s="70" t="str">
        <f>IF($A54="","",ROUND(N(O53)*(1+'Calc base'!J77),2)-O54)</f>
        <v/>
      </c>
      <c r="O54" s="75" t="str">
        <f>IF($A54="","",CHOOSE('Calc riepilogo'!$B$2,'Calc valanga'!AV77,'Calc palla di neve'!AV77,'Calc personalizzata'!AV77))</f>
        <v/>
      </c>
      <c r="P54" s="70" t="str">
        <f>IF($A54="","",ROUND(N(Q53)*(1+'Calc base'!K77),2)-Q54)</f>
        <v/>
      </c>
      <c r="Q54" s="75" t="str">
        <f>IF($A54="","",CHOOSE('Calc riepilogo'!$B$2,'Calc valanga'!AW77,'Calc palla di neve'!AW77,'Calc personalizzata'!AW77))</f>
        <v/>
      </c>
      <c r="R54" s="70" t="str">
        <f>IF($A54="","",ROUND(N(S53)*(1+'Calc base'!L77),2)-S54)</f>
        <v/>
      </c>
      <c r="S54" s="75" t="str">
        <f>IF($A54="","",CHOOSE('Calc riepilogo'!$B$2,'Calc valanga'!AX77,'Calc palla di neve'!AX77,'Calc personalizzata'!AX77))</f>
        <v/>
      </c>
      <c r="T54" s="70" t="str">
        <f>IF($A54="","",ROUND(N(U53)*(1+'Calc base'!M77),2)-U54)</f>
        <v/>
      </c>
      <c r="U54" s="75" t="str">
        <f>IF($A54="","",CHOOSE('Calc riepilogo'!$B$2,'Calc valanga'!AY77,'Calc palla di neve'!AY77,'Calc personalizzata'!AY77))</f>
        <v/>
      </c>
      <c r="V54" s="70" t="str">
        <f>IF($A54="","",ROUND(N(W53)*(1+'Calc base'!N77),2)-W54)</f>
        <v/>
      </c>
      <c r="W54" s="75" t="str">
        <f>IF($A54="","",CHOOSE('Calc riepilogo'!$B$2,'Calc valanga'!AZ77,'Calc palla di neve'!AZ77,'Calc personalizzata'!AZ77))</f>
        <v/>
      </c>
      <c r="X54" s="70" t="str">
        <f>IF($A54="","",ROUND(N(Y53)*(1+'Calc base'!O77),2)-Y54)</f>
        <v/>
      </c>
      <c r="Y54" s="75" t="str">
        <f>IF($A54="","",CHOOSE('Calc riepilogo'!$B$2,'Calc valanga'!BA77,'Calc palla di neve'!BA77,'Calc personalizzata'!BA77))</f>
        <v/>
      </c>
      <c r="Z54" s="70" t="str">
        <f>IF($A54="","",ROUND(N(AA53)*(1+'Calc base'!P77),2)-AA54)</f>
        <v/>
      </c>
      <c r="AA54" s="75" t="str">
        <f>IF($A54="","",CHOOSE('Calc riepilogo'!$B$2,'Calc valanga'!BB77,'Calc palla di neve'!BB77,'Calc personalizzata'!BB77))</f>
        <v/>
      </c>
      <c r="AB54" s="70" t="str">
        <f>IF($A54="","",ROUND(N(AC53)*(1+'Calc base'!Q77),2)-AC54)</f>
        <v/>
      </c>
      <c r="AC54" s="75" t="str">
        <f>IF($A54="","",CHOOSE('Calc riepilogo'!$B$2,'Calc valanga'!BC77,'Calc palla di neve'!BC77,'Calc personalizzata'!BC77))</f>
        <v/>
      </c>
      <c r="AD54" s="70" t="str">
        <f>IF($A54="","",ROUND(N(AE53)*(1+'Calc base'!R77),2)-AE54)</f>
        <v/>
      </c>
      <c r="AE54" s="75" t="str">
        <f>IF($A54="","",CHOOSE('Calc riepilogo'!$B$2,'Calc valanga'!BD77,'Calc palla di neve'!BD77,'Calc personalizzata'!BD77))</f>
        <v/>
      </c>
      <c r="AF54" s="70" t="str">
        <f>IF($A54="","",ROUND(N(AG53)*(1+'Calc base'!S77),2)-AG54)</f>
        <v/>
      </c>
      <c r="AG54" s="75" t="str">
        <f>IF($A54="","",CHOOSE('Calc riepilogo'!$B$2,'Calc valanga'!BE77,'Calc palla di neve'!BE77,'Calc personalizzata'!BE77))</f>
        <v/>
      </c>
      <c r="AI54" t="n">
        <v>47</v>
      </c>
    </row>
    <row r="55">
      <c r="A55" s="68" t="str">
        <f>IF(48&gt;'Calc riepilogo'!$B$7,"",'Calc base'!$B78)</f>
        <v/>
      </c>
      <c r="B55" s="69" t="str">
        <f>IF($A55="","",'Calc base'!$C78)</f>
        <v/>
      </c>
      <c r="C55" s="69" t="str">
        <f>IF($A55="","",'Calc base'!$E78)</f>
        <v/>
      </c>
      <c r="D55" s="70" t="str">
        <f>IF($A55="","",J55+L55+N55+P55+R55+T55+V55+X55+Z55+AB55+AD55+AF55)</f>
        <v/>
      </c>
      <c r="E55" s="70" t="str">
        <f>IF($A55="","",CHOOSE('Calc riepilogo'!$B$2,'Calc valanga'!$H78,'Calc palla di neve'!$H78,'Calc personalizzata'!$H78))</f>
        <v/>
      </c>
      <c r="F55" s="71" t="str">
        <f>IF($A55="","",CHOOSE('Calc riepilogo'!$B$2,'Calc valanga'!$G78,'Calc palla di neve'!$G78,'Calc personalizzata'!$G78))</f>
        <v/>
      </c>
      <c r="G55" s="72" t="n"/>
      <c r="H55" s="73" t="n"/>
      <c r="I55" s="74" t="str">
        <f>IF($A55="","",TRIM(IF(AND(N(K54)&gt;0,N(K55)&lt;=0.004),"✓ "&amp;'Calc base'!C$6&amp;"   ","")&amp;IF(AND(N(M54)&gt;0,N(M55)&lt;=0.004),"✓ "&amp;'Calc base'!D$6&amp;"   ","")&amp;IF(AND(N(O54)&gt;0,N(O55)&lt;=0.004),"✓ "&amp;'Calc base'!E$6&amp;"   ","")&amp;IF(AND(N(Q54)&gt;0,N(Q55)&lt;=0.004),"✓ "&amp;'Calc base'!F$6&amp;"   ","")&amp;IF(AND(N(S54)&gt;0,N(S55)&lt;=0.004),"✓ "&amp;'Calc base'!G$6&amp;"   ","")&amp;IF(AND(N(U54)&gt;0,N(U55)&lt;=0.004),"✓ "&amp;'Calc base'!H$6&amp;"   ","")&amp;IF(AND(N(W54)&gt;0,N(W55)&lt;=0.004),"✓ "&amp;'Calc base'!I$6&amp;"   ","")&amp;IF(AND(N(Y54)&gt;0,N(Y55)&lt;=0.004),"✓ "&amp;'Calc base'!J$6&amp;"   ","")&amp;IF(AND(N(AA54)&gt;0,N(AA55)&lt;=0.004),"✓ "&amp;'Calc base'!K$6&amp;"   ","")&amp;IF(AND(N(AC54)&gt;0,N(AC55)&lt;=0.004),"✓ "&amp;'Calc base'!L$6&amp;"   ","")&amp;IF(AND(N(AE54)&gt;0,N(AE55)&lt;=0.004),"✓ "&amp;'Calc base'!M$6&amp;"   ","")&amp;IF(AND(N(AG54)&gt;0,N(AG55)&lt;=0.004),"✓ "&amp;'Calc base'!N$6&amp;"   ","")))</f>
        <v/>
      </c>
      <c r="J55" s="70" t="str">
        <f>IF($A55="","",ROUND(N(K54)*(1+'Calc base'!H78),2)-K55)</f>
        <v/>
      </c>
      <c r="K55" s="75" t="str">
        <f>IF($A55="","",CHOOSE('Calc riepilogo'!$B$2,'Calc valanga'!AT78,'Calc palla di neve'!AT78,'Calc personalizzata'!AT78))</f>
        <v/>
      </c>
      <c r="L55" s="70" t="str">
        <f>IF($A55="","",ROUND(N(M54)*(1+'Calc base'!I78),2)-M55)</f>
        <v/>
      </c>
      <c r="M55" s="75" t="str">
        <f>IF($A55="","",CHOOSE('Calc riepilogo'!$B$2,'Calc valanga'!AU78,'Calc palla di neve'!AU78,'Calc personalizzata'!AU78))</f>
        <v/>
      </c>
      <c r="N55" s="70" t="str">
        <f>IF($A55="","",ROUND(N(O54)*(1+'Calc base'!J78),2)-O55)</f>
        <v/>
      </c>
      <c r="O55" s="75" t="str">
        <f>IF($A55="","",CHOOSE('Calc riepilogo'!$B$2,'Calc valanga'!AV78,'Calc palla di neve'!AV78,'Calc personalizzata'!AV78))</f>
        <v/>
      </c>
      <c r="P55" s="70" t="str">
        <f>IF($A55="","",ROUND(N(Q54)*(1+'Calc base'!K78),2)-Q55)</f>
        <v/>
      </c>
      <c r="Q55" s="75" t="str">
        <f>IF($A55="","",CHOOSE('Calc riepilogo'!$B$2,'Calc valanga'!AW78,'Calc palla di neve'!AW78,'Calc personalizzata'!AW78))</f>
        <v/>
      </c>
      <c r="R55" s="70" t="str">
        <f>IF($A55="","",ROUND(N(S54)*(1+'Calc base'!L78),2)-S55)</f>
        <v/>
      </c>
      <c r="S55" s="75" t="str">
        <f>IF($A55="","",CHOOSE('Calc riepilogo'!$B$2,'Calc valanga'!AX78,'Calc palla di neve'!AX78,'Calc personalizzata'!AX78))</f>
        <v/>
      </c>
      <c r="T55" s="70" t="str">
        <f>IF($A55="","",ROUND(N(U54)*(1+'Calc base'!M78),2)-U55)</f>
        <v/>
      </c>
      <c r="U55" s="75" t="str">
        <f>IF($A55="","",CHOOSE('Calc riepilogo'!$B$2,'Calc valanga'!AY78,'Calc palla di neve'!AY78,'Calc personalizzata'!AY78))</f>
        <v/>
      </c>
      <c r="V55" s="70" t="str">
        <f>IF($A55="","",ROUND(N(W54)*(1+'Calc base'!N78),2)-W55)</f>
        <v/>
      </c>
      <c r="W55" s="75" t="str">
        <f>IF($A55="","",CHOOSE('Calc riepilogo'!$B$2,'Calc valanga'!AZ78,'Calc palla di neve'!AZ78,'Calc personalizzata'!AZ78))</f>
        <v/>
      </c>
      <c r="X55" s="70" t="str">
        <f>IF($A55="","",ROUND(N(Y54)*(1+'Calc base'!O78),2)-Y55)</f>
        <v/>
      </c>
      <c r="Y55" s="75" t="str">
        <f>IF($A55="","",CHOOSE('Calc riepilogo'!$B$2,'Calc valanga'!BA78,'Calc palla di neve'!BA78,'Calc personalizzata'!BA78))</f>
        <v/>
      </c>
      <c r="Z55" s="70" t="str">
        <f>IF($A55="","",ROUND(N(AA54)*(1+'Calc base'!P78),2)-AA55)</f>
        <v/>
      </c>
      <c r="AA55" s="75" t="str">
        <f>IF($A55="","",CHOOSE('Calc riepilogo'!$B$2,'Calc valanga'!BB78,'Calc palla di neve'!BB78,'Calc personalizzata'!BB78))</f>
        <v/>
      </c>
      <c r="AB55" s="70" t="str">
        <f>IF($A55="","",ROUND(N(AC54)*(1+'Calc base'!Q78),2)-AC55)</f>
        <v/>
      </c>
      <c r="AC55" s="75" t="str">
        <f>IF($A55="","",CHOOSE('Calc riepilogo'!$B$2,'Calc valanga'!BC78,'Calc palla di neve'!BC78,'Calc personalizzata'!BC78))</f>
        <v/>
      </c>
      <c r="AD55" s="70" t="str">
        <f>IF($A55="","",ROUND(N(AE54)*(1+'Calc base'!R78),2)-AE55)</f>
        <v/>
      </c>
      <c r="AE55" s="75" t="str">
        <f>IF($A55="","",CHOOSE('Calc riepilogo'!$B$2,'Calc valanga'!BD78,'Calc palla di neve'!BD78,'Calc personalizzata'!BD78))</f>
        <v/>
      </c>
      <c r="AF55" s="70" t="str">
        <f>IF($A55="","",ROUND(N(AG54)*(1+'Calc base'!S78),2)-AG55)</f>
        <v/>
      </c>
      <c r="AG55" s="75" t="str">
        <f>IF($A55="","",CHOOSE('Calc riepilogo'!$B$2,'Calc valanga'!BE78,'Calc palla di neve'!BE78,'Calc personalizzata'!BE78))</f>
        <v/>
      </c>
      <c r="AI55" t="n">
        <v>48</v>
      </c>
    </row>
    <row r="56">
      <c r="A56" s="68" t="str">
        <f>IF(49&gt;'Calc riepilogo'!$B$7,"",'Calc base'!$B79)</f>
        <v/>
      </c>
      <c r="B56" s="69" t="str">
        <f>IF($A56="","",'Calc base'!$C79)</f>
        <v/>
      </c>
      <c r="C56" s="69" t="str">
        <f>IF($A56="","",'Calc base'!$E79)</f>
        <v/>
      </c>
      <c r="D56" s="70" t="str">
        <f>IF($A56="","",J56+L56+N56+P56+R56+T56+V56+X56+Z56+AB56+AD56+AF56)</f>
        <v/>
      </c>
      <c r="E56" s="70" t="str">
        <f>IF($A56="","",CHOOSE('Calc riepilogo'!$B$2,'Calc valanga'!$H79,'Calc palla di neve'!$H79,'Calc personalizzata'!$H79))</f>
        <v/>
      </c>
      <c r="F56" s="71" t="str">
        <f>IF($A56="","",CHOOSE('Calc riepilogo'!$B$2,'Calc valanga'!$G79,'Calc palla di neve'!$G79,'Calc personalizzata'!$G79))</f>
        <v/>
      </c>
      <c r="G56" s="72" t="n"/>
      <c r="H56" s="73" t="n"/>
      <c r="I56" s="74" t="str">
        <f>IF($A56="","",TRIM(IF(AND(N(K55)&gt;0,N(K56)&lt;=0.004),"✓ "&amp;'Calc base'!C$6&amp;"   ","")&amp;IF(AND(N(M55)&gt;0,N(M56)&lt;=0.004),"✓ "&amp;'Calc base'!D$6&amp;"   ","")&amp;IF(AND(N(O55)&gt;0,N(O56)&lt;=0.004),"✓ "&amp;'Calc base'!E$6&amp;"   ","")&amp;IF(AND(N(Q55)&gt;0,N(Q56)&lt;=0.004),"✓ "&amp;'Calc base'!F$6&amp;"   ","")&amp;IF(AND(N(S55)&gt;0,N(S56)&lt;=0.004),"✓ "&amp;'Calc base'!G$6&amp;"   ","")&amp;IF(AND(N(U55)&gt;0,N(U56)&lt;=0.004),"✓ "&amp;'Calc base'!H$6&amp;"   ","")&amp;IF(AND(N(W55)&gt;0,N(W56)&lt;=0.004),"✓ "&amp;'Calc base'!I$6&amp;"   ","")&amp;IF(AND(N(Y55)&gt;0,N(Y56)&lt;=0.004),"✓ "&amp;'Calc base'!J$6&amp;"   ","")&amp;IF(AND(N(AA55)&gt;0,N(AA56)&lt;=0.004),"✓ "&amp;'Calc base'!K$6&amp;"   ","")&amp;IF(AND(N(AC55)&gt;0,N(AC56)&lt;=0.004),"✓ "&amp;'Calc base'!L$6&amp;"   ","")&amp;IF(AND(N(AE55)&gt;0,N(AE56)&lt;=0.004),"✓ "&amp;'Calc base'!M$6&amp;"   ","")&amp;IF(AND(N(AG55)&gt;0,N(AG56)&lt;=0.004),"✓ "&amp;'Calc base'!N$6&amp;"   ","")))</f>
        <v/>
      </c>
      <c r="J56" s="70" t="str">
        <f>IF($A56="","",ROUND(N(K55)*(1+'Calc base'!H79),2)-K56)</f>
        <v/>
      </c>
      <c r="K56" s="75" t="str">
        <f>IF($A56="","",CHOOSE('Calc riepilogo'!$B$2,'Calc valanga'!AT79,'Calc palla di neve'!AT79,'Calc personalizzata'!AT79))</f>
        <v/>
      </c>
      <c r="L56" s="70" t="str">
        <f>IF($A56="","",ROUND(N(M55)*(1+'Calc base'!I79),2)-M56)</f>
        <v/>
      </c>
      <c r="M56" s="75" t="str">
        <f>IF($A56="","",CHOOSE('Calc riepilogo'!$B$2,'Calc valanga'!AU79,'Calc palla di neve'!AU79,'Calc personalizzata'!AU79))</f>
        <v/>
      </c>
      <c r="N56" s="70" t="str">
        <f>IF($A56="","",ROUND(N(O55)*(1+'Calc base'!J79),2)-O56)</f>
        <v/>
      </c>
      <c r="O56" s="75" t="str">
        <f>IF($A56="","",CHOOSE('Calc riepilogo'!$B$2,'Calc valanga'!AV79,'Calc palla di neve'!AV79,'Calc personalizzata'!AV79))</f>
        <v/>
      </c>
      <c r="P56" s="70" t="str">
        <f>IF($A56="","",ROUND(N(Q55)*(1+'Calc base'!K79),2)-Q56)</f>
        <v/>
      </c>
      <c r="Q56" s="75" t="str">
        <f>IF($A56="","",CHOOSE('Calc riepilogo'!$B$2,'Calc valanga'!AW79,'Calc palla di neve'!AW79,'Calc personalizzata'!AW79))</f>
        <v/>
      </c>
      <c r="R56" s="70" t="str">
        <f>IF($A56="","",ROUND(N(S55)*(1+'Calc base'!L79),2)-S56)</f>
        <v/>
      </c>
      <c r="S56" s="75" t="str">
        <f>IF($A56="","",CHOOSE('Calc riepilogo'!$B$2,'Calc valanga'!AX79,'Calc palla di neve'!AX79,'Calc personalizzata'!AX79))</f>
        <v/>
      </c>
      <c r="T56" s="70" t="str">
        <f>IF($A56="","",ROUND(N(U55)*(1+'Calc base'!M79),2)-U56)</f>
        <v/>
      </c>
      <c r="U56" s="75" t="str">
        <f>IF($A56="","",CHOOSE('Calc riepilogo'!$B$2,'Calc valanga'!AY79,'Calc palla di neve'!AY79,'Calc personalizzata'!AY79))</f>
        <v/>
      </c>
      <c r="V56" s="70" t="str">
        <f>IF($A56="","",ROUND(N(W55)*(1+'Calc base'!N79),2)-W56)</f>
        <v/>
      </c>
      <c r="W56" s="75" t="str">
        <f>IF($A56="","",CHOOSE('Calc riepilogo'!$B$2,'Calc valanga'!AZ79,'Calc palla di neve'!AZ79,'Calc personalizzata'!AZ79))</f>
        <v/>
      </c>
      <c r="X56" s="70" t="str">
        <f>IF($A56="","",ROUND(N(Y55)*(1+'Calc base'!O79),2)-Y56)</f>
        <v/>
      </c>
      <c r="Y56" s="75" t="str">
        <f>IF($A56="","",CHOOSE('Calc riepilogo'!$B$2,'Calc valanga'!BA79,'Calc palla di neve'!BA79,'Calc personalizzata'!BA79))</f>
        <v/>
      </c>
      <c r="Z56" s="70" t="str">
        <f>IF($A56="","",ROUND(N(AA55)*(1+'Calc base'!P79),2)-AA56)</f>
        <v/>
      </c>
      <c r="AA56" s="75" t="str">
        <f>IF($A56="","",CHOOSE('Calc riepilogo'!$B$2,'Calc valanga'!BB79,'Calc palla di neve'!BB79,'Calc personalizzata'!BB79))</f>
        <v/>
      </c>
      <c r="AB56" s="70" t="str">
        <f>IF($A56="","",ROUND(N(AC55)*(1+'Calc base'!Q79),2)-AC56)</f>
        <v/>
      </c>
      <c r="AC56" s="75" t="str">
        <f>IF($A56="","",CHOOSE('Calc riepilogo'!$B$2,'Calc valanga'!BC79,'Calc palla di neve'!BC79,'Calc personalizzata'!BC79))</f>
        <v/>
      </c>
      <c r="AD56" s="70" t="str">
        <f>IF($A56="","",ROUND(N(AE55)*(1+'Calc base'!R79),2)-AE56)</f>
        <v/>
      </c>
      <c r="AE56" s="75" t="str">
        <f>IF($A56="","",CHOOSE('Calc riepilogo'!$B$2,'Calc valanga'!BD79,'Calc palla di neve'!BD79,'Calc personalizzata'!BD79))</f>
        <v/>
      </c>
      <c r="AF56" s="70" t="str">
        <f>IF($A56="","",ROUND(N(AG55)*(1+'Calc base'!S79),2)-AG56)</f>
        <v/>
      </c>
      <c r="AG56" s="75" t="str">
        <f>IF($A56="","",CHOOSE('Calc riepilogo'!$B$2,'Calc valanga'!BE79,'Calc palla di neve'!BE79,'Calc personalizzata'!BE79))</f>
        <v/>
      </c>
      <c r="AI56" t="n">
        <v>49</v>
      </c>
    </row>
    <row r="57">
      <c r="A57" s="68" t="str">
        <f>IF(50&gt;'Calc riepilogo'!$B$7,"",'Calc base'!$B80)</f>
        <v/>
      </c>
      <c r="B57" s="69" t="str">
        <f>IF($A57="","",'Calc base'!$C80)</f>
        <v/>
      </c>
      <c r="C57" s="69" t="str">
        <f>IF($A57="","",'Calc base'!$E80)</f>
        <v/>
      </c>
      <c r="D57" s="70" t="str">
        <f>IF($A57="","",J57+L57+N57+P57+R57+T57+V57+X57+Z57+AB57+AD57+AF57)</f>
        <v/>
      </c>
      <c r="E57" s="70" t="str">
        <f>IF($A57="","",CHOOSE('Calc riepilogo'!$B$2,'Calc valanga'!$H80,'Calc palla di neve'!$H80,'Calc personalizzata'!$H80))</f>
        <v/>
      </c>
      <c r="F57" s="71" t="str">
        <f>IF($A57="","",CHOOSE('Calc riepilogo'!$B$2,'Calc valanga'!$G80,'Calc palla di neve'!$G80,'Calc personalizzata'!$G80))</f>
        <v/>
      </c>
      <c r="G57" s="72" t="n"/>
      <c r="H57" s="73" t="n"/>
      <c r="I57" s="74" t="str">
        <f>IF($A57="","",TRIM(IF(AND(N(K56)&gt;0,N(K57)&lt;=0.004),"✓ "&amp;'Calc base'!C$6&amp;"   ","")&amp;IF(AND(N(M56)&gt;0,N(M57)&lt;=0.004),"✓ "&amp;'Calc base'!D$6&amp;"   ","")&amp;IF(AND(N(O56)&gt;0,N(O57)&lt;=0.004),"✓ "&amp;'Calc base'!E$6&amp;"   ","")&amp;IF(AND(N(Q56)&gt;0,N(Q57)&lt;=0.004),"✓ "&amp;'Calc base'!F$6&amp;"   ","")&amp;IF(AND(N(S56)&gt;0,N(S57)&lt;=0.004),"✓ "&amp;'Calc base'!G$6&amp;"   ","")&amp;IF(AND(N(U56)&gt;0,N(U57)&lt;=0.004),"✓ "&amp;'Calc base'!H$6&amp;"   ","")&amp;IF(AND(N(W56)&gt;0,N(W57)&lt;=0.004),"✓ "&amp;'Calc base'!I$6&amp;"   ","")&amp;IF(AND(N(Y56)&gt;0,N(Y57)&lt;=0.004),"✓ "&amp;'Calc base'!J$6&amp;"   ","")&amp;IF(AND(N(AA56)&gt;0,N(AA57)&lt;=0.004),"✓ "&amp;'Calc base'!K$6&amp;"   ","")&amp;IF(AND(N(AC56)&gt;0,N(AC57)&lt;=0.004),"✓ "&amp;'Calc base'!L$6&amp;"   ","")&amp;IF(AND(N(AE56)&gt;0,N(AE57)&lt;=0.004),"✓ "&amp;'Calc base'!M$6&amp;"   ","")&amp;IF(AND(N(AG56)&gt;0,N(AG57)&lt;=0.004),"✓ "&amp;'Calc base'!N$6&amp;"   ","")))</f>
        <v/>
      </c>
      <c r="J57" s="70" t="str">
        <f>IF($A57="","",ROUND(N(K56)*(1+'Calc base'!H80),2)-K57)</f>
        <v/>
      </c>
      <c r="K57" s="75" t="str">
        <f>IF($A57="","",CHOOSE('Calc riepilogo'!$B$2,'Calc valanga'!AT80,'Calc palla di neve'!AT80,'Calc personalizzata'!AT80))</f>
        <v/>
      </c>
      <c r="L57" s="70" t="str">
        <f>IF($A57="","",ROUND(N(M56)*(1+'Calc base'!I80),2)-M57)</f>
        <v/>
      </c>
      <c r="M57" s="75" t="str">
        <f>IF($A57="","",CHOOSE('Calc riepilogo'!$B$2,'Calc valanga'!AU80,'Calc palla di neve'!AU80,'Calc personalizzata'!AU80))</f>
        <v/>
      </c>
      <c r="N57" s="70" t="str">
        <f>IF($A57="","",ROUND(N(O56)*(1+'Calc base'!J80),2)-O57)</f>
        <v/>
      </c>
      <c r="O57" s="75" t="str">
        <f>IF($A57="","",CHOOSE('Calc riepilogo'!$B$2,'Calc valanga'!AV80,'Calc palla di neve'!AV80,'Calc personalizzata'!AV80))</f>
        <v/>
      </c>
      <c r="P57" s="70" t="str">
        <f>IF($A57="","",ROUND(N(Q56)*(1+'Calc base'!K80),2)-Q57)</f>
        <v/>
      </c>
      <c r="Q57" s="75" t="str">
        <f>IF($A57="","",CHOOSE('Calc riepilogo'!$B$2,'Calc valanga'!AW80,'Calc palla di neve'!AW80,'Calc personalizzata'!AW80))</f>
        <v/>
      </c>
      <c r="R57" s="70" t="str">
        <f>IF($A57="","",ROUND(N(S56)*(1+'Calc base'!L80),2)-S57)</f>
        <v/>
      </c>
      <c r="S57" s="75" t="str">
        <f>IF($A57="","",CHOOSE('Calc riepilogo'!$B$2,'Calc valanga'!AX80,'Calc palla di neve'!AX80,'Calc personalizzata'!AX80))</f>
        <v/>
      </c>
      <c r="T57" s="70" t="str">
        <f>IF($A57="","",ROUND(N(U56)*(1+'Calc base'!M80),2)-U57)</f>
        <v/>
      </c>
      <c r="U57" s="75" t="str">
        <f>IF($A57="","",CHOOSE('Calc riepilogo'!$B$2,'Calc valanga'!AY80,'Calc palla di neve'!AY80,'Calc personalizzata'!AY80))</f>
        <v/>
      </c>
      <c r="V57" s="70" t="str">
        <f>IF($A57="","",ROUND(N(W56)*(1+'Calc base'!N80),2)-W57)</f>
        <v/>
      </c>
      <c r="W57" s="75" t="str">
        <f>IF($A57="","",CHOOSE('Calc riepilogo'!$B$2,'Calc valanga'!AZ80,'Calc palla di neve'!AZ80,'Calc personalizzata'!AZ80))</f>
        <v/>
      </c>
      <c r="X57" s="70" t="str">
        <f>IF($A57="","",ROUND(N(Y56)*(1+'Calc base'!O80),2)-Y57)</f>
        <v/>
      </c>
      <c r="Y57" s="75" t="str">
        <f>IF($A57="","",CHOOSE('Calc riepilogo'!$B$2,'Calc valanga'!BA80,'Calc palla di neve'!BA80,'Calc personalizzata'!BA80))</f>
        <v/>
      </c>
      <c r="Z57" s="70" t="str">
        <f>IF($A57="","",ROUND(N(AA56)*(1+'Calc base'!P80),2)-AA57)</f>
        <v/>
      </c>
      <c r="AA57" s="75" t="str">
        <f>IF($A57="","",CHOOSE('Calc riepilogo'!$B$2,'Calc valanga'!BB80,'Calc palla di neve'!BB80,'Calc personalizzata'!BB80))</f>
        <v/>
      </c>
      <c r="AB57" s="70" t="str">
        <f>IF($A57="","",ROUND(N(AC56)*(1+'Calc base'!Q80),2)-AC57)</f>
        <v/>
      </c>
      <c r="AC57" s="75" t="str">
        <f>IF($A57="","",CHOOSE('Calc riepilogo'!$B$2,'Calc valanga'!BC80,'Calc palla di neve'!BC80,'Calc personalizzata'!BC80))</f>
        <v/>
      </c>
      <c r="AD57" s="70" t="str">
        <f>IF($A57="","",ROUND(N(AE56)*(1+'Calc base'!R80),2)-AE57)</f>
        <v/>
      </c>
      <c r="AE57" s="75" t="str">
        <f>IF($A57="","",CHOOSE('Calc riepilogo'!$B$2,'Calc valanga'!BD80,'Calc palla di neve'!BD80,'Calc personalizzata'!BD80))</f>
        <v/>
      </c>
      <c r="AF57" s="70" t="str">
        <f>IF($A57="","",ROUND(N(AG56)*(1+'Calc base'!S80),2)-AG57)</f>
        <v/>
      </c>
      <c r="AG57" s="75" t="str">
        <f>IF($A57="","",CHOOSE('Calc riepilogo'!$B$2,'Calc valanga'!BE80,'Calc palla di neve'!BE80,'Calc personalizzata'!BE80))</f>
        <v/>
      </c>
      <c r="AI57" t="n">
        <v>50</v>
      </c>
    </row>
    <row r="58">
      <c r="A58" s="68" t="str">
        <f>IF(51&gt;'Calc riepilogo'!$B$7,"",'Calc base'!$B81)</f>
        <v/>
      </c>
      <c r="B58" s="69" t="str">
        <f>IF($A58="","",'Calc base'!$C81)</f>
        <v/>
      </c>
      <c r="C58" s="69" t="str">
        <f>IF($A58="","",'Calc base'!$E81)</f>
        <v/>
      </c>
      <c r="D58" s="70" t="str">
        <f>IF($A58="","",J58+L58+N58+P58+R58+T58+V58+X58+Z58+AB58+AD58+AF58)</f>
        <v/>
      </c>
      <c r="E58" s="70" t="str">
        <f>IF($A58="","",CHOOSE('Calc riepilogo'!$B$2,'Calc valanga'!$H81,'Calc palla di neve'!$H81,'Calc personalizzata'!$H81))</f>
        <v/>
      </c>
      <c r="F58" s="71" t="str">
        <f>IF($A58="","",CHOOSE('Calc riepilogo'!$B$2,'Calc valanga'!$G81,'Calc palla di neve'!$G81,'Calc personalizzata'!$G81))</f>
        <v/>
      </c>
      <c r="G58" s="72" t="n"/>
      <c r="H58" s="73" t="n"/>
      <c r="I58" s="74" t="str">
        <f>IF($A58="","",TRIM(IF(AND(N(K57)&gt;0,N(K58)&lt;=0.004),"✓ "&amp;'Calc base'!C$6&amp;"   ","")&amp;IF(AND(N(M57)&gt;0,N(M58)&lt;=0.004),"✓ "&amp;'Calc base'!D$6&amp;"   ","")&amp;IF(AND(N(O57)&gt;0,N(O58)&lt;=0.004),"✓ "&amp;'Calc base'!E$6&amp;"   ","")&amp;IF(AND(N(Q57)&gt;0,N(Q58)&lt;=0.004),"✓ "&amp;'Calc base'!F$6&amp;"   ","")&amp;IF(AND(N(S57)&gt;0,N(S58)&lt;=0.004),"✓ "&amp;'Calc base'!G$6&amp;"   ","")&amp;IF(AND(N(U57)&gt;0,N(U58)&lt;=0.004),"✓ "&amp;'Calc base'!H$6&amp;"   ","")&amp;IF(AND(N(W57)&gt;0,N(W58)&lt;=0.004),"✓ "&amp;'Calc base'!I$6&amp;"   ","")&amp;IF(AND(N(Y57)&gt;0,N(Y58)&lt;=0.004),"✓ "&amp;'Calc base'!J$6&amp;"   ","")&amp;IF(AND(N(AA57)&gt;0,N(AA58)&lt;=0.004),"✓ "&amp;'Calc base'!K$6&amp;"   ","")&amp;IF(AND(N(AC57)&gt;0,N(AC58)&lt;=0.004),"✓ "&amp;'Calc base'!L$6&amp;"   ","")&amp;IF(AND(N(AE57)&gt;0,N(AE58)&lt;=0.004),"✓ "&amp;'Calc base'!M$6&amp;"   ","")&amp;IF(AND(N(AG57)&gt;0,N(AG58)&lt;=0.004),"✓ "&amp;'Calc base'!N$6&amp;"   ","")))</f>
        <v/>
      </c>
      <c r="J58" s="70" t="str">
        <f>IF($A58="","",ROUND(N(K57)*(1+'Calc base'!H81),2)-K58)</f>
        <v/>
      </c>
      <c r="K58" s="75" t="str">
        <f>IF($A58="","",CHOOSE('Calc riepilogo'!$B$2,'Calc valanga'!AT81,'Calc palla di neve'!AT81,'Calc personalizzata'!AT81))</f>
        <v/>
      </c>
      <c r="L58" s="70" t="str">
        <f>IF($A58="","",ROUND(N(M57)*(1+'Calc base'!I81),2)-M58)</f>
        <v/>
      </c>
      <c r="M58" s="75" t="str">
        <f>IF($A58="","",CHOOSE('Calc riepilogo'!$B$2,'Calc valanga'!AU81,'Calc palla di neve'!AU81,'Calc personalizzata'!AU81))</f>
        <v/>
      </c>
      <c r="N58" s="70" t="str">
        <f>IF($A58="","",ROUND(N(O57)*(1+'Calc base'!J81),2)-O58)</f>
        <v/>
      </c>
      <c r="O58" s="75" t="str">
        <f>IF($A58="","",CHOOSE('Calc riepilogo'!$B$2,'Calc valanga'!AV81,'Calc palla di neve'!AV81,'Calc personalizzata'!AV81))</f>
        <v/>
      </c>
      <c r="P58" s="70" t="str">
        <f>IF($A58="","",ROUND(N(Q57)*(1+'Calc base'!K81),2)-Q58)</f>
        <v/>
      </c>
      <c r="Q58" s="75" t="str">
        <f>IF($A58="","",CHOOSE('Calc riepilogo'!$B$2,'Calc valanga'!AW81,'Calc palla di neve'!AW81,'Calc personalizzata'!AW81))</f>
        <v/>
      </c>
      <c r="R58" s="70" t="str">
        <f>IF($A58="","",ROUND(N(S57)*(1+'Calc base'!L81),2)-S58)</f>
        <v/>
      </c>
      <c r="S58" s="75" t="str">
        <f>IF($A58="","",CHOOSE('Calc riepilogo'!$B$2,'Calc valanga'!AX81,'Calc palla di neve'!AX81,'Calc personalizzata'!AX81))</f>
        <v/>
      </c>
      <c r="T58" s="70" t="str">
        <f>IF($A58="","",ROUND(N(U57)*(1+'Calc base'!M81),2)-U58)</f>
        <v/>
      </c>
      <c r="U58" s="75" t="str">
        <f>IF($A58="","",CHOOSE('Calc riepilogo'!$B$2,'Calc valanga'!AY81,'Calc palla di neve'!AY81,'Calc personalizzata'!AY81))</f>
        <v/>
      </c>
      <c r="V58" s="70" t="str">
        <f>IF($A58="","",ROUND(N(W57)*(1+'Calc base'!N81),2)-W58)</f>
        <v/>
      </c>
      <c r="W58" s="75" t="str">
        <f>IF($A58="","",CHOOSE('Calc riepilogo'!$B$2,'Calc valanga'!AZ81,'Calc palla di neve'!AZ81,'Calc personalizzata'!AZ81))</f>
        <v/>
      </c>
      <c r="X58" s="70" t="str">
        <f>IF($A58="","",ROUND(N(Y57)*(1+'Calc base'!O81),2)-Y58)</f>
        <v/>
      </c>
      <c r="Y58" s="75" t="str">
        <f>IF($A58="","",CHOOSE('Calc riepilogo'!$B$2,'Calc valanga'!BA81,'Calc palla di neve'!BA81,'Calc personalizzata'!BA81))</f>
        <v/>
      </c>
      <c r="Z58" s="70" t="str">
        <f>IF($A58="","",ROUND(N(AA57)*(1+'Calc base'!P81),2)-AA58)</f>
        <v/>
      </c>
      <c r="AA58" s="75" t="str">
        <f>IF($A58="","",CHOOSE('Calc riepilogo'!$B$2,'Calc valanga'!BB81,'Calc palla di neve'!BB81,'Calc personalizzata'!BB81))</f>
        <v/>
      </c>
      <c r="AB58" s="70" t="str">
        <f>IF($A58="","",ROUND(N(AC57)*(1+'Calc base'!Q81),2)-AC58)</f>
        <v/>
      </c>
      <c r="AC58" s="75" t="str">
        <f>IF($A58="","",CHOOSE('Calc riepilogo'!$B$2,'Calc valanga'!BC81,'Calc palla di neve'!BC81,'Calc personalizzata'!BC81))</f>
        <v/>
      </c>
      <c r="AD58" s="70" t="str">
        <f>IF($A58="","",ROUND(N(AE57)*(1+'Calc base'!R81),2)-AE58)</f>
        <v/>
      </c>
      <c r="AE58" s="75" t="str">
        <f>IF($A58="","",CHOOSE('Calc riepilogo'!$B$2,'Calc valanga'!BD81,'Calc palla di neve'!BD81,'Calc personalizzata'!BD81))</f>
        <v/>
      </c>
      <c r="AF58" s="70" t="str">
        <f>IF($A58="","",ROUND(N(AG57)*(1+'Calc base'!S81),2)-AG58)</f>
        <v/>
      </c>
      <c r="AG58" s="75" t="str">
        <f>IF($A58="","",CHOOSE('Calc riepilogo'!$B$2,'Calc valanga'!BE81,'Calc palla di neve'!BE81,'Calc personalizzata'!BE81))</f>
        <v/>
      </c>
      <c r="AI58" t="n">
        <v>51</v>
      </c>
    </row>
    <row r="59">
      <c r="A59" s="68" t="str">
        <f>IF(52&gt;'Calc riepilogo'!$B$7,"",'Calc base'!$B82)</f>
        <v/>
      </c>
      <c r="B59" s="69" t="str">
        <f>IF($A59="","",'Calc base'!$C82)</f>
        <v/>
      </c>
      <c r="C59" s="69" t="str">
        <f>IF($A59="","",'Calc base'!$E82)</f>
        <v/>
      </c>
      <c r="D59" s="70" t="str">
        <f>IF($A59="","",J59+L59+N59+P59+R59+T59+V59+X59+Z59+AB59+AD59+AF59)</f>
        <v/>
      </c>
      <c r="E59" s="70" t="str">
        <f>IF($A59="","",CHOOSE('Calc riepilogo'!$B$2,'Calc valanga'!$H82,'Calc palla di neve'!$H82,'Calc personalizzata'!$H82))</f>
        <v/>
      </c>
      <c r="F59" s="71" t="str">
        <f>IF($A59="","",CHOOSE('Calc riepilogo'!$B$2,'Calc valanga'!$G82,'Calc palla di neve'!$G82,'Calc personalizzata'!$G82))</f>
        <v/>
      </c>
      <c r="G59" s="72" t="n"/>
      <c r="H59" s="73" t="n"/>
      <c r="I59" s="74" t="str">
        <f>IF($A59="","",TRIM(IF(AND(N(K58)&gt;0,N(K59)&lt;=0.004),"✓ "&amp;'Calc base'!C$6&amp;"   ","")&amp;IF(AND(N(M58)&gt;0,N(M59)&lt;=0.004),"✓ "&amp;'Calc base'!D$6&amp;"   ","")&amp;IF(AND(N(O58)&gt;0,N(O59)&lt;=0.004),"✓ "&amp;'Calc base'!E$6&amp;"   ","")&amp;IF(AND(N(Q58)&gt;0,N(Q59)&lt;=0.004),"✓ "&amp;'Calc base'!F$6&amp;"   ","")&amp;IF(AND(N(S58)&gt;0,N(S59)&lt;=0.004),"✓ "&amp;'Calc base'!G$6&amp;"   ","")&amp;IF(AND(N(U58)&gt;0,N(U59)&lt;=0.004),"✓ "&amp;'Calc base'!H$6&amp;"   ","")&amp;IF(AND(N(W58)&gt;0,N(W59)&lt;=0.004),"✓ "&amp;'Calc base'!I$6&amp;"   ","")&amp;IF(AND(N(Y58)&gt;0,N(Y59)&lt;=0.004),"✓ "&amp;'Calc base'!J$6&amp;"   ","")&amp;IF(AND(N(AA58)&gt;0,N(AA59)&lt;=0.004),"✓ "&amp;'Calc base'!K$6&amp;"   ","")&amp;IF(AND(N(AC58)&gt;0,N(AC59)&lt;=0.004),"✓ "&amp;'Calc base'!L$6&amp;"   ","")&amp;IF(AND(N(AE58)&gt;0,N(AE59)&lt;=0.004),"✓ "&amp;'Calc base'!M$6&amp;"   ","")&amp;IF(AND(N(AG58)&gt;0,N(AG59)&lt;=0.004),"✓ "&amp;'Calc base'!N$6&amp;"   ","")))</f>
        <v/>
      </c>
      <c r="J59" s="70" t="str">
        <f>IF($A59="","",ROUND(N(K58)*(1+'Calc base'!H82),2)-K59)</f>
        <v/>
      </c>
      <c r="K59" s="75" t="str">
        <f>IF($A59="","",CHOOSE('Calc riepilogo'!$B$2,'Calc valanga'!AT82,'Calc palla di neve'!AT82,'Calc personalizzata'!AT82))</f>
        <v/>
      </c>
      <c r="L59" s="70" t="str">
        <f>IF($A59="","",ROUND(N(M58)*(1+'Calc base'!I82),2)-M59)</f>
        <v/>
      </c>
      <c r="M59" s="75" t="str">
        <f>IF($A59="","",CHOOSE('Calc riepilogo'!$B$2,'Calc valanga'!AU82,'Calc palla di neve'!AU82,'Calc personalizzata'!AU82))</f>
        <v/>
      </c>
      <c r="N59" s="70" t="str">
        <f>IF($A59="","",ROUND(N(O58)*(1+'Calc base'!J82),2)-O59)</f>
        <v/>
      </c>
      <c r="O59" s="75" t="str">
        <f>IF($A59="","",CHOOSE('Calc riepilogo'!$B$2,'Calc valanga'!AV82,'Calc palla di neve'!AV82,'Calc personalizzata'!AV82))</f>
        <v/>
      </c>
      <c r="P59" s="70" t="str">
        <f>IF($A59="","",ROUND(N(Q58)*(1+'Calc base'!K82),2)-Q59)</f>
        <v/>
      </c>
      <c r="Q59" s="75" t="str">
        <f>IF($A59="","",CHOOSE('Calc riepilogo'!$B$2,'Calc valanga'!AW82,'Calc palla di neve'!AW82,'Calc personalizzata'!AW82))</f>
        <v/>
      </c>
      <c r="R59" s="70" t="str">
        <f>IF($A59="","",ROUND(N(S58)*(1+'Calc base'!L82),2)-S59)</f>
        <v/>
      </c>
      <c r="S59" s="75" t="str">
        <f>IF($A59="","",CHOOSE('Calc riepilogo'!$B$2,'Calc valanga'!AX82,'Calc palla di neve'!AX82,'Calc personalizzata'!AX82))</f>
        <v/>
      </c>
      <c r="T59" s="70" t="str">
        <f>IF($A59="","",ROUND(N(U58)*(1+'Calc base'!M82),2)-U59)</f>
        <v/>
      </c>
      <c r="U59" s="75" t="str">
        <f>IF($A59="","",CHOOSE('Calc riepilogo'!$B$2,'Calc valanga'!AY82,'Calc palla di neve'!AY82,'Calc personalizzata'!AY82))</f>
        <v/>
      </c>
      <c r="V59" s="70" t="str">
        <f>IF($A59="","",ROUND(N(W58)*(1+'Calc base'!N82),2)-W59)</f>
        <v/>
      </c>
      <c r="W59" s="75" t="str">
        <f>IF($A59="","",CHOOSE('Calc riepilogo'!$B$2,'Calc valanga'!AZ82,'Calc palla di neve'!AZ82,'Calc personalizzata'!AZ82))</f>
        <v/>
      </c>
      <c r="X59" s="70" t="str">
        <f>IF($A59="","",ROUND(N(Y58)*(1+'Calc base'!O82),2)-Y59)</f>
        <v/>
      </c>
      <c r="Y59" s="75" t="str">
        <f>IF($A59="","",CHOOSE('Calc riepilogo'!$B$2,'Calc valanga'!BA82,'Calc palla di neve'!BA82,'Calc personalizzata'!BA82))</f>
        <v/>
      </c>
      <c r="Z59" s="70" t="str">
        <f>IF($A59="","",ROUND(N(AA58)*(1+'Calc base'!P82),2)-AA59)</f>
        <v/>
      </c>
      <c r="AA59" s="75" t="str">
        <f>IF($A59="","",CHOOSE('Calc riepilogo'!$B$2,'Calc valanga'!BB82,'Calc palla di neve'!BB82,'Calc personalizzata'!BB82))</f>
        <v/>
      </c>
      <c r="AB59" s="70" t="str">
        <f>IF($A59="","",ROUND(N(AC58)*(1+'Calc base'!Q82),2)-AC59)</f>
        <v/>
      </c>
      <c r="AC59" s="75" t="str">
        <f>IF($A59="","",CHOOSE('Calc riepilogo'!$B$2,'Calc valanga'!BC82,'Calc palla di neve'!BC82,'Calc personalizzata'!BC82))</f>
        <v/>
      </c>
      <c r="AD59" s="70" t="str">
        <f>IF($A59="","",ROUND(N(AE58)*(1+'Calc base'!R82),2)-AE59)</f>
        <v/>
      </c>
      <c r="AE59" s="75" t="str">
        <f>IF($A59="","",CHOOSE('Calc riepilogo'!$B$2,'Calc valanga'!BD82,'Calc palla di neve'!BD82,'Calc personalizzata'!BD82))</f>
        <v/>
      </c>
      <c r="AF59" s="70" t="str">
        <f>IF($A59="","",ROUND(N(AG58)*(1+'Calc base'!S82),2)-AG59)</f>
        <v/>
      </c>
      <c r="AG59" s="75" t="str">
        <f>IF($A59="","",CHOOSE('Calc riepilogo'!$B$2,'Calc valanga'!BE82,'Calc palla di neve'!BE82,'Calc personalizzata'!BE82))</f>
        <v/>
      </c>
      <c r="AI59" t="n">
        <v>52</v>
      </c>
    </row>
    <row r="60">
      <c r="A60" s="68" t="str">
        <f>IF(53&gt;'Calc riepilogo'!$B$7,"",'Calc base'!$B83)</f>
        <v/>
      </c>
      <c r="B60" s="69" t="str">
        <f>IF($A60="","",'Calc base'!$C83)</f>
        <v/>
      </c>
      <c r="C60" s="69" t="str">
        <f>IF($A60="","",'Calc base'!$E83)</f>
        <v/>
      </c>
      <c r="D60" s="70" t="str">
        <f>IF($A60="","",J60+L60+N60+P60+R60+T60+V60+X60+Z60+AB60+AD60+AF60)</f>
        <v/>
      </c>
      <c r="E60" s="70" t="str">
        <f>IF($A60="","",CHOOSE('Calc riepilogo'!$B$2,'Calc valanga'!$H83,'Calc palla di neve'!$H83,'Calc personalizzata'!$H83))</f>
        <v/>
      </c>
      <c r="F60" s="71" t="str">
        <f>IF($A60="","",CHOOSE('Calc riepilogo'!$B$2,'Calc valanga'!$G83,'Calc palla di neve'!$G83,'Calc personalizzata'!$G83))</f>
        <v/>
      </c>
      <c r="G60" s="72" t="n"/>
      <c r="H60" s="73" t="n"/>
      <c r="I60" s="74" t="str">
        <f>IF($A60="","",TRIM(IF(AND(N(K59)&gt;0,N(K60)&lt;=0.004),"✓ "&amp;'Calc base'!C$6&amp;"   ","")&amp;IF(AND(N(M59)&gt;0,N(M60)&lt;=0.004),"✓ "&amp;'Calc base'!D$6&amp;"   ","")&amp;IF(AND(N(O59)&gt;0,N(O60)&lt;=0.004),"✓ "&amp;'Calc base'!E$6&amp;"   ","")&amp;IF(AND(N(Q59)&gt;0,N(Q60)&lt;=0.004),"✓ "&amp;'Calc base'!F$6&amp;"   ","")&amp;IF(AND(N(S59)&gt;0,N(S60)&lt;=0.004),"✓ "&amp;'Calc base'!G$6&amp;"   ","")&amp;IF(AND(N(U59)&gt;0,N(U60)&lt;=0.004),"✓ "&amp;'Calc base'!H$6&amp;"   ","")&amp;IF(AND(N(W59)&gt;0,N(W60)&lt;=0.004),"✓ "&amp;'Calc base'!I$6&amp;"   ","")&amp;IF(AND(N(Y59)&gt;0,N(Y60)&lt;=0.004),"✓ "&amp;'Calc base'!J$6&amp;"   ","")&amp;IF(AND(N(AA59)&gt;0,N(AA60)&lt;=0.004),"✓ "&amp;'Calc base'!K$6&amp;"   ","")&amp;IF(AND(N(AC59)&gt;0,N(AC60)&lt;=0.004),"✓ "&amp;'Calc base'!L$6&amp;"   ","")&amp;IF(AND(N(AE59)&gt;0,N(AE60)&lt;=0.004),"✓ "&amp;'Calc base'!M$6&amp;"   ","")&amp;IF(AND(N(AG59)&gt;0,N(AG60)&lt;=0.004),"✓ "&amp;'Calc base'!N$6&amp;"   ","")))</f>
        <v/>
      </c>
      <c r="J60" s="70" t="str">
        <f>IF($A60="","",ROUND(N(K59)*(1+'Calc base'!H83),2)-K60)</f>
        <v/>
      </c>
      <c r="K60" s="75" t="str">
        <f>IF($A60="","",CHOOSE('Calc riepilogo'!$B$2,'Calc valanga'!AT83,'Calc palla di neve'!AT83,'Calc personalizzata'!AT83))</f>
        <v/>
      </c>
      <c r="L60" s="70" t="str">
        <f>IF($A60="","",ROUND(N(M59)*(1+'Calc base'!I83),2)-M60)</f>
        <v/>
      </c>
      <c r="M60" s="75" t="str">
        <f>IF($A60="","",CHOOSE('Calc riepilogo'!$B$2,'Calc valanga'!AU83,'Calc palla di neve'!AU83,'Calc personalizzata'!AU83))</f>
        <v/>
      </c>
      <c r="N60" s="70" t="str">
        <f>IF($A60="","",ROUND(N(O59)*(1+'Calc base'!J83),2)-O60)</f>
        <v/>
      </c>
      <c r="O60" s="75" t="str">
        <f>IF($A60="","",CHOOSE('Calc riepilogo'!$B$2,'Calc valanga'!AV83,'Calc palla di neve'!AV83,'Calc personalizzata'!AV83))</f>
        <v/>
      </c>
      <c r="P60" s="70" t="str">
        <f>IF($A60="","",ROUND(N(Q59)*(1+'Calc base'!K83),2)-Q60)</f>
        <v/>
      </c>
      <c r="Q60" s="75" t="str">
        <f>IF($A60="","",CHOOSE('Calc riepilogo'!$B$2,'Calc valanga'!AW83,'Calc palla di neve'!AW83,'Calc personalizzata'!AW83))</f>
        <v/>
      </c>
      <c r="R60" s="70" t="str">
        <f>IF($A60="","",ROUND(N(S59)*(1+'Calc base'!L83),2)-S60)</f>
        <v/>
      </c>
      <c r="S60" s="75" t="str">
        <f>IF($A60="","",CHOOSE('Calc riepilogo'!$B$2,'Calc valanga'!AX83,'Calc palla di neve'!AX83,'Calc personalizzata'!AX83))</f>
        <v/>
      </c>
      <c r="T60" s="70" t="str">
        <f>IF($A60="","",ROUND(N(U59)*(1+'Calc base'!M83),2)-U60)</f>
        <v/>
      </c>
      <c r="U60" s="75" t="str">
        <f>IF($A60="","",CHOOSE('Calc riepilogo'!$B$2,'Calc valanga'!AY83,'Calc palla di neve'!AY83,'Calc personalizzata'!AY83))</f>
        <v/>
      </c>
      <c r="V60" s="70" t="str">
        <f>IF($A60="","",ROUND(N(W59)*(1+'Calc base'!N83),2)-W60)</f>
        <v/>
      </c>
      <c r="W60" s="75" t="str">
        <f>IF($A60="","",CHOOSE('Calc riepilogo'!$B$2,'Calc valanga'!AZ83,'Calc palla di neve'!AZ83,'Calc personalizzata'!AZ83))</f>
        <v/>
      </c>
      <c r="X60" s="70" t="str">
        <f>IF($A60="","",ROUND(N(Y59)*(1+'Calc base'!O83),2)-Y60)</f>
        <v/>
      </c>
      <c r="Y60" s="75" t="str">
        <f>IF($A60="","",CHOOSE('Calc riepilogo'!$B$2,'Calc valanga'!BA83,'Calc palla di neve'!BA83,'Calc personalizzata'!BA83))</f>
        <v/>
      </c>
      <c r="Z60" s="70" t="str">
        <f>IF($A60="","",ROUND(N(AA59)*(1+'Calc base'!P83),2)-AA60)</f>
        <v/>
      </c>
      <c r="AA60" s="75" t="str">
        <f>IF($A60="","",CHOOSE('Calc riepilogo'!$B$2,'Calc valanga'!BB83,'Calc palla di neve'!BB83,'Calc personalizzata'!BB83))</f>
        <v/>
      </c>
      <c r="AB60" s="70" t="str">
        <f>IF($A60="","",ROUND(N(AC59)*(1+'Calc base'!Q83),2)-AC60)</f>
        <v/>
      </c>
      <c r="AC60" s="75" t="str">
        <f>IF($A60="","",CHOOSE('Calc riepilogo'!$B$2,'Calc valanga'!BC83,'Calc palla di neve'!BC83,'Calc personalizzata'!BC83))</f>
        <v/>
      </c>
      <c r="AD60" s="70" t="str">
        <f>IF($A60="","",ROUND(N(AE59)*(1+'Calc base'!R83),2)-AE60)</f>
        <v/>
      </c>
      <c r="AE60" s="75" t="str">
        <f>IF($A60="","",CHOOSE('Calc riepilogo'!$B$2,'Calc valanga'!BD83,'Calc palla di neve'!BD83,'Calc personalizzata'!BD83))</f>
        <v/>
      </c>
      <c r="AF60" s="70" t="str">
        <f>IF($A60="","",ROUND(N(AG59)*(1+'Calc base'!S83),2)-AG60)</f>
        <v/>
      </c>
      <c r="AG60" s="75" t="str">
        <f>IF($A60="","",CHOOSE('Calc riepilogo'!$B$2,'Calc valanga'!BE83,'Calc palla di neve'!BE83,'Calc personalizzata'!BE83))</f>
        <v/>
      </c>
      <c r="AI60" t="n">
        <v>53</v>
      </c>
    </row>
    <row r="61">
      <c r="A61" s="68" t="str">
        <f>IF(54&gt;'Calc riepilogo'!$B$7,"",'Calc base'!$B84)</f>
        <v/>
      </c>
      <c r="B61" s="69" t="str">
        <f>IF($A61="","",'Calc base'!$C84)</f>
        <v/>
      </c>
      <c r="C61" s="69" t="str">
        <f>IF($A61="","",'Calc base'!$E84)</f>
        <v/>
      </c>
      <c r="D61" s="70" t="str">
        <f>IF($A61="","",J61+L61+N61+P61+R61+T61+V61+X61+Z61+AB61+AD61+AF61)</f>
        <v/>
      </c>
      <c r="E61" s="70" t="str">
        <f>IF($A61="","",CHOOSE('Calc riepilogo'!$B$2,'Calc valanga'!$H84,'Calc palla di neve'!$H84,'Calc personalizzata'!$H84))</f>
        <v/>
      </c>
      <c r="F61" s="71" t="str">
        <f>IF($A61="","",CHOOSE('Calc riepilogo'!$B$2,'Calc valanga'!$G84,'Calc palla di neve'!$G84,'Calc personalizzata'!$G84))</f>
        <v/>
      </c>
      <c r="G61" s="72" t="n"/>
      <c r="H61" s="73" t="n"/>
      <c r="I61" s="74" t="str">
        <f>IF($A61="","",TRIM(IF(AND(N(K60)&gt;0,N(K61)&lt;=0.004),"✓ "&amp;'Calc base'!C$6&amp;"   ","")&amp;IF(AND(N(M60)&gt;0,N(M61)&lt;=0.004),"✓ "&amp;'Calc base'!D$6&amp;"   ","")&amp;IF(AND(N(O60)&gt;0,N(O61)&lt;=0.004),"✓ "&amp;'Calc base'!E$6&amp;"   ","")&amp;IF(AND(N(Q60)&gt;0,N(Q61)&lt;=0.004),"✓ "&amp;'Calc base'!F$6&amp;"   ","")&amp;IF(AND(N(S60)&gt;0,N(S61)&lt;=0.004),"✓ "&amp;'Calc base'!G$6&amp;"   ","")&amp;IF(AND(N(U60)&gt;0,N(U61)&lt;=0.004),"✓ "&amp;'Calc base'!H$6&amp;"   ","")&amp;IF(AND(N(W60)&gt;0,N(W61)&lt;=0.004),"✓ "&amp;'Calc base'!I$6&amp;"   ","")&amp;IF(AND(N(Y60)&gt;0,N(Y61)&lt;=0.004),"✓ "&amp;'Calc base'!J$6&amp;"   ","")&amp;IF(AND(N(AA60)&gt;0,N(AA61)&lt;=0.004),"✓ "&amp;'Calc base'!K$6&amp;"   ","")&amp;IF(AND(N(AC60)&gt;0,N(AC61)&lt;=0.004),"✓ "&amp;'Calc base'!L$6&amp;"   ","")&amp;IF(AND(N(AE60)&gt;0,N(AE61)&lt;=0.004),"✓ "&amp;'Calc base'!M$6&amp;"   ","")&amp;IF(AND(N(AG60)&gt;0,N(AG61)&lt;=0.004),"✓ "&amp;'Calc base'!N$6&amp;"   ","")))</f>
        <v/>
      </c>
      <c r="J61" s="70" t="str">
        <f>IF($A61="","",ROUND(N(K60)*(1+'Calc base'!H84),2)-K61)</f>
        <v/>
      </c>
      <c r="K61" s="75" t="str">
        <f>IF($A61="","",CHOOSE('Calc riepilogo'!$B$2,'Calc valanga'!AT84,'Calc palla di neve'!AT84,'Calc personalizzata'!AT84))</f>
        <v/>
      </c>
      <c r="L61" s="70" t="str">
        <f>IF($A61="","",ROUND(N(M60)*(1+'Calc base'!I84),2)-M61)</f>
        <v/>
      </c>
      <c r="M61" s="75" t="str">
        <f>IF($A61="","",CHOOSE('Calc riepilogo'!$B$2,'Calc valanga'!AU84,'Calc palla di neve'!AU84,'Calc personalizzata'!AU84))</f>
        <v/>
      </c>
      <c r="N61" s="70" t="str">
        <f>IF($A61="","",ROUND(N(O60)*(1+'Calc base'!J84),2)-O61)</f>
        <v/>
      </c>
      <c r="O61" s="75" t="str">
        <f>IF($A61="","",CHOOSE('Calc riepilogo'!$B$2,'Calc valanga'!AV84,'Calc palla di neve'!AV84,'Calc personalizzata'!AV84))</f>
        <v/>
      </c>
      <c r="P61" s="70" t="str">
        <f>IF($A61="","",ROUND(N(Q60)*(1+'Calc base'!K84),2)-Q61)</f>
        <v/>
      </c>
      <c r="Q61" s="75" t="str">
        <f>IF($A61="","",CHOOSE('Calc riepilogo'!$B$2,'Calc valanga'!AW84,'Calc palla di neve'!AW84,'Calc personalizzata'!AW84))</f>
        <v/>
      </c>
      <c r="R61" s="70" t="str">
        <f>IF($A61="","",ROUND(N(S60)*(1+'Calc base'!L84),2)-S61)</f>
        <v/>
      </c>
      <c r="S61" s="75" t="str">
        <f>IF($A61="","",CHOOSE('Calc riepilogo'!$B$2,'Calc valanga'!AX84,'Calc palla di neve'!AX84,'Calc personalizzata'!AX84))</f>
        <v/>
      </c>
      <c r="T61" s="70" t="str">
        <f>IF($A61="","",ROUND(N(U60)*(1+'Calc base'!M84),2)-U61)</f>
        <v/>
      </c>
      <c r="U61" s="75" t="str">
        <f>IF($A61="","",CHOOSE('Calc riepilogo'!$B$2,'Calc valanga'!AY84,'Calc palla di neve'!AY84,'Calc personalizzata'!AY84))</f>
        <v/>
      </c>
      <c r="V61" s="70" t="str">
        <f>IF($A61="","",ROUND(N(W60)*(1+'Calc base'!N84),2)-W61)</f>
        <v/>
      </c>
      <c r="W61" s="75" t="str">
        <f>IF($A61="","",CHOOSE('Calc riepilogo'!$B$2,'Calc valanga'!AZ84,'Calc palla di neve'!AZ84,'Calc personalizzata'!AZ84))</f>
        <v/>
      </c>
      <c r="X61" s="70" t="str">
        <f>IF($A61="","",ROUND(N(Y60)*(1+'Calc base'!O84),2)-Y61)</f>
        <v/>
      </c>
      <c r="Y61" s="75" t="str">
        <f>IF($A61="","",CHOOSE('Calc riepilogo'!$B$2,'Calc valanga'!BA84,'Calc palla di neve'!BA84,'Calc personalizzata'!BA84))</f>
        <v/>
      </c>
      <c r="Z61" s="70" t="str">
        <f>IF($A61="","",ROUND(N(AA60)*(1+'Calc base'!P84),2)-AA61)</f>
        <v/>
      </c>
      <c r="AA61" s="75" t="str">
        <f>IF($A61="","",CHOOSE('Calc riepilogo'!$B$2,'Calc valanga'!BB84,'Calc palla di neve'!BB84,'Calc personalizzata'!BB84))</f>
        <v/>
      </c>
      <c r="AB61" s="70" t="str">
        <f>IF($A61="","",ROUND(N(AC60)*(1+'Calc base'!Q84),2)-AC61)</f>
        <v/>
      </c>
      <c r="AC61" s="75" t="str">
        <f>IF($A61="","",CHOOSE('Calc riepilogo'!$B$2,'Calc valanga'!BC84,'Calc palla di neve'!BC84,'Calc personalizzata'!BC84))</f>
        <v/>
      </c>
      <c r="AD61" s="70" t="str">
        <f>IF($A61="","",ROUND(N(AE60)*(1+'Calc base'!R84),2)-AE61)</f>
        <v/>
      </c>
      <c r="AE61" s="75" t="str">
        <f>IF($A61="","",CHOOSE('Calc riepilogo'!$B$2,'Calc valanga'!BD84,'Calc palla di neve'!BD84,'Calc personalizzata'!BD84))</f>
        <v/>
      </c>
      <c r="AF61" s="70" t="str">
        <f>IF($A61="","",ROUND(N(AG60)*(1+'Calc base'!S84),2)-AG61)</f>
        <v/>
      </c>
      <c r="AG61" s="75" t="str">
        <f>IF($A61="","",CHOOSE('Calc riepilogo'!$B$2,'Calc valanga'!BE84,'Calc palla di neve'!BE84,'Calc personalizzata'!BE84))</f>
        <v/>
      </c>
      <c r="AI61" t="n">
        <v>54</v>
      </c>
    </row>
    <row r="62">
      <c r="A62" s="68" t="str">
        <f>IF(55&gt;'Calc riepilogo'!$B$7,"",'Calc base'!$B85)</f>
        <v/>
      </c>
      <c r="B62" s="69" t="str">
        <f>IF($A62="","",'Calc base'!$C85)</f>
        <v/>
      </c>
      <c r="C62" s="69" t="str">
        <f>IF($A62="","",'Calc base'!$E85)</f>
        <v/>
      </c>
      <c r="D62" s="70" t="str">
        <f>IF($A62="","",J62+L62+N62+P62+R62+T62+V62+X62+Z62+AB62+AD62+AF62)</f>
        <v/>
      </c>
      <c r="E62" s="70" t="str">
        <f>IF($A62="","",CHOOSE('Calc riepilogo'!$B$2,'Calc valanga'!$H85,'Calc palla di neve'!$H85,'Calc personalizzata'!$H85))</f>
        <v/>
      </c>
      <c r="F62" s="71" t="str">
        <f>IF($A62="","",CHOOSE('Calc riepilogo'!$B$2,'Calc valanga'!$G85,'Calc palla di neve'!$G85,'Calc personalizzata'!$G85))</f>
        <v/>
      </c>
      <c r="G62" s="72" t="n"/>
      <c r="H62" s="73" t="n"/>
      <c r="I62" s="74" t="str">
        <f>IF($A62="","",TRIM(IF(AND(N(K61)&gt;0,N(K62)&lt;=0.004),"✓ "&amp;'Calc base'!C$6&amp;"   ","")&amp;IF(AND(N(M61)&gt;0,N(M62)&lt;=0.004),"✓ "&amp;'Calc base'!D$6&amp;"   ","")&amp;IF(AND(N(O61)&gt;0,N(O62)&lt;=0.004),"✓ "&amp;'Calc base'!E$6&amp;"   ","")&amp;IF(AND(N(Q61)&gt;0,N(Q62)&lt;=0.004),"✓ "&amp;'Calc base'!F$6&amp;"   ","")&amp;IF(AND(N(S61)&gt;0,N(S62)&lt;=0.004),"✓ "&amp;'Calc base'!G$6&amp;"   ","")&amp;IF(AND(N(U61)&gt;0,N(U62)&lt;=0.004),"✓ "&amp;'Calc base'!H$6&amp;"   ","")&amp;IF(AND(N(W61)&gt;0,N(W62)&lt;=0.004),"✓ "&amp;'Calc base'!I$6&amp;"   ","")&amp;IF(AND(N(Y61)&gt;0,N(Y62)&lt;=0.004),"✓ "&amp;'Calc base'!J$6&amp;"   ","")&amp;IF(AND(N(AA61)&gt;0,N(AA62)&lt;=0.004),"✓ "&amp;'Calc base'!K$6&amp;"   ","")&amp;IF(AND(N(AC61)&gt;0,N(AC62)&lt;=0.004),"✓ "&amp;'Calc base'!L$6&amp;"   ","")&amp;IF(AND(N(AE61)&gt;0,N(AE62)&lt;=0.004),"✓ "&amp;'Calc base'!M$6&amp;"   ","")&amp;IF(AND(N(AG61)&gt;0,N(AG62)&lt;=0.004),"✓ "&amp;'Calc base'!N$6&amp;"   ","")))</f>
        <v/>
      </c>
      <c r="J62" s="70" t="str">
        <f>IF($A62="","",ROUND(N(K61)*(1+'Calc base'!H85),2)-K62)</f>
        <v/>
      </c>
      <c r="K62" s="75" t="str">
        <f>IF($A62="","",CHOOSE('Calc riepilogo'!$B$2,'Calc valanga'!AT85,'Calc palla di neve'!AT85,'Calc personalizzata'!AT85))</f>
        <v/>
      </c>
      <c r="L62" s="70" t="str">
        <f>IF($A62="","",ROUND(N(M61)*(1+'Calc base'!I85),2)-M62)</f>
        <v/>
      </c>
      <c r="M62" s="75" t="str">
        <f>IF($A62="","",CHOOSE('Calc riepilogo'!$B$2,'Calc valanga'!AU85,'Calc palla di neve'!AU85,'Calc personalizzata'!AU85))</f>
        <v/>
      </c>
      <c r="N62" s="70" t="str">
        <f>IF($A62="","",ROUND(N(O61)*(1+'Calc base'!J85),2)-O62)</f>
        <v/>
      </c>
      <c r="O62" s="75" t="str">
        <f>IF($A62="","",CHOOSE('Calc riepilogo'!$B$2,'Calc valanga'!AV85,'Calc palla di neve'!AV85,'Calc personalizzata'!AV85))</f>
        <v/>
      </c>
      <c r="P62" s="70" t="str">
        <f>IF($A62="","",ROUND(N(Q61)*(1+'Calc base'!K85),2)-Q62)</f>
        <v/>
      </c>
      <c r="Q62" s="75" t="str">
        <f>IF($A62="","",CHOOSE('Calc riepilogo'!$B$2,'Calc valanga'!AW85,'Calc palla di neve'!AW85,'Calc personalizzata'!AW85))</f>
        <v/>
      </c>
      <c r="R62" s="70" t="str">
        <f>IF($A62="","",ROUND(N(S61)*(1+'Calc base'!L85),2)-S62)</f>
        <v/>
      </c>
      <c r="S62" s="75" t="str">
        <f>IF($A62="","",CHOOSE('Calc riepilogo'!$B$2,'Calc valanga'!AX85,'Calc palla di neve'!AX85,'Calc personalizzata'!AX85))</f>
        <v/>
      </c>
      <c r="T62" s="70" t="str">
        <f>IF($A62="","",ROUND(N(U61)*(1+'Calc base'!M85),2)-U62)</f>
        <v/>
      </c>
      <c r="U62" s="75" t="str">
        <f>IF($A62="","",CHOOSE('Calc riepilogo'!$B$2,'Calc valanga'!AY85,'Calc palla di neve'!AY85,'Calc personalizzata'!AY85))</f>
        <v/>
      </c>
      <c r="V62" s="70" t="str">
        <f>IF($A62="","",ROUND(N(W61)*(1+'Calc base'!N85),2)-W62)</f>
        <v/>
      </c>
      <c r="W62" s="75" t="str">
        <f>IF($A62="","",CHOOSE('Calc riepilogo'!$B$2,'Calc valanga'!AZ85,'Calc palla di neve'!AZ85,'Calc personalizzata'!AZ85))</f>
        <v/>
      </c>
      <c r="X62" s="70" t="str">
        <f>IF($A62="","",ROUND(N(Y61)*(1+'Calc base'!O85),2)-Y62)</f>
        <v/>
      </c>
      <c r="Y62" s="75" t="str">
        <f>IF($A62="","",CHOOSE('Calc riepilogo'!$B$2,'Calc valanga'!BA85,'Calc palla di neve'!BA85,'Calc personalizzata'!BA85))</f>
        <v/>
      </c>
      <c r="Z62" s="70" t="str">
        <f>IF($A62="","",ROUND(N(AA61)*(1+'Calc base'!P85),2)-AA62)</f>
        <v/>
      </c>
      <c r="AA62" s="75" t="str">
        <f>IF($A62="","",CHOOSE('Calc riepilogo'!$B$2,'Calc valanga'!BB85,'Calc palla di neve'!BB85,'Calc personalizzata'!BB85))</f>
        <v/>
      </c>
      <c r="AB62" s="70" t="str">
        <f>IF($A62="","",ROUND(N(AC61)*(1+'Calc base'!Q85),2)-AC62)</f>
        <v/>
      </c>
      <c r="AC62" s="75" t="str">
        <f>IF($A62="","",CHOOSE('Calc riepilogo'!$B$2,'Calc valanga'!BC85,'Calc palla di neve'!BC85,'Calc personalizzata'!BC85))</f>
        <v/>
      </c>
      <c r="AD62" s="70" t="str">
        <f>IF($A62="","",ROUND(N(AE61)*(1+'Calc base'!R85),2)-AE62)</f>
        <v/>
      </c>
      <c r="AE62" s="75" t="str">
        <f>IF($A62="","",CHOOSE('Calc riepilogo'!$B$2,'Calc valanga'!BD85,'Calc palla di neve'!BD85,'Calc personalizzata'!BD85))</f>
        <v/>
      </c>
      <c r="AF62" s="70" t="str">
        <f>IF($A62="","",ROUND(N(AG61)*(1+'Calc base'!S85),2)-AG62)</f>
        <v/>
      </c>
      <c r="AG62" s="75" t="str">
        <f>IF($A62="","",CHOOSE('Calc riepilogo'!$B$2,'Calc valanga'!BE85,'Calc palla di neve'!BE85,'Calc personalizzata'!BE85))</f>
        <v/>
      </c>
      <c r="AI62" t="n">
        <v>55</v>
      </c>
    </row>
    <row r="63">
      <c r="A63" s="68" t="str">
        <f>IF(56&gt;'Calc riepilogo'!$B$7,"",'Calc base'!$B86)</f>
        <v/>
      </c>
      <c r="B63" s="69" t="str">
        <f>IF($A63="","",'Calc base'!$C86)</f>
        <v/>
      </c>
      <c r="C63" s="69" t="str">
        <f>IF($A63="","",'Calc base'!$E86)</f>
        <v/>
      </c>
      <c r="D63" s="70" t="str">
        <f>IF($A63="","",J63+L63+N63+P63+R63+T63+V63+X63+Z63+AB63+AD63+AF63)</f>
        <v/>
      </c>
      <c r="E63" s="70" t="str">
        <f>IF($A63="","",CHOOSE('Calc riepilogo'!$B$2,'Calc valanga'!$H86,'Calc palla di neve'!$H86,'Calc personalizzata'!$H86))</f>
        <v/>
      </c>
      <c r="F63" s="71" t="str">
        <f>IF($A63="","",CHOOSE('Calc riepilogo'!$B$2,'Calc valanga'!$G86,'Calc palla di neve'!$G86,'Calc personalizzata'!$G86))</f>
        <v/>
      </c>
      <c r="G63" s="72" t="n"/>
      <c r="H63" s="73" t="n"/>
      <c r="I63" s="74" t="str">
        <f>IF($A63="","",TRIM(IF(AND(N(K62)&gt;0,N(K63)&lt;=0.004),"✓ "&amp;'Calc base'!C$6&amp;"   ","")&amp;IF(AND(N(M62)&gt;0,N(M63)&lt;=0.004),"✓ "&amp;'Calc base'!D$6&amp;"   ","")&amp;IF(AND(N(O62)&gt;0,N(O63)&lt;=0.004),"✓ "&amp;'Calc base'!E$6&amp;"   ","")&amp;IF(AND(N(Q62)&gt;0,N(Q63)&lt;=0.004),"✓ "&amp;'Calc base'!F$6&amp;"   ","")&amp;IF(AND(N(S62)&gt;0,N(S63)&lt;=0.004),"✓ "&amp;'Calc base'!G$6&amp;"   ","")&amp;IF(AND(N(U62)&gt;0,N(U63)&lt;=0.004),"✓ "&amp;'Calc base'!H$6&amp;"   ","")&amp;IF(AND(N(W62)&gt;0,N(W63)&lt;=0.004),"✓ "&amp;'Calc base'!I$6&amp;"   ","")&amp;IF(AND(N(Y62)&gt;0,N(Y63)&lt;=0.004),"✓ "&amp;'Calc base'!J$6&amp;"   ","")&amp;IF(AND(N(AA62)&gt;0,N(AA63)&lt;=0.004),"✓ "&amp;'Calc base'!K$6&amp;"   ","")&amp;IF(AND(N(AC62)&gt;0,N(AC63)&lt;=0.004),"✓ "&amp;'Calc base'!L$6&amp;"   ","")&amp;IF(AND(N(AE62)&gt;0,N(AE63)&lt;=0.004),"✓ "&amp;'Calc base'!M$6&amp;"   ","")&amp;IF(AND(N(AG62)&gt;0,N(AG63)&lt;=0.004),"✓ "&amp;'Calc base'!N$6&amp;"   ","")))</f>
        <v/>
      </c>
      <c r="J63" s="70" t="str">
        <f>IF($A63="","",ROUND(N(K62)*(1+'Calc base'!H86),2)-K63)</f>
        <v/>
      </c>
      <c r="K63" s="75" t="str">
        <f>IF($A63="","",CHOOSE('Calc riepilogo'!$B$2,'Calc valanga'!AT86,'Calc palla di neve'!AT86,'Calc personalizzata'!AT86))</f>
        <v/>
      </c>
      <c r="L63" s="70" t="str">
        <f>IF($A63="","",ROUND(N(M62)*(1+'Calc base'!I86),2)-M63)</f>
        <v/>
      </c>
      <c r="M63" s="75" t="str">
        <f>IF($A63="","",CHOOSE('Calc riepilogo'!$B$2,'Calc valanga'!AU86,'Calc palla di neve'!AU86,'Calc personalizzata'!AU86))</f>
        <v/>
      </c>
      <c r="N63" s="70" t="str">
        <f>IF($A63="","",ROUND(N(O62)*(1+'Calc base'!J86),2)-O63)</f>
        <v/>
      </c>
      <c r="O63" s="75" t="str">
        <f>IF($A63="","",CHOOSE('Calc riepilogo'!$B$2,'Calc valanga'!AV86,'Calc palla di neve'!AV86,'Calc personalizzata'!AV86))</f>
        <v/>
      </c>
      <c r="P63" s="70" t="str">
        <f>IF($A63="","",ROUND(N(Q62)*(1+'Calc base'!K86),2)-Q63)</f>
        <v/>
      </c>
      <c r="Q63" s="75" t="str">
        <f>IF($A63="","",CHOOSE('Calc riepilogo'!$B$2,'Calc valanga'!AW86,'Calc palla di neve'!AW86,'Calc personalizzata'!AW86))</f>
        <v/>
      </c>
      <c r="R63" s="70" t="str">
        <f>IF($A63="","",ROUND(N(S62)*(1+'Calc base'!L86),2)-S63)</f>
        <v/>
      </c>
      <c r="S63" s="75" t="str">
        <f>IF($A63="","",CHOOSE('Calc riepilogo'!$B$2,'Calc valanga'!AX86,'Calc palla di neve'!AX86,'Calc personalizzata'!AX86))</f>
        <v/>
      </c>
      <c r="T63" s="70" t="str">
        <f>IF($A63="","",ROUND(N(U62)*(1+'Calc base'!M86),2)-U63)</f>
        <v/>
      </c>
      <c r="U63" s="75" t="str">
        <f>IF($A63="","",CHOOSE('Calc riepilogo'!$B$2,'Calc valanga'!AY86,'Calc palla di neve'!AY86,'Calc personalizzata'!AY86))</f>
        <v/>
      </c>
      <c r="V63" s="70" t="str">
        <f>IF($A63="","",ROUND(N(W62)*(1+'Calc base'!N86),2)-W63)</f>
        <v/>
      </c>
      <c r="W63" s="75" t="str">
        <f>IF($A63="","",CHOOSE('Calc riepilogo'!$B$2,'Calc valanga'!AZ86,'Calc palla di neve'!AZ86,'Calc personalizzata'!AZ86))</f>
        <v/>
      </c>
      <c r="X63" s="70" t="str">
        <f>IF($A63="","",ROUND(N(Y62)*(1+'Calc base'!O86),2)-Y63)</f>
        <v/>
      </c>
      <c r="Y63" s="75" t="str">
        <f>IF($A63="","",CHOOSE('Calc riepilogo'!$B$2,'Calc valanga'!BA86,'Calc palla di neve'!BA86,'Calc personalizzata'!BA86))</f>
        <v/>
      </c>
      <c r="Z63" s="70" t="str">
        <f>IF($A63="","",ROUND(N(AA62)*(1+'Calc base'!P86),2)-AA63)</f>
        <v/>
      </c>
      <c r="AA63" s="75" t="str">
        <f>IF($A63="","",CHOOSE('Calc riepilogo'!$B$2,'Calc valanga'!BB86,'Calc palla di neve'!BB86,'Calc personalizzata'!BB86))</f>
        <v/>
      </c>
      <c r="AB63" s="70" t="str">
        <f>IF($A63="","",ROUND(N(AC62)*(1+'Calc base'!Q86),2)-AC63)</f>
        <v/>
      </c>
      <c r="AC63" s="75" t="str">
        <f>IF($A63="","",CHOOSE('Calc riepilogo'!$B$2,'Calc valanga'!BC86,'Calc palla di neve'!BC86,'Calc personalizzata'!BC86))</f>
        <v/>
      </c>
      <c r="AD63" s="70" t="str">
        <f>IF($A63="","",ROUND(N(AE62)*(1+'Calc base'!R86),2)-AE63)</f>
        <v/>
      </c>
      <c r="AE63" s="75" t="str">
        <f>IF($A63="","",CHOOSE('Calc riepilogo'!$B$2,'Calc valanga'!BD86,'Calc palla di neve'!BD86,'Calc personalizzata'!BD86))</f>
        <v/>
      </c>
      <c r="AF63" s="70" t="str">
        <f>IF($A63="","",ROUND(N(AG62)*(1+'Calc base'!S86),2)-AG63)</f>
        <v/>
      </c>
      <c r="AG63" s="75" t="str">
        <f>IF($A63="","",CHOOSE('Calc riepilogo'!$B$2,'Calc valanga'!BE86,'Calc palla di neve'!BE86,'Calc personalizzata'!BE86))</f>
        <v/>
      </c>
      <c r="AI63" t="n">
        <v>56</v>
      </c>
    </row>
    <row r="64">
      <c r="A64" s="68" t="str">
        <f>IF(57&gt;'Calc riepilogo'!$B$7,"",'Calc base'!$B87)</f>
        <v/>
      </c>
      <c r="B64" s="69" t="str">
        <f>IF($A64="","",'Calc base'!$C87)</f>
        <v/>
      </c>
      <c r="C64" s="69" t="str">
        <f>IF($A64="","",'Calc base'!$E87)</f>
        <v/>
      </c>
      <c r="D64" s="70" t="str">
        <f>IF($A64="","",J64+L64+N64+P64+R64+T64+V64+X64+Z64+AB64+AD64+AF64)</f>
        <v/>
      </c>
      <c r="E64" s="70" t="str">
        <f>IF($A64="","",CHOOSE('Calc riepilogo'!$B$2,'Calc valanga'!$H87,'Calc palla di neve'!$H87,'Calc personalizzata'!$H87))</f>
        <v/>
      </c>
      <c r="F64" s="71" t="str">
        <f>IF($A64="","",CHOOSE('Calc riepilogo'!$B$2,'Calc valanga'!$G87,'Calc palla di neve'!$G87,'Calc personalizzata'!$G87))</f>
        <v/>
      </c>
      <c r="G64" s="72" t="n"/>
      <c r="H64" s="73" t="n"/>
      <c r="I64" s="74" t="str">
        <f>IF($A64="","",TRIM(IF(AND(N(K63)&gt;0,N(K64)&lt;=0.004),"✓ "&amp;'Calc base'!C$6&amp;"   ","")&amp;IF(AND(N(M63)&gt;0,N(M64)&lt;=0.004),"✓ "&amp;'Calc base'!D$6&amp;"   ","")&amp;IF(AND(N(O63)&gt;0,N(O64)&lt;=0.004),"✓ "&amp;'Calc base'!E$6&amp;"   ","")&amp;IF(AND(N(Q63)&gt;0,N(Q64)&lt;=0.004),"✓ "&amp;'Calc base'!F$6&amp;"   ","")&amp;IF(AND(N(S63)&gt;0,N(S64)&lt;=0.004),"✓ "&amp;'Calc base'!G$6&amp;"   ","")&amp;IF(AND(N(U63)&gt;0,N(U64)&lt;=0.004),"✓ "&amp;'Calc base'!H$6&amp;"   ","")&amp;IF(AND(N(W63)&gt;0,N(W64)&lt;=0.004),"✓ "&amp;'Calc base'!I$6&amp;"   ","")&amp;IF(AND(N(Y63)&gt;0,N(Y64)&lt;=0.004),"✓ "&amp;'Calc base'!J$6&amp;"   ","")&amp;IF(AND(N(AA63)&gt;0,N(AA64)&lt;=0.004),"✓ "&amp;'Calc base'!K$6&amp;"   ","")&amp;IF(AND(N(AC63)&gt;0,N(AC64)&lt;=0.004),"✓ "&amp;'Calc base'!L$6&amp;"   ","")&amp;IF(AND(N(AE63)&gt;0,N(AE64)&lt;=0.004),"✓ "&amp;'Calc base'!M$6&amp;"   ","")&amp;IF(AND(N(AG63)&gt;0,N(AG64)&lt;=0.004),"✓ "&amp;'Calc base'!N$6&amp;"   ","")))</f>
        <v/>
      </c>
      <c r="J64" s="70" t="str">
        <f>IF($A64="","",ROUND(N(K63)*(1+'Calc base'!H87),2)-K64)</f>
        <v/>
      </c>
      <c r="K64" s="75" t="str">
        <f>IF($A64="","",CHOOSE('Calc riepilogo'!$B$2,'Calc valanga'!AT87,'Calc palla di neve'!AT87,'Calc personalizzata'!AT87))</f>
        <v/>
      </c>
      <c r="L64" s="70" t="str">
        <f>IF($A64="","",ROUND(N(M63)*(1+'Calc base'!I87),2)-M64)</f>
        <v/>
      </c>
      <c r="M64" s="75" t="str">
        <f>IF($A64="","",CHOOSE('Calc riepilogo'!$B$2,'Calc valanga'!AU87,'Calc palla di neve'!AU87,'Calc personalizzata'!AU87))</f>
        <v/>
      </c>
      <c r="N64" s="70" t="str">
        <f>IF($A64="","",ROUND(N(O63)*(1+'Calc base'!J87),2)-O64)</f>
        <v/>
      </c>
      <c r="O64" s="75" t="str">
        <f>IF($A64="","",CHOOSE('Calc riepilogo'!$B$2,'Calc valanga'!AV87,'Calc palla di neve'!AV87,'Calc personalizzata'!AV87))</f>
        <v/>
      </c>
      <c r="P64" s="70" t="str">
        <f>IF($A64="","",ROUND(N(Q63)*(1+'Calc base'!K87),2)-Q64)</f>
        <v/>
      </c>
      <c r="Q64" s="75" t="str">
        <f>IF($A64="","",CHOOSE('Calc riepilogo'!$B$2,'Calc valanga'!AW87,'Calc palla di neve'!AW87,'Calc personalizzata'!AW87))</f>
        <v/>
      </c>
      <c r="R64" s="70" t="str">
        <f>IF($A64="","",ROUND(N(S63)*(1+'Calc base'!L87),2)-S64)</f>
        <v/>
      </c>
      <c r="S64" s="75" t="str">
        <f>IF($A64="","",CHOOSE('Calc riepilogo'!$B$2,'Calc valanga'!AX87,'Calc palla di neve'!AX87,'Calc personalizzata'!AX87))</f>
        <v/>
      </c>
      <c r="T64" s="70" t="str">
        <f>IF($A64="","",ROUND(N(U63)*(1+'Calc base'!M87),2)-U64)</f>
        <v/>
      </c>
      <c r="U64" s="75" t="str">
        <f>IF($A64="","",CHOOSE('Calc riepilogo'!$B$2,'Calc valanga'!AY87,'Calc palla di neve'!AY87,'Calc personalizzata'!AY87))</f>
        <v/>
      </c>
      <c r="V64" s="70" t="str">
        <f>IF($A64="","",ROUND(N(W63)*(1+'Calc base'!N87),2)-W64)</f>
        <v/>
      </c>
      <c r="W64" s="75" t="str">
        <f>IF($A64="","",CHOOSE('Calc riepilogo'!$B$2,'Calc valanga'!AZ87,'Calc palla di neve'!AZ87,'Calc personalizzata'!AZ87))</f>
        <v/>
      </c>
      <c r="X64" s="70" t="str">
        <f>IF($A64="","",ROUND(N(Y63)*(1+'Calc base'!O87),2)-Y64)</f>
        <v/>
      </c>
      <c r="Y64" s="75" t="str">
        <f>IF($A64="","",CHOOSE('Calc riepilogo'!$B$2,'Calc valanga'!BA87,'Calc palla di neve'!BA87,'Calc personalizzata'!BA87))</f>
        <v/>
      </c>
      <c r="Z64" s="70" t="str">
        <f>IF($A64="","",ROUND(N(AA63)*(1+'Calc base'!P87),2)-AA64)</f>
        <v/>
      </c>
      <c r="AA64" s="75" t="str">
        <f>IF($A64="","",CHOOSE('Calc riepilogo'!$B$2,'Calc valanga'!BB87,'Calc palla di neve'!BB87,'Calc personalizzata'!BB87))</f>
        <v/>
      </c>
      <c r="AB64" s="70" t="str">
        <f>IF($A64="","",ROUND(N(AC63)*(1+'Calc base'!Q87),2)-AC64)</f>
        <v/>
      </c>
      <c r="AC64" s="75" t="str">
        <f>IF($A64="","",CHOOSE('Calc riepilogo'!$B$2,'Calc valanga'!BC87,'Calc palla di neve'!BC87,'Calc personalizzata'!BC87))</f>
        <v/>
      </c>
      <c r="AD64" s="70" t="str">
        <f>IF($A64="","",ROUND(N(AE63)*(1+'Calc base'!R87),2)-AE64)</f>
        <v/>
      </c>
      <c r="AE64" s="75" t="str">
        <f>IF($A64="","",CHOOSE('Calc riepilogo'!$B$2,'Calc valanga'!BD87,'Calc palla di neve'!BD87,'Calc personalizzata'!BD87))</f>
        <v/>
      </c>
      <c r="AF64" s="70" t="str">
        <f>IF($A64="","",ROUND(N(AG63)*(1+'Calc base'!S87),2)-AG64)</f>
        <v/>
      </c>
      <c r="AG64" s="75" t="str">
        <f>IF($A64="","",CHOOSE('Calc riepilogo'!$B$2,'Calc valanga'!BE87,'Calc palla di neve'!BE87,'Calc personalizzata'!BE87))</f>
        <v/>
      </c>
      <c r="AI64" t="n">
        <v>57</v>
      </c>
    </row>
    <row r="65">
      <c r="A65" s="68" t="str">
        <f>IF(58&gt;'Calc riepilogo'!$B$7,"",'Calc base'!$B88)</f>
        <v/>
      </c>
      <c r="B65" s="69" t="str">
        <f>IF($A65="","",'Calc base'!$C88)</f>
        <v/>
      </c>
      <c r="C65" s="69" t="str">
        <f>IF($A65="","",'Calc base'!$E88)</f>
        <v/>
      </c>
      <c r="D65" s="70" t="str">
        <f>IF($A65="","",J65+L65+N65+P65+R65+T65+V65+X65+Z65+AB65+AD65+AF65)</f>
        <v/>
      </c>
      <c r="E65" s="70" t="str">
        <f>IF($A65="","",CHOOSE('Calc riepilogo'!$B$2,'Calc valanga'!$H88,'Calc palla di neve'!$H88,'Calc personalizzata'!$H88))</f>
        <v/>
      </c>
      <c r="F65" s="71" t="str">
        <f>IF($A65="","",CHOOSE('Calc riepilogo'!$B$2,'Calc valanga'!$G88,'Calc palla di neve'!$G88,'Calc personalizzata'!$G88))</f>
        <v/>
      </c>
      <c r="G65" s="72" t="n"/>
      <c r="H65" s="73" t="n"/>
      <c r="I65" s="74" t="str">
        <f>IF($A65="","",TRIM(IF(AND(N(K64)&gt;0,N(K65)&lt;=0.004),"✓ "&amp;'Calc base'!C$6&amp;"   ","")&amp;IF(AND(N(M64)&gt;0,N(M65)&lt;=0.004),"✓ "&amp;'Calc base'!D$6&amp;"   ","")&amp;IF(AND(N(O64)&gt;0,N(O65)&lt;=0.004),"✓ "&amp;'Calc base'!E$6&amp;"   ","")&amp;IF(AND(N(Q64)&gt;0,N(Q65)&lt;=0.004),"✓ "&amp;'Calc base'!F$6&amp;"   ","")&amp;IF(AND(N(S64)&gt;0,N(S65)&lt;=0.004),"✓ "&amp;'Calc base'!G$6&amp;"   ","")&amp;IF(AND(N(U64)&gt;0,N(U65)&lt;=0.004),"✓ "&amp;'Calc base'!H$6&amp;"   ","")&amp;IF(AND(N(W64)&gt;0,N(W65)&lt;=0.004),"✓ "&amp;'Calc base'!I$6&amp;"   ","")&amp;IF(AND(N(Y64)&gt;0,N(Y65)&lt;=0.004),"✓ "&amp;'Calc base'!J$6&amp;"   ","")&amp;IF(AND(N(AA64)&gt;0,N(AA65)&lt;=0.004),"✓ "&amp;'Calc base'!K$6&amp;"   ","")&amp;IF(AND(N(AC64)&gt;0,N(AC65)&lt;=0.004),"✓ "&amp;'Calc base'!L$6&amp;"   ","")&amp;IF(AND(N(AE64)&gt;0,N(AE65)&lt;=0.004),"✓ "&amp;'Calc base'!M$6&amp;"   ","")&amp;IF(AND(N(AG64)&gt;0,N(AG65)&lt;=0.004),"✓ "&amp;'Calc base'!N$6&amp;"   ","")))</f>
        <v/>
      </c>
      <c r="J65" s="70" t="str">
        <f>IF($A65="","",ROUND(N(K64)*(1+'Calc base'!H88),2)-K65)</f>
        <v/>
      </c>
      <c r="K65" s="75" t="str">
        <f>IF($A65="","",CHOOSE('Calc riepilogo'!$B$2,'Calc valanga'!AT88,'Calc palla di neve'!AT88,'Calc personalizzata'!AT88))</f>
        <v/>
      </c>
      <c r="L65" s="70" t="str">
        <f>IF($A65="","",ROUND(N(M64)*(1+'Calc base'!I88),2)-M65)</f>
        <v/>
      </c>
      <c r="M65" s="75" t="str">
        <f>IF($A65="","",CHOOSE('Calc riepilogo'!$B$2,'Calc valanga'!AU88,'Calc palla di neve'!AU88,'Calc personalizzata'!AU88))</f>
        <v/>
      </c>
      <c r="N65" s="70" t="str">
        <f>IF($A65="","",ROUND(N(O64)*(1+'Calc base'!J88),2)-O65)</f>
        <v/>
      </c>
      <c r="O65" s="75" t="str">
        <f>IF($A65="","",CHOOSE('Calc riepilogo'!$B$2,'Calc valanga'!AV88,'Calc palla di neve'!AV88,'Calc personalizzata'!AV88))</f>
        <v/>
      </c>
      <c r="P65" s="70" t="str">
        <f>IF($A65="","",ROUND(N(Q64)*(1+'Calc base'!K88),2)-Q65)</f>
        <v/>
      </c>
      <c r="Q65" s="75" t="str">
        <f>IF($A65="","",CHOOSE('Calc riepilogo'!$B$2,'Calc valanga'!AW88,'Calc palla di neve'!AW88,'Calc personalizzata'!AW88))</f>
        <v/>
      </c>
      <c r="R65" s="70" t="str">
        <f>IF($A65="","",ROUND(N(S64)*(1+'Calc base'!L88),2)-S65)</f>
        <v/>
      </c>
      <c r="S65" s="75" t="str">
        <f>IF($A65="","",CHOOSE('Calc riepilogo'!$B$2,'Calc valanga'!AX88,'Calc palla di neve'!AX88,'Calc personalizzata'!AX88))</f>
        <v/>
      </c>
      <c r="T65" s="70" t="str">
        <f>IF($A65="","",ROUND(N(U64)*(1+'Calc base'!M88),2)-U65)</f>
        <v/>
      </c>
      <c r="U65" s="75" t="str">
        <f>IF($A65="","",CHOOSE('Calc riepilogo'!$B$2,'Calc valanga'!AY88,'Calc palla di neve'!AY88,'Calc personalizzata'!AY88))</f>
        <v/>
      </c>
      <c r="V65" s="70" t="str">
        <f>IF($A65="","",ROUND(N(W64)*(1+'Calc base'!N88),2)-W65)</f>
        <v/>
      </c>
      <c r="W65" s="75" t="str">
        <f>IF($A65="","",CHOOSE('Calc riepilogo'!$B$2,'Calc valanga'!AZ88,'Calc palla di neve'!AZ88,'Calc personalizzata'!AZ88))</f>
        <v/>
      </c>
      <c r="X65" s="70" t="str">
        <f>IF($A65="","",ROUND(N(Y64)*(1+'Calc base'!O88),2)-Y65)</f>
        <v/>
      </c>
      <c r="Y65" s="75" t="str">
        <f>IF($A65="","",CHOOSE('Calc riepilogo'!$B$2,'Calc valanga'!BA88,'Calc palla di neve'!BA88,'Calc personalizzata'!BA88))</f>
        <v/>
      </c>
      <c r="Z65" s="70" t="str">
        <f>IF($A65="","",ROUND(N(AA64)*(1+'Calc base'!P88),2)-AA65)</f>
        <v/>
      </c>
      <c r="AA65" s="75" t="str">
        <f>IF($A65="","",CHOOSE('Calc riepilogo'!$B$2,'Calc valanga'!BB88,'Calc palla di neve'!BB88,'Calc personalizzata'!BB88))</f>
        <v/>
      </c>
      <c r="AB65" s="70" t="str">
        <f>IF($A65="","",ROUND(N(AC64)*(1+'Calc base'!Q88),2)-AC65)</f>
        <v/>
      </c>
      <c r="AC65" s="75" t="str">
        <f>IF($A65="","",CHOOSE('Calc riepilogo'!$B$2,'Calc valanga'!BC88,'Calc palla di neve'!BC88,'Calc personalizzata'!BC88))</f>
        <v/>
      </c>
      <c r="AD65" s="70" t="str">
        <f>IF($A65="","",ROUND(N(AE64)*(1+'Calc base'!R88),2)-AE65)</f>
        <v/>
      </c>
      <c r="AE65" s="75" t="str">
        <f>IF($A65="","",CHOOSE('Calc riepilogo'!$B$2,'Calc valanga'!BD88,'Calc palla di neve'!BD88,'Calc personalizzata'!BD88))</f>
        <v/>
      </c>
      <c r="AF65" s="70" t="str">
        <f>IF($A65="","",ROUND(N(AG64)*(1+'Calc base'!S88),2)-AG65)</f>
        <v/>
      </c>
      <c r="AG65" s="75" t="str">
        <f>IF($A65="","",CHOOSE('Calc riepilogo'!$B$2,'Calc valanga'!BE88,'Calc palla di neve'!BE88,'Calc personalizzata'!BE88))</f>
        <v/>
      </c>
      <c r="AI65" t="n">
        <v>58</v>
      </c>
    </row>
    <row r="66">
      <c r="A66" s="68" t="str">
        <f>IF(59&gt;'Calc riepilogo'!$B$7,"",'Calc base'!$B89)</f>
        <v/>
      </c>
      <c r="B66" s="69" t="str">
        <f>IF($A66="","",'Calc base'!$C89)</f>
        <v/>
      </c>
      <c r="C66" s="69" t="str">
        <f>IF($A66="","",'Calc base'!$E89)</f>
        <v/>
      </c>
      <c r="D66" s="70" t="str">
        <f>IF($A66="","",J66+L66+N66+P66+R66+T66+V66+X66+Z66+AB66+AD66+AF66)</f>
        <v/>
      </c>
      <c r="E66" s="70" t="str">
        <f>IF($A66="","",CHOOSE('Calc riepilogo'!$B$2,'Calc valanga'!$H89,'Calc palla di neve'!$H89,'Calc personalizzata'!$H89))</f>
        <v/>
      </c>
      <c r="F66" s="71" t="str">
        <f>IF($A66="","",CHOOSE('Calc riepilogo'!$B$2,'Calc valanga'!$G89,'Calc palla di neve'!$G89,'Calc personalizzata'!$G89))</f>
        <v/>
      </c>
      <c r="G66" s="72" t="n"/>
      <c r="H66" s="73" t="n"/>
      <c r="I66" s="74" t="str">
        <f>IF($A66="","",TRIM(IF(AND(N(K65)&gt;0,N(K66)&lt;=0.004),"✓ "&amp;'Calc base'!C$6&amp;"   ","")&amp;IF(AND(N(M65)&gt;0,N(M66)&lt;=0.004),"✓ "&amp;'Calc base'!D$6&amp;"   ","")&amp;IF(AND(N(O65)&gt;0,N(O66)&lt;=0.004),"✓ "&amp;'Calc base'!E$6&amp;"   ","")&amp;IF(AND(N(Q65)&gt;0,N(Q66)&lt;=0.004),"✓ "&amp;'Calc base'!F$6&amp;"   ","")&amp;IF(AND(N(S65)&gt;0,N(S66)&lt;=0.004),"✓ "&amp;'Calc base'!G$6&amp;"   ","")&amp;IF(AND(N(U65)&gt;0,N(U66)&lt;=0.004),"✓ "&amp;'Calc base'!H$6&amp;"   ","")&amp;IF(AND(N(W65)&gt;0,N(W66)&lt;=0.004),"✓ "&amp;'Calc base'!I$6&amp;"   ","")&amp;IF(AND(N(Y65)&gt;0,N(Y66)&lt;=0.004),"✓ "&amp;'Calc base'!J$6&amp;"   ","")&amp;IF(AND(N(AA65)&gt;0,N(AA66)&lt;=0.004),"✓ "&amp;'Calc base'!K$6&amp;"   ","")&amp;IF(AND(N(AC65)&gt;0,N(AC66)&lt;=0.004),"✓ "&amp;'Calc base'!L$6&amp;"   ","")&amp;IF(AND(N(AE65)&gt;0,N(AE66)&lt;=0.004),"✓ "&amp;'Calc base'!M$6&amp;"   ","")&amp;IF(AND(N(AG65)&gt;0,N(AG66)&lt;=0.004),"✓ "&amp;'Calc base'!N$6&amp;"   ","")))</f>
        <v/>
      </c>
      <c r="J66" s="70" t="str">
        <f>IF($A66="","",ROUND(N(K65)*(1+'Calc base'!H89),2)-K66)</f>
        <v/>
      </c>
      <c r="K66" s="75" t="str">
        <f>IF($A66="","",CHOOSE('Calc riepilogo'!$B$2,'Calc valanga'!AT89,'Calc palla di neve'!AT89,'Calc personalizzata'!AT89))</f>
        <v/>
      </c>
      <c r="L66" s="70" t="str">
        <f>IF($A66="","",ROUND(N(M65)*(1+'Calc base'!I89),2)-M66)</f>
        <v/>
      </c>
      <c r="M66" s="75" t="str">
        <f>IF($A66="","",CHOOSE('Calc riepilogo'!$B$2,'Calc valanga'!AU89,'Calc palla di neve'!AU89,'Calc personalizzata'!AU89))</f>
        <v/>
      </c>
      <c r="N66" s="70" t="str">
        <f>IF($A66="","",ROUND(N(O65)*(1+'Calc base'!J89),2)-O66)</f>
        <v/>
      </c>
      <c r="O66" s="75" t="str">
        <f>IF($A66="","",CHOOSE('Calc riepilogo'!$B$2,'Calc valanga'!AV89,'Calc palla di neve'!AV89,'Calc personalizzata'!AV89))</f>
        <v/>
      </c>
      <c r="P66" s="70" t="str">
        <f>IF($A66="","",ROUND(N(Q65)*(1+'Calc base'!K89),2)-Q66)</f>
        <v/>
      </c>
      <c r="Q66" s="75" t="str">
        <f>IF($A66="","",CHOOSE('Calc riepilogo'!$B$2,'Calc valanga'!AW89,'Calc palla di neve'!AW89,'Calc personalizzata'!AW89))</f>
        <v/>
      </c>
      <c r="R66" s="70" t="str">
        <f>IF($A66="","",ROUND(N(S65)*(1+'Calc base'!L89),2)-S66)</f>
        <v/>
      </c>
      <c r="S66" s="75" t="str">
        <f>IF($A66="","",CHOOSE('Calc riepilogo'!$B$2,'Calc valanga'!AX89,'Calc palla di neve'!AX89,'Calc personalizzata'!AX89))</f>
        <v/>
      </c>
      <c r="T66" s="70" t="str">
        <f>IF($A66="","",ROUND(N(U65)*(1+'Calc base'!M89),2)-U66)</f>
        <v/>
      </c>
      <c r="U66" s="75" t="str">
        <f>IF($A66="","",CHOOSE('Calc riepilogo'!$B$2,'Calc valanga'!AY89,'Calc palla di neve'!AY89,'Calc personalizzata'!AY89))</f>
        <v/>
      </c>
      <c r="V66" s="70" t="str">
        <f>IF($A66="","",ROUND(N(W65)*(1+'Calc base'!N89),2)-W66)</f>
        <v/>
      </c>
      <c r="W66" s="75" t="str">
        <f>IF($A66="","",CHOOSE('Calc riepilogo'!$B$2,'Calc valanga'!AZ89,'Calc palla di neve'!AZ89,'Calc personalizzata'!AZ89))</f>
        <v/>
      </c>
      <c r="X66" s="70" t="str">
        <f>IF($A66="","",ROUND(N(Y65)*(1+'Calc base'!O89),2)-Y66)</f>
        <v/>
      </c>
      <c r="Y66" s="75" t="str">
        <f>IF($A66="","",CHOOSE('Calc riepilogo'!$B$2,'Calc valanga'!BA89,'Calc palla di neve'!BA89,'Calc personalizzata'!BA89))</f>
        <v/>
      </c>
      <c r="Z66" s="70" t="str">
        <f>IF($A66="","",ROUND(N(AA65)*(1+'Calc base'!P89),2)-AA66)</f>
        <v/>
      </c>
      <c r="AA66" s="75" t="str">
        <f>IF($A66="","",CHOOSE('Calc riepilogo'!$B$2,'Calc valanga'!BB89,'Calc palla di neve'!BB89,'Calc personalizzata'!BB89))</f>
        <v/>
      </c>
      <c r="AB66" s="70" t="str">
        <f>IF($A66="","",ROUND(N(AC65)*(1+'Calc base'!Q89),2)-AC66)</f>
        <v/>
      </c>
      <c r="AC66" s="75" t="str">
        <f>IF($A66="","",CHOOSE('Calc riepilogo'!$B$2,'Calc valanga'!BC89,'Calc palla di neve'!BC89,'Calc personalizzata'!BC89))</f>
        <v/>
      </c>
      <c r="AD66" s="70" t="str">
        <f>IF($A66="","",ROUND(N(AE65)*(1+'Calc base'!R89),2)-AE66)</f>
        <v/>
      </c>
      <c r="AE66" s="75" t="str">
        <f>IF($A66="","",CHOOSE('Calc riepilogo'!$B$2,'Calc valanga'!BD89,'Calc palla di neve'!BD89,'Calc personalizzata'!BD89))</f>
        <v/>
      </c>
      <c r="AF66" s="70" t="str">
        <f>IF($A66="","",ROUND(N(AG65)*(1+'Calc base'!S89),2)-AG66)</f>
        <v/>
      </c>
      <c r="AG66" s="75" t="str">
        <f>IF($A66="","",CHOOSE('Calc riepilogo'!$B$2,'Calc valanga'!BE89,'Calc palla di neve'!BE89,'Calc personalizzata'!BE89))</f>
        <v/>
      </c>
      <c r="AI66" t="n">
        <v>59</v>
      </c>
    </row>
    <row r="67">
      <c r="A67" s="68" t="str">
        <f>IF(60&gt;'Calc riepilogo'!$B$7,"",'Calc base'!$B90)</f>
        <v/>
      </c>
      <c r="B67" s="69" t="str">
        <f>IF($A67="","",'Calc base'!$C90)</f>
        <v/>
      </c>
      <c r="C67" s="69" t="str">
        <f>IF($A67="","",'Calc base'!$E90)</f>
        <v/>
      </c>
      <c r="D67" s="70" t="str">
        <f>IF($A67="","",J67+L67+N67+P67+R67+T67+V67+X67+Z67+AB67+AD67+AF67)</f>
        <v/>
      </c>
      <c r="E67" s="70" t="str">
        <f>IF($A67="","",CHOOSE('Calc riepilogo'!$B$2,'Calc valanga'!$H90,'Calc palla di neve'!$H90,'Calc personalizzata'!$H90))</f>
        <v/>
      </c>
      <c r="F67" s="71" t="str">
        <f>IF($A67="","",CHOOSE('Calc riepilogo'!$B$2,'Calc valanga'!$G90,'Calc palla di neve'!$G90,'Calc personalizzata'!$G90))</f>
        <v/>
      </c>
      <c r="G67" s="72" t="n"/>
      <c r="H67" s="73" t="n"/>
      <c r="I67" s="74" t="str">
        <f>IF($A67="","",TRIM(IF(AND(N(K66)&gt;0,N(K67)&lt;=0.004),"✓ "&amp;'Calc base'!C$6&amp;"   ","")&amp;IF(AND(N(M66)&gt;0,N(M67)&lt;=0.004),"✓ "&amp;'Calc base'!D$6&amp;"   ","")&amp;IF(AND(N(O66)&gt;0,N(O67)&lt;=0.004),"✓ "&amp;'Calc base'!E$6&amp;"   ","")&amp;IF(AND(N(Q66)&gt;0,N(Q67)&lt;=0.004),"✓ "&amp;'Calc base'!F$6&amp;"   ","")&amp;IF(AND(N(S66)&gt;0,N(S67)&lt;=0.004),"✓ "&amp;'Calc base'!G$6&amp;"   ","")&amp;IF(AND(N(U66)&gt;0,N(U67)&lt;=0.004),"✓ "&amp;'Calc base'!H$6&amp;"   ","")&amp;IF(AND(N(W66)&gt;0,N(W67)&lt;=0.004),"✓ "&amp;'Calc base'!I$6&amp;"   ","")&amp;IF(AND(N(Y66)&gt;0,N(Y67)&lt;=0.004),"✓ "&amp;'Calc base'!J$6&amp;"   ","")&amp;IF(AND(N(AA66)&gt;0,N(AA67)&lt;=0.004),"✓ "&amp;'Calc base'!K$6&amp;"   ","")&amp;IF(AND(N(AC66)&gt;0,N(AC67)&lt;=0.004),"✓ "&amp;'Calc base'!L$6&amp;"   ","")&amp;IF(AND(N(AE66)&gt;0,N(AE67)&lt;=0.004),"✓ "&amp;'Calc base'!M$6&amp;"   ","")&amp;IF(AND(N(AG66)&gt;0,N(AG67)&lt;=0.004),"✓ "&amp;'Calc base'!N$6&amp;"   ","")))</f>
        <v/>
      </c>
      <c r="J67" s="70" t="str">
        <f>IF($A67="","",ROUND(N(K66)*(1+'Calc base'!H90),2)-K67)</f>
        <v/>
      </c>
      <c r="K67" s="75" t="str">
        <f>IF($A67="","",CHOOSE('Calc riepilogo'!$B$2,'Calc valanga'!AT90,'Calc palla di neve'!AT90,'Calc personalizzata'!AT90))</f>
        <v/>
      </c>
      <c r="L67" s="70" t="str">
        <f>IF($A67="","",ROUND(N(M66)*(1+'Calc base'!I90),2)-M67)</f>
        <v/>
      </c>
      <c r="M67" s="75" t="str">
        <f>IF($A67="","",CHOOSE('Calc riepilogo'!$B$2,'Calc valanga'!AU90,'Calc palla di neve'!AU90,'Calc personalizzata'!AU90))</f>
        <v/>
      </c>
      <c r="N67" s="70" t="str">
        <f>IF($A67="","",ROUND(N(O66)*(1+'Calc base'!J90),2)-O67)</f>
        <v/>
      </c>
      <c r="O67" s="75" t="str">
        <f>IF($A67="","",CHOOSE('Calc riepilogo'!$B$2,'Calc valanga'!AV90,'Calc palla di neve'!AV90,'Calc personalizzata'!AV90))</f>
        <v/>
      </c>
      <c r="P67" s="70" t="str">
        <f>IF($A67="","",ROUND(N(Q66)*(1+'Calc base'!K90),2)-Q67)</f>
        <v/>
      </c>
      <c r="Q67" s="75" t="str">
        <f>IF($A67="","",CHOOSE('Calc riepilogo'!$B$2,'Calc valanga'!AW90,'Calc palla di neve'!AW90,'Calc personalizzata'!AW90))</f>
        <v/>
      </c>
      <c r="R67" s="70" t="str">
        <f>IF($A67="","",ROUND(N(S66)*(1+'Calc base'!L90),2)-S67)</f>
        <v/>
      </c>
      <c r="S67" s="75" t="str">
        <f>IF($A67="","",CHOOSE('Calc riepilogo'!$B$2,'Calc valanga'!AX90,'Calc palla di neve'!AX90,'Calc personalizzata'!AX90))</f>
        <v/>
      </c>
      <c r="T67" s="70" t="str">
        <f>IF($A67="","",ROUND(N(U66)*(1+'Calc base'!M90),2)-U67)</f>
        <v/>
      </c>
      <c r="U67" s="75" t="str">
        <f>IF($A67="","",CHOOSE('Calc riepilogo'!$B$2,'Calc valanga'!AY90,'Calc palla di neve'!AY90,'Calc personalizzata'!AY90))</f>
        <v/>
      </c>
      <c r="V67" s="70" t="str">
        <f>IF($A67="","",ROUND(N(W66)*(1+'Calc base'!N90),2)-W67)</f>
        <v/>
      </c>
      <c r="W67" s="75" t="str">
        <f>IF($A67="","",CHOOSE('Calc riepilogo'!$B$2,'Calc valanga'!AZ90,'Calc palla di neve'!AZ90,'Calc personalizzata'!AZ90))</f>
        <v/>
      </c>
      <c r="X67" s="70" t="str">
        <f>IF($A67="","",ROUND(N(Y66)*(1+'Calc base'!O90),2)-Y67)</f>
        <v/>
      </c>
      <c r="Y67" s="75" t="str">
        <f>IF($A67="","",CHOOSE('Calc riepilogo'!$B$2,'Calc valanga'!BA90,'Calc palla di neve'!BA90,'Calc personalizzata'!BA90))</f>
        <v/>
      </c>
      <c r="Z67" s="70" t="str">
        <f>IF($A67="","",ROUND(N(AA66)*(1+'Calc base'!P90),2)-AA67)</f>
        <v/>
      </c>
      <c r="AA67" s="75" t="str">
        <f>IF($A67="","",CHOOSE('Calc riepilogo'!$B$2,'Calc valanga'!BB90,'Calc palla di neve'!BB90,'Calc personalizzata'!BB90))</f>
        <v/>
      </c>
      <c r="AB67" s="70" t="str">
        <f>IF($A67="","",ROUND(N(AC66)*(1+'Calc base'!Q90),2)-AC67)</f>
        <v/>
      </c>
      <c r="AC67" s="75" t="str">
        <f>IF($A67="","",CHOOSE('Calc riepilogo'!$B$2,'Calc valanga'!BC90,'Calc palla di neve'!BC90,'Calc personalizzata'!BC90))</f>
        <v/>
      </c>
      <c r="AD67" s="70" t="str">
        <f>IF($A67="","",ROUND(N(AE66)*(1+'Calc base'!R90),2)-AE67)</f>
        <v/>
      </c>
      <c r="AE67" s="75" t="str">
        <f>IF($A67="","",CHOOSE('Calc riepilogo'!$B$2,'Calc valanga'!BD90,'Calc palla di neve'!BD90,'Calc personalizzata'!BD90))</f>
        <v/>
      </c>
      <c r="AF67" s="70" t="str">
        <f>IF($A67="","",ROUND(N(AG66)*(1+'Calc base'!S90),2)-AG67)</f>
        <v/>
      </c>
      <c r="AG67" s="75" t="str">
        <f>IF($A67="","",CHOOSE('Calc riepilogo'!$B$2,'Calc valanga'!BE90,'Calc palla di neve'!BE90,'Calc personalizzata'!BE90))</f>
        <v/>
      </c>
      <c r="AI67" t="n">
        <v>60</v>
      </c>
    </row>
    <row r="68">
      <c r="A68" s="68" t="str">
        <f>IF(61&gt;'Calc riepilogo'!$B$7,"",'Calc base'!$B91)</f>
        <v/>
      </c>
      <c r="B68" s="69" t="str">
        <f>IF($A68="","",'Calc base'!$C91)</f>
        <v/>
      </c>
      <c r="C68" s="69" t="str">
        <f>IF($A68="","",'Calc base'!$E91)</f>
        <v/>
      </c>
      <c r="D68" s="70" t="str">
        <f>IF($A68="","",J68+L68+N68+P68+R68+T68+V68+X68+Z68+AB68+AD68+AF68)</f>
        <v/>
      </c>
      <c r="E68" s="70" t="str">
        <f>IF($A68="","",CHOOSE('Calc riepilogo'!$B$2,'Calc valanga'!$H91,'Calc palla di neve'!$H91,'Calc personalizzata'!$H91))</f>
        <v/>
      </c>
      <c r="F68" s="71" t="str">
        <f>IF($A68="","",CHOOSE('Calc riepilogo'!$B$2,'Calc valanga'!$G91,'Calc palla di neve'!$G91,'Calc personalizzata'!$G91))</f>
        <v/>
      </c>
      <c r="G68" s="72" t="n"/>
      <c r="H68" s="73" t="n"/>
      <c r="I68" s="74" t="str">
        <f>IF($A68="","",TRIM(IF(AND(N(K67)&gt;0,N(K68)&lt;=0.004),"✓ "&amp;'Calc base'!C$6&amp;"   ","")&amp;IF(AND(N(M67)&gt;0,N(M68)&lt;=0.004),"✓ "&amp;'Calc base'!D$6&amp;"   ","")&amp;IF(AND(N(O67)&gt;0,N(O68)&lt;=0.004),"✓ "&amp;'Calc base'!E$6&amp;"   ","")&amp;IF(AND(N(Q67)&gt;0,N(Q68)&lt;=0.004),"✓ "&amp;'Calc base'!F$6&amp;"   ","")&amp;IF(AND(N(S67)&gt;0,N(S68)&lt;=0.004),"✓ "&amp;'Calc base'!G$6&amp;"   ","")&amp;IF(AND(N(U67)&gt;0,N(U68)&lt;=0.004),"✓ "&amp;'Calc base'!H$6&amp;"   ","")&amp;IF(AND(N(W67)&gt;0,N(W68)&lt;=0.004),"✓ "&amp;'Calc base'!I$6&amp;"   ","")&amp;IF(AND(N(Y67)&gt;0,N(Y68)&lt;=0.004),"✓ "&amp;'Calc base'!J$6&amp;"   ","")&amp;IF(AND(N(AA67)&gt;0,N(AA68)&lt;=0.004),"✓ "&amp;'Calc base'!K$6&amp;"   ","")&amp;IF(AND(N(AC67)&gt;0,N(AC68)&lt;=0.004),"✓ "&amp;'Calc base'!L$6&amp;"   ","")&amp;IF(AND(N(AE67)&gt;0,N(AE68)&lt;=0.004),"✓ "&amp;'Calc base'!M$6&amp;"   ","")&amp;IF(AND(N(AG67)&gt;0,N(AG68)&lt;=0.004),"✓ "&amp;'Calc base'!N$6&amp;"   ","")))</f>
        <v/>
      </c>
      <c r="J68" s="70" t="str">
        <f>IF($A68="","",ROUND(N(K67)*(1+'Calc base'!H91),2)-K68)</f>
        <v/>
      </c>
      <c r="K68" s="75" t="str">
        <f>IF($A68="","",CHOOSE('Calc riepilogo'!$B$2,'Calc valanga'!AT91,'Calc palla di neve'!AT91,'Calc personalizzata'!AT91))</f>
        <v/>
      </c>
      <c r="L68" s="70" t="str">
        <f>IF($A68="","",ROUND(N(M67)*(1+'Calc base'!I91),2)-M68)</f>
        <v/>
      </c>
      <c r="M68" s="75" t="str">
        <f>IF($A68="","",CHOOSE('Calc riepilogo'!$B$2,'Calc valanga'!AU91,'Calc palla di neve'!AU91,'Calc personalizzata'!AU91))</f>
        <v/>
      </c>
      <c r="N68" s="70" t="str">
        <f>IF($A68="","",ROUND(N(O67)*(1+'Calc base'!J91),2)-O68)</f>
        <v/>
      </c>
      <c r="O68" s="75" t="str">
        <f>IF($A68="","",CHOOSE('Calc riepilogo'!$B$2,'Calc valanga'!AV91,'Calc palla di neve'!AV91,'Calc personalizzata'!AV91))</f>
        <v/>
      </c>
      <c r="P68" s="70" t="str">
        <f>IF($A68="","",ROUND(N(Q67)*(1+'Calc base'!K91),2)-Q68)</f>
        <v/>
      </c>
      <c r="Q68" s="75" t="str">
        <f>IF($A68="","",CHOOSE('Calc riepilogo'!$B$2,'Calc valanga'!AW91,'Calc palla di neve'!AW91,'Calc personalizzata'!AW91))</f>
        <v/>
      </c>
      <c r="R68" s="70" t="str">
        <f>IF($A68="","",ROUND(N(S67)*(1+'Calc base'!L91),2)-S68)</f>
        <v/>
      </c>
      <c r="S68" s="75" t="str">
        <f>IF($A68="","",CHOOSE('Calc riepilogo'!$B$2,'Calc valanga'!AX91,'Calc palla di neve'!AX91,'Calc personalizzata'!AX91))</f>
        <v/>
      </c>
      <c r="T68" s="70" t="str">
        <f>IF($A68="","",ROUND(N(U67)*(1+'Calc base'!M91),2)-U68)</f>
        <v/>
      </c>
      <c r="U68" s="75" t="str">
        <f>IF($A68="","",CHOOSE('Calc riepilogo'!$B$2,'Calc valanga'!AY91,'Calc palla di neve'!AY91,'Calc personalizzata'!AY91))</f>
        <v/>
      </c>
      <c r="V68" s="70" t="str">
        <f>IF($A68="","",ROUND(N(W67)*(1+'Calc base'!N91),2)-W68)</f>
        <v/>
      </c>
      <c r="W68" s="75" t="str">
        <f>IF($A68="","",CHOOSE('Calc riepilogo'!$B$2,'Calc valanga'!AZ91,'Calc palla di neve'!AZ91,'Calc personalizzata'!AZ91))</f>
        <v/>
      </c>
      <c r="X68" s="70" t="str">
        <f>IF($A68="","",ROUND(N(Y67)*(1+'Calc base'!O91),2)-Y68)</f>
        <v/>
      </c>
      <c r="Y68" s="75" t="str">
        <f>IF($A68="","",CHOOSE('Calc riepilogo'!$B$2,'Calc valanga'!BA91,'Calc palla di neve'!BA91,'Calc personalizzata'!BA91))</f>
        <v/>
      </c>
      <c r="Z68" s="70" t="str">
        <f>IF($A68="","",ROUND(N(AA67)*(1+'Calc base'!P91),2)-AA68)</f>
        <v/>
      </c>
      <c r="AA68" s="75" t="str">
        <f>IF($A68="","",CHOOSE('Calc riepilogo'!$B$2,'Calc valanga'!BB91,'Calc palla di neve'!BB91,'Calc personalizzata'!BB91))</f>
        <v/>
      </c>
      <c r="AB68" s="70" t="str">
        <f>IF($A68="","",ROUND(N(AC67)*(1+'Calc base'!Q91),2)-AC68)</f>
        <v/>
      </c>
      <c r="AC68" s="75" t="str">
        <f>IF($A68="","",CHOOSE('Calc riepilogo'!$B$2,'Calc valanga'!BC91,'Calc palla di neve'!BC91,'Calc personalizzata'!BC91))</f>
        <v/>
      </c>
      <c r="AD68" s="70" t="str">
        <f>IF($A68="","",ROUND(N(AE67)*(1+'Calc base'!R91),2)-AE68)</f>
        <v/>
      </c>
      <c r="AE68" s="75" t="str">
        <f>IF($A68="","",CHOOSE('Calc riepilogo'!$B$2,'Calc valanga'!BD91,'Calc palla di neve'!BD91,'Calc personalizzata'!BD91))</f>
        <v/>
      </c>
      <c r="AF68" s="70" t="str">
        <f>IF($A68="","",ROUND(N(AG67)*(1+'Calc base'!S91),2)-AG68)</f>
        <v/>
      </c>
      <c r="AG68" s="75" t="str">
        <f>IF($A68="","",CHOOSE('Calc riepilogo'!$B$2,'Calc valanga'!BE91,'Calc palla di neve'!BE91,'Calc personalizzata'!BE91))</f>
        <v/>
      </c>
      <c r="AI68" t="n">
        <v>61</v>
      </c>
    </row>
    <row r="69">
      <c r="A69" s="68" t="str">
        <f>IF(62&gt;'Calc riepilogo'!$B$7,"",'Calc base'!$B92)</f>
        <v/>
      </c>
      <c r="B69" s="69" t="str">
        <f>IF($A69="","",'Calc base'!$C92)</f>
        <v/>
      </c>
      <c r="C69" s="69" t="str">
        <f>IF($A69="","",'Calc base'!$E92)</f>
        <v/>
      </c>
      <c r="D69" s="70" t="str">
        <f>IF($A69="","",J69+L69+N69+P69+R69+T69+V69+X69+Z69+AB69+AD69+AF69)</f>
        <v/>
      </c>
      <c r="E69" s="70" t="str">
        <f>IF($A69="","",CHOOSE('Calc riepilogo'!$B$2,'Calc valanga'!$H92,'Calc palla di neve'!$H92,'Calc personalizzata'!$H92))</f>
        <v/>
      </c>
      <c r="F69" s="71" t="str">
        <f>IF($A69="","",CHOOSE('Calc riepilogo'!$B$2,'Calc valanga'!$G92,'Calc palla di neve'!$G92,'Calc personalizzata'!$G92))</f>
        <v/>
      </c>
      <c r="G69" s="72" t="n"/>
      <c r="H69" s="73" t="n"/>
      <c r="I69" s="74" t="str">
        <f>IF($A69="","",TRIM(IF(AND(N(K68)&gt;0,N(K69)&lt;=0.004),"✓ "&amp;'Calc base'!C$6&amp;"   ","")&amp;IF(AND(N(M68)&gt;0,N(M69)&lt;=0.004),"✓ "&amp;'Calc base'!D$6&amp;"   ","")&amp;IF(AND(N(O68)&gt;0,N(O69)&lt;=0.004),"✓ "&amp;'Calc base'!E$6&amp;"   ","")&amp;IF(AND(N(Q68)&gt;0,N(Q69)&lt;=0.004),"✓ "&amp;'Calc base'!F$6&amp;"   ","")&amp;IF(AND(N(S68)&gt;0,N(S69)&lt;=0.004),"✓ "&amp;'Calc base'!G$6&amp;"   ","")&amp;IF(AND(N(U68)&gt;0,N(U69)&lt;=0.004),"✓ "&amp;'Calc base'!H$6&amp;"   ","")&amp;IF(AND(N(W68)&gt;0,N(W69)&lt;=0.004),"✓ "&amp;'Calc base'!I$6&amp;"   ","")&amp;IF(AND(N(Y68)&gt;0,N(Y69)&lt;=0.004),"✓ "&amp;'Calc base'!J$6&amp;"   ","")&amp;IF(AND(N(AA68)&gt;0,N(AA69)&lt;=0.004),"✓ "&amp;'Calc base'!K$6&amp;"   ","")&amp;IF(AND(N(AC68)&gt;0,N(AC69)&lt;=0.004),"✓ "&amp;'Calc base'!L$6&amp;"   ","")&amp;IF(AND(N(AE68)&gt;0,N(AE69)&lt;=0.004),"✓ "&amp;'Calc base'!M$6&amp;"   ","")&amp;IF(AND(N(AG68)&gt;0,N(AG69)&lt;=0.004),"✓ "&amp;'Calc base'!N$6&amp;"   ","")))</f>
        <v/>
      </c>
      <c r="J69" s="70" t="str">
        <f>IF($A69="","",ROUND(N(K68)*(1+'Calc base'!H92),2)-K69)</f>
        <v/>
      </c>
      <c r="K69" s="75" t="str">
        <f>IF($A69="","",CHOOSE('Calc riepilogo'!$B$2,'Calc valanga'!AT92,'Calc palla di neve'!AT92,'Calc personalizzata'!AT92))</f>
        <v/>
      </c>
      <c r="L69" s="70" t="str">
        <f>IF($A69="","",ROUND(N(M68)*(1+'Calc base'!I92),2)-M69)</f>
        <v/>
      </c>
      <c r="M69" s="75" t="str">
        <f>IF($A69="","",CHOOSE('Calc riepilogo'!$B$2,'Calc valanga'!AU92,'Calc palla di neve'!AU92,'Calc personalizzata'!AU92))</f>
        <v/>
      </c>
      <c r="N69" s="70" t="str">
        <f>IF($A69="","",ROUND(N(O68)*(1+'Calc base'!J92),2)-O69)</f>
        <v/>
      </c>
      <c r="O69" s="75" t="str">
        <f>IF($A69="","",CHOOSE('Calc riepilogo'!$B$2,'Calc valanga'!AV92,'Calc palla di neve'!AV92,'Calc personalizzata'!AV92))</f>
        <v/>
      </c>
      <c r="P69" s="70" t="str">
        <f>IF($A69="","",ROUND(N(Q68)*(1+'Calc base'!K92),2)-Q69)</f>
        <v/>
      </c>
      <c r="Q69" s="75" t="str">
        <f>IF($A69="","",CHOOSE('Calc riepilogo'!$B$2,'Calc valanga'!AW92,'Calc palla di neve'!AW92,'Calc personalizzata'!AW92))</f>
        <v/>
      </c>
      <c r="R69" s="70" t="str">
        <f>IF($A69="","",ROUND(N(S68)*(1+'Calc base'!L92),2)-S69)</f>
        <v/>
      </c>
      <c r="S69" s="75" t="str">
        <f>IF($A69="","",CHOOSE('Calc riepilogo'!$B$2,'Calc valanga'!AX92,'Calc palla di neve'!AX92,'Calc personalizzata'!AX92))</f>
        <v/>
      </c>
      <c r="T69" s="70" t="str">
        <f>IF($A69="","",ROUND(N(U68)*(1+'Calc base'!M92),2)-U69)</f>
        <v/>
      </c>
      <c r="U69" s="75" t="str">
        <f>IF($A69="","",CHOOSE('Calc riepilogo'!$B$2,'Calc valanga'!AY92,'Calc palla di neve'!AY92,'Calc personalizzata'!AY92))</f>
        <v/>
      </c>
      <c r="V69" s="70" t="str">
        <f>IF($A69="","",ROUND(N(W68)*(1+'Calc base'!N92),2)-W69)</f>
        <v/>
      </c>
      <c r="W69" s="75" t="str">
        <f>IF($A69="","",CHOOSE('Calc riepilogo'!$B$2,'Calc valanga'!AZ92,'Calc palla di neve'!AZ92,'Calc personalizzata'!AZ92))</f>
        <v/>
      </c>
      <c r="X69" s="70" t="str">
        <f>IF($A69="","",ROUND(N(Y68)*(1+'Calc base'!O92),2)-Y69)</f>
        <v/>
      </c>
      <c r="Y69" s="75" t="str">
        <f>IF($A69="","",CHOOSE('Calc riepilogo'!$B$2,'Calc valanga'!BA92,'Calc palla di neve'!BA92,'Calc personalizzata'!BA92))</f>
        <v/>
      </c>
      <c r="Z69" s="70" t="str">
        <f>IF($A69="","",ROUND(N(AA68)*(1+'Calc base'!P92),2)-AA69)</f>
        <v/>
      </c>
      <c r="AA69" s="75" t="str">
        <f>IF($A69="","",CHOOSE('Calc riepilogo'!$B$2,'Calc valanga'!BB92,'Calc palla di neve'!BB92,'Calc personalizzata'!BB92))</f>
        <v/>
      </c>
      <c r="AB69" s="70" t="str">
        <f>IF($A69="","",ROUND(N(AC68)*(1+'Calc base'!Q92),2)-AC69)</f>
        <v/>
      </c>
      <c r="AC69" s="75" t="str">
        <f>IF($A69="","",CHOOSE('Calc riepilogo'!$B$2,'Calc valanga'!BC92,'Calc palla di neve'!BC92,'Calc personalizzata'!BC92))</f>
        <v/>
      </c>
      <c r="AD69" s="70" t="str">
        <f>IF($A69="","",ROUND(N(AE68)*(1+'Calc base'!R92),2)-AE69)</f>
        <v/>
      </c>
      <c r="AE69" s="75" t="str">
        <f>IF($A69="","",CHOOSE('Calc riepilogo'!$B$2,'Calc valanga'!BD92,'Calc palla di neve'!BD92,'Calc personalizzata'!BD92))</f>
        <v/>
      </c>
      <c r="AF69" s="70" t="str">
        <f>IF($A69="","",ROUND(N(AG68)*(1+'Calc base'!S92),2)-AG69)</f>
        <v/>
      </c>
      <c r="AG69" s="75" t="str">
        <f>IF($A69="","",CHOOSE('Calc riepilogo'!$B$2,'Calc valanga'!BE92,'Calc palla di neve'!BE92,'Calc personalizzata'!BE92))</f>
        <v/>
      </c>
      <c r="AI69" t="n">
        <v>62</v>
      </c>
    </row>
    <row r="70">
      <c r="A70" s="68" t="str">
        <f>IF(63&gt;'Calc riepilogo'!$B$7,"",'Calc base'!$B93)</f>
        <v/>
      </c>
      <c r="B70" s="69" t="str">
        <f>IF($A70="","",'Calc base'!$C93)</f>
        <v/>
      </c>
      <c r="C70" s="69" t="str">
        <f>IF($A70="","",'Calc base'!$E93)</f>
        <v/>
      </c>
      <c r="D70" s="70" t="str">
        <f>IF($A70="","",J70+L70+N70+P70+R70+T70+V70+X70+Z70+AB70+AD70+AF70)</f>
        <v/>
      </c>
      <c r="E70" s="70" t="str">
        <f>IF($A70="","",CHOOSE('Calc riepilogo'!$B$2,'Calc valanga'!$H93,'Calc palla di neve'!$H93,'Calc personalizzata'!$H93))</f>
        <v/>
      </c>
      <c r="F70" s="71" t="str">
        <f>IF($A70="","",CHOOSE('Calc riepilogo'!$B$2,'Calc valanga'!$G93,'Calc palla di neve'!$G93,'Calc personalizzata'!$G93))</f>
        <v/>
      </c>
      <c r="G70" s="72" t="n"/>
      <c r="H70" s="73" t="n"/>
      <c r="I70" s="74" t="str">
        <f>IF($A70="","",TRIM(IF(AND(N(K69)&gt;0,N(K70)&lt;=0.004),"✓ "&amp;'Calc base'!C$6&amp;"   ","")&amp;IF(AND(N(M69)&gt;0,N(M70)&lt;=0.004),"✓ "&amp;'Calc base'!D$6&amp;"   ","")&amp;IF(AND(N(O69)&gt;0,N(O70)&lt;=0.004),"✓ "&amp;'Calc base'!E$6&amp;"   ","")&amp;IF(AND(N(Q69)&gt;0,N(Q70)&lt;=0.004),"✓ "&amp;'Calc base'!F$6&amp;"   ","")&amp;IF(AND(N(S69)&gt;0,N(S70)&lt;=0.004),"✓ "&amp;'Calc base'!G$6&amp;"   ","")&amp;IF(AND(N(U69)&gt;0,N(U70)&lt;=0.004),"✓ "&amp;'Calc base'!H$6&amp;"   ","")&amp;IF(AND(N(W69)&gt;0,N(W70)&lt;=0.004),"✓ "&amp;'Calc base'!I$6&amp;"   ","")&amp;IF(AND(N(Y69)&gt;0,N(Y70)&lt;=0.004),"✓ "&amp;'Calc base'!J$6&amp;"   ","")&amp;IF(AND(N(AA69)&gt;0,N(AA70)&lt;=0.004),"✓ "&amp;'Calc base'!K$6&amp;"   ","")&amp;IF(AND(N(AC69)&gt;0,N(AC70)&lt;=0.004),"✓ "&amp;'Calc base'!L$6&amp;"   ","")&amp;IF(AND(N(AE69)&gt;0,N(AE70)&lt;=0.004),"✓ "&amp;'Calc base'!M$6&amp;"   ","")&amp;IF(AND(N(AG69)&gt;0,N(AG70)&lt;=0.004),"✓ "&amp;'Calc base'!N$6&amp;"   ","")))</f>
        <v/>
      </c>
      <c r="J70" s="70" t="str">
        <f>IF($A70="","",ROUND(N(K69)*(1+'Calc base'!H93),2)-K70)</f>
        <v/>
      </c>
      <c r="K70" s="75" t="str">
        <f>IF($A70="","",CHOOSE('Calc riepilogo'!$B$2,'Calc valanga'!AT93,'Calc palla di neve'!AT93,'Calc personalizzata'!AT93))</f>
        <v/>
      </c>
      <c r="L70" s="70" t="str">
        <f>IF($A70="","",ROUND(N(M69)*(1+'Calc base'!I93),2)-M70)</f>
        <v/>
      </c>
      <c r="M70" s="75" t="str">
        <f>IF($A70="","",CHOOSE('Calc riepilogo'!$B$2,'Calc valanga'!AU93,'Calc palla di neve'!AU93,'Calc personalizzata'!AU93))</f>
        <v/>
      </c>
      <c r="N70" s="70" t="str">
        <f>IF($A70="","",ROUND(N(O69)*(1+'Calc base'!J93),2)-O70)</f>
        <v/>
      </c>
      <c r="O70" s="75" t="str">
        <f>IF($A70="","",CHOOSE('Calc riepilogo'!$B$2,'Calc valanga'!AV93,'Calc palla di neve'!AV93,'Calc personalizzata'!AV93))</f>
        <v/>
      </c>
      <c r="P70" s="70" t="str">
        <f>IF($A70="","",ROUND(N(Q69)*(1+'Calc base'!K93),2)-Q70)</f>
        <v/>
      </c>
      <c r="Q70" s="75" t="str">
        <f>IF($A70="","",CHOOSE('Calc riepilogo'!$B$2,'Calc valanga'!AW93,'Calc palla di neve'!AW93,'Calc personalizzata'!AW93))</f>
        <v/>
      </c>
      <c r="R70" s="70" t="str">
        <f>IF($A70="","",ROUND(N(S69)*(1+'Calc base'!L93),2)-S70)</f>
        <v/>
      </c>
      <c r="S70" s="75" t="str">
        <f>IF($A70="","",CHOOSE('Calc riepilogo'!$B$2,'Calc valanga'!AX93,'Calc palla di neve'!AX93,'Calc personalizzata'!AX93))</f>
        <v/>
      </c>
      <c r="T70" s="70" t="str">
        <f>IF($A70="","",ROUND(N(U69)*(1+'Calc base'!M93),2)-U70)</f>
        <v/>
      </c>
      <c r="U70" s="75" t="str">
        <f>IF($A70="","",CHOOSE('Calc riepilogo'!$B$2,'Calc valanga'!AY93,'Calc palla di neve'!AY93,'Calc personalizzata'!AY93))</f>
        <v/>
      </c>
      <c r="V70" s="70" t="str">
        <f>IF($A70="","",ROUND(N(W69)*(1+'Calc base'!N93),2)-W70)</f>
        <v/>
      </c>
      <c r="W70" s="75" t="str">
        <f>IF($A70="","",CHOOSE('Calc riepilogo'!$B$2,'Calc valanga'!AZ93,'Calc palla di neve'!AZ93,'Calc personalizzata'!AZ93))</f>
        <v/>
      </c>
      <c r="X70" s="70" t="str">
        <f>IF($A70="","",ROUND(N(Y69)*(1+'Calc base'!O93),2)-Y70)</f>
        <v/>
      </c>
      <c r="Y70" s="75" t="str">
        <f>IF($A70="","",CHOOSE('Calc riepilogo'!$B$2,'Calc valanga'!BA93,'Calc palla di neve'!BA93,'Calc personalizzata'!BA93))</f>
        <v/>
      </c>
      <c r="Z70" s="70" t="str">
        <f>IF($A70="","",ROUND(N(AA69)*(1+'Calc base'!P93),2)-AA70)</f>
        <v/>
      </c>
      <c r="AA70" s="75" t="str">
        <f>IF($A70="","",CHOOSE('Calc riepilogo'!$B$2,'Calc valanga'!BB93,'Calc palla di neve'!BB93,'Calc personalizzata'!BB93))</f>
        <v/>
      </c>
      <c r="AB70" s="70" t="str">
        <f>IF($A70="","",ROUND(N(AC69)*(1+'Calc base'!Q93),2)-AC70)</f>
        <v/>
      </c>
      <c r="AC70" s="75" t="str">
        <f>IF($A70="","",CHOOSE('Calc riepilogo'!$B$2,'Calc valanga'!BC93,'Calc palla di neve'!BC93,'Calc personalizzata'!BC93))</f>
        <v/>
      </c>
      <c r="AD70" s="70" t="str">
        <f>IF($A70="","",ROUND(N(AE69)*(1+'Calc base'!R93),2)-AE70)</f>
        <v/>
      </c>
      <c r="AE70" s="75" t="str">
        <f>IF($A70="","",CHOOSE('Calc riepilogo'!$B$2,'Calc valanga'!BD93,'Calc palla di neve'!BD93,'Calc personalizzata'!BD93))</f>
        <v/>
      </c>
      <c r="AF70" s="70" t="str">
        <f>IF($A70="","",ROUND(N(AG69)*(1+'Calc base'!S93),2)-AG70)</f>
        <v/>
      </c>
      <c r="AG70" s="75" t="str">
        <f>IF($A70="","",CHOOSE('Calc riepilogo'!$B$2,'Calc valanga'!BE93,'Calc palla di neve'!BE93,'Calc personalizzata'!BE93))</f>
        <v/>
      </c>
      <c r="AI70" t="n">
        <v>63</v>
      </c>
    </row>
    <row r="71">
      <c r="A71" s="68" t="str">
        <f>IF(64&gt;'Calc riepilogo'!$B$7,"",'Calc base'!$B94)</f>
        <v/>
      </c>
      <c r="B71" s="69" t="str">
        <f>IF($A71="","",'Calc base'!$C94)</f>
        <v/>
      </c>
      <c r="C71" s="69" t="str">
        <f>IF($A71="","",'Calc base'!$E94)</f>
        <v/>
      </c>
      <c r="D71" s="70" t="str">
        <f>IF($A71="","",J71+L71+N71+P71+R71+T71+V71+X71+Z71+AB71+AD71+AF71)</f>
        <v/>
      </c>
      <c r="E71" s="70" t="str">
        <f>IF($A71="","",CHOOSE('Calc riepilogo'!$B$2,'Calc valanga'!$H94,'Calc palla di neve'!$H94,'Calc personalizzata'!$H94))</f>
        <v/>
      </c>
      <c r="F71" s="71" t="str">
        <f>IF($A71="","",CHOOSE('Calc riepilogo'!$B$2,'Calc valanga'!$G94,'Calc palla di neve'!$G94,'Calc personalizzata'!$G94))</f>
        <v/>
      </c>
      <c r="G71" s="72" t="n"/>
      <c r="H71" s="73" t="n"/>
      <c r="I71" s="74" t="str">
        <f>IF($A71="","",TRIM(IF(AND(N(K70)&gt;0,N(K71)&lt;=0.004),"✓ "&amp;'Calc base'!C$6&amp;"   ","")&amp;IF(AND(N(M70)&gt;0,N(M71)&lt;=0.004),"✓ "&amp;'Calc base'!D$6&amp;"   ","")&amp;IF(AND(N(O70)&gt;0,N(O71)&lt;=0.004),"✓ "&amp;'Calc base'!E$6&amp;"   ","")&amp;IF(AND(N(Q70)&gt;0,N(Q71)&lt;=0.004),"✓ "&amp;'Calc base'!F$6&amp;"   ","")&amp;IF(AND(N(S70)&gt;0,N(S71)&lt;=0.004),"✓ "&amp;'Calc base'!G$6&amp;"   ","")&amp;IF(AND(N(U70)&gt;0,N(U71)&lt;=0.004),"✓ "&amp;'Calc base'!H$6&amp;"   ","")&amp;IF(AND(N(W70)&gt;0,N(W71)&lt;=0.004),"✓ "&amp;'Calc base'!I$6&amp;"   ","")&amp;IF(AND(N(Y70)&gt;0,N(Y71)&lt;=0.004),"✓ "&amp;'Calc base'!J$6&amp;"   ","")&amp;IF(AND(N(AA70)&gt;0,N(AA71)&lt;=0.004),"✓ "&amp;'Calc base'!K$6&amp;"   ","")&amp;IF(AND(N(AC70)&gt;0,N(AC71)&lt;=0.004),"✓ "&amp;'Calc base'!L$6&amp;"   ","")&amp;IF(AND(N(AE70)&gt;0,N(AE71)&lt;=0.004),"✓ "&amp;'Calc base'!M$6&amp;"   ","")&amp;IF(AND(N(AG70)&gt;0,N(AG71)&lt;=0.004),"✓ "&amp;'Calc base'!N$6&amp;"   ","")))</f>
        <v/>
      </c>
      <c r="J71" s="70" t="str">
        <f>IF($A71="","",ROUND(N(K70)*(1+'Calc base'!H94),2)-K71)</f>
        <v/>
      </c>
      <c r="K71" s="75" t="str">
        <f>IF($A71="","",CHOOSE('Calc riepilogo'!$B$2,'Calc valanga'!AT94,'Calc palla di neve'!AT94,'Calc personalizzata'!AT94))</f>
        <v/>
      </c>
      <c r="L71" s="70" t="str">
        <f>IF($A71="","",ROUND(N(M70)*(1+'Calc base'!I94),2)-M71)</f>
        <v/>
      </c>
      <c r="M71" s="75" t="str">
        <f>IF($A71="","",CHOOSE('Calc riepilogo'!$B$2,'Calc valanga'!AU94,'Calc palla di neve'!AU94,'Calc personalizzata'!AU94))</f>
        <v/>
      </c>
      <c r="N71" s="70" t="str">
        <f>IF($A71="","",ROUND(N(O70)*(1+'Calc base'!J94),2)-O71)</f>
        <v/>
      </c>
      <c r="O71" s="75" t="str">
        <f>IF($A71="","",CHOOSE('Calc riepilogo'!$B$2,'Calc valanga'!AV94,'Calc palla di neve'!AV94,'Calc personalizzata'!AV94))</f>
        <v/>
      </c>
      <c r="P71" s="70" t="str">
        <f>IF($A71="","",ROUND(N(Q70)*(1+'Calc base'!K94),2)-Q71)</f>
        <v/>
      </c>
      <c r="Q71" s="75" t="str">
        <f>IF($A71="","",CHOOSE('Calc riepilogo'!$B$2,'Calc valanga'!AW94,'Calc palla di neve'!AW94,'Calc personalizzata'!AW94))</f>
        <v/>
      </c>
      <c r="R71" s="70" t="str">
        <f>IF($A71="","",ROUND(N(S70)*(1+'Calc base'!L94),2)-S71)</f>
        <v/>
      </c>
      <c r="S71" s="75" t="str">
        <f>IF($A71="","",CHOOSE('Calc riepilogo'!$B$2,'Calc valanga'!AX94,'Calc palla di neve'!AX94,'Calc personalizzata'!AX94))</f>
        <v/>
      </c>
      <c r="T71" s="70" t="str">
        <f>IF($A71="","",ROUND(N(U70)*(1+'Calc base'!M94),2)-U71)</f>
        <v/>
      </c>
      <c r="U71" s="75" t="str">
        <f>IF($A71="","",CHOOSE('Calc riepilogo'!$B$2,'Calc valanga'!AY94,'Calc palla di neve'!AY94,'Calc personalizzata'!AY94))</f>
        <v/>
      </c>
      <c r="V71" s="70" t="str">
        <f>IF($A71="","",ROUND(N(W70)*(1+'Calc base'!N94),2)-W71)</f>
        <v/>
      </c>
      <c r="W71" s="75" t="str">
        <f>IF($A71="","",CHOOSE('Calc riepilogo'!$B$2,'Calc valanga'!AZ94,'Calc palla di neve'!AZ94,'Calc personalizzata'!AZ94))</f>
        <v/>
      </c>
      <c r="X71" s="70" t="str">
        <f>IF($A71="","",ROUND(N(Y70)*(1+'Calc base'!O94),2)-Y71)</f>
        <v/>
      </c>
      <c r="Y71" s="75" t="str">
        <f>IF($A71="","",CHOOSE('Calc riepilogo'!$B$2,'Calc valanga'!BA94,'Calc palla di neve'!BA94,'Calc personalizzata'!BA94))</f>
        <v/>
      </c>
      <c r="Z71" s="70" t="str">
        <f>IF($A71="","",ROUND(N(AA70)*(1+'Calc base'!P94),2)-AA71)</f>
        <v/>
      </c>
      <c r="AA71" s="75" t="str">
        <f>IF($A71="","",CHOOSE('Calc riepilogo'!$B$2,'Calc valanga'!BB94,'Calc palla di neve'!BB94,'Calc personalizzata'!BB94))</f>
        <v/>
      </c>
      <c r="AB71" s="70" t="str">
        <f>IF($A71="","",ROUND(N(AC70)*(1+'Calc base'!Q94),2)-AC71)</f>
        <v/>
      </c>
      <c r="AC71" s="75" t="str">
        <f>IF($A71="","",CHOOSE('Calc riepilogo'!$B$2,'Calc valanga'!BC94,'Calc palla di neve'!BC94,'Calc personalizzata'!BC94))</f>
        <v/>
      </c>
      <c r="AD71" s="70" t="str">
        <f>IF($A71="","",ROUND(N(AE70)*(1+'Calc base'!R94),2)-AE71)</f>
        <v/>
      </c>
      <c r="AE71" s="75" t="str">
        <f>IF($A71="","",CHOOSE('Calc riepilogo'!$B$2,'Calc valanga'!BD94,'Calc palla di neve'!BD94,'Calc personalizzata'!BD94))</f>
        <v/>
      </c>
      <c r="AF71" s="70" t="str">
        <f>IF($A71="","",ROUND(N(AG70)*(1+'Calc base'!S94),2)-AG71)</f>
        <v/>
      </c>
      <c r="AG71" s="75" t="str">
        <f>IF($A71="","",CHOOSE('Calc riepilogo'!$B$2,'Calc valanga'!BE94,'Calc palla di neve'!BE94,'Calc personalizzata'!BE94))</f>
        <v/>
      </c>
      <c r="AI71" t="n">
        <v>64</v>
      </c>
    </row>
    <row r="72">
      <c r="A72" s="68" t="str">
        <f>IF(65&gt;'Calc riepilogo'!$B$7,"",'Calc base'!$B95)</f>
        <v/>
      </c>
      <c r="B72" s="69" t="str">
        <f>IF($A72="","",'Calc base'!$C95)</f>
        <v/>
      </c>
      <c r="C72" s="69" t="str">
        <f>IF($A72="","",'Calc base'!$E95)</f>
        <v/>
      </c>
      <c r="D72" s="70" t="str">
        <f>IF($A72="","",J72+L72+N72+P72+R72+T72+V72+X72+Z72+AB72+AD72+AF72)</f>
        <v/>
      </c>
      <c r="E72" s="70" t="str">
        <f>IF($A72="","",CHOOSE('Calc riepilogo'!$B$2,'Calc valanga'!$H95,'Calc palla di neve'!$H95,'Calc personalizzata'!$H95))</f>
        <v/>
      </c>
      <c r="F72" s="71" t="str">
        <f>IF($A72="","",CHOOSE('Calc riepilogo'!$B$2,'Calc valanga'!$G95,'Calc palla di neve'!$G95,'Calc personalizzata'!$G95))</f>
        <v/>
      </c>
      <c r="G72" s="72" t="n"/>
      <c r="H72" s="73" t="n"/>
      <c r="I72" s="74" t="str">
        <f>IF($A72="","",TRIM(IF(AND(N(K71)&gt;0,N(K72)&lt;=0.004),"✓ "&amp;'Calc base'!C$6&amp;"   ","")&amp;IF(AND(N(M71)&gt;0,N(M72)&lt;=0.004),"✓ "&amp;'Calc base'!D$6&amp;"   ","")&amp;IF(AND(N(O71)&gt;0,N(O72)&lt;=0.004),"✓ "&amp;'Calc base'!E$6&amp;"   ","")&amp;IF(AND(N(Q71)&gt;0,N(Q72)&lt;=0.004),"✓ "&amp;'Calc base'!F$6&amp;"   ","")&amp;IF(AND(N(S71)&gt;0,N(S72)&lt;=0.004),"✓ "&amp;'Calc base'!G$6&amp;"   ","")&amp;IF(AND(N(U71)&gt;0,N(U72)&lt;=0.004),"✓ "&amp;'Calc base'!H$6&amp;"   ","")&amp;IF(AND(N(W71)&gt;0,N(W72)&lt;=0.004),"✓ "&amp;'Calc base'!I$6&amp;"   ","")&amp;IF(AND(N(Y71)&gt;0,N(Y72)&lt;=0.004),"✓ "&amp;'Calc base'!J$6&amp;"   ","")&amp;IF(AND(N(AA71)&gt;0,N(AA72)&lt;=0.004),"✓ "&amp;'Calc base'!K$6&amp;"   ","")&amp;IF(AND(N(AC71)&gt;0,N(AC72)&lt;=0.004),"✓ "&amp;'Calc base'!L$6&amp;"   ","")&amp;IF(AND(N(AE71)&gt;0,N(AE72)&lt;=0.004),"✓ "&amp;'Calc base'!M$6&amp;"   ","")&amp;IF(AND(N(AG71)&gt;0,N(AG72)&lt;=0.004),"✓ "&amp;'Calc base'!N$6&amp;"   ","")))</f>
        <v/>
      </c>
      <c r="J72" s="70" t="str">
        <f>IF($A72="","",ROUND(N(K71)*(1+'Calc base'!H95),2)-K72)</f>
        <v/>
      </c>
      <c r="K72" s="75" t="str">
        <f>IF($A72="","",CHOOSE('Calc riepilogo'!$B$2,'Calc valanga'!AT95,'Calc palla di neve'!AT95,'Calc personalizzata'!AT95))</f>
        <v/>
      </c>
      <c r="L72" s="70" t="str">
        <f>IF($A72="","",ROUND(N(M71)*(1+'Calc base'!I95),2)-M72)</f>
        <v/>
      </c>
      <c r="M72" s="75" t="str">
        <f>IF($A72="","",CHOOSE('Calc riepilogo'!$B$2,'Calc valanga'!AU95,'Calc palla di neve'!AU95,'Calc personalizzata'!AU95))</f>
        <v/>
      </c>
      <c r="N72" s="70" t="str">
        <f>IF($A72="","",ROUND(N(O71)*(1+'Calc base'!J95),2)-O72)</f>
        <v/>
      </c>
      <c r="O72" s="75" t="str">
        <f>IF($A72="","",CHOOSE('Calc riepilogo'!$B$2,'Calc valanga'!AV95,'Calc palla di neve'!AV95,'Calc personalizzata'!AV95))</f>
        <v/>
      </c>
      <c r="P72" s="70" t="str">
        <f>IF($A72="","",ROUND(N(Q71)*(1+'Calc base'!K95),2)-Q72)</f>
        <v/>
      </c>
      <c r="Q72" s="75" t="str">
        <f>IF($A72="","",CHOOSE('Calc riepilogo'!$B$2,'Calc valanga'!AW95,'Calc palla di neve'!AW95,'Calc personalizzata'!AW95))</f>
        <v/>
      </c>
      <c r="R72" s="70" t="str">
        <f>IF($A72="","",ROUND(N(S71)*(1+'Calc base'!L95),2)-S72)</f>
        <v/>
      </c>
      <c r="S72" s="75" t="str">
        <f>IF($A72="","",CHOOSE('Calc riepilogo'!$B$2,'Calc valanga'!AX95,'Calc palla di neve'!AX95,'Calc personalizzata'!AX95))</f>
        <v/>
      </c>
      <c r="T72" s="70" t="str">
        <f>IF($A72="","",ROUND(N(U71)*(1+'Calc base'!M95),2)-U72)</f>
        <v/>
      </c>
      <c r="U72" s="75" t="str">
        <f>IF($A72="","",CHOOSE('Calc riepilogo'!$B$2,'Calc valanga'!AY95,'Calc palla di neve'!AY95,'Calc personalizzata'!AY95))</f>
        <v/>
      </c>
      <c r="V72" s="70" t="str">
        <f>IF($A72="","",ROUND(N(W71)*(1+'Calc base'!N95),2)-W72)</f>
        <v/>
      </c>
      <c r="W72" s="75" t="str">
        <f>IF($A72="","",CHOOSE('Calc riepilogo'!$B$2,'Calc valanga'!AZ95,'Calc palla di neve'!AZ95,'Calc personalizzata'!AZ95))</f>
        <v/>
      </c>
      <c r="X72" s="70" t="str">
        <f>IF($A72="","",ROUND(N(Y71)*(1+'Calc base'!O95),2)-Y72)</f>
        <v/>
      </c>
      <c r="Y72" s="75" t="str">
        <f>IF($A72="","",CHOOSE('Calc riepilogo'!$B$2,'Calc valanga'!BA95,'Calc palla di neve'!BA95,'Calc personalizzata'!BA95))</f>
        <v/>
      </c>
      <c r="Z72" s="70" t="str">
        <f>IF($A72="","",ROUND(N(AA71)*(1+'Calc base'!P95),2)-AA72)</f>
        <v/>
      </c>
      <c r="AA72" s="75" t="str">
        <f>IF($A72="","",CHOOSE('Calc riepilogo'!$B$2,'Calc valanga'!BB95,'Calc palla di neve'!BB95,'Calc personalizzata'!BB95))</f>
        <v/>
      </c>
      <c r="AB72" s="70" t="str">
        <f>IF($A72="","",ROUND(N(AC71)*(1+'Calc base'!Q95),2)-AC72)</f>
        <v/>
      </c>
      <c r="AC72" s="75" t="str">
        <f>IF($A72="","",CHOOSE('Calc riepilogo'!$B$2,'Calc valanga'!BC95,'Calc palla di neve'!BC95,'Calc personalizzata'!BC95))</f>
        <v/>
      </c>
      <c r="AD72" s="70" t="str">
        <f>IF($A72="","",ROUND(N(AE71)*(1+'Calc base'!R95),2)-AE72)</f>
        <v/>
      </c>
      <c r="AE72" s="75" t="str">
        <f>IF($A72="","",CHOOSE('Calc riepilogo'!$B$2,'Calc valanga'!BD95,'Calc palla di neve'!BD95,'Calc personalizzata'!BD95))</f>
        <v/>
      </c>
      <c r="AF72" s="70" t="str">
        <f>IF($A72="","",ROUND(N(AG71)*(1+'Calc base'!S95),2)-AG72)</f>
        <v/>
      </c>
      <c r="AG72" s="75" t="str">
        <f>IF($A72="","",CHOOSE('Calc riepilogo'!$B$2,'Calc valanga'!BE95,'Calc palla di neve'!BE95,'Calc personalizzata'!BE95))</f>
        <v/>
      </c>
      <c r="AI72" t="n">
        <v>65</v>
      </c>
    </row>
    <row r="73">
      <c r="A73" s="68" t="str">
        <f>IF(66&gt;'Calc riepilogo'!$B$7,"",'Calc base'!$B96)</f>
        <v/>
      </c>
      <c r="B73" s="69" t="str">
        <f>IF($A73="","",'Calc base'!$C96)</f>
        <v/>
      </c>
      <c r="C73" s="69" t="str">
        <f>IF($A73="","",'Calc base'!$E96)</f>
        <v/>
      </c>
      <c r="D73" s="70" t="str">
        <f>IF($A73="","",J73+L73+N73+P73+R73+T73+V73+X73+Z73+AB73+AD73+AF73)</f>
        <v/>
      </c>
      <c r="E73" s="70" t="str">
        <f>IF($A73="","",CHOOSE('Calc riepilogo'!$B$2,'Calc valanga'!$H96,'Calc palla di neve'!$H96,'Calc personalizzata'!$H96))</f>
        <v/>
      </c>
      <c r="F73" s="71" t="str">
        <f>IF($A73="","",CHOOSE('Calc riepilogo'!$B$2,'Calc valanga'!$G96,'Calc palla di neve'!$G96,'Calc personalizzata'!$G96))</f>
        <v/>
      </c>
      <c r="G73" s="72" t="n"/>
      <c r="H73" s="73" t="n"/>
      <c r="I73" s="74" t="str">
        <f>IF($A73="","",TRIM(IF(AND(N(K72)&gt;0,N(K73)&lt;=0.004),"✓ "&amp;'Calc base'!C$6&amp;"   ","")&amp;IF(AND(N(M72)&gt;0,N(M73)&lt;=0.004),"✓ "&amp;'Calc base'!D$6&amp;"   ","")&amp;IF(AND(N(O72)&gt;0,N(O73)&lt;=0.004),"✓ "&amp;'Calc base'!E$6&amp;"   ","")&amp;IF(AND(N(Q72)&gt;0,N(Q73)&lt;=0.004),"✓ "&amp;'Calc base'!F$6&amp;"   ","")&amp;IF(AND(N(S72)&gt;0,N(S73)&lt;=0.004),"✓ "&amp;'Calc base'!G$6&amp;"   ","")&amp;IF(AND(N(U72)&gt;0,N(U73)&lt;=0.004),"✓ "&amp;'Calc base'!H$6&amp;"   ","")&amp;IF(AND(N(W72)&gt;0,N(W73)&lt;=0.004),"✓ "&amp;'Calc base'!I$6&amp;"   ","")&amp;IF(AND(N(Y72)&gt;0,N(Y73)&lt;=0.004),"✓ "&amp;'Calc base'!J$6&amp;"   ","")&amp;IF(AND(N(AA72)&gt;0,N(AA73)&lt;=0.004),"✓ "&amp;'Calc base'!K$6&amp;"   ","")&amp;IF(AND(N(AC72)&gt;0,N(AC73)&lt;=0.004),"✓ "&amp;'Calc base'!L$6&amp;"   ","")&amp;IF(AND(N(AE72)&gt;0,N(AE73)&lt;=0.004),"✓ "&amp;'Calc base'!M$6&amp;"   ","")&amp;IF(AND(N(AG72)&gt;0,N(AG73)&lt;=0.004),"✓ "&amp;'Calc base'!N$6&amp;"   ","")))</f>
        <v/>
      </c>
      <c r="J73" s="70" t="str">
        <f>IF($A73="","",ROUND(N(K72)*(1+'Calc base'!H96),2)-K73)</f>
        <v/>
      </c>
      <c r="K73" s="75" t="str">
        <f>IF($A73="","",CHOOSE('Calc riepilogo'!$B$2,'Calc valanga'!AT96,'Calc palla di neve'!AT96,'Calc personalizzata'!AT96))</f>
        <v/>
      </c>
      <c r="L73" s="70" t="str">
        <f>IF($A73="","",ROUND(N(M72)*(1+'Calc base'!I96),2)-M73)</f>
        <v/>
      </c>
      <c r="M73" s="75" t="str">
        <f>IF($A73="","",CHOOSE('Calc riepilogo'!$B$2,'Calc valanga'!AU96,'Calc palla di neve'!AU96,'Calc personalizzata'!AU96))</f>
        <v/>
      </c>
      <c r="N73" s="70" t="str">
        <f>IF($A73="","",ROUND(N(O72)*(1+'Calc base'!J96),2)-O73)</f>
        <v/>
      </c>
      <c r="O73" s="75" t="str">
        <f>IF($A73="","",CHOOSE('Calc riepilogo'!$B$2,'Calc valanga'!AV96,'Calc palla di neve'!AV96,'Calc personalizzata'!AV96))</f>
        <v/>
      </c>
      <c r="P73" s="70" t="str">
        <f>IF($A73="","",ROUND(N(Q72)*(1+'Calc base'!K96),2)-Q73)</f>
        <v/>
      </c>
      <c r="Q73" s="75" t="str">
        <f>IF($A73="","",CHOOSE('Calc riepilogo'!$B$2,'Calc valanga'!AW96,'Calc palla di neve'!AW96,'Calc personalizzata'!AW96))</f>
        <v/>
      </c>
      <c r="R73" s="70" t="str">
        <f>IF($A73="","",ROUND(N(S72)*(1+'Calc base'!L96),2)-S73)</f>
        <v/>
      </c>
      <c r="S73" s="75" t="str">
        <f>IF($A73="","",CHOOSE('Calc riepilogo'!$B$2,'Calc valanga'!AX96,'Calc palla di neve'!AX96,'Calc personalizzata'!AX96))</f>
        <v/>
      </c>
      <c r="T73" s="70" t="str">
        <f>IF($A73="","",ROUND(N(U72)*(1+'Calc base'!M96),2)-U73)</f>
        <v/>
      </c>
      <c r="U73" s="75" t="str">
        <f>IF($A73="","",CHOOSE('Calc riepilogo'!$B$2,'Calc valanga'!AY96,'Calc palla di neve'!AY96,'Calc personalizzata'!AY96))</f>
        <v/>
      </c>
      <c r="V73" s="70" t="str">
        <f>IF($A73="","",ROUND(N(W72)*(1+'Calc base'!N96),2)-W73)</f>
        <v/>
      </c>
      <c r="W73" s="75" t="str">
        <f>IF($A73="","",CHOOSE('Calc riepilogo'!$B$2,'Calc valanga'!AZ96,'Calc palla di neve'!AZ96,'Calc personalizzata'!AZ96))</f>
        <v/>
      </c>
      <c r="X73" s="70" t="str">
        <f>IF($A73="","",ROUND(N(Y72)*(1+'Calc base'!O96),2)-Y73)</f>
        <v/>
      </c>
      <c r="Y73" s="75" t="str">
        <f>IF($A73="","",CHOOSE('Calc riepilogo'!$B$2,'Calc valanga'!BA96,'Calc palla di neve'!BA96,'Calc personalizzata'!BA96))</f>
        <v/>
      </c>
      <c r="Z73" s="70" t="str">
        <f>IF($A73="","",ROUND(N(AA72)*(1+'Calc base'!P96),2)-AA73)</f>
        <v/>
      </c>
      <c r="AA73" s="75" t="str">
        <f>IF($A73="","",CHOOSE('Calc riepilogo'!$B$2,'Calc valanga'!BB96,'Calc palla di neve'!BB96,'Calc personalizzata'!BB96))</f>
        <v/>
      </c>
      <c r="AB73" s="70" t="str">
        <f>IF($A73="","",ROUND(N(AC72)*(1+'Calc base'!Q96),2)-AC73)</f>
        <v/>
      </c>
      <c r="AC73" s="75" t="str">
        <f>IF($A73="","",CHOOSE('Calc riepilogo'!$B$2,'Calc valanga'!BC96,'Calc palla di neve'!BC96,'Calc personalizzata'!BC96))</f>
        <v/>
      </c>
      <c r="AD73" s="70" t="str">
        <f>IF($A73="","",ROUND(N(AE72)*(1+'Calc base'!R96),2)-AE73)</f>
        <v/>
      </c>
      <c r="AE73" s="75" t="str">
        <f>IF($A73="","",CHOOSE('Calc riepilogo'!$B$2,'Calc valanga'!BD96,'Calc palla di neve'!BD96,'Calc personalizzata'!BD96))</f>
        <v/>
      </c>
      <c r="AF73" s="70" t="str">
        <f>IF($A73="","",ROUND(N(AG72)*(1+'Calc base'!S96),2)-AG73)</f>
        <v/>
      </c>
      <c r="AG73" s="75" t="str">
        <f>IF($A73="","",CHOOSE('Calc riepilogo'!$B$2,'Calc valanga'!BE96,'Calc palla di neve'!BE96,'Calc personalizzata'!BE96))</f>
        <v/>
      </c>
      <c r="AI73" t="n">
        <v>66</v>
      </c>
    </row>
    <row r="74">
      <c r="A74" s="68" t="str">
        <f>IF(67&gt;'Calc riepilogo'!$B$7,"",'Calc base'!$B97)</f>
        <v/>
      </c>
      <c r="B74" s="69" t="str">
        <f>IF($A74="","",'Calc base'!$C97)</f>
        <v/>
      </c>
      <c r="C74" s="69" t="str">
        <f>IF($A74="","",'Calc base'!$E97)</f>
        <v/>
      </c>
      <c r="D74" s="70" t="str">
        <f>IF($A74="","",J74+L74+N74+P74+R74+T74+V74+X74+Z74+AB74+AD74+AF74)</f>
        <v/>
      </c>
      <c r="E74" s="70" t="str">
        <f>IF($A74="","",CHOOSE('Calc riepilogo'!$B$2,'Calc valanga'!$H97,'Calc palla di neve'!$H97,'Calc personalizzata'!$H97))</f>
        <v/>
      </c>
      <c r="F74" s="71" t="str">
        <f>IF($A74="","",CHOOSE('Calc riepilogo'!$B$2,'Calc valanga'!$G97,'Calc palla di neve'!$G97,'Calc personalizzata'!$G97))</f>
        <v/>
      </c>
      <c r="G74" s="72" t="n"/>
      <c r="H74" s="73" t="n"/>
      <c r="I74" s="74" t="str">
        <f>IF($A74="","",TRIM(IF(AND(N(K73)&gt;0,N(K74)&lt;=0.004),"✓ "&amp;'Calc base'!C$6&amp;"   ","")&amp;IF(AND(N(M73)&gt;0,N(M74)&lt;=0.004),"✓ "&amp;'Calc base'!D$6&amp;"   ","")&amp;IF(AND(N(O73)&gt;0,N(O74)&lt;=0.004),"✓ "&amp;'Calc base'!E$6&amp;"   ","")&amp;IF(AND(N(Q73)&gt;0,N(Q74)&lt;=0.004),"✓ "&amp;'Calc base'!F$6&amp;"   ","")&amp;IF(AND(N(S73)&gt;0,N(S74)&lt;=0.004),"✓ "&amp;'Calc base'!G$6&amp;"   ","")&amp;IF(AND(N(U73)&gt;0,N(U74)&lt;=0.004),"✓ "&amp;'Calc base'!H$6&amp;"   ","")&amp;IF(AND(N(W73)&gt;0,N(W74)&lt;=0.004),"✓ "&amp;'Calc base'!I$6&amp;"   ","")&amp;IF(AND(N(Y73)&gt;0,N(Y74)&lt;=0.004),"✓ "&amp;'Calc base'!J$6&amp;"   ","")&amp;IF(AND(N(AA73)&gt;0,N(AA74)&lt;=0.004),"✓ "&amp;'Calc base'!K$6&amp;"   ","")&amp;IF(AND(N(AC73)&gt;0,N(AC74)&lt;=0.004),"✓ "&amp;'Calc base'!L$6&amp;"   ","")&amp;IF(AND(N(AE73)&gt;0,N(AE74)&lt;=0.004),"✓ "&amp;'Calc base'!M$6&amp;"   ","")&amp;IF(AND(N(AG73)&gt;0,N(AG74)&lt;=0.004),"✓ "&amp;'Calc base'!N$6&amp;"   ","")))</f>
        <v/>
      </c>
      <c r="J74" s="70" t="str">
        <f>IF($A74="","",ROUND(N(K73)*(1+'Calc base'!H97),2)-K74)</f>
        <v/>
      </c>
      <c r="K74" s="75" t="str">
        <f>IF($A74="","",CHOOSE('Calc riepilogo'!$B$2,'Calc valanga'!AT97,'Calc palla di neve'!AT97,'Calc personalizzata'!AT97))</f>
        <v/>
      </c>
      <c r="L74" s="70" t="str">
        <f>IF($A74="","",ROUND(N(M73)*(1+'Calc base'!I97),2)-M74)</f>
        <v/>
      </c>
      <c r="M74" s="75" t="str">
        <f>IF($A74="","",CHOOSE('Calc riepilogo'!$B$2,'Calc valanga'!AU97,'Calc palla di neve'!AU97,'Calc personalizzata'!AU97))</f>
        <v/>
      </c>
      <c r="N74" s="70" t="str">
        <f>IF($A74="","",ROUND(N(O73)*(1+'Calc base'!J97),2)-O74)</f>
        <v/>
      </c>
      <c r="O74" s="75" t="str">
        <f>IF($A74="","",CHOOSE('Calc riepilogo'!$B$2,'Calc valanga'!AV97,'Calc palla di neve'!AV97,'Calc personalizzata'!AV97))</f>
        <v/>
      </c>
      <c r="P74" s="70" t="str">
        <f>IF($A74="","",ROUND(N(Q73)*(1+'Calc base'!K97),2)-Q74)</f>
        <v/>
      </c>
      <c r="Q74" s="75" t="str">
        <f>IF($A74="","",CHOOSE('Calc riepilogo'!$B$2,'Calc valanga'!AW97,'Calc palla di neve'!AW97,'Calc personalizzata'!AW97))</f>
        <v/>
      </c>
      <c r="R74" s="70" t="str">
        <f>IF($A74="","",ROUND(N(S73)*(1+'Calc base'!L97),2)-S74)</f>
        <v/>
      </c>
      <c r="S74" s="75" t="str">
        <f>IF($A74="","",CHOOSE('Calc riepilogo'!$B$2,'Calc valanga'!AX97,'Calc palla di neve'!AX97,'Calc personalizzata'!AX97))</f>
        <v/>
      </c>
      <c r="T74" s="70" t="str">
        <f>IF($A74="","",ROUND(N(U73)*(1+'Calc base'!M97),2)-U74)</f>
        <v/>
      </c>
      <c r="U74" s="75" t="str">
        <f>IF($A74="","",CHOOSE('Calc riepilogo'!$B$2,'Calc valanga'!AY97,'Calc palla di neve'!AY97,'Calc personalizzata'!AY97))</f>
        <v/>
      </c>
      <c r="V74" s="70" t="str">
        <f>IF($A74="","",ROUND(N(W73)*(1+'Calc base'!N97),2)-W74)</f>
        <v/>
      </c>
      <c r="W74" s="75" t="str">
        <f>IF($A74="","",CHOOSE('Calc riepilogo'!$B$2,'Calc valanga'!AZ97,'Calc palla di neve'!AZ97,'Calc personalizzata'!AZ97))</f>
        <v/>
      </c>
      <c r="X74" s="70" t="str">
        <f>IF($A74="","",ROUND(N(Y73)*(1+'Calc base'!O97),2)-Y74)</f>
        <v/>
      </c>
      <c r="Y74" s="75" t="str">
        <f>IF($A74="","",CHOOSE('Calc riepilogo'!$B$2,'Calc valanga'!BA97,'Calc palla di neve'!BA97,'Calc personalizzata'!BA97))</f>
        <v/>
      </c>
      <c r="Z74" s="70" t="str">
        <f>IF($A74="","",ROUND(N(AA73)*(1+'Calc base'!P97),2)-AA74)</f>
        <v/>
      </c>
      <c r="AA74" s="75" t="str">
        <f>IF($A74="","",CHOOSE('Calc riepilogo'!$B$2,'Calc valanga'!BB97,'Calc palla di neve'!BB97,'Calc personalizzata'!BB97))</f>
        <v/>
      </c>
      <c r="AB74" s="70" t="str">
        <f>IF($A74="","",ROUND(N(AC73)*(1+'Calc base'!Q97),2)-AC74)</f>
        <v/>
      </c>
      <c r="AC74" s="75" t="str">
        <f>IF($A74="","",CHOOSE('Calc riepilogo'!$B$2,'Calc valanga'!BC97,'Calc palla di neve'!BC97,'Calc personalizzata'!BC97))</f>
        <v/>
      </c>
      <c r="AD74" s="70" t="str">
        <f>IF($A74="","",ROUND(N(AE73)*(1+'Calc base'!R97),2)-AE74)</f>
        <v/>
      </c>
      <c r="AE74" s="75" t="str">
        <f>IF($A74="","",CHOOSE('Calc riepilogo'!$B$2,'Calc valanga'!BD97,'Calc palla di neve'!BD97,'Calc personalizzata'!BD97))</f>
        <v/>
      </c>
      <c r="AF74" s="70" t="str">
        <f>IF($A74="","",ROUND(N(AG73)*(1+'Calc base'!S97),2)-AG74)</f>
        <v/>
      </c>
      <c r="AG74" s="75" t="str">
        <f>IF($A74="","",CHOOSE('Calc riepilogo'!$B$2,'Calc valanga'!BE97,'Calc palla di neve'!BE97,'Calc personalizzata'!BE97))</f>
        <v/>
      </c>
      <c r="AI74" t="n">
        <v>67</v>
      </c>
    </row>
    <row r="75">
      <c r="A75" s="68" t="str">
        <f>IF(68&gt;'Calc riepilogo'!$B$7,"",'Calc base'!$B98)</f>
        <v/>
      </c>
      <c r="B75" s="69" t="str">
        <f>IF($A75="","",'Calc base'!$C98)</f>
        <v/>
      </c>
      <c r="C75" s="69" t="str">
        <f>IF($A75="","",'Calc base'!$E98)</f>
        <v/>
      </c>
      <c r="D75" s="70" t="str">
        <f>IF($A75="","",J75+L75+N75+P75+R75+T75+V75+X75+Z75+AB75+AD75+AF75)</f>
        <v/>
      </c>
      <c r="E75" s="70" t="str">
        <f>IF($A75="","",CHOOSE('Calc riepilogo'!$B$2,'Calc valanga'!$H98,'Calc palla di neve'!$H98,'Calc personalizzata'!$H98))</f>
        <v/>
      </c>
      <c r="F75" s="71" t="str">
        <f>IF($A75="","",CHOOSE('Calc riepilogo'!$B$2,'Calc valanga'!$G98,'Calc palla di neve'!$G98,'Calc personalizzata'!$G98))</f>
        <v/>
      </c>
      <c r="G75" s="72" t="n"/>
      <c r="H75" s="73" t="n"/>
      <c r="I75" s="74" t="str">
        <f>IF($A75="","",TRIM(IF(AND(N(K74)&gt;0,N(K75)&lt;=0.004),"✓ "&amp;'Calc base'!C$6&amp;"   ","")&amp;IF(AND(N(M74)&gt;0,N(M75)&lt;=0.004),"✓ "&amp;'Calc base'!D$6&amp;"   ","")&amp;IF(AND(N(O74)&gt;0,N(O75)&lt;=0.004),"✓ "&amp;'Calc base'!E$6&amp;"   ","")&amp;IF(AND(N(Q74)&gt;0,N(Q75)&lt;=0.004),"✓ "&amp;'Calc base'!F$6&amp;"   ","")&amp;IF(AND(N(S74)&gt;0,N(S75)&lt;=0.004),"✓ "&amp;'Calc base'!G$6&amp;"   ","")&amp;IF(AND(N(U74)&gt;0,N(U75)&lt;=0.004),"✓ "&amp;'Calc base'!H$6&amp;"   ","")&amp;IF(AND(N(W74)&gt;0,N(W75)&lt;=0.004),"✓ "&amp;'Calc base'!I$6&amp;"   ","")&amp;IF(AND(N(Y74)&gt;0,N(Y75)&lt;=0.004),"✓ "&amp;'Calc base'!J$6&amp;"   ","")&amp;IF(AND(N(AA74)&gt;0,N(AA75)&lt;=0.004),"✓ "&amp;'Calc base'!K$6&amp;"   ","")&amp;IF(AND(N(AC74)&gt;0,N(AC75)&lt;=0.004),"✓ "&amp;'Calc base'!L$6&amp;"   ","")&amp;IF(AND(N(AE74)&gt;0,N(AE75)&lt;=0.004),"✓ "&amp;'Calc base'!M$6&amp;"   ","")&amp;IF(AND(N(AG74)&gt;0,N(AG75)&lt;=0.004),"✓ "&amp;'Calc base'!N$6&amp;"   ","")))</f>
        <v/>
      </c>
      <c r="J75" s="70" t="str">
        <f>IF($A75="","",ROUND(N(K74)*(1+'Calc base'!H98),2)-K75)</f>
        <v/>
      </c>
      <c r="K75" s="75" t="str">
        <f>IF($A75="","",CHOOSE('Calc riepilogo'!$B$2,'Calc valanga'!AT98,'Calc palla di neve'!AT98,'Calc personalizzata'!AT98))</f>
        <v/>
      </c>
      <c r="L75" s="70" t="str">
        <f>IF($A75="","",ROUND(N(M74)*(1+'Calc base'!I98),2)-M75)</f>
        <v/>
      </c>
      <c r="M75" s="75" t="str">
        <f>IF($A75="","",CHOOSE('Calc riepilogo'!$B$2,'Calc valanga'!AU98,'Calc palla di neve'!AU98,'Calc personalizzata'!AU98))</f>
        <v/>
      </c>
      <c r="N75" s="70" t="str">
        <f>IF($A75="","",ROUND(N(O74)*(1+'Calc base'!J98),2)-O75)</f>
        <v/>
      </c>
      <c r="O75" s="75" t="str">
        <f>IF($A75="","",CHOOSE('Calc riepilogo'!$B$2,'Calc valanga'!AV98,'Calc palla di neve'!AV98,'Calc personalizzata'!AV98))</f>
        <v/>
      </c>
      <c r="P75" s="70" t="str">
        <f>IF($A75="","",ROUND(N(Q74)*(1+'Calc base'!K98),2)-Q75)</f>
        <v/>
      </c>
      <c r="Q75" s="75" t="str">
        <f>IF($A75="","",CHOOSE('Calc riepilogo'!$B$2,'Calc valanga'!AW98,'Calc palla di neve'!AW98,'Calc personalizzata'!AW98))</f>
        <v/>
      </c>
      <c r="R75" s="70" t="str">
        <f>IF($A75="","",ROUND(N(S74)*(1+'Calc base'!L98),2)-S75)</f>
        <v/>
      </c>
      <c r="S75" s="75" t="str">
        <f>IF($A75="","",CHOOSE('Calc riepilogo'!$B$2,'Calc valanga'!AX98,'Calc palla di neve'!AX98,'Calc personalizzata'!AX98))</f>
        <v/>
      </c>
      <c r="T75" s="70" t="str">
        <f>IF($A75="","",ROUND(N(U74)*(1+'Calc base'!M98),2)-U75)</f>
        <v/>
      </c>
      <c r="U75" s="75" t="str">
        <f>IF($A75="","",CHOOSE('Calc riepilogo'!$B$2,'Calc valanga'!AY98,'Calc palla di neve'!AY98,'Calc personalizzata'!AY98))</f>
        <v/>
      </c>
      <c r="V75" s="70" t="str">
        <f>IF($A75="","",ROUND(N(W74)*(1+'Calc base'!N98),2)-W75)</f>
        <v/>
      </c>
      <c r="W75" s="75" t="str">
        <f>IF($A75="","",CHOOSE('Calc riepilogo'!$B$2,'Calc valanga'!AZ98,'Calc palla di neve'!AZ98,'Calc personalizzata'!AZ98))</f>
        <v/>
      </c>
      <c r="X75" s="70" t="str">
        <f>IF($A75="","",ROUND(N(Y74)*(1+'Calc base'!O98),2)-Y75)</f>
        <v/>
      </c>
      <c r="Y75" s="75" t="str">
        <f>IF($A75="","",CHOOSE('Calc riepilogo'!$B$2,'Calc valanga'!BA98,'Calc palla di neve'!BA98,'Calc personalizzata'!BA98))</f>
        <v/>
      </c>
      <c r="Z75" s="70" t="str">
        <f>IF($A75="","",ROUND(N(AA74)*(1+'Calc base'!P98),2)-AA75)</f>
        <v/>
      </c>
      <c r="AA75" s="75" t="str">
        <f>IF($A75="","",CHOOSE('Calc riepilogo'!$B$2,'Calc valanga'!BB98,'Calc palla di neve'!BB98,'Calc personalizzata'!BB98))</f>
        <v/>
      </c>
      <c r="AB75" s="70" t="str">
        <f>IF($A75="","",ROUND(N(AC74)*(1+'Calc base'!Q98),2)-AC75)</f>
        <v/>
      </c>
      <c r="AC75" s="75" t="str">
        <f>IF($A75="","",CHOOSE('Calc riepilogo'!$B$2,'Calc valanga'!BC98,'Calc palla di neve'!BC98,'Calc personalizzata'!BC98))</f>
        <v/>
      </c>
      <c r="AD75" s="70" t="str">
        <f>IF($A75="","",ROUND(N(AE74)*(1+'Calc base'!R98),2)-AE75)</f>
        <v/>
      </c>
      <c r="AE75" s="75" t="str">
        <f>IF($A75="","",CHOOSE('Calc riepilogo'!$B$2,'Calc valanga'!BD98,'Calc palla di neve'!BD98,'Calc personalizzata'!BD98))</f>
        <v/>
      </c>
      <c r="AF75" s="70" t="str">
        <f>IF($A75="","",ROUND(N(AG74)*(1+'Calc base'!S98),2)-AG75)</f>
        <v/>
      </c>
      <c r="AG75" s="75" t="str">
        <f>IF($A75="","",CHOOSE('Calc riepilogo'!$B$2,'Calc valanga'!BE98,'Calc palla di neve'!BE98,'Calc personalizzata'!BE98))</f>
        <v/>
      </c>
      <c r="AI75" t="n">
        <v>68</v>
      </c>
    </row>
    <row r="76">
      <c r="A76" s="68" t="str">
        <f>IF(69&gt;'Calc riepilogo'!$B$7,"",'Calc base'!$B99)</f>
        <v/>
      </c>
      <c r="B76" s="69" t="str">
        <f>IF($A76="","",'Calc base'!$C99)</f>
        <v/>
      </c>
      <c r="C76" s="69" t="str">
        <f>IF($A76="","",'Calc base'!$E99)</f>
        <v/>
      </c>
      <c r="D76" s="70" t="str">
        <f>IF($A76="","",J76+L76+N76+P76+R76+T76+V76+X76+Z76+AB76+AD76+AF76)</f>
        <v/>
      </c>
      <c r="E76" s="70" t="str">
        <f>IF($A76="","",CHOOSE('Calc riepilogo'!$B$2,'Calc valanga'!$H99,'Calc palla di neve'!$H99,'Calc personalizzata'!$H99))</f>
        <v/>
      </c>
      <c r="F76" s="71" t="str">
        <f>IF($A76="","",CHOOSE('Calc riepilogo'!$B$2,'Calc valanga'!$G99,'Calc palla di neve'!$G99,'Calc personalizzata'!$G99))</f>
        <v/>
      </c>
      <c r="G76" s="72" t="n"/>
      <c r="H76" s="73" t="n"/>
      <c r="I76" s="74" t="str">
        <f>IF($A76="","",TRIM(IF(AND(N(K75)&gt;0,N(K76)&lt;=0.004),"✓ "&amp;'Calc base'!C$6&amp;"   ","")&amp;IF(AND(N(M75)&gt;0,N(M76)&lt;=0.004),"✓ "&amp;'Calc base'!D$6&amp;"   ","")&amp;IF(AND(N(O75)&gt;0,N(O76)&lt;=0.004),"✓ "&amp;'Calc base'!E$6&amp;"   ","")&amp;IF(AND(N(Q75)&gt;0,N(Q76)&lt;=0.004),"✓ "&amp;'Calc base'!F$6&amp;"   ","")&amp;IF(AND(N(S75)&gt;0,N(S76)&lt;=0.004),"✓ "&amp;'Calc base'!G$6&amp;"   ","")&amp;IF(AND(N(U75)&gt;0,N(U76)&lt;=0.004),"✓ "&amp;'Calc base'!H$6&amp;"   ","")&amp;IF(AND(N(W75)&gt;0,N(W76)&lt;=0.004),"✓ "&amp;'Calc base'!I$6&amp;"   ","")&amp;IF(AND(N(Y75)&gt;0,N(Y76)&lt;=0.004),"✓ "&amp;'Calc base'!J$6&amp;"   ","")&amp;IF(AND(N(AA75)&gt;0,N(AA76)&lt;=0.004),"✓ "&amp;'Calc base'!K$6&amp;"   ","")&amp;IF(AND(N(AC75)&gt;0,N(AC76)&lt;=0.004),"✓ "&amp;'Calc base'!L$6&amp;"   ","")&amp;IF(AND(N(AE75)&gt;0,N(AE76)&lt;=0.004),"✓ "&amp;'Calc base'!M$6&amp;"   ","")&amp;IF(AND(N(AG75)&gt;0,N(AG76)&lt;=0.004),"✓ "&amp;'Calc base'!N$6&amp;"   ","")))</f>
        <v/>
      </c>
      <c r="J76" s="70" t="str">
        <f>IF($A76="","",ROUND(N(K75)*(1+'Calc base'!H99),2)-K76)</f>
        <v/>
      </c>
      <c r="K76" s="75" t="str">
        <f>IF($A76="","",CHOOSE('Calc riepilogo'!$B$2,'Calc valanga'!AT99,'Calc palla di neve'!AT99,'Calc personalizzata'!AT99))</f>
        <v/>
      </c>
      <c r="L76" s="70" t="str">
        <f>IF($A76="","",ROUND(N(M75)*(1+'Calc base'!I99),2)-M76)</f>
        <v/>
      </c>
      <c r="M76" s="75" t="str">
        <f>IF($A76="","",CHOOSE('Calc riepilogo'!$B$2,'Calc valanga'!AU99,'Calc palla di neve'!AU99,'Calc personalizzata'!AU99))</f>
        <v/>
      </c>
      <c r="N76" s="70" t="str">
        <f>IF($A76="","",ROUND(N(O75)*(1+'Calc base'!J99),2)-O76)</f>
        <v/>
      </c>
      <c r="O76" s="75" t="str">
        <f>IF($A76="","",CHOOSE('Calc riepilogo'!$B$2,'Calc valanga'!AV99,'Calc palla di neve'!AV99,'Calc personalizzata'!AV99))</f>
        <v/>
      </c>
      <c r="P76" s="70" t="str">
        <f>IF($A76="","",ROUND(N(Q75)*(1+'Calc base'!K99),2)-Q76)</f>
        <v/>
      </c>
      <c r="Q76" s="75" t="str">
        <f>IF($A76="","",CHOOSE('Calc riepilogo'!$B$2,'Calc valanga'!AW99,'Calc palla di neve'!AW99,'Calc personalizzata'!AW99))</f>
        <v/>
      </c>
      <c r="R76" s="70" t="str">
        <f>IF($A76="","",ROUND(N(S75)*(1+'Calc base'!L99),2)-S76)</f>
        <v/>
      </c>
      <c r="S76" s="75" t="str">
        <f>IF($A76="","",CHOOSE('Calc riepilogo'!$B$2,'Calc valanga'!AX99,'Calc palla di neve'!AX99,'Calc personalizzata'!AX99))</f>
        <v/>
      </c>
      <c r="T76" s="70" t="str">
        <f>IF($A76="","",ROUND(N(U75)*(1+'Calc base'!M99),2)-U76)</f>
        <v/>
      </c>
      <c r="U76" s="75" t="str">
        <f>IF($A76="","",CHOOSE('Calc riepilogo'!$B$2,'Calc valanga'!AY99,'Calc palla di neve'!AY99,'Calc personalizzata'!AY99))</f>
        <v/>
      </c>
      <c r="V76" s="70" t="str">
        <f>IF($A76="","",ROUND(N(W75)*(1+'Calc base'!N99),2)-W76)</f>
        <v/>
      </c>
      <c r="W76" s="75" t="str">
        <f>IF($A76="","",CHOOSE('Calc riepilogo'!$B$2,'Calc valanga'!AZ99,'Calc palla di neve'!AZ99,'Calc personalizzata'!AZ99))</f>
        <v/>
      </c>
      <c r="X76" s="70" t="str">
        <f>IF($A76="","",ROUND(N(Y75)*(1+'Calc base'!O99),2)-Y76)</f>
        <v/>
      </c>
      <c r="Y76" s="75" t="str">
        <f>IF($A76="","",CHOOSE('Calc riepilogo'!$B$2,'Calc valanga'!BA99,'Calc palla di neve'!BA99,'Calc personalizzata'!BA99))</f>
        <v/>
      </c>
      <c r="Z76" s="70" t="str">
        <f>IF($A76="","",ROUND(N(AA75)*(1+'Calc base'!P99),2)-AA76)</f>
        <v/>
      </c>
      <c r="AA76" s="75" t="str">
        <f>IF($A76="","",CHOOSE('Calc riepilogo'!$B$2,'Calc valanga'!BB99,'Calc palla di neve'!BB99,'Calc personalizzata'!BB99))</f>
        <v/>
      </c>
      <c r="AB76" s="70" t="str">
        <f>IF($A76="","",ROUND(N(AC75)*(1+'Calc base'!Q99),2)-AC76)</f>
        <v/>
      </c>
      <c r="AC76" s="75" t="str">
        <f>IF($A76="","",CHOOSE('Calc riepilogo'!$B$2,'Calc valanga'!BC99,'Calc palla di neve'!BC99,'Calc personalizzata'!BC99))</f>
        <v/>
      </c>
      <c r="AD76" s="70" t="str">
        <f>IF($A76="","",ROUND(N(AE75)*(1+'Calc base'!R99),2)-AE76)</f>
        <v/>
      </c>
      <c r="AE76" s="75" t="str">
        <f>IF($A76="","",CHOOSE('Calc riepilogo'!$B$2,'Calc valanga'!BD99,'Calc palla di neve'!BD99,'Calc personalizzata'!BD99))</f>
        <v/>
      </c>
      <c r="AF76" s="70" t="str">
        <f>IF($A76="","",ROUND(N(AG75)*(1+'Calc base'!S99),2)-AG76)</f>
        <v/>
      </c>
      <c r="AG76" s="75" t="str">
        <f>IF($A76="","",CHOOSE('Calc riepilogo'!$B$2,'Calc valanga'!BE99,'Calc palla di neve'!BE99,'Calc personalizzata'!BE99))</f>
        <v/>
      </c>
      <c r="AI76" t="n">
        <v>69</v>
      </c>
    </row>
    <row r="77">
      <c r="A77" s="68" t="str">
        <f>IF(70&gt;'Calc riepilogo'!$B$7,"",'Calc base'!$B100)</f>
        <v/>
      </c>
      <c r="B77" s="69" t="str">
        <f>IF($A77="","",'Calc base'!$C100)</f>
        <v/>
      </c>
      <c r="C77" s="69" t="str">
        <f>IF($A77="","",'Calc base'!$E100)</f>
        <v/>
      </c>
      <c r="D77" s="70" t="str">
        <f>IF($A77="","",J77+L77+N77+P77+R77+T77+V77+X77+Z77+AB77+AD77+AF77)</f>
        <v/>
      </c>
      <c r="E77" s="70" t="str">
        <f>IF($A77="","",CHOOSE('Calc riepilogo'!$B$2,'Calc valanga'!$H100,'Calc palla di neve'!$H100,'Calc personalizzata'!$H100))</f>
        <v/>
      </c>
      <c r="F77" s="71" t="str">
        <f>IF($A77="","",CHOOSE('Calc riepilogo'!$B$2,'Calc valanga'!$G100,'Calc palla di neve'!$G100,'Calc personalizzata'!$G100))</f>
        <v/>
      </c>
      <c r="G77" s="72" t="n"/>
      <c r="H77" s="73" t="n"/>
      <c r="I77" s="74" t="str">
        <f>IF($A77="","",TRIM(IF(AND(N(K76)&gt;0,N(K77)&lt;=0.004),"✓ "&amp;'Calc base'!C$6&amp;"   ","")&amp;IF(AND(N(M76)&gt;0,N(M77)&lt;=0.004),"✓ "&amp;'Calc base'!D$6&amp;"   ","")&amp;IF(AND(N(O76)&gt;0,N(O77)&lt;=0.004),"✓ "&amp;'Calc base'!E$6&amp;"   ","")&amp;IF(AND(N(Q76)&gt;0,N(Q77)&lt;=0.004),"✓ "&amp;'Calc base'!F$6&amp;"   ","")&amp;IF(AND(N(S76)&gt;0,N(S77)&lt;=0.004),"✓ "&amp;'Calc base'!G$6&amp;"   ","")&amp;IF(AND(N(U76)&gt;0,N(U77)&lt;=0.004),"✓ "&amp;'Calc base'!H$6&amp;"   ","")&amp;IF(AND(N(W76)&gt;0,N(W77)&lt;=0.004),"✓ "&amp;'Calc base'!I$6&amp;"   ","")&amp;IF(AND(N(Y76)&gt;0,N(Y77)&lt;=0.004),"✓ "&amp;'Calc base'!J$6&amp;"   ","")&amp;IF(AND(N(AA76)&gt;0,N(AA77)&lt;=0.004),"✓ "&amp;'Calc base'!K$6&amp;"   ","")&amp;IF(AND(N(AC76)&gt;0,N(AC77)&lt;=0.004),"✓ "&amp;'Calc base'!L$6&amp;"   ","")&amp;IF(AND(N(AE76)&gt;0,N(AE77)&lt;=0.004),"✓ "&amp;'Calc base'!M$6&amp;"   ","")&amp;IF(AND(N(AG76)&gt;0,N(AG77)&lt;=0.004),"✓ "&amp;'Calc base'!N$6&amp;"   ","")))</f>
        <v/>
      </c>
      <c r="J77" s="70" t="str">
        <f>IF($A77="","",ROUND(N(K76)*(1+'Calc base'!H100),2)-K77)</f>
        <v/>
      </c>
      <c r="K77" s="75" t="str">
        <f>IF($A77="","",CHOOSE('Calc riepilogo'!$B$2,'Calc valanga'!AT100,'Calc palla di neve'!AT100,'Calc personalizzata'!AT100))</f>
        <v/>
      </c>
      <c r="L77" s="70" t="str">
        <f>IF($A77="","",ROUND(N(M76)*(1+'Calc base'!I100),2)-M77)</f>
        <v/>
      </c>
      <c r="M77" s="75" t="str">
        <f>IF($A77="","",CHOOSE('Calc riepilogo'!$B$2,'Calc valanga'!AU100,'Calc palla di neve'!AU100,'Calc personalizzata'!AU100))</f>
        <v/>
      </c>
      <c r="N77" s="70" t="str">
        <f>IF($A77="","",ROUND(N(O76)*(1+'Calc base'!J100),2)-O77)</f>
        <v/>
      </c>
      <c r="O77" s="75" t="str">
        <f>IF($A77="","",CHOOSE('Calc riepilogo'!$B$2,'Calc valanga'!AV100,'Calc palla di neve'!AV100,'Calc personalizzata'!AV100))</f>
        <v/>
      </c>
      <c r="P77" s="70" t="str">
        <f>IF($A77="","",ROUND(N(Q76)*(1+'Calc base'!K100),2)-Q77)</f>
        <v/>
      </c>
      <c r="Q77" s="75" t="str">
        <f>IF($A77="","",CHOOSE('Calc riepilogo'!$B$2,'Calc valanga'!AW100,'Calc palla di neve'!AW100,'Calc personalizzata'!AW100))</f>
        <v/>
      </c>
      <c r="R77" s="70" t="str">
        <f>IF($A77="","",ROUND(N(S76)*(1+'Calc base'!L100),2)-S77)</f>
        <v/>
      </c>
      <c r="S77" s="75" t="str">
        <f>IF($A77="","",CHOOSE('Calc riepilogo'!$B$2,'Calc valanga'!AX100,'Calc palla di neve'!AX100,'Calc personalizzata'!AX100))</f>
        <v/>
      </c>
      <c r="T77" s="70" t="str">
        <f>IF($A77="","",ROUND(N(U76)*(1+'Calc base'!M100),2)-U77)</f>
        <v/>
      </c>
      <c r="U77" s="75" t="str">
        <f>IF($A77="","",CHOOSE('Calc riepilogo'!$B$2,'Calc valanga'!AY100,'Calc palla di neve'!AY100,'Calc personalizzata'!AY100))</f>
        <v/>
      </c>
      <c r="V77" s="70" t="str">
        <f>IF($A77="","",ROUND(N(W76)*(1+'Calc base'!N100),2)-W77)</f>
        <v/>
      </c>
      <c r="W77" s="75" t="str">
        <f>IF($A77="","",CHOOSE('Calc riepilogo'!$B$2,'Calc valanga'!AZ100,'Calc palla di neve'!AZ100,'Calc personalizzata'!AZ100))</f>
        <v/>
      </c>
      <c r="X77" s="70" t="str">
        <f>IF($A77="","",ROUND(N(Y76)*(1+'Calc base'!O100),2)-Y77)</f>
        <v/>
      </c>
      <c r="Y77" s="75" t="str">
        <f>IF($A77="","",CHOOSE('Calc riepilogo'!$B$2,'Calc valanga'!BA100,'Calc palla di neve'!BA100,'Calc personalizzata'!BA100))</f>
        <v/>
      </c>
      <c r="Z77" s="70" t="str">
        <f>IF($A77="","",ROUND(N(AA76)*(1+'Calc base'!P100),2)-AA77)</f>
        <v/>
      </c>
      <c r="AA77" s="75" t="str">
        <f>IF($A77="","",CHOOSE('Calc riepilogo'!$B$2,'Calc valanga'!BB100,'Calc palla di neve'!BB100,'Calc personalizzata'!BB100))</f>
        <v/>
      </c>
      <c r="AB77" s="70" t="str">
        <f>IF($A77="","",ROUND(N(AC76)*(1+'Calc base'!Q100),2)-AC77)</f>
        <v/>
      </c>
      <c r="AC77" s="75" t="str">
        <f>IF($A77="","",CHOOSE('Calc riepilogo'!$B$2,'Calc valanga'!BC100,'Calc palla di neve'!BC100,'Calc personalizzata'!BC100))</f>
        <v/>
      </c>
      <c r="AD77" s="70" t="str">
        <f>IF($A77="","",ROUND(N(AE76)*(1+'Calc base'!R100),2)-AE77)</f>
        <v/>
      </c>
      <c r="AE77" s="75" t="str">
        <f>IF($A77="","",CHOOSE('Calc riepilogo'!$B$2,'Calc valanga'!BD100,'Calc palla di neve'!BD100,'Calc personalizzata'!BD100))</f>
        <v/>
      </c>
      <c r="AF77" s="70" t="str">
        <f>IF($A77="","",ROUND(N(AG76)*(1+'Calc base'!S100),2)-AG77)</f>
        <v/>
      </c>
      <c r="AG77" s="75" t="str">
        <f>IF($A77="","",CHOOSE('Calc riepilogo'!$B$2,'Calc valanga'!BE100,'Calc palla di neve'!BE100,'Calc personalizzata'!BE100))</f>
        <v/>
      </c>
      <c r="AI77" t="n">
        <v>70</v>
      </c>
    </row>
    <row r="78">
      <c r="A78" s="68" t="str">
        <f>IF(71&gt;'Calc riepilogo'!$B$7,"",'Calc base'!$B101)</f>
        <v/>
      </c>
      <c r="B78" s="69" t="str">
        <f>IF($A78="","",'Calc base'!$C101)</f>
        <v/>
      </c>
      <c r="C78" s="69" t="str">
        <f>IF($A78="","",'Calc base'!$E101)</f>
        <v/>
      </c>
      <c r="D78" s="70" t="str">
        <f>IF($A78="","",J78+L78+N78+P78+R78+T78+V78+X78+Z78+AB78+AD78+AF78)</f>
        <v/>
      </c>
      <c r="E78" s="70" t="str">
        <f>IF($A78="","",CHOOSE('Calc riepilogo'!$B$2,'Calc valanga'!$H101,'Calc palla di neve'!$H101,'Calc personalizzata'!$H101))</f>
        <v/>
      </c>
      <c r="F78" s="71" t="str">
        <f>IF($A78="","",CHOOSE('Calc riepilogo'!$B$2,'Calc valanga'!$G101,'Calc palla di neve'!$G101,'Calc personalizzata'!$G101))</f>
        <v/>
      </c>
      <c r="G78" s="72" t="n"/>
      <c r="H78" s="73" t="n"/>
      <c r="I78" s="74" t="str">
        <f>IF($A78="","",TRIM(IF(AND(N(K77)&gt;0,N(K78)&lt;=0.004),"✓ "&amp;'Calc base'!C$6&amp;"   ","")&amp;IF(AND(N(M77)&gt;0,N(M78)&lt;=0.004),"✓ "&amp;'Calc base'!D$6&amp;"   ","")&amp;IF(AND(N(O77)&gt;0,N(O78)&lt;=0.004),"✓ "&amp;'Calc base'!E$6&amp;"   ","")&amp;IF(AND(N(Q77)&gt;0,N(Q78)&lt;=0.004),"✓ "&amp;'Calc base'!F$6&amp;"   ","")&amp;IF(AND(N(S77)&gt;0,N(S78)&lt;=0.004),"✓ "&amp;'Calc base'!G$6&amp;"   ","")&amp;IF(AND(N(U77)&gt;0,N(U78)&lt;=0.004),"✓ "&amp;'Calc base'!H$6&amp;"   ","")&amp;IF(AND(N(W77)&gt;0,N(W78)&lt;=0.004),"✓ "&amp;'Calc base'!I$6&amp;"   ","")&amp;IF(AND(N(Y77)&gt;0,N(Y78)&lt;=0.004),"✓ "&amp;'Calc base'!J$6&amp;"   ","")&amp;IF(AND(N(AA77)&gt;0,N(AA78)&lt;=0.004),"✓ "&amp;'Calc base'!K$6&amp;"   ","")&amp;IF(AND(N(AC77)&gt;0,N(AC78)&lt;=0.004),"✓ "&amp;'Calc base'!L$6&amp;"   ","")&amp;IF(AND(N(AE77)&gt;0,N(AE78)&lt;=0.004),"✓ "&amp;'Calc base'!M$6&amp;"   ","")&amp;IF(AND(N(AG77)&gt;0,N(AG78)&lt;=0.004),"✓ "&amp;'Calc base'!N$6&amp;"   ","")))</f>
        <v/>
      </c>
      <c r="J78" s="70" t="str">
        <f>IF($A78="","",ROUND(N(K77)*(1+'Calc base'!H101),2)-K78)</f>
        <v/>
      </c>
      <c r="K78" s="75" t="str">
        <f>IF($A78="","",CHOOSE('Calc riepilogo'!$B$2,'Calc valanga'!AT101,'Calc palla di neve'!AT101,'Calc personalizzata'!AT101))</f>
        <v/>
      </c>
      <c r="L78" s="70" t="str">
        <f>IF($A78="","",ROUND(N(M77)*(1+'Calc base'!I101),2)-M78)</f>
        <v/>
      </c>
      <c r="M78" s="75" t="str">
        <f>IF($A78="","",CHOOSE('Calc riepilogo'!$B$2,'Calc valanga'!AU101,'Calc palla di neve'!AU101,'Calc personalizzata'!AU101))</f>
        <v/>
      </c>
      <c r="N78" s="70" t="str">
        <f>IF($A78="","",ROUND(N(O77)*(1+'Calc base'!J101),2)-O78)</f>
        <v/>
      </c>
      <c r="O78" s="75" t="str">
        <f>IF($A78="","",CHOOSE('Calc riepilogo'!$B$2,'Calc valanga'!AV101,'Calc palla di neve'!AV101,'Calc personalizzata'!AV101))</f>
        <v/>
      </c>
      <c r="P78" s="70" t="str">
        <f>IF($A78="","",ROUND(N(Q77)*(1+'Calc base'!K101),2)-Q78)</f>
        <v/>
      </c>
      <c r="Q78" s="75" t="str">
        <f>IF($A78="","",CHOOSE('Calc riepilogo'!$B$2,'Calc valanga'!AW101,'Calc palla di neve'!AW101,'Calc personalizzata'!AW101))</f>
        <v/>
      </c>
      <c r="R78" s="70" t="str">
        <f>IF($A78="","",ROUND(N(S77)*(1+'Calc base'!L101),2)-S78)</f>
        <v/>
      </c>
      <c r="S78" s="75" t="str">
        <f>IF($A78="","",CHOOSE('Calc riepilogo'!$B$2,'Calc valanga'!AX101,'Calc palla di neve'!AX101,'Calc personalizzata'!AX101))</f>
        <v/>
      </c>
      <c r="T78" s="70" t="str">
        <f>IF($A78="","",ROUND(N(U77)*(1+'Calc base'!M101),2)-U78)</f>
        <v/>
      </c>
      <c r="U78" s="75" t="str">
        <f>IF($A78="","",CHOOSE('Calc riepilogo'!$B$2,'Calc valanga'!AY101,'Calc palla di neve'!AY101,'Calc personalizzata'!AY101))</f>
        <v/>
      </c>
      <c r="V78" s="70" t="str">
        <f>IF($A78="","",ROUND(N(W77)*(1+'Calc base'!N101),2)-W78)</f>
        <v/>
      </c>
      <c r="W78" s="75" t="str">
        <f>IF($A78="","",CHOOSE('Calc riepilogo'!$B$2,'Calc valanga'!AZ101,'Calc palla di neve'!AZ101,'Calc personalizzata'!AZ101))</f>
        <v/>
      </c>
      <c r="X78" s="70" t="str">
        <f>IF($A78="","",ROUND(N(Y77)*(1+'Calc base'!O101),2)-Y78)</f>
        <v/>
      </c>
      <c r="Y78" s="75" t="str">
        <f>IF($A78="","",CHOOSE('Calc riepilogo'!$B$2,'Calc valanga'!BA101,'Calc palla di neve'!BA101,'Calc personalizzata'!BA101))</f>
        <v/>
      </c>
      <c r="Z78" s="70" t="str">
        <f>IF($A78="","",ROUND(N(AA77)*(1+'Calc base'!P101),2)-AA78)</f>
        <v/>
      </c>
      <c r="AA78" s="75" t="str">
        <f>IF($A78="","",CHOOSE('Calc riepilogo'!$B$2,'Calc valanga'!BB101,'Calc palla di neve'!BB101,'Calc personalizzata'!BB101))</f>
        <v/>
      </c>
      <c r="AB78" s="70" t="str">
        <f>IF($A78="","",ROUND(N(AC77)*(1+'Calc base'!Q101),2)-AC78)</f>
        <v/>
      </c>
      <c r="AC78" s="75" t="str">
        <f>IF($A78="","",CHOOSE('Calc riepilogo'!$B$2,'Calc valanga'!BC101,'Calc palla di neve'!BC101,'Calc personalizzata'!BC101))</f>
        <v/>
      </c>
      <c r="AD78" s="70" t="str">
        <f>IF($A78="","",ROUND(N(AE77)*(1+'Calc base'!R101),2)-AE78)</f>
        <v/>
      </c>
      <c r="AE78" s="75" t="str">
        <f>IF($A78="","",CHOOSE('Calc riepilogo'!$B$2,'Calc valanga'!BD101,'Calc palla di neve'!BD101,'Calc personalizzata'!BD101))</f>
        <v/>
      </c>
      <c r="AF78" s="70" t="str">
        <f>IF($A78="","",ROUND(N(AG77)*(1+'Calc base'!S101),2)-AG78)</f>
        <v/>
      </c>
      <c r="AG78" s="75" t="str">
        <f>IF($A78="","",CHOOSE('Calc riepilogo'!$B$2,'Calc valanga'!BE101,'Calc palla di neve'!BE101,'Calc personalizzata'!BE101))</f>
        <v/>
      </c>
      <c r="AI78" t="n">
        <v>71</v>
      </c>
    </row>
    <row r="79">
      <c r="A79" s="68" t="str">
        <f>IF(72&gt;'Calc riepilogo'!$B$7,"",'Calc base'!$B102)</f>
        <v/>
      </c>
      <c r="B79" s="69" t="str">
        <f>IF($A79="","",'Calc base'!$C102)</f>
        <v/>
      </c>
      <c r="C79" s="69" t="str">
        <f>IF($A79="","",'Calc base'!$E102)</f>
        <v/>
      </c>
      <c r="D79" s="70" t="str">
        <f>IF($A79="","",J79+L79+N79+P79+R79+T79+V79+X79+Z79+AB79+AD79+AF79)</f>
        <v/>
      </c>
      <c r="E79" s="70" t="str">
        <f>IF($A79="","",CHOOSE('Calc riepilogo'!$B$2,'Calc valanga'!$H102,'Calc palla di neve'!$H102,'Calc personalizzata'!$H102))</f>
        <v/>
      </c>
      <c r="F79" s="71" t="str">
        <f>IF($A79="","",CHOOSE('Calc riepilogo'!$B$2,'Calc valanga'!$G102,'Calc palla di neve'!$G102,'Calc personalizzata'!$G102))</f>
        <v/>
      </c>
      <c r="G79" s="72" t="n"/>
      <c r="H79" s="73" t="n"/>
      <c r="I79" s="74" t="str">
        <f>IF($A79="","",TRIM(IF(AND(N(K78)&gt;0,N(K79)&lt;=0.004),"✓ "&amp;'Calc base'!C$6&amp;"   ","")&amp;IF(AND(N(M78)&gt;0,N(M79)&lt;=0.004),"✓ "&amp;'Calc base'!D$6&amp;"   ","")&amp;IF(AND(N(O78)&gt;0,N(O79)&lt;=0.004),"✓ "&amp;'Calc base'!E$6&amp;"   ","")&amp;IF(AND(N(Q78)&gt;0,N(Q79)&lt;=0.004),"✓ "&amp;'Calc base'!F$6&amp;"   ","")&amp;IF(AND(N(S78)&gt;0,N(S79)&lt;=0.004),"✓ "&amp;'Calc base'!G$6&amp;"   ","")&amp;IF(AND(N(U78)&gt;0,N(U79)&lt;=0.004),"✓ "&amp;'Calc base'!H$6&amp;"   ","")&amp;IF(AND(N(W78)&gt;0,N(W79)&lt;=0.004),"✓ "&amp;'Calc base'!I$6&amp;"   ","")&amp;IF(AND(N(Y78)&gt;0,N(Y79)&lt;=0.004),"✓ "&amp;'Calc base'!J$6&amp;"   ","")&amp;IF(AND(N(AA78)&gt;0,N(AA79)&lt;=0.004),"✓ "&amp;'Calc base'!K$6&amp;"   ","")&amp;IF(AND(N(AC78)&gt;0,N(AC79)&lt;=0.004),"✓ "&amp;'Calc base'!L$6&amp;"   ","")&amp;IF(AND(N(AE78)&gt;0,N(AE79)&lt;=0.004),"✓ "&amp;'Calc base'!M$6&amp;"   ","")&amp;IF(AND(N(AG78)&gt;0,N(AG79)&lt;=0.004),"✓ "&amp;'Calc base'!N$6&amp;"   ","")))</f>
        <v/>
      </c>
      <c r="J79" s="70" t="str">
        <f>IF($A79="","",ROUND(N(K78)*(1+'Calc base'!H102),2)-K79)</f>
        <v/>
      </c>
      <c r="K79" s="75" t="str">
        <f>IF($A79="","",CHOOSE('Calc riepilogo'!$B$2,'Calc valanga'!AT102,'Calc palla di neve'!AT102,'Calc personalizzata'!AT102))</f>
        <v/>
      </c>
      <c r="L79" s="70" t="str">
        <f>IF($A79="","",ROUND(N(M78)*(1+'Calc base'!I102),2)-M79)</f>
        <v/>
      </c>
      <c r="M79" s="75" t="str">
        <f>IF($A79="","",CHOOSE('Calc riepilogo'!$B$2,'Calc valanga'!AU102,'Calc palla di neve'!AU102,'Calc personalizzata'!AU102))</f>
        <v/>
      </c>
      <c r="N79" s="70" t="str">
        <f>IF($A79="","",ROUND(N(O78)*(1+'Calc base'!J102),2)-O79)</f>
        <v/>
      </c>
      <c r="O79" s="75" t="str">
        <f>IF($A79="","",CHOOSE('Calc riepilogo'!$B$2,'Calc valanga'!AV102,'Calc palla di neve'!AV102,'Calc personalizzata'!AV102))</f>
        <v/>
      </c>
      <c r="P79" s="70" t="str">
        <f>IF($A79="","",ROUND(N(Q78)*(1+'Calc base'!K102),2)-Q79)</f>
        <v/>
      </c>
      <c r="Q79" s="75" t="str">
        <f>IF($A79="","",CHOOSE('Calc riepilogo'!$B$2,'Calc valanga'!AW102,'Calc palla di neve'!AW102,'Calc personalizzata'!AW102))</f>
        <v/>
      </c>
      <c r="R79" s="70" t="str">
        <f>IF($A79="","",ROUND(N(S78)*(1+'Calc base'!L102),2)-S79)</f>
        <v/>
      </c>
      <c r="S79" s="75" t="str">
        <f>IF($A79="","",CHOOSE('Calc riepilogo'!$B$2,'Calc valanga'!AX102,'Calc palla di neve'!AX102,'Calc personalizzata'!AX102))</f>
        <v/>
      </c>
      <c r="T79" s="70" t="str">
        <f>IF($A79="","",ROUND(N(U78)*(1+'Calc base'!M102),2)-U79)</f>
        <v/>
      </c>
      <c r="U79" s="75" t="str">
        <f>IF($A79="","",CHOOSE('Calc riepilogo'!$B$2,'Calc valanga'!AY102,'Calc palla di neve'!AY102,'Calc personalizzata'!AY102))</f>
        <v/>
      </c>
      <c r="V79" s="70" t="str">
        <f>IF($A79="","",ROUND(N(W78)*(1+'Calc base'!N102),2)-W79)</f>
        <v/>
      </c>
      <c r="W79" s="75" t="str">
        <f>IF($A79="","",CHOOSE('Calc riepilogo'!$B$2,'Calc valanga'!AZ102,'Calc palla di neve'!AZ102,'Calc personalizzata'!AZ102))</f>
        <v/>
      </c>
      <c r="X79" s="70" t="str">
        <f>IF($A79="","",ROUND(N(Y78)*(1+'Calc base'!O102),2)-Y79)</f>
        <v/>
      </c>
      <c r="Y79" s="75" t="str">
        <f>IF($A79="","",CHOOSE('Calc riepilogo'!$B$2,'Calc valanga'!BA102,'Calc palla di neve'!BA102,'Calc personalizzata'!BA102))</f>
        <v/>
      </c>
      <c r="Z79" s="70" t="str">
        <f>IF($A79="","",ROUND(N(AA78)*(1+'Calc base'!P102),2)-AA79)</f>
        <v/>
      </c>
      <c r="AA79" s="75" t="str">
        <f>IF($A79="","",CHOOSE('Calc riepilogo'!$B$2,'Calc valanga'!BB102,'Calc palla di neve'!BB102,'Calc personalizzata'!BB102))</f>
        <v/>
      </c>
      <c r="AB79" s="70" t="str">
        <f>IF($A79="","",ROUND(N(AC78)*(1+'Calc base'!Q102),2)-AC79)</f>
        <v/>
      </c>
      <c r="AC79" s="75" t="str">
        <f>IF($A79="","",CHOOSE('Calc riepilogo'!$B$2,'Calc valanga'!BC102,'Calc palla di neve'!BC102,'Calc personalizzata'!BC102))</f>
        <v/>
      </c>
      <c r="AD79" s="70" t="str">
        <f>IF($A79="","",ROUND(N(AE78)*(1+'Calc base'!R102),2)-AE79)</f>
        <v/>
      </c>
      <c r="AE79" s="75" t="str">
        <f>IF($A79="","",CHOOSE('Calc riepilogo'!$B$2,'Calc valanga'!BD102,'Calc palla di neve'!BD102,'Calc personalizzata'!BD102))</f>
        <v/>
      </c>
      <c r="AF79" s="70" t="str">
        <f>IF($A79="","",ROUND(N(AG78)*(1+'Calc base'!S102),2)-AG79)</f>
        <v/>
      </c>
      <c r="AG79" s="75" t="str">
        <f>IF($A79="","",CHOOSE('Calc riepilogo'!$B$2,'Calc valanga'!BE102,'Calc palla di neve'!BE102,'Calc personalizzata'!BE102))</f>
        <v/>
      </c>
      <c r="AI79" t="n">
        <v>72</v>
      </c>
    </row>
    <row r="80">
      <c r="A80" s="68" t="str">
        <f>IF(73&gt;'Calc riepilogo'!$B$7,"",'Calc base'!$B103)</f>
        <v/>
      </c>
      <c r="B80" s="69" t="str">
        <f>IF($A80="","",'Calc base'!$C103)</f>
        <v/>
      </c>
      <c r="C80" s="69" t="str">
        <f>IF($A80="","",'Calc base'!$E103)</f>
        <v/>
      </c>
      <c r="D80" s="70" t="str">
        <f>IF($A80="","",J80+L80+N80+P80+R80+T80+V80+X80+Z80+AB80+AD80+AF80)</f>
        <v/>
      </c>
      <c r="E80" s="70" t="str">
        <f>IF($A80="","",CHOOSE('Calc riepilogo'!$B$2,'Calc valanga'!$H103,'Calc palla di neve'!$H103,'Calc personalizzata'!$H103))</f>
        <v/>
      </c>
      <c r="F80" s="71" t="str">
        <f>IF($A80="","",CHOOSE('Calc riepilogo'!$B$2,'Calc valanga'!$G103,'Calc palla di neve'!$G103,'Calc personalizzata'!$G103))</f>
        <v/>
      </c>
      <c r="G80" s="72" t="n"/>
      <c r="H80" s="73" t="n"/>
      <c r="I80" s="74" t="str">
        <f>IF($A80="","",TRIM(IF(AND(N(K79)&gt;0,N(K80)&lt;=0.004),"✓ "&amp;'Calc base'!C$6&amp;"   ","")&amp;IF(AND(N(M79)&gt;0,N(M80)&lt;=0.004),"✓ "&amp;'Calc base'!D$6&amp;"   ","")&amp;IF(AND(N(O79)&gt;0,N(O80)&lt;=0.004),"✓ "&amp;'Calc base'!E$6&amp;"   ","")&amp;IF(AND(N(Q79)&gt;0,N(Q80)&lt;=0.004),"✓ "&amp;'Calc base'!F$6&amp;"   ","")&amp;IF(AND(N(S79)&gt;0,N(S80)&lt;=0.004),"✓ "&amp;'Calc base'!G$6&amp;"   ","")&amp;IF(AND(N(U79)&gt;0,N(U80)&lt;=0.004),"✓ "&amp;'Calc base'!H$6&amp;"   ","")&amp;IF(AND(N(W79)&gt;0,N(W80)&lt;=0.004),"✓ "&amp;'Calc base'!I$6&amp;"   ","")&amp;IF(AND(N(Y79)&gt;0,N(Y80)&lt;=0.004),"✓ "&amp;'Calc base'!J$6&amp;"   ","")&amp;IF(AND(N(AA79)&gt;0,N(AA80)&lt;=0.004),"✓ "&amp;'Calc base'!K$6&amp;"   ","")&amp;IF(AND(N(AC79)&gt;0,N(AC80)&lt;=0.004),"✓ "&amp;'Calc base'!L$6&amp;"   ","")&amp;IF(AND(N(AE79)&gt;0,N(AE80)&lt;=0.004),"✓ "&amp;'Calc base'!M$6&amp;"   ","")&amp;IF(AND(N(AG79)&gt;0,N(AG80)&lt;=0.004),"✓ "&amp;'Calc base'!N$6&amp;"   ","")))</f>
        <v/>
      </c>
      <c r="J80" s="70" t="str">
        <f>IF($A80="","",ROUND(N(K79)*(1+'Calc base'!H103),2)-K80)</f>
        <v/>
      </c>
      <c r="K80" s="75" t="str">
        <f>IF($A80="","",CHOOSE('Calc riepilogo'!$B$2,'Calc valanga'!AT103,'Calc palla di neve'!AT103,'Calc personalizzata'!AT103))</f>
        <v/>
      </c>
      <c r="L80" s="70" t="str">
        <f>IF($A80="","",ROUND(N(M79)*(1+'Calc base'!I103),2)-M80)</f>
        <v/>
      </c>
      <c r="M80" s="75" t="str">
        <f>IF($A80="","",CHOOSE('Calc riepilogo'!$B$2,'Calc valanga'!AU103,'Calc palla di neve'!AU103,'Calc personalizzata'!AU103))</f>
        <v/>
      </c>
      <c r="N80" s="70" t="str">
        <f>IF($A80="","",ROUND(N(O79)*(1+'Calc base'!J103),2)-O80)</f>
        <v/>
      </c>
      <c r="O80" s="75" t="str">
        <f>IF($A80="","",CHOOSE('Calc riepilogo'!$B$2,'Calc valanga'!AV103,'Calc palla di neve'!AV103,'Calc personalizzata'!AV103))</f>
        <v/>
      </c>
      <c r="P80" s="70" t="str">
        <f>IF($A80="","",ROUND(N(Q79)*(1+'Calc base'!K103),2)-Q80)</f>
        <v/>
      </c>
      <c r="Q80" s="75" t="str">
        <f>IF($A80="","",CHOOSE('Calc riepilogo'!$B$2,'Calc valanga'!AW103,'Calc palla di neve'!AW103,'Calc personalizzata'!AW103))</f>
        <v/>
      </c>
      <c r="R80" s="70" t="str">
        <f>IF($A80="","",ROUND(N(S79)*(1+'Calc base'!L103),2)-S80)</f>
        <v/>
      </c>
      <c r="S80" s="75" t="str">
        <f>IF($A80="","",CHOOSE('Calc riepilogo'!$B$2,'Calc valanga'!AX103,'Calc palla di neve'!AX103,'Calc personalizzata'!AX103))</f>
        <v/>
      </c>
      <c r="T80" s="70" t="str">
        <f>IF($A80="","",ROUND(N(U79)*(1+'Calc base'!M103),2)-U80)</f>
        <v/>
      </c>
      <c r="U80" s="75" t="str">
        <f>IF($A80="","",CHOOSE('Calc riepilogo'!$B$2,'Calc valanga'!AY103,'Calc palla di neve'!AY103,'Calc personalizzata'!AY103))</f>
        <v/>
      </c>
      <c r="V80" s="70" t="str">
        <f>IF($A80="","",ROUND(N(W79)*(1+'Calc base'!N103),2)-W80)</f>
        <v/>
      </c>
      <c r="W80" s="75" t="str">
        <f>IF($A80="","",CHOOSE('Calc riepilogo'!$B$2,'Calc valanga'!AZ103,'Calc palla di neve'!AZ103,'Calc personalizzata'!AZ103))</f>
        <v/>
      </c>
      <c r="X80" s="70" t="str">
        <f>IF($A80="","",ROUND(N(Y79)*(1+'Calc base'!O103),2)-Y80)</f>
        <v/>
      </c>
      <c r="Y80" s="75" t="str">
        <f>IF($A80="","",CHOOSE('Calc riepilogo'!$B$2,'Calc valanga'!BA103,'Calc palla di neve'!BA103,'Calc personalizzata'!BA103))</f>
        <v/>
      </c>
      <c r="Z80" s="70" t="str">
        <f>IF($A80="","",ROUND(N(AA79)*(1+'Calc base'!P103),2)-AA80)</f>
        <v/>
      </c>
      <c r="AA80" s="75" t="str">
        <f>IF($A80="","",CHOOSE('Calc riepilogo'!$B$2,'Calc valanga'!BB103,'Calc palla di neve'!BB103,'Calc personalizzata'!BB103))</f>
        <v/>
      </c>
      <c r="AB80" s="70" t="str">
        <f>IF($A80="","",ROUND(N(AC79)*(1+'Calc base'!Q103),2)-AC80)</f>
        <v/>
      </c>
      <c r="AC80" s="75" t="str">
        <f>IF($A80="","",CHOOSE('Calc riepilogo'!$B$2,'Calc valanga'!BC103,'Calc palla di neve'!BC103,'Calc personalizzata'!BC103))</f>
        <v/>
      </c>
      <c r="AD80" s="70" t="str">
        <f>IF($A80="","",ROUND(N(AE79)*(1+'Calc base'!R103),2)-AE80)</f>
        <v/>
      </c>
      <c r="AE80" s="75" t="str">
        <f>IF($A80="","",CHOOSE('Calc riepilogo'!$B$2,'Calc valanga'!BD103,'Calc palla di neve'!BD103,'Calc personalizzata'!BD103))</f>
        <v/>
      </c>
      <c r="AF80" s="70" t="str">
        <f>IF($A80="","",ROUND(N(AG79)*(1+'Calc base'!S103),2)-AG80)</f>
        <v/>
      </c>
      <c r="AG80" s="75" t="str">
        <f>IF($A80="","",CHOOSE('Calc riepilogo'!$B$2,'Calc valanga'!BE103,'Calc palla di neve'!BE103,'Calc personalizzata'!BE103))</f>
        <v/>
      </c>
      <c r="AI80" t="n">
        <v>73</v>
      </c>
    </row>
    <row r="81">
      <c r="A81" s="68" t="str">
        <f>IF(74&gt;'Calc riepilogo'!$B$7,"",'Calc base'!$B104)</f>
        <v/>
      </c>
      <c r="B81" s="69" t="str">
        <f>IF($A81="","",'Calc base'!$C104)</f>
        <v/>
      </c>
      <c r="C81" s="69" t="str">
        <f>IF($A81="","",'Calc base'!$E104)</f>
        <v/>
      </c>
      <c r="D81" s="70" t="str">
        <f>IF($A81="","",J81+L81+N81+P81+R81+T81+V81+X81+Z81+AB81+AD81+AF81)</f>
        <v/>
      </c>
      <c r="E81" s="70" t="str">
        <f>IF($A81="","",CHOOSE('Calc riepilogo'!$B$2,'Calc valanga'!$H104,'Calc palla di neve'!$H104,'Calc personalizzata'!$H104))</f>
        <v/>
      </c>
      <c r="F81" s="71" t="str">
        <f>IF($A81="","",CHOOSE('Calc riepilogo'!$B$2,'Calc valanga'!$G104,'Calc palla di neve'!$G104,'Calc personalizzata'!$G104))</f>
        <v/>
      </c>
      <c r="G81" s="72" t="n"/>
      <c r="H81" s="73" t="n"/>
      <c r="I81" s="74" t="str">
        <f>IF($A81="","",TRIM(IF(AND(N(K80)&gt;0,N(K81)&lt;=0.004),"✓ "&amp;'Calc base'!C$6&amp;"   ","")&amp;IF(AND(N(M80)&gt;0,N(M81)&lt;=0.004),"✓ "&amp;'Calc base'!D$6&amp;"   ","")&amp;IF(AND(N(O80)&gt;0,N(O81)&lt;=0.004),"✓ "&amp;'Calc base'!E$6&amp;"   ","")&amp;IF(AND(N(Q80)&gt;0,N(Q81)&lt;=0.004),"✓ "&amp;'Calc base'!F$6&amp;"   ","")&amp;IF(AND(N(S80)&gt;0,N(S81)&lt;=0.004),"✓ "&amp;'Calc base'!G$6&amp;"   ","")&amp;IF(AND(N(U80)&gt;0,N(U81)&lt;=0.004),"✓ "&amp;'Calc base'!H$6&amp;"   ","")&amp;IF(AND(N(W80)&gt;0,N(W81)&lt;=0.004),"✓ "&amp;'Calc base'!I$6&amp;"   ","")&amp;IF(AND(N(Y80)&gt;0,N(Y81)&lt;=0.004),"✓ "&amp;'Calc base'!J$6&amp;"   ","")&amp;IF(AND(N(AA80)&gt;0,N(AA81)&lt;=0.004),"✓ "&amp;'Calc base'!K$6&amp;"   ","")&amp;IF(AND(N(AC80)&gt;0,N(AC81)&lt;=0.004),"✓ "&amp;'Calc base'!L$6&amp;"   ","")&amp;IF(AND(N(AE80)&gt;0,N(AE81)&lt;=0.004),"✓ "&amp;'Calc base'!M$6&amp;"   ","")&amp;IF(AND(N(AG80)&gt;0,N(AG81)&lt;=0.004),"✓ "&amp;'Calc base'!N$6&amp;"   ","")))</f>
        <v/>
      </c>
      <c r="J81" s="70" t="str">
        <f>IF($A81="","",ROUND(N(K80)*(1+'Calc base'!H104),2)-K81)</f>
        <v/>
      </c>
      <c r="K81" s="75" t="str">
        <f>IF($A81="","",CHOOSE('Calc riepilogo'!$B$2,'Calc valanga'!AT104,'Calc palla di neve'!AT104,'Calc personalizzata'!AT104))</f>
        <v/>
      </c>
      <c r="L81" s="70" t="str">
        <f>IF($A81="","",ROUND(N(M80)*(1+'Calc base'!I104),2)-M81)</f>
        <v/>
      </c>
      <c r="M81" s="75" t="str">
        <f>IF($A81="","",CHOOSE('Calc riepilogo'!$B$2,'Calc valanga'!AU104,'Calc palla di neve'!AU104,'Calc personalizzata'!AU104))</f>
        <v/>
      </c>
      <c r="N81" s="70" t="str">
        <f>IF($A81="","",ROUND(N(O80)*(1+'Calc base'!J104),2)-O81)</f>
        <v/>
      </c>
      <c r="O81" s="75" t="str">
        <f>IF($A81="","",CHOOSE('Calc riepilogo'!$B$2,'Calc valanga'!AV104,'Calc palla di neve'!AV104,'Calc personalizzata'!AV104))</f>
        <v/>
      </c>
      <c r="P81" s="70" t="str">
        <f>IF($A81="","",ROUND(N(Q80)*(1+'Calc base'!K104),2)-Q81)</f>
        <v/>
      </c>
      <c r="Q81" s="75" t="str">
        <f>IF($A81="","",CHOOSE('Calc riepilogo'!$B$2,'Calc valanga'!AW104,'Calc palla di neve'!AW104,'Calc personalizzata'!AW104))</f>
        <v/>
      </c>
      <c r="R81" s="70" t="str">
        <f>IF($A81="","",ROUND(N(S80)*(1+'Calc base'!L104),2)-S81)</f>
        <v/>
      </c>
      <c r="S81" s="75" t="str">
        <f>IF($A81="","",CHOOSE('Calc riepilogo'!$B$2,'Calc valanga'!AX104,'Calc palla di neve'!AX104,'Calc personalizzata'!AX104))</f>
        <v/>
      </c>
      <c r="T81" s="70" t="str">
        <f>IF($A81="","",ROUND(N(U80)*(1+'Calc base'!M104),2)-U81)</f>
        <v/>
      </c>
      <c r="U81" s="75" t="str">
        <f>IF($A81="","",CHOOSE('Calc riepilogo'!$B$2,'Calc valanga'!AY104,'Calc palla di neve'!AY104,'Calc personalizzata'!AY104))</f>
        <v/>
      </c>
      <c r="V81" s="70" t="str">
        <f>IF($A81="","",ROUND(N(W80)*(1+'Calc base'!N104),2)-W81)</f>
        <v/>
      </c>
      <c r="W81" s="75" t="str">
        <f>IF($A81="","",CHOOSE('Calc riepilogo'!$B$2,'Calc valanga'!AZ104,'Calc palla di neve'!AZ104,'Calc personalizzata'!AZ104))</f>
        <v/>
      </c>
      <c r="X81" s="70" t="str">
        <f>IF($A81="","",ROUND(N(Y80)*(1+'Calc base'!O104),2)-Y81)</f>
        <v/>
      </c>
      <c r="Y81" s="75" t="str">
        <f>IF($A81="","",CHOOSE('Calc riepilogo'!$B$2,'Calc valanga'!BA104,'Calc palla di neve'!BA104,'Calc personalizzata'!BA104))</f>
        <v/>
      </c>
      <c r="Z81" s="70" t="str">
        <f>IF($A81="","",ROUND(N(AA80)*(1+'Calc base'!P104),2)-AA81)</f>
        <v/>
      </c>
      <c r="AA81" s="75" t="str">
        <f>IF($A81="","",CHOOSE('Calc riepilogo'!$B$2,'Calc valanga'!BB104,'Calc palla di neve'!BB104,'Calc personalizzata'!BB104))</f>
        <v/>
      </c>
      <c r="AB81" s="70" t="str">
        <f>IF($A81="","",ROUND(N(AC80)*(1+'Calc base'!Q104),2)-AC81)</f>
        <v/>
      </c>
      <c r="AC81" s="75" t="str">
        <f>IF($A81="","",CHOOSE('Calc riepilogo'!$B$2,'Calc valanga'!BC104,'Calc palla di neve'!BC104,'Calc personalizzata'!BC104))</f>
        <v/>
      </c>
      <c r="AD81" s="70" t="str">
        <f>IF($A81="","",ROUND(N(AE80)*(1+'Calc base'!R104),2)-AE81)</f>
        <v/>
      </c>
      <c r="AE81" s="75" t="str">
        <f>IF($A81="","",CHOOSE('Calc riepilogo'!$B$2,'Calc valanga'!BD104,'Calc palla di neve'!BD104,'Calc personalizzata'!BD104))</f>
        <v/>
      </c>
      <c r="AF81" s="70" t="str">
        <f>IF($A81="","",ROUND(N(AG80)*(1+'Calc base'!S104),2)-AG81)</f>
        <v/>
      </c>
      <c r="AG81" s="75" t="str">
        <f>IF($A81="","",CHOOSE('Calc riepilogo'!$B$2,'Calc valanga'!BE104,'Calc palla di neve'!BE104,'Calc personalizzata'!BE104))</f>
        <v/>
      </c>
      <c r="AI81" t="n">
        <v>74</v>
      </c>
    </row>
    <row r="82">
      <c r="A82" s="68" t="str">
        <f>IF(75&gt;'Calc riepilogo'!$B$7,"",'Calc base'!$B105)</f>
        <v/>
      </c>
      <c r="B82" s="69" t="str">
        <f>IF($A82="","",'Calc base'!$C105)</f>
        <v/>
      </c>
      <c r="C82" s="69" t="str">
        <f>IF($A82="","",'Calc base'!$E105)</f>
        <v/>
      </c>
      <c r="D82" s="70" t="str">
        <f>IF($A82="","",J82+L82+N82+P82+R82+T82+V82+X82+Z82+AB82+AD82+AF82)</f>
        <v/>
      </c>
      <c r="E82" s="70" t="str">
        <f>IF($A82="","",CHOOSE('Calc riepilogo'!$B$2,'Calc valanga'!$H105,'Calc palla di neve'!$H105,'Calc personalizzata'!$H105))</f>
        <v/>
      </c>
      <c r="F82" s="71" t="str">
        <f>IF($A82="","",CHOOSE('Calc riepilogo'!$B$2,'Calc valanga'!$G105,'Calc palla di neve'!$G105,'Calc personalizzata'!$G105))</f>
        <v/>
      </c>
      <c r="G82" s="72" t="n"/>
      <c r="H82" s="73" t="n"/>
      <c r="I82" s="74" t="str">
        <f>IF($A82="","",TRIM(IF(AND(N(K81)&gt;0,N(K82)&lt;=0.004),"✓ "&amp;'Calc base'!C$6&amp;"   ","")&amp;IF(AND(N(M81)&gt;0,N(M82)&lt;=0.004),"✓ "&amp;'Calc base'!D$6&amp;"   ","")&amp;IF(AND(N(O81)&gt;0,N(O82)&lt;=0.004),"✓ "&amp;'Calc base'!E$6&amp;"   ","")&amp;IF(AND(N(Q81)&gt;0,N(Q82)&lt;=0.004),"✓ "&amp;'Calc base'!F$6&amp;"   ","")&amp;IF(AND(N(S81)&gt;0,N(S82)&lt;=0.004),"✓ "&amp;'Calc base'!G$6&amp;"   ","")&amp;IF(AND(N(U81)&gt;0,N(U82)&lt;=0.004),"✓ "&amp;'Calc base'!H$6&amp;"   ","")&amp;IF(AND(N(W81)&gt;0,N(W82)&lt;=0.004),"✓ "&amp;'Calc base'!I$6&amp;"   ","")&amp;IF(AND(N(Y81)&gt;0,N(Y82)&lt;=0.004),"✓ "&amp;'Calc base'!J$6&amp;"   ","")&amp;IF(AND(N(AA81)&gt;0,N(AA82)&lt;=0.004),"✓ "&amp;'Calc base'!K$6&amp;"   ","")&amp;IF(AND(N(AC81)&gt;0,N(AC82)&lt;=0.004),"✓ "&amp;'Calc base'!L$6&amp;"   ","")&amp;IF(AND(N(AE81)&gt;0,N(AE82)&lt;=0.004),"✓ "&amp;'Calc base'!M$6&amp;"   ","")&amp;IF(AND(N(AG81)&gt;0,N(AG82)&lt;=0.004),"✓ "&amp;'Calc base'!N$6&amp;"   ","")))</f>
        <v/>
      </c>
      <c r="J82" s="70" t="str">
        <f>IF($A82="","",ROUND(N(K81)*(1+'Calc base'!H105),2)-K82)</f>
        <v/>
      </c>
      <c r="K82" s="75" t="str">
        <f>IF($A82="","",CHOOSE('Calc riepilogo'!$B$2,'Calc valanga'!AT105,'Calc palla di neve'!AT105,'Calc personalizzata'!AT105))</f>
        <v/>
      </c>
      <c r="L82" s="70" t="str">
        <f>IF($A82="","",ROUND(N(M81)*(1+'Calc base'!I105),2)-M82)</f>
        <v/>
      </c>
      <c r="M82" s="75" t="str">
        <f>IF($A82="","",CHOOSE('Calc riepilogo'!$B$2,'Calc valanga'!AU105,'Calc palla di neve'!AU105,'Calc personalizzata'!AU105))</f>
        <v/>
      </c>
      <c r="N82" s="70" t="str">
        <f>IF($A82="","",ROUND(N(O81)*(1+'Calc base'!J105),2)-O82)</f>
        <v/>
      </c>
      <c r="O82" s="75" t="str">
        <f>IF($A82="","",CHOOSE('Calc riepilogo'!$B$2,'Calc valanga'!AV105,'Calc palla di neve'!AV105,'Calc personalizzata'!AV105))</f>
        <v/>
      </c>
      <c r="P82" s="70" t="str">
        <f>IF($A82="","",ROUND(N(Q81)*(1+'Calc base'!K105),2)-Q82)</f>
        <v/>
      </c>
      <c r="Q82" s="75" t="str">
        <f>IF($A82="","",CHOOSE('Calc riepilogo'!$B$2,'Calc valanga'!AW105,'Calc palla di neve'!AW105,'Calc personalizzata'!AW105))</f>
        <v/>
      </c>
      <c r="R82" s="70" t="str">
        <f>IF($A82="","",ROUND(N(S81)*(1+'Calc base'!L105),2)-S82)</f>
        <v/>
      </c>
      <c r="S82" s="75" t="str">
        <f>IF($A82="","",CHOOSE('Calc riepilogo'!$B$2,'Calc valanga'!AX105,'Calc palla di neve'!AX105,'Calc personalizzata'!AX105))</f>
        <v/>
      </c>
      <c r="T82" s="70" t="str">
        <f>IF($A82="","",ROUND(N(U81)*(1+'Calc base'!M105),2)-U82)</f>
        <v/>
      </c>
      <c r="U82" s="75" t="str">
        <f>IF($A82="","",CHOOSE('Calc riepilogo'!$B$2,'Calc valanga'!AY105,'Calc palla di neve'!AY105,'Calc personalizzata'!AY105))</f>
        <v/>
      </c>
      <c r="V82" s="70" t="str">
        <f>IF($A82="","",ROUND(N(W81)*(1+'Calc base'!N105),2)-W82)</f>
        <v/>
      </c>
      <c r="W82" s="75" t="str">
        <f>IF($A82="","",CHOOSE('Calc riepilogo'!$B$2,'Calc valanga'!AZ105,'Calc palla di neve'!AZ105,'Calc personalizzata'!AZ105))</f>
        <v/>
      </c>
      <c r="X82" s="70" t="str">
        <f>IF($A82="","",ROUND(N(Y81)*(1+'Calc base'!O105),2)-Y82)</f>
        <v/>
      </c>
      <c r="Y82" s="75" t="str">
        <f>IF($A82="","",CHOOSE('Calc riepilogo'!$B$2,'Calc valanga'!BA105,'Calc palla di neve'!BA105,'Calc personalizzata'!BA105))</f>
        <v/>
      </c>
      <c r="Z82" s="70" t="str">
        <f>IF($A82="","",ROUND(N(AA81)*(1+'Calc base'!P105),2)-AA82)</f>
        <v/>
      </c>
      <c r="AA82" s="75" t="str">
        <f>IF($A82="","",CHOOSE('Calc riepilogo'!$B$2,'Calc valanga'!BB105,'Calc palla di neve'!BB105,'Calc personalizzata'!BB105))</f>
        <v/>
      </c>
      <c r="AB82" s="70" t="str">
        <f>IF($A82="","",ROUND(N(AC81)*(1+'Calc base'!Q105),2)-AC82)</f>
        <v/>
      </c>
      <c r="AC82" s="75" t="str">
        <f>IF($A82="","",CHOOSE('Calc riepilogo'!$B$2,'Calc valanga'!BC105,'Calc palla di neve'!BC105,'Calc personalizzata'!BC105))</f>
        <v/>
      </c>
      <c r="AD82" s="70" t="str">
        <f>IF($A82="","",ROUND(N(AE81)*(1+'Calc base'!R105),2)-AE82)</f>
        <v/>
      </c>
      <c r="AE82" s="75" t="str">
        <f>IF($A82="","",CHOOSE('Calc riepilogo'!$B$2,'Calc valanga'!BD105,'Calc palla di neve'!BD105,'Calc personalizzata'!BD105))</f>
        <v/>
      </c>
      <c r="AF82" s="70" t="str">
        <f>IF($A82="","",ROUND(N(AG81)*(1+'Calc base'!S105),2)-AG82)</f>
        <v/>
      </c>
      <c r="AG82" s="75" t="str">
        <f>IF($A82="","",CHOOSE('Calc riepilogo'!$B$2,'Calc valanga'!BE105,'Calc palla di neve'!BE105,'Calc personalizzata'!BE105))</f>
        <v/>
      </c>
      <c r="AI82" t="n">
        <v>75</v>
      </c>
    </row>
    <row r="83">
      <c r="A83" s="68" t="str">
        <f>IF(76&gt;'Calc riepilogo'!$B$7,"",'Calc base'!$B106)</f>
        <v/>
      </c>
      <c r="B83" s="69" t="str">
        <f>IF($A83="","",'Calc base'!$C106)</f>
        <v/>
      </c>
      <c r="C83" s="69" t="str">
        <f>IF($A83="","",'Calc base'!$E106)</f>
        <v/>
      </c>
      <c r="D83" s="70" t="str">
        <f>IF($A83="","",J83+L83+N83+P83+R83+T83+V83+X83+Z83+AB83+AD83+AF83)</f>
        <v/>
      </c>
      <c r="E83" s="70" t="str">
        <f>IF($A83="","",CHOOSE('Calc riepilogo'!$B$2,'Calc valanga'!$H106,'Calc palla di neve'!$H106,'Calc personalizzata'!$H106))</f>
        <v/>
      </c>
      <c r="F83" s="71" t="str">
        <f>IF($A83="","",CHOOSE('Calc riepilogo'!$B$2,'Calc valanga'!$G106,'Calc palla di neve'!$G106,'Calc personalizzata'!$G106))</f>
        <v/>
      </c>
      <c r="G83" s="72" t="n"/>
      <c r="H83" s="73" t="n"/>
      <c r="I83" s="74" t="str">
        <f>IF($A83="","",TRIM(IF(AND(N(K82)&gt;0,N(K83)&lt;=0.004),"✓ "&amp;'Calc base'!C$6&amp;"   ","")&amp;IF(AND(N(M82)&gt;0,N(M83)&lt;=0.004),"✓ "&amp;'Calc base'!D$6&amp;"   ","")&amp;IF(AND(N(O82)&gt;0,N(O83)&lt;=0.004),"✓ "&amp;'Calc base'!E$6&amp;"   ","")&amp;IF(AND(N(Q82)&gt;0,N(Q83)&lt;=0.004),"✓ "&amp;'Calc base'!F$6&amp;"   ","")&amp;IF(AND(N(S82)&gt;0,N(S83)&lt;=0.004),"✓ "&amp;'Calc base'!G$6&amp;"   ","")&amp;IF(AND(N(U82)&gt;0,N(U83)&lt;=0.004),"✓ "&amp;'Calc base'!H$6&amp;"   ","")&amp;IF(AND(N(W82)&gt;0,N(W83)&lt;=0.004),"✓ "&amp;'Calc base'!I$6&amp;"   ","")&amp;IF(AND(N(Y82)&gt;0,N(Y83)&lt;=0.004),"✓ "&amp;'Calc base'!J$6&amp;"   ","")&amp;IF(AND(N(AA82)&gt;0,N(AA83)&lt;=0.004),"✓ "&amp;'Calc base'!K$6&amp;"   ","")&amp;IF(AND(N(AC82)&gt;0,N(AC83)&lt;=0.004),"✓ "&amp;'Calc base'!L$6&amp;"   ","")&amp;IF(AND(N(AE82)&gt;0,N(AE83)&lt;=0.004),"✓ "&amp;'Calc base'!M$6&amp;"   ","")&amp;IF(AND(N(AG82)&gt;0,N(AG83)&lt;=0.004),"✓ "&amp;'Calc base'!N$6&amp;"   ","")))</f>
        <v/>
      </c>
      <c r="J83" s="70" t="str">
        <f>IF($A83="","",ROUND(N(K82)*(1+'Calc base'!H106),2)-K83)</f>
        <v/>
      </c>
      <c r="K83" s="75" t="str">
        <f>IF($A83="","",CHOOSE('Calc riepilogo'!$B$2,'Calc valanga'!AT106,'Calc palla di neve'!AT106,'Calc personalizzata'!AT106))</f>
        <v/>
      </c>
      <c r="L83" s="70" t="str">
        <f>IF($A83="","",ROUND(N(M82)*(1+'Calc base'!I106),2)-M83)</f>
        <v/>
      </c>
      <c r="M83" s="75" t="str">
        <f>IF($A83="","",CHOOSE('Calc riepilogo'!$B$2,'Calc valanga'!AU106,'Calc palla di neve'!AU106,'Calc personalizzata'!AU106))</f>
        <v/>
      </c>
      <c r="N83" s="70" t="str">
        <f>IF($A83="","",ROUND(N(O82)*(1+'Calc base'!J106),2)-O83)</f>
        <v/>
      </c>
      <c r="O83" s="75" t="str">
        <f>IF($A83="","",CHOOSE('Calc riepilogo'!$B$2,'Calc valanga'!AV106,'Calc palla di neve'!AV106,'Calc personalizzata'!AV106))</f>
        <v/>
      </c>
      <c r="P83" s="70" t="str">
        <f>IF($A83="","",ROUND(N(Q82)*(1+'Calc base'!K106),2)-Q83)</f>
        <v/>
      </c>
      <c r="Q83" s="75" t="str">
        <f>IF($A83="","",CHOOSE('Calc riepilogo'!$B$2,'Calc valanga'!AW106,'Calc palla di neve'!AW106,'Calc personalizzata'!AW106))</f>
        <v/>
      </c>
      <c r="R83" s="70" t="str">
        <f>IF($A83="","",ROUND(N(S82)*(1+'Calc base'!L106),2)-S83)</f>
        <v/>
      </c>
      <c r="S83" s="75" t="str">
        <f>IF($A83="","",CHOOSE('Calc riepilogo'!$B$2,'Calc valanga'!AX106,'Calc palla di neve'!AX106,'Calc personalizzata'!AX106))</f>
        <v/>
      </c>
      <c r="T83" s="70" t="str">
        <f>IF($A83="","",ROUND(N(U82)*(1+'Calc base'!M106),2)-U83)</f>
        <v/>
      </c>
      <c r="U83" s="75" t="str">
        <f>IF($A83="","",CHOOSE('Calc riepilogo'!$B$2,'Calc valanga'!AY106,'Calc palla di neve'!AY106,'Calc personalizzata'!AY106))</f>
        <v/>
      </c>
      <c r="V83" s="70" t="str">
        <f>IF($A83="","",ROUND(N(W82)*(1+'Calc base'!N106),2)-W83)</f>
        <v/>
      </c>
      <c r="W83" s="75" t="str">
        <f>IF($A83="","",CHOOSE('Calc riepilogo'!$B$2,'Calc valanga'!AZ106,'Calc palla di neve'!AZ106,'Calc personalizzata'!AZ106))</f>
        <v/>
      </c>
      <c r="X83" s="70" t="str">
        <f>IF($A83="","",ROUND(N(Y82)*(1+'Calc base'!O106),2)-Y83)</f>
        <v/>
      </c>
      <c r="Y83" s="75" t="str">
        <f>IF($A83="","",CHOOSE('Calc riepilogo'!$B$2,'Calc valanga'!BA106,'Calc palla di neve'!BA106,'Calc personalizzata'!BA106))</f>
        <v/>
      </c>
      <c r="Z83" s="70" t="str">
        <f>IF($A83="","",ROUND(N(AA82)*(1+'Calc base'!P106),2)-AA83)</f>
        <v/>
      </c>
      <c r="AA83" s="75" t="str">
        <f>IF($A83="","",CHOOSE('Calc riepilogo'!$B$2,'Calc valanga'!BB106,'Calc palla di neve'!BB106,'Calc personalizzata'!BB106))</f>
        <v/>
      </c>
      <c r="AB83" s="70" t="str">
        <f>IF($A83="","",ROUND(N(AC82)*(1+'Calc base'!Q106),2)-AC83)</f>
        <v/>
      </c>
      <c r="AC83" s="75" t="str">
        <f>IF($A83="","",CHOOSE('Calc riepilogo'!$B$2,'Calc valanga'!BC106,'Calc palla di neve'!BC106,'Calc personalizzata'!BC106))</f>
        <v/>
      </c>
      <c r="AD83" s="70" t="str">
        <f>IF($A83="","",ROUND(N(AE82)*(1+'Calc base'!R106),2)-AE83)</f>
        <v/>
      </c>
      <c r="AE83" s="75" t="str">
        <f>IF($A83="","",CHOOSE('Calc riepilogo'!$B$2,'Calc valanga'!BD106,'Calc palla di neve'!BD106,'Calc personalizzata'!BD106))</f>
        <v/>
      </c>
      <c r="AF83" s="70" t="str">
        <f>IF($A83="","",ROUND(N(AG82)*(1+'Calc base'!S106),2)-AG83)</f>
        <v/>
      </c>
      <c r="AG83" s="75" t="str">
        <f>IF($A83="","",CHOOSE('Calc riepilogo'!$B$2,'Calc valanga'!BE106,'Calc palla di neve'!BE106,'Calc personalizzata'!BE106))</f>
        <v/>
      </c>
      <c r="AI83" t="n">
        <v>76</v>
      </c>
    </row>
    <row r="84">
      <c r="A84" s="68" t="str">
        <f>IF(77&gt;'Calc riepilogo'!$B$7,"",'Calc base'!$B107)</f>
        <v/>
      </c>
      <c r="B84" s="69" t="str">
        <f>IF($A84="","",'Calc base'!$C107)</f>
        <v/>
      </c>
      <c r="C84" s="69" t="str">
        <f>IF($A84="","",'Calc base'!$E107)</f>
        <v/>
      </c>
      <c r="D84" s="70" t="str">
        <f>IF($A84="","",J84+L84+N84+P84+R84+T84+V84+X84+Z84+AB84+AD84+AF84)</f>
        <v/>
      </c>
      <c r="E84" s="70" t="str">
        <f>IF($A84="","",CHOOSE('Calc riepilogo'!$B$2,'Calc valanga'!$H107,'Calc palla di neve'!$H107,'Calc personalizzata'!$H107))</f>
        <v/>
      </c>
      <c r="F84" s="71" t="str">
        <f>IF($A84="","",CHOOSE('Calc riepilogo'!$B$2,'Calc valanga'!$G107,'Calc palla di neve'!$G107,'Calc personalizzata'!$G107))</f>
        <v/>
      </c>
      <c r="G84" s="72" t="n"/>
      <c r="H84" s="73" t="n"/>
      <c r="I84" s="74" t="str">
        <f>IF($A84="","",TRIM(IF(AND(N(K83)&gt;0,N(K84)&lt;=0.004),"✓ "&amp;'Calc base'!C$6&amp;"   ","")&amp;IF(AND(N(M83)&gt;0,N(M84)&lt;=0.004),"✓ "&amp;'Calc base'!D$6&amp;"   ","")&amp;IF(AND(N(O83)&gt;0,N(O84)&lt;=0.004),"✓ "&amp;'Calc base'!E$6&amp;"   ","")&amp;IF(AND(N(Q83)&gt;0,N(Q84)&lt;=0.004),"✓ "&amp;'Calc base'!F$6&amp;"   ","")&amp;IF(AND(N(S83)&gt;0,N(S84)&lt;=0.004),"✓ "&amp;'Calc base'!G$6&amp;"   ","")&amp;IF(AND(N(U83)&gt;0,N(U84)&lt;=0.004),"✓ "&amp;'Calc base'!H$6&amp;"   ","")&amp;IF(AND(N(W83)&gt;0,N(W84)&lt;=0.004),"✓ "&amp;'Calc base'!I$6&amp;"   ","")&amp;IF(AND(N(Y83)&gt;0,N(Y84)&lt;=0.004),"✓ "&amp;'Calc base'!J$6&amp;"   ","")&amp;IF(AND(N(AA83)&gt;0,N(AA84)&lt;=0.004),"✓ "&amp;'Calc base'!K$6&amp;"   ","")&amp;IF(AND(N(AC83)&gt;0,N(AC84)&lt;=0.004),"✓ "&amp;'Calc base'!L$6&amp;"   ","")&amp;IF(AND(N(AE83)&gt;0,N(AE84)&lt;=0.004),"✓ "&amp;'Calc base'!M$6&amp;"   ","")&amp;IF(AND(N(AG83)&gt;0,N(AG84)&lt;=0.004),"✓ "&amp;'Calc base'!N$6&amp;"   ","")))</f>
        <v/>
      </c>
      <c r="J84" s="70" t="str">
        <f>IF($A84="","",ROUND(N(K83)*(1+'Calc base'!H107),2)-K84)</f>
        <v/>
      </c>
      <c r="K84" s="75" t="str">
        <f>IF($A84="","",CHOOSE('Calc riepilogo'!$B$2,'Calc valanga'!AT107,'Calc palla di neve'!AT107,'Calc personalizzata'!AT107))</f>
        <v/>
      </c>
      <c r="L84" s="70" t="str">
        <f>IF($A84="","",ROUND(N(M83)*(1+'Calc base'!I107),2)-M84)</f>
        <v/>
      </c>
      <c r="M84" s="75" t="str">
        <f>IF($A84="","",CHOOSE('Calc riepilogo'!$B$2,'Calc valanga'!AU107,'Calc palla di neve'!AU107,'Calc personalizzata'!AU107))</f>
        <v/>
      </c>
      <c r="N84" s="70" t="str">
        <f>IF($A84="","",ROUND(N(O83)*(1+'Calc base'!J107),2)-O84)</f>
        <v/>
      </c>
      <c r="O84" s="75" t="str">
        <f>IF($A84="","",CHOOSE('Calc riepilogo'!$B$2,'Calc valanga'!AV107,'Calc palla di neve'!AV107,'Calc personalizzata'!AV107))</f>
        <v/>
      </c>
      <c r="P84" s="70" t="str">
        <f>IF($A84="","",ROUND(N(Q83)*(1+'Calc base'!K107),2)-Q84)</f>
        <v/>
      </c>
      <c r="Q84" s="75" t="str">
        <f>IF($A84="","",CHOOSE('Calc riepilogo'!$B$2,'Calc valanga'!AW107,'Calc palla di neve'!AW107,'Calc personalizzata'!AW107))</f>
        <v/>
      </c>
      <c r="R84" s="70" t="str">
        <f>IF($A84="","",ROUND(N(S83)*(1+'Calc base'!L107),2)-S84)</f>
        <v/>
      </c>
      <c r="S84" s="75" t="str">
        <f>IF($A84="","",CHOOSE('Calc riepilogo'!$B$2,'Calc valanga'!AX107,'Calc palla di neve'!AX107,'Calc personalizzata'!AX107))</f>
        <v/>
      </c>
      <c r="T84" s="70" t="str">
        <f>IF($A84="","",ROUND(N(U83)*(1+'Calc base'!M107),2)-U84)</f>
        <v/>
      </c>
      <c r="U84" s="75" t="str">
        <f>IF($A84="","",CHOOSE('Calc riepilogo'!$B$2,'Calc valanga'!AY107,'Calc palla di neve'!AY107,'Calc personalizzata'!AY107))</f>
        <v/>
      </c>
      <c r="V84" s="70" t="str">
        <f>IF($A84="","",ROUND(N(W83)*(1+'Calc base'!N107),2)-W84)</f>
        <v/>
      </c>
      <c r="W84" s="75" t="str">
        <f>IF($A84="","",CHOOSE('Calc riepilogo'!$B$2,'Calc valanga'!AZ107,'Calc palla di neve'!AZ107,'Calc personalizzata'!AZ107))</f>
        <v/>
      </c>
      <c r="X84" s="70" t="str">
        <f>IF($A84="","",ROUND(N(Y83)*(1+'Calc base'!O107),2)-Y84)</f>
        <v/>
      </c>
      <c r="Y84" s="75" t="str">
        <f>IF($A84="","",CHOOSE('Calc riepilogo'!$B$2,'Calc valanga'!BA107,'Calc palla di neve'!BA107,'Calc personalizzata'!BA107))</f>
        <v/>
      </c>
      <c r="Z84" s="70" t="str">
        <f>IF($A84="","",ROUND(N(AA83)*(1+'Calc base'!P107),2)-AA84)</f>
        <v/>
      </c>
      <c r="AA84" s="75" t="str">
        <f>IF($A84="","",CHOOSE('Calc riepilogo'!$B$2,'Calc valanga'!BB107,'Calc palla di neve'!BB107,'Calc personalizzata'!BB107))</f>
        <v/>
      </c>
      <c r="AB84" s="70" t="str">
        <f>IF($A84="","",ROUND(N(AC83)*(1+'Calc base'!Q107),2)-AC84)</f>
        <v/>
      </c>
      <c r="AC84" s="75" t="str">
        <f>IF($A84="","",CHOOSE('Calc riepilogo'!$B$2,'Calc valanga'!BC107,'Calc palla di neve'!BC107,'Calc personalizzata'!BC107))</f>
        <v/>
      </c>
      <c r="AD84" s="70" t="str">
        <f>IF($A84="","",ROUND(N(AE83)*(1+'Calc base'!R107),2)-AE84)</f>
        <v/>
      </c>
      <c r="AE84" s="75" t="str">
        <f>IF($A84="","",CHOOSE('Calc riepilogo'!$B$2,'Calc valanga'!BD107,'Calc palla di neve'!BD107,'Calc personalizzata'!BD107))</f>
        <v/>
      </c>
      <c r="AF84" s="70" t="str">
        <f>IF($A84="","",ROUND(N(AG83)*(1+'Calc base'!S107),2)-AG84)</f>
        <v/>
      </c>
      <c r="AG84" s="75" t="str">
        <f>IF($A84="","",CHOOSE('Calc riepilogo'!$B$2,'Calc valanga'!BE107,'Calc palla di neve'!BE107,'Calc personalizzata'!BE107))</f>
        <v/>
      </c>
      <c r="AI84" t="n">
        <v>77</v>
      </c>
    </row>
    <row r="85">
      <c r="A85" s="68" t="str">
        <f>IF(78&gt;'Calc riepilogo'!$B$7,"",'Calc base'!$B108)</f>
        <v/>
      </c>
      <c r="B85" s="69" t="str">
        <f>IF($A85="","",'Calc base'!$C108)</f>
        <v/>
      </c>
      <c r="C85" s="69" t="str">
        <f>IF($A85="","",'Calc base'!$E108)</f>
        <v/>
      </c>
      <c r="D85" s="70" t="str">
        <f>IF($A85="","",J85+L85+N85+P85+R85+T85+V85+X85+Z85+AB85+AD85+AF85)</f>
        <v/>
      </c>
      <c r="E85" s="70" t="str">
        <f>IF($A85="","",CHOOSE('Calc riepilogo'!$B$2,'Calc valanga'!$H108,'Calc palla di neve'!$H108,'Calc personalizzata'!$H108))</f>
        <v/>
      </c>
      <c r="F85" s="71" t="str">
        <f>IF($A85="","",CHOOSE('Calc riepilogo'!$B$2,'Calc valanga'!$G108,'Calc palla di neve'!$G108,'Calc personalizzata'!$G108))</f>
        <v/>
      </c>
      <c r="G85" s="72" t="n"/>
      <c r="H85" s="73" t="n"/>
      <c r="I85" s="74" t="str">
        <f>IF($A85="","",TRIM(IF(AND(N(K84)&gt;0,N(K85)&lt;=0.004),"✓ "&amp;'Calc base'!C$6&amp;"   ","")&amp;IF(AND(N(M84)&gt;0,N(M85)&lt;=0.004),"✓ "&amp;'Calc base'!D$6&amp;"   ","")&amp;IF(AND(N(O84)&gt;0,N(O85)&lt;=0.004),"✓ "&amp;'Calc base'!E$6&amp;"   ","")&amp;IF(AND(N(Q84)&gt;0,N(Q85)&lt;=0.004),"✓ "&amp;'Calc base'!F$6&amp;"   ","")&amp;IF(AND(N(S84)&gt;0,N(S85)&lt;=0.004),"✓ "&amp;'Calc base'!G$6&amp;"   ","")&amp;IF(AND(N(U84)&gt;0,N(U85)&lt;=0.004),"✓ "&amp;'Calc base'!H$6&amp;"   ","")&amp;IF(AND(N(W84)&gt;0,N(W85)&lt;=0.004),"✓ "&amp;'Calc base'!I$6&amp;"   ","")&amp;IF(AND(N(Y84)&gt;0,N(Y85)&lt;=0.004),"✓ "&amp;'Calc base'!J$6&amp;"   ","")&amp;IF(AND(N(AA84)&gt;0,N(AA85)&lt;=0.004),"✓ "&amp;'Calc base'!K$6&amp;"   ","")&amp;IF(AND(N(AC84)&gt;0,N(AC85)&lt;=0.004),"✓ "&amp;'Calc base'!L$6&amp;"   ","")&amp;IF(AND(N(AE84)&gt;0,N(AE85)&lt;=0.004),"✓ "&amp;'Calc base'!M$6&amp;"   ","")&amp;IF(AND(N(AG84)&gt;0,N(AG85)&lt;=0.004),"✓ "&amp;'Calc base'!N$6&amp;"   ","")))</f>
        <v/>
      </c>
      <c r="J85" s="70" t="str">
        <f>IF($A85="","",ROUND(N(K84)*(1+'Calc base'!H108),2)-K85)</f>
        <v/>
      </c>
      <c r="K85" s="75" t="str">
        <f>IF($A85="","",CHOOSE('Calc riepilogo'!$B$2,'Calc valanga'!AT108,'Calc palla di neve'!AT108,'Calc personalizzata'!AT108))</f>
        <v/>
      </c>
      <c r="L85" s="70" t="str">
        <f>IF($A85="","",ROUND(N(M84)*(1+'Calc base'!I108),2)-M85)</f>
        <v/>
      </c>
      <c r="M85" s="75" t="str">
        <f>IF($A85="","",CHOOSE('Calc riepilogo'!$B$2,'Calc valanga'!AU108,'Calc palla di neve'!AU108,'Calc personalizzata'!AU108))</f>
        <v/>
      </c>
      <c r="N85" s="70" t="str">
        <f>IF($A85="","",ROUND(N(O84)*(1+'Calc base'!J108),2)-O85)</f>
        <v/>
      </c>
      <c r="O85" s="75" t="str">
        <f>IF($A85="","",CHOOSE('Calc riepilogo'!$B$2,'Calc valanga'!AV108,'Calc palla di neve'!AV108,'Calc personalizzata'!AV108))</f>
        <v/>
      </c>
      <c r="P85" s="70" t="str">
        <f>IF($A85="","",ROUND(N(Q84)*(1+'Calc base'!K108),2)-Q85)</f>
        <v/>
      </c>
      <c r="Q85" s="75" t="str">
        <f>IF($A85="","",CHOOSE('Calc riepilogo'!$B$2,'Calc valanga'!AW108,'Calc palla di neve'!AW108,'Calc personalizzata'!AW108))</f>
        <v/>
      </c>
      <c r="R85" s="70" t="str">
        <f>IF($A85="","",ROUND(N(S84)*(1+'Calc base'!L108),2)-S85)</f>
        <v/>
      </c>
      <c r="S85" s="75" t="str">
        <f>IF($A85="","",CHOOSE('Calc riepilogo'!$B$2,'Calc valanga'!AX108,'Calc palla di neve'!AX108,'Calc personalizzata'!AX108))</f>
        <v/>
      </c>
      <c r="T85" s="70" t="str">
        <f>IF($A85="","",ROUND(N(U84)*(1+'Calc base'!M108),2)-U85)</f>
        <v/>
      </c>
      <c r="U85" s="75" t="str">
        <f>IF($A85="","",CHOOSE('Calc riepilogo'!$B$2,'Calc valanga'!AY108,'Calc palla di neve'!AY108,'Calc personalizzata'!AY108))</f>
        <v/>
      </c>
      <c r="V85" s="70" t="str">
        <f>IF($A85="","",ROUND(N(W84)*(1+'Calc base'!N108),2)-W85)</f>
        <v/>
      </c>
      <c r="W85" s="75" t="str">
        <f>IF($A85="","",CHOOSE('Calc riepilogo'!$B$2,'Calc valanga'!AZ108,'Calc palla di neve'!AZ108,'Calc personalizzata'!AZ108))</f>
        <v/>
      </c>
      <c r="X85" s="70" t="str">
        <f>IF($A85="","",ROUND(N(Y84)*(1+'Calc base'!O108),2)-Y85)</f>
        <v/>
      </c>
      <c r="Y85" s="75" t="str">
        <f>IF($A85="","",CHOOSE('Calc riepilogo'!$B$2,'Calc valanga'!BA108,'Calc palla di neve'!BA108,'Calc personalizzata'!BA108))</f>
        <v/>
      </c>
      <c r="Z85" s="70" t="str">
        <f>IF($A85="","",ROUND(N(AA84)*(1+'Calc base'!P108),2)-AA85)</f>
        <v/>
      </c>
      <c r="AA85" s="75" t="str">
        <f>IF($A85="","",CHOOSE('Calc riepilogo'!$B$2,'Calc valanga'!BB108,'Calc palla di neve'!BB108,'Calc personalizzata'!BB108))</f>
        <v/>
      </c>
      <c r="AB85" s="70" t="str">
        <f>IF($A85="","",ROUND(N(AC84)*(1+'Calc base'!Q108),2)-AC85)</f>
        <v/>
      </c>
      <c r="AC85" s="75" t="str">
        <f>IF($A85="","",CHOOSE('Calc riepilogo'!$B$2,'Calc valanga'!BC108,'Calc palla di neve'!BC108,'Calc personalizzata'!BC108))</f>
        <v/>
      </c>
      <c r="AD85" s="70" t="str">
        <f>IF($A85="","",ROUND(N(AE84)*(1+'Calc base'!R108),2)-AE85)</f>
        <v/>
      </c>
      <c r="AE85" s="75" t="str">
        <f>IF($A85="","",CHOOSE('Calc riepilogo'!$B$2,'Calc valanga'!BD108,'Calc palla di neve'!BD108,'Calc personalizzata'!BD108))</f>
        <v/>
      </c>
      <c r="AF85" s="70" t="str">
        <f>IF($A85="","",ROUND(N(AG84)*(1+'Calc base'!S108),2)-AG85)</f>
        <v/>
      </c>
      <c r="AG85" s="75" t="str">
        <f>IF($A85="","",CHOOSE('Calc riepilogo'!$B$2,'Calc valanga'!BE108,'Calc palla di neve'!BE108,'Calc personalizzata'!BE108))</f>
        <v/>
      </c>
      <c r="AI85" t="n">
        <v>78</v>
      </c>
    </row>
    <row r="86">
      <c r="A86" s="68" t="str">
        <f>IF(79&gt;'Calc riepilogo'!$B$7,"",'Calc base'!$B109)</f>
        <v/>
      </c>
      <c r="B86" s="69" t="str">
        <f>IF($A86="","",'Calc base'!$C109)</f>
        <v/>
      </c>
      <c r="C86" s="69" t="str">
        <f>IF($A86="","",'Calc base'!$E109)</f>
        <v/>
      </c>
      <c r="D86" s="70" t="str">
        <f>IF($A86="","",J86+L86+N86+P86+R86+T86+V86+X86+Z86+AB86+AD86+AF86)</f>
        <v/>
      </c>
      <c r="E86" s="70" t="str">
        <f>IF($A86="","",CHOOSE('Calc riepilogo'!$B$2,'Calc valanga'!$H109,'Calc palla di neve'!$H109,'Calc personalizzata'!$H109))</f>
        <v/>
      </c>
      <c r="F86" s="71" t="str">
        <f>IF($A86="","",CHOOSE('Calc riepilogo'!$B$2,'Calc valanga'!$G109,'Calc palla di neve'!$G109,'Calc personalizzata'!$G109))</f>
        <v/>
      </c>
      <c r="G86" s="72" t="n"/>
      <c r="H86" s="73" t="n"/>
      <c r="I86" s="74" t="str">
        <f>IF($A86="","",TRIM(IF(AND(N(K85)&gt;0,N(K86)&lt;=0.004),"✓ "&amp;'Calc base'!C$6&amp;"   ","")&amp;IF(AND(N(M85)&gt;0,N(M86)&lt;=0.004),"✓ "&amp;'Calc base'!D$6&amp;"   ","")&amp;IF(AND(N(O85)&gt;0,N(O86)&lt;=0.004),"✓ "&amp;'Calc base'!E$6&amp;"   ","")&amp;IF(AND(N(Q85)&gt;0,N(Q86)&lt;=0.004),"✓ "&amp;'Calc base'!F$6&amp;"   ","")&amp;IF(AND(N(S85)&gt;0,N(S86)&lt;=0.004),"✓ "&amp;'Calc base'!G$6&amp;"   ","")&amp;IF(AND(N(U85)&gt;0,N(U86)&lt;=0.004),"✓ "&amp;'Calc base'!H$6&amp;"   ","")&amp;IF(AND(N(W85)&gt;0,N(W86)&lt;=0.004),"✓ "&amp;'Calc base'!I$6&amp;"   ","")&amp;IF(AND(N(Y85)&gt;0,N(Y86)&lt;=0.004),"✓ "&amp;'Calc base'!J$6&amp;"   ","")&amp;IF(AND(N(AA85)&gt;0,N(AA86)&lt;=0.004),"✓ "&amp;'Calc base'!K$6&amp;"   ","")&amp;IF(AND(N(AC85)&gt;0,N(AC86)&lt;=0.004),"✓ "&amp;'Calc base'!L$6&amp;"   ","")&amp;IF(AND(N(AE85)&gt;0,N(AE86)&lt;=0.004),"✓ "&amp;'Calc base'!M$6&amp;"   ","")&amp;IF(AND(N(AG85)&gt;0,N(AG86)&lt;=0.004),"✓ "&amp;'Calc base'!N$6&amp;"   ","")))</f>
        <v/>
      </c>
      <c r="J86" s="70" t="str">
        <f>IF($A86="","",ROUND(N(K85)*(1+'Calc base'!H109),2)-K86)</f>
        <v/>
      </c>
      <c r="K86" s="75" t="str">
        <f>IF($A86="","",CHOOSE('Calc riepilogo'!$B$2,'Calc valanga'!AT109,'Calc palla di neve'!AT109,'Calc personalizzata'!AT109))</f>
        <v/>
      </c>
      <c r="L86" s="70" t="str">
        <f>IF($A86="","",ROUND(N(M85)*(1+'Calc base'!I109),2)-M86)</f>
        <v/>
      </c>
      <c r="M86" s="75" t="str">
        <f>IF($A86="","",CHOOSE('Calc riepilogo'!$B$2,'Calc valanga'!AU109,'Calc palla di neve'!AU109,'Calc personalizzata'!AU109))</f>
        <v/>
      </c>
      <c r="N86" s="70" t="str">
        <f>IF($A86="","",ROUND(N(O85)*(1+'Calc base'!J109),2)-O86)</f>
        <v/>
      </c>
      <c r="O86" s="75" t="str">
        <f>IF($A86="","",CHOOSE('Calc riepilogo'!$B$2,'Calc valanga'!AV109,'Calc palla di neve'!AV109,'Calc personalizzata'!AV109))</f>
        <v/>
      </c>
      <c r="P86" s="70" t="str">
        <f>IF($A86="","",ROUND(N(Q85)*(1+'Calc base'!K109),2)-Q86)</f>
        <v/>
      </c>
      <c r="Q86" s="75" t="str">
        <f>IF($A86="","",CHOOSE('Calc riepilogo'!$B$2,'Calc valanga'!AW109,'Calc palla di neve'!AW109,'Calc personalizzata'!AW109))</f>
        <v/>
      </c>
      <c r="R86" s="70" t="str">
        <f>IF($A86="","",ROUND(N(S85)*(1+'Calc base'!L109),2)-S86)</f>
        <v/>
      </c>
      <c r="S86" s="75" t="str">
        <f>IF($A86="","",CHOOSE('Calc riepilogo'!$B$2,'Calc valanga'!AX109,'Calc palla di neve'!AX109,'Calc personalizzata'!AX109))</f>
        <v/>
      </c>
      <c r="T86" s="70" t="str">
        <f>IF($A86="","",ROUND(N(U85)*(1+'Calc base'!M109),2)-U86)</f>
        <v/>
      </c>
      <c r="U86" s="75" t="str">
        <f>IF($A86="","",CHOOSE('Calc riepilogo'!$B$2,'Calc valanga'!AY109,'Calc palla di neve'!AY109,'Calc personalizzata'!AY109))</f>
        <v/>
      </c>
      <c r="V86" s="70" t="str">
        <f>IF($A86="","",ROUND(N(W85)*(1+'Calc base'!N109),2)-W86)</f>
        <v/>
      </c>
      <c r="W86" s="75" t="str">
        <f>IF($A86="","",CHOOSE('Calc riepilogo'!$B$2,'Calc valanga'!AZ109,'Calc palla di neve'!AZ109,'Calc personalizzata'!AZ109))</f>
        <v/>
      </c>
      <c r="X86" s="70" t="str">
        <f>IF($A86="","",ROUND(N(Y85)*(1+'Calc base'!O109),2)-Y86)</f>
        <v/>
      </c>
      <c r="Y86" s="75" t="str">
        <f>IF($A86="","",CHOOSE('Calc riepilogo'!$B$2,'Calc valanga'!BA109,'Calc palla di neve'!BA109,'Calc personalizzata'!BA109))</f>
        <v/>
      </c>
      <c r="Z86" s="70" t="str">
        <f>IF($A86="","",ROUND(N(AA85)*(1+'Calc base'!P109),2)-AA86)</f>
        <v/>
      </c>
      <c r="AA86" s="75" t="str">
        <f>IF($A86="","",CHOOSE('Calc riepilogo'!$B$2,'Calc valanga'!BB109,'Calc palla di neve'!BB109,'Calc personalizzata'!BB109))</f>
        <v/>
      </c>
      <c r="AB86" s="70" t="str">
        <f>IF($A86="","",ROUND(N(AC85)*(1+'Calc base'!Q109),2)-AC86)</f>
        <v/>
      </c>
      <c r="AC86" s="75" t="str">
        <f>IF($A86="","",CHOOSE('Calc riepilogo'!$B$2,'Calc valanga'!BC109,'Calc palla di neve'!BC109,'Calc personalizzata'!BC109))</f>
        <v/>
      </c>
      <c r="AD86" s="70" t="str">
        <f>IF($A86="","",ROUND(N(AE85)*(1+'Calc base'!R109),2)-AE86)</f>
        <v/>
      </c>
      <c r="AE86" s="75" t="str">
        <f>IF($A86="","",CHOOSE('Calc riepilogo'!$B$2,'Calc valanga'!BD109,'Calc palla di neve'!BD109,'Calc personalizzata'!BD109))</f>
        <v/>
      </c>
      <c r="AF86" s="70" t="str">
        <f>IF($A86="","",ROUND(N(AG85)*(1+'Calc base'!S109),2)-AG86)</f>
        <v/>
      </c>
      <c r="AG86" s="75" t="str">
        <f>IF($A86="","",CHOOSE('Calc riepilogo'!$B$2,'Calc valanga'!BE109,'Calc palla di neve'!BE109,'Calc personalizzata'!BE109))</f>
        <v/>
      </c>
      <c r="AI86" t="n">
        <v>79</v>
      </c>
    </row>
    <row r="87">
      <c r="A87" s="68" t="str">
        <f>IF(80&gt;'Calc riepilogo'!$B$7,"",'Calc base'!$B110)</f>
        <v/>
      </c>
      <c r="B87" s="69" t="str">
        <f>IF($A87="","",'Calc base'!$C110)</f>
        <v/>
      </c>
      <c r="C87" s="69" t="str">
        <f>IF($A87="","",'Calc base'!$E110)</f>
        <v/>
      </c>
      <c r="D87" s="70" t="str">
        <f>IF($A87="","",J87+L87+N87+P87+R87+T87+V87+X87+Z87+AB87+AD87+AF87)</f>
        <v/>
      </c>
      <c r="E87" s="70" t="str">
        <f>IF($A87="","",CHOOSE('Calc riepilogo'!$B$2,'Calc valanga'!$H110,'Calc palla di neve'!$H110,'Calc personalizzata'!$H110))</f>
        <v/>
      </c>
      <c r="F87" s="71" t="str">
        <f>IF($A87="","",CHOOSE('Calc riepilogo'!$B$2,'Calc valanga'!$G110,'Calc palla di neve'!$G110,'Calc personalizzata'!$G110))</f>
        <v/>
      </c>
      <c r="G87" s="72" t="n"/>
      <c r="H87" s="73" t="n"/>
      <c r="I87" s="74" t="str">
        <f>IF($A87="","",TRIM(IF(AND(N(K86)&gt;0,N(K87)&lt;=0.004),"✓ "&amp;'Calc base'!C$6&amp;"   ","")&amp;IF(AND(N(M86)&gt;0,N(M87)&lt;=0.004),"✓ "&amp;'Calc base'!D$6&amp;"   ","")&amp;IF(AND(N(O86)&gt;0,N(O87)&lt;=0.004),"✓ "&amp;'Calc base'!E$6&amp;"   ","")&amp;IF(AND(N(Q86)&gt;0,N(Q87)&lt;=0.004),"✓ "&amp;'Calc base'!F$6&amp;"   ","")&amp;IF(AND(N(S86)&gt;0,N(S87)&lt;=0.004),"✓ "&amp;'Calc base'!G$6&amp;"   ","")&amp;IF(AND(N(U86)&gt;0,N(U87)&lt;=0.004),"✓ "&amp;'Calc base'!H$6&amp;"   ","")&amp;IF(AND(N(W86)&gt;0,N(W87)&lt;=0.004),"✓ "&amp;'Calc base'!I$6&amp;"   ","")&amp;IF(AND(N(Y86)&gt;0,N(Y87)&lt;=0.004),"✓ "&amp;'Calc base'!J$6&amp;"   ","")&amp;IF(AND(N(AA86)&gt;0,N(AA87)&lt;=0.004),"✓ "&amp;'Calc base'!K$6&amp;"   ","")&amp;IF(AND(N(AC86)&gt;0,N(AC87)&lt;=0.004),"✓ "&amp;'Calc base'!L$6&amp;"   ","")&amp;IF(AND(N(AE86)&gt;0,N(AE87)&lt;=0.004),"✓ "&amp;'Calc base'!M$6&amp;"   ","")&amp;IF(AND(N(AG86)&gt;0,N(AG87)&lt;=0.004),"✓ "&amp;'Calc base'!N$6&amp;"   ","")))</f>
        <v/>
      </c>
      <c r="J87" s="70" t="str">
        <f>IF($A87="","",ROUND(N(K86)*(1+'Calc base'!H110),2)-K87)</f>
        <v/>
      </c>
      <c r="K87" s="75" t="str">
        <f>IF($A87="","",CHOOSE('Calc riepilogo'!$B$2,'Calc valanga'!AT110,'Calc palla di neve'!AT110,'Calc personalizzata'!AT110))</f>
        <v/>
      </c>
      <c r="L87" s="70" t="str">
        <f>IF($A87="","",ROUND(N(M86)*(1+'Calc base'!I110),2)-M87)</f>
        <v/>
      </c>
      <c r="M87" s="75" t="str">
        <f>IF($A87="","",CHOOSE('Calc riepilogo'!$B$2,'Calc valanga'!AU110,'Calc palla di neve'!AU110,'Calc personalizzata'!AU110))</f>
        <v/>
      </c>
      <c r="N87" s="70" t="str">
        <f>IF($A87="","",ROUND(N(O86)*(1+'Calc base'!J110),2)-O87)</f>
        <v/>
      </c>
      <c r="O87" s="75" t="str">
        <f>IF($A87="","",CHOOSE('Calc riepilogo'!$B$2,'Calc valanga'!AV110,'Calc palla di neve'!AV110,'Calc personalizzata'!AV110))</f>
        <v/>
      </c>
      <c r="P87" s="70" t="str">
        <f>IF($A87="","",ROUND(N(Q86)*(1+'Calc base'!K110),2)-Q87)</f>
        <v/>
      </c>
      <c r="Q87" s="75" t="str">
        <f>IF($A87="","",CHOOSE('Calc riepilogo'!$B$2,'Calc valanga'!AW110,'Calc palla di neve'!AW110,'Calc personalizzata'!AW110))</f>
        <v/>
      </c>
      <c r="R87" s="70" t="str">
        <f>IF($A87="","",ROUND(N(S86)*(1+'Calc base'!L110),2)-S87)</f>
        <v/>
      </c>
      <c r="S87" s="75" t="str">
        <f>IF($A87="","",CHOOSE('Calc riepilogo'!$B$2,'Calc valanga'!AX110,'Calc palla di neve'!AX110,'Calc personalizzata'!AX110))</f>
        <v/>
      </c>
      <c r="T87" s="70" t="str">
        <f>IF($A87="","",ROUND(N(U86)*(1+'Calc base'!M110),2)-U87)</f>
        <v/>
      </c>
      <c r="U87" s="75" t="str">
        <f>IF($A87="","",CHOOSE('Calc riepilogo'!$B$2,'Calc valanga'!AY110,'Calc palla di neve'!AY110,'Calc personalizzata'!AY110))</f>
        <v/>
      </c>
      <c r="V87" s="70" t="str">
        <f>IF($A87="","",ROUND(N(W86)*(1+'Calc base'!N110),2)-W87)</f>
        <v/>
      </c>
      <c r="W87" s="75" t="str">
        <f>IF($A87="","",CHOOSE('Calc riepilogo'!$B$2,'Calc valanga'!AZ110,'Calc palla di neve'!AZ110,'Calc personalizzata'!AZ110))</f>
        <v/>
      </c>
      <c r="X87" s="70" t="str">
        <f>IF($A87="","",ROUND(N(Y86)*(1+'Calc base'!O110),2)-Y87)</f>
        <v/>
      </c>
      <c r="Y87" s="75" t="str">
        <f>IF($A87="","",CHOOSE('Calc riepilogo'!$B$2,'Calc valanga'!BA110,'Calc palla di neve'!BA110,'Calc personalizzata'!BA110))</f>
        <v/>
      </c>
      <c r="Z87" s="70" t="str">
        <f>IF($A87="","",ROUND(N(AA86)*(1+'Calc base'!P110),2)-AA87)</f>
        <v/>
      </c>
      <c r="AA87" s="75" t="str">
        <f>IF($A87="","",CHOOSE('Calc riepilogo'!$B$2,'Calc valanga'!BB110,'Calc palla di neve'!BB110,'Calc personalizzata'!BB110))</f>
        <v/>
      </c>
      <c r="AB87" s="70" t="str">
        <f>IF($A87="","",ROUND(N(AC86)*(1+'Calc base'!Q110),2)-AC87)</f>
        <v/>
      </c>
      <c r="AC87" s="75" t="str">
        <f>IF($A87="","",CHOOSE('Calc riepilogo'!$B$2,'Calc valanga'!BC110,'Calc palla di neve'!BC110,'Calc personalizzata'!BC110))</f>
        <v/>
      </c>
      <c r="AD87" s="70" t="str">
        <f>IF($A87="","",ROUND(N(AE86)*(1+'Calc base'!R110),2)-AE87)</f>
        <v/>
      </c>
      <c r="AE87" s="75" t="str">
        <f>IF($A87="","",CHOOSE('Calc riepilogo'!$B$2,'Calc valanga'!BD110,'Calc palla di neve'!BD110,'Calc personalizzata'!BD110))</f>
        <v/>
      </c>
      <c r="AF87" s="70" t="str">
        <f>IF($A87="","",ROUND(N(AG86)*(1+'Calc base'!S110),2)-AG87)</f>
        <v/>
      </c>
      <c r="AG87" s="75" t="str">
        <f>IF($A87="","",CHOOSE('Calc riepilogo'!$B$2,'Calc valanga'!BE110,'Calc palla di neve'!BE110,'Calc personalizzata'!BE110))</f>
        <v/>
      </c>
      <c r="AI87" t="n">
        <v>80</v>
      </c>
    </row>
    <row r="88">
      <c r="A88" s="68" t="str">
        <f>IF(81&gt;'Calc riepilogo'!$B$7,"",'Calc base'!$B111)</f>
        <v/>
      </c>
      <c r="B88" s="69" t="str">
        <f>IF($A88="","",'Calc base'!$C111)</f>
        <v/>
      </c>
      <c r="C88" s="69" t="str">
        <f>IF($A88="","",'Calc base'!$E111)</f>
        <v/>
      </c>
      <c r="D88" s="70" t="str">
        <f>IF($A88="","",J88+L88+N88+P88+R88+T88+V88+X88+Z88+AB88+AD88+AF88)</f>
        <v/>
      </c>
      <c r="E88" s="70" t="str">
        <f>IF($A88="","",CHOOSE('Calc riepilogo'!$B$2,'Calc valanga'!$H111,'Calc palla di neve'!$H111,'Calc personalizzata'!$H111))</f>
        <v/>
      </c>
      <c r="F88" s="71" t="str">
        <f>IF($A88="","",CHOOSE('Calc riepilogo'!$B$2,'Calc valanga'!$G111,'Calc palla di neve'!$G111,'Calc personalizzata'!$G111))</f>
        <v/>
      </c>
      <c r="G88" s="72" t="n"/>
      <c r="H88" s="73" t="n"/>
      <c r="I88" s="74" t="str">
        <f>IF($A88="","",TRIM(IF(AND(N(K87)&gt;0,N(K88)&lt;=0.004),"✓ "&amp;'Calc base'!C$6&amp;"   ","")&amp;IF(AND(N(M87)&gt;0,N(M88)&lt;=0.004),"✓ "&amp;'Calc base'!D$6&amp;"   ","")&amp;IF(AND(N(O87)&gt;0,N(O88)&lt;=0.004),"✓ "&amp;'Calc base'!E$6&amp;"   ","")&amp;IF(AND(N(Q87)&gt;0,N(Q88)&lt;=0.004),"✓ "&amp;'Calc base'!F$6&amp;"   ","")&amp;IF(AND(N(S87)&gt;0,N(S88)&lt;=0.004),"✓ "&amp;'Calc base'!G$6&amp;"   ","")&amp;IF(AND(N(U87)&gt;0,N(U88)&lt;=0.004),"✓ "&amp;'Calc base'!H$6&amp;"   ","")&amp;IF(AND(N(W87)&gt;0,N(W88)&lt;=0.004),"✓ "&amp;'Calc base'!I$6&amp;"   ","")&amp;IF(AND(N(Y87)&gt;0,N(Y88)&lt;=0.004),"✓ "&amp;'Calc base'!J$6&amp;"   ","")&amp;IF(AND(N(AA87)&gt;0,N(AA88)&lt;=0.004),"✓ "&amp;'Calc base'!K$6&amp;"   ","")&amp;IF(AND(N(AC87)&gt;0,N(AC88)&lt;=0.004),"✓ "&amp;'Calc base'!L$6&amp;"   ","")&amp;IF(AND(N(AE87)&gt;0,N(AE88)&lt;=0.004),"✓ "&amp;'Calc base'!M$6&amp;"   ","")&amp;IF(AND(N(AG87)&gt;0,N(AG88)&lt;=0.004),"✓ "&amp;'Calc base'!N$6&amp;"   ","")))</f>
        <v/>
      </c>
      <c r="J88" s="70" t="str">
        <f>IF($A88="","",ROUND(N(K87)*(1+'Calc base'!H111),2)-K88)</f>
        <v/>
      </c>
      <c r="K88" s="75" t="str">
        <f>IF($A88="","",CHOOSE('Calc riepilogo'!$B$2,'Calc valanga'!AT111,'Calc palla di neve'!AT111,'Calc personalizzata'!AT111))</f>
        <v/>
      </c>
      <c r="L88" s="70" t="str">
        <f>IF($A88="","",ROUND(N(M87)*(1+'Calc base'!I111),2)-M88)</f>
        <v/>
      </c>
      <c r="M88" s="75" t="str">
        <f>IF($A88="","",CHOOSE('Calc riepilogo'!$B$2,'Calc valanga'!AU111,'Calc palla di neve'!AU111,'Calc personalizzata'!AU111))</f>
        <v/>
      </c>
      <c r="N88" s="70" t="str">
        <f>IF($A88="","",ROUND(N(O87)*(1+'Calc base'!J111),2)-O88)</f>
        <v/>
      </c>
      <c r="O88" s="75" t="str">
        <f>IF($A88="","",CHOOSE('Calc riepilogo'!$B$2,'Calc valanga'!AV111,'Calc palla di neve'!AV111,'Calc personalizzata'!AV111))</f>
        <v/>
      </c>
      <c r="P88" s="70" t="str">
        <f>IF($A88="","",ROUND(N(Q87)*(1+'Calc base'!K111),2)-Q88)</f>
        <v/>
      </c>
      <c r="Q88" s="75" t="str">
        <f>IF($A88="","",CHOOSE('Calc riepilogo'!$B$2,'Calc valanga'!AW111,'Calc palla di neve'!AW111,'Calc personalizzata'!AW111))</f>
        <v/>
      </c>
      <c r="R88" s="70" t="str">
        <f>IF($A88="","",ROUND(N(S87)*(1+'Calc base'!L111),2)-S88)</f>
        <v/>
      </c>
      <c r="S88" s="75" t="str">
        <f>IF($A88="","",CHOOSE('Calc riepilogo'!$B$2,'Calc valanga'!AX111,'Calc palla di neve'!AX111,'Calc personalizzata'!AX111))</f>
        <v/>
      </c>
      <c r="T88" s="70" t="str">
        <f>IF($A88="","",ROUND(N(U87)*(1+'Calc base'!M111),2)-U88)</f>
        <v/>
      </c>
      <c r="U88" s="75" t="str">
        <f>IF($A88="","",CHOOSE('Calc riepilogo'!$B$2,'Calc valanga'!AY111,'Calc palla di neve'!AY111,'Calc personalizzata'!AY111))</f>
        <v/>
      </c>
      <c r="V88" s="70" t="str">
        <f>IF($A88="","",ROUND(N(W87)*(1+'Calc base'!N111),2)-W88)</f>
        <v/>
      </c>
      <c r="W88" s="75" t="str">
        <f>IF($A88="","",CHOOSE('Calc riepilogo'!$B$2,'Calc valanga'!AZ111,'Calc palla di neve'!AZ111,'Calc personalizzata'!AZ111))</f>
        <v/>
      </c>
      <c r="X88" s="70" t="str">
        <f>IF($A88="","",ROUND(N(Y87)*(1+'Calc base'!O111),2)-Y88)</f>
        <v/>
      </c>
      <c r="Y88" s="75" t="str">
        <f>IF($A88="","",CHOOSE('Calc riepilogo'!$B$2,'Calc valanga'!BA111,'Calc palla di neve'!BA111,'Calc personalizzata'!BA111))</f>
        <v/>
      </c>
      <c r="Z88" s="70" t="str">
        <f>IF($A88="","",ROUND(N(AA87)*(1+'Calc base'!P111),2)-AA88)</f>
        <v/>
      </c>
      <c r="AA88" s="75" t="str">
        <f>IF($A88="","",CHOOSE('Calc riepilogo'!$B$2,'Calc valanga'!BB111,'Calc palla di neve'!BB111,'Calc personalizzata'!BB111))</f>
        <v/>
      </c>
      <c r="AB88" s="70" t="str">
        <f>IF($A88="","",ROUND(N(AC87)*(1+'Calc base'!Q111),2)-AC88)</f>
        <v/>
      </c>
      <c r="AC88" s="75" t="str">
        <f>IF($A88="","",CHOOSE('Calc riepilogo'!$B$2,'Calc valanga'!BC111,'Calc palla di neve'!BC111,'Calc personalizzata'!BC111))</f>
        <v/>
      </c>
      <c r="AD88" s="70" t="str">
        <f>IF($A88="","",ROUND(N(AE87)*(1+'Calc base'!R111),2)-AE88)</f>
        <v/>
      </c>
      <c r="AE88" s="75" t="str">
        <f>IF($A88="","",CHOOSE('Calc riepilogo'!$B$2,'Calc valanga'!BD111,'Calc palla di neve'!BD111,'Calc personalizzata'!BD111))</f>
        <v/>
      </c>
      <c r="AF88" s="70" t="str">
        <f>IF($A88="","",ROUND(N(AG87)*(1+'Calc base'!S111),2)-AG88)</f>
        <v/>
      </c>
      <c r="AG88" s="75" t="str">
        <f>IF($A88="","",CHOOSE('Calc riepilogo'!$B$2,'Calc valanga'!BE111,'Calc palla di neve'!BE111,'Calc personalizzata'!BE111))</f>
        <v/>
      </c>
      <c r="AI88" t="n">
        <v>81</v>
      </c>
    </row>
    <row r="89">
      <c r="A89" s="68" t="str">
        <f>IF(82&gt;'Calc riepilogo'!$B$7,"",'Calc base'!$B112)</f>
        <v/>
      </c>
      <c r="B89" s="69" t="str">
        <f>IF($A89="","",'Calc base'!$C112)</f>
        <v/>
      </c>
      <c r="C89" s="69" t="str">
        <f>IF($A89="","",'Calc base'!$E112)</f>
        <v/>
      </c>
      <c r="D89" s="70" t="str">
        <f>IF($A89="","",J89+L89+N89+P89+R89+T89+V89+X89+Z89+AB89+AD89+AF89)</f>
        <v/>
      </c>
      <c r="E89" s="70" t="str">
        <f>IF($A89="","",CHOOSE('Calc riepilogo'!$B$2,'Calc valanga'!$H112,'Calc palla di neve'!$H112,'Calc personalizzata'!$H112))</f>
        <v/>
      </c>
      <c r="F89" s="71" t="str">
        <f>IF($A89="","",CHOOSE('Calc riepilogo'!$B$2,'Calc valanga'!$G112,'Calc palla di neve'!$G112,'Calc personalizzata'!$G112))</f>
        <v/>
      </c>
      <c r="G89" s="72" t="n"/>
      <c r="H89" s="73" t="n"/>
      <c r="I89" s="74" t="str">
        <f>IF($A89="","",TRIM(IF(AND(N(K88)&gt;0,N(K89)&lt;=0.004),"✓ "&amp;'Calc base'!C$6&amp;"   ","")&amp;IF(AND(N(M88)&gt;0,N(M89)&lt;=0.004),"✓ "&amp;'Calc base'!D$6&amp;"   ","")&amp;IF(AND(N(O88)&gt;0,N(O89)&lt;=0.004),"✓ "&amp;'Calc base'!E$6&amp;"   ","")&amp;IF(AND(N(Q88)&gt;0,N(Q89)&lt;=0.004),"✓ "&amp;'Calc base'!F$6&amp;"   ","")&amp;IF(AND(N(S88)&gt;0,N(S89)&lt;=0.004),"✓ "&amp;'Calc base'!G$6&amp;"   ","")&amp;IF(AND(N(U88)&gt;0,N(U89)&lt;=0.004),"✓ "&amp;'Calc base'!H$6&amp;"   ","")&amp;IF(AND(N(W88)&gt;0,N(W89)&lt;=0.004),"✓ "&amp;'Calc base'!I$6&amp;"   ","")&amp;IF(AND(N(Y88)&gt;0,N(Y89)&lt;=0.004),"✓ "&amp;'Calc base'!J$6&amp;"   ","")&amp;IF(AND(N(AA88)&gt;0,N(AA89)&lt;=0.004),"✓ "&amp;'Calc base'!K$6&amp;"   ","")&amp;IF(AND(N(AC88)&gt;0,N(AC89)&lt;=0.004),"✓ "&amp;'Calc base'!L$6&amp;"   ","")&amp;IF(AND(N(AE88)&gt;0,N(AE89)&lt;=0.004),"✓ "&amp;'Calc base'!M$6&amp;"   ","")&amp;IF(AND(N(AG88)&gt;0,N(AG89)&lt;=0.004),"✓ "&amp;'Calc base'!N$6&amp;"   ","")))</f>
        <v/>
      </c>
      <c r="J89" s="70" t="str">
        <f>IF($A89="","",ROUND(N(K88)*(1+'Calc base'!H112),2)-K89)</f>
        <v/>
      </c>
      <c r="K89" s="75" t="str">
        <f>IF($A89="","",CHOOSE('Calc riepilogo'!$B$2,'Calc valanga'!AT112,'Calc palla di neve'!AT112,'Calc personalizzata'!AT112))</f>
        <v/>
      </c>
      <c r="L89" s="70" t="str">
        <f>IF($A89="","",ROUND(N(M88)*(1+'Calc base'!I112),2)-M89)</f>
        <v/>
      </c>
      <c r="M89" s="75" t="str">
        <f>IF($A89="","",CHOOSE('Calc riepilogo'!$B$2,'Calc valanga'!AU112,'Calc palla di neve'!AU112,'Calc personalizzata'!AU112))</f>
        <v/>
      </c>
      <c r="N89" s="70" t="str">
        <f>IF($A89="","",ROUND(N(O88)*(1+'Calc base'!J112),2)-O89)</f>
        <v/>
      </c>
      <c r="O89" s="75" t="str">
        <f>IF($A89="","",CHOOSE('Calc riepilogo'!$B$2,'Calc valanga'!AV112,'Calc palla di neve'!AV112,'Calc personalizzata'!AV112))</f>
        <v/>
      </c>
      <c r="P89" s="70" t="str">
        <f>IF($A89="","",ROUND(N(Q88)*(1+'Calc base'!K112),2)-Q89)</f>
        <v/>
      </c>
      <c r="Q89" s="75" t="str">
        <f>IF($A89="","",CHOOSE('Calc riepilogo'!$B$2,'Calc valanga'!AW112,'Calc palla di neve'!AW112,'Calc personalizzata'!AW112))</f>
        <v/>
      </c>
      <c r="R89" s="70" t="str">
        <f>IF($A89="","",ROUND(N(S88)*(1+'Calc base'!L112),2)-S89)</f>
        <v/>
      </c>
      <c r="S89" s="75" t="str">
        <f>IF($A89="","",CHOOSE('Calc riepilogo'!$B$2,'Calc valanga'!AX112,'Calc palla di neve'!AX112,'Calc personalizzata'!AX112))</f>
        <v/>
      </c>
      <c r="T89" s="70" t="str">
        <f>IF($A89="","",ROUND(N(U88)*(1+'Calc base'!M112),2)-U89)</f>
        <v/>
      </c>
      <c r="U89" s="75" t="str">
        <f>IF($A89="","",CHOOSE('Calc riepilogo'!$B$2,'Calc valanga'!AY112,'Calc palla di neve'!AY112,'Calc personalizzata'!AY112))</f>
        <v/>
      </c>
      <c r="V89" s="70" t="str">
        <f>IF($A89="","",ROUND(N(W88)*(1+'Calc base'!N112),2)-W89)</f>
        <v/>
      </c>
      <c r="W89" s="75" t="str">
        <f>IF($A89="","",CHOOSE('Calc riepilogo'!$B$2,'Calc valanga'!AZ112,'Calc palla di neve'!AZ112,'Calc personalizzata'!AZ112))</f>
        <v/>
      </c>
      <c r="X89" s="70" t="str">
        <f>IF($A89="","",ROUND(N(Y88)*(1+'Calc base'!O112),2)-Y89)</f>
        <v/>
      </c>
      <c r="Y89" s="75" t="str">
        <f>IF($A89="","",CHOOSE('Calc riepilogo'!$B$2,'Calc valanga'!BA112,'Calc palla di neve'!BA112,'Calc personalizzata'!BA112))</f>
        <v/>
      </c>
      <c r="Z89" s="70" t="str">
        <f>IF($A89="","",ROUND(N(AA88)*(1+'Calc base'!P112),2)-AA89)</f>
        <v/>
      </c>
      <c r="AA89" s="75" t="str">
        <f>IF($A89="","",CHOOSE('Calc riepilogo'!$B$2,'Calc valanga'!BB112,'Calc palla di neve'!BB112,'Calc personalizzata'!BB112))</f>
        <v/>
      </c>
      <c r="AB89" s="70" t="str">
        <f>IF($A89="","",ROUND(N(AC88)*(1+'Calc base'!Q112),2)-AC89)</f>
        <v/>
      </c>
      <c r="AC89" s="75" t="str">
        <f>IF($A89="","",CHOOSE('Calc riepilogo'!$B$2,'Calc valanga'!BC112,'Calc palla di neve'!BC112,'Calc personalizzata'!BC112))</f>
        <v/>
      </c>
      <c r="AD89" s="70" t="str">
        <f>IF($A89="","",ROUND(N(AE88)*(1+'Calc base'!R112),2)-AE89)</f>
        <v/>
      </c>
      <c r="AE89" s="75" t="str">
        <f>IF($A89="","",CHOOSE('Calc riepilogo'!$B$2,'Calc valanga'!BD112,'Calc palla di neve'!BD112,'Calc personalizzata'!BD112))</f>
        <v/>
      </c>
      <c r="AF89" s="70" t="str">
        <f>IF($A89="","",ROUND(N(AG88)*(1+'Calc base'!S112),2)-AG89)</f>
        <v/>
      </c>
      <c r="AG89" s="75" t="str">
        <f>IF($A89="","",CHOOSE('Calc riepilogo'!$B$2,'Calc valanga'!BE112,'Calc palla di neve'!BE112,'Calc personalizzata'!BE112))</f>
        <v/>
      </c>
      <c r="AI89" t="n">
        <v>82</v>
      </c>
    </row>
    <row r="90">
      <c r="A90" s="68" t="str">
        <f>IF(83&gt;'Calc riepilogo'!$B$7,"",'Calc base'!$B113)</f>
        <v/>
      </c>
      <c r="B90" s="69" t="str">
        <f>IF($A90="","",'Calc base'!$C113)</f>
        <v/>
      </c>
      <c r="C90" s="69" t="str">
        <f>IF($A90="","",'Calc base'!$E113)</f>
        <v/>
      </c>
      <c r="D90" s="70" t="str">
        <f>IF($A90="","",J90+L90+N90+P90+R90+T90+V90+X90+Z90+AB90+AD90+AF90)</f>
        <v/>
      </c>
      <c r="E90" s="70" t="str">
        <f>IF($A90="","",CHOOSE('Calc riepilogo'!$B$2,'Calc valanga'!$H113,'Calc palla di neve'!$H113,'Calc personalizzata'!$H113))</f>
        <v/>
      </c>
      <c r="F90" s="71" t="str">
        <f>IF($A90="","",CHOOSE('Calc riepilogo'!$B$2,'Calc valanga'!$G113,'Calc palla di neve'!$G113,'Calc personalizzata'!$G113))</f>
        <v/>
      </c>
      <c r="G90" s="72" t="n"/>
      <c r="H90" s="73" t="n"/>
      <c r="I90" s="74" t="str">
        <f>IF($A90="","",TRIM(IF(AND(N(K89)&gt;0,N(K90)&lt;=0.004),"✓ "&amp;'Calc base'!C$6&amp;"   ","")&amp;IF(AND(N(M89)&gt;0,N(M90)&lt;=0.004),"✓ "&amp;'Calc base'!D$6&amp;"   ","")&amp;IF(AND(N(O89)&gt;0,N(O90)&lt;=0.004),"✓ "&amp;'Calc base'!E$6&amp;"   ","")&amp;IF(AND(N(Q89)&gt;0,N(Q90)&lt;=0.004),"✓ "&amp;'Calc base'!F$6&amp;"   ","")&amp;IF(AND(N(S89)&gt;0,N(S90)&lt;=0.004),"✓ "&amp;'Calc base'!G$6&amp;"   ","")&amp;IF(AND(N(U89)&gt;0,N(U90)&lt;=0.004),"✓ "&amp;'Calc base'!H$6&amp;"   ","")&amp;IF(AND(N(W89)&gt;0,N(W90)&lt;=0.004),"✓ "&amp;'Calc base'!I$6&amp;"   ","")&amp;IF(AND(N(Y89)&gt;0,N(Y90)&lt;=0.004),"✓ "&amp;'Calc base'!J$6&amp;"   ","")&amp;IF(AND(N(AA89)&gt;0,N(AA90)&lt;=0.004),"✓ "&amp;'Calc base'!K$6&amp;"   ","")&amp;IF(AND(N(AC89)&gt;0,N(AC90)&lt;=0.004),"✓ "&amp;'Calc base'!L$6&amp;"   ","")&amp;IF(AND(N(AE89)&gt;0,N(AE90)&lt;=0.004),"✓ "&amp;'Calc base'!M$6&amp;"   ","")&amp;IF(AND(N(AG89)&gt;0,N(AG90)&lt;=0.004),"✓ "&amp;'Calc base'!N$6&amp;"   ","")))</f>
        <v/>
      </c>
      <c r="J90" s="70" t="str">
        <f>IF($A90="","",ROUND(N(K89)*(1+'Calc base'!H113),2)-K90)</f>
        <v/>
      </c>
      <c r="K90" s="75" t="str">
        <f>IF($A90="","",CHOOSE('Calc riepilogo'!$B$2,'Calc valanga'!AT113,'Calc palla di neve'!AT113,'Calc personalizzata'!AT113))</f>
        <v/>
      </c>
      <c r="L90" s="70" t="str">
        <f>IF($A90="","",ROUND(N(M89)*(1+'Calc base'!I113),2)-M90)</f>
        <v/>
      </c>
      <c r="M90" s="75" t="str">
        <f>IF($A90="","",CHOOSE('Calc riepilogo'!$B$2,'Calc valanga'!AU113,'Calc palla di neve'!AU113,'Calc personalizzata'!AU113))</f>
        <v/>
      </c>
      <c r="N90" s="70" t="str">
        <f>IF($A90="","",ROUND(N(O89)*(1+'Calc base'!J113),2)-O90)</f>
        <v/>
      </c>
      <c r="O90" s="75" t="str">
        <f>IF($A90="","",CHOOSE('Calc riepilogo'!$B$2,'Calc valanga'!AV113,'Calc palla di neve'!AV113,'Calc personalizzata'!AV113))</f>
        <v/>
      </c>
      <c r="P90" s="70" t="str">
        <f>IF($A90="","",ROUND(N(Q89)*(1+'Calc base'!K113),2)-Q90)</f>
        <v/>
      </c>
      <c r="Q90" s="75" t="str">
        <f>IF($A90="","",CHOOSE('Calc riepilogo'!$B$2,'Calc valanga'!AW113,'Calc palla di neve'!AW113,'Calc personalizzata'!AW113))</f>
        <v/>
      </c>
      <c r="R90" s="70" t="str">
        <f>IF($A90="","",ROUND(N(S89)*(1+'Calc base'!L113),2)-S90)</f>
        <v/>
      </c>
      <c r="S90" s="75" t="str">
        <f>IF($A90="","",CHOOSE('Calc riepilogo'!$B$2,'Calc valanga'!AX113,'Calc palla di neve'!AX113,'Calc personalizzata'!AX113))</f>
        <v/>
      </c>
      <c r="T90" s="70" t="str">
        <f>IF($A90="","",ROUND(N(U89)*(1+'Calc base'!M113),2)-U90)</f>
        <v/>
      </c>
      <c r="U90" s="75" t="str">
        <f>IF($A90="","",CHOOSE('Calc riepilogo'!$B$2,'Calc valanga'!AY113,'Calc palla di neve'!AY113,'Calc personalizzata'!AY113))</f>
        <v/>
      </c>
      <c r="V90" s="70" t="str">
        <f>IF($A90="","",ROUND(N(W89)*(1+'Calc base'!N113),2)-W90)</f>
        <v/>
      </c>
      <c r="W90" s="75" t="str">
        <f>IF($A90="","",CHOOSE('Calc riepilogo'!$B$2,'Calc valanga'!AZ113,'Calc palla di neve'!AZ113,'Calc personalizzata'!AZ113))</f>
        <v/>
      </c>
      <c r="X90" s="70" t="str">
        <f>IF($A90="","",ROUND(N(Y89)*(1+'Calc base'!O113),2)-Y90)</f>
        <v/>
      </c>
      <c r="Y90" s="75" t="str">
        <f>IF($A90="","",CHOOSE('Calc riepilogo'!$B$2,'Calc valanga'!BA113,'Calc palla di neve'!BA113,'Calc personalizzata'!BA113))</f>
        <v/>
      </c>
      <c r="Z90" s="70" t="str">
        <f>IF($A90="","",ROUND(N(AA89)*(1+'Calc base'!P113),2)-AA90)</f>
        <v/>
      </c>
      <c r="AA90" s="75" t="str">
        <f>IF($A90="","",CHOOSE('Calc riepilogo'!$B$2,'Calc valanga'!BB113,'Calc palla di neve'!BB113,'Calc personalizzata'!BB113))</f>
        <v/>
      </c>
      <c r="AB90" s="70" t="str">
        <f>IF($A90="","",ROUND(N(AC89)*(1+'Calc base'!Q113),2)-AC90)</f>
        <v/>
      </c>
      <c r="AC90" s="75" t="str">
        <f>IF($A90="","",CHOOSE('Calc riepilogo'!$B$2,'Calc valanga'!BC113,'Calc palla di neve'!BC113,'Calc personalizzata'!BC113))</f>
        <v/>
      </c>
      <c r="AD90" s="70" t="str">
        <f>IF($A90="","",ROUND(N(AE89)*(1+'Calc base'!R113),2)-AE90)</f>
        <v/>
      </c>
      <c r="AE90" s="75" t="str">
        <f>IF($A90="","",CHOOSE('Calc riepilogo'!$B$2,'Calc valanga'!BD113,'Calc palla di neve'!BD113,'Calc personalizzata'!BD113))</f>
        <v/>
      </c>
      <c r="AF90" s="70" t="str">
        <f>IF($A90="","",ROUND(N(AG89)*(1+'Calc base'!S113),2)-AG90)</f>
        <v/>
      </c>
      <c r="AG90" s="75" t="str">
        <f>IF($A90="","",CHOOSE('Calc riepilogo'!$B$2,'Calc valanga'!BE113,'Calc palla di neve'!BE113,'Calc personalizzata'!BE113))</f>
        <v/>
      </c>
      <c r="AI90" t="n">
        <v>83</v>
      </c>
    </row>
    <row r="91">
      <c r="A91" s="68" t="str">
        <f>IF(84&gt;'Calc riepilogo'!$B$7,"",'Calc base'!$B114)</f>
        <v/>
      </c>
      <c r="B91" s="69" t="str">
        <f>IF($A91="","",'Calc base'!$C114)</f>
        <v/>
      </c>
      <c r="C91" s="69" t="str">
        <f>IF($A91="","",'Calc base'!$E114)</f>
        <v/>
      </c>
      <c r="D91" s="70" t="str">
        <f>IF($A91="","",J91+L91+N91+P91+R91+T91+V91+X91+Z91+AB91+AD91+AF91)</f>
        <v/>
      </c>
      <c r="E91" s="70" t="str">
        <f>IF($A91="","",CHOOSE('Calc riepilogo'!$B$2,'Calc valanga'!$H114,'Calc palla di neve'!$H114,'Calc personalizzata'!$H114))</f>
        <v/>
      </c>
      <c r="F91" s="71" t="str">
        <f>IF($A91="","",CHOOSE('Calc riepilogo'!$B$2,'Calc valanga'!$G114,'Calc palla di neve'!$G114,'Calc personalizzata'!$G114))</f>
        <v/>
      </c>
      <c r="G91" s="72" t="n"/>
      <c r="H91" s="73" t="n"/>
      <c r="I91" s="74" t="str">
        <f>IF($A91="","",TRIM(IF(AND(N(K90)&gt;0,N(K91)&lt;=0.004),"✓ "&amp;'Calc base'!C$6&amp;"   ","")&amp;IF(AND(N(M90)&gt;0,N(M91)&lt;=0.004),"✓ "&amp;'Calc base'!D$6&amp;"   ","")&amp;IF(AND(N(O90)&gt;0,N(O91)&lt;=0.004),"✓ "&amp;'Calc base'!E$6&amp;"   ","")&amp;IF(AND(N(Q90)&gt;0,N(Q91)&lt;=0.004),"✓ "&amp;'Calc base'!F$6&amp;"   ","")&amp;IF(AND(N(S90)&gt;0,N(S91)&lt;=0.004),"✓ "&amp;'Calc base'!G$6&amp;"   ","")&amp;IF(AND(N(U90)&gt;0,N(U91)&lt;=0.004),"✓ "&amp;'Calc base'!H$6&amp;"   ","")&amp;IF(AND(N(W90)&gt;0,N(W91)&lt;=0.004),"✓ "&amp;'Calc base'!I$6&amp;"   ","")&amp;IF(AND(N(Y90)&gt;0,N(Y91)&lt;=0.004),"✓ "&amp;'Calc base'!J$6&amp;"   ","")&amp;IF(AND(N(AA90)&gt;0,N(AA91)&lt;=0.004),"✓ "&amp;'Calc base'!K$6&amp;"   ","")&amp;IF(AND(N(AC90)&gt;0,N(AC91)&lt;=0.004),"✓ "&amp;'Calc base'!L$6&amp;"   ","")&amp;IF(AND(N(AE90)&gt;0,N(AE91)&lt;=0.004),"✓ "&amp;'Calc base'!M$6&amp;"   ","")&amp;IF(AND(N(AG90)&gt;0,N(AG91)&lt;=0.004),"✓ "&amp;'Calc base'!N$6&amp;"   ","")))</f>
        <v/>
      </c>
      <c r="J91" s="70" t="str">
        <f>IF($A91="","",ROUND(N(K90)*(1+'Calc base'!H114),2)-K91)</f>
        <v/>
      </c>
      <c r="K91" s="75" t="str">
        <f>IF($A91="","",CHOOSE('Calc riepilogo'!$B$2,'Calc valanga'!AT114,'Calc palla di neve'!AT114,'Calc personalizzata'!AT114))</f>
        <v/>
      </c>
      <c r="L91" s="70" t="str">
        <f>IF($A91="","",ROUND(N(M90)*(1+'Calc base'!I114),2)-M91)</f>
        <v/>
      </c>
      <c r="M91" s="75" t="str">
        <f>IF($A91="","",CHOOSE('Calc riepilogo'!$B$2,'Calc valanga'!AU114,'Calc palla di neve'!AU114,'Calc personalizzata'!AU114))</f>
        <v/>
      </c>
      <c r="N91" s="70" t="str">
        <f>IF($A91="","",ROUND(N(O90)*(1+'Calc base'!J114),2)-O91)</f>
        <v/>
      </c>
      <c r="O91" s="75" t="str">
        <f>IF($A91="","",CHOOSE('Calc riepilogo'!$B$2,'Calc valanga'!AV114,'Calc palla di neve'!AV114,'Calc personalizzata'!AV114))</f>
        <v/>
      </c>
      <c r="P91" s="70" t="str">
        <f>IF($A91="","",ROUND(N(Q90)*(1+'Calc base'!K114),2)-Q91)</f>
        <v/>
      </c>
      <c r="Q91" s="75" t="str">
        <f>IF($A91="","",CHOOSE('Calc riepilogo'!$B$2,'Calc valanga'!AW114,'Calc palla di neve'!AW114,'Calc personalizzata'!AW114))</f>
        <v/>
      </c>
      <c r="R91" s="70" t="str">
        <f>IF($A91="","",ROUND(N(S90)*(1+'Calc base'!L114),2)-S91)</f>
        <v/>
      </c>
      <c r="S91" s="75" t="str">
        <f>IF($A91="","",CHOOSE('Calc riepilogo'!$B$2,'Calc valanga'!AX114,'Calc palla di neve'!AX114,'Calc personalizzata'!AX114))</f>
        <v/>
      </c>
      <c r="T91" s="70" t="str">
        <f>IF($A91="","",ROUND(N(U90)*(1+'Calc base'!M114),2)-U91)</f>
        <v/>
      </c>
      <c r="U91" s="75" t="str">
        <f>IF($A91="","",CHOOSE('Calc riepilogo'!$B$2,'Calc valanga'!AY114,'Calc palla di neve'!AY114,'Calc personalizzata'!AY114))</f>
        <v/>
      </c>
      <c r="V91" s="70" t="str">
        <f>IF($A91="","",ROUND(N(W90)*(1+'Calc base'!N114),2)-W91)</f>
        <v/>
      </c>
      <c r="W91" s="75" t="str">
        <f>IF($A91="","",CHOOSE('Calc riepilogo'!$B$2,'Calc valanga'!AZ114,'Calc palla di neve'!AZ114,'Calc personalizzata'!AZ114))</f>
        <v/>
      </c>
      <c r="X91" s="70" t="str">
        <f>IF($A91="","",ROUND(N(Y90)*(1+'Calc base'!O114),2)-Y91)</f>
        <v/>
      </c>
      <c r="Y91" s="75" t="str">
        <f>IF($A91="","",CHOOSE('Calc riepilogo'!$B$2,'Calc valanga'!BA114,'Calc palla di neve'!BA114,'Calc personalizzata'!BA114))</f>
        <v/>
      </c>
      <c r="Z91" s="70" t="str">
        <f>IF($A91="","",ROUND(N(AA90)*(1+'Calc base'!P114),2)-AA91)</f>
        <v/>
      </c>
      <c r="AA91" s="75" t="str">
        <f>IF($A91="","",CHOOSE('Calc riepilogo'!$B$2,'Calc valanga'!BB114,'Calc palla di neve'!BB114,'Calc personalizzata'!BB114))</f>
        <v/>
      </c>
      <c r="AB91" s="70" t="str">
        <f>IF($A91="","",ROUND(N(AC90)*(1+'Calc base'!Q114),2)-AC91)</f>
        <v/>
      </c>
      <c r="AC91" s="75" t="str">
        <f>IF($A91="","",CHOOSE('Calc riepilogo'!$B$2,'Calc valanga'!BC114,'Calc palla di neve'!BC114,'Calc personalizzata'!BC114))</f>
        <v/>
      </c>
      <c r="AD91" s="70" t="str">
        <f>IF($A91="","",ROUND(N(AE90)*(1+'Calc base'!R114),2)-AE91)</f>
        <v/>
      </c>
      <c r="AE91" s="75" t="str">
        <f>IF($A91="","",CHOOSE('Calc riepilogo'!$B$2,'Calc valanga'!BD114,'Calc palla di neve'!BD114,'Calc personalizzata'!BD114))</f>
        <v/>
      </c>
      <c r="AF91" s="70" t="str">
        <f>IF($A91="","",ROUND(N(AG90)*(1+'Calc base'!S114),2)-AG91)</f>
        <v/>
      </c>
      <c r="AG91" s="75" t="str">
        <f>IF($A91="","",CHOOSE('Calc riepilogo'!$B$2,'Calc valanga'!BE114,'Calc palla di neve'!BE114,'Calc personalizzata'!BE114))</f>
        <v/>
      </c>
      <c r="AI91" t="n">
        <v>84</v>
      </c>
    </row>
    <row r="92">
      <c r="A92" s="68" t="str">
        <f>IF(85&gt;'Calc riepilogo'!$B$7,"",'Calc base'!$B115)</f>
        <v/>
      </c>
      <c r="B92" s="69" t="str">
        <f>IF($A92="","",'Calc base'!$C115)</f>
        <v/>
      </c>
      <c r="C92" s="69" t="str">
        <f>IF($A92="","",'Calc base'!$E115)</f>
        <v/>
      </c>
      <c r="D92" s="70" t="str">
        <f>IF($A92="","",J92+L92+N92+P92+R92+T92+V92+X92+Z92+AB92+AD92+AF92)</f>
        <v/>
      </c>
      <c r="E92" s="70" t="str">
        <f>IF($A92="","",CHOOSE('Calc riepilogo'!$B$2,'Calc valanga'!$H115,'Calc palla di neve'!$H115,'Calc personalizzata'!$H115))</f>
        <v/>
      </c>
      <c r="F92" s="71" t="str">
        <f>IF($A92="","",CHOOSE('Calc riepilogo'!$B$2,'Calc valanga'!$G115,'Calc palla di neve'!$G115,'Calc personalizzata'!$G115))</f>
        <v/>
      </c>
      <c r="G92" s="72" t="n"/>
      <c r="H92" s="73" t="n"/>
      <c r="I92" s="74" t="str">
        <f>IF($A92="","",TRIM(IF(AND(N(K91)&gt;0,N(K92)&lt;=0.004),"✓ "&amp;'Calc base'!C$6&amp;"   ","")&amp;IF(AND(N(M91)&gt;0,N(M92)&lt;=0.004),"✓ "&amp;'Calc base'!D$6&amp;"   ","")&amp;IF(AND(N(O91)&gt;0,N(O92)&lt;=0.004),"✓ "&amp;'Calc base'!E$6&amp;"   ","")&amp;IF(AND(N(Q91)&gt;0,N(Q92)&lt;=0.004),"✓ "&amp;'Calc base'!F$6&amp;"   ","")&amp;IF(AND(N(S91)&gt;0,N(S92)&lt;=0.004),"✓ "&amp;'Calc base'!G$6&amp;"   ","")&amp;IF(AND(N(U91)&gt;0,N(U92)&lt;=0.004),"✓ "&amp;'Calc base'!H$6&amp;"   ","")&amp;IF(AND(N(W91)&gt;0,N(W92)&lt;=0.004),"✓ "&amp;'Calc base'!I$6&amp;"   ","")&amp;IF(AND(N(Y91)&gt;0,N(Y92)&lt;=0.004),"✓ "&amp;'Calc base'!J$6&amp;"   ","")&amp;IF(AND(N(AA91)&gt;0,N(AA92)&lt;=0.004),"✓ "&amp;'Calc base'!K$6&amp;"   ","")&amp;IF(AND(N(AC91)&gt;0,N(AC92)&lt;=0.004),"✓ "&amp;'Calc base'!L$6&amp;"   ","")&amp;IF(AND(N(AE91)&gt;0,N(AE92)&lt;=0.004),"✓ "&amp;'Calc base'!M$6&amp;"   ","")&amp;IF(AND(N(AG91)&gt;0,N(AG92)&lt;=0.004),"✓ "&amp;'Calc base'!N$6&amp;"   ","")))</f>
        <v/>
      </c>
      <c r="J92" s="70" t="str">
        <f>IF($A92="","",ROUND(N(K91)*(1+'Calc base'!H115),2)-K92)</f>
        <v/>
      </c>
      <c r="K92" s="75" t="str">
        <f>IF($A92="","",CHOOSE('Calc riepilogo'!$B$2,'Calc valanga'!AT115,'Calc palla di neve'!AT115,'Calc personalizzata'!AT115))</f>
        <v/>
      </c>
      <c r="L92" s="70" t="str">
        <f>IF($A92="","",ROUND(N(M91)*(1+'Calc base'!I115),2)-M92)</f>
        <v/>
      </c>
      <c r="M92" s="75" t="str">
        <f>IF($A92="","",CHOOSE('Calc riepilogo'!$B$2,'Calc valanga'!AU115,'Calc palla di neve'!AU115,'Calc personalizzata'!AU115))</f>
        <v/>
      </c>
      <c r="N92" s="70" t="str">
        <f>IF($A92="","",ROUND(N(O91)*(1+'Calc base'!J115),2)-O92)</f>
        <v/>
      </c>
      <c r="O92" s="75" t="str">
        <f>IF($A92="","",CHOOSE('Calc riepilogo'!$B$2,'Calc valanga'!AV115,'Calc palla di neve'!AV115,'Calc personalizzata'!AV115))</f>
        <v/>
      </c>
      <c r="P92" s="70" t="str">
        <f>IF($A92="","",ROUND(N(Q91)*(1+'Calc base'!K115),2)-Q92)</f>
        <v/>
      </c>
      <c r="Q92" s="75" t="str">
        <f>IF($A92="","",CHOOSE('Calc riepilogo'!$B$2,'Calc valanga'!AW115,'Calc palla di neve'!AW115,'Calc personalizzata'!AW115))</f>
        <v/>
      </c>
      <c r="R92" s="70" t="str">
        <f>IF($A92="","",ROUND(N(S91)*(1+'Calc base'!L115),2)-S92)</f>
        <v/>
      </c>
      <c r="S92" s="75" t="str">
        <f>IF($A92="","",CHOOSE('Calc riepilogo'!$B$2,'Calc valanga'!AX115,'Calc palla di neve'!AX115,'Calc personalizzata'!AX115))</f>
        <v/>
      </c>
      <c r="T92" s="70" t="str">
        <f>IF($A92="","",ROUND(N(U91)*(1+'Calc base'!M115),2)-U92)</f>
        <v/>
      </c>
      <c r="U92" s="75" t="str">
        <f>IF($A92="","",CHOOSE('Calc riepilogo'!$B$2,'Calc valanga'!AY115,'Calc palla di neve'!AY115,'Calc personalizzata'!AY115))</f>
        <v/>
      </c>
      <c r="V92" s="70" t="str">
        <f>IF($A92="","",ROUND(N(W91)*(1+'Calc base'!N115),2)-W92)</f>
        <v/>
      </c>
      <c r="W92" s="75" t="str">
        <f>IF($A92="","",CHOOSE('Calc riepilogo'!$B$2,'Calc valanga'!AZ115,'Calc palla di neve'!AZ115,'Calc personalizzata'!AZ115))</f>
        <v/>
      </c>
      <c r="X92" s="70" t="str">
        <f>IF($A92="","",ROUND(N(Y91)*(1+'Calc base'!O115),2)-Y92)</f>
        <v/>
      </c>
      <c r="Y92" s="75" t="str">
        <f>IF($A92="","",CHOOSE('Calc riepilogo'!$B$2,'Calc valanga'!BA115,'Calc palla di neve'!BA115,'Calc personalizzata'!BA115))</f>
        <v/>
      </c>
      <c r="Z92" s="70" t="str">
        <f>IF($A92="","",ROUND(N(AA91)*(1+'Calc base'!P115),2)-AA92)</f>
        <v/>
      </c>
      <c r="AA92" s="75" t="str">
        <f>IF($A92="","",CHOOSE('Calc riepilogo'!$B$2,'Calc valanga'!BB115,'Calc palla di neve'!BB115,'Calc personalizzata'!BB115))</f>
        <v/>
      </c>
      <c r="AB92" s="70" t="str">
        <f>IF($A92="","",ROUND(N(AC91)*(1+'Calc base'!Q115),2)-AC92)</f>
        <v/>
      </c>
      <c r="AC92" s="75" t="str">
        <f>IF($A92="","",CHOOSE('Calc riepilogo'!$B$2,'Calc valanga'!BC115,'Calc palla di neve'!BC115,'Calc personalizzata'!BC115))</f>
        <v/>
      </c>
      <c r="AD92" s="70" t="str">
        <f>IF($A92="","",ROUND(N(AE91)*(1+'Calc base'!R115),2)-AE92)</f>
        <v/>
      </c>
      <c r="AE92" s="75" t="str">
        <f>IF($A92="","",CHOOSE('Calc riepilogo'!$B$2,'Calc valanga'!BD115,'Calc palla di neve'!BD115,'Calc personalizzata'!BD115))</f>
        <v/>
      </c>
      <c r="AF92" s="70" t="str">
        <f>IF($A92="","",ROUND(N(AG91)*(1+'Calc base'!S115),2)-AG92)</f>
        <v/>
      </c>
      <c r="AG92" s="75" t="str">
        <f>IF($A92="","",CHOOSE('Calc riepilogo'!$B$2,'Calc valanga'!BE115,'Calc palla di neve'!BE115,'Calc personalizzata'!BE115))</f>
        <v/>
      </c>
      <c r="AI92" t="n">
        <v>85</v>
      </c>
    </row>
    <row r="93">
      <c r="A93" s="68" t="str">
        <f>IF(86&gt;'Calc riepilogo'!$B$7,"",'Calc base'!$B116)</f>
        <v/>
      </c>
      <c r="B93" s="69" t="str">
        <f>IF($A93="","",'Calc base'!$C116)</f>
        <v/>
      </c>
      <c r="C93" s="69" t="str">
        <f>IF($A93="","",'Calc base'!$E116)</f>
        <v/>
      </c>
      <c r="D93" s="70" t="str">
        <f>IF($A93="","",J93+L93+N93+P93+R93+T93+V93+X93+Z93+AB93+AD93+AF93)</f>
        <v/>
      </c>
      <c r="E93" s="70" t="str">
        <f>IF($A93="","",CHOOSE('Calc riepilogo'!$B$2,'Calc valanga'!$H116,'Calc palla di neve'!$H116,'Calc personalizzata'!$H116))</f>
        <v/>
      </c>
      <c r="F93" s="71" t="str">
        <f>IF($A93="","",CHOOSE('Calc riepilogo'!$B$2,'Calc valanga'!$G116,'Calc palla di neve'!$G116,'Calc personalizzata'!$G116))</f>
        <v/>
      </c>
      <c r="G93" s="72" t="n"/>
      <c r="H93" s="73" t="n"/>
      <c r="I93" s="74" t="str">
        <f>IF($A93="","",TRIM(IF(AND(N(K92)&gt;0,N(K93)&lt;=0.004),"✓ "&amp;'Calc base'!C$6&amp;"   ","")&amp;IF(AND(N(M92)&gt;0,N(M93)&lt;=0.004),"✓ "&amp;'Calc base'!D$6&amp;"   ","")&amp;IF(AND(N(O92)&gt;0,N(O93)&lt;=0.004),"✓ "&amp;'Calc base'!E$6&amp;"   ","")&amp;IF(AND(N(Q92)&gt;0,N(Q93)&lt;=0.004),"✓ "&amp;'Calc base'!F$6&amp;"   ","")&amp;IF(AND(N(S92)&gt;0,N(S93)&lt;=0.004),"✓ "&amp;'Calc base'!G$6&amp;"   ","")&amp;IF(AND(N(U92)&gt;0,N(U93)&lt;=0.004),"✓ "&amp;'Calc base'!H$6&amp;"   ","")&amp;IF(AND(N(W92)&gt;0,N(W93)&lt;=0.004),"✓ "&amp;'Calc base'!I$6&amp;"   ","")&amp;IF(AND(N(Y92)&gt;0,N(Y93)&lt;=0.004),"✓ "&amp;'Calc base'!J$6&amp;"   ","")&amp;IF(AND(N(AA92)&gt;0,N(AA93)&lt;=0.004),"✓ "&amp;'Calc base'!K$6&amp;"   ","")&amp;IF(AND(N(AC92)&gt;0,N(AC93)&lt;=0.004),"✓ "&amp;'Calc base'!L$6&amp;"   ","")&amp;IF(AND(N(AE92)&gt;0,N(AE93)&lt;=0.004),"✓ "&amp;'Calc base'!M$6&amp;"   ","")&amp;IF(AND(N(AG92)&gt;0,N(AG93)&lt;=0.004),"✓ "&amp;'Calc base'!N$6&amp;"   ","")))</f>
        <v/>
      </c>
      <c r="J93" s="70" t="str">
        <f>IF($A93="","",ROUND(N(K92)*(1+'Calc base'!H116),2)-K93)</f>
        <v/>
      </c>
      <c r="K93" s="75" t="str">
        <f>IF($A93="","",CHOOSE('Calc riepilogo'!$B$2,'Calc valanga'!AT116,'Calc palla di neve'!AT116,'Calc personalizzata'!AT116))</f>
        <v/>
      </c>
      <c r="L93" s="70" t="str">
        <f>IF($A93="","",ROUND(N(M92)*(1+'Calc base'!I116),2)-M93)</f>
        <v/>
      </c>
      <c r="M93" s="75" t="str">
        <f>IF($A93="","",CHOOSE('Calc riepilogo'!$B$2,'Calc valanga'!AU116,'Calc palla di neve'!AU116,'Calc personalizzata'!AU116))</f>
        <v/>
      </c>
      <c r="N93" s="70" t="str">
        <f>IF($A93="","",ROUND(N(O92)*(1+'Calc base'!J116),2)-O93)</f>
        <v/>
      </c>
      <c r="O93" s="75" t="str">
        <f>IF($A93="","",CHOOSE('Calc riepilogo'!$B$2,'Calc valanga'!AV116,'Calc palla di neve'!AV116,'Calc personalizzata'!AV116))</f>
        <v/>
      </c>
      <c r="P93" s="70" t="str">
        <f>IF($A93="","",ROUND(N(Q92)*(1+'Calc base'!K116),2)-Q93)</f>
        <v/>
      </c>
      <c r="Q93" s="75" t="str">
        <f>IF($A93="","",CHOOSE('Calc riepilogo'!$B$2,'Calc valanga'!AW116,'Calc palla di neve'!AW116,'Calc personalizzata'!AW116))</f>
        <v/>
      </c>
      <c r="R93" s="70" t="str">
        <f>IF($A93="","",ROUND(N(S92)*(1+'Calc base'!L116),2)-S93)</f>
        <v/>
      </c>
      <c r="S93" s="75" t="str">
        <f>IF($A93="","",CHOOSE('Calc riepilogo'!$B$2,'Calc valanga'!AX116,'Calc palla di neve'!AX116,'Calc personalizzata'!AX116))</f>
        <v/>
      </c>
      <c r="T93" s="70" t="str">
        <f>IF($A93="","",ROUND(N(U92)*(1+'Calc base'!M116),2)-U93)</f>
        <v/>
      </c>
      <c r="U93" s="75" t="str">
        <f>IF($A93="","",CHOOSE('Calc riepilogo'!$B$2,'Calc valanga'!AY116,'Calc palla di neve'!AY116,'Calc personalizzata'!AY116))</f>
        <v/>
      </c>
      <c r="V93" s="70" t="str">
        <f>IF($A93="","",ROUND(N(W92)*(1+'Calc base'!N116),2)-W93)</f>
        <v/>
      </c>
      <c r="W93" s="75" t="str">
        <f>IF($A93="","",CHOOSE('Calc riepilogo'!$B$2,'Calc valanga'!AZ116,'Calc palla di neve'!AZ116,'Calc personalizzata'!AZ116))</f>
        <v/>
      </c>
      <c r="X93" s="70" t="str">
        <f>IF($A93="","",ROUND(N(Y92)*(1+'Calc base'!O116),2)-Y93)</f>
        <v/>
      </c>
      <c r="Y93" s="75" t="str">
        <f>IF($A93="","",CHOOSE('Calc riepilogo'!$B$2,'Calc valanga'!BA116,'Calc palla di neve'!BA116,'Calc personalizzata'!BA116))</f>
        <v/>
      </c>
      <c r="Z93" s="70" t="str">
        <f>IF($A93="","",ROUND(N(AA92)*(1+'Calc base'!P116),2)-AA93)</f>
        <v/>
      </c>
      <c r="AA93" s="75" t="str">
        <f>IF($A93="","",CHOOSE('Calc riepilogo'!$B$2,'Calc valanga'!BB116,'Calc palla di neve'!BB116,'Calc personalizzata'!BB116))</f>
        <v/>
      </c>
      <c r="AB93" s="70" t="str">
        <f>IF($A93="","",ROUND(N(AC92)*(1+'Calc base'!Q116),2)-AC93)</f>
        <v/>
      </c>
      <c r="AC93" s="75" t="str">
        <f>IF($A93="","",CHOOSE('Calc riepilogo'!$B$2,'Calc valanga'!BC116,'Calc palla di neve'!BC116,'Calc personalizzata'!BC116))</f>
        <v/>
      </c>
      <c r="AD93" s="70" t="str">
        <f>IF($A93="","",ROUND(N(AE92)*(1+'Calc base'!R116),2)-AE93)</f>
        <v/>
      </c>
      <c r="AE93" s="75" t="str">
        <f>IF($A93="","",CHOOSE('Calc riepilogo'!$B$2,'Calc valanga'!BD116,'Calc palla di neve'!BD116,'Calc personalizzata'!BD116))</f>
        <v/>
      </c>
      <c r="AF93" s="70" t="str">
        <f>IF($A93="","",ROUND(N(AG92)*(1+'Calc base'!S116),2)-AG93)</f>
        <v/>
      </c>
      <c r="AG93" s="75" t="str">
        <f>IF($A93="","",CHOOSE('Calc riepilogo'!$B$2,'Calc valanga'!BE116,'Calc palla di neve'!BE116,'Calc personalizzata'!BE116))</f>
        <v/>
      </c>
      <c r="AI93" t="n">
        <v>86</v>
      </c>
    </row>
    <row r="94">
      <c r="A94" s="68" t="str">
        <f>IF(87&gt;'Calc riepilogo'!$B$7,"",'Calc base'!$B117)</f>
        <v/>
      </c>
      <c r="B94" s="69" t="str">
        <f>IF($A94="","",'Calc base'!$C117)</f>
        <v/>
      </c>
      <c r="C94" s="69" t="str">
        <f>IF($A94="","",'Calc base'!$E117)</f>
        <v/>
      </c>
      <c r="D94" s="70" t="str">
        <f>IF($A94="","",J94+L94+N94+P94+R94+T94+V94+X94+Z94+AB94+AD94+AF94)</f>
        <v/>
      </c>
      <c r="E94" s="70" t="str">
        <f>IF($A94="","",CHOOSE('Calc riepilogo'!$B$2,'Calc valanga'!$H117,'Calc palla di neve'!$H117,'Calc personalizzata'!$H117))</f>
        <v/>
      </c>
      <c r="F94" s="71" t="str">
        <f>IF($A94="","",CHOOSE('Calc riepilogo'!$B$2,'Calc valanga'!$G117,'Calc palla di neve'!$G117,'Calc personalizzata'!$G117))</f>
        <v/>
      </c>
      <c r="G94" s="72" t="n"/>
      <c r="H94" s="73" t="n"/>
      <c r="I94" s="74" t="str">
        <f>IF($A94="","",TRIM(IF(AND(N(K93)&gt;0,N(K94)&lt;=0.004),"✓ "&amp;'Calc base'!C$6&amp;"   ","")&amp;IF(AND(N(M93)&gt;0,N(M94)&lt;=0.004),"✓ "&amp;'Calc base'!D$6&amp;"   ","")&amp;IF(AND(N(O93)&gt;0,N(O94)&lt;=0.004),"✓ "&amp;'Calc base'!E$6&amp;"   ","")&amp;IF(AND(N(Q93)&gt;0,N(Q94)&lt;=0.004),"✓ "&amp;'Calc base'!F$6&amp;"   ","")&amp;IF(AND(N(S93)&gt;0,N(S94)&lt;=0.004),"✓ "&amp;'Calc base'!G$6&amp;"   ","")&amp;IF(AND(N(U93)&gt;0,N(U94)&lt;=0.004),"✓ "&amp;'Calc base'!H$6&amp;"   ","")&amp;IF(AND(N(W93)&gt;0,N(W94)&lt;=0.004),"✓ "&amp;'Calc base'!I$6&amp;"   ","")&amp;IF(AND(N(Y93)&gt;0,N(Y94)&lt;=0.004),"✓ "&amp;'Calc base'!J$6&amp;"   ","")&amp;IF(AND(N(AA93)&gt;0,N(AA94)&lt;=0.004),"✓ "&amp;'Calc base'!K$6&amp;"   ","")&amp;IF(AND(N(AC93)&gt;0,N(AC94)&lt;=0.004),"✓ "&amp;'Calc base'!L$6&amp;"   ","")&amp;IF(AND(N(AE93)&gt;0,N(AE94)&lt;=0.004),"✓ "&amp;'Calc base'!M$6&amp;"   ","")&amp;IF(AND(N(AG93)&gt;0,N(AG94)&lt;=0.004),"✓ "&amp;'Calc base'!N$6&amp;"   ","")))</f>
        <v/>
      </c>
      <c r="J94" s="70" t="str">
        <f>IF($A94="","",ROUND(N(K93)*(1+'Calc base'!H117),2)-K94)</f>
        <v/>
      </c>
      <c r="K94" s="75" t="str">
        <f>IF($A94="","",CHOOSE('Calc riepilogo'!$B$2,'Calc valanga'!AT117,'Calc palla di neve'!AT117,'Calc personalizzata'!AT117))</f>
        <v/>
      </c>
      <c r="L94" s="70" t="str">
        <f>IF($A94="","",ROUND(N(M93)*(1+'Calc base'!I117),2)-M94)</f>
        <v/>
      </c>
      <c r="M94" s="75" t="str">
        <f>IF($A94="","",CHOOSE('Calc riepilogo'!$B$2,'Calc valanga'!AU117,'Calc palla di neve'!AU117,'Calc personalizzata'!AU117))</f>
        <v/>
      </c>
      <c r="N94" s="70" t="str">
        <f>IF($A94="","",ROUND(N(O93)*(1+'Calc base'!J117),2)-O94)</f>
        <v/>
      </c>
      <c r="O94" s="75" t="str">
        <f>IF($A94="","",CHOOSE('Calc riepilogo'!$B$2,'Calc valanga'!AV117,'Calc palla di neve'!AV117,'Calc personalizzata'!AV117))</f>
        <v/>
      </c>
      <c r="P94" s="70" t="str">
        <f>IF($A94="","",ROUND(N(Q93)*(1+'Calc base'!K117),2)-Q94)</f>
        <v/>
      </c>
      <c r="Q94" s="75" t="str">
        <f>IF($A94="","",CHOOSE('Calc riepilogo'!$B$2,'Calc valanga'!AW117,'Calc palla di neve'!AW117,'Calc personalizzata'!AW117))</f>
        <v/>
      </c>
      <c r="R94" s="70" t="str">
        <f>IF($A94="","",ROUND(N(S93)*(1+'Calc base'!L117),2)-S94)</f>
        <v/>
      </c>
      <c r="S94" s="75" t="str">
        <f>IF($A94="","",CHOOSE('Calc riepilogo'!$B$2,'Calc valanga'!AX117,'Calc palla di neve'!AX117,'Calc personalizzata'!AX117))</f>
        <v/>
      </c>
      <c r="T94" s="70" t="str">
        <f>IF($A94="","",ROUND(N(U93)*(1+'Calc base'!M117),2)-U94)</f>
        <v/>
      </c>
      <c r="U94" s="75" t="str">
        <f>IF($A94="","",CHOOSE('Calc riepilogo'!$B$2,'Calc valanga'!AY117,'Calc palla di neve'!AY117,'Calc personalizzata'!AY117))</f>
        <v/>
      </c>
      <c r="V94" s="70" t="str">
        <f>IF($A94="","",ROUND(N(W93)*(1+'Calc base'!N117),2)-W94)</f>
        <v/>
      </c>
      <c r="W94" s="75" t="str">
        <f>IF($A94="","",CHOOSE('Calc riepilogo'!$B$2,'Calc valanga'!AZ117,'Calc palla di neve'!AZ117,'Calc personalizzata'!AZ117))</f>
        <v/>
      </c>
      <c r="X94" s="70" t="str">
        <f>IF($A94="","",ROUND(N(Y93)*(1+'Calc base'!O117),2)-Y94)</f>
        <v/>
      </c>
      <c r="Y94" s="75" t="str">
        <f>IF($A94="","",CHOOSE('Calc riepilogo'!$B$2,'Calc valanga'!BA117,'Calc palla di neve'!BA117,'Calc personalizzata'!BA117))</f>
        <v/>
      </c>
      <c r="Z94" s="70" t="str">
        <f>IF($A94="","",ROUND(N(AA93)*(1+'Calc base'!P117),2)-AA94)</f>
        <v/>
      </c>
      <c r="AA94" s="75" t="str">
        <f>IF($A94="","",CHOOSE('Calc riepilogo'!$B$2,'Calc valanga'!BB117,'Calc palla di neve'!BB117,'Calc personalizzata'!BB117))</f>
        <v/>
      </c>
      <c r="AB94" s="70" t="str">
        <f>IF($A94="","",ROUND(N(AC93)*(1+'Calc base'!Q117),2)-AC94)</f>
        <v/>
      </c>
      <c r="AC94" s="75" t="str">
        <f>IF($A94="","",CHOOSE('Calc riepilogo'!$B$2,'Calc valanga'!BC117,'Calc palla di neve'!BC117,'Calc personalizzata'!BC117))</f>
        <v/>
      </c>
      <c r="AD94" s="70" t="str">
        <f>IF($A94="","",ROUND(N(AE93)*(1+'Calc base'!R117),2)-AE94)</f>
        <v/>
      </c>
      <c r="AE94" s="75" t="str">
        <f>IF($A94="","",CHOOSE('Calc riepilogo'!$B$2,'Calc valanga'!BD117,'Calc palla di neve'!BD117,'Calc personalizzata'!BD117))</f>
        <v/>
      </c>
      <c r="AF94" s="70" t="str">
        <f>IF($A94="","",ROUND(N(AG93)*(1+'Calc base'!S117),2)-AG94)</f>
        <v/>
      </c>
      <c r="AG94" s="75" t="str">
        <f>IF($A94="","",CHOOSE('Calc riepilogo'!$B$2,'Calc valanga'!BE117,'Calc palla di neve'!BE117,'Calc personalizzata'!BE117))</f>
        <v/>
      </c>
      <c r="AI94" t="n">
        <v>87</v>
      </c>
    </row>
    <row r="95">
      <c r="A95" s="68" t="str">
        <f>IF(88&gt;'Calc riepilogo'!$B$7,"",'Calc base'!$B118)</f>
        <v/>
      </c>
      <c r="B95" s="69" t="str">
        <f>IF($A95="","",'Calc base'!$C118)</f>
        <v/>
      </c>
      <c r="C95" s="69" t="str">
        <f>IF($A95="","",'Calc base'!$E118)</f>
        <v/>
      </c>
      <c r="D95" s="70" t="str">
        <f>IF($A95="","",J95+L95+N95+P95+R95+T95+V95+X95+Z95+AB95+AD95+AF95)</f>
        <v/>
      </c>
      <c r="E95" s="70" t="str">
        <f>IF($A95="","",CHOOSE('Calc riepilogo'!$B$2,'Calc valanga'!$H118,'Calc palla di neve'!$H118,'Calc personalizzata'!$H118))</f>
        <v/>
      </c>
      <c r="F95" s="71" t="str">
        <f>IF($A95="","",CHOOSE('Calc riepilogo'!$B$2,'Calc valanga'!$G118,'Calc palla di neve'!$G118,'Calc personalizzata'!$G118))</f>
        <v/>
      </c>
      <c r="G95" s="72" t="n"/>
      <c r="H95" s="73" t="n"/>
      <c r="I95" s="74" t="str">
        <f>IF($A95="","",TRIM(IF(AND(N(K94)&gt;0,N(K95)&lt;=0.004),"✓ "&amp;'Calc base'!C$6&amp;"   ","")&amp;IF(AND(N(M94)&gt;0,N(M95)&lt;=0.004),"✓ "&amp;'Calc base'!D$6&amp;"   ","")&amp;IF(AND(N(O94)&gt;0,N(O95)&lt;=0.004),"✓ "&amp;'Calc base'!E$6&amp;"   ","")&amp;IF(AND(N(Q94)&gt;0,N(Q95)&lt;=0.004),"✓ "&amp;'Calc base'!F$6&amp;"   ","")&amp;IF(AND(N(S94)&gt;0,N(S95)&lt;=0.004),"✓ "&amp;'Calc base'!G$6&amp;"   ","")&amp;IF(AND(N(U94)&gt;0,N(U95)&lt;=0.004),"✓ "&amp;'Calc base'!H$6&amp;"   ","")&amp;IF(AND(N(W94)&gt;0,N(W95)&lt;=0.004),"✓ "&amp;'Calc base'!I$6&amp;"   ","")&amp;IF(AND(N(Y94)&gt;0,N(Y95)&lt;=0.004),"✓ "&amp;'Calc base'!J$6&amp;"   ","")&amp;IF(AND(N(AA94)&gt;0,N(AA95)&lt;=0.004),"✓ "&amp;'Calc base'!K$6&amp;"   ","")&amp;IF(AND(N(AC94)&gt;0,N(AC95)&lt;=0.004),"✓ "&amp;'Calc base'!L$6&amp;"   ","")&amp;IF(AND(N(AE94)&gt;0,N(AE95)&lt;=0.004),"✓ "&amp;'Calc base'!M$6&amp;"   ","")&amp;IF(AND(N(AG94)&gt;0,N(AG95)&lt;=0.004),"✓ "&amp;'Calc base'!N$6&amp;"   ","")))</f>
        <v/>
      </c>
      <c r="J95" s="70" t="str">
        <f>IF($A95="","",ROUND(N(K94)*(1+'Calc base'!H118),2)-K95)</f>
        <v/>
      </c>
      <c r="K95" s="75" t="str">
        <f>IF($A95="","",CHOOSE('Calc riepilogo'!$B$2,'Calc valanga'!AT118,'Calc palla di neve'!AT118,'Calc personalizzata'!AT118))</f>
        <v/>
      </c>
      <c r="L95" s="70" t="str">
        <f>IF($A95="","",ROUND(N(M94)*(1+'Calc base'!I118),2)-M95)</f>
        <v/>
      </c>
      <c r="M95" s="75" t="str">
        <f>IF($A95="","",CHOOSE('Calc riepilogo'!$B$2,'Calc valanga'!AU118,'Calc palla di neve'!AU118,'Calc personalizzata'!AU118))</f>
        <v/>
      </c>
      <c r="N95" s="70" t="str">
        <f>IF($A95="","",ROUND(N(O94)*(1+'Calc base'!J118),2)-O95)</f>
        <v/>
      </c>
      <c r="O95" s="75" t="str">
        <f>IF($A95="","",CHOOSE('Calc riepilogo'!$B$2,'Calc valanga'!AV118,'Calc palla di neve'!AV118,'Calc personalizzata'!AV118))</f>
        <v/>
      </c>
      <c r="P95" s="70" t="str">
        <f>IF($A95="","",ROUND(N(Q94)*(1+'Calc base'!K118),2)-Q95)</f>
        <v/>
      </c>
      <c r="Q95" s="75" t="str">
        <f>IF($A95="","",CHOOSE('Calc riepilogo'!$B$2,'Calc valanga'!AW118,'Calc palla di neve'!AW118,'Calc personalizzata'!AW118))</f>
        <v/>
      </c>
      <c r="R95" s="70" t="str">
        <f>IF($A95="","",ROUND(N(S94)*(1+'Calc base'!L118),2)-S95)</f>
        <v/>
      </c>
      <c r="S95" s="75" t="str">
        <f>IF($A95="","",CHOOSE('Calc riepilogo'!$B$2,'Calc valanga'!AX118,'Calc palla di neve'!AX118,'Calc personalizzata'!AX118))</f>
        <v/>
      </c>
      <c r="T95" s="70" t="str">
        <f>IF($A95="","",ROUND(N(U94)*(1+'Calc base'!M118),2)-U95)</f>
        <v/>
      </c>
      <c r="U95" s="75" t="str">
        <f>IF($A95="","",CHOOSE('Calc riepilogo'!$B$2,'Calc valanga'!AY118,'Calc palla di neve'!AY118,'Calc personalizzata'!AY118))</f>
        <v/>
      </c>
      <c r="V95" s="70" t="str">
        <f>IF($A95="","",ROUND(N(W94)*(1+'Calc base'!N118),2)-W95)</f>
        <v/>
      </c>
      <c r="W95" s="75" t="str">
        <f>IF($A95="","",CHOOSE('Calc riepilogo'!$B$2,'Calc valanga'!AZ118,'Calc palla di neve'!AZ118,'Calc personalizzata'!AZ118))</f>
        <v/>
      </c>
      <c r="X95" s="70" t="str">
        <f>IF($A95="","",ROUND(N(Y94)*(1+'Calc base'!O118),2)-Y95)</f>
        <v/>
      </c>
      <c r="Y95" s="75" t="str">
        <f>IF($A95="","",CHOOSE('Calc riepilogo'!$B$2,'Calc valanga'!BA118,'Calc palla di neve'!BA118,'Calc personalizzata'!BA118))</f>
        <v/>
      </c>
      <c r="Z95" s="70" t="str">
        <f>IF($A95="","",ROUND(N(AA94)*(1+'Calc base'!P118),2)-AA95)</f>
        <v/>
      </c>
      <c r="AA95" s="75" t="str">
        <f>IF($A95="","",CHOOSE('Calc riepilogo'!$B$2,'Calc valanga'!BB118,'Calc palla di neve'!BB118,'Calc personalizzata'!BB118))</f>
        <v/>
      </c>
      <c r="AB95" s="70" t="str">
        <f>IF($A95="","",ROUND(N(AC94)*(1+'Calc base'!Q118),2)-AC95)</f>
        <v/>
      </c>
      <c r="AC95" s="75" t="str">
        <f>IF($A95="","",CHOOSE('Calc riepilogo'!$B$2,'Calc valanga'!BC118,'Calc palla di neve'!BC118,'Calc personalizzata'!BC118))</f>
        <v/>
      </c>
      <c r="AD95" s="70" t="str">
        <f>IF($A95="","",ROUND(N(AE94)*(1+'Calc base'!R118),2)-AE95)</f>
        <v/>
      </c>
      <c r="AE95" s="75" t="str">
        <f>IF($A95="","",CHOOSE('Calc riepilogo'!$B$2,'Calc valanga'!BD118,'Calc palla di neve'!BD118,'Calc personalizzata'!BD118))</f>
        <v/>
      </c>
      <c r="AF95" s="70" t="str">
        <f>IF($A95="","",ROUND(N(AG94)*(1+'Calc base'!S118),2)-AG95)</f>
        <v/>
      </c>
      <c r="AG95" s="75" t="str">
        <f>IF($A95="","",CHOOSE('Calc riepilogo'!$B$2,'Calc valanga'!BE118,'Calc palla di neve'!BE118,'Calc personalizzata'!BE118))</f>
        <v/>
      </c>
      <c r="AI95" t="n">
        <v>88</v>
      </c>
    </row>
    <row r="96">
      <c r="A96" s="68" t="str">
        <f>IF(89&gt;'Calc riepilogo'!$B$7,"",'Calc base'!$B119)</f>
        <v/>
      </c>
      <c r="B96" s="69" t="str">
        <f>IF($A96="","",'Calc base'!$C119)</f>
        <v/>
      </c>
      <c r="C96" s="69" t="str">
        <f>IF($A96="","",'Calc base'!$E119)</f>
        <v/>
      </c>
      <c r="D96" s="70" t="str">
        <f>IF($A96="","",J96+L96+N96+P96+R96+T96+V96+X96+Z96+AB96+AD96+AF96)</f>
        <v/>
      </c>
      <c r="E96" s="70" t="str">
        <f>IF($A96="","",CHOOSE('Calc riepilogo'!$B$2,'Calc valanga'!$H119,'Calc palla di neve'!$H119,'Calc personalizzata'!$H119))</f>
        <v/>
      </c>
      <c r="F96" s="71" t="str">
        <f>IF($A96="","",CHOOSE('Calc riepilogo'!$B$2,'Calc valanga'!$G119,'Calc palla di neve'!$G119,'Calc personalizzata'!$G119))</f>
        <v/>
      </c>
      <c r="G96" s="72" t="n"/>
      <c r="H96" s="73" t="n"/>
      <c r="I96" s="74" t="str">
        <f>IF($A96="","",TRIM(IF(AND(N(K95)&gt;0,N(K96)&lt;=0.004),"✓ "&amp;'Calc base'!C$6&amp;"   ","")&amp;IF(AND(N(M95)&gt;0,N(M96)&lt;=0.004),"✓ "&amp;'Calc base'!D$6&amp;"   ","")&amp;IF(AND(N(O95)&gt;0,N(O96)&lt;=0.004),"✓ "&amp;'Calc base'!E$6&amp;"   ","")&amp;IF(AND(N(Q95)&gt;0,N(Q96)&lt;=0.004),"✓ "&amp;'Calc base'!F$6&amp;"   ","")&amp;IF(AND(N(S95)&gt;0,N(S96)&lt;=0.004),"✓ "&amp;'Calc base'!G$6&amp;"   ","")&amp;IF(AND(N(U95)&gt;0,N(U96)&lt;=0.004),"✓ "&amp;'Calc base'!H$6&amp;"   ","")&amp;IF(AND(N(W95)&gt;0,N(W96)&lt;=0.004),"✓ "&amp;'Calc base'!I$6&amp;"   ","")&amp;IF(AND(N(Y95)&gt;0,N(Y96)&lt;=0.004),"✓ "&amp;'Calc base'!J$6&amp;"   ","")&amp;IF(AND(N(AA95)&gt;0,N(AA96)&lt;=0.004),"✓ "&amp;'Calc base'!K$6&amp;"   ","")&amp;IF(AND(N(AC95)&gt;0,N(AC96)&lt;=0.004),"✓ "&amp;'Calc base'!L$6&amp;"   ","")&amp;IF(AND(N(AE95)&gt;0,N(AE96)&lt;=0.004),"✓ "&amp;'Calc base'!M$6&amp;"   ","")&amp;IF(AND(N(AG95)&gt;0,N(AG96)&lt;=0.004),"✓ "&amp;'Calc base'!N$6&amp;"   ","")))</f>
        <v/>
      </c>
      <c r="J96" s="70" t="str">
        <f>IF($A96="","",ROUND(N(K95)*(1+'Calc base'!H119),2)-K96)</f>
        <v/>
      </c>
      <c r="K96" s="75" t="str">
        <f>IF($A96="","",CHOOSE('Calc riepilogo'!$B$2,'Calc valanga'!AT119,'Calc palla di neve'!AT119,'Calc personalizzata'!AT119))</f>
        <v/>
      </c>
      <c r="L96" s="70" t="str">
        <f>IF($A96="","",ROUND(N(M95)*(1+'Calc base'!I119),2)-M96)</f>
        <v/>
      </c>
      <c r="M96" s="75" t="str">
        <f>IF($A96="","",CHOOSE('Calc riepilogo'!$B$2,'Calc valanga'!AU119,'Calc palla di neve'!AU119,'Calc personalizzata'!AU119))</f>
        <v/>
      </c>
      <c r="N96" s="70" t="str">
        <f>IF($A96="","",ROUND(N(O95)*(1+'Calc base'!J119),2)-O96)</f>
        <v/>
      </c>
      <c r="O96" s="75" t="str">
        <f>IF($A96="","",CHOOSE('Calc riepilogo'!$B$2,'Calc valanga'!AV119,'Calc palla di neve'!AV119,'Calc personalizzata'!AV119))</f>
        <v/>
      </c>
      <c r="P96" s="70" t="str">
        <f>IF($A96="","",ROUND(N(Q95)*(1+'Calc base'!K119),2)-Q96)</f>
        <v/>
      </c>
      <c r="Q96" s="75" t="str">
        <f>IF($A96="","",CHOOSE('Calc riepilogo'!$B$2,'Calc valanga'!AW119,'Calc palla di neve'!AW119,'Calc personalizzata'!AW119))</f>
        <v/>
      </c>
      <c r="R96" s="70" t="str">
        <f>IF($A96="","",ROUND(N(S95)*(1+'Calc base'!L119),2)-S96)</f>
        <v/>
      </c>
      <c r="S96" s="75" t="str">
        <f>IF($A96="","",CHOOSE('Calc riepilogo'!$B$2,'Calc valanga'!AX119,'Calc palla di neve'!AX119,'Calc personalizzata'!AX119))</f>
        <v/>
      </c>
      <c r="T96" s="70" t="str">
        <f>IF($A96="","",ROUND(N(U95)*(1+'Calc base'!M119),2)-U96)</f>
        <v/>
      </c>
      <c r="U96" s="75" t="str">
        <f>IF($A96="","",CHOOSE('Calc riepilogo'!$B$2,'Calc valanga'!AY119,'Calc palla di neve'!AY119,'Calc personalizzata'!AY119))</f>
        <v/>
      </c>
      <c r="V96" s="70" t="str">
        <f>IF($A96="","",ROUND(N(W95)*(1+'Calc base'!N119),2)-W96)</f>
        <v/>
      </c>
      <c r="W96" s="75" t="str">
        <f>IF($A96="","",CHOOSE('Calc riepilogo'!$B$2,'Calc valanga'!AZ119,'Calc palla di neve'!AZ119,'Calc personalizzata'!AZ119))</f>
        <v/>
      </c>
      <c r="X96" s="70" t="str">
        <f>IF($A96="","",ROUND(N(Y95)*(1+'Calc base'!O119),2)-Y96)</f>
        <v/>
      </c>
      <c r="Y96" s="75" t="str">
        <f>IF($A96="","",CHOOSE('Calc riepilogo'!$B$2,'Calc valanga'!BA119,'Calc palla di neve'!BA119,'Calc personalizzata'!BA119))</f>
        <v/>
      </c>
      <c r="Z96" s="70" t="str">
        <f>IF($A96="","",ROUND(N(AA95)*(1+'Calc base'!P119),2)-AA96)</f>
        <v/>
      </c>
      <c r="AA96" s="75" t="str">
        <f>IF($A96="","",CHOOSE('Calc riepilogo'!$B$2,'Calc valanga'!BB119,'Calc palla di neve'!BB119,'Calc personalizzata'!BB119))</f>
        <v/>
      </c>
      <c r="AB96" s="70" t="str">
        <f>IF($A96="","",ROUND(N(AC95)*(1+'Calc base'!Q119),2)-AC96)</f>
        <v/>
      </c>
      <c r="AC96" s="75" t="str">
        <f>IF($A96="","",CHOOSE('Calc riepilogo'!$B$2,'Calc valanga'!BC119,'Calc palla di neve'!BC119,'Calc personalizzata'!BC119))</f>
        <v/>
      </c>
      <c r="AD96" s="70" t="str">
        <f>IF($A96="","",ROUND(N(AE95)*(1+'Calc base'!R119),2)-AE96)</f>
        <v/>
      </c>
      <c r="AE96" s="75" t="str">
        <f>IF($A96="","",CHOOSE('Calc riepilogo'!$B$2,'Calc valanga'!BD119,'Calc palla di neve'!BD119,'Calc personalizzata'!BD119))</f>
        <v/>
      </c>
      <c r="AF96" s="70" t="str">
        <f>IF($A96="","",ROUND(N(AG95)*(1+'Calc base'!S119),2)-AG96)</f>
        <v/>
      </c>
      <c r="AG96" s="75" t="str">
        <f>IF($A96="","",CHOOSE('Calc riepilogo'!$B$2,'Calc valanga'!BE119,'Calc palla di neve'!BE119,'Calc personalizzata'!BE119))</f>
        <v/>
      </c>
      <c r="AI96" t="n">
        <v>89</v>
      </c>
    </row>
    <row r="97">
      <c r="A97" s="68" t="str">
        <f>IF(90&gt;'Calc riepilogo'!$B$7,"",'Calc base'!$B120)</f>
        <v/>
      </c>
      <c r="B97" s="69" t="str">
        <f>IF($A97="","",'Calc base'!$C120)</f>
        <v/>
      </c>
      <c r="C97" s="69" t="str">
        <f>IF($A97="","",'Calc base'!$E120)</f>
        <v/>
      </c>
      <c r="D97" s="70" t="str">
        <f>IF($A97="","",J97+L97+N97+P97+R97+T97+V97+X97+Z97+AB97+AD97+AF97)</f>
        <v/>
      </c>
      <c r="E97" s="70" t="str">
        <f>IF($A97="","",CHOOSE('Calc riepilogo'!$B$2,'Calc valanga'!$H120,'Calc palla di neve'!$H120,'Calc personalizzata'!$H120))</f>
        <v/>
      </c>
      <c r="F97" s="71" t="str">
        <f>IF($A97="","",CHOOSE('Calc riepilogo'!$B$2,'Calc valanga'!$G120,'Calc palla di neve'!$G120,'Calc personalizzata'!$G120))</f>
        <v/>
      </c>
      <c r="G97" s="72" t="n"/>
      <c r="H97" s="73" t="n"/>
      <c r="I97" s="74" t="str">
        <f>IF($A97="","",TRIM(IF(AND(N(K96)&gt;0,N(K97)&lt;=0.004),"✓ "&amp;'Calc base'!C$6&amp;"   ","")&amp;IF(AND(N(M96)&gt;0,N(M97)&lt;=0.004),"✓ "&amp;'Calc base'!D$6&amp;"   ","")&amp;IF(AND(N(O96)&gt;0,N(O97)&lt;=0.004),"✓ "&amp;'Calc base'!E$6&amp;"   ","")&amp;IF(AND(N(Q96)&gt;0,N(Q97)&lt;=0.004),"✓ "&amp;'Calc base'!F$6&amp;"   ","")&amp;IF(AND(N(S96)&gt;0,N(S97)&lt;=0.004),"✓ "&amp;'Calc base'!G$6&amp;"   ","")&amp;IF(AND(N(U96)&gt;0,N(U97)&lt;=0.004),"✓ "&amp;'Calc base'!H$6&amp;"   ","")&amp;IF(AND(N(W96)&gt;0,N(W97)&lt;=0.004),"✓ "&amp;'Calc base'!I$6&amp;"   ","")&amp;IF(AND(N(Y96)&gt;0,N(Y97)&lt;=0.004),"✓ "&amp;'Calc base'!J$6&amp;"   ","")&amp;IF(AND(N(AA96)&gt;0,N(AA97)&lt;=0.004),"✓ "&amp;'Calc base'!K$6&amp;"   ","")&amp;IF(AND(N(AC96)&gt;0,N(AC97)&lt;=0.004),"✓ "&amp;'Calc base'!L$6&amp;"   ","")&amp;IF(AND(N(AE96)&gt;0,N(AE97)&lt;=0.004),"✓ "&amp;'Calc base'!M$6&amp;"   ","")&amp;IF(AND(N(AG96)&gt;0,N(AG97)&lt;=0.004),"✓ "&amp;'Calc base'!N$6&amp;"   ","")))</f>
        <v/>
      </c>
      <c r="J97" s="70" t="str">
        <f>IF($A97="","",ROUND(N(K96)*(1+'Calc base'!H120),2)-K97)</f>
        <v/>
      </c>
      <c r="K97" s="75" t="str">
        <f>IF($A97="","",CHOOSE('Calc riepilogo'!$B$2,'Calc valanga'!AT120,'Calc palla di neve'!AT120,'Calc personalizzata'!AT120))</f>
        <v/>
      </c>
      <c r="L97" s="70" t="str">
        <f>IF($A97="","",ROUND(N(M96)*(1+'Calc base'!I120),2)-M97)</f>
        <v/>
      </c>
      <c r="M97" s="75" t="str">
        <f>IF($A97="","",CHOOSE('Calc riepilogo'!$B$2,'Calc valanga'!AU120,'Calc palla di neve'!AU120,'Calc personalizzata'!AU120))</f>
        <v/>
      </c>
      <c r="N97" s="70" t="str">
        <f>IF($A97="","",ROUND(N(O96)*(1+'Calc base'!J120),2)-O97)</f>
        <v/>
      </c>
      <c r="O97" s="75" t="str">
        <f>IF($A97="","",CHOOSE('Calc riepilogo'!$B$2,'Calc valanga'!AV120,'Calc palla di neve'!AV120,'Calc personalizzata'!AV120))</f>
        <v/>
      </c>
      <c r="P97" s="70" t="str">
        <f>IF($A97="","",ROUND(N(Q96)*(1+'Calc base'!K120),2)-Q97)</f>
        <v/>
      </c>
      <c r="Q97" s="75" t="str">
        <f>IF($A97="","",CHOOSE('Calc riepilogo'!$B$2,'Calc valanga'!AW120,'Calc palla di neve'!AW120,'Calc personalizzata'!AW120))</f>
        <v/>
      </c>
      <c r="R97" s="70" t="str">
        <f>IF($A97="","",ROUND(N(S96)*(1+'Calc base'!L120),2)-S97)</f>
        <v/>
      </c>
      <c r="S97" s="75" t="str">
        <f>IF($A97="","",CHOOSE('Calc riepilogo'!$B$2,'Calc valanga'!AX120,'Calc palla di neve'!AX120,'Calc personalizzata'!AX120))</f>
        <v/>
      </c>
      <c r="T97" s="70" t="str">
        <f>IF($A97="","",ROUND(N(U96)*(1+'Calc base'!M120),2)-U97)</f>
        <v/>
      </c>
      <c r="U97" s="75" t="str">
        <f>IF($A97="","",CHOOSE('Calc riepilogo'!$B$2,'Calc valanga'!AY120,'Calc palla di neve'!AY120,'Calc personalizzata'!AY120))</f>
        <v/>
      </c>
      <c r="V97" s="70" t="str">
        <f>IF($A97="","",ROUND(N(W96)*(1+'Calc base'!N120),2)-W97)</f>
        <v/>
      </c>
      <c r="W97" s="75" t="str">
        <f>IF($A97="","",CHOOSE('Calc riepilogo'!$B$2,'Calc valanga'!AZ120,'Calc palla di neve'!AZ120,'Calc personalizzata'!AZ120))</f>
        <v/>
      </c>
      <c r="X97" s="70" t="str">
        <f>IF($A97="","",ROUND(N(Y96)*(1+'Calc base'!O120),2)-Y97)</f>
        <v/>
      </c>
      <c r="Y97" s="75" t="str">
        <f>IF($A97="","",CHOOSE('Calc riepilogo'!$B$2,'Calc valanga'!BA120,'Calc palla di neve'!BA120,'Calc personalizzata'!BA120))</f>
        <v/>
      </c>
      <c r="Z97" s="70" t="str">
        <f>IF($A97="","",ROUND(N(AA96)*(1+'Calc base'!P120),2)-AA97)</f>
        <v/>
      </c>
      <c r="AA97" s="75" t="str">
        <f>IF($A97="","",CHOOSE('Calc riepilogo'!$B$2,'Calc valanga'!BB120,'Calc palla di neve'!BB120,'Calc personalizzata'!BB120))</f>
        <v/>
      </c>
      <c r="AB97" s="70" t="str">
        <f>IF($A97="","",ROUND(N(AC96)*(1+'Calc base'!Q120),2)-AC97)</f>
        <v/>
      </c>
      <c r="AC97" s="75" t="str">
        <f>IF($A97="","",CHOOSE('Calc riepilogo'!$B$2,'Calc valanga'!BC120,'Calc palla di neve'!BC120,'Calc personalizzata'!BC120))</f>
        <v/>
      </c>
      <c r="AD97" s="70" t="str">
        <f>IF($A97="","",ROUND(N(AE96)*(1+'Calc base'!R120),2)-AE97)</f>
        <v/>
      </c>
      <c r="AE97" s="75" t="str">
        <f>IF($A97="","",CHOOSE('Calc riepilogo'!$B$2,'Calc valanga'!BD120,'Calc palla di neve'!BD120,'Calc personalizzata'!BD120))</f>
        <v/>
      </c>
      <c r="AF97" s="70" t="str">
        <f>IF($A97="","",ROUND(N(AG96)*(1+'Calc base'!S120),2)-AG97)</f>
        <v/>
      </c>
      <c r="AG97" s="75" t="str">
        <f>IF($A97="","",CHOOSE('Calc riepilogo'!$B$2,'Calc valanga'!BE120,'Calc palla di neve'!BE120,'Calc personalizzata'!BE120))</f>
        <v/>
      </c>
      <c r="AI97" t="n">
        <v>90</v>
      </c>
    </row>
    <row r="98">
      <c r="A98" s="68" t="str">
        <f>IF(91&gt;'Calc riepilogo'!$B$7,"",'Calc base'!$B121)</f>
        <v/>
      </c>
      <c r="B98" s="69" t="str">
        <f>IF($A98="","",'Calc base'!$C121)</f>
        <v/>
      </c>
      <c r="C98" s="69" t="str">
        <f>IF($A98="","",'Calc base'!$E121)</f>
        <v/>
      </c>
      <c r="D98" s="70" t="str">
        <f>IF($A98="","",J98+L98+N98+P98+R98+T98+V98+X98+Z98+AB98+AD98+AF98)</f>
        <v/>
      </c>
      <c r="E98" s="70" t="str">
        <f>IF($A98="","",CHOOSE('Calc riepilogo'!$B$2,'Calc valanga'!$H121,'Calc palla di neve'!$H121,'Calc personalizzata'!$H121))</f>
        <v/>
      </c>
      <c r="F98" s="71" t="str">
        <f>IF($A98="","",CHOOSE('Calc riepilogo'!$B$2,'Calc valanga'!$G121,'Calc palla di neve'!$G121,'Calc personalizzata'!$G121))</f>
        <v/>
      </c>
      <c r="G98" s="72" t="n"/>
      <c r="H98" s="73" t="n"/>
      <c r="I98" s="74" t="str">
        <f>IF($A98="","",TRIM(IF(AND(N(K97)&gt;0,N(K98)&lt;=0.004),"✓ "&amp;'Calc base'!C$6&amp;"   ","")&amp;IF(AND(N(M97)&gt;0,N(M98)&lt;=0.004),"✓ "&amp;'Calc base'!D$6&amp;"   ","")&amp;IF(AND(N(O97)&gt;0,N(O98)&lt;=0.004),"✓ "&amp;'Calc base'!E$6&amp;"   ","")&amp;IF(AND(N(Q97)&gt;0,N(Q98)&lt;=0.004),"✓ "&amp;'Calc base'!F$6&amp;"   ","")&amp;IF(AND(N(S97)&gt;0,N(S98)&lt;=0.004),"✓ "&amp;'Calc base'!G$6&amp;"   ","")&amp;IF(AND(N(U97)&gt;0,N(U98)&lt;=0.004),"✓ "&amp;'Calc base'!H$6&amp;"   ","")&amp;IF(AND(N(W97)&gt;0,N(W98)&lt;=0.004),"✓ "&amp;'Calc base'!I$6&amp;"   ","")&amp;IF(AND(N(Y97)&gt;0,N(Y98)&lt;=0.004),"✓ "&amp;'Calc base'!J$6&amp;"   ","")&amp;IF(AND(N(AA97)&gt;0,N(AA98)&lt;=0.004),"✓ "&amp;'Calc base'!K$6&amp;"   ","")&amp;IF(AND(N(AC97)&gt;0,N(AC98)&lt;=0.004),"✓ "&amp;'Calc base'!L$6&amp;"   ","")&amp;IF(AND(N(AE97)&gt;0,N(AE98)&lt;=0.004),"✓ "&amp;'Calc base'!M$6&amp;"   ","")&amp;IF(AND(N(AG97)&gt;0,N(AG98)&lt;=0.004),"✓ "&amp;'Calc base'!N$6&amp;"   ","")))</f>
        <v/>
      </c>
      <c r="J98" s="70" t="str">
        <f>IF($A98="","",ROUND(N(K97)*(1+'Calc base'!H121),2)-K98)</f>
        <v/>
      </c>
      <c r="K98" s="75" t="str">
        <f>IF($A98="","",CHOOSE('Calc riepilogo'!$B$2,'Calc valanga'!AT121,'Calc palla di neve'!AT121,'Calc personalizzata'!AT121))</f>
        <v/>
      </c>
      <c r="L98" s="70" t="str">
        <f>IF($A98="","",ROUND(N(M97)*(1+'Calc base'!I121),2)-M98)</f>
        <v/>
      </c>
      <c r="M98" s="75" t="str">
        <f>IF($A98="","",CHOOSE('Calc riepilogo'!$B$2,'Calc valanga'!AU121,'Calc palla di neve'!AU121,'Calc personalizzata'!AU121))</f>
        <v/>
      </c>
      <c r="N98" s="70" t="str">
        <f>IF($A98="","",ROUND(N(O97)*(1+'Calc base'!J121),2)-O98)</f>
        <v/>
      </c>
      <c r="O98" s="75" t="str">
        <f>IF($A98="","",CHOOSE('Calc riepilogo'!$B$2,'Calc valanga'!AV121,'Calc palla di neve'!AV121,'Calc personalizzata'!AV121))</f>
        <v/>
      </c>
      <c r="P98" s="70" t="str">
        <f>IF($A98="","",ROUND(N(Q97)*(1+'Calc base'!K121),2)-Q98)</f>
        <v/>
      </c>
      <c r="Q98" s="75" t="str">
        <f>IF($A98="","",CHOOSE('Calc riepilogo'!$B$2,'Calc valanga'!AW121,'Calc palla di neve'!AW121,'Calc personalizzata'!AW121))</f>
        <v/>
      </c>
      <c r="R98" s="70" t="str">
        <f>IF($A98="","",ROUND(N(S97)*(1+'Calc base'!L121),2)-S98)</f>
        <v/>
      </c>
      <c r="S98" s="75" t="str">
        <f>IF($A98="","",CHOOSE('Calc riepilogo'!$B$2,'Calc valanga'!AX121,'Calc palla di neve'!AX121,'Calc personalizzata'!AX121))</f>
        <v/>
      </c>
      <c r="T98" s="70" t="str">
        <f>IF($A98="","",ROUND(N(U97)*(1+'Calc base'!M121),2)-U98)</f>
        <v/>
      </c>
      <c r="U98" s="75" t="str">
        <f>IF($A98="","",CHOOSE('Calc riepilogo'!$B$2,'Calc valanga'!AY121,'Calc palla di neve'!AY121,'Calc personalizzata'!AY121))</f>
        <v/>
      </c>
      <c r="V98" s="70" t="str">
        <f>IF($A98="","",ROUND(N(W97)*(1+'Calc base'!N121),2)-W98)</f>
        <v/>
      </c>
      <c r="W98" s="75" t="str">
        <f>IF($A98="","",CHOOSE('Calc riepilogo'!$B$2,'Calc valanga'!AZ121,'Calc palla di neve'!AZ121,'Calc personalizzata'!AZ121))</f>
        <v/>
      </c>
      <c r="X98" s="70" t="str">
        <f>IF($A98="","",ROUND(N(Y97)*(1+'Calc base'!O121),2)-Y98)</f>
        <v/>
      </c>
      <c r="Y98" s="75" t="str">
        <f>IF($A98="","",CHOOSE('Calc riepilogo'!$B$2,'Calc valanga'!BA121,'Calc palla di neve'!BA121,'Calc personalizzata'!BA121))</f>
        <v/>
      </c>
      <c r="Z98" s="70" t="str">
        <f>IF($A98="","",ROUND(N(AA97)*(1+'Calc base'!P121),2)-AA98)</f>
        <v/>
      </c>
      <c r="AA98" s="75" t="str">
        <f>IF($A98="","",CHOOSE('Calc riepilogo'!$B$2,'Calc valanga'!BB121,'Calc palla di neve'!BB121,'Calc personalizzata'!BB121))</f>
        <v/>
      </c>
      <c r="AB98" s="70" t="str">
        <f>IF($A98="","",ROUND(N(AC97)*(1+'Calc base'!Q121),2)-AC98)</f>
        <v/>
      </c>
      <c r="AC98" s="75" t="str">
        <f>IF($A98="","",CHOOSE('Calc riepilogo'!$B$2,'Calc valanga'!BC121,'Calc palla di neve'!BC121,'Calc personalizzata'!BC121))</f>
        <v/>
      </c>
      <c r="AD98" s="70" t="str">
        <f>IF($A98="","",ROUND(N(AE97)*(1+'Calc base'!R121),2)-AE98)</f>
        <v/>
      </c>
      <c r="AE98" s="75" t="str">
        <f>IF($A98="","",CHOOSE('Calc riepilogo'!$B$2,'Calc valanga'!BD121,'Calc palla di neve'!BD121,'Calc personalizzata'!BD121))</f>
        <v/>
      </c>
      <c r="AF98" s="70" t="str">
        <f>IF($A98="","",ROUND(N(AG97)*(1+'Calc base'!S121),2)-AG98)</f>
        <v/>
      </c>
      <c r="AG98" s="75" t="str">
        <f>IF($A98="","",CHOOSE('Calc riepilogo'!$B$2,'Calc valanga'!BE121,'Calc palla di neve'!BE121,'Calc personalizzata'!BE121))</f>
        <v/>
      </c>
      <c r="AI98" t="n">
        <v>91</v>
      </c>
    </row>
    <row r="99">
      <c r="A99" s="68" t="str">
        <f>IF(92&gt;'Calc riepilogo'!$B$7,"",'Calc base'!$B122)</f>
        <v/>
      </c>
      <c r="B99" s="69" t="str">
        <f>IF($A99="","",'Calc base'!$C122)</f>
        <v/>
      </c>
      <c r="C99" s="69" t="str">
        <f>IF($A99="","",'Calc base'!$E122)</f>
        <v/>
      </c>
      <c r="D99" s="70" t="str">
        <f>IF($A99="","",J99+L99+N99+P99+R99+T99+V99+X99+Z99+AB99+AD99+AF99)</f>
        <v/>
      </c>
      <c r="E99" s="70" t="str">
        <f>IF($A99="","",CHOOSE('Calc riepilogo'!$B$2,'Calc valanga'!$H122,'Calc palla di neve'!$H122,'Calc personalizzata'!$H122))</f>
        <v/>
      </c>
      <c r="F99" s="71" t="str">
        <f>IF($A99="","",CHOOSE('Calc riepilogo'!$B$2,'Calc valanga'!$G122,'Calc palla di neve'!$G122,'Calc personalizzata'!$G122))</f>
        <v/>
      </c>
      <c r="G99" s="72" t="n"/>
      <c r="H99" s="73" t="n"/>
      <c r="I99" s="74" t="str">
        <f>IF($A99="","",TRIM(IF(AND(N(K98)&gt;0,N(K99)&lt;=0.004),"✓ "&amp;'Calc base'!C$6&amp;"   ","")&amp;IF(AND(N(M98)&gt;0,N(M99)&lt;=0.004),"✓ "&amp;'Calc base'!D$6&amp;"   ","")&amp;IF(AND(N(O98)&gt;0,N(O99)&lt;=0.004),"✓ "&amp;'Calc base'!E$6&amp;"   ","")&amp;IF(AND(N(Q98)&gt;0,N(Q99)&lt;=0.004),"✓ "&amp;'Calc base'!F$6&amp;"   ","")&amp;IF(AND(N(S98)&gt;0,N(S99)&lt;=0.004),"✓ "&amp;'Calc base'!G$6&amp;"   ","")&amp;IF(AND(N(U98)&gt;0,N(U99)&lt;=0.004),"✓ "&amp;'Calc base'!H$6&amp;"   ","")&amp;IF(AND(N(W98)&gt;0,N(W99)&lt;=0.004),"✓ "&amp;'Calc base'!I$6&amp;"   ","")&amp;IF(AND(N(Y98)&gt;0,N(Y99)&lt;=0.004),"✓ "&amp;'Calc base'!J$6&amp;"   ","")&amp;IF(AND(N(AA98)&gt;0,N(AA99)&lt;=0.004),"✓ "&amp;'Calc base'!K$6&amp;"   ","")&amp;IF(AND(N(AC98)&gt;0,N(AC99)&lt;=0.004),"✓ "&amp;'Calc base'!L$6&amp;"   ","")&amp;IF(AND(N(AE98)&gt;0,N(AE99)&lt;=0.004),"✓ "&amp;'Calc base'!M$6&amp;"   ","")&amp;IF(AND(N(AG98)&gt;0,N(AG99)&lt;=0.004),"✓ "&amp;'Calc base'!N$6&amp;"   ","")))</f>
        <v/>
      </c>
      <c r="J99" s="70" t="str">
        <f>IF($A99="","",ROUND(N(K98)*(1+'Calc base'!H122),2)-K99)</f>
        <v/>
      </c>
      <c r="K99" s="75" t="str">
        <f>IF($A99="","",CHOOSE('Calc riepilogo'!$B$2,'Calc valanga'!AT122,'Calc palla di neve'!AT122,'Calc personalizzata'!AT122))</f>
        <v/>
      </c>
      <c r="L99" s="70" t="str">
        <f>IF($A99="","",ROUND(N(M98)*(1+'Calc base'!I122),2)-M99)</f>
        <v/>
      </c>
      <c r="M99" s="75" t="str">
        <f>IF($A99="","",CHOOSE('Calc riepilogo'!$B$2,'Calc valanga'!AU122,'Calc palla di neve'!AU122,'Calc personalizzata'!AU122))</f>
        <v/>
      </c>
      <c r="N99" s="70" t="str">
        <f>IF($A99="","",ROUND(N(O98)*(1+'Calc base'!J122),2)-O99)</f>
        <v/>
      </c>
      <c r="O99" s="75" t="str">
        <f>IF($A99="","",CHOOSE('Calc riepilogo'!$B$2,'Calc valanga'!AV122,'Calc palla di neve'!AV122,'Calc personalizzata'!AV122))</f>
        <v/>
      </c>
      <c r="P99" s="70" t="str">
        <f>IF($A99="","",ROUND(N(Q98)*(1+'Calc base'!K122),2)-Q99)</f>
        <v/>
      </c>
      <c r="Q99" s="75" t="str">
        <f>IF($A99="","",CHOOSE('Calc riepilogo'!$B$2,'Calc valanga'!AW122,'Calc palla di neve'!AW122,'Calc personalizzata'!AW122))</f>
        <v/>
      </c>
      <c r="R99" s="70" t="str">
        <f>IF($A99="","",ROUND(N(S98)*(1+'Calc base'!L122),2)-S99)</f>
        <v/>
      </c>
      <c r="S99" s="75" t="str">
        <f>IF($A99="","",CHOOSE('Calc riepilogo'!$B$2,'Calc valanga'!AX122,'Calc palla di neve'!AX122,'Calc personalizzata'!AX122))</f>
        <v/>
      </c>
      <c r="T99" s="70" t="str">
        <f>IF($A99="","",ROUND(N(U98)*(1+'Calc base'!M122),2)-U99)</f>
        <v/>
      </c>
      <c r="U99" s="75" t="str">
        <f>IF($A99="","",CHOOSE('Calc riepilogo'!$B$2,'Calc valanga'!AY122,'Calc palla di neve'!AY122,'Calc personalizzata'!AY122))</f>
        <v/>
      </c>
      <c r="V99" s="70" t="str">
        <f>IF($A99="","",ROUND(N(W98)*(1+'Calc base'!N122),2)-W99)</f>
        <v/>
      </c>
      <c r="W99" s="75" t="str">
        <f>IF($A99="","",CHOOSE('Calc riepilogo'!$B$2,'Calc valanga'!AZ122,'Calc palla di neve'!AZ122,'Calc personalizzata'!AZ122))</f>
        <v/>
      </c>
      <c r="X99" s="70" t="str">
        <f>IF($A99="","",ROUND(N(Y98)*(1+'Calc base'!O122),2)-Y99)</f>
        <v/>
      </c>
      <c r="Y99" s="75" t="str">
        <f>IF($A99="","",CHOOSE('Calc riepilogo'!$B$2,'Calc valanga'!BA122,'Calc palla di neve'!BA122,'Calc personalizzata'!BA122))</f>
        <v/>
      </c>
      <c r="Z99" s="70" t="str">
        <f>IF($A99="","",ROUND(N(AA98)*(1+'Calc base'!P122),2)-AA99)</f>
        <v/>
      </c>
      <c r="AA99" s="75" t="str">
        <f>IF($A99="","",CHOOSE('Calc riepilogo'!$B$2,'Calc valanga'!BB122,'Calc palla di neve'!BB122,'Calc personalizzata'!BB122))</f>
        <v/>
      </c>
      <c r="AB99" s="70" t="str">
        <f>IF($A99="","",ROUND(N(AC98)*(1+'Calc base'!Q122),2)-AC99)</f>
        <v/>
      </c>
      <c r="AC99" s="75" t="str">
        <f>IF($A99="","",CHOOSE('Calc riepilogo'!$B$2,'Calc valanga'!BC122,'Calc palla di neve'!BC122,'Calc personalizzata'!BC122))</f>
        <v/>
      </c>
      <c r="AD99" s="70" t="str">
        <f>IF($A99="","",ROUND(N(AE98)*(1+'Calc base'!R122),2)-AE99)</f>
        <v/>
      </c>
      <c r="AE99" s="75" t="str">
        <f>IF($A99="","",CHOOSE('Calc riepilogo'!$B$2,'Calc valanga'!BD122,'Calc palla di neve'!BD122,'Calc personalizzata'!BD122))</f>
        <v/>
      </c>
      <c r="AF99" s="70" t="str">
        <f>IF($A99="","",ROUND(N(AG98)*(1+'Calc base'!S122),2)-AG99)</f>
        <v/>
      </c>
      <c r="AG99" s="75" t="str">
        <f>IF($A99="","",CHOOSE('Calc riepilogo'!$B$2,'Calc valanga'!BE122,'Calc palla di neve'!BE122,'Calc personalizzata'!BE122))</f>
        <v/>
      </c>
      <c r="AI99" t="n">
        <v>92</v>
      </c>
    </row>
    <row r="100">
      <c r="A100" s="68" t="str">
        <f>IF(93&gt;'Calc riepilogo'!$B$7,"",'Calc base'!$B123)</f>
        <v/>
      </c>
      <c r="B100" s="69" t="str">
        <f>IF($A100="","",'Calc base'!$C123)</f>
        <v/>
      </c>
      <c r="C100" s="69" t="str">
        <f>IF($A100="","",'Calc base'!$E123)</f>
        <v/>
      </c>
      <c r="D100" s="70" t="str">
        <f>IF($A100="","",J100+L100+N100+P100+R100+T100+V100+X100+Z100+AB100+AD100+AF100)</f>
        <v/>
      </c>
      <c r="E100" s="70" t="str">
        <f>IF($A100="","",CHOOSE('Calc riepilogo'!$B$2,'Calc valanga'!$H123,'Calc palla di neve'!$H123,'Calc personalizzata'!$H123))</f>
        <v/>
      </c>
      <c r="F100" s="71" t="str">
        <f>IF($A100="","",CHOOSE('Calc riepilogo'!$B$2,'Calc valanga'!$G123,'Calc palla di neve'!$G123,'Calc personalizzata'!$G123))</f>
        <v/>
      </c>
      <c r="G100" s="72" t="n"/>
      <c r="H100" s="73" t="n"/>
      <c r="I100" s="74" t="str">
        <f>IF($A100="","",TRIM(IF(AND(N(K99)&gt;0,N(K100)&lt;=0.004),"✓ "&amp;'Calc base'!C$6&amp;"   ","")&amp;IF(AND(N(M99)&gt;0,N(M100)&lt;=0.004),"✓ "&amp;'Calc base'!D$6&amp;"   ","")&amp;IF(AND(N(O99)&gt;0,N(O100)&lt;=0.004),"✓ "&amp;'Calc base'!E$6&amp;"   ","")&amp;IF(AND(N(Q99)&gt;0,N(Q100)&lt;=0.004),"✓ "&amp;'Calc base'!F$6&amp;"   ","")&amp;IF(AND(N(S99)&gt;0,N(S100)&lt;=0.004),"✓ "&amp;'Calc base'!G$6&amp;"   ","")&amp;IF(AND(N(U99)&gt;0,N(U100)&lt;=0.004),"✓ "&amp;'Calc base'!H$6&amp;"   ","")&amp;IF(AND(N(W99)&gt;0,N(W100)&lt;=0.004),"✓ "&amp;'Calc base'!I$6&amp;"   ","")&amp;IF(AND(N(Y99)&gt;0,N(Y100)&lt;=0.004),"✓ "&amp;'Calc base'!J$6&amp;"   ","")&amp;IF(AND(N(AA99)&gt;0,N(AA100)&lt;=0.004),"✓ "&amp;'Calc base'!K$6&amp;"   ","")&amp;IF(AND(N(AC99)&gt;0,N(AC100)&lt;=0.004),"✓ "&amp;'Calc base'!L$6&amp;"   ","")&amp;IF(AND(N(AE99)&gt;0,N(AE100)&lt;=0.004),"✓ "&amp;'Calc base'!M$6&amp;"   ","")&amp;IF(AND(N(AG99)&gt;0,N(AG100)&lt;=0.004),"✓ "&amp;'Calc base'!N$6&amp;"   ","")))</f>
        <v/>
      </c>
      <c r="J100" s="70" t="str">
        <f>IF($A100="","",ROUND(N(K99)*(1+'Calc base'!H123),2)-K100)</f>
        <v/>
      </c>
      <c r="K100" s="75" t="str">
        <f>IF($A100="","",CHOOSE('Calc riepilogo'!$B$2,'Calc valanga'!AT123,'Calc palla di neve'!AT123,'Calc personalizzata'!AT123))</f>
        <v/>
      </c>
      <c r="L100" s="70" t="str">
        <f>IF($A100="","",ROUND(N(M99)*(1+'Calc base'!I123),2)-M100)</f>
        <v/>
      </c>
      <c r="M100" s="75" t="str">
        <f>IF($A100="","",CHOOSE('Calc riepilogo'!$B$2,'Calc valanga'!AU123,'Calc palla di neve'!AU123,'Calc personalizzata'!AU123))</f>
        <v/>
      </c>
      <c r="N100" s="70" t="str">
        <f>IF($A100="","",ROUND(N(O99)*(1+'Calc base'!J123),2)-O100)</f>
        <v/>
      </c>
      <c r="O100" s="75" t="str">
        <f>IF($A100="","",CHOOSE('Calc riepilogo'!$B$2,'Calc valanga'!AV123,'Calc palla di neve'!AV123,'Calc personalizzata'!AV123))</f>
        <v/>
      </c>
      <c r="P100" s="70" t="str">
        <f>IF($A100="","",ROUND(N(Q99)*(1+'Calc base'!K123),2)-Q100)</f>
        <v/>
      </c>
      <c r="Q100" s="75" t="str">
        <f>IF($A100="","",CHOOSE('Calc riepilogo'!$B$2,'Calc valanga'!AW123,'Calc palla di neve'!AW123,'Calc personalizzata'!AW123))</f>
        <v/>
      </c>
      <c r="R100" s="70" t="str">
        <f>IF($A100="","",ROUND(N(S99)*(1+'Calc base'!L123),2)-S100)</f>
        <v/>
      </c>
      <c r="S100" s="75" t="str">
        <f>IF($A100="","",CHOOSE('Calc riepilogo'!$B$2,'Calc valanga'!AX123,'Calc palla di neve'!AX123,'Calc personalizzata'!AX123))</f>
        <v/>
      </c>
      <c r="T100" s="70" t="str">
        <f>IF($A100="","",ROUND(N(U99)*(1+'Calc base'!M123),2)-U100)</f>
        <v/>
      </c>
      <c r="U100" s="75" t="str">
        <f>IF($A100="","",CHOOSE('Calc riepilogo'!$B$2,'Calc valanga'!AY123,'Calc palla di neve'!AY123,'Calc personalizzata'!AY123))</f>
        <v/>
      </c>
      <c r="V100" s="70" t="str">
        <f>IF($A100="","",ROUND(N(W99)*(1+'Calc base'!N123),2)-W100)</f>
        <v/>
      </c>
      <c r="W100" s="75" t="str">
        <f>IF($A100="","",CHOOSE('Calc riepilogo'!$B$2,'Calc valanga'!AZ123,'Calc palla di neve'!AZ123,'Calc personalizzata'!AZ123))</f>
        <v/>
      </c>
      <c r="X100" s="70" t="str">
        <f>IF($A100="","",ROUND(N(Y99)*(1+'Calc base'!O123),2)-Y100)</f>
        <v/>
      </c>
      <c r="Y100" s="75" t="str">
        <f>IF($A100="","",CHOOSE('Calc riepilogo'!$B$2,'Calc valanga'!BA123,'Calc palla di neve'!BA123,'Calc personalizzata'!BA123))</f>
        <v/>
      </c>
      <c r="Z100" s="70" t="str">
        <f>IF($A100="","",ROUND(N(AA99)*(1+'Calc base'!P123),2)-AA100)</f>
        <v/>
      </c>
      <c r="AA100" s="75" t="str">
        <f>IF($A100="","",CHOOSE('Calc riepilogo'!$B$2,'Calc valanga'!BB123,'Calc palla di neve'!BB123,'Calc personalizzata'!BB123))</f>
        <v/>
      </c>
      <c r="AB100" s="70" t="str">
        <f>IF($A100="","",ROUND(N(AC99)*(1+'Calc base'!Q123),2)-AC100)</f>
        <v/>
      </c>
      <c r="AC100" s="75" t="str">
        <f>IF($A100="","",CHOOSE('Calc riepilogo'!$B$2,'Calc valanga'!BC123,'Calc palla di neve'!BC123,'Calc personalizzata'!BC123))</f>
        <v/>
      </c>
      <c r="AD100" s="70" t="str">
        <f>IF($A100="","",ROUND(N(AE99)*(1+'Calc base'!R123),2)-AE100)</f>
        <v/>
      </c>
      <c r="AE100" s="75" t="str">
        <f>IF($A100="","",CHOOSE('Calc riepilogo'!$B$2,'Calc valanga'!BD123,'Calc palla di neve'!BD123,'Calc personalizzata'!BD123))</f>
        <v/>
      </c>
      <c r="AF100" s="70" t="str">
        <f>IF($A100="","",ROUND(N(AG99)*(1+'Calc base'!S123),2)-AG100)</f>
        <v/>
      </c>
      <c r="AG100" s="75" t="str">
        <f>IF($A100="","",CHOOSE('Calc riepilogo'!$B$2,'Calc valanga'!BE123,'Calc palla di neve'!BE123,'Calc personalizzata'!BE123))</f>
        <v/>
      </c>
      <c r="AI100" t="n">
        <v>93</v>
      </c>
    </row>
    <row r="101">
      <c r="A101" s="68" t="str">
        <f>IF(94&gt;'Calc riepilogo'!$B$7,"",'Calc base'!$B124)</f>
        <v/>
      </c>
      <c r="B101" s="69" t="str">
        <f>IF($A101="","",'Calc base'!$C124)</f>
        <v/>
      </c>
      <c r="C101" s="69" t="str">
        <f>IF($A101="","",'Calc base'!$E124)</f>
        <v/>
      </c>
      <c r="D101" s="70" t="str">
        <f>IF($A101="","",J101+L101+N101+P101+R101+T101+V101+X101+Z101+AB101+AD101+AF101)</f>
        <v/>
      </c>
      <c r="E101" s="70" t="str">
        <f>IF($A101="","",CHOOSE('Calc riepilogo'!$B$2,'Calc valanga'!$H124,'Calc palla di neve'!$H124,'Calc personalizzata'!$H124))</f>
        <v/>
      </c>
      <c r="F101" s="71" t="str">
        <f>IF($A101="","",CHOOSE('Calc riepilogo'!$B$2,'Calc valanga'!$G124,'Calc palla di neve'!$G124,'Calc personalizzata'!$G124))</f>
        <v/>
      </c>
      <c r="G101" s="72" t="n"/>
      <c r="H101" s="73" t="n"/>
      <c r="I101" s="74" t="str">
        <f>IF($A101="","",TRIM(IF(AND(N(K100)&gt;0,N(K101)&lt;=0.004),"✓ "&amp;'Calc base'!C$6&amp;"   ","")&amp;IF(AND(N(M100)&gt;0,N(M101)&lt;=0.004),"✓ "&amp;'Calc base'!D$6&amp;"   ","")&amp;IF(AND(N(O100)&gt;0,N(O101)&lt;=0.004),"✓ "&amp;'Calc base'!E$6&amp;"   ","")&amp;IF(AND(N(Q100)&gt;0,N(Q101)&lt;=0.004),"✓ "&amp;'Calc base'!F$6&amp;"   ","")&amp;IF(AND(N(S100)&gt;0,N(S101)&lt;=0.004),"✓ "&amp;'Calc base'!G$6&amp;"   ","")&amp;IF(AND(N(U100)&gt;0,N(U101)&lt;=0.004),"✓ "&amp;'Calc base'!H$6&amp;"   ","")&amp;IF(AND(N(W100)&gt;0,N(W101)&lt;=0.004),"✓ "&amp;'Calc base'!I$6&amp;"   ","")&amp;IF(AND(N(Y100)&gt;0,N(Y101)&lt;=0.004),"✓ "&amp;'Calc base'!J$6&amp;"   ","")&amp;IF(AND(N(AA100)&gt;0,N(AA101)&lt;=0.004),"✓ "&amp;'Calc base'!K$6&amp;"   ","")&amp;IF(AND(N(AC100)&gt;0,N(AC101)&lt;=0.004),"✓ "&amp;'Calc base'!L$6&amp;"   ","")&amp;IF(AND(N(AE100)&gt;0,N(AE101)&lt;=0.004),"✓ "&amp;'Calc base'!M$6&amp;"   ","")&amp;IF(AND(N(AG100)&gt;0,N(AG101)&lt;=0.004),"✓ "&amp;'Calc base'!N$6&amp;"   ","")))</f>
        <v/>
      </c>
      <c r="J101" s="70" t="str">
        <f>IF($A101="","",ROUND(N(K100)*(1+'Calc base'!H124),2)-K101)</f>
        <v/>
      </c>
      <c r="K101" s="75" t="str">
        <f>IF($A101="","",CHOOSE('Calc riepilogo'!$B$2,'Calc valanga'!AT124,'Calc palla di neve'!AT124,'Calc personalizzata'!AT124))</f>
        <v/>
      </c>
      <c r="L101" s="70" t="str">
        <f>IF($A101="","",ROUND(N(M100)*(1+'Calc base'!I124),2)-M101)</f>
        <v/>
      </c>
      <c r="M101" s="75" t="str">
        <f>IF($A101="","",CHOOSE('Calc riepilogo'!$B$2,'Calc valanga'!AU124,'Calc palla di neve'!AU124,'Calc personalizzata'!AU124))</f>
        <v/>
      </c>
      <c r="N101" s="70" t="str">
        <f>IF($A101="","",ROUND(N(O100)*(1+'Calc base'!J124),2)-O101)</f>
        <v/>
      </c>
      <c r="O101" s="75" t="str">
        <f>IF($A101="","",CHOOSE('Calc riepilogo'!$B$2,'Calc valanga'!AV124,'Calc palla di neve'!AV124,'Calc personalizzata'!AV124))</f>
        <v/>
      </c>
      <c r="P101" s="70" t="str">
        <f>IF($A101="","",ROUND(N(Q100)*(1+'Calc base'!K124),2)-Q101)</f>
        <v/>
      </c>
      <c r="Q101" s="75" t="str">
        <f>IF($A101="","",CHOOSE('Calc riepilogo'!$B$2,'Calc valanga'!AW124,'Calc palla di neve'!AW124,'Calc personalizzata'!AW124))</f>
        <v/>
      </c>
      <c r="R101" s="70" t="str">
        <f>IF($A101="","",ROUND(N(S100)*(1+'Calc base'!L124),2)-S101)</f>
        <v/>
      </c>
      <c r="S101" s="75" t="str">
        <f>IF($A101="","",CHOOSE('Calc riepilogo'!$B$2,'Calc valanga'!AX124,'Calc palla di neve'!AX124,'Calc personalizzata'!AX124))</f>
        <v/>
      </c>
      <c r="T101" s="70" t="str">
        <f>IF($A101="","",ROUND(N(U100)*(1+'Calc base'!M124),2)-U101)</f>
        <v/>
      </c>
      <c r="U101" s="75" t="str">
        <f>IF($A101="","",CHOOSE('Calc riepilogo'!$B$2,'Calc valanga'!AY124,'Calc palla di neve'!AY124,'Calc personalizzata'!AY124))</f>
        <v/>
      </c>
      <c r="V101" s="70" t="str">
        <f>IF($A101="","",ROUND(N(W100)*(1+'Calc base'!N124),2)-W101)</f>
        <v/>
      </c>
      <c r="W101" s="75" t="str">
        <f>IF($A101="","",CHOOSE('Calc riepilogo'!$B$2,'Calc valanga'!AZ124,'Calc palla di neve'!AZ124,'Calc personalizzata'!AZ124))</f>
        <v/>
      </c>
      <c r="X101" s="70" t="str">
        <f>IF($A101="","",ROUND(N(Y100)*(1+'Calc base'!O124),2)-Y101)</f>
        <v/>
      </c>
      <c r="Y101" s="75" t="str">
        <f>IF($A101="","",CHOOSE('Calc riepilogo'!$B$2,'Calc valanga'!BA124,'Calc palla di neve'!BA124,'Calc personalizzata'!BA124))</f>
        <v/>
      </c>
      <c r="Z101" s="70" t="str">
        <f>IF($A101="","",ROUND(N(AA100)*(1+'Calc base'!P124),2)-AA101)</f>
        <v/>
      </c>
      <c r="AA101" s="75" t="str">
        <f>IF($A101="","",CHOOSE('Calc riepilogo'!$B$2,'Calc valanga'!BB124,'Calc palla di neve'!BB124,'Calc personalizzata'!BB124))</f>
        <v/>
      </c>
      <c r="AB101" s="70" t="str">
        <f>IF($A101="","",ROUND(N(AC100)*(1+'Calc base'!Q124),2)-AC101)</f>
        <v/>
      </c>
      <c r="AC101" s="75" t="str">
        <f>IF($A101="","",CHOOSE('Calc riepilogo'!$B$2,'Calc valanga'!BC124,'Calc palla di neve'!BC124,'Calc personalizzata'!BC124))</f>
        <v/>
      </c>
      <c r="AD101" s="70" t="str">
        <f>IF($A101="","",ROUND(N(AE100)*(1+'Calc base'!R124),2)-AE101)</f>
        <v/>
      </c>
      <c r="AE101" s="75" t="str">
        <f>IF($A101="","",CHOOSE('Calc riepilogo'!$B$2,'Calc valanga'!BD124,'Calc palla di neve'!BD124,'Calc personalizzata'!BD124))</f>
        <v/>
      </c>
      <c r="AF101" s="70" t="str">
        <f>IF($A101="","",ROUND(N(AG100)*(1+'Calc base'!S124),2)-AG101)</f>
        <v/>
      </c>
      <c r="AG101" s="75" t="str">
        <f>IF($A101="","",CHOOSE('Calc riepilogo'!$B$2,'Calc valanga'!BE124,'Calc palla di neve'!BE124,'Calc personalizzata'!BE124))</f>
        <v/>
      </c>
      <c r="AI101" t="n">
        <v>94</v>
      </c>
    </row>
    <row r="102">
      <c r="A102" s="68" t="str">
        <f>IF(95&gt;'Calc riepilogo'!$B$7,"",'Calc base'!$B125)</f>
        <v/>
      </c>
      <c r="B102" s="69" t="str">
        <f>IF($A102="","",'Calc base'!$C125)</f>
        <v/>
      </c>
      <c r="C102" s="69" t="str">
        <f>IF($A102="","",'Calc base'!$E125)</f>
        <v/>
      </c>
      <c r="D102" s="70" t="str">
        <f>IF($A102="","",J102+L102+N102+P102+R102+T102+V102+X102+Z102+AB102+AD102+AF102)</f>
        <v/>
      </c>
      <c r="E102" s="70" t="str">
        <f>IF($A102="","",CHOOSE('Calc riepilogo'!$B$2,'Calc valanga'!$H125,'Calc palla di neve'!$H125,'Calc personalizzata'!$H125))</f>
        <v/>
      </c>
      <c r="F102" s="71" t="str">
        <f>IF($A102="","",CHOOSE('Calc riepilogo'!$B$2,'Calc valanga'!$G125,'Calc palla di neve'!$G125,'Calc personalizzata'!$G125))</f>
        <v/>
      </c>
      <c r="G102" s="72" t="n"/>
      <c r="H102" s="73" t="n"/>
      <c r="I102" s="74" t="str">
        <f>IF($A102="","",TRIM(IF(AND(N(K101)&gt;0,N(K102)&lt;=0.004),"✓ "&amp;'Calc base'!C$6&amp;"   ","")&amp;IF(AND(N(M101)&gt;0,N(M102)&lt;=0.004),"✓ "&amp;'Calc base'!D$6&amp;"   ","")&amp;IF(AND(N(O101)&gt;0,N(O102)&lt;=0.004),"✓ "&amp;'Calc base'!E$6&amp;"   ","")&amp;IF(AND(N(Q101)&gt;0,N(Q102)&lt;=0.004),"✓ "&amp;'Calc base'!F$6&amp;"   ","")&amp;IF(AND(N(S101)&gt;0,N(S102)&lt;=0.004),"✓ "&amp;'Calc base'!G$6&amp;"   ","")&amp;IF(AND(N(U101)&gt;0,N(U102)&lt;=0.004),"✓ "&amp;'Calc base'!H$6&amp;"   ","")&amp;IF(AND(N(W101)&gt;0,N(W102)&lt;=0.004),"✓ "&amp;'Calc base'!I$6&amp;"   ","")&amp;IF(AND(N(Y101)&gt;0,N(Y102)&lt;=0.004),"✓ "&amp;'Calc base'!J$6&amp;"   ","")&amp;IF(AND(N(AA101)&gt;0,N(AA102)&lt;=0.004),"✓ "&amp;'Calc base'!K$6&amp;"   ","")&amp;IF(AND(N(AC101)&gt;0,N(AC102)&lt;=0.004),"✓ "&amp;'Calc base'!L$6&amp;"   ","")&amp;IF(AND(N(AE101)&gt;0,N(AE102)&lt;=0.004),"✓ "&amp;'Calc base'!M$6&amp;"   ","")&amp;IF(AND(N(AG101)&gt;0,N(AG102)&lt;=0.004),"✓ "&amp;'Calc base'!N$6&amp;"   ","")))</f>
        <v/>
      </c>
      <c r="J102" s="70" t="str">
        <f>IF($A102="","",ROUND(N(K101)*(1+'Calc base'!H125),2)-K102)</f>
        <v/>
      </c>
      <c r="K102" s="75" t="str">
        <f>IF($A102="","",CHOOSE('Calc riepilogo'!$B$2,'Calc valanga'!AT125,'Calc palla di neve'!AT125,'Calc personalizzata'!AT125))</f>
        <v/>
      </c>
      <c r="L102" s="70" t="str">
        <f>IF($A102="","",ROUND(N(M101)*(1+'Calc base'!I125),2)-M102)</f>
        <v/>
      </c>
      <c r="M102" s="75" t="str">
        <f>IF($A102="","",CHOOSE('Calc riepilogo'!$B$2,'Calc valanga'!AU125,'Calc palla di neve'!AU125,'Calc personalizzata'!AU125))</f>
        <v/>
      </c>
      <c r="N102" s="70" t="str">
        <f>IF($A102="","",ROUND(N(O101)*(1+'Calc base'!J125),2)-O102)</f>
        <v/>
      </c>
      <c r="O102" s="75" t="str">
        <f>IF($A102="","",CHOOSE('Calc riepilogo'!$B$2,'Calc valanga'!AV125,'Calc palla di neve'!AV125,'Calc personalizzata'!AV125))</f>
        <v/>
      </c>
      <c r="P102" s="70" t="str">
        <f>IF($A102="","",ROUND(N(Q101)*(1+'Calc base'!K125),2)-Q102)</f>
        <v/>
      </c>
      <c r="Q102" s="75" t="str">
        <f>IF($A102="","",CHOOSE('Calc riepilogo'!$B$2,'Calc valanga'!AW125,'Calc palla di neve'!AW125,'Calc personalizzata'!AW125))</f>
        <v/>
      </c>
      <c r="R102" s="70" t="str">
        <f>IF($A102="","",ROUND(N(S101)*(1+'Calc base'!L125),2)-S102)</f>
        <v/>
      </c>
      <c r="S102" s="75" t="str">
        <f>IF($A102="","",CHOOSE('Calc riepilogo'!$B$2,'Calc valanga'!AX125,'Calc palla di neve'!AX125,'Calc personalizzata'!AX125))</f>
        <v/>
      </c>
      <c r="T102" s="70" t="str">
        <f>IF($A102="","",ROUND(N(U101)*(1+'Calc base'!M125),2)-U102)</f>
        <v/>
      </c>
      <c r="U102" s="75" t="str">
        <f>IF($A102="","",CHOOSE('Calc riepilogo'!$B$2,'Calc valanga'!AY125,'Calc palla di neve'!AY125,'Calc personalizzata'!AY125))</f>
        <v/>
      </c>
      <c r="V102" s="70" t="str">
        <f>IF($A102="","",ROUND(N(W101)*(1+'Calc base'!N125),2)-W102)</f>
        <v/>
      </c>
      <c r="W102" s="75" t="str">
        <f>IF($A102="","",CHOOSE('Calc riepilogo'!$B$2,'Calc valanga'!AZ125,'Calc palla di neve'!AZ125,'Calc personalizzata'!AZ125))</f>
        <v/>
      </c>
      <c r="X102" s="70" t="str">
        <f>IF($A102="","",ROUND(N(Y101)*(1+'Calc base'!O125),2)-Y102)</f>
        <v/>
      </c>
      <c r="Y102" s="75" t="str">
        <f>IF($A102="","",CHOOSE('Calc riepilogo'!$B$2,'Calc valanga'!BA125,'Calc palla di neve'!BA125,'Calc personalizzata'!BA125))</f>
        <v/>
      </c>
      <c r="Z102" s="70" t="str">
        <f>IF($A102="","",ROUND(N(AA101)*(1+'Calc base'!P125),2)-AA102)</f>
        <v/>
      </c>
      <c r="AA102" s="75" t="str">
        <f>IF($A102="","",CHOOSE('Calc riepilogo'!$B$2,'Calc valanga'!BB125,'Calc palla di neve'!BB125,'Calc personalizzata'!BB125))</f>
        <v/>
      </c>
      <c r="AB102" s="70" t="str">
        <f>IF($A102="","",ROUND(N(AC101)*(1+'Calc base'!Q125),2)-AC102)</f>
        <v/>
      </c>
      <c r="AC102" s="75" t="str">
        <f>IF($A102="","",CHOOSE('Calc riepilogo'!$B$2,'Calc valanga'!BC125,'Calc palla di neve'!BC125,'Calc personalizzata'!BC125))</f>
        <v/>
      </c>
      <c r="AD102" s="70" t="str">
        <f>IF($A102="","",ROUND(N(AE101)*(1+'Calc base'!R125),2)-AE102)</f>
        <v/>
      </c>
      <c r="AE102" s="75" t="str">
        <f>IF($A102="","",CHOOSE('Calc riepilogo'!$B$2,'Calc valanga'!BD125,'Calc palla di neve'!BD125,'Calc personalizzata'!BD125))</f>
        <v/>
      </c>
      <c r="AF102" s="70" t="str">
        <f>IF($A102="","",ROUND(N(AG101)*(1+'Calc base'!S125),2)-AG102)</f>
        <v/>
      </c>
      <c r="AG102" s="75" t="str">
        <f>IF($A102="","",CHOOSE('Calc riepilogo'!$B$2,'Calc valanga'!BE125,'Calc palla di neve'!BE125,'Calc personalizzata'!BE125))</f>
        <v/>
      </c>
      <c r="AI102" t="n">
        <v>95</v>
      </c>
    </row>
    <row r="103">
      <c r="A103" s="68" t="str">
        <f>IF(96&gt;'Calc riepilogo'!$B$7,"",'Calc base'!$B126)</f>
        <v/>
      </c>
      <c r="B103" s="69" t="str">
        <f>IF($A103="","",'Calc base'!$C126)</f>
        <v/>
      </c>
      <c r="C103" s="69" t="str">
        <f>IF($A103="","",'Calc base'!$E126)</f>
        <v/>
      </c>
      <c r="D103" s="70" t="str">
        <f>IF($A103="","",J103+L103+N103+P103+R103+T103+V103+X103+Z103+AB103+AD103+AF103)</f>
        <v/>
      </c>
      <c r="E103" s="70" t="str">
        <f>IF($A103="","",CHOOSE('Calc riepilogo'!$B$2,'Calc valanga'!$H126,'Calc palla di neve'!$H126,'Calc personalizzata'!$H126))</f>
        <v/>
      </c>
      <c r="F103" s="71" t="str">
        <f>IF($A103="","",CHOOSE('Calc riepilogo'!$B$2,'Calc valanga'!$G126,'Calc palla di neve'!$G126,'Calc personalizzata'!$G126))</f>
        <v/>
      </c>
      <c r="G103" s="72" t="n"/>
      <c r="H103" s="73" t="n"/>
      <c r="I103" s="74" t="str">
        <f>IF($A103="","",TRIM(IF(AND(N(K102)&gt;0,N(K103)&lt;=0.004),"✓ "&amp;'Calc base'!C$6&amp;"   ","")&amp;IF(AND(N(M102)&gt;0,N(M103)&lt;=0.004),"✓ "&amp;'Calc base'!D$6&amp;"   ","")&amp;IF(AND(N(O102)&gt;0,N(O103)&lt;=0.004),"✓ "&amp;'Calc base'!E$6&amp;"   ","")&amp;IF(AND(N(Q102)&gt;0,N(Q103)&lt;=0.004),"✓ "&amp;'Calc base'!F$6&amp;"   ","")&amp;IF(AND(N(S102)&gt;0,N(S103)&lt;=0.004),"✓ "&amp;'Calc base'!G$6&amp;"   ","")&amp;IF(AND(N(U102)&gt;0,N(U103)&lt;=0.004),"✓ "&amp;'Calc base'!H$6&amp;"   ","")&amp;IF(AND(N(W102)&gt;0,N(W103)&lt;=0.004),"✓ "&amp;'Calc base'!I$6&amp;"   ","")&amp;IF(AND(N(Y102)&gt;0,N(Y103)&lt;=0.004),"✓ "&amp;'Calc base'!J$6&amp;"   ","")&amp;IF(AND(N(AA102)&gt;0,N(AA103)&lt;=0.004),"✓ "&amp;'Calc base'!K$6&amp;"   ","")&amp;IF(AND(N(AC102)&gt;0,N(AC103)&lt;=0.004),"✓ "&amp;'Calc base'!L$6&amp;"   ","")&amp;IF(AND(N(AE102)&gt;0,N(AE103)&lt;=0.004),"✓ "&amp;'Calc base'!M$6&amp;"   ","")&amp;IF(AND(N(AG102)&gt;0,N(AG103)&lt;=0.004),"✓ "&amp;'Calc base'!N$6&amp;"   ","")))</f>
        <v/>
      </c>
      <c r="J103" s="70" t="str">
        <f>IF($A103="","",ROUND(N(K102)*(1+'Calc base'!H126),2)-K103)</f>
        <v/>
      </c>
      <c r="K103" s="75" t="str">
        <f>IF($A103="","",CHOOSE('Calc riepilogo'!$B$2,'Calc valanga'!AT126,'Calc palla di neve'!AT126,'Calc personalizzata'!AT126))</f>
        <v/>
      </c>
      <c r="L103" s="70" t="str">
        <f>IF($A103="","",ROUND(N(M102)*(1+'Calc base'!I126),2)-M103)</f>
        <v/>
      </c>
      <c r="M103" s="75" t="str">
        <f>IF($A103="","",CHOOSE('Calc riepilogo'!$B$2,'Calc valanga'!AU126,'Calc palla di neve'!AU126,'Calc personalizzata'!AU126))</f>
        <v/>
      </c>
      <c r="N103" s="70" t="str">
        <f>IF($A103="","",ROUND(N(O102)*(1+'Calc base'!J126),2)-O103)</f>
        <v/>
      </c>
      <c r="O103" s="75" t="str">
        <f>IF($A103="","",CHOOSE('Calc riepilogo'!$B$2,'Calc valanga'!AV126,'Calc palla di neve'!AV126,'Calc personalizzata'!AV126))</f>
        <v/>
      </c>
      <c r="P103" s="70" t="str">
        <f>IF($A103="","",ROUND(N(Q102)*(1+'Calc base'!K126),2)-Q103)</f>
        <v/>
      </c>
      <c r="Q103" s="75" t="str">
        <f>IF($A103="","",CHOOSE('Calc riepilogo'!$B$2,'Calc valanga'!AW126,'Calc palla di neve'!AW126,'Calc personalizzata'!AW126))</f>
        <v/>
      </c>
      <c r="R103" s="70" t="str">
        <f>IF($A103="","",ROUND(N(S102)*(1+'Calc base'!L126),2)-S103)</f>
        <v/>
      </c>
      <c r="S103" s="75" t="str">
        <f>IF($A103="","",CHOOSE('Calc riepilogo'!$B$2,'Calc valanga'!AX126,'Calc palla di neve'!AX126,'Calc personalizzata'!AX126))</f>
        <v/>
      </c>
      <c r="T103" s="70" t="str">
        <f>IF($A103="","",ROUND(N(U102)*(1+'Calc base'!M126),2)-U103)</f>
        <v/>
      </c>
      <c r="U103" s="75" t="str">
        <f>IF($A103="","",CHOOSE('Calc riepilogo'!$B$2,'Calc valanga'!AY126,'Calc palla di neve'!AY126,'Calc personalizzata'!AY126))</f>
        <v/>
      </c>
      <c r="V103" s="70" t="str">
        <f>IF($A103="","",ROUND(N(W102)*(1+'Calc base'!N126),2)-W103)</f>
        <v/>
      </c>
      <c r="W103" s="75" t="str">
        <f>IF($A103="","",CHOOSE('Calc riepilogo'!$B$2,'Calc valanga'!AZ126,'Calc palla di neve'!AZ126,'Calc personalizzata'!AZ126))</f>
        <v/>
      </c>
      <c r="X103" s="70" t="str">
        <f>IF($A103="","",ROUND(N(Y102)*(1+'Calc base'!O126),2)-Y103)</f>
        <v/>
      </c>
      <c r="Y103" s="75" t="str">
        <f>IF($A103="","",CHOOSE('Calc riepilogo'!$B$2,'Calc valanga'!BA126,'Calc palla di neve'!BA126,'Calc personalizzata'!BA126))</f>
        <v/>
      </c>
      <c r="Z103" s="70" t="str">
        <f>IF($A103="","",ROUND(N(AA102)*(1+'Calc base'!P126),2)-AA103)</f>
        <v/>
      </c>
      <c r="AA103" s="75" t="str">
        <f>IF($A103="","",CHOOSE('Calc riepilogo'!$B$2,'Calc valanga'!BB126,'Calc palla di neve'!BB126,'Calc personalizzata'!BB126))</f>
        <v/>
      </c>
      <c r="AB103" s="70" t="str">
        <f>IF($A103="","",ROUND(N(AC102)*(1+'Calc base'!Q126),2)-AC103)</f>
        <v/>
      </c>
      <c r="AC103" s="75" t="str">
        <f>IF($A103="","",CHOOSE('Calc riepilogo'!$B$2,'Calc valanga'!BC126,'Calc palla di neve'!BC126,'Calc personalizzata'!BC126))</f>
        <v/>
      </c>
      <c r="AD103" s="70" t="str">
        <f>IF($A103="","",ROUND(N(AE102)*(1+'Calc base'!R126),2)-AE103)</f>
        <v/>
      </c>
      <c r="AE103" s="75" t="str">
        <f>IF($A103="","",CHOOSE('Calc riepilogo'!$B$2,'Calc valanga'!BD126,'Calc palla di neve'!BD126,'Calc personalizzata'!BD126))</f>
        <v/>
      </c>
      <c r="AF103" s="70" t="str">
        <f>IF($A103="","",ROUND(N(AG102)*(1+'Calc base'!S126),2)-AG103)</f>
        <v/>
      </c>
      <c r="AG103" s="75" t="str">
        <f>IF($A103="","",CHOOSE('Calc riepilogo'!$B$2,'Calc valanga'!BE126,'Calc palla di neve'!BE126,'Calc personalizzata'!BE126))</f>
        <v/>
      </c>
      <c r="AI103" t="n">
        <v>96</v>
      </c>
    </row>
    <row r="104">
      <c r="A104" s="68" t="str">
        <f>IF(97&gt;'Calc riepilogo'!$B$7,"",'Calc base'!$B127)</f>
        <v/>
      </c>
      <c r="B104" s="69" t="str">
        <f>IF($A104="","",'Calc base'!$C127)</f>
        <v/>
      </c>
      <c r="C104" s="69" t="str">
        <f>IF($A104="","",'Calc base'!$E127)</f>
        <v/>
      </c>
      <c r="D104" s="70" t="str">
        <f>IF($A104="","",J104+L104+N104+P104+R104+T104+V104+X104+Z104+AB104+AD104+AF104)</f>
        <v/>
      </c>
      <c r="E104" s="70" t="str">
        <f>IF($A104="","",CHOOSE('Calc riepilogo'!$B$2,'Calc valanga'!$H127,'Calc palla di neve'!$H127,'Calc personalizzata'!$H127))</f>
        <v/>
      </c>
      <c r="F104" s="71" t="str">
        <f>IF($A104="","",CHOOSE('Calc riepilogo'!$B$2,'Calc valanga'!$G127,'Calc palla di neve'!$G127,'Calc personalizzata'!$G127))</f>
        <v/>
      </c>
      <c r="G104" s="72" t="n"/>
      <c r="H104" s="73" t="n"/>
      <c r="I104" s="74" t="str">
        <f>IF($A104="","",TRIM(IF(AND(N(K103)&gt;0,N(K104)&lt;=0.004),"✓ "&amp;'Calc base'!C$6&amp;"   ","")&amp;IF(AND(N(M103)&gt;0,N(M104)&lt;=0.004),"✓ "&amp;'Calc base'!D$6&amp;"   ","")&amp;IF(AND(N(O103)&gt;0,N(O104)&lt;=0.004),"✓ "&amp;'Calc base'!E$6&amp;"   ","")&amp;IF(AND(N(Q103)&gt;0,N(Q104)&lt;=0.004),"✓ "&amp;'Calc base'!F$6&amp;"   ","")&amp;IF(AND(N(S103)&gt;0,N(S104)&lt;=0.004),"✓ "&amp;'Calc base'!G$6&amp;"   ","")&amp;IF(AND(N(U103)&gt;0,N(U104)&lt;=0.004),"✓ "&amp;'Calc base'!H$6&amp;"   ","")&amp;IF(AND(N(W103)&gt;0,N(W104)&lt;=0.004),"✓ "&amp;'Calc base'!I$6&amp;"   ","")&amp;IF(AND(N(Y103)&gt;0,N(Y104)&lt;=0.004),"✓ "&amp;'Calc base'!J$6&amp;"   ","")&amp;IF(AND(N(AA103)&gt;0,N(AA104)&lt;=0.004),"✓ "&amp;'Calc base'!K$6&amp;"   ","")&amp;IF(AND(N(AC103)&gt;0,N(AC104)&lt;=0.004),"✓ "&amp;'Calc base'!L$6&amp;"   ","")&amp;IF(AND(N(AE103)&gt;0,N(AE104)&lt;=0.004),"✓ "&amp;'Calc base'!M$6&amp;"   ","")&amp;IF(AND(N(AG103)&gt;0,N(AG104)&lt;=0.004),"✓ "&amp;'Calc base'!N$6&amp;"   ","")))</f>
        <v/>
      </c>
      <c r="J104" s="70" t="str">
        <f>IF($A104="","",ROUND(N(K103)*(1+'Calc base'!H127),2)-K104)</f>
        <v/>
      </c>
      <c r="K104" s="75" t="str">
        <f>IF($A104="","",CHOOSE('Calc riepilogo'!$B$2,'Calc valanga'!AT127,'Calc palla di neve'!AT127,'Calc personalizzata'!AT127))</f>
        <v/>
      </c>
      <c r="L104" s="70" t="str">
        <f>IF($A104="","",ROUND(N(M103)*(1+'Calc base'!I127),2)-M104)</f>
        <v/>
      </c>
      <c r="M104" s="75" t="str">
        <f>IF($A104="","",CHOOSE('Calc riepilogo'!$B$2,'Calc valanga'!AU127,'Calc palla di neve'!AU127,'Calc personalizzata'!AU127))</f>
        <v/>
      </c>
      <c r="N104" s="70" t="str">
        <f>IF($A104="","",ROUND(N(O103)*(1+'Calc base'!J127),2)-O104)</f>
        <v/>
      </c>
      <c r="O104" s="75" t="str">
        <f>IF($A104="","",CHOOSE('Calc riepilogo'!$B$2,'Calc valanga'!AV127,'Calc palla di neve'!AV127,'Calc personalizzata'!AV127))</f>
        <v/>
      </c>
      <c r="P104" s="70" t="str">
        <f>IF($A104="","",ROUND(N(Q103)*(1+'Calc base'!K127),2)-Q104)</f>
        <v/>
      </c>
      <c r="Q104" s="75" t="str">
        <f>IF($A104="","",CHOOSE('Calc riepilogo'!$B$2,'Calc valanga'!AW127,'Calc palla di neve'!AW127,'Calc personalizzata'!AW127))</f>
        <v/>
      </c>
      <c r="R104" s="70" t="str">
        <f>IF($A104="","",ROUND(N(S103)*(1+'Calc base'!L127),2)-S104)</f>
        <v/>
      </c>
      <c r="S104" s="75" t="str">
        <f>IF($A104="","",CHOOSE('Calc riepilogo'!$B$2,'Calc valanga'!AX127,'Calc palla di neve'!AX127,'Calc personalizzata'!AX127))</f>
        <v/>
      </c>
      <c r="T104" s="70" t="str">
        <f>IF($A104="","",ROUND(N(U103)*(1+'Calc base'!M127),2)-U104)</f>
        <v/>
      </c>
      <c r="U104" s="75" t="str">
        <f>IF($A104="","",CHOOSE('Calc riepilogo'!$B$2,'Calc valanga'!AY127,'Calc palla di neve'!AY127,'Calc personalizzata'!AY127))</f>
        <v/>
      </c>
      <c r="V104" s="70" t="str">
        <f>IF($A104="","",ROUND(N(W103)*(1+'Calc base'!N127),2)-W104)</f>
        <v/>
      </c>
      <c r="W104" s="75" t="str">
        <f>IF($A104="","",CHOOSE('Calc riepilogo'!$B$2,'Calc valanga'!AZ127,'Calc palla di neve'!AZ127,'Calc personalizzata'!AZ127))</f>
        <v/>
      </c>
      <c r="X104" s="70" t="str">
        <f>IF($A104="","",ROUND(N(Y103)*(1+'Calc base'!O127),2)-Y104)</f>
        <v/>
      </c>
      <c r="Y104" s="75" t="str">
        <f>IF($A104="","",CHOOSE('Calc riepilogo'!$B$2,'Calc valanga'!BA127,'Calc palla di neve'!BA127,'Calc personalizzata'!BA127))</f>
        <v/>
      </c>
      <c r="Z104" s="70" t="str">
        <f>IF($A104="","",ROUND(N(AA103)*(1+'Calc base'!P127),2)-AA104)</f>
        <v/>
      </c>
      <c r="AA104" s="75" t="str">
        <f>IF($A104="","",CHOOSE('Calc riepilogo'!$B$2,'Calc valanga'!BB127,'Calc palla di neve'!BB127,'Calc personalizzata'!BB127))</f>
        <v/>
      </c>
      <c r="AB104" s="70" t="str">
        <f>IF($A104="","",ROUND(N(AC103)*(1+'Calc base'!Q127),2)-AC104)</f>
        <v/>
      </c>
      <c r="AC104" s="75" t="str">
        <f>IF($A104="","",CHOOSE('Calc riepilogo'!$B$2,'Calc valanga'!BC127,'Calc palla di neve'!BC127,'Calc personalizzata'!BC127))</f>
        <v/>
      </c>
      <c r="AD104" s="70" t="str">
        <f>IF($A104="","",ROUND(N(AE103)*(1+'Calc base'!R127),2)-AE104)</f>
        <v/>
      </c>
      <c r="AE104" s="75" t="str">
        <f>IF($A104="","",CHOOSE('Calc riepilogo'!$B$2,'Calc valanga'!BD127,'Calc palla di neve'!BD127,'Calc personalizzata'!BD127))</f>
        <v/>
      </c>
      <c r="AF104" s="70" t="str">
        <f>IF($A104="","",ROUND(N(AG103)*(1+'Calc base'!S127),2)-AG104)</f>
        <v/>
      </c>
      <c r="AG104" s="75" t="str">
        <f>IF($A104="","",CHOOSE('Calc riepilogo'!$B$2,'Calc valanga'!BE127,'Calc palla di neve'!BE127,'Calc personalizzata'!BE127))</f>
        <v/>
      </c>
      <c r="AI104" t="n">
        <v>97</v>
      </c>
    </row>
    <row r="105">
      <c r="A105" s="68" t="str">
        <f>IF(98&gt;'Calc riepilogo'!$B$7,"",'Calc base'!$B128)</f>
        <v/>
      </c>
      <c r="B105" s="69" t="str">
        <f>IF($A105="","",'Calc base'!$C128)</f>
        <v/>
      </c>
      <c r="C105" s="69" t="str">
        <f>IF($A105="","",'Calc base'!$E128)</f>
        <v/>
      </c>
      <c r="D105" s="70" t="str">
        <f>IF($A105="","",J105+L105+N105+P105+R105+T105+V105+X105+Z105+AB105+AD105+AF105)</f>
        <v/>
      </c>
      <c r="E105" s="70" t="str">
        <f>IF($A105="","",CHOOSE('Calc riepilogo'!$B$2,'Calc valanga'!$H128,'Calc palla di neve'!$H128,'Calc personalizzata'!$H128))</f>
        <v/>
      </c>
      <c r="F105" s="71" t="str">
        <f>IF($A105="","",CHOOSE('Calc riepilogo'!$B$2,'Calc valanga'!$G128,'Calc palla di neve'!$G128,'Calc personalizzata'!$G128))</f>
        <v/>
      </c>
      <c r="G105" s="72" t="n"/>
      <c r="H105" s="73" t="n"/>
      <c r="I105" s="74" t="str">
        <f>IF($A105="","",TRIM(IF(AND(N(K104)&gt;0,N(K105)&lt;=0.004),"✓ "&amp;'Calc base'!C$6&amp;"   ","")&amp;IF(AND(N(M104)&gt;0,N(M105)&lt;=0.004),"✓ "&amp;'Calc base'!D$6&amp;"   ","")&amp;IF(AND(N(O104)&gt;0,N(O105)&lt;=0.004),"✓ "&amp;'Calc base'!E$6&amp;"   ","")&amp;IF(AND(N(Q104)&gt;0,N(Q105)&lt;=0.004),"✓ "&amp;'Calc base'!F$6&amp;"   ","")&amp;IF(AND(N(S104)&gt;0,N(S105)&lt;=0.004),"✓ "&amp;'Calc base'!G$6&amp;"   ","")&amp;IF(AND(N(U104)&gt;0,N(U105)&lt;=0.004),"✓ "&amp;'Calc base'!H$6&amp;"   ","")&amp;IF(AND(N(W104)&gt;0,N(W105)&lt;=0.004),"✓ "&amp;'Calc base'!I$6&amp;"   ","")&amp;IF(AND(N(Y104)&gt;0,N(Y105)&lt;=0.004),"✓ "&amp;'Calc base'!J$6&amp;"   ","")&amp;IF(AND(N(AA104)&gt;0,N(AA105)&lt;=0.004),"✓ "&amp;'Calc base'!K$6&amp;"   ","")&amp;IF(AND(N(AC104)&gt;0,N(AC105)&lt;=0.004),"✓ "&amp;'Calc base'!L$6&amp;"   ","")&amp;IF(AND(N(AE104)&gt;0,N(AE105)&lt;=0.004),"✓ "&amp;'Calc base'!M$6&amp;"   ","")&amp;IF(AND(N(AG104)&gt;0,N(AG105)&lt;=0.004),"✓ "&amp;'Calc base'!N$6&amp;"   ","")))</f>
        <v/>
      </c>
      <c r="J105" s="70" t="str">
        <f>IF($A105="","",ROUND(N(K104)*(1+'Calc base'!H128),2)-K105)</f>
        <v/>
      </c>
      <c r="K105" s="75" t="str">
        <f>IF($A105="","",CHOOSE('Calc riepilogo'!$B$2,'Calc valanga'!AT128,'Calc palla di neve'!AT128,'Calc personalizzata'!AT128))</f>
        <v/>
      </c>
      <c r="L105" s="70" t="str">
        <f>IF($A105="","",ROUND(N(M104)*(1+'Calc base'!I128),2)-M105)</f>
        <v/>
      </c>
      <c r="M105" s="75" t="str">
        <f>IF($A105="","",CHOOSE('Calc riepilogo'!$B$2,'Calc valanga'!AU128,'Calc palla di neve'!AU128,'Calc personalizzata'!AU128))</f>
        <v/>
      </c>
      <c r="N105" s="70" t="str">
        <f>IF($A105="","",ROUND(N(O104)*(1+'Calc base'!J128),2)-O105)</f>
        <v/>
      </c>
      <c r="O105" s="75" t="str">
        <f>IF($A105="","",CHOOSE('Calc riepilogo'!$B$2,'Calc valanga'!AV128,'Calc palla di neve'!AV128,'Calc personalizzata'!AV128))</f>
        <v/>
      </c>
      <c r="P105" s="70" t="str">
        <f>IF($A105="","",ROUND(N(Q104)*(1+'Calc base'!K128),2)-Q105)</f>
        <v/>
      </c>
      <c r="Q105" s="75" t="str">
        <f>IF($A105="","",CHOOSE('Calc riepilogo'!$B$2,'Calc valanga'!AW128,'Calc palla di neve'!AW128,'Calc personalizzata'!AW128))</f>
        <v/>
      </c>
      <c r="R105" s="70" t="str">
        <f>IF($A105="","",ROUND(N(S104)*(1+'Calc base'!L128),2)-S105)</f>
        <v/>
      </c>
      <c r="S105" s="75" t="str">
        <f>IF($A105="","",CHOOSE('Calc riepilogo'!$B$2,'Calc valanga'!AX128,'Calc palla di neve'!AX128,'Calc personalizzata'!AX128))</f>
        <v/>
      </c>
      <c r="T105" s="70" t="str">
        <f>IF($A105="","",ROUND(N(U104)*(1+'Calc base'!M128),2)-U105)</f>
        <v/>
      </c>
      <c r="U105" s="75" t="str">
        <f>IF($A105="","",CHOOSE('Calc riepilogo'!$B$2,'Calc valanga'!AY128,'Calc palla di neve'!AY128,'Calc personalizzata'!AY128))</f>
        <v/>
      </c>
      <c r="V105" s="70" t="str">
        <f>IF($A105="","",ROUND(N(W104)*(1+'Calc base'!N128),2)-W105)</f>
        <v/>
      </c>
      <c r="W105" s="75" t="str">
        <f>IF($A105="","",CHOOSE('Calc riepilogo'!$B$2,'Calc valanga'!AZ128,'Calc palla di neve'!AZ128,'Calc personalizzata'!AZ128))</f>
        <v/>
      </c>
      <c r="X105" s="70" t="str">
        <f>IF($A105="","",ROUND(N(Y104)*(1+'Calc base'!O128),2)-Y105)</f>
        <v/>
      </c>
      <c r="Y105" s="75" t="str">
        <f>IF($A105="","",CHOOSE('Calc riepilogo'!$B$2,'Calc valanga'!BA128,'Calc palla di neve'!BA128,'Calc personalizzata'!BA128))</f>
        <v/>
      </c>
      <c r="Z105" s="70" t="str">
        <f>IF($A105="","",ROUND(N(AA104)*(1+'Calc base'!P128),2)-AA105)</f>
        <v/>
      </c>
      <c r="AA105" s="75" t="str">
        <f>IF($A105="","",CHOOSE('Calc riepilogo'!$B$2,'Calc valanga'!BB128,'Calc palla di neve'!BB128,'Calc personalizzata'!BB128))</f>
        <v/>
      </c>
      <c r="AB105" s="70" t="str">
        <f>IF($A105="","",ROUND(N(AC104)*(1+'Calc base'!Q128),2)-AC105)</f>
        <v/>
      </c>
      <c r="AC105" s="75" t="str">
        <f>IF($A105="","",CHOOSE('Calc riepilogo'!$B$2,'Calc valanga'!BC128,'Calc palla di neve'!BC128,'Calc personalizzata'!BC128))</f>
        <v/>
      </c>
      <c r="AD105" s="70" t="str">
        <f>IF($A105="","",ROUND(N(AE104)*(1+'Calc base'!R128),2)-AE105)</f>
        <v/>
      </c>
      <c r="AE105" s="75" t="str">
        <f>IF($A105="","",CHOOSE('Calc riepilogo'!$B$2,'Calc valanga'!BD128,'Calc palla di neve'!BD128,'Calc personalizzata'!BD128))</f>
        <v/>
      </c>
      <c r="AF105" s="70" t="str">
        <f>IF($A105="","",ROUND(N(AG104)*(1+'Calc base'!S128),2)-AG105)</f>
        <v/>
      </c>
      <c r="AG105" s="75" t="str">
        <f>IF($A105="","",CHOOSE('Calc riepilogo'!$B$2,'Calc valanga'!BE128,'Calc palla di neve'!BE128,'Calc personalizzata'!BE128))</f>
        <v/>
      </c>
      <c r="AI105" t="n">
        <v>98</v>
      </c>
    </row>
    <row r="106">
      <c r="A106" s="68" t="str">
        <f>IF(99&gt;'Calc riepilogo'!$B$7,"",'Calc base'!$B129)</f>
        <v/>
      </c>
      <c r="B106" s="69" t="str">
        <f>IF($A106="","",'Calc base'!$C129)</f>
        <v/>
      </c>
      <c r="C106" s="69" t="str">
        <f>IF($A106="","",'Calc base'!$E129)</f>
        <v/>
      </c>
      <c r="D106" s="70" t="str">
        <f>IF($A106="","",J106+L106+N106+P106+R106+T106+V106+X106+Z106+AB106+AD106+AF106)</f>
        <v/>
      </c>
      <c r="E106" s="70" t="str">
        <f>IF($A106="","",CHOOSE('Calc riepilogo'!$B$2,'Calc valanga'!$H129,'Calc palla di neve'!$H129,'Calc personalizzata'!$H129))</f>
        <v/>
      </c>
      <c r="F106" s="71" t="str">
        <f>IF($A106="","",CHOOSE('Calc riepilogo'!$B$2,'Calc valanga'!$G129,'Calc palla di neve'!$G129,'Calc personalizzata'!$G129))</f>
        <v/>
      </c>
      <c r="G106" s="72" t="n"/>
      <c r="H106" s="73" t="n"/>
      <c r="I106" s="74" t="str">
        <f>IF($A106="","",TRIM(IF(AND(N(K105)&gt;0,N(K106)&lt;=0.004),"✓ "&amp;'Calc base'!C$6&amp;"   ","")&amp;IF(AND(N(M105)&gt;0,N(M106)&lt;=0.004),"✓ "&amp;'Calc base'!D$6&amp;"   ","")&amp;IF(AND(N(O105)&gt;0,N(O106)&lt;=0.004),"✓ "&amp;'Calc base'!E$6&amp;"   ","")&amp;IF(AND(N(Q105)&gt;0,N(Q106)&lt;=0.004),"✓ "&amp;'Calc base'!F$6&amp;"   ","")&amp;IF(AND(N(S105)&gt;0,N(S106)&lt;=0.004),"✓ "&amp;'Calc base'!G$6&amp;"   ","")&amp;IF(AND(N(U105)&gt;0,N(U106)&lt;=0.004),"✓ "&amp;'Calc base'!H$6&amp;"   ","")&amp;IF(AND(N(W105)&gt;0,N(W106)&lt;=0.004),"✓ "&amp;'Calc base'!I$6&amp;"   ","")&amp;IF(AND(N(Y105)&gt;0,N(Y106)&lt;=0.004),"✓ "&amp;'Calc base'!J$6&amp;"   ","")&amp;IF(AND(N(AA105)&gt;0,N(AA106)&lt;=0.004),"✓ "&amp;'Calc base'!K$6&amp;"   ","")&amp;IF(AND(N(AC105)&gt;0,N(AC106)&lt;=0.004),"✓ "&amp;'Calc base'!L$6&amp;"   ","")&amp;IF(AND(N(AE105)&gt;0,N(AE106)&lt;=0.004),"✓ "&amp;'Calc base'!M$6&amp;"   ","")&amp;IF(AND(N(AG105)&gt;0,N(AG106)&lt;=0.004),"✓ "&amp;'Calc base'!N$6&amp;"   ","")))</f>
        <v/>
      </c>
      <c r="J106" s="70" t="str">
        <f>IF($A106="","",ROUND(N(K105)*(1+'Calc base'!H129),2)-K106)</f>
        <v/>
      </c>
      <c r="K106" s="75" t="str">
        <f>IF($A106="","",CHOOSE('Calc riepilogo'!$B$2,'Calc valanga'!AT129,'Calc palla di neve'!AT129,'Calc personalizzata'!AT129))</f>
        <v/>
      </c>
      <c r="L106" s="70" t="str">
        <f>IF($A106="","",ROUND(N(M105)*(1+'Calc base'!I129),2)-M106)</f>
        <v/>
      </c>
      <c r="M106" s="75" t="str">
        <f>IF($A106="","",CHOOSE('Calc riepilogo'!$B$2,'Calc valanga'!AU129,'Calc palla di neve'!AU129,'Calc personalizzata'!AU129))</f>
        <v/>
      </c>
      <c r="N106" s="70" t="str">
        <f>IF($A106="","",ROUND(N(O105)*(1+'Calc base'!J129),2)-O106)</f>
        <v/>
      </c>
      <c r="O106" s="75" t="str">
        <f>IF($A106="","",CHOOSE('Calc riepilogo'!$B$2,'Calc valanga'!AV129,'Calc palla di neve'!AV129,'Calc personalizzata'!AV129))</f>
        <v/>
      </c>
      <c r="P106" s="70" t="str">
        <f>IF($A106="","",ROUND(N(Q105)*(1+'Calc base'!K129),2)-Q106)</f>
        <v/>
      </c>
      <c r="Q106" s="75" t="str">
        <f>IF($A106="","",CHOOSE('Calc riepilogo'!$B$2,'Calc valanga'!AW129,'Calc palla di neve'!AW129,'Calc personalizzata'!AW129))</f>
        <v/>
      </c>
      <c r="R106" s="70" t="str">
        <f>IF($A106="","",ROUND(N(S105)*(1+'Calc base'!L129),2)-S106)</f>
        <v/>
      </c>
      <c r="S106" s="75" t="str">
        <f>IF($A106="","",CHOOSE('Calc riepilogo'!$B$2,'Calc valanga'!AX129,'Calc palla di neve'!AX129,'Calc personalizzata'!AX129))</f>
        <v/>
      </c>
      <c r="T106" s="70" t="str">
        <f>IF($A106="","",ROUND(N(U105)*(1+'Calc base'!M129),2)-U106)</f>
        <v/>
      </c>
      <c r="U106" s="75" t="str">
        <f>IF($A106="","",CHOOSE('Calc riepilogo'!$B$2,'Calc valanga'!AY129,'Calc palla di neve'!AY129,'Calc personalizzata'!AY129))</f>
        <v/>
      </c>
      <c r="V106" s="70" t="str">
        <f>IF($A106="","",ROUND(N(W105)*(1+'Calc base'!N129),2)-W106)</f>
        <v/>
      </c>
      <c r="W106" s="75" t="str">
        <f>IF($A106="","",CHOOSE('Calc riepilogo'!$B$2,'Calc valanga'!AZ129,'Calc palla di neve'!AZ129,'Calc personalizzata'!AZ129))</f>
        <v/>
      </c>
      <c r="X106" s="70" t="str">
        <f>IF($A106="","",ROUND(N(Y105)*(1+'Calc base'!O129),2)-Y106)</f>
        <v/>
      </c>
      <c r="Y106" s="75" t="str">
        <f>IF($A106="","",CHOOSE('Calc riepilogo'!$B$2,'Calc valanga'!BA129,'Calc palla di neve'!BA129,'Calc personalizzata'!BA129))</f>
        <v/>
      </c>
      <c r="Z106" s="70" t="str">
        <f>IF($A106="","",ROUND(N(AA105)*(1+'Calc base'!P129),2)-AA106)</f>
        <v/>
      </c>
      <c r="AA106" s="75" t="str">
        <f>IF($A106="","",CHOOSE('Calc riepilogo'!$B$2,'Calc valanga'!BB129,'Calc palla di neve'!BB129,'Calc personalizzata'!BB129))</f>
        <v/>
      </c>
      <c r="AB106" s="70" t="str">
        <f>IF($A106="","",ROUND(N(AC105)*(1+'Calc base'!Q129),2)-AC106)</f>
        <v/>
      </c>
      <c r="AC106" s="75" t="str">
        <f>IF($A106="","",CHOOSE('Calc riepilogo'!$B$2,'Calc valanga'!BC129,'Calc palla di neve'!BC129,'Calc personalizzata'!BC129))</f>
        <v/>
      </c>
      <c r="AD106" s="70" t="str">
        <f>IF($A106="","",ROUND(N(AE105)*(1+'Calc base'!R129),2)-AE106)</f>
        <v/>
      </c>
      <c r="AE106" s="75" t="str">
        <f>IF($A106="","",CHOOSE('Calc riepilogo'!$B$2,'Calc valanga'!BD129,'Calc palla di neve'!BD129,'Calc personalizzata'!BD129))</f>
        <v/>
      </c>
      <c r="AF106" s="70" t="str">
        <f>IF($A106="","",ROUND(N(AG105)*(1+'Calc base'!S129),2)-AG106)</f>
        <v/>
      </c>
      <c r="AG106" s="75" t="str">
        <f>IF($A106="","",CHOOSE('Calc riepilogo'!$B$2,'Calc valanga'!BE129,'Calc palla di neve'!BE129,'Calc personalizzata'!BE129))</f>
        <v/>
      </c>
      <c r="AI106" t="n">
        <v>99</v>
      </c>
    </row>
    <row r="107">
      <c r="A107" s="68" t="str">
        <f>IF(100&gt;'Calc riepilogo'!$B$7,"",'Calc base'!$B130)</f>
        <v/>
      </c>
      <c r="B107" s="69" t="str">
        <f>IF($A107="","",'Calc base'!$C130)</f>
        <v/>
      </c>
      <c r="C107" s="69" t="str">
        <f>IF($A107="","",'Calc base'!$E130)</f>
        <v/>
      </c>
      <c r="D107" s="70" t="str">
        <f>IF($A107="","",J107+L107+N107+P107+R107+T107+V107+X107+Z107+AB107+AD107+AF107)</f>
        <v/>
      </c>
      <c r="E107" s="70" t="str">
        <f>IF($A107="","",CHOOSE('Calc riepilogo'!$B$2,'Calc valanga'!$H130,'Calc palla di neve'!$H130,'Calc personalizzata'!$H130))</f>
        <v/>
      </c>
      <c r="F107" s="71" t="str">
        <f>IF($A107="","",CHOOSE('Calc riepilogo'!$B$2,'Calc valanga'!$G130,'Calc palla di neve'!$G130,'Calc personalizzata'!$G130))</f>
        <v/>
      </c>
      <c r="G107" s="72" t="n"/>
      <c r="H107" s="73" t="n"/>
      <c r="I107" s="74" t="str">
        <f>IF($A107="","",TRIM(IF(AND(N(K106)&gt;0,N(K107)&lt;=0.004),"✓ "&amp;'Calc base'!C$6&amp;"   ","")&amp;IF(AND(N(M106)&gt;0,N(M107)&lt;=0.004),"✓ "&amp;'Calc base'!D$6&amp;"   ","")&amp;IF(AND(N(O106)&gt;0,N(O107)&lt;=0.004),"✓ "&amp;'Calc base'!E$6&amp;"   ","")&amp;IF(AND(N(Q106)&gt;0,N(Q107)&lt;=0.004),"✓ "&amp;'Calc base'!F$6&amp;"   ","")&amp;IF(AND(N(S106)&gt;0,N(S107)&lt;=0.004),"✓ "&amp;'Calc base'!G$6&amp;"   ","")&amp;IF(AND(N(U106)&gt;0,N(U107)&lt;=0.004),"✓ "&amp;'Calc base'!H$6&amp;"   ","")&amp;IF(AND(N(W106)&gt;0,N(W107)&lt;=0.004),"✓ "&amp;'Calc base'!I$6&amp;"   ","")&amp;IF(AND(N(Y106)&gt;0,N(Y107)&lt;=0.004),"✓ "&amp;'Calc base'!J$6&amp;"   ","")&amp;IF(AND(N(AA106)&gt;0,N(AA107)&lt;=0.004),"✓ "&amp;'Calc base'!K$6&amp;"   ","")&amp;IF(AND(N(AC106)&gt;0,N(AC107)&lt;=0.004),"✓ "&amp;'Calc base'!L$6&amp;"   ","")&amp;IF(AND(N(AE106)&gt;0,N(AE107)&lt;=0.004),"✓ "&amp;'Calc base'!M$6&amp;"   ","")&amp;IF(AND(N(AG106)&gt;0,N(AG107)&lt;=0.004),"✓ "&amp;'Calc base'!N$6&amp;"   ","")))</f>
        <v/>
      </c>
      <c r="J107" s="70" t="str">
        <f>IF($A107="","",ROUND(N(K106)*(1+'Calc base'!H130),2)-K107)</f>
        <v/>
      </c>
      <c r="K107" s="75" t="str">
        <f>IF($A107="","",CHOOSE('Calc riepilogo'!$B$2,'Calc valanga'!AT130,'Calc palla di neve'!AT130,'Calc personalizzata'!AT130))</f>
        <v/>
      </c>
      <c r="L107" s="70" t="str">
        <f>IF($A107="","",ROUND(N(M106)*(1+'Calc base'!I130),2)-M107)</f>
        <v/>
      </c>
      <c r="M107" s="75" t="str">
        <f>IF($A107="","",CHOOSE('Calc riepilogo'!$B$2,'Calc valanga'!AU130,'Calc palla di neve'!AU130,'Calc personalizzata'!AU130))</f>
        <v/>
      </c>
      <c r="N107" s="70" t="str">
        <f>IF($A107="","",ROUND(N(O106)*(1+'Calc base'!J130),2)-O107)</f>
        <v/>
      </c>
      <c r="O107" s="75" t="str">
        <f>IF($A107="","",CHOOSE('Calc riepilogo'!$B$2,'Calc valanga'!AV130,'Calc palla di neve'!AV130,'Calc personalizzata'!AV130))</f>
        <v/>
      </c>
      <c r="P107" s="70" t="str">
        <f>IF($A107="","",ROUND(N(Q106)*(1+'Calc base'!K130),2)-Q107)</f>
        <v/>
      </c>
      <c r="Q107" s="75" t="str">
        <f>IF($A107="","",CHOOSE('Calc riepilogo'!$B$2,'Calc valanga'!AW130,'Calc palla di neve'!AW130,'Calc personalizzata'!AW130))</f>
        <v/>
      </c>
      <c r="R107" s="70" t="str">
        <f>IF($A107="","",ROUND(N(S106)*(1+'Calc base'!L130),2)-S107)</f>
        <v/>
      </c>
      <c r="S107" s="75" t="str">
        <f>IF($A107="","",CHOOSE('Calc riepilogo'!$B$2,'Calc valanga'!AX130,'Calc palla di neve'!AX130,'Calc personalizzata'!AX130))</f>
        <v/>
      </c>
      <c r="T107" s="70" t="str">
        <f>IF($A107="","",ROUND(N(U106)*(1+'Calc base'!M130),2)-U107)</f>
        <v/>
      </c>
      <c r="U107" s="75" t="str">
        <f>IF($A107="","",CHOOSE('Calc riepilogo'!$B$2,'Calc valanga'!AY130,'Calc palla di neve'!AY130,'Calc personalizzata'!AY130))</f>
        <v/>
      </c>
      <c r="V107" s="70" t="str">
        <f>IF($A107="","",ROUND(N(W106)*(1+'Calc base'!N130),2)-W107)</f>
        <v/>
      </c>
      <c r="W107" s="75" t="str">
        <f>IF($A107="","",CHOOSE('Calc riepilogo'!$B$2,'Calc valanga'!AZ130,'Calc palla di neve'!AZ130,'Calc personalizzata'!AZ130))</f>
        <v/>
      </c>
      <c r="X107" s="70" t="str">
        <f>IF($A107="","",ROUND(N(Y106)*(1+'Calc base'!O130),2)-Y107)</f>
        <v/>
      </c>
      <c r="Y107" s="75" t="str">
        <f>IF($A107="","",CHOOSE('Calc riepilogo'!$B$2,'Calc valanga'!BA130,'Calc palla di neve'!BA130,'Calc personalizzata'!BA130))</f>
        <v/>
      </c>
      <c r="Z107" s="70" t="str">
        <f>IF($A107="","",ROUND(N(AA106)*(1+'Calc base'!P130),2)-AA107)</f>
        <v/>
      </c>
      <c r="AA107" s="75" t="str">
        <f>IF($A107="","",CHOOSE('Calc riepilogo'!$B$2,'Calc valanga'!BB130,'Calc palla di neve'!BB130,'Calc personalizzata'!BB130))</f>
        <v/>
      </c>
      <c r="AB107" s="70" t="str">
        <f>IF($A107="","",ROUND(N(AC106)*(1+'Calc base'!Q130),2)-AC107)</f>
        <v/>
      </c>
      <c r="AC107" s="75" t="str">
        <f>IF($A107="","",CHOOSE('Calc riepilogo'!$B$2,'Calc valanga'!BC130,'Calc palla di neve'!BC130,'Calc personalizzata'!BC130))</f>
        <v/>
      </c>
      <c r="AD107" s="70" t="str">
        <f>IF($A107="","",ROUND(N(AE106)*(1+'Calc base'!R130),2)-AE107)</f>
        <v/>
      </c>
      <c r="AE107" s="75" t="str">
        <f>IF($A107="","",CHOOSE('Calc riepilogo'!$B$2,'Calc valanga'!BD130,'Calc palla di neve'!BD130,'Calc personalizzata'!BD130))</f>
        <v/>
      </c>
      <c r="AF107" s="70" t="str">
        <f>IF($A107="","",ROUND(N(AG106)*(1+'Calc base'!S130),2)-AG107)</f>
        <v/>
      </c>
      <c r="AG107" s="75" t="str">
        <f>IF($A107="","",CHOOSE('Calc riepilogo'!$B$2,'Calc valanga'!BE130,'Calc palla di neve'!BE130,'Calc personalizzata'!BE130))</f>
        <v/>
      </c>
      <c r="AI107" t="n">
        <v>100</v>
      </c>
    </row>
    <row r="108">
      <c r="A108" s="68" t="str">
        <f>IF(101&gt;'Calc riepilogo'!$B$7,"",'Calc base'!$B131)</f>
        <v/>
      </c>
      <c r="B108" s="69" t="str">
        <f>IF($A108="","",'Calc base'!$C131)</f>
        <v/>
      </c>
      <c r="C108" s="69" t="str">
        <f>IF($A108="","",'Calc base'!$E131)</f>
        <v/>
      </c>
      <c r="D108" s="70" t="str">
        <f>IF($A108="","",J108+L108+N108+P108+R108+T108+V108+X108+Z108+AB108+AD108+AF108)</f>
        <v/>
      </c>
      <c r="E108" s="70" t="str">
        <f>IF($A108="","",CHOOSE('Calc riepilogo'!$B$2,'Calc valanga'!$H131,'Calc palla di neve'!$H131,'Calc personalizzata'!$H131))</f>
        <v/>
      </c>
      <c r="F108" s="71" t="str">
        <f>IF($A108="","",CHOOSE('Calc riepilogo'!$B$2,'Calc valanga'!$G131,'Calc palla di neve'!$G131,'Calc personalizzata'!$G131))</f>
        <v/>
      </c>
      <c r="G108" s="72" t="n"/>
      <c r="H108" s="73" t="n"/>
      <c r="I108" s="74" t="str">
        <f>IF($A108="","",TRIM(IF(AND(N(K107)&gt;0,N(K108)&lt;=0.004),"✓ "&amp;'Calc base'!C$6&amp;"   ","")&amp;IF(AND(N(M107)&gt;0,N(M108)&lt;=0.004),"✓ "&amp;'Calc base'!D$6&amp;"   ","")&amp;IF(AND(N(O107)&gt;0,N(O108)&lt;=0.004),"✓ "&amp;'Calc base'!E$6&amp;"   ","")&amp;IF(AND(N(Q107)&gt;0,N(Q108)&lt;=0.004),"✓ "&amp;'Calc base'!F$6&amp;"   ","")&amp;IF(AND(N(S107)&gt;0,N(S108)&lt;=0.004),"✓ "&amp;'Calc base'!G$6&amp;"   ","")&amp;IF(AND(N(U107)&gt;0,N(U108)&lt;=0.004),"✓ "&amp;'Calc base'!H$6&amp;"   ","")&amp;IF(AND(N(W107)&gt;0,N(W108)&lt;=0.004),"✓ "&amp;'Calc base'!I$6&amp;"   ","")&amp;IF(AND(N(Y107)&gt;0,N(Y108)&lt;=0.004),"✓ "&amp;'Calc base'!J$6&amp;"   ","")&amp;IF(AND(N(AA107)&gt;0,N(AA108)&lt;=0.004),"✓ "&amp;'Calc base'!K$6&amp;"   ","")&amp;IF(AND(N(AC107)&gt;0,N(AC108)&lt;=0.004),"✓ "&amp;'Calc base'!L$6&amp;"   ","")&amp;IF(AND(N(AE107)&gt;0,N(AE108)&lt;=0.004),"✓ "&amp;'Calc base'!M$6&amp;"   ","")&amp;IF(AND(N(AG107)&gt;0,N(AG108)&lt;=0.004),"✓ "&amp;'Calc base'!N$6&amp;"   ","")))</f>
        <v/>
      </c>
      <c r="J108" s="70" t="str">
        <f>IF($A108="","",ROUND(N(K107)*(1+'Calc base'!H131),2)-K108)</f>
        <v/>
      </c>
      <c r="K108" s="75" t="str">
        <f>IF($A108="","",CHOOSE('Calc riepilogo'!$B$2,'Calc valanga'!AT131,'Calc palla di neve'!AT131,'Calc personalizzata'!AT131))</f>
        <v/>
      </c>
      <c r="L108" s="70" t="str">
        <f>IF($A108="","",ROUND(N(M107)*(1+'Calc base'!I131),2)-M108)</f>
        <v/>
      </c>
      <c r="M108" s="75" t="str">
        <f>IF($A108="","",CHOOSE('Calc riepilogo'!$B$2,'Calc valanga'!AU131,'Calc palla di neve'!AU131,'Calc personalizzata'!AU131))</f>
        <v/>
      </c>
      <c r="N108" s="70" t="str">
        <f>IF($A108="","",ROUND(N(O107)*(1+'Calc base'!J131),2)-O108)</f>
        <v/>
      </c>
      <c r="O108" s="75" t="str">
        <f>IF($A108="","",CHOOSE('Calc riepilogo'!$B$2,'Calc valanga'!AV131,'Calc palla di neve'!AV131,'Calc personalizzata'!AV131))</f>
        <v/>
      </c>
      <c r="P108" s="70" t="str">
        <f>IF($A108="","",ROUND(N(Q107)*(1+'Calc base'!K131),2)-Q108)</f>
        <v/>
      </c>
      <c r="Q108" s="75" t="str">
        <f>IF($A108="","",CHOOSE('Calc riepilogo'!$B$2,'Calc valanga'!AW131,'Calc palla di neve'!AW131,'Calc personalizzata'!AW131))</f>
        <v/>
      </c>
      <c r="R108" s="70" t="str">
        <f>IF($A108="","",ROUND(N(S107)*(1+'Calc base'!L131),2)-S108)</f>
        <v/>
      </c>
      <c r="S108" s="75" t="str">
        <f>IF($A108="","",CHOOSE('Calc riepilogo'!$B$2,'Calc valanga'!AX131,'Calc palla di neve'!AX131,'Calc personalizzata'!AX131))</f>
        <v/>
      </c>
      <c r="T108" s="70" t="str">
        <f>IF($A108="","",ROUND(N(U107)*(1+'Calc base'!M131),2)-U108)</f>
        <v/>
      </c>
      <c r="U108" s="75" t="str">
        <f>IF($A108="","",CHOOSE('Calc riepilogo'!$B$2,'Calc valanga'!AY131,'Calc palla di neve'!AY131,'Calc personalizzata'!AY131))</f>
        <v/>
      </c>
      <c r="V108" s="70" t="str">
        <f>IF($A108="","",ROUND(N(W107)*(1+'Calc base'!N131),2)-W108)</f>
        <v/>
      </c>
      <c r="W108" s="75" t="str">
        <f>IF($A108="","",CHOOSE('Calc riepilogo'!$B$2,'Calc valanga'!AZ131,'Calc palla di neve'!AZ131,'Calc personalizzata'!AZ131))</f>
        <v/>
      </c>
      <c r="X108" s="70" t="str">
        <f>IF($A108="","",ROUND(N(Y107)*(1+'Calc base'!O131),2)-Y108)</f>
        <v/>
      </c>
      <c r="Y108" s="75" t="str">
        <f>IF($A108="","",CHOOSE('Calc riepilogo'!$B$2,'Calc valanga'!BA131,'Calc palla di neve'!BA131,'Calc personalizzata'!BA131))</f>
        <v/>
      </c>
      <c r="Z108" s="70" t="str">
        <f>IF($A108="","",ROUND(N(AA107)*(1+'Calc base'!P131),2)-AA108)</f>
        <v/>
      </c>
      <c r="AA108" s="75" t="str">
        <f>IF($A108="","",CHOOSE('Calc riepilogo'!$B$2,'Calc valanga'!BB131,'Calc palla di neve'!BB131,'Calc personalizzata'!BB131))</f>
        <v/>
      </c>
      <c r="AB108" s="70" t="str">
        <f>IF($A108="","",ROUND(N(AC107)*(1+'Calc base'!Q131),2)-AC108)</f>
        <v/>
      </c>
      <c r="AC108" s="75" t="str">
        <f>IF($A108="","",CHOOSE('Calc riepilogo'!$B$2,'Calc valanga'!BC131,'Calc palla di neve'!BC131,'Calc personalizzata'!BC131))</f>
        <v/>
      </c>
      <c r="AD108" s="70" t="str">
        <f>IF($A108="","",ROUND(N(AE107)*(1+'Calc base'!R131),2)-AE108)</f>
        <v/>
      </c>
      <c r="AE108" s="75" t="str">
        <f>IF($A108="","",CHOOSE('Calc riepilogo'!$B$2,'Calc valanga'!BD131,'Calc palla di neve'!BD131,'Calc personalizzata'!BD131))</f>
        <v/>
      </c>
      <c r="AF108" s="70" t="str">
        <f>IF($A108="","",ROUND(N(AG107)*(1+'Calc base'!S131),2)-AG108)</f>
        <v/>
      </c>
      <c r="AG108" s="75" t="str">
        <f>IF($A108="","",CHOOSE('Calc riepilogo'!$B$2,'Calc valanga'!BE131,'Calc palla di neve'!BE131,'Calc personalizzata'!BE131))</f>
        <v/>
      </c>
      <c r="AI108" t="n">
        <v>101</v>
      </c>
    </row>
    <row r="109">
      <c r="A109" s="68" t="str">
        <f>IF(102&gt;'Calc riepilogo'!$B$7,"",'Calc base'!$B132)</f>
        <v/>
      </c>
      <c r="B109" s="69" t="str">
        <f>IF($A109="","",'Calc base'!$C132)</f>
        <v/>
      </c>
      <c r="C109" s="69" t="str">
        <f>IF($A109="","",'Calc base'!$E132)</f>
        <v/>
      </c>
      <c r="D109" s="70" t="str">
        <f>IF($A109="","",J109+L109+N109+P109+R109+T109+V109+X109+Z109+AB109+AD109+AF109)</f>
        <v/>
      </c>
      <c r="E109" s="70" t="str">
        <f>IF($A109="","",CHOOSE('Calc riepilogo'!$B$2,'Calc valanga'!$H132,'Calc palla di neve'!$H132,'Calc personalizzata'!$H132))</f>
        <v/>
      </c>
      <c r="F109" s="71" t="str">
        <f>IF($A109="","",CHOOSE('Calc riepilogo'!$B$2,'Calc valanga'!$G132,'Calc palla di neve'!$G132,'Calc personalizzata'!$G132))</f>
        <v/>
      </c>
      <c r="G109" s="72" t="n"/>
      <c r="H109" s="73" t="n"/>
      <c r="I109" s="74" t="str">
        <f>IF($A109="","",TRIM(IF(AND(N(K108)&gt;0,N(K109)&lt;=0.004),"✓ "&amp;'Calc base'!C$6&amp;"   ","")&amp;IF(AND(N(M108)&gt;0,N(M109)&lt;=0.004),"✓ "&amp;'Calc base'!D$6&amp;"   ","")&amp;IF(AND(N(O108)&gt;0,N(O109)&lt;=0.004),"✓ "&amp;'Calc base'!E$6&amp;"   ","")&amp;IF(AND(N(Q108)&gt;0,N(Q109)&lt;=0.004),"✓ "&amp;'Calc base'!F$6&amp;"   ","")&amp;IF(AND(N(S108)&gt;0,N(S109)&lt;=0.004),"✓ "&amp;'Calc base'!G$6&amp;"   ","")&amp;IF(AND(N(U108)&gt;0,N(U109)&lt;=0.004),"✓ "&amp;'Calc base'!H$6&amp;"   ","")&amp;IF(AND(N(W108)&gt;0,N(W109)&lt;=0.004),"✓ "&amp;'Calc base'!I$6&amp;"   ","")&amp;IF(AND(N(Y108)&gt;0,N(Y109)&lt;=0.004),"✓ "&amp;'Calc base'!J$6&amp;"   ","")&amp;IF(AND(N(AA108)&gt;0,N(AA109)&lt;=0.004),"✓ "&amp;'Calc base'!K$6&amp;"   ","")&amp;IF(AND(N(AC108)&gt;0,N(AC109)&lt;=0.004),"✓ "&amp;'Calc base'!L$6&amp;"   ","")&amp;IF(AND(N(AE108)&gt;0,N(AE109)&lt;=0.004),"✓ "&amp;'Calc base'!M$6&amp;"   ","")&amp;IF(AND(N(AG108)&gt;0,N(AG109)&lt;=0.004),"✓ "&amp;'Calc base'!N$6&amp;"   ","")))</f>
        <v/>
      </c>
      <c r="J109" s="70" t="str">
        <f>IF($A109="","",ROUND(N(K108)*(1+'Calc base'!H132),2)-K109)</f>
        <v/>
      </c>
      <c r="K109" s="75" t="str">
        <f>IF($A109="","",CHOOSE('Calc riepilogo'!$B$2,'Calc valanga'!AT132,'Calc palla di neve'!AT132,'Calc personalizzata'!AT132))</f>
        <v/>
      </c>
      <c r="L109" s="70" t="str">
        <f>IF($A109="","",ROUND(N(M108)*(1+'Calc base'!I132),2)-M109)</f>
        <v/>
      </c>
      <c r="M109" s="75" t="str">
        <f>IF($A109="","",CHOOSE('Calc riepilogo'!$B$2,'Calc valanga'!AU132,'Calc palla di neve'!AU132,'Calc personalizzata'!AU132))</f>
        <v/>
      </c>
      <c r="N109" s="70" t="str">
        <f>IF($A109="","",ROUND(N(O108)*(1+'Calc base'!J132),2)-O109)</f>
        <v/>
      </c>
      <c r="O109" s="75" t="str">
        <f>IF($A109="","",CHOOSE('Calc riepilogo'!$B$2,'Calc valanga'!AV132,'Calc palla di neve'!AV132,'Calc personalizzata'!AV132))</f>
        <v/>
      </c>
      <c r="P109" s="70" t="str">
        <f>IF($A109="","",ROUND(N(Q108)*(1+'Calc base'!K132),2)-Q109)</f>
        <v/>
      </c>
      <c r="Q109" s="75" t="str">
        <f>IF($A109="","",CHOOSE('Calc riepilogo'!$B$2,'Calc valanga'!AW132,'Calc palla di neve'!AW132,'Calc personalizzata'!AW132))</f>
        <v/>
      </c>
      <c r="R109" s="70" t="str">
        <f>IF($A109="","",ROUND(N(S108)*(1+'Calc base'!L132),2)-S109)</f>
        <v/>
      </c>
      <c r="S109" s="75" t="str">
        <f>IF($A109="","",CHOOSE('Calc riepilogo'!$B$2,'Calc valanga'!AX132,'Calc palla di neve'!AX132,'Calc personalizzata'!AX132))</f>
        <v/>
      </c>
      <c r="T109" s="70" t="str">
        <f>IF($A109="","",ROUND(N(U108)*(1+'Calc base'!M132),2)-U109)</f>
        <v/>
      </c>
      <c r="U109" s="75" t="str">
        <f>IF($A109="","",CHOOSE('Calc riepilogo'!$B$2,'Calc valanga'!AY132,'Calc palla di neve'!AY132,'Calc personalizzata'!AY132))</f>
        <v/>
      </c>
      <c r="V109" s="70" t="str">
        <f>IF($A109="","",ROUND(N(W108)*(1+'Calc base'!N132),2)-W109)</f>
        <v/>
      </c>
      <c r="W109" s="75" t="str">
        <f>IF($A109="","",CHOOSE('Calc riepilogo'!$B$2,'Calc valanga'!AZ132,'Calc palla di neve'!AZ132,'Calc personalizzata'!AZ132))</f>
        <v/>
      </c>
      <c r="X109" s="70" t="str">
        <f>IF($A109="","",ROUND(N(Y108)*(1+'Calc base'!O132),2)-Y109)</f>
        <v/>
      </c>
      <c r="Y109" s="75" t="str">
        <f>IF($A109="","",CHOOSE('Calc riepilogo'!$B$2,'Calc valanga'!BA132,'Calc palla di neve'!BA132,'Calc personalizzata'!BA132))</f>
        <v/>
      </c>
      <c r="Z109" s="70" t="str">
        <f>IF($A109="","",ROUND(N(AA108)*(1+'Calc base'!P132),2)-AA109)</f>
        <v/>
      </c>
      <c r="AA109" s="75" t="str">
        <f>IF($A109="","",CHOOSE('Calc riepilogo'!$B$2,'Calc valanga'!BB132,'Calc palla di neve'!BB132,'Calc personalizzata'!BB132))</f>
        <v/>
      </c>
      <c r="AB109" s="70" t="str">
        <f>IF($A109="","",ROUND(N(AC108)*(1+'Calc base'!Q132),2)-AC109)</f>
        <v/>
      </c>
      <c r="AC109" s="75" t="str">
        <f>IF($A109="","",CHOOSE('Calc riepilogo'!$B$2,'Calc valanga'!BC132,'Calc palla di neve'!BC132,'Calc personalizzata'!BC132))</f>
        <v/>
      </c>
      <c r="AD109" s="70" t="str">
        <f>IF($A109="","",ROUND(N(AE108)*(1+'Calc base'!R132),2)-AE109)</f>
        <v/>
      </c>
      <c r="AE109" s="75" t="str">
        <f>IF($A109="","",CHOOSE('Calc riepilogo'!$B$2,'Calc valanga'!BD132,'Calc palla di neve'!BD132,'Calc personalizzata'!BD132))</f>
        <v/>
      </c>
      <c r="AF109" s="70" t="str">
        <f>IF($A109="","",ROUND(N(AG108)*(1+'Calc base'!S132),2)-AG109)</f>
        <v/>
      </c>
      <c r="AG109" s="75" t="str">
        <f>IF($A109="","",CHOOSE('Calc riepilogo'!$B$2,'Calc valanga'!BE132,'Calc palla di neve'!BE132,'Calc personalizzata'!BE132))</f>
        <v/>
      </c>
      <c r="AI109" t="n">
        <v>102</v>
      </c>
    </row>
    <row r="110">
      <c r="A110" s="68" t="str">
        <f>IF(103&gt;'Calc riepilogo'!$B$7,"",'Calc base'!$B133)</f>
        <v/>
      </c>
      <c r="B110" s="69" t="str">
        <f>IF($A110="","",'Calc base'!$C133)</f>
        <v/>
      </c>
      <c r="C110" s="69" t="str">
        <f>IF($A110="","",'Calc base'!$E133)</f>
        <v/>
      </c>
      <c r="D110" s="70" t="str">
        <f>IF($A110="","",J110+L110+N110+P110+R110+T110+V110+X110+Z110+AB110+AD110+AF110)</f>
        <v/>
      </c>
      <c r="E110" s="70" t="str">
        <f>IF($A110="","",CHOOSE('Calc riepilogo'!$B$2,'Calc valanga'!$H133,'Calc palla di neve'!$H133,'Calc personalizzata'!$H133))</f>
        <v/>
      </c>
      <c r="F110" s="71" t="str">
        <f>IF($A110="","",CHOOSE('Calc riepilogo'!$B$2,'Calc valanga'!$G133,'Calc palla di neve'!$G133,'Calc personalizzata'!$G133))</f>
        <v/>
      </c>
      <c r="G110" s="72" t="n"/>
      <c r="H110" s="73" t="n"/>
      <c r="I110" s="74" t="str">
        <f>IF($A110="","",TRIM(IF(AND(N(K109)&gt;0,N(K110)&lt;=0.004),"✓ "&amp;'Calc base'!C$6&amp;"   ","")&amp;IF(AND(N(M109)&gt;0,N(M110)&lt;=0.004),"✓ "&amp;'Calc base'!D$6&amp;"   ","")&amp;IF(AND(N(O109)&gt;0,N(O110)&lt;=0.004),"✓ "&amp;'Calc base'!E$6&amp;"   ","")&amp;IF(AND(N(Q109)&gt;0,N(Q110)&lt;=0.004),"✓ "&amp;'Calc base'!F$6&amp;"   ","")&amp;IF(AND(N(S109)&gt;0,N(S110)&lt;=0.004),"✓ "&amp;'Calc base'!G$6&amp;"   ","")&amp;IF(AND(N(U109)&gt;0,N(U110)&lt;=0.004),"✓ "&amp;'Calc base'!H$6&amp;"   ","")&amp;IF(AND(N(W109)&gt;0,N(W110)&lt;=0.004),"✓ "&amp;'Calc base'!I$6&amp;"   ","")&amp;IF(AND(N(Y109)&gt;0,N(Y110)&lt;=0.004),"✓ "&amp;'Calc base'!J$6&amp;"   ","")&amp;IF(AND(N(AA109)&gt;0,N(AA110)&lt;=0.004),"✓ "&amp;'Calc base'!K$6&amp;"   ","")&amp;IF(AND(N(AC109)&gt;0,N(AC110)&lt;=0.004),"✓ "&amp;'Calc base'!L$6&amp;"   ","")&amp;IF(AND(N(AE109)&gt;0,N(AE110)&lt;=0.004),"✓ "&amp;'Calc base'!M$6&amp;"   ","")&amp;IF(AND(N(AG109)&gt;0,N(AG110)&lt;=0.004),"✓ "&amp;'Calc base'!N$6&amp;"   ","")))</f>
        <v/>
      </c>
      <c r="J110" s="70" t="str">
        <f>IF($A110="","",ROUND(N(K109)*(1+'Calc base'!H133),2)-K110)</f>
        <v/>
      </c>
      <c r="K110" s="75" t="str">
        <f>IF($A110="","",CHOOSE('Calc riepilogo'!$B$2,'Calc valanga'!AT133,'Calc palla di neve'!AT133,'Calc personalizzata'!AT133))</f>
        <v/>
      </c>
      <c r="L110" s="70" t="str">
        <f>IF($A110="","",ROUND(N(M109)*(1+'Calc base'!I133),2)-M110)</f>
        <v/>
      </c>
      <c r="M110" s="75" t="str">
        <f>IF($A110="","",CHOOSE('Calc riepilogo'!$B$2,'Calc valanga'!AU133,'Calc palla di neve'!AU133,'Calc personalizzata'!AU133))</f>
        <v/>
      </c>
      <c r="N110" s="70" t="str">
        <f>IF($A110="","",ROUND(N(O109)*(1+'Calc base'!J133),2)-O110)</f>
        <v/>
      </c>
      <c r="O110" s="75" t="str">
        <f>IF($A110="","",CHOOSE('Calc riepilogo'!$B$2,'Calc valanga'!AV133,'Calc palla di neve'!AV133,'Calc personalizzata'!AV133))</f>
        <v/>
      </c>
      <c r="P110" s="70" t="str">
        <f>IF($A110="","",ROUND(N(Q109)*(1+'Calc base'!K133),2)-Q110)</f>
        <v/>
      </c>
      <c r="Q110" s="75" t="str">
        <f>IF($A110="","",CHOOSE('Calc riepilogo'!$B$2,'Calc valanga'!AW133,'Calc palla di neve'!AW133,'Calc personalizzata'!AW133))</f>
        <v/>
      </c>
      <c r="R110" s="70" t="str">
        <f>IF($A110="","",ROUND(N(S109)*(1+'Calc base'!L133),2)-S110)</f>
        <v/>
      </c>
      <c r="S110" s="75" t="str">
        <f>IF($A110="","",CHOOSE('Calc riepilogo'!$B$2,'Calc valanga'!AX133,'Calc palla di neve'!AX133,'Calc personalizzata'!AX133))</f>
        <v/>
      </c>
      <c r="T110" s="70" t="str">
        <f>IF($A110="","",ROUND(N(U109)*(1+'Calc base'!M133),2)-U110)</f>
        <v/>
      </c>
      <c r="U110" s="75" t="str">
        <f>IF($A110="","",CHOOSE('Calc riepilogo'!$B$2,'Calc valanga'!AY133,'Calc palla di neve'!AY133,'Calc personalizzata'!AY133))</f>
        <v/>
      </c>
      <c r="V110" s="70" t="str">
        <f>IF($A110="","",ROUND(N(W109)*(1+'Calc base'!N133),2)-W110)</f>
        <v/>
      </c>
      <c r="W110" s="75" t="str">
        <f>IF($A110="","",CHOOSE('Calc riepilogo'!$B$2,'Calc valanga'!AZ133,'Calc palla di neve'!AZ133,'Calc personalizzata'!AZ133))</f>
        <v/>
      </c>
      <c r="X110" s="70" t="str">
        <f>IF($A110="","",ROUND(N(Y109)*(1+'Calc base'!O133),2)-Y110)</f>
        <v/>
      </c>
      <c r="Y110" s="75" t="str">
        <f>IF($A110="","",CHOOSE('Calc riepilogo'!$B$2,'Calc valanga'!BA133,'Calc palla di neve'!BA133,'Calc personalizzata'!BA133))</f>
        <v/>
      </c>
      <c r="Z110" s="70" t="str">
        <f>IF($A110="","",ROUND(N(AA109)*(1+'Calc base'!P133),2)-AA110)</f>
        <v/>
      </c>
      <c r="AA110" s="75" t="str">
        <f>IF($A110="","",CHOOSE('Calc riepilogo'!$B$2,'Calc valanga'!BB133,'Calc palla di neve'!BB133,'Calc personalizzata'!BB133))</f>
        <v/>
      </c>
      <c r="AB110" s="70" t="str">
        <f>IF($A110="","",ROUND(N(AC109)*(1+'Calc base'!Q133),2)-AC110)</f>
        <v/>
      </c>
      <c r="AC110" s="75" t="str">
        <f>IF($A110="","",CHOOSE('Calc riepilogo'!$B$2,'Calc valanga'!BC133,'Calc palla di neve'!BC133,'Calc personalizzata'!BC133))</f>
        <v/>
      </c>
      <c r="AD110" s="70" t="str">
        <f>IF($A110="","",ROUND(N(AE109)*(1+'Calc base'!R133),2)-AE110)</f>
        <v/>
      </c>
      <c r="AE110" s="75" t="str">
        <f>IF($A110="","",CHOOSE('Calc riepilogo'!$B$2,'Calc valanga'!BD133,'Calc palla di neve'!BD133,'Calc personalizzata'!BD133))</f>
        <v/>
      </c>
      <c r="AF110" s="70" t="str">
        <f>IF($A110="","",ROUND(N(AG109)*(1+'Calc base'!S133),2)-AG110)</f>
        <v/>
      </c>
      <c r="AG110" s="75" t="str">
        <f>IF($A110="","",CHOOSE('Calc riepilogo'!$B$2,'Calc valanga'!BE133,'Calc palla di neve'!BE133,'Calc personalizzata'!BE133))</f>
        <v/>
      </c>
      <c r="AI110" t="n">
        <v>103</v>
      </c>
    </row>
    <row r="111">
      <c r="A111" s="68" t="str">
        <f>IF(104&gt;'Calc riepilogo'!$B$7,"",'Calc base'!$B134)</f>
        <v/>
      </c>
      <c r="B111" s="69" t="str">
        <f>IF($A111="","",'Calc base'!$C134)</f>
        <v/>
      </c>
      <c r="C111" s="69" t="str">
        <f>IF($A111="","",'Calc base'!$E134)</f>
        <v/>
      </c>
      <c r="D111" s="70" t="str">
        <f>IF($A111="","",J111+L111+N111+P111+R111+T111+V111+X111+Z111+AB111+AD111+AF111)</f>
        <v/>
      </c>
      <c r="E111" s="70" t="str">
        <f>IF($A111="","",CHOOSE('Calc riepilogo'!$B$2,'Calc valanga'!$H134,'Calc palla di neve'!$H134,'Calc personalizzata'!$H134))</f>
        <v/>
      </c>
      <c r="F111" s="71" t="str">
        <f>IF($A111="","",CHOOSE('Calc riepilogo'!$B$2,'Calc valanga'!$G134,'Calc palla di neve'!$G134,'Calc personalizzata'!$G134))</f>
        <v/>
      </c>
      <c r="G111" s="72" t="n"/>
      <c r="H111" s="73" t="n"/>
      <c r="I111" s="74" t="str">
        <f>IF($A111="","",TRIM(IF(AND(N(K110)&gt;0,N(K111)&lt;=0.004),"✓ "&amp;'Calc base'!C$6&amp;"   ","")&amp;IF(AND(N(M110)&gt;0,N(M111)&lt;=0.004),"✓ "&amp;'Calc base'!D$6&amp;"   ","")&amp;IF(AND(N(O110)&gt;0,N(O111)&lt;=0.004),"✓ "&amp;'Calc base'!E$6&amp;"   ","")&amp;IF(AND(N(Q110)&gt;0,N(Q111)&lt;=0.004),"✓ "&amp;'Calc base'!F$6&amp;"   ","")&amp;IF(AND(N(S110)&gt;0,N(S111)&lt;=0.004),"✓ "&amp;'Calc base'!G$6&amp;"   ","")&amp;IF(AND(N(U110)&gt;0,N(U111)&lt;=0.004),"✓ "&amp;'Calc base'!H$6&amp;"   ","")&amp;IF(AND(N(W110)&gt;0,N(W111)&lt;=0.004),"✓ "&amp;'Calc base'!I$6&amp;"   ","")&amp;IF(AND(N(Y110)&gt;0,N(Y111)&lt;=0.004),"✓ "&amp;'Calc base'!J$6&amp;"   ","")&amp;IF(AND(N(AA110)&gt;0,N(AA111)&lt;=0.004),"✓ "&amp;'Calc base'!K$6&amp;"   ","")&amp;IF(AND(N(AC110)&gt;0,N(AC111)&lt;=0.004),"✓ "&amp;'Calc base'!L$6&amp;"   ","")&amp;IF(AND(N(AE110)&gt;0,N(AE111)&lt;=0.004),"✓ "&amp;'Calc base'!M$6&amp;"   ","")&amp;IF(AND(N(AG110)&gt;0,N(AG111)&lt;=0.004),"✓ "&amp;'Calc base'!N$6&amp;"   ","")))</f>
        <v/>
      </c>
      <c r="J111" s="70" t="str">
        <f>IF($A111="","",ROUND(N(K110)*(1+'Calc base'!H134),2)-K111)</f>
        <v/>
      </c>
      <c r="K111" s="75" t="str">
        <f>IF($A111="","",CHOOSE('Calc riepilogo'!$B$2,'Calc valanga'!AT134,'Calc palla di neve'!AT134,'Calc personalizzata'!AT134))</f>
        <v/>
      </c>
      <c r="L111" s="70" t="str">
        <f>IF($A111="","",ROUND(N(M110)*(1+'Calc base'!I134),2)-M111)</f>
        <v/>
      </c>
      <c r="M111" s="75" t="str">
        <f>IF($A111="","",CHOOSE('Calc riepilogo'!$B$2,'Calc valanga'!AU134,'Calc palla di neve'!AU134,'Calc personalizzata'!AU134))</f>
        <v/>
      </c>
      <c r="N111" s="70" t="str">
        <f>IF($A111="","",ROUND(N(O110)*(1+'Calc base'!J134),2)-O111)</f>
        <v/>
      </c>
      <c r="O111" s="75" t="str">
        <f>IF($A111="","",CHOOSE('Calc riepilogo'!$B$2,'Calc valanga'!AV134,'Calc palla di neve'!AV134,'Calc personalizzata'!AV134))</f>
        <v/>
      </c>
      <c r="P111" s="70" t="str">
        <f>IF($A111="","",ROUND(N(Q110)*(1+'Calc base'!K134),2)-Q111)</f>
        <v/>
      </c>
      <c r="Q111" s="75" t="str">
        <f>IF($A111="","",CHOOSE('Calc riepilogo'!$B$2,'Calc valanga'!AW134,'Calc palla di neve'!AW134,'Calc personalizzata'!AW134))</f>
        <v/>
      </c>
      <c r="R111" s="70" t="str">
        <f>IF($A111="","",ROUND(N(S110)*(1+'Calc base'!L134),2)-S111)</f>
        <v/>
      </c>
      <c r="S111" s="75" t="str">
        <f>IF($A111="","",CHOOSE('Calc riepilogo'!$B$2,'Calc valanga'!AX134,'Calc palla di neve'!AX134,'Calc personalizzata'!AX134))</f>
        <v/>
      </c>
      <c r="T111" s="70" t="str">
        <f>IF($A111="","",ROUND(N(U110)*(1+'Calc base'!M134),2)-U111)</f>
        <v/>
      </c>
      <c r="U111" s="75" t="str">
        <f>IF($A111="","",CHOOSE('Calc riepilogo'!$B$2,'Calc valanga'!AY134,'Calc palla di neve'!AY134,'Calc personalizzata'!AY134))</f>
        <v/>
      </c>
      <c r="V111" s="70" t="str">
        <f>IF($A111="","",ROUND(N(W110)*(1+'Calc base'!N134),2)-W111)</f>
        <v/>
      </c>
      <c r="W111" s="75" t="str">
        <f>IF($A111="","",CHOOSE('Calc riepilogo'!$B$2,'Calc valanga'!AZ134,'Calc palla di neve'!AZ134,'Calc personalizzata'!AZ134))</f>
        <v/>
      </c>
      <c r="X111" s="70" t="str">
        <f>IF($A111="","",ROUND(N(Y110)*(1+'Calc base'!O134),2)-Y111)</f>
        <v/>
      </c>
      <c r="Y111" s="75" t="str">
        <f>IF($A111="","",CHOOSE('Calc riepilogo'!$B$2,'Calc valanga'!BA134,'Calc palla di neve'!BA134,'Calc personalizzata'!BA134))</f>
        <v/>
      </c>
      <c r="Z111" s="70" t="str">
        <f>IF($A111="","",ROUND(N(AA110)*(1+'Calc base'!P134),2)-AA111)</f>
        <v/>
      </c>
      <c r="AA111" s="75" t="str">
        <f>IF($A111="","",CHOOSE('Calc riepilogo'!$B$2,'Calc valanga'!BB134,'Calc palla di neve'!BB134,'Calc personalizzata'!BB134))</f>
        <v/>
      </c>
      <c r="AB111" s="70" t="str">
        <f>IF($A111="","",ROUND(N(AC110)*(1+'Calc base'!Q134),2)-AC111)</f>
        <v/>
      </c>
      <c r="AC111" s="75" t="str">
        <f>IF($A111="","",CHOOSE('Calc riepilogo'!$B$2,'Calc valanga'!BC134,'Calc palla di neve'!BC134,'Calc personalizzata'!BC134))</f>
        <v/>
      </c>
      <c r="AD111" s="70" t="str">
        <f>IF($A111="","",ROUND(N(AE110)*(1+'Calc base'!R134),2)-AE111)</f>
        <v/>
      </c>
      <c r="AE111" s="75" t="str">
        <f>IF($A111="","",CHOOSE('Calc riepilogo'!$B$2,'Calc valanga'!BD134,'Calc palla di neve'!BD134,'Calc personalizzata'!BD134))</f>
        <v/>
      </c>
      <c r="AF111" s="70" t="str">
        <f>IF($A111="","",ROUND(N(AG110)*(1+'Calc base'!S134),2)-AG111)</f>
        <v/>
      </c>
      <c r="AG111" s="75" t="str">
        <f>IF($A111="","",CHOOSE('Calc riepilogo'!$B$2,'Calc valanga'!BE134,'Calc palla di neve'!BE134,'Calc personalizzata'!BE134))</f>
        <v/>
      </c>
      <c r="AI111" t="n">
        <v>104</v>
      </c>
    </row>
    <row r="112">
      <c r="A112" s="68" t="str">
        <f>IF(105&gt;'Calc riepilogo'!$B$7,"",'Calc base'!$B135)</f>
        <v/>
      </c>
      <c r="B112" s="69" t="str">
        <f>IF($A112="","",'Calc base'!$C135)</f>
        <v/>
      </c>
      <c r="C112" s="69" t="str">
        <f>IF($A112="","",'Calc base'!$E135)</f>
        <v/>
      </c>
      <c r="D112" s="70" t="str">
        <f>IF($A112="","",J112+L112+N112+P112+R112+T112+V112+X112+Z112+AB112+AD112+AF112)</f>
        <v/>
      </c>
      <c r="E112" s="70" t="str">
        <f>IF($A112="","",CHOOSE('Calc riepilogo'!$B$2,'Calc valanga'!$H135,'Calc palla di neve'!$H135,'Calc personalizzata'!$H135))</f>
        <v/>
      </c>
      <c r="F112" s="71" t="str">
        <f>IF($A112="","",CHOOSE('Calc riepilogo'!$B$2,'Calc valanga'!$G135,'Calc palla di neve'!$G135,'Calc personalizzata'!$G135))</f>
        <v/>
      </c>
      <c r="G112" s="72" t="n"/>
      <c r="H112" s="73" t="n"/>
      <c r="I112" s="74" t="str">
        <f>IF($A112="","",TRIM(IF(AND(N(K111)&gt;0,N(K112)&lt;=0.004),"✓ "&amp;'Calc base'!C$6&amp;"   ","")&amp;IF(AND(N(M111)&gt;0,N(M112)&lt;=0.004),"✓ "&amp;'Calc base'!D$6&amp;"   ","")&amp;IF(AND(N(O111)&gt;0,N(O112)&lt;=0.004),"✓ "&amp;'Calc base'!E$6&amp;"   ","")&amp;IF(AND(N(Q111)&gt;0,N(Q112)&lt;=0.004),"✓ "&amp;'Calc base'!F$6&amp;"   ","")&amp;IF(AND(N(S111)&gt;0,N(S112)&lt;=0.004),"✓ "&amp;'Calc base'!G$6&amp;"   ","")&amp;IF(AND(N(U111)&gt;0,N(U112)&lt;=0.004),"✓ "&amp;'Calc base'!H$6&amp;"   ","")&amp;IF(AND(N(W111)&gt;0,N(W112)&lt;=0.004),"✓ "&amp;'Calc base'!I$6&amp;"   ","")&amp;IF(AND(N(Y111)&gt;0,N(Y112)&lt;=0.004),"✓ "&amp;'Calc base'!J$6&amp;"   ","")&amp;IF(AND(N(AA111)&gt;0,N(AA112)&lt;=0.004),"✓ "&amp;'Calc base'!K$6&amp;"   ","")&amp;IF(AND(N(AC111)&gt;0,N(AC112)&lt;=0.004),"✓ "&amp;'Calc base'!L$6&amp;"   ","")&amp;IF(AND(N(AE111)&gt;0,N(AE112)&lt;=0.004),"✓ "&amp;'Calc base'!M$6&amp;"   ","")&amp;IF(AND(N(AG111)&gt;0,N(AG112)&lt;=0.004),"✓ "&amp;'Calc base'!N$6&amp;"   ","")))</f>
        <v/>
      </c>
      <c r="J112" s="70" t="str">
        <f>IF($A112="","",ROUND(N(K111)*(1+'Calc base'!H135),2)-K112)</f>
        <v/>
      </c>
      <c r="K112" s="75" t="str">
        <f>IF($A112="","",CHOOSE('Calc riepilogo'!$B$2,'Calc valanga'!AT135,'Calc palla di neve'!AT135,'Calc personalizzata'!AT135))</f>
        <v/>
      </c>
      <c r="L112" s="70" t="str">
        <f>IF($A112="","",ROUND(N(M111)*(1+'Calc base'!I135),2)-M112)</f>
        <v/>
      </c>
      <c r="M112" s="75" t="str">
        <f>IF($A112="","",CHOOSE('Calc riepilogo'!$B$2,'Calc valanga'!AU135,'Calc palla di neve'!AU135,'Calc personalizzata'!AU135))</f>
        <v/>
      </c>
      <c r="N112" s="70" t="str">
        <f>IF($A112="","",ROUND(N(O111)*(1+'Calc base'!J135),2)-O112)</f>
        <v/>
      </c>
      <c r="O112" s="75" t="str">
        <f>IF($A112="","",CHOOSE('Calc riepilogo'!$B$2,'Calc valanga'!AV135,'Calc palla di neve'!AV135,'Calc personalizzata'!AV135))</f>
        <v/>
      </c>
      <c r="P112" s="70" t="str">
        <f>IF($A112="","",ROUND(N(Q111)*(1+'Calc base'!K135),2)-Q112)</f>
        <v/>
      </c>
      <c r="Q112" s="75" t="str">
        <f>IF($A112="","",CHOOSE('Calc riepilogo'!$B$2,'Calc valanga'!AW135,'Calc palla di neve'!AW135,'Calc personalizzata'!AW135))</f>
        <v/>
      </c>
      <c r="R112" s="70" t="str">
        <f>IF($A112="","",ROUND(N(S111)*(1+'Calc base'!L135),2)-S112)</f>
        <v/>
      </c>
      <c r="S112" s="75" t="str">
        <f>IF($A112="","",CHOOSE('Calc riepilogo'!$B$2,'Calc valanga'!AX135,'Calc palla di neve'!AX135,'Calc personalizzata'!AX135))</f>
        <v/>
      </c>
      <c r="T112" s="70" t="str">
        <f>IF($A112="","",ROUND(N(U111)*(1+'Calc base'!M135),2)-U112)</f>
        <v/>
      </c>
      <c r="U112" s="75" t="str">
        <f>IF($A112="","",CHOOSE('Calc riepilogo'!$B$2,'Calc valanga'!AY135,'Calc palla di neve'!AY135,'Calc personalizzata'!AY135))</f>
        <v/>
      </c>
      <c r="V112" s="70" t="str">
        <f>IF($A112="","",ROUND(N(W111)*(1+'Calc base'!N135),2)-W112)</f>
        <v/>
      </c>
      <c r="W112" s="75" t="str">
        <f>IF($A112="","",CHOOSE('Calc riepilogo'!$B$2,'Calc valanga'!AZ135,'Calc palla di neve'!AZ135,'Calc personalizzata'!AZ135))</f>
        <v/>
      </c>
      <c r="X112" s="70" t="str">
        <f>IF($A112="","",ROUND(N(Y111)*(1+'Calc base'!O135),2)-Y112)</f>
        <v/>
      </c>
      <c r="Y112" s="75" t="str">
        <f>IF($A112="","",CHOOSE('Calc riepilogo'!$B$2,'Calc valanga'!BA135,'Calc palla di neve'!BA135,'Calc personalizzata'!BA135))</f>
        <v/>
      </c>
      <c r="Z112" s="70" t="str">
        <f>IF($A112="","",ROUND(N(AA111)*(1+'Calc base'!P135),2)-AA112)</f>
        <v/>
      </c>
      <c r="AA112" s="75" t="str">
        <f>IF($A112="","",CHOOSE('Calc riepilogo'!$B$2,'Calc valanga'!BB135,'Calc palla di neve'!BB135,'Calc personalizzata'!BB135))</f>
        <v/>
      </c>
      <c r="AB112" s="70" t="str">
        <f>IF($A112="","",ROUND(N(AC111)*(1+'Calc base'!Q135),2)-AC112)</f>
        <v/>
      </c>
      <c r="AC112" s="75" t="str">
        <f>IF($A112="","",CHOOSE('Calc riepilogo'!$B$2,'Calc valanga'!BC135,'Calc palla di neve'!BC135,'Calc personalizzata'!BC135))</f>
        <v/>
      </c>
      <c r="AD112" s="70" t="str">
        <f>IF($A112="","",ROUND(N(AE111)*(1+'Calc base'!R135),2)-AE112)</f>
        <v/>
      </c>
      <c r="AE112" s="75" t="str">
        <f>IF($A112="","",CHOOSE('Calc riepilogo'!$B$2,'Calc valanga'!BD135,'Calc palla di neve'!BD135,'Calc personalizzata'!BD135))</f>
        <v/>
      </c>
      <c r="AF112" s="70" t="str">
        <f>IF($A112="","",ROUND(N(AG111)*(1+'Calc base'!S135),2)-AG112)</f>
        <v/>
      </c>
      <c r="AG112" s="75" t="str">
        <f>IF($A112="","",CHOOSE('Calc riepilogo'!$B$2,'Calc valanga'!BE135,'Calc palla di neve'!BE135,'Calc personalizzata'!BE135))</f>
        <v/>
      </c>
      <c r="AI112" t="n">
        <v>105</v>
      </c>
    </row>
    <row r="113">
      <c r="A113" s="68" t="str">
        <f>IF(106&gt;'Calc riepilogo'!$B$7,"",'Calc base'!$B136)</f>
        <v/>
      </c>
      <c r="B113" s="69" t="str">
        <f>IF($A113="","",'Calc base'!$C136)</f>
        <v/>
      </c>
      <c r="C113" s="69" t="str">
        <f>IF($A113="","",'Calc base'!$E136)</f>
        <v/>
      </c>
      <c r="D113" s="70" t="str">
        <f>IF($A113="","",J113+L113+N113+P113+R113+T113+V113+X113+Z113+AB113+AD113+AF113)</f>
        <v/>
      </c>
      <c r="E113" s="70" t="str">
        <f>IF($A113="","",CHOOSE('Calc riepilogo'!$B$2,'Calc valanga'!$H136,'Calc palla di neve'!$H136,'Calc personalizzata'!$H136))</f>
        <v/>
      </c>
      <c r="F113" s="71" t="str">
        <f>IF($A113="","",CHOOSE('Calc riepilogo'!$B$2,'Calc valanga'!$G136,'Calc palla di neve'!$G136,'Calc personalizzata'!$G136))</f>
        <v/>
      </c>
      <c r="G113" s="72" t="n"/>
      <c r="H113" s="73" t="n"/>
      <c r="I113" s="74" t="str">
        <f>IF($A113="","",TRIM(IF(AND(N(K112)&gt;0,N(K113)&lt;=0.004),"✓ "&amp;'Calc base'!C$6&amp;"   ","")&amp;IF(AND(N(M112)&gt;0,N(M113)&lt;=0.004),"✓ "&amp;'Calc base'!D$6&amp;"   ","")&amp;IF(AND(N(O112)&gt;0,N(O113)&lt;=0.004),"✓ "&amp;'Calc base'!E$6&amp;"   ","")&amp;IF(AND(N(Q112)&gt;0,N(Q113)&lt;=0.004),"✓ "&amp;'Calc base'!F$6&amp;"   ","")&amp;IF(AND(N(S112)&gt;0,N(S113)&lt;=0.004),"✓ "&amp;'Calc base'!G$6&amp;"   ","")&amp;IF(AND(N(U112)&gt;0,N(U113)&lt;=0.004),"✓ "&amp;'Calc base'!H$6&amp;"   ","")&amp;IF(AND(N(W112)&gt;0,N(W113)&lt;=0.004),"✓ "&amp;'Calc base'!I$6&amp;"   ","")&amp;IF(AND(N(Y112)&gt;0,N(Y113)&lt;=0.004),"✓ "&amp;'Calc base'!J$6&amp;"   ","")&amp;IF(AND(N(AA112)&gt;0,N(AA113)&lt;=0.004),"✓ "&amp;'Calc base'!K$6&amp;"   ","")&amp;IF(AND(N(AC112)&gt;0,N(AC113)&lt;=0.004),"✓ "&amp;'Calc base'!L$6&amp;"   ","")&amp;IF(AND(N(AE112)&gt;0,N(AE113)&lt;=0.004),"✓ "&amp;'Calc base'!M$6&amp;"   ","")&amp;IF(AND(N(AG112)&gt;0,N(AG113)&lt;=0.004),"✓ "&amp;'Calc base'!N$6&amp;"   ","")))</f>
        <v/>
      </c>
      <c r="J113" s="70" t="str">
        <f>IF($A113="","",ROUND(N(K112)*(1+'Calc base'!H136),2)-K113)</f>
        <v/>
      </c>
      <c r="K113" s="75" t="str">
        <f>IF($A113="","",CHOOSE('Calc riepilogo'!$B$2,'Calc valanga'!AT136,'Calc palla di neve'!AT136,'Calc personalizzata'!AT136))</f>
        <v/>
      </c>
      <c r="L113" s="70" t="str">
        <f>IF($A113="","",ROUND(N(M112)*(1+'Calc base'!I136),2)-M113)</f>
        <v/>
      </c>
      <c r="M113" s="75" t="str">
        <f>IF($A113="","",CHOOSE('Calc riepilogo'!$B$2,'Calc valanga'!AU136,'Calc palla di neve'!AU136,'Calc personalizzata'!AU136))</f>
        <v/>
      </c>
      <c r="N113" s="70" t="str">
        <f>IF($A113="","",ROUND(N(O112)*(1+'Calc base'!J136),2)-O113)</f>
        <v/>
      </c>
      <c r="O113" s="75" t="str">
        <f>IF($A113="","",CHOOSE('Calc riepilogo'!$B$2,'Calc valanga'!AV136,'Calc palla di neve'!AV136,'Calc personalizzata'!AV136))</f>
        <v/>
      </c>
      <c r="P113" s="70" t="str">
        <f>IF($A113="","",ROUND(N(Q112)*(1+'Calc base'!K136),2)-Q113)</f>
        <v/>
      </c>
      <c r="Q113" s="75" t="str">
        <f>IF($A113="","",CHOOSE('Calc riepilogo'!$B$2,'Calc valanga'!AW136,'Calc palla di neve'!AW136,'Calc personalizzata'!AW136))</f>
        <v/>
      </c>
      <c r="R113" s="70" t="str">
        <f>IF($A113="","",ROUND(N(S112)*(1+'Calc base'!L136),2)-S113)</f>
        <v/>
      </c>
      <c r="S113" s="75" t="str">
        <f>IF($A113="","",CHOOSE('Calc riepilogo'!$B$2,'Calc valanga'!AX136,'Calc palla di neve'!AX136,'Calc personalizzata'!AX136))</f>
        <v/>
      </c>
      <c r="T113" s="70" t="str">
        <f>IF($A113="","",ROUND(N(U112)*(1+'Calc base'!M136),2)-U113)</f>
        <v/>
      </c>
      <c r="U113" s="75" t="str">
        <f>IF($A113="","",CHOOSE('Calc riepilogo'!$B$2,'Calc valanga'!AY136,'Calc palla di neve'!AY136,'Calc personalizzata'!AY136))</f>
        <v/>
      </c>
      <c r="V113" s="70" t="str">
        <f>IF($A113="","",ROUND(N(W112)*(1+'Calc base'!N136),2)-W113)</f>
        <v/>
      </c>
      <c r="W113" s="75" t="str">
        <f>IF($A113="","",CHOOSE('Calc riepilogo'!$B$2,'Calc valanga'!AZ136,'Calc palla di neve'!AZ136,'Calc personalizzata'!AZ136))</f>
        <v/>
      </c>
      <c r="X113" s="70" t="str">
        <f>IF($A113="","",ROUND(N(Y112)*(1+'Calc base'!O136),2)-Y113)</f>
        <v/>
      </c>
      <c r="Y113" s="75" t="str">
        <f>IF($A113="","",CHOOSE('Calc riepilogo'!$B$2,'Calc valanga'!BA136,'Calc palla di neve'!BA136,'Calc personalizzata'!BA136))</f>
        <v/>
      </c>
      <c r="Z113" s="70" t="str">
        <f>IF($A113="","",ROUND(N(AA112)*(1+'Calc base'!P136),2)-AA113)</f>
        <v/>
      </c>
      <c r="AA113" s="75" t="str">
        <f>IF($A113="","",CHOOSE('Calc riepilogo'!$B$2,'Calc valanga'!BB136,'Calc palla di neve'!BB136,'Calc personalizzata'!BB136))</f>
        <v/>
      </c>
      <c r="AB113" s="70" t="str">
        <f>IF($A113="","",ROUND(N(AC112)*(1+'Calc base'!Q136),2)-AC113)</f>
        <v/>
      </c>
      <c r="AC113" s="75" t="str">
        <f>IF($A113="","",CHOOSE('Calc riepilogo'!$B$2,'Calc valanga'!BC136,'Calc palla di neve'!BC136,'Calc personalizzata'!BC136))</f>
        <v/>
      </c>
      <c r="AD113" s="70" t="str">
        <f>IF($A113="","",ROUND(N(AE112)*(1+'Calc base'!R136),2)-AE113)</f>
        <v/>
      </c>
      <c r="AE113" s="75" t="str">
        <f>IF($A113="","",CHOOSE('Calc riepilogo'!$B$2,'Calc valanga'!BD136,'Calc palla di neve'!BD136,'Calc personalizzata'!BD136))</f>
        <v/>
      </c>
      <c r="AF113" s="70" t="str">
        <f>IF($A113="","",ROUND(N(AG112)*(1+'Calc base'!S136),2)-AG113)</f>
        <v/>
      </c>
      <c r="AG113" s="75" t="str">
        <f>IF($A113="","",CHOOSE('Calc riepilogo'!$B$2,'Calc valanga'!BE136,'Calc palla di neve'!BE136,'Calc personalizzata'!BE136))</f>
        <v/>
      </c>
      <c r="AI113" t="n">
        <v>106</v>
      </c>
    </row>
    <row r="114">
      <c r="A114" s="68" t="str">
        <f>IF(107&gt;'Calc riepilogo'!$B$7,"",'Calc base'!$B137)</f>
        <v/>
      </c>
      <c r="B114" s="69" t="str">
        <f>IF($A114="","",'Calc base'!$C137)</f>
        <v/>
      </c>
      <c r="C114" s="69" t="str">
        <f>IF($A114="","",'Calc base'!$E137)</f>
        <v/>
      </c>
      <c r="D114" s="70" t="str">
        <f>IF($A114="","",J114+L114+N114+P114+R114+T114+V114+X114+Z114+AB114+AD114+AF114)</f>
        <v/>
      </c>
      <c r="E114" s="70" t="str">
        <f>IF($A114="","",CHOOSE('Calc riepilogo'!$B$2,'Calc valanga'!$H137,'Calc palla di neve'!$H137,'Calc personalizzata'!$H137))</f>
        <v/>
      </c>
      <c r="F114" s="71" t="str">
        <f>IF($A114="","",CHOOSE('Calc riepilogo'!$B$2,'Calc valanga'!$G137,'Calc palla di neve'!$G137,'Calc personalizzata'!$G137))</f>
        <v/>
      </c>
      <c r="G114" s="72" t="n"/>
      <c r="H114" s="73" t="n"/>
      <c r="I114" s="74" t="str">
        <f>IF($A114="","",TRIM(IF(AND(N(K113)&gt;0,N(K114)&lt;=0.004),"✓ "&amp;'Calc base'!C$6&amp;"   ","")&amp;IF(AND(N(M113)&gt;0,N(M114)&lt;=0.004),"✓ "&amp;'Calc base'!D$6&amp;"   ","")&amp;IF(AND(N(O113)&gt;0,N(O114)&lt;=0.004),"✓ "&amp;'Calc base'!E$6&amp;"   ","")&amp;IF(AND(N(Q113)&gt;0,N(Q114)&lt;=0.004),"✓ "&amp;'Calc base'!F$6&amp;"   ","")&amp;IF(AND(N(S113)&gt;0,N(S114)&lt;=0.004),"✓ "&amp;'Calc base'!G$6&amp;"   ","")&amp;IF(AND(N(U113)&gt;0,N(U114)&lt;=0.004),"✓ "&amp;'Calc base'!H$6&amp;"   ","")&amp;IF(AND(N(W113)&gt;0,N(W114)&lt;=0.004),"✓ "&amp;'Calc base'!I$6&amp;"   ","")&amp;IF(AND(N(Y113)&gt;0,N(Y114)&lt;=0.004),"✓ "&amp;'Calc base'!J$6&amp;"   ","")&amp;IF(AND(N(AA113)&gt;0,N(AA114)&lt;=0.004),"✓ "&amp;'Calc base'!K$6&amp;"   ","")&amp;IF(AND(N(AC113)&gt;0,N(AC114)&lt;=0.004),"✓ "&amp;'Calc base'!L$6&amp;"   ","")&amp;IF(AND(N(AE113)&gt;0,N(AE114)&lt;=0.004),"✓ "&amp;'Calc base'!M$6&amp;"   ","")&amp;IF(AND(N(AG113)&gt;0,N(AG114)&lt;=0.004),"✓ "&amp;'Calc base'!N$6&amp;"   ","")))</f>
        <v/>
      </c>
      <c r="J114" s="70" t="str">
        <f>IF($A114="","",ROUND(N(K113)*(1+'Calc base'!H137),2)-K114)</f>
        <v/>
      </c>
      <c r="K114" s="75" t="str">
        <f>IF($A114="","",CHOOSE('Calc riepilogo'!$B$2,'Calc valanga'!AT137,'Calc palla di neve'!AT137,'Calc personalizzata'!AT137))</f>
        <v/>
      </c>
      <c r="L114" s="70" t="str">
        <f>IF($A114="","",ROUND(N(M113)*(1+'Calc base'!I137),2)-M114)</f>
        <v/>
      </c>
      <c r="M114" s="75" t="str">
        <f>IF($A114="","",CHOOSE('Calc riepilogo'!$B$2,'Calc valanga'!AU137,'Calc palla di neve'!AU137,'Calc personalizzata'!AU137))</f>
        <v/>
      </c>
      <c r="N114" s="70" t="str">
        <f>IF($A114="","",ROUND(N(O113)*(1+'Calc base'!J137),2)-O114)</f>
        <v/>
      </c>
      <c r="O114" s="75" t="str">
        <f>IF($A114="","",CHOOSE('Calc riepilogo'!$B$2,'Calc valanga'!AV137,'Calc palla di neve'!AV137,'Calc personalizzata'!AV137))</f>
        <v/>
      </c>
      <c r="P114" s="70" t="str">
        <f>IF($A114="","",ROUND(N(Q113)*(1+'Calc base'!K137),2)-Q114)</f>
        <v/>
      </c>
      <c r="Q114" s="75" t="str">
        <f>IF($A114="","",CHOOSE('Calc riepilogo'!$B$2,'Calc valanga'!AW137,'Calc palla di neve'!AW137,'Calc personalizzata'!AW137))</f>
        <v/>
      </c>
      <c r="R114" s="70" t="str">
        <f>IF($A114="","",ROUND(N(S113)*(1+'Calc base'!L137),2)-S114)</f>
        <v/>
      </c>
      <c r="S114" s="75" t="str">
        <f>IF($A114="","",CHOOSE('Calc riepilogo'!$B$2,'Calc valanga'!AX137,'Calc palla di neve'!AX137,'Calc personalizzata'!AX137))</f>
        <v/>
      </c>
      <c r="T114" s="70" t="str">
        <f>IF($A114="","",ROUND(N(U113)*(1+'Calc base'!M137),2)-U114)</f>
        <v/>
      </c>
      <c r="U114" s="75" t="str">
        <f>IF($A114="","",CHOOSE('Calc riepilogo'!$B$2,'Calc valanga'!AY137,'Calc palla di neve'!AY137,'Calc personalizzata'!AY137))</f>
        <v/>
      </c>
      <c r="V114" s="70" t="str">
        <f>IF($A114="","",ROUND(N(W113)*(1+'Calc base'!N137),2)-W114)</f>
        <v/>
      </c>
      <c r="W114" s="75" t="str">
        <f>IF($A114="","",CHOOSE('Calc riepilogo'!$B$2,'Calc valanga'!AZ137,'Calc palla di neve'!AZ137,'Calc personalizzata'!AZ137))</f>
        <v/>
      </c>
      <c r="X114" s="70" t="str">
        <f>IF($A114="","",ROUND(N(Y113)*(1+'Calc base'!O137),2)-Y114)</f>
        <v/>
      </c>
      <c r="Y114" s="75" t="str">
        <f>IF($A114="","",CHOOSE('Calc riepilogo'!$B$2,'Calc valanga'!BA137,'Calc palla di neve'!BA137,'Calc personalizzata'!BA137))</f>
        <v/>
      </c>
      <c r="Z114" s="70" t="str">
        <f>IF($A114="","",ROUND(N(AA113)*(1+'Calc base'!P137),2)-AA114)</f>
        <v/>
      </c>
      <c r="AA114" s="75" t="str">
        <f>IF($A114="","",CHOOSE('Calc riepilogo'!$B$2,'Calc valanga'!BB137,'Calc palla di neve'!BB137,'Calc personalizzata'!BB137))</f>
        <v/>
      </c>
      <c r="AB114" s="70" t="str">
        <f>IF($A114="","",ROUND(N(AC113)*(1+'Calc base'!Q137),2)-AC114)</f>
        <v/>
      </c>
      <c r="AC114" s="75" t="str">
        <f>IF($A114="","",CHOOSE('Calc riepilogo'!$B$2,'Calc valanga'!BC137,'Calc palla di neve'!BC137,'Calc personalizzata'!BC137))</f>
        <v/>
      </c>
      <c r="AD114" s="70" t="str">
        <f>IF($A114="","",ROUND(N(AE113)*(1+'Calc base'!R137),2)-AE114)</f>
        <v/>
      </c>
      <c r="AE114" s="75" t="str">
        <f>IF($A114="","",CHOOSE('Calc riepilogo'!$B$2,'Calc valanga'!BD137,'Calc palla di neve'!BD137,'Calc personalizzata'!BD137))</f>
        <v/>
      </c>
      <c r="AF114" s="70" t="str">
        <f>IF($A114="","",ROUND(N(AG113)*(1+'Calc base'!S137),2)-AG114)</f>
        <v/>
      </c>
      <c r="AG114" s="75" t="str">
        <f>IF($A114="","",CHOOSE('Calc riepilogo'!$B$2,'Calc valanga'!BE137,'Calc palla di neve'!BE137,'Calc personalizzata'!BE137))</f>
        <v/>
      </c>
      <c r="AI114" t="n">
        <v>107</v>
      </c>
    </row>
    <row r="115">
      <c r="A115" s="68" t="str">
        <f>IF(108&gt;'Calc riepilogo'!$B$7,"",'Calc base'!$B138)</f>
        <v/>
      </c>
      <c r="B115" s="69" t="str">
        <f>IF($A115="","",'Calc base'!$C138)</f>
        <v/>
      </c>
      <c r="C115" s="69" t="str">
        <f>IF($A115="","",'Calc base'!$E138)</f>
        <v/>
      </c>
      <c r="D115" s="70" t="str">
        <f>IF($A115="","",J115+L115+N115+P115+R115+T115+V115+X115+Z115+AB115+AD115+AF115)</f>
        <v/>
      </c>
      <c r="E115" s="70" t="str">
        <f>IF($A115="","",CHOOSE('Calc riepilogo'!$B$2,'Calc valanga'!$H138,'Calc palla di neve'!$H138,'Calc personalizzata'!$H138))</f>
        <v/>
      </c>
      <c r="F115" s="71" t="str">
        <f>IF($A115="","",CHOOSE('Calc riepilogo'!$B$2,'Calc valanga'!$G138,'Calc palla di neve'!$G138,'Calc personalizzata'!$G138))</f>
        <v/>
      </c>
      <c r="G115" s="72" t="n"/>
      <c r="H115" s="73" t="n"/>
      <c r="I115" s="74" t="str">
        <f>IF($A115="","",TRIM(IF(AND(N(K114)&gt;0,N(K115)&lt;=0.004),"✓ "&amp;'Calc base'!C$6&amp;"   ","")&amp;IF(AND(N(M114)&gt;0,N(M115)&lt;=0.004),"✓ "&amp;'Calc base'!D$6&amp;"   ","")&amp;IF(AND(N(O114)&gt;0,N(O115)&lt;=0.004),"✓ "&amp;'Calc base'!E$6&amp;"   ","")&amp;IF(AND(N(Q114)&gt;0,N(Q115)&lt;=0.004),"✓ "&amp;'Calc base'!F$6&amp;"   ","")&amp;IF(AND(N(S114)&gt;0,N(S115)&lt;=0.004),"✓ "&amp;'Calc base'!G$6&amp;"   ","")&amp;IF(AND(N(U114)&gt;0,N(U115)&lt;=0.004),"✓ "&amp;'Calc base'!H$6&amp;"   ","")&amp;IF(AND(N(W114)&gt;0,N(W115)&lt;=0.004),"✓ "&amp;'Calc base'!I$6&amp;"   ","")&amp;IF(AND(N(Y114)&gt;0,N(Y115)&lt;=0.004),"✓ "&amp;'Calc base'!J$6&amp;"   ","")&amp;IF(AND(N(AA114)&gt;0,N(AA115)&lt;=0.004),"✓ "&amp;'Calc base'!K$6&amp;"   ","")&amp;IF(AND(N(AC114)&gt;0,N(AC115)&lt;=0.004),"✓ "&amp;'Calc base'!L$6&amp;"   ","")&amp;IF(AND(N(AE114)&gt;0,N(AE115)&lt;=0.004),"✓ "&amp;'Calc base'!M$6&amp;"   ","")&amp;IF(AND(N(AG114)&gt;0,N(AG115)&lt;=0.004),"✓ "&amp;'Calc base'!N$6&amp;"   ","")))</f>
        <v/>
      </c>
      <c r="J115" s="70" t="str">
        <f>IF($A115="","",ROUND(N(K114)*(1+'Calc base'!H138),2)-K115)</f>
        <v/>
      </c>
      <c r="K115" s="75" t="str">
        <f>IF($A115="","",CHOOSE('Calc riepilogo'!$B$2,'Calc valanga'!AT138,'Calc palla di neve'!AT138,'Calc personalizzata'!AT138))</f>
        <v/>
      </c>
      <c r="L115" s="70" t="str">
        <f>IF($A115="","",ROUND(N(M114)*(1+'Calc base'!I138),2)-M115)</f>
        <v/>
      </c>
      <c r="M115" s="75" t="str">
        <f>IF($A115="","",CHOOSE('Calc riepilogo'!$B$2,'Calc valanga'!AU138,'Calc palla di neve'!AU138,'Calc personalizzata'!AU138))</f>
        <v/>
      </c>
      <c r="N115" s="70" t="str">
        <f>IF($A115="","",ROUND(N(O114)*(1+'Calc base'!J138),2)-O115)</f>
        <v/>
      </c>
      <c r="O115" s="75" t="str">
        <f>IF($A115="","",CHOOSE('Calc riepilogo'!$B$2,'Calc valanga'!AV138,'Calc palla di neve'!AV138,'Calc personalizzata'!AV138))</f>
        <v/>
      </c>
      <c r="P115" s="70" t="str">
        <f>IF($A115="","",ROUND(N(Q114)*(1+'Calc base'!K138),2)-Q115)</f>
        <v/>
      </c>
      <c r="Q115" s="75" t="str">
        <f>IF($A115="","",CHOOSE('Calc riepilogo'!$B$2,'Calc valanga'!AW138,'Calc palla di neve'!AW138,'Calc personalizzata'!AW138))</f>
        <v/>
      </c>
      <c r="R115" s="70" t="str">
        <f>IF($A115="","",ROUND(N(S114)*(1+'Calc base'!L138),2)-S115)</f>
        <v/>
      </c>
      <c r="S115" s="75" t="str">
        <f>IF($A115="","",CHOOSE('Calc riepilogo'!$B$2,'Calc valanga'!AX138,'Calc palla di neve'!AX138,'Calc personalizzata'!AX138))</f>
        <v/>
      </c>
      <c r="T115" s="70" t="str">
        <f>IF($A115="","",ROUND(N(U114)*(1+'Calc base'!M138),2)-U115)</f>
        <v/>
      </c>
      <c r="U115" s="75" t="str">
        <f>IF($A115="","",CHOOSE('Calc riepilogo'!$B$2,'Calc valanga'!AY138,'Calc palla di neve'!AY138,'Calc personalizzata'!AY138))</f>
        <v/>
      </c>
      <c r="V115" s="70" t="str">
        <f>IF($A115="","",ROUND(N(W114)*(1+'Calc base'!N138),2)-W115)</f>
        <v/>
      </c>
      <c r="W115" s="75" t="str">
        <f>IF($A115="","",CHOOSE('Calc riepilogo'!$B$2,'Calc valanga'!AZ138,'Calc palla di neve'!AZ138,'Calc personalizzata'!AZ138))</f>
        <v/>
      </c>
      <c r="X115" s="70" t="str">
        <f>IF($A115="","",ROUND(N(Y114)*(1+'Calc base'!O138),2)-Y115)</f>
        <v/>
      </c>
      <c r="Y115" s="75" t="str">
        <f>IF($A115="","",CHOOSE('Calc riepilogo'!$B$2,'Calc valanga'!BA138,'Calc palla di neve'!BA138,'Calc personalizzata'!BA138))</f>
        <v/>
      </c>
      <c r="Z115" s="70" t="str">
        <f>IF($A115="","",ROUND(N(AA114)*(1+'Calc base'!P138),2)-AA115)</f>
        <v/>
      </c>
      <c r="AA115" s="75" t="str">
        <f>IF($A115="","",CHOOSE('Calc riepilogo'!$B$2,'Calc valanga'!BB138,'Calc palla di neve'!BB138,'Calc personalizzata'!BB138))</f>
        <v/>
      </c>
      <c r="AB115" s="70" t="str">
        <f>IF($A115="","",ROUND(N(AC114)*(1+'Calc base'!Q138),2)-AC115)</f>
        <v/>
      </c>
      <c r="AC115" s="75" t="str">
        <f>IF($A115="","",CHOOSE('Calc riepilogo'!$B$2,'Calc valanga'!BC138,'Calc palla di neve'!BC138,'Calc personalizzata'!BC138))</f>
        <v/>
      </c>
      <c r="AD115" s="70" t="str">
        <f>IF($A115="","",ROUND(N(AE114)*(1+'Calc base'!R138),2)-AE115)</f>
        <v/>
      </c>
      <c r="AE115" s="75" t="str">
        <f>IF($A115="","",CHOOSE('Calc riepilogo'!$B$2,'Calc valanga'!BD138,'Calc palla di neve'!BD138,'Calc personalizzata'!BD138))</f>
        <v/>
      </c>
      <c r="AF115" s="70" t="str">
        <f>IF($A115="","",ROUND(N(AG114)*(1+'Calc base'!S138),2)-AG115)</f>
        <v/>
      </c>
      <c r="AG115" s="75" t="str">
        <f>IF($A115="","",CHOOSE('Calc riepilogo'!$B$2,'Calc valanga'!BE138,'Calc palla di neve'!BE138,'Calc personalizzata'!BE138))</f>
        <v/>
      </c>
      <c r="AI115" t="n">
        <v>108</v>
      </c>
    </row>
    <row r="116">
      <c r="A116" s="68" t="str">
        <f>IF(109&gt;'Calc riepilogo'!$B$7,"",'Calc base'!$B139)</f>
        <v/>
      </c>
      <c r="B116" s="69" t="str">
        <f>IF($A116="","",'Calc base'!$C139)</f>
        <v/>
      </c>
      <c r="C116" s="69" t="str">
        <f>IF($A116="","",'Calc base'!$E139)</f>
        <v/>
      </c>
      <c r="D116" s="70" t="str">
        <f>IF($A116="","",J116+L116+N116+P116+R116+T116+V116+X116+Z116+AB116+AD116+AF116)</f>
        <v/>
      </c>
      <c r="E116" s="70" t="str">
        <f>IF($A116="","",CHOOSE('Calc riepilogo'!$B$2,'Calc valanga'!$H139,'Calc palla di neve'!$H139,'Calc personalizzata'!$H139))</f>
        <v/>
      </c>
      <c r="F116" s="71" t="str">
        <f>IF($A116="","",CHOOSE('Calc riepilogo'!$B$2,'Calc valanga'!$G139,'Calc palla di neve'!$G139,'Calc personalizzata'!$G139))</f>
        <v/>
      </c>
      <c r="G116" s="72" t="n"/>
      <c r="H116" s="73" t="n"/>
      <c r="I116" s="74" t="str">
        <f>IF($A116="","",TRIM(IF(AND(N(K115)&gt;0,N(K116)&lt;=0.004),"✓ "&amp;'Calc base'!C$6&amp;"   ","")&amp;IF(AND(N(M115)&gt;0,N(M116)&lt;=0.004),"✓ "&amp;'Calc base'!D$6&amp;"   ","")&amp;IF(AND(N(O115)&gt;0,N(O116)&lt;=0.004),"✓ "&amp;'Calc base'!E$6&amp;"   ","")&amp;IF(AND(N(Q115)&gt;0,N(Q116)&lt;=0.004),"✓ "&amp;'Calc base'!F$6&amp;"   ","")&amp;IF(AND(N(S115)&gt;0,N(S116)&lt;=0.004),"✓ "&amp;'Calc base'!G$6&amp;"   ","")&amp;IF(AND(N(U115)&gt;0,N(U116)&lt;=0.004),"✓ "&amp;'Calc base'!H$6&amp;"   ","")&amp;IF(AND(N(W115)&gt;0,N(W116)&lt;=0.004),"✓ "&amp;'Calc base'!I$6&amp;"   ","")&amp;IF(AND(N(Y115)&gt;0,N(Y116)&lt;=0.004),"✓ "&amp;'Calc base'!J$6&amp;"   ","")&amp;IF(AND(N(AA115)&gt;0,N(AA116)&lt;=0.004),"✓ "&amp;'Calc base'!K$6&amp;"   ","")&amp;IF(AND(N(AC115)&gt;0,N(AC116)&lt;=0.004),"✓ "&amp;'Calc base'!L$6&amp;"   ","")&amp;IF(AND(N(AE115)&gt;0,N(AE116)&lt;=0.004),"✓ "&amp;'Calc base'!M$6&amp;"   ","")&amp;IF(AND(N(AG115)&gt;0,N(AG116)&lt;=0.004),"✓ "&amp;'Calc base'!N$6&amp;"   ","")))</f>
        <v/>
      </c>
      <c r="J116" s="70" t="str">
        <f>IF($A116="","",ROUND(N(K115)*(1+'Calc base'!H139),2)-K116)</f>
        <v/>
      </c>
      <c r="K116" s="75" t="str">
        <f>IF($A116="","",CHOOSE('Calc riepilogo'!$B$2,'Calc valanga'!AT139,'Calc palla di neve'!AT139,'Calc personalizzata'!AT139))</f>
        <v/>
      </c>
      <c r="L116" s="70" t="str">
        <f>IF($A116="","",ROUND(N(M115)*(1+'Calc base'!I139),2)-M116)</f>
        <v/>
      </c>
      <c r="M116" s="75" t="str">
        <f>IF($A116="","",CHOOSE('Calc riepilogo'!$B$2,'Calc valanga'!AU139,'Calc palla di neve'!AU139,'Calc personalizzata'!AU139))</f>
        <v/>
      </c>
      <c r="N116" s="70" t="str">
        <f>IF($A116="","",ROUND(N(O115)*(1+'Calc base'!J139),2)-O116)</f>
        <v/>
      </c>
      <c r="O116" s="75" t="str">
        <f>IF($A116="","",CHOOSE('Calc riepilogo'!$B$2,'Calc valanga'!AV139,'Calc palla di neve'!AV139,'Calc personalizzata'!AV139))</f>
        <v/>
      </c>
      <c r="P116" s="70" t="str">
        <f>IF($A116="","",ROUND(N(Q115)*(1+'Calc base'!K139),2)-Q116)</f>
        <v/>
      </c>
      <c r="Q116" s="75" t="str">
        <f>IF($A116="","",CHOOSE('Calc riepilogo'!$B$2,'Calc valanga'!AW139,'Calc palla di neve'!AW139,'Calc personalizzata'!AW139))</f>
        <v/>
      </c>
      <c r="R116" s="70" t="str">
        <f>IF($A116="","",ROUND(N(S115)*(1+'Calc base'!L139),2)-S116)</f>
        <v/>
      </c>
      <c r="S116" s="75" t="str">
        <f>IF($A116="","",CHOOSE('Calc riepilogo'!$B$2,'Calc valanga'!AX139,'Calc palla di neve'!AX139,'Calc personalizzata'!AX139))</f>
        <v/>
      </c>
      <c r="T116" s="70" t="str">
        <f>IF($A116="","",ROUND(N(U115)*(1+'Calc base'!M139),2)-U116)</f>
        <v/>
      </c>
      <c r="U116" s="75" t="str">
        <f>IF($A116="","",CHOOSE('Calc riepilogo'!$B$2,'Calc valanga'!AY139,'Calc palla di neve'!AY139,'Calc personalizzata'!AY139))</f>
        <v/>
      </c>
      <c r="V116" s="70" t="str">
        <f>IF($A116="","",ROUND(N(W115)*(1+'Calc base'!N139),2)-W116)</f>
        <v/>
      </c>
      <c r="W116" s="75" t="str">
        <f>IF($A116="","",CHOOSE('Calc riepilogo'!$B$2,'Calc valanga'!AZ139,'Calc palla di neve'!AZ139,'Calc personalizzata'!AZ139))</f>
        <v/>
      </c>
      <c r="X116" s="70" t="str">
        <f>IF($A116="","",ROUND(N(Y115)*(1+'Calc base'!O139),2)-Y116)</f>
        <v/>
      </c>
      <c r="Y116" s="75" t="str">
        <f>IF($A116="","",CHOOSE('Calc riepilogo'!$B$2,'Calc valanga'!BA139,'Calc palla di neve'!BA139,'Calc personalizzata'!BA139))</f>
        <v/>
      </c>
      <c r="Z116" s="70" t="str">
        <f>IF($A116="","",ROUND(N(AA115)*(1+'Calc base'!P139),2)-AA116)</f>
        <v/>
      </c>
      <c r="AA116" s="75" t="str">
        <f>IF($A116="","",CHOOSE('Calc riepilogo'!$B$2,'Calc valanga'!BB139,'Calc palla di neve'!BB139,'Calc personalizzata'!BB139))</f>
        <v/>
      </c>
      <c r="AB116" s="70" t="str">
        <f>IF($A116="","",ROUND(N(AC115)*(1+'Calc base'!Q139),2)-AC116)</f>
        <v/>
      </c>
      <c r="AC116" s="75" t="str">
        <f>IF($A116="","",CHOOSE('Calc riepilogo'!$B$2,'Calc valanga'!BC139,'Calc palla di neve'!BC139,'Calc personalizzata'!BC139))</f>
        <v/>
      </c>
      <c r="AD116" s="70" t="str">
        <f>IF($A116="","",ROUND(N(AE115)*(1+'Calc base'!R139),2)-AE116)</f>
        <v/>
      </c>
      <c r="AE116" s="75" t="str">
        <f>IF($A116="","",CHOOSE('Calc riepilogo'!$B$2,'Calc valanga'!BD139,'Calc palla di neve'!BD139,'Calc personalizzata'!BD139))</f>
        <v/>
      </c>
      <c r="AF116" s="70" t="str">
        <f>IF($A116="","",ROUND(N(AG115)*(1+'Calc base'!S139),2)-AG116)</f>
        <v/>
      </c>
      <c r="AG116" s="75" t="str">
        <f>IF($A116="","",CHOOSE('Calc riepilogo'!$B$2,'Calc valanga'!BE139,'Calc palla di neve'!BE139,'Calc personalizzata'!BE139))</f>
        <v/>
      </c>
      <c r="AI116" t="n">
        <v>109</v>
      </c>
    </row>
    <row r="117">
      <c r="A117" s="68" t="str">
        <f>IF(110&gt;'Calc riepilogo'!$B$7,"",'Calc base'!$B140)</f>
        <v/>
      </c>
      <c r="B117" s="69" t="str">
        <f>IF($A117="","",'Calc base'!$C140)</f>
        <v/>
      </c>
      <c r="C117" s="69" t="str">
        <f>IF($A117="","",'Calc base'!$E140)</f>
        <v/>
      </c>
      <c r="D117" s="70" t="str">
        <f>IF($A117="","",J117+L117+N117+P117+R117+T117+V117+X117+Z117+AB117+AD117+AF117)</f>
        <v/>
      </c>
      <c r="E117" s="70" t="str">
        <f>IF($A117="","",CHOOSE('Calc riepilogo'!$B$2,'Calc valanga'!$H140,'Calc palla di neve'!$H140,'Calc personalizzata'!$H140))</f>
        <v/>
      </c>
      <c r="F117" s="71" t="str">
        <f>IF($A117="","",CHOOSE('Calc riepilogo'!$B$2,'Calc valanga'!$G140,'Calc palla di neve'!$G140,'Calc personalizzata'!$G140))</f>
        <v/>
      </c>
      <c r="G117" s="72" t="n"/>
      <c r="H117" s="73" t="n"/>
      <c r="I117" s="74" t="str">
        <f>IF($A117="","",TRIM(IF(AND(N(K116)&gt;0,N(K117)&lt;=0.004),"✓ "&amp;'Calc base'!C$6&amp;"   ","")&amp;IF(AND(N(M116)&gt;0,N(M117)&lt;=0.004),"✓ "&amp;'Calc base'!D$6&amp;"   ","")&amp;IF(AND(N(O116)&gt;0,N(O117)&lt;=0.004),"✓ "&amp;'Calc base'!E$6&amp;"   ","")&amp;IF(AND(N(Q116)&gt;0,N(Q117)&lt;=0.004),"✓ "&amp;'Calc base'!F$6&amp;"   ","")&amp;IF(AND(N(S116)&gt;0,N(S117)&lt;=0.004),"✓ "&amp;'Calc base'!G$6&amp;"   ","")&amp;IF(AND(N(U116)&gt;0,N(U117)&lt;=0.004),"✓ "&amp;'Calc base'!H$6&amp;"   ","")&amp;IF(AND(N(W116)&gt;0,N(W117)&lt;=0.004),"✓ "&amp;'Calc base'!I$6&amp;"   ","")&amp;IF(AND(N(Y116)&gt;0,N(Y117)&lt;=0.004),"✓ "&amp;'Calc base'!J$6&amp;"   ","")&amp;IF(AND(N(AA116)&gt;0,N(AA117)&lt;=0.004),"✓ "&amp;'Calc base'!K$6&amp;"   ","")&amp;IF(AND(N(AC116)&gt;0,N(AC117)&lt;=0.004),"✓ "&amp;'Calc base'!L$6&amp;"   ","")&amp;IF(AND(N(AE116)&gt;0,N(AE117)&lt;=0.004),"✓ "&amp;'Calc base'!M$6&amp;"   ","")&amp;IF(AND(N(AG116)&gt;0,N(AG117)&lt;=0.004),"✓ "&amp;'Calc base'!N$6&amp;"   ","")))</f>
        <v/>
      </c>
      <c r="J117" s="70" t="str">
        <f>IF($A117="","",ROUND(N(K116)*(1+'Calc base'!H140),2)-K117)</f>
        <v/>
      </c>
      <c r="K117" s="75" t="str">
        <f>IF($A117="","",CHOOSE('Calc riepilogo'!$B$2,'Calc valanga'!AT140,'Calc palla di neve'!AT140,'Calc personalizzata'!AT140))</f>
        <v/>
      </c>
      <c r="L117" s="70" t="str">
        <f>IF($A117="","",ROUND(N(M116)*(1+'Calc base'!I140),2)-M117)</f>
        <v/>
      </c>
      <c r="M117" s="75" t="str">
        <f>IF($A117="","",CHOOSE('Calc riepilogo'!$B$2,'Calc valanga'!AU140,'Calc palla di neve'!AU140,'Calc personalizzata'!AU140))</f>
        <v/>
      </c>
      <c r="N117" s="70" t="str">
        <f>IF($A117="","",ROUND(N(O116)*(1+'Calc base'!J140),2)-O117)</f>
        <v/>
      </c>
      <c r="O117" s="75" t="str">
        <f>IF($A117="","",CHOOSE('Calc riepilogo'!$B$2,'Calc valanga'!AV140,'Calc palla di neve'!AV140,'Calc personalizzata'!AV140))</f>
        <v/>
      </c>
      <c r="P117" s="70" t="str">
        <f>IF($A117="","",ROUND(N(Q116)*(1+'Calc base'!K140),2)-Q117)</f>
        <v/>
      </c>
      <c r="Q117" s="75" t="str">
        <f>IF($A117="","",CHOOSE('Calc riepilogo'!$B$2,'Calc valanga'!AW140,'Calc palla di neve'!AW140,'Calc personalizzata'!AW140))</f>
        <v/>
      </c>
      <c r="R117" s="70" t="str">
        <f>IF($A117="","",ROUND(N(S116)*(1+'Calc base'!L140),2)-S117)</f>
        <v/>
      </c>
      <c r="S117" s="75" t="str">
        <f>IF($A117="","",CHOOSE('Calc riepilogo'!$B$2,'Calc valanga'!AX140,'Calc palla di neve'!AX140,'Calc personalizzata'!AX140))</f>
        <v/>
      </c>
      <c r="T117" s="70" t="str">
        <f>IF($A117="","",ROUND(N(U116)*(1+'Calc base'!M140),2)-U117)</f>
        <v/>
      </c>
      <c r="U117" s="75" t="str">
        <f>IF($A117="","",CHOOSE('Calc riepilogo'!$B$2,'Calc valanga'!AY140,'Calc palla di neve'!AY140,'Calc personalizzata'!AY140))</f>
        <v/>
      </c>
      <c r="V117" s="70" t="str">
        <f>IF($A117="","",ROUND(N(W116)*(1+'Calc base'!N140),2)-W117)</f>
        <v/>
      </c>
      <c r="W117" s="75" t="str">
        <f>IF($A117="","",CHOOSE('Calc riepilogo'!$B$2,'Calc valanga'!AZ140,'Calc palla di neve'!AZ140,'Calc personalizzata'!AZ140))</f>
        <v/>
      </c>
      <c r="X117" s="70" t="str">
        <f>IF($A117="","",ROUND(N(Y116)*(1+'Calc base'!O140),2)-Y117)</f>
        <v/>
      </c>
      <c r="Y117" s="75" t="str">
        <f>IF($A117="","",CHOOSE('Calc riepilogo'!$B$2,'Calc valanga'!BA140,'Calc palla di neve'!BA140,'Calc personalizzata'!BA140))</f>
        <v/>
      </c>
      <c r="Z117" s="70" t="str">
        <f>IF($A117="","",ROUND(N(AA116)*(1+'Calc base'!P140),2)-AA117)</f>
        <v/>
      </c>
      <c r="AA117" s="75" t="str">
        <f>IF($A117="","",CHOOSE('Calc riepilogo'!$B$2,'Calc valanga'!BB140,'Calc palla di neve'!BB140,'Calc personalizzata'!BB140))</f>
        <v/>
      </c>
      <c r="AB117" s="70" t="str">
        <f>IF($A117="","",ROUND(N(AC116)*(1+'Calc base'!Q140),2)-AC117)</f>
        <v/>
      </c>
      <c r="AC117" s="75" t="str">
        <f>IF($A117="","",CHOOSE('Calc riepilogo'!$B$2,'Calc valanga'!BC140,'Calc palla di neve'!BC140,'Calc personalizzata'!BC140))</f>
        <v/>
      </c>
      <c r="AD117" s="70" t="str">
        <f>IF($A117="","",ROUND(N(AE116)*(1+'Calc base'!R140),2)-AE117)</f>
        <v/>
      </c>
      <c r="AE117" s="75" t="str">
        <f>IF($A117="","",CHOOSE('Calc riepilogo'!$B$2,'Calc valanga'!BD140,'Calc palla di neve'!BD140,'Calc personalizzata'!BD140))</f>
        <v/>
      </c>
      <c r="AF117" s="70" t="str">
        <f>IF($A117="","",ROUND(N(AG116)*(1+'Calc base'!S140),2)-AG117)</f>
        <v/>
      </c>
      <c r="AG117" s="75" t="str">
        <f>IF($A117="","",CHOOSE('Calc riepilogo'!$B$2,'Calc valanga'!BE140,'Calc palla di neve'!BE140,'Calc personalizzata'!BE140))</f>
        <v/>
      </c>
      <c r="AI117" t="n">
        <v>110</v>
      </c>
    </row>
    <row r="118">
      <c r="A118" s="68" t="str">
        <f>IF(111&gt;'Calc riepilogo'!$B$7,"",'Calc base'!$B141)</f>
        <v/>
      </c>
      <c r="B118" s="69" t="str">
        <f>IF($A118="","",'Calc base'!$C141)</f>
        <v/>
      </c>
      <c r="C118" s="69" t="str">
        <f>IF($A118="","",'Calc base'!$E141)</f>
        <v/>
      </c>
      <c r="D118" s="70" t="str">
        <f>IF($A118="","",J118+L118+N118+P118+R118+T118+V118+X118+Z118+AB118+AD118+AF118)</f>
        <v/>
      </c>
      <c r="E118" s="70" t="str">
        <f>IF($A118="","",CHOOSE('Calc riepilogo'!$B$2,'Calc valanga'!$H141,'Calc palla di neve'!$H141,'Calc personalizzata'!$H141))</f>
        <v/>
      </c>
      <c r="F118" s="71" t="str">
        <f>IF($A118="","",CHOOSE('Calc riepilogo'!$B$2,'Calc valanga'!$G141,'Calc palla di neve'!$G141,'Calc personalizzata'!$G141))</f>
        <v/>
      </c>
      <c r="G118" s="72" t="n"/>
      <c r="H118" s="73" t="n"/>
      <c r="I118" s="74" t="str">
        <f>IF($A118="","",TRIM(IF(AND(N(K117)&gt;0,N(K118)&lt;=0.004),"✓ "&amp;'Calc base'!C$6&amp;"   ","")&amp;IF(AND(N(M117)&gt;0,N(M118)&lt;=0.004),"✓ "&amp;'Calc base'!D$6&amp;"   ","")&amp;IF(AND(N(O117)&gt;0,N(O118)&lt;=0.004),"✓ "&amp;'Calc base'!E$6&amp;"   ","")&amp;IF(AND(N(Q117)&gt;0,N(Q118)&lt;=0.004),"✓ "&amp;'Calc base'!F$6&amp;"   ","")&amp;IF(AND(N(S117)&gt;0,N(S118)&lt;=0.004),"✓ "&amp;'Calc base'!G$6&amp;"   ","")&amp;IF(AND(N(U117)&gt;0,N(U118)&lt;=0.004),"✓ "&amp;'Calc base'!H$6&amp;"   ","")&amp;IF(AND(N(W117)&gt;0,N(W118)&lt;=0.004),"✓ "&amp;'Calc base'!I$6&amp;"   ","")&amp;IF(AND(N(Y117)&gt;0,N(Y118)&lt;=0.004),"✓ "&amp;'Calc base'!J$6&amp;"   ","")&amp;IF(AND(N(AA117)&gt;0,N(AA118)&lt;=0.004),"✓ "&amp;'Calc base'!K$6&amp;"   ","")&amp;IF(AND(N(AC117)&gt;0,N(AC118)&lt;=0.004),"✓ "&amp;'Calc base'!L$6&amp;"   ","")&amp;IF(AND(N(AE117)&gt;0,N(AE118)&lt;=0.004),"✓ "&amp;'Calc base'!M$6&amp;"   ","")&amp;IF(AND(N(AG117)&gt;0,N(AG118)&lt;=0.004),"✓ "&amp;'Calc base'!N$6&amp;"   ","")))</f>
        <v/>
      </c>
      <c r="J118" s="70" t="str">
        <f>IF($A118="","",ROUND(N(K117)*(1+'Calc base'!H141),2)-K118)</f>
        <v/>
      </c>
      <c r="K118" s="75" t="str">
        <f>IF($A118="","",CHOOSE('Calc riepilogo'!$B$2,'Calc valanga'!AT141,'Calc palla di neve'!AT141,'Calc personalizzata'!AT141))</f>
        <v/>
      </c>
      <c r="L118" s="70" t="str">
        <f>IF($A118="","",ROUND(N(M117)*(1+'Calc base'!I141),2)-M118)</f>
        <v/>
      </c>
      <c r="M118" s="75" t="str">
        <f>IF($A118="","",CHOOSE('Calc riepilogo'!$B$2,'Calc valanga'!AU141,'Calc palla di neve'!AU141,'Calc personalizzata'!AU141))</f>
        <v/>
      </c>
      <c r="N118" s="70" t="str">
        <f>IF($A118="","",ROUND(N(O117)*(1+'Calc base'!J141),2)-O118)</f>
        <v/>
      </c>
      <c r="O118" s="75" t="str">
        <f>IF($A118="","",CHOOSE('Calc riepilogo'!$B$2,'Calc valanga'!AV141,'Calc palla di neve'!AV141,'Calc personalizzata'!AV141))</f>
        <v/>
      </c>
      <c r="P118" s="70" t="str">
        <f>IF($A118="","",ROUND(N(Q117)*(1+'Calc base'!K141),2)-Q118)</f>
        <v/>
      </c>
      <c r="Q118" s="75" t="str">
        <f>IF($A118="","",CHOOSE('Calc riepilogo'!$B$2,'Calc valanga'!AW141,'Calc palla di neve'!AW141,'Calc personalizzata'!AW141))</f>
        <v/>
      </c>
      <c r="R118" s="70" t="str">
        <f>IF($A118="","",ROUND(N(S117)*(1+'Calc base'!L141),2)-S118)</f>
        <v/>
      </c>
      <c r="S118" s="75" t="str">
        <f>IF($A118="","",CHOOSE('Calc riepilogo'!$B$2,'Calc valanga'!AX141,'Calc palla di neve'!AX141,'Calc personalizzata'!AX141))</f>
        <v/>
      </c>
      <c r="T118" s="70" t="str">
        <f>IF($A118="","",ROUND(N(U117)*(1+'Calc base'!M141),2)-U118)</f>
        <v/>
      </c>
      <c r="U118" s="75" t="str">
        <f>IF($A118="","",CHOOSE('Calc riepilogo'!$B$2,'Calc valanga'!AY141,'Calc palla di neve'!AY141,'Calc personalizzata'!AY141))</f>
        <v/>
      </c>
      <c r="V118" s="70" t="str">
        <f>IF($A118="","",ROUND(N(W117)*(1+'Calc base'!N141),2)-W118)</f>
        <v/>
      </c>
      <c r="W118" s="75" t="str">
        <f>IF($A118="","",CHOOSE('Calc riepilogo'!$B$2,'Calc valanga'!AZ141,'Calc palla di neve'!AZ141,'Calc personalizzata'!AZ141))</f>
        <v/>
      </c>
      <c r="X118" s="70" t="str">
        <f>IF($A118="","",ROUND(N(Y117)*(1+'Calc base'!O141),2)-Y118)</f>
        <v/>
      </c>
      <c r="Y118" s="75" t="str">
        <f>IF($A118="","",CHOOSE('Calc riepilogo'!$B$2,'Calc valanga'!BA141,'Calc palla di neve'!BA141,'Calc personalizzata'!BA141))</f>
        <v/>
      </c>
      <c r="Z118" s="70" t="str">
        <f>IF($A118="","",ROUND(N(AA117)*(1+'Calc base'!P141),2)-AA118)</f>
        <v/>
      </c>
      <c r="AA118" s="75" t="str">
        <f>IF($A118="","",CHOOSE('Calc riepilogo'!$B$2,'Calc valanga'!BB141,'Calc palla di neve'!BB141,'Calc personalizzata'!BB141))</f>
        <v/>
      </c>
      <c r="AB118" s="70" t="str">
        <f>IF($A118="","",ROUND(N(AC117)*(1+'Calc base'!Q141),2)-AC118)</f>
        <v/>
      </c>
      <c r="AC118" s="75" t="str">
        <f>IF($A118="","",CHOOSE('Calc riepilogo'!$B$2,'Calc valanga'!BC141,'Calc palla di neve'!BC141,'Calc personalizzata'!BC141))</f>
        <v/>
      </c>
      <c r="AD118" s="70" t="str">
        <f>IF($A118="","",ROUND(N(AE117)*(1+'Calc base'!R141),2)-AE118)</f>
        <v/>
      </c>
      <c r="AE118" s="75" t="str">
        <f>IF($A118="","",CHOOSE('Calc riepilogo'!$B$2,'Calc valanga'!BD141,'Calc palla di neve'!BD141,'Calc personalizzata'!BD141))</f>
        <v/>
      </c>
      <c r="AF118" s="70" t="str">
        <f>IF($A118="","",ROUND(N(AG117)*(1+'Calc base'!S141),2)-AG118)</f>
        <v/>
      </c>
      <c r="AG118" s="75" t="str">
        <f>IF($A118="","",CHOOSE('Calc riepilogo'!$B$2,'Calc valanga'!BE141,'Calc palla di neve'!BE141,'Calc personalizzata'!BE141))</f>
        <v/>
      </c>
      <c r="AI118" t="n">
        <v>111</v>
      </c>
    </row>
    <row r="119">
      <c r="A119" s="68" t="str">
        <f>IF(112&gt;'Calc riepilogo'!$B$7,"",'Calc base'!$B142)</f>
        <v/>
      </c>
      <c r="B119" s="69" t="str">
        <f>IF($A119="","",'Calc base'!$C142)</f>
        <v/>
      </c>
      <c r="C119" s="69" t="str">
        <f>IF($A119="","",'Calc base'!$E142)</f>
        <v/>
      </c>
      <c r="D119" s="70" t="str">
        <f>IF($A119="","",J119+L119+N119+P119+R119+T119+V119+X119+Z119+AB119+AD119+AF119)</f>
        <v/>
      </c>
      <c r="E119" s="70" t="str">
        <f>IF($A119="","",CHOOSE('Calc riepilogo'!$B$2,'Calc valanga'!$H142,'Calc palla di neve'!$H142,'Calc personalizzata'!$H142))</f>
        <v/>
      </c>
      <c r="F119" s="71" t="str">
        <f>IF($A119="","",CHOOSE('Calc riepilogo'!$B$2,'Calc valanga'!$G142,'Calc palla di neve'!$G142,'Calc personalizzata'!$G142))</f>
        <v/>
      </c>
      <c r="G119" s="72" t="n"/>
      <c r="H119" s="73" t="n"/>
      <c r="I119" s="74" t="str">
        <f>IF($A119="","",TRIM(IF(AND(N(K118)&gt;0,N(K119)&lt;=0.004),"✓ "&amp;'Calc base'!C$6&amp;"   ","")&amp;IF(AND(N(M118)&gt;0,N(M119)&lt;=0.004),"✓ "&amp;'Calc base'!D$6&amp;"   ","")&amp;IF(AND(N(O118)&gt;0,N(O119)&lt;=0.004),"✓ "&amp;'Calc base'!E$6&amp;"   ","")&amp;IF(AND(N(Q118)&gt;0,N(Q119)&lt;=0.004),"✓ "&amp;'Calc base'!F$6&amp;"   ","")&amp;IF(AND(N(S118)&gt;0,N(S119)&lt;=0.004),"✓ "&amp;'Calc base'!G$6&amp;"   ","")&amp;IF(AND(N(U118)&gt;0,N(U119)&lt;=0.004),"✓ "&amp;'Calc base'!H$6&amp;"   ","")&amp;IF(AND(N(W118)&gt;0,N(W119)&lt;=0.004),"✓ "&amp;'Calc base'!I$6&amp;"   ","")&amp;IF(AND(N(Y118)&gt;0,N(Y119)&lt;=0.004),"✓ "&amp;'Calc base'!J$6&amp;"   ","")&amp;IF(AND(N(AA118)&gt;0,N(AA119)&lt;=0.004),"✓ "&amp;'Calc base'!K$6&amp;"   ","")&amp;IF(AND(N(AC118)&gt;0,N(AC119)&lt;=0.004),"✓ "&amp;'Calc base'!L$6&amp;"   ","")&amp;IF(AND(N(AE118)&gt;0,N(AE119)&lt;=0.004),"✓ "&amp;'Calc base'!M$6&amp;"   ","")&amp;IF(AND(N(AG118)&gt;0,N(AG119)&lt;=0.004),"✓ "&amp;'Calc base'!N$6&amp;"   ","")))</f>
        <v/>
      </c>
      <c r="J119" s="70" t="str">
        <f>IF($A119="","",ROUND(N(K118)*(1+'Calc base'!H142),2)-K119)</f>
        <v/>
      </c>
      <c r="K119" s="75" t="str">
        <f>IF($A119="","",CHOOSE('Calc riepilogo'!$B$2,'Calc valanga'!AT142,'Calc palla di neve'!AT142,'Calc personalizzata'!AT142))</f>
        <v/>
      </c>
      <c r="L119" s="70" t="str">
        <f>IF($A119="","",ROUND(N(M118)*(1+'Calc base'!I142),2)-M119)</f>
        <v/>
      </c>
      <c r="M119" s="75" t="str">
        <f>IF($A119="","",CHOOSE('Calc riepilogo'!$B$2,'Calc valanga'!AU142,'Calc palla di neve'!AU142,'Calc personalizzata'!AU142))</f>
        <v/>
      </c>
      <c r="N119" s="70" t="str">
        <f>IF($A119="","",ROUND(N(O118)*(1+'Calc base'!J142),2)-O119)</f>
        <v/>
      </c>
      <c r="O119" s="75" t="str">
        <f>IF($A119="","",CHOOSE('Calc riepilogo'!$B$2,'Calc valanga'!AV142,'Calc palla di neve'!AV142,'Calc personalizzata'!AV142))</f>
        <v/>
      </c>
      <c r="P119" s="70" t="str">
        <f>IF($A119="","",ROUND(N(Q118)*(1+'Calc base'!K142),2)-Q119)</f>
        <v/>
      </c>
      <c r="Q119" s="75" t="str">
        <f>IF($A119="","",CHOOSE('Calc riepilogo'!$B$2,'Calc valanga'!AW142,'Calc palla di neve'!AW142,'Calc personalizzata'!AW142))</f>
        <v/>
      </c>
      <c r="R119" s="70" t="str">
        <f>IF($A119="","",ROUND(N(S118)*(1+'Calc base'!L142),2)-S119)</f>
        <v/>
      </c>
      <c r="S119" s="75" t="str">
        <f>IF($A119="","",CHOOSE('Calc riepilogo'!$B$2,'Calc valanga'!AX142,'Calc palla di neve'!AX142,'Calc personalizzata'!AX142))</f>
        <v/>
      </c>
      <c r="T119" s="70" t="str">
        <f>IF($A119="","",ROUND(N(U118)*(1+'Calc base'!M142),2)-U119)</f>
        <v/>
      </c>
      <c r="U119" s="75" t="str">
        <f>IF($A119="","",CHOOSE('Calc riepilogo'!$B$2,'Calc valanga'!AY142,'Calc palla di neve'!AY142,'Calc personalizzata'!AY142))</f>
        <v/>
      </c>
      <c r="V119" s="70" t="str">
        <f>IF($A119="","",ROUND(N(W118)*(1+'Calc base'!N142),2)-W119)</f>
        <v/>
      </c>
      <c r="W119" s="75" t="str">
        <f>IF($A119="","",CHOOSE('Calc riepilogo'!$B$2,'Calc valanga'!AZ142,'Calc palla di neve'!AZ142,'Calc personalizzata'!AZ142))</f>
        <v/>
      </c>
      <c r="X119" s="70" t="str">
        <f>IF($A119="","",ROUND(N(Y118)*(1+'Calc base'!O142),2)-Y119)</f>
        <v/>
      </c>
      <c r="Y119" s="75" t="str">
        <f>IF($A119="","",CHOOSE('Calc riepilogo'!$B$2,'Calc valanga'!BA142,'Calc palla di neve'!BA142,'Calc personalizzata'!BA142))</f>
        <v/>
      </c>
      <c r="Z119" s="70" t="str">
        <f>IF($A119="","",ROUND(N(AA118)*(1+'Calc base'!P142),2)-AA119)</f>
        <v/>
      </c>
      <c r="AA119" s="75" t="str">
        <f>IF($A119="","",CHOOSE('Calc riepilogo'!$B$2,'Calc valanga'!BB142,'Calc palla di neve'!BB142,'Calc personalizzata'!BB142))</f>
        <v/>
      </c>
      <c r="AB119" s="70" t="str">
        <f>IF($A119="","",ROUND(N(AC118)*(1+'Calc base'!Q142),2)-AC119)</f>
        <v/>
      </c>
      <c r="AC119" s="75" t="str">
        <f>IF($A119="","",CHOOSE('Calc riepilogo'!$B$2,'Calc valanga'!BC142,'Calc palla di neve'!BC142,'Calc personalizzata'!BC142))</f>
        <v/>
      </c>
      <c r="AD119" s="70" t="str">
        <f>IF($A119="","",ROUND(N(AE118)*(1+'Calc base'!R142),2)-AE119)</f>
        <v/>
      </c>
      <c r="AE119" s="75" t="str">
        <f>IF($A119="","",CHOOSE('Calc riepilogo'!$B$2,'Calc valanga'!BD142,'Calc palla di neve'!BD142,'Calc personalizzata'!BD142))</f>
        <v/>
      </c>
      <c r="AF119" s="70" t="str">
        <f>IF($A119="","",ROUND(N(AG118)*(1+'Calc base'!S142),2)-AG119)</f>
        <v/>
      </c>
      <c r="AG119" s="75" t="str">
        <f>IF($A119="","",CHOOSE('Calc riepilogo'!$B$2,'Calc valanga'!BE142,'Calc palla di neve'!BE142,'Calc personalizzata'!BE142))</f>
        <v/>
      </c>
      <c r="AI119" t="n">
        <v>112</v>
      </c>
    </row>
    <row r="120">
      <c r="A120" s="68" t="str">
        <f>IF(113&gt;'Calc riepilogo'!$B$7,"",'Calc base'!$B143)</f>
        <v/>
      </c>
      <c r="B120" s="69" t="str">
        <f>IF($A120="","",'Calc base'!$C143)</f>
        <v/>
      </c>
      <c r="C120" s="69" t="str">
        <f>IF($A120="","",'Calc base'!$E143)</f>
        <v/>
      </c>
      <c r="D120" s="70" t="str">
        <f>IF($A120="","",J120+L120+N120+P120+R120+T120+V120+X120+Z120+AB120+AD120+AF120)</f>
        <v/>
      </c>
      <c r="E120" s="70" t="str">
        <f>IF($A120="","",CHOOSE('Calc riepilogo'!$B$2,'Calc valanga'!$H143,'Calc palla di neve'!$H143,'Calc personalizzata'!$H143))</f>
        <v/>
      </c>
      <c r="F120" s="71" t="str">
        <f>IF($A120="","",CHOOSE('Calc riepilogo'!$B$2,'Calc valanga'!$G143,'Calc palla di neve'!$G143,'Calc personalizzata'!$G143))</f>
        <v/>
      </c>
      <c r="G120" s="72" t="n"/>
      <c r="H120" s="73" t="n"/>
      <c r="I120" s="74" t="str">
        <f>IF($A120="","",TRIM(IF(AND(N(K119)&gt;0,N(K120)&lt;=0.004),"✓ "&amp;'Calc base'!C$6&amp;"   ","")&amp;IF(AND(N(M119)&gt;0,N(M120)&lt;=0.004),"✓ "&amp;'Calc base'!D$6&amp;"   ","")&amp;IF(AND(N(O119)&gt;0,N(O120)&lt;=0.004),"✓ "&amp;'Calc base'!E$6&amp;"   ","")&amp;IF(AND(N(Q119)&gt;0,N(Q120)&lt;=0.004),"✓ "&amp;'Calc base'!F$6&amp;"   ","")&amp;IF(AND(N(S119)&gt;0,N(S120)&lt;=0.004),"✓ "&amp;'Calc base'!G$6&amp;"   ","")&amp;IF(AND(N(U119)&gt;0,N(U120)&lt;=0.004),"✓ "&amp;'Calc base'!H$6&amp;"   ","")&amp;IF(AND(N(W119)&gt;0,N(W120)&lt;=0.004),"✓ "&amp;'Calc base'!I$6&amp;"   ","")&amp;IF(AND(N(Y119)&gt;0,N(Y120)&lt;=0.004),"✓ "&amp;'Calc base'!J$6&amp;"   ","")&amp;IF(AND(N(AA119)&gt;0,N(AA120)&lt;=0.004),"✓ "&amp;'Calc base'!K$6&amp;"   ","")&amp;IF(AND(N(AC119)&gt;0,N(AC120)&lt;=0.004),"✓ "&amp;'Calc base'!L$6&amp;"   ","")&amp;IF(AND(N(AE119)&gt;0,N(AE120)&lt;=0.004),"✓ "&amp;'Calc base'!M$6&amp;"   ","")&amp;IF(AND(N(AG119)&gt;0,N(AG120)&lt;=0.004),"✓ "&amp;'Calc base'!N$6&amp;"   ","")))</f>
        <v/>
      </c>
      <c r="J120" s="70" t="str">
        <f>IF($A120="","",ROUND(N(K119)*(1+'Calc base'!H143),2)-K120)</f>
        <v/>
      </c>
      <c r="K120" s="75" t="str">
        <f>IF($A120="","",CHOOSE('Calc riepilogo'!$B$2,'Calc valanga'!AT143,'Calc palla di neve'!AT143,'Calc personalizzata'!AT143))</f>
        <v/>
      </c>
      <c r="L120" s="70" t="str">
        <f>IF($A120="","",ROUND(N(M119)*(1+'Calc base'!I143),2)-M120)</f>
        <v/>
      </c>
      <c r="M120" s="75" t="str">
        <f>IF($A120="","",CHOOSE('Calc riepilogo'!$B$2,'Calc valanga'!AU143,'Calc palla di neve'!AU143,'Calc personalizzata'!AU143))</f>
        <v/>
      </c>
      <c r="N120" s="70" t="str">
        <f>IF($A120="","",ROUND(N(O119)*(1+'Calc base'!J143),2)-O120)</f>
        <v/>
      </c>
      <c r="O120" s="75" t="str">
        <f>IF($A120="","",CHOOSE('Calc riepilogo'!$B$2,'Calc valanga'!AV143,'Calc palla di neve'!AV143,'Calc personalizzata'!AV143))</f>
        <v/>
      </c>
      <c r="P120" s="70" t="str">
        <f>IF($A120="","",ROUND(N(Q119)*(1+'Calc base'!K143),2)-Q120)</f>
        <v/>
      </c>
      <c r="Q120" s="75" t="str">
        <f>IF($A120="","",CHOOSE('Calc riepilogo'!$B$2,'Calc valanga'!AW143,'Calc palla di neve'!AW143,'Calc personalizzata'!AW143))</f>
        <v/>
      </c>
      <c r="R120" s="70" t="str">
        <f>IF($A120="","",ROUND(N(S119)*(1+'Calc base'!L143),2)-S120)</f>
        <v/>
      </c>
      <c r="S120" s="75" t="str">
        <f>IF($A120="","",CHOOSE('Calc riepilogo'!$B$2,'Calc valanga'!AX143,'Calc palla di neve'!AX143,'Calc personalizzata'!AX143))</f>
        <v/>
      </c>
      <c r="T120" s="70" t="str">
        <f>IF($A120="","",ROUND(N(U119)*(1+'Calc base'!M143),2)-U120)</f>
        <v/>
      </c>
      <c r="U120" s="75" t="str">
        <f>IF($A120="","",CHOOSE('Calc riepilogo'!$B$2,'Calc valanga'!AY143,'Calc palla di neve'!AY143,'Calc personalizzata'!AY143))</f>
        <v/>
      </c>
      <c r="V120" s="70" t="str">
        <f>IF($A120="","",ROUND(N(W119)*(1+'Calc base'!N143),2)-W120)</f>
        <v/>
      </c>
      <c r="W120" s="75" t="str">
        <f>IF($A120="","",CHOOSE('Calc riepilogo'!$B$2,'Calc valanga'!AZ143,'Calc palla di neve'!AZ143,'Calc personalizzata'!AZ143))</f>
        <v/>
      </c>
      <c r="X120" s="70" t="str">
        <f>IF($A120="","",ROUND(N(Y119)*(1+'Calc base'!O143),2)-Y120)</f>
        <v/>
      </c>
      <c r="Y120" s="75" t="str">
        <f>IF($A120="","",CHOOSE('Calc riepilogo'!$B$2,'Calc valanga'!BA143,'Calc palla di neve'!BA143,'Calc personalizzata'!BA143))</f>
        <v/>
      </c>
      <c r="Z120" s="70" t="str">
        <f>IF($A120="","",ROUND(N(AA119)*(1+'Calc base'!P143),2)-AA120)</f>
        <v/>
      </c>
      <c r="AA120" s="75" t="str">
        <f>IF($A120="","",CHOOSE('Calc riepilogo'!$B$2,'Calc valanga'!BB143,'Calc palla di neve'!BB143,'Calc personalizzata'!BB143))</f>
        <v/>
      </c>
      <c r="AB120" s="70" t="str">
        <f>IF($A120="","",ROUND(N(AC119)*(1+'Calc base'!Q143),2)-AC120)</f>
        <v/>
      </c>
      <c r="AC120" s="75" t="str">
        <f>IF($A120="","",CHOOSE('Calc riepilogo'!$B$2,'Calc valanga'!BC143,'Calc palla di neve'!BC143,'Calc personalizzata'!BC143))</f>
        <v/>
      </c>
      <c r="AD120" s="70" t="str">
        <f>IF($A120="","",ROUND(N(AE119)*(1+'Calc base'!R143),2)-AE120)</f>
        <v/>
      </c>
      <c r="AE120" s="75" t="str">
        <f>IF($A120="","",CHOOSE('Calc riepilogo'!$B$2,'Calc valanga'!BD143,'Calc palla di neve'!BD143,'Calc personalizzata'!BD143))</f>
        <v/>
      </c>
      <c r="AF120" s="70" t="str">
        <f>IF($A120="","",ROUND(N(AG119)*(1+'Calc base'!S143),2)-AG120)</f>
        <v/>
      </c>
      <c r="AG120" s="75" t="str">
        <f>IF($A120="","",CHOOSE('Calc riepilogo'!$B$2,'Calc valanga'!BE143,'Calc palla di neve'!BE143,'Calc personalizzata'!BE143))</f>
        <v/>
      </c>
      <c r="AI120" t="n">
        <v>113</v>
      </c>
    </row>
    <row r="121">
      <c r="A121" s="68" t="str">
        <f>IF(114&gt;'Calc riepilogo'!$B$7,"",'Calc base'!$B144)</f>
        <v/>
      </c>
      <c r="B121" s="69" t="str">
        <f>IF($A121="","",'Calc base'!$C144)</f>
        <v/>
      </c>
      <c r="C121" s="69" t="str">
        <f>IF($A121="","",'Calc base'!$E144)</f>
        <v/>
      </c>
      <c r="D121" s="70" t="str">
        <f>IF($A121="","",J121+L121+N121+P121+R121+T121+V121+X121+Z121+AB121+AD121+AF121)</f>
        <v/>
      </c>
      <c r="E121" s="70" t="str">
        <f>IF($A121="","",CHOOSE('Calc riepilogo'!$B$2,'Calc valanga'!$H144,'Calc palla di neve'!$H144,'Calc personalizzata'!$H144))</f>
        <v/>
      </c>
      <c r="F121" s="71" t="str">
        <f>IF($A121="","",CHOOSE('Calc riepilogo'!$B$2,'Calc valanga'!$G144,'Calc palla di neve'!$G144,'Calc personalizzata'!$G144))</f>
        <v/>
      </c>
      <c r="G121" s="72" t="n"/>
      <c r="H121" s="73" t="n"/>
      <c r="I121" s="74" t="str">
        <f>IF($A121="","",TRIM(IF(AND(N(K120)&gt;0,N(K121)&lt;=0.004),"✓ "&amp;'Calc base'!C$6&amp;"   ","")&amp;IF(AND(N(M120)&gt;0,N(M121)&lt;=0.004),"✓ "&amp;'Calc base'!D$6&amp;"   ","")&amp;IF(AND(N(O120)&gt;0,N(O121)&lt;=0.004),"✓ "&amp;'Calc base'!E$6&amp;"   ","")&amp;IF(AND(N(Q120)&gt;0,N(Q121)&lt;=0.004),"✓ "&amp;'Calc base'!F$6&amp;"   ","")&amp;IF(AND(N(S120)&gt;0,N(S121)&lt;=0.004),"✓ "&amp;'Calc base'!G$6&amp;"   ","")&amp;IF(AND(N(U120)&gt;0,N(U121)&lt;=0.004),"✓ "&amp;'Calc base'!H$6&amp;"   ","")&amp;IF(AND(N(W120)&gt;0,N(W121)&lt;=0.004),"✓ "&amp;'Calc base'!I$6&amp;"   ","")&amp;IF(AND(N(Y120)&gt;0,N(Y121)&lt;=0.004),"✓ "&amp;'Calc base'!J$6&amp;"   ","")&amp;IF(AND(N(AA120)&gt;0,N(AA121)&lt;=0.004),"✓ "&amp;'Calc base'!K$6&amp;"   ","")&amp;IF(AND(N(AC120)&gt;0,N(AC121)&lt;=0.004),"✓ "&amp;'Calc base'!L$6&amp;"   ","")&amp;IF(AND(N(AE120)&gt;0,N(AE121)&lt;=0.004),"✓ "&amp;'Calc base'!M$6&amp;"   ","")&amp;IF(AND(N(AG120)&gt;0,N(AG121)&lt;=0.004),"✓ "&amp;'Calc base'!N$6&amp;"   ","")))</f>
        <v/>
      </c>
      <c r="J121" s="70" t="str">
        <f>IF($A121="","",ROUND(N(K120)*(1+'Calc base'!H144),2)-K121)</f>
        <v/>
      </c>
      <c r="K121" s="75" t="str">
        <f>IF($A121="","",CHOOSE('Calc riepilogo'!$B$2,'Calc valanga'!AT144,'Calc palla di neve'!AT144,'Calc personalizzata'!AT144))</f>
        <v/>
      </c>
      <c r="L121" s="70" t="str">
        <f>IF($A121="","",ROUND(N(M120)*(1+'Calc base'!I144),2)-M121)</f>
        <v/>
      </c>
      <c r="M121" s="75" t="str">
        <f>IF($A121="","",CHOOSE('Calc riepilogo'!$B$2,'Calc valanga'!AU144,'Calc palla di neve'!AU144,'Calc personalizzata'!AU144))</f>
        <v/>
      </c>
      <c r="N121" s="70" t="str">
        <f>IF($A121="","",ROUND(N(O120)*(1+'Calc base'!J144),2)-O121)</f>
        <v/>
      </c>
      <c r="O121" s="75" t="str">
        <f>IF($A121="","",CHOOSE('Calc riepilogo'!$B$2,'Calc valanga'!AV144,'Calc palla di neve'!AV144,'Calc personalizzata'!AV144))</f>
        <v/>
      </c>
      <c r="P121" s="70" t="str">
        <f>IF($A121="","",ROUND(N(Q120)*(1+'Calc base'!K144),2)-Q121)</f>
        <v/>
      </c>
      <c r="Q121" s="75" t="str">
        <f>IF($A121="","",CHOOSE('Calc riepilogo'!$B$2,'Calc valanga'!AW144,'Calc palla di neve'!AW144,'Calc personalizzata'!AW144))</f>
        <v/>
      </c>
      <c r="R121" s="70" t="str">
        <f>IF($A121="","",ROUND(N(S120)*(1+'Calc base'!L144),2)-S121)</f>
        <v/>
      </c>
      <c r="S121" s="75" t="str">
        <f>IF($A121="","",CHOOSE('Calc riepilogo'!$B$2,'Calc valanga'!AX144,'Calc palla di neve'!AX144,'Calc personalizzata'!AX144))</f>
        <v/>
      </c>
      <c r="T121" s="70" t="str">
        <f>IF($A121="","",ROUND(N(U120)*(1+'Calc base'!M144),2)-U121)</f>
        <v/>
      </c>
      <c r="U121" s="75" t="str">
        <f>IF($A121="","",CHOOSE('Calc riepilogo'!$B$2,'Calc valanga'!AY144,'Calc palla di neve'!AY144,'Calc personalizzata'!AY144))</f>
        <v/>
      </c>
      <c r="V121" s="70" t="str">
        <f>IF($A121="","",ROUND(N(W120)*(1+'Calc base'!N144),2)-W121)</f>
        <v/>
      </c>
      <c r="W121" s="75" t="str">
        <f>IF($A121="","",CHOOSE('Calc riepilogo'!$B$2,'Calc valanga'!AZ144,'Calc palla di neve'!AZ144,'Calc personalizzata'!AZ144))</f>
        <v/>
      </c>
      <c r="X121" s="70" t="str">
        <f>IF($A121="","",ROUND(N(Y120)*(1+'Calc base'!O144),2)-Y121)</f>
        <v/>
      </c>
      <c r="Y121" s="75" t="str">
        <f>IF($A121="","",CHOOSE('Calc riepilogo'!$B$2,'Calc valanga'!BA144,'Calc palla di neve'!BA144,'Calc personalizzata'!BA144))</f>
        <v/>
      </c>
      <c r="Z121" s="70" t="str">
        <f>IF($A121="","",ROUND(N(AA120)*(1+'Calc base'!P144),2)-AA121)</f>
        <v/>
      </c>
      <c r="AA121" s="75" t="str">
        <f>IF($A121="","",CHOOSE('Calc riepilogo'!$B$2,'Calc valanga'!BB144,'Calc palla di neve'!BB144,'Calc personalizzata'!BB144))</f>
        <v/>
      </c>
      <c r="AB121" s="70" t="str">
        <f>IF($A121="","",ROUND(N(AC120)*(1+'Calc base'!Q144),2)-AC121)</f>
        <v/>
      </c>
      <c r="AC121" s="75" t="str">
        <f>IF($A121="","",CHOOSE('Calc riepilogo'!$B$2,'Calc valanga'!BC144,'Calc palla di neve'!BC144,'Calc personalizzata'!BC144))</f>
        <v/>
      </c>
      <c r="AD121" s="70" t="str">
        <f>IF($A121="","",ROUND(N(AE120)*(1+'Calc base'!R144),2)-AE121)</f>
        <v/>
      </c>
      <c r="AE121" s="75" t="str">
        <f>IF($A121="","",CHOOSE('Calc riepilogo'!$B$2,'Calc valanga'!BD144,'Calc palla di neve'!BD144,'Calc personalizzata'!BD144))</f>
        <v/>
      </c>
      <c r="AF121" s="70" t="str">
        <f>IF($A121="","",ROUND(N(AG120)*(1+'Calc base'!S144),2)-AG121)</f>
        <v/>
      </c>
      <c r="AG121" s="75" t="str">
        <f>IF($A121="","",CHOOSE('Calc riepilogo'!$B$2,'Calc valanga'!BE144,'Calc palla di neve'!BE144,'Calc personalizzata'!BE144))</f>
        <v/>
      </c>
      <c r="AI121" t="n">
        <v>114</v>
      </c>
    </row>
    <row r="122">
      <c r="A122" s="68" t="str">
        <f>IF(115&gt;'Calc riepilogo'!$B$7,"",'Calc base'!$B145)</f>
        <v/>
      </c>
      <c r="B122" s="69" t="str">
        <f>IF($A122="","",'Calc base'!$C145)</f>
        <v/>
      </c>
      <c r="C122" s="69" t="str">
        <f>IF($A122="","",'Calc base'!$E145)</f>
        <v/>
      </c>
      <c r="D122" s="70" t="str">
        <f>IF($A122="","",J122+L122+N122+P122+R122+T122+V122+X122+Z122+AB122+AD122+AF122)</f>
        <v/>
      </c>
      <c r="E122" s="70" t="str">
        <f>IF($A122="","",CHOOSE('Calc riepilogo'!$B$2,'Calc valanga'!$H145,'Calc palla di neve'!$H145,'Calc personalizzata'!$H145))</f>
        <v/>
      </c>
      <c r="F122" s="71" t="str">
        <f>IF($A122="","",CHOOSE('Calc riepilogo'!$B$2,'Calc valanga'!$G145,'Calc palla di neve'!$G145,'Calc personalizzata'!$G145))</f>
        <v/>
      </c>
      <c r="G122" s="72" t="n"/>
      <c r="H122" s="73" t="n"/>
      <c r="I122" s="74" t="str">
        <f>IF($A122="","",TRIM(IF(AND(N(K121)&gt;0,N(K122)&lt;=0.004),"✓ "&amp;'Calc base'!C$6&amp;"   ","")&amp;IF(AND(N(M121)&gt;0,N(M122)&lt;=0.004),"✓ "&amp;'Calc base'!D$6&amp;"   ","")&amp;IF(AND(N(O121)&gt;0,N(O122)&lt;=0.004),"✓ "&amp;'Calc base'!E$6&amp;"   ","")&amp;IF(AND(N(Q121)&gt;0,N(Q122)&lt;=0.004),"✓ "&amp;'Calc base'!F$6&amp;"   ","")&amp;IF(AND(N(S121)&gt;0,N(S122)&lt;=0.004),"✓ "&amp;'Calc base'!G$6&amp;"   ","")&amp;IF(AND(N(U121)&gt;0,N(U122)&lt;=0.004),"✓ "&amp;'Calc base'!H$6&amp;"   ","")&amp;IF(AND(N(W121)&gt;0,N(W122)&lt;=0.004),"✓ "&amp;'Calc base'!I$6&amp;"   ","")&amp;IF(AND(N(Y121)&gt;0,N(Y122)&lt;=0.004),"✓ "&amp;'Calc base'!J$6&amp;"   ","")&amp;IF(AND(N(AA121)&gt;0,N(AA122)&lt;=0.004),"✓ "&amp;'Calc base'!K$6&amp;"   ","")&amp;IF(AND(N(AC121)&gt;0,N(AC122)&lt;=0.004),"✓ "&amp;'Calc base'!L$6&amp;"   ","")&amp;IF(AND(N(AE121)&gt;0,N(AE122)&lt;=0.004),"✓ "&amp;'Calc base'!M$6&amp;"   ","")&amp;IF(AND(N(AG121)&gt;0,N(AG122)&lt;=0.004),"✓ "&amp;'Calc base'!N$6&amp;"   ","")))</f>
        <v/>
      </c>
      <c r="J122" s="70" t="str">
        <f>IF($A122="","",ROUND(N(K121)*(1+'Calc base'!H145),2)-K122)</f>
        <v/>
      </c>
      <c r="K122" s="75" t="str">
        <f>IF($A122="","",CHOOSE('Calc riepilogo'!$B$2,'Calc valanga'!AT145,'Calc palla di neve'!AT145,'Calc personalizzata'!AT145))</f>
        <v/>
      </c>
      <c r="L122" s="70" t="str">
        <f>IF($A122="","",ROUND(N(M121)*(1+'Calc base'!I145),2)-M122)</f>
        <v/>
      </c>
      <c r="M122" s="75" t="str">
        <f>IF($A122="","",CHOOSE('Calc riepilogo'!$B$2,'Calc valanga'!AU145,'Calc palla di neve'!AU145,'Calc personalizzata'!AU145))</f>
        <v/>
      </c>
      <c r="N122" s="70" t="str">
        <f>IF($A122="","",ROUND(N(O121)*(1+'Calc base'!J145),2)-O122)</f>
        <v/>
      </c>
      <c r="O122" s="75" t="str">
        <f>IF($A122="","",CHOOSE('Calc riepilogo'!$B$2,'Calc valanga'!AV145,'Calc palla di neve'!AV145,'Calc personalizzata'!AV145))</f>
        <v/>
      </c>
      <c r="P122" s="70" t="str">
        <f>IF($A122="","",ROUND(N(Q121)*(1+'Calc base'!K145),2)-Q122)</f>
        <v/>
      </c>
      <c r="Q122" s="75" t="str">
        <f>IF($A122="","",CHOOSE('Calc riepilogo'!$B$2,'Calc valanga'!AW145,'Calc palla di neve'!AW145,'Calc personalizzata'!AW145))</f>
        <v/>
      </c>
      <c r="R122" s="70" t="str">
        <f>IF($A122="","",ROUND(N(S121)*(1+'Calc base'!L145),2)-S122)</f>
        <v/>
      </c>
      <c r="S122" s="75" t="str">
        <f>IF($A122="","",CHOOSE('Calc riepilogo'!$B$2,'Calc valanga'!AX145,'Calc palla di neve'!AX145,'Calc personalizzata'!AX145))</f>
        <v/>
      </c>
      <c r="T122" s="70" t="str">
        <f>IF($A122="","",ROUND(N(U121)*(1+'Calc base'!M145),2)-U122)</f>
        <v/>
      </c>
      <c r="U122" s="75" t="str">
        <f>IF($A122="","",CHOOSE('Calc riepilogo'!$B$2,'Calc valanga'!AY145,'Calc palla di neve'!AY145,'Calc personalizzata'!AY145))</f>
        <v/>
      </c>
      <c r="V122" s="70" t="str">
        <f>IF($A122="","",ROUND(N(W121)*(1+'Calc base'!N145),2)-W122)</f>
        <v/>
      </c>
      <c r="W122" s="75" t="str">
        <f>IF($A122="","",CHOOSE('Calc riepilogo'!$B$2,'Calc valanga'!AZ145,'Calc palla di neve'!AZ145,'Calc personalizzata'!AZ145))</f>
        <v/>
      </c>
      <c r="X122" s="70" t="str">
        <f>IF($A122="","",ROUND(N(Y121)*(1+'Calc base'!O145),2)-Y122)</f>
        <v/>
      </c>
      <c r="Y122" s="75" t="str">
        <f>IF($A122="","",CHOOSE('Calc riepilogo'!$B$2,'Calc valanga'!BA145,'Calc palla di neve'!BA145,'Calc personalizzata'!BA145))</f>
        <v/>
      </c>
      <c r="Z122" s="70" t="str">
        <f>IF($A122="","",ROUND(N(AA121)*(1+'Calc base'!P145),2)-AA122)</f>
        <v/>
      </c>
      <c r="AA122" s="75" t="str">
        <f>IF($A122="","",CHOOSE('Calc riepilogo'!$B$2,'Calc valanga'!BB145,'Calc palla di neve'!BB145,'Calc personalizzata'!BB145))</f>
        <v/>
      </c>
      <c r="AB122" s="70" t="str">
        <f>IF($A122="","",ROUND(N(AC121)*(1+'Calc base'!Q145),2)-AC122)</f>
        <v/>
      </c>
      <c r="AC122" s="75" t="str">
        <f>IF($A122="","",CHOOSE('Calc riepilogo'!$B$2,'Calc valanga'!BC145,'Calc palla di neve'!BC145,'Calc personalizzata'!BC145))</f>
        <v/>
      </c>
      <c r="AD122" s="70" t="str">
        <f>IF($A122="","",ROUND(N(AE121)*(1+'Calc base'!R145),2)-AE122)</f>
        <v/>
      </c>
      <c r="AE122" s="75" t="str">
        <f>IF($A122="","",CHOOSE('Calc riepilogo'!$B$2,'Calc valanga'!BD145,'Calc palla di neve'!BD145,'Calc personalizzata'!BD145))</f>
        <v/>
      </c>
      <c r="AF122" s="70" t="str">
        <f>IF($A122="","",ROUND(N(AG121)*(1+'Calc base'!S145),2)-AG122)</f>
        <v/>
      </c>
      <c r="AG122" s="75" t="str">
        <f>IF($A122="","",CHOOSE('Calc riepilogo'!$B$2,'Calc valanga'!BE145,'Calc palla di neve'!BE145,'Calc personalizzata'!BE145))</f>
        <v/>
      </c>
      <c r="AI122" t="n">
        <v>115</v>
      </c>
    </row>
    <row r="123">
      <c r="A123" s="68" t="str">
        <f>IF(116&gt;'Calc riepilogo'!$B$7,"",'Calc base'!$B146)</f>
        <v/>
      </c>
      <c r="B123" s="69" t="str">
        <f>IF($A123="","",'Calc base'!$C146)</f>
        <v/>
      </c>
      <c r="C123" s="69" t="str">
        <f>IF($A123="","",'Calc base'!$E146)</f>
        <v/>
      </c>
      <c r="D123" s="70" t="str">
        <f>IF($A123="","",J123+L123+N123+P123+R123+T123+V123+X123+Z123+AB123+AD123+AF123)</f>
        <v/>
      </c>
      <c r="E123" s="70" t="str">
        <f>IF($A123="","",CHOOSE('Calc riepilogo'!$B$2,'Calc valanga'!$H146,'Calc palla di neve'!$H146,'Calc personalizzata'!$H146))</f>
        <v/>
      </c>
      <c r="F123" s="71" t="str">
        <f>IF($A123="","",CHOOSE('Calc riepilogo'!$B$2,'Calc valanga'!$G146,'Calc palla di neve'!$G146,'Calc personalizzata'!$G146))</f>
        <v/>
      </c>
      <c r="G123" s="72" t="n"/>
      <c r="H123" s="73" t="n"/>
      <c r="I123" s="74" t="str">
        <f>IF($A123="","",TRIM(IF(AND(N(K122)&gt;0,N(K123)&lt;=0.004),"✓ "&amp;'Calc base'!C$6&amp;"   ","")&amp;IF(AND(N(M122)&gt;0,N(M123)&lt;=0.004),"✓ "&amp;'Calc base'!D$6&amp;"   ","")&amp;IF(AND(N(O122)&gt;0,N(O123)&lt;=0.004),"✓ "&amp;'Calc base'!E$6&amp;"   ","")&amp;IF(AND(N(Q122)&gt;0,N(Q123)&lt;=0.004),"✓ "&amp;'Calc base'!F$6&amp;"   ","")&amp;IF(AND(N(S122)&gt;0,N(S123)&lt;=0.004),"✓ "&amp;'Calc base'!G$6&amp;"   ","")&amp;IF(AND(N(U122)&gt;0,N(U123)&lt;=0.004),"✓ "&amp;'Calc base'!H$6&amp;"   ","")&amp;IF(AND(N(W122)&gt;0,N(W123)&lt;=0.004),"✓ "&amp;'Calc base'!I$6&amp;"   ","")&amp;IF(AND(N(Y122)&gt;0,N(Y123)&lt;=0.004),"✓ "&amp;'Calc base'!J$6&amp;"   ","")&amp;IF(AND(N(AA122)&gt;0,N(AA123)&lt;=0.004),"✓ "&amp;'Calc base'!K$6&amp;"   ","")&amp;IF(AND(N(AC122)&gt;0,N(AC123)&lt;=0.004),"✓ "&amp;'Calc base'!L$6&amp;"   ","")&amp;IF(AND(N(AE122)&gt;0,N(AE123)&lt;=0.004),"✓ "&amp;'Calc base'!M$6&amp;"   ","")&amp;IF(AND(N(AG122)&gt;0,N(AG123)&lt;=0.004),"✓ "&amp;'Calc base'!N$6&amp;"   ","")))</f>
        <v/>
      </c>
      <c r="J123" s="70" t="str">
        <f>IF($A123="","",ROUND(N(K122)*(1+'Calc base'!H146),2)-K123)</f>
        <v/>
      </c>
      <c r="K123" s="75" t="str">
        <f>IF($A123="","",CHOOSE('Calc riepilogo'!$B$2,'Calc valanga'!AT146,'Calc palla di neve'!AT146,'Calc personalizzata'!AT146))</f>
        <v/>
      </c>
      <c r="L123" s="70" t="str">
        <f>IF($A123="","",ROUND(N(M122)*(1+'Calc base'!I146),2)-M123)</f>
        <v/>
      </c>
      <c r="M123" s="75" t="str">
        <f>IF($A123="","",CHOOSE('Calc riepilogo'!$B$2,'Calc valanga'!AU146,'Calc palla di neve'!AU146,'Calc personalizzata'!AU146))</f>
        <v/>
      </c>
      <c r="N123" s="70" t="str">
        <f>IF($A123="","",ROUND(N(O122)*(1+'Calc base'!J146),2)-O123)</f>
        <v/>
      </c>
      <c r="O123" s="75" t="str">
        <f>IF($A123="","",CHOOSE('Calc riepilogo'!$B$2,'Calc valanga'!AV146,'Calc palla di neve'!AV146,'Calc personalizzata'!AV146))</f>
        <v/>
      </c>
      <c r="P123" s="70" t="str">
        <f>IF($A123="","",ROUND(N(Q122)*(1+'Calc base'!K146),2)-Q123)</f>
        <v/>
      </c>
      <c r="Q123" s="75" t="str">
        <f>IF($A123="","",CHOOSE('Calc riepilogo'!$B$2,'Calc valanga'!AW146,'Calc palla di neve'!AW146,'Calc personalizzata'!AW146))</f>
        <v/>
      </c>
      <c r="R123" s="70" t="str">
        <f>IF($A123="","",ROUND(N(S122)*(1+'Calc base'!L146),2)-S123)</f>
        <v/>
      </c>
      <c r="S123" s="75" t="str">
        <f>IF($A123="","",CHOOSE('Calc riepilogo'!$B$2,'Calc valanga'!AX146,'Calc palla di neve'!AX146,'Calc personalizzata'!AX146))</f>
        <v/>
      </c>
      <c r="T123" s="70" t="str">
        <f>IF($A123="","",ROUND(N(U122)*(1+'Calc base'!M146),2)-U123)</f>
        <v/>
      </c>
      <c r="U123" s="75" t="str">
        <f>IF($A123="","",CHOOSE('Calc riepilogo'!$B$2,'Calc valanga'!AY146,'Calc palla di neve'!AY146,'Calc personalizzata'!AY146))</f>
        <v/>
      </c>
      <c r="V123" s="70" t="str">
        <f>IF($A123="","",ROUND(N(W122)*(1+'Calc base'!N146),2)-W123)</f>
        <v/>
      </c>
      <c r="W123" s="75" t="str">
        <f>IF($A123="","",CHOOSE('Calc riepilogo'!$B$2,'Calc valanga'!AZ146,'Calc palla di neve'!AZ146,'Calc personalizzata'!AZ146))</f>
        <v/>
      </c>
      <c r="X123" s="70" t="str">
        <f>IF($A123="","",ROUND(N(Y122)*(1+'Calc base'!O146),2)-Y123)</f>
        <v/>
      </c>
      <c r="Y123" s="75" t="str">
        <f>IF($A123="","",CHOOSE('Calc riepilogo'!$B$2,'Calc valanga'!BA146,'Calc palla di neve'!BA146,'Calc personalizzata'!BA146))</f>
        <v/>
      </c>
      <c r="Z123" s="70" t="str">
        <f>IF($A123="","",ROUND(N(AA122)*(1+'Calc base'!P146),2)-AA123)</f>
        <v/>
      </c>
      <c r="AA123" s="75" t="str">
        <f>IF($A123="","",CHOOSE('Calc riepilogo'!$B$2,'Calc valanga'!BB146,'Calc palla di neve'!BB146,'Calc personalizzata'!BB146))</f>
        <v/>
      </c>
      <c r="AB123" s="70" t="str">
        <f>IF($A123="","",ROUND(N(AC122)*(1+'Calc base'!Q146),2)-AC123)</f>
        <v/>
      </c>
      <c r="AC123" s="75" t="str">
        <f>IF($A123="","",CHOOSE('Calc riepilogo'!$B$2,'Calc valanga'!BC146,'Calc palla di neve'!BC146,'Calc personalizzata'!BC146))</f>
        <v/>
      </c>
      <c r="AD123" s="70" t="str">
        <f>IF($A123="","",ROUND(N(AE122)*(1+'Calc base'!R146),2)-AE123)</f>
        <v/>
      </c>
      <c r="AE123" s="75" t="str">
        <f>IF($A123="","",CHOOSE('Calc riepilogo'!$B$2,'Calc valanga'!BD146,'Calc palla di neve'!BD146,'Calc personalizzata'!BD146))</f>
        <v/>
      </c>
      <c r="AF123" s="70" t="str">
        <f>IF($A123="","",ROUND(N(AG122)*(1+'Calc base'!S146),2)-AG123)</f>
        <v/>
      </c>
      <c r="AG123" s="75" t="str">
        <f>IF($A123="","",CHOOSE('Calc riepilogo'!$B$2,'Calc valanga'!BE146,'Calc palla di neve'!BE146,'Calc personalizzata'!BE146))</f>
        <v/>
      </c>
      <c r="AI123" t="n">
        <v>116</v>
      </c>
    </row>
    <row r="124">
      <c r="A124" s="68" t="str">
        <f>IF(117&gt;'Calc riepilogo'!$B$7,"",'Calc base'!$B147)</f>
        <v/>
      </c>
      <c r="B124" s="69" t="str">
        <f>IF($A124="","",'Calc base'!$C147)</f>
        <v/>
      </c>
      <c r="C124" s="69" t="str">
        <f>IF($A124="","",'Calc base'!$E147)</f>
        <v/>
      </c>
      <c r="D124" s="70" t="str">
        <f>IF($A124="","",J124+L124+N124+P124+R124+T124+V124+X124+Z124+AB124+AD124+AF124)</f>
        <v/>
      </c>
      <c r="E124" s="70" t="str">
        <f>IF($A124="","",CHOOSE('Calc riepilogo'!$B$2,'Calc valanga'!$H147,'Calc palla di neve'!$H147,'Calc personalizzata'!$H147))</f>
        <v/>
      </c>
      <c r="F124" s="71" t="str">
        <f>IF($A124="","",CHOOSE('Calc riepilogo'!$B$2,'Calc valanga'!$G147,'Calc palla di neve'!$G147,'Calc personalizzata'!$G147))</f>
        <v/>
      </c>
      <c r="G124" s="72" t="n"/>
      <c r="H124" s="73" t="n"/>
      <c r="I124" s="74" t="str">
        <f>IF($A124="","",TRIM(IF(AND(N(K123)&gt;0,N(K124)&lt;=0.004),"✓ "&amp;'Calc base'!C$6&amp;"   ","")&amp;IF(AND(N(M123)&gt;0,N(M124)&lt;=0.004),"✓ "&amp;'Calc base'!D$6&amp;"   ","")&amp;IF(AND(N(O123)&gt;0,N(O124)&lt;=0.004),"✓ "&amp;'Calc base'!E$6&amp;"   ","")&amp;IF(AND(N(Q123)&gt;0,N(Q124)&lt;=0.004),"✓ "&amp;'Calc base'!F$6&amp;"   ","")&amp;IF(AND(N(S123)&gt;0,N(S124)&lt;=0.004),"✓ "&amp;'Calc base'!G$6&amp;"   ","")&amp;IF(AND(N(U123)&gt;0,N(U124)&lt;=0.004),"✓ "&amp;'Calc base'!H$6&amp;"   ","")&amp;IF(AND(N(W123)&gt;0,N(W124)&lt;=0.004),"✓ "&amp;'Calc base'!I$6&amp;"   ","")&amp;IF(AND(N(Y123)&gt;0,N(Y124)&lt;=0.004),"✓ "&amp;'Calc base'!J$6&amp;"   ","")&amp;IF(AND(N(AA123)&gt;0,N(AA124)&lt;=0.004),"✓ "&amp;'Calc base'!K$6&amp;"   ","")&amp;IF(AND(N(AC123)&gt;0,N(AC124)&lt;=0.004),"✓ "&amp;'Calc base'!L$6&amp;"   ","")&amp;IF(AND(N(AE123)&gt;0,N(AE124)&lt;=0.004),"✓ "&amp;'Calc base'!M$6&amp;"   ","")&amp;IF(AND(N(AG123)&gt;0,N(AG124)&lt;=0.004),"✓ "&amp;'Calc base'!N$6&amp;"   ","")))</f>
        <v/>
      </c>
      <c r="J124" s="70" t="str">
        <f>IF($A124="","",ROUND(N(K123)*(1+'Calc base'!H147),2)-K124)</f>
        <v/>
      </c>
      <c r="K124" s="75" t="str">
        <f>IF($A124="","",CHOOSE('Calc riepilogo'!$B$2,'Calc valanga'!AT147,'Calc palla di neve'!AT147,'Calc personalizzata'!AT147))</f>
        <v/>
      </c>
      <c r="L124" s="70" t="str">
        <f>IF($A124="","",ROUND(N(M123)*(1+'Calc base'!I147),2)-M124)</f>
        <v/>
      </c>
      <c r="M124" s="75" t="str">
        <f>IF($A124="","",CHOOSE('Calc riepilogo'!$B$2,'Calc valanga'!AU147,'Calc palla di neve'!AU147,'Calc personalizzata'!AU147))</f>
        <v/>
      </c>
      <c r="N124" s="70" t="str">
        <f>IF($A124="","",ROUND(N(O123)*(1+'Calc base'!J147),2)-O124)</f>
        <v/>
      </c>
      <c r="O124" s="75" t="str">
        <f>IF($A124="","",CHOOSE('Calc riepilogo'!$B$2,'Calc valanga'!AV147,'Calc palla di neve'!AV147,'Calc personalizzata'!AV147))</f>
        <v/>
      </c>
      <c r="P124" s="70" t="str">
        <f>IF($A124="","",ROUND(N(Q123)*(1+'Calc base'!K147),2)-Q124)</f>
        <v/>
      </c>
      <c r="Q124" s="75" t="str">
        <f>IF($A124="","",CHOOSE('Calc riepilogo'!$B$2,'Calc valanga'!AW147,'Calc palla di neve'!AW147,'Calc personalizzata'!AW147))</f>
        <v/>
      </c>
      <c r="R124" s="70" t="str">
        <f>IF($A124="","",ROUND(N(S123)*(1+'Calc base'!L147),2)-S124)</f>
        <v/>
      </c>
      <c r="S124" s="75" t="str">
        <f>IF($A124="","",CHOOSE('Calc riepilogo'!$B$2,'Calc valanga'!AX147,'Calc palla di neve'!AX147,'Calc personalizzata'!AX147))</f>
        <v/>
      </c>
      <c r="T124" s="70" t="str">
        <f>IF($A124="","",ROUND(N(U123)*(1+'Calc base'!M147),2)-U124)</f>
        <v/>
      </c>
      <c r="U124" s="75" t="str">
        <f>IF($A124="","",CHOOSE('Calc riepilogo'!$B$2,'Calc valanga'!AY147,'Calc palla di neve'!AY147,'Calc personalizzata'!AY147))</f>
        <v/>
      </c>
      <c r="V124" s="70" t="str">
        <f>IF($A124="","",ROUND(N(W123)*(1+'Calc base'!N147),2)-W124)</f>
        <v/>
      </c>
      <c r="W124" s="75" t="str">
        <f>IF($A124="","",CHOOSE('Calc riepilogo'!$B$2,'Calc valanga'!AZ147,'Calc palla di neve'!AZ147,'Calc personalizzata'!AZ147))</f>
        <v/>
      </c>
      <c r="X124" s="70" t="str">
        <f>IF($A124="","",ROUND(N(Y123)*(1+'Calc base'!O147),2)-Y124)</f>
        <v/>
      </c>
      <c r="Y124" s="75" t="str">
        <f>IF($A124="","",CHOOSE('Calc riepilogo'!$B$2,'Calc valanga'!BA147,'Calc palla di neve'!BA147,'Calc personalizzata'!BA147))</f>
        <v/>
      </c>
      <c r="Z124" s="70" t="str">
        <f>IF($A124="","",ROUND(N(AA123)*(1+'Calc base'!P147),2)-AA124)</f>
        <v/>
      </c>
      <c r="AA124" s="75" t="str">
        <f>IF($A124="","",CHOOSE('Calc riepilogo'!$B$2,'Calc valanga'!BB147,'Calc palla di neve'!BB147,'Calc personalizzata'!BB147))</f>
        <v/>
      </c>
      <c r="AB124" s="70" t="str">
        <f>IF($A124="","",ROUND(N(AC123)*(1+'Calc base'!Q147),2)-AC124)</f>
        <v/>
      </c>
      <c r="AC124" s="75" t="str">
        <f>IF($A124="","",CHOOSE('Calc riepilogo'!$B$2,'Calc valanga'!BC147,'Calc palla di neve'!BC147,'Calc personalizzata'!BC147))</f>
        <v/>
      </c>
      <c r="AD124" s="70" t="str">
        <f>IF($A124="","",ROUND(N(AE123)*(1+'Calc base'!R147),2)-AE124)</f>
        <v/>
      </c>
      <c r="AE124" s="75" t="str">
        <f>IF($A124="","",CHOOSE('Calc riepilogo'!$B$2,'Calc valanga'!BD147,'Calc palla di neve'!BD147,'Calc personalizzata'!BD147))</f>
        <v/>
      </c>
      <c r="AF124" s="70" t="str">
        <f>IF($A124="","",ROUND(N(AG123)*(1+'Calc base'!S147),2)-AG124)</f>
        <v/>
      </c>
      <c r="AG124" s="75" t="str">
        <f>IF($A124="","",CHOOSE('Calc riepilogo'!$B$2,'Calc valanga'!BE147,'Calc palla di neve'!BE147,'Calc personalizzata'!BE147))</f>
        <v/>
      </c>
      <c r="AI124" t="n">
        <v>117</v>
      </c>
    </row>
    <row r="125">
      <c r="A125" s="68" t="str">
        <f>IF(118&gt;'Calc riepilogo'!$B$7,"",'Calc base'!$B148)</f>
        <v/>
      </c>
      <c r="B125" s="69" t="str">
        <f>IF($A125="","",'Calc base'!$C148)</f>
        <v/>
      </c>
      <c r="C125" s="69" t="str">
        <f>IF($A125="","",'Calc base'!$E148)</f>
        <v/>
      </c>
      <c r="D125" s="70" t="str">
        <f>IF($A125="","",J125+L125+N125+P125+R125+T125+V125+X125+Z125+AB125+AD125+AF125)</f>
        <v/>
      </c>
      <c r="E125" s="70" t="str">
        <f>IF($A125="","",CHOOSE('Calc riepilogo'!$B$2,'Calc valanga'!$H148,'Calc palla di neve'!$H148,'Calc personalizzata'!$H148))</f>
        <v/>
      </c>
      <c r="F125" s="71" t="str">
        <f>IF($A125="","",CHOOSE('Calc riepilogo'!$B$2,'Calc valanga'!$G148,'Calc palla di neve'!$G148,'Calc personalizzata'!$G148))</f>
        <v/>
      </c>
      <c r="G125" s="72" t="n"/>
      <c r="H125" s="73" t="n"/>
      <c r="I125" s="74" t="str">
        <f>IF($A125="","",TRIM(IF(AND(N(K124)&gt;0,N(K125)&lt;=0.004),"✓ "&amp;'Calc base'!C$6&amp;"   ","")&amp;IF(AND(N(M124)&gt;0,N(M125)&lt;=0.004),"✓ "&amp;'Calc base'!D$6&amp;"   ","")&amp;IF(AND(N(O124)&gt;0,N(O125)&lt;=0.004),"✓ "&amp;'Calc base'!E$6&amp;"   ","")&amp;IF(AND(N(Q124)&gt;0,N(Q125)&lt;=0.004),"✓ "&amp;'Calc base'!F$6&amp;"   ","")&amp;IF(AND(N(S124)&gt;0,N(S125)&lt;=0.004),"✓ "&amp;'Calc base'!G$6&amp;"   ","")&amp;IF(AND(N(U124)&gt;0,N(U125)&lt;=0.004),"✓ "&amp;'Calc base'!H$6&amp;"   ","")&amp;IF(AND(N(W124)&gt;0,N(W125)&lt;=0.004),"✓ "&amp;'Calc base'!I$6&amp;"   ","")&amp;IF(AND(N(Y124)&gt;0,N(Y125)&lt;=0.004),"✓ "&amp;'Calc base'!J$6&amp;"   ","")&amp;IF(AND(N(AA124)&gt;0,N(AA125)&lt;=0.004),"✓ "&amp;'Calc base'!K$6&amp;"   ","")&amp;IF(AND(N(AC124)&gt;0,N(AC125)&lt;=0.004),"✓ "&amp;'Calc base'!L$6&amp;"   ","")&amp;IF(AND(N(AE124)&gt;0,N(AE125)&lt;=0.004),"✓ "&amp;'Calc base'!M$6&amp;"   ","")&amp;IF(AND(N(AG124)&gt;0,N(AG125)&lt;=0.004),"✓ "&amp;'Calc base'!N$6&amp;"   ","")))</f>
        <v/>
      </c>
      <c r="J125" s="70" t="str">
        <f>IF($A125="","",ROUND(N(K124)*(1+'Calc base'!H148),2)-K125)</f>
        <v/>
      </c>
      <c r="K125" s="75" t="str">
        <f>IF($A125="","",CHOOSE('Calc riepilogo'!$B$2,'Calc valanga'!AT148,'Calc palla di neve'!AT148,'Calc personalizzata'!AT148))</f>
        <v/>
      </c>
      <c r="L125" s="70" t="str">
        <f>IF($A125="","",ROUND(N(M124)*(1+'Calc base'!I148),2)-M125)</f>
        <v/>
      </c>
      <c r="M125" s="75" t="str">
        <f>IF($A125="","",CHOOSE('Calc riepilogo'!$B$2,'Calc valanga'!AU148,'Calc palla di neve'!AU148,'Calc personalizzata'!AU148))</f>
        <v/>
      </c>
      <c r="N125" s="70" t="str">
        <f>IF($A125="","",ROUND(N(O124)*(1+'Calc base'!J148),2)-O125)</f>
        <v/>
      </c>
      <c r="O125" s="75" t="str">
        <f>IF($A125="","",CHOOSE('Calc riepilogo'!$B$2,'Calc valanga'!AV148,'Calc palla di neve'!AV148,'Calc personalizzata'!AV148))</f>
        <v/>
      </c>
      <c r="P125" s="70" t="str">
        <f>IF($A125="","",ROUND(N(Q124)*(1+'Calc base'!K148),2)-Q125)</f>
        <v/>
      </c>
      <c r="Q125" s="75" t="str">
        <f>IF($A125="","",CHOOSE('Calc riepilogo'!$B$2,'Calc valanga'!AW148,'Calc palla di neve'!AW148,'Calc personalizzata'!AW148))</f>
        <v/>
      </c>
      <c r="R125" s="70" t="str">
        <f>IF($A125="","",ROUND(N(S124)*(1+'Calc base'!L148),2)-S125)</f>
        <v/>
      </c>
      <c r="S125" s="75" t="str">
        <f>IF($A125="","",CHOOSE('Calc riepilogo'!$B$2,'Calc valanga'!AX148,'Calc palla di neve'!AX148,'Calc personalizzata'!AX148))</f>
        <v/>
      </c>
      <c r="T125" s="70" t="str">
        <f>IF($A125="","",ROUND(N(U124)*(1+'Calc base'!M148),2)-U125)</f>
        <v/>
      </c>
      <c r="U125" s="75" t="str">
        <f>IF($A125="","",CHOOSE('Calc riepilogo'!$B$2,'Calc valanga'!AY148,'Calc palla di neve'!AY148,'Calc personalizzata'!AY148))</f>
        <v/>
      </c>
      <c r="V125" s="70" t="str">
        <f>IF($A125="","",ROUND(N(W124)*(1+'Calc base'!N148),2)-W125)</f>
        <v/>
      </c>
      <c r="W125" s="75" t="str">
        <f>IF($A125="","",CHOOSE('Calc riepilogo'!$B$2,'Calc valanga'!AZ148,'Calc palla di neve'!AZ148,'Calc personalizzata'!AZ148))</f>
        <v/>
      </c>
      <c r="X125" s="70" t="str">
        <f>IF($A125="","",ROUND(N(Y124)*(1+'Calc base'!O148),2)-Y125)</f>
        <v/>
      </c>
      <c r="Y125" s="75" t="str">
        <f>IF($A125="","",CHOOSE('Calc riepilogo'!$B$2,'Calc valanga'!BA148,'Calc palla di neve'!BA148,'Calc personalizzata'!BA148))</f>
        <v/>
      </c>
      <c r="Z125" s="70" t="str">
        <f>IF($A125="","",ROUND(N(AA124)*(1+'Calc base'!P148),2)-AA125)</f>
        <v/>
      </c>
      <c r="AA125" s="75" t="str">
        <f>IF($A125="","",CHOOSE('Calc riepilogo'!$B$2,'Calc valanga'!BB148,'Calc palla di neve'!BB148,'Calc personalizzata'!BB148))</f>
        <v/>
      </c>
      <c r="AB125" s="70" t="str">
        <f>IF($A125="","",ROUND(N(AC124)*(1+'Calc base'!Q148),2)-AC125)</f>
        <v/>
      </c>
      <c r="AC125" s="75" t="str">
        <f>IF($A125="","",CHOOSE('Calc riepilogo'!$B$2,'Calc valanga'!BC148,'Calc palla di neve'!BC148,'Calc personalizzata'!BC148))</f>
        <v/>
      </c>
      <c r="AD125" s="70" t="str">
        <f>IF($A125="","",ROUND(N(AE124)*(1+'Calc base'!R148),2)-AE125)</f>
        <v/>
      </c>
      <c r="AE125" s="75" t="str">
        <f>IF($A125="","",CHOOSE('Calc riepilogo'!$B$2,'Calc valanga'!BD148,'Calc palla di neve'!BD148,'Calc personalizzata'!BD148))</f>
        <v/>
      </c>
      <c r="AF125" s="70" t="str">
        <f>IF($A125="","",ROUND(N(AG124)*(1+'Calc base'!S148),2)-AG125)</f>
        <v/>
      </c>
      <c r="AG125" s="75" t="str">
        <f>IF($A125="","",CHOOSE('Calc riepilogo'!$B$2,'Calc valanga'!BE148,'Calc palla di neve'!BE148,'Calc personalizzata'!BE148))</f>
        <v/>
      </c>
      <c r="AI125" t="n">
        <v>118</v>
      </c>
    </row>
    <row r="126">
      <c r="A126" s="68" t="str">
        <f>IF(119&gt;'Calc riepilogo'!$B$7,"",'Calc base'!$B149)</f>
        <v/>
      </c>
      <c r="B126" s="69" t="str">
        <f>IF($A126="","",'Calc base'!$C149)</f>
        <v/>
      </c>
      <c r="C126" s="69" t="str">
        <f>IF($A126="","",'Calc base'!$E149)</f>
        <v/>
      </c>
      <c r="D126" s="70" t="str">
        <f>IF($A126="","",J126+L126+N126+P126+R126+T126+V126+X126+Z126+AB126+AD126+AF126)</f>
        <v/>
      </c>
      <c r="E126" s="70" t="str">
        <f>IF($A126="","",CHOOSE('Calc riepilogo'!$B$2,'Calc valanga'!$H149,'Calc palla di neve'!$H149,'Calc personalizzata'!$H149))</f>
        <v/>
      </c>
      <c r="F126" s="71" t="str">
        <f>IF($A126="","",CHOOSE('Calc riepilogo'!$B$2,'Calc valanga'!$G149,'Calc palla di neve'!$G149,'Calc personalizzata'!$G149))</f>
        <v/>
      </c>
      <c r="G126" s="72" t="n"/>
      <c r="H126" s="73" t="n"/>
      <c r="I126" s="74" t="str">
        <f>IF($A126="","",TRIM(IF(AND(N(K125)&gt;0,N(K126)&lt;=0.004),"✓ "&amp;'Calc base'!C$6&amp;"   ","")&amp;IF(AND(N(M125)&gt;0,N(M126)&lt;=0.004),"✓ "&amp;'Calc base'!D$6&amp;"   ","")&amp;IF(AND(N(O125)&gt;0,N(O126)&lt;=0.004),"✓ "&amp;'Calc base'!E$6&amp;"   ","")&amp;IF(AND(N(Q125)&gt;0,N(Q126)&lt;=0.004),"✓ "&amp;'Calc base'!F$6&amp;"   ","")&amp;IF(AND(N(S125)&gt;0,N(S126)&lt;=0.004),"✓ "&amp;'Calc base'!G$6&amp;"   ","")&amp;IF(AND(N(U125)&gt;0,N(U126)&lt;=0.004),"✓ "&amp;'Calc base'!H$6&amp;"   ","")&amp;IF(AND(N(W125)&gt;0,N(W126)&lt;=0.004),"✓ "&amp;'Calc base'!I$6&amp;"   ","")&amp;IF(AND(N(Y125)&gt;0,N(Y126)&lt;=0.004),"✓ "&amp;'Calc base'!J$6&amp;"   ","")&amp;IF(AND(N(AA125)&gt;0,N(AA126)&lt;=0.004),"✓ "&amp;'Calc base'!K$6&amp;"   ","")&amp;IF(AND(N(AC125)&gt;0,N(AC126)&lt;=0.004),"✓ "&amp;'Calc base'!L$6&amp;"   ","")&amp;IF(AND(N(AE125)&gt;0,N(AE126)&lt;=0.004),"✓ "&amp;'Calc base'!M$6&amp;"   ","")&amp;IF(AND(N(AG125)&gt;0,N(AG126)&lt;=0.004),"✓ "&amp;'Calc base'!N$6&amp;"   ","")))</f>
        <v/>
      </c>
      <c r="J126" s="70" t="str">
        <f>IF($A126="","",ROUND(N(K125)*(1+'Calc base'!H149),2)-K126)</f>
        <v/>
      </c>
      <c r="K126" s="75" t="str">
        <f>IF($A126="","",CHOOSE('Calc riepilogo'!$B$2,'Calc valanga'!AT149,'Calc palla di neve'!AT149,'Calc personalizzata'!AT149))</f>
        <v/>
      </c>
      <c r="L126" s="70" t="str">
        <f>IF($A126="","",ROUND(N(M125)*(1+'Calc base'!I149),2)-M126)</f>
        <v/>
      </c>
      <c r="M126" s="75" t="str">
        <f>IF($A126="","",CHOOSE('Calc riepilogo'!$B$2,'Calc valanga'!AU149,'Calc palla di neve'!AU149,'Calc personalizzata'!AU149))</f>
        <v/>
      </c>
      <c r="N126" s="70" t="str">
        <f>IF($A126="","",ROUND(N(O125)*(1+'Calc base'!J149),2)-O126)</f>
        <v/>
      </c>
      <c r="O126" s="75" t="str">
        <f>IF($A126="","",CHOOSE('Calc riepilogo'!$B$2,'Calc valanga'!AV149,'Calc palla di neve'!AV149,'Calc personalizzata'!AV149))</f>
        <v/>
      </c>
      <c r="P126" s="70" t="str">
        <f>IF($A126="","",ROUND(N(Q125)*(1+'Calc base'!K149),2)-Q126)</f>
        <v/>
      </c>
      <c r="Q126" s="75" t="str">
        <f>IF($A126="","",CHOOSE('Calc riepilogo'!$B$2,'Calc valanga'!AW149,'Calc palla di neve'!AW149,'Calc personalizzata'!AW149))</f>
        <v/>
      </c>
      <c r="R126" s="70" t="str">
        <f>IF($A126="","",ROUND(N(S125)*(1+'Calc base'!L149),2)-S126)</f>
        <v/>
      </c>
      <c r="S126" s="75" t="str">
        <f>IF($A126="","",CHOOSE('Calc riepilogo'!$B$2,'Calc valanga'!AX149,'Calc palla di neve'!AX149,'Calc personalizzata'!AX149))</f>
        <v/>
      </c>
      <c r="T126" s="70" t="str">
        <f>IF($A126="","",ROUND(N(U125)*(1+'Calc base'!M149),2)-U126)</f>
        <v/>
      </c>
      <c r="U126" s="75" t="str">
        <f>IF($A126="","",CHOOSE('Calc riepilogo'!$B$2,'Calc valanga'!AY149,'Calc palla di neve'!AY149,'Calc personalizzata'!AY149))</f>
        <v/>
      </c>
      <c r="V126" s="70" t="str">
        <f>IF($A126="","",ROUND(N(W125)*(1+'Calc base'!N149),2)-W126)</f>
        <v/>
      </c>
      <c r="W126" s="75" t="str">
        <f>IF($A126="","",CHOOSE('Calc riepilogo'!$B$2,'Calc valanga'!AZ149,'Calc palla di neve'!AZ149,'Calc personalizzata'!AZ149))</f>
        <v/>
      </c>
      <c r="X126" s="70" t="str">
        <f>IF($A126="","",ROUND(N(Y125)*(1+'Calc base'!O149),2)-Y126)</f>
        <v/>
      </c>
      <c r="Y126" s="75" t="str">
        <f>IF($A126="","",CHOOSE('Calc riepilogo'!$B$2,'Calc valanga'!BA149,'Calc palla di neve'!BA149,'Calc personalizzata'!BA149))</f>
        <v/>
      </c>
      <c r="Z126" s="70" t="str">
        <f>IF($A126="","",ROUND(N(AA125)*(1+'Calc base'!P149),2)-AA126)</f>
        <v/>
      </c>
      <c r="AA126" s="75" t="str">
        <f>IF($A126="","",CHOOSE('Calc riepilogo'!$B$2,'Calc valanga'!BB149,'Calc palla di neve'!BB149,'Calc personalizzata'!BB149))</f>
        <v/>
      </c>
      <c r="AB126" s="70" t="str">
        <f>IF($A126="","",ROUND(N(AC125)*(1+'Calc base'!Q149),2)-AC126)</f>
        <v/>
      </c>
      <c r="AC126" s="75" t="str">
        <f>IF($A126="","",CHOOSE('Calc riepilogo'!$B$2,'Calc valanga'!BC149,'Calc palla di neve'!BC149,'Calc personalizzata'!BC149))</f>
        <v/>
      </c>
      <c r="AD126" s="70" t="str">
        <f>IF($A126="","",ROUND(N(AE125)*(1+'Calc base'!R149),2)-AE126)</f>
        <v/>
      </c>
      <c r="AE126" s="75" t="str">
        <f>IF($A126="","",CHOOSE('Calc riepilogo'!$B$2,'Calc valanga'!BD149,'Calc palla di neve'!BD149,'Calc personalizzata'!BD149))</f>
        <v/>
      </c>
      <c r="AF126" s="70" t="str">
        <f>IF($A126="","",ROUND(N(AG125)*(1+'Calc base'!S149),2)-AG126)</f>
        <v/>
      </c>
      <c r="AG126" s="75" t="str">
        <f>IF($A126="","",CHOOSE('Calc riepilogo'!$B$2,'Calc valanga'!BE149,'Calc palla di neve'!BE149,'Calc personalizzata'!BE149))</f>
        <v/>
      </c>
      <c r="AI126" t="n">
        <v>119</v>
      </c>
    </row>
    <row r="127">
      <c r="A127" s="68" t="str">
        <f>IF(120&gt;'Calc riepilogo'!$B$7,"",'Calc base'!$B150)</f>
        <v/>
      </c>
      <c r="B127" s="69" t="str">
        <f>IF($A127="","",'Calc base'!$C150)</f>
        <v/>
      </c>
      <c r="C127" s="69" t="str">
        <f>IF($A127="","",'Calc base'!$E150)</f>
        <v/>
      </c>
      <c r="D127" s="70" t="str">
        <f>IF($A127="","",J127+L127+N127+P127+R127+T127+V127+X127+Z127+AB127+AD127+AF127)</f>
        <v/>
      </c>
      <c r="E127" s="70" t="str">
        <f>IF($A127="","",CHOOSE('Calc riepilogo'!$B$2,'Calc valanga'!$H150,'Calc palla di neve'!$H150,'Calc personalizzata'!$H150))</f>
        <v/>
      </c>
      <c r="F127" s="71" t="str">
        <f>IF($A127="","",CHOOSE('Calc riepilogo'!$B$2,'Calc valanga'!$G150,'Calc palla di neve'!$G150,'Calc personalizzata'!$G150))</f>
        <v/>
      </c>
      <c r="G127" s="72" t="n"/>
      <c r="H127" s="73" t="n"/>
      <c r="I127" s="74" t="str">
        <f>IF($A127="","",TRIM(IF(AND(N(K126)&gt;0,N(K127)&lt;=0.004),"✓ "&amp;'Calc base'!C$6&amp;"   ","")&amp;IF(AND(N(M126)&gt;0,N(M127)&lt;=0.004),"✓ "&amp;'Calc base'!D$6&amp;"   ","")&amp;IF(AND(N(O126)&gt;0,N(O127)&lt;=0.004),"✓ "&amp;'Calc base'!E$6&amp;"   ","")&amp;IF(AND(N(Q126)&gt;0,N(Q127)&lt;=0.004),"✓ "&amp;'Calc base'!F$6&amp;"   ","")&amp;IF(AND(N(S126)&gt;0,N(S127)&lt;=0.004),"✓ "&amp;'Calc base'!G$6&amp;"   ","")&amp;IF(AND(N(U126)&gt;0,N(U127)&lt;=0.004),"✓ "&amp;'Calc base'!H$6&amp;"   ","")&amp;IF(AND(N(W126)&gt;0,N(W127)&lt;=0.004),"✓ "&amp;'Calc base'!I$6&amp;"   ","")&amp;IF(AND(N(Y126)&gt;0,N(Y127)&lt;=0.004),"✓ "&amp;'Calc base'!J$6&amp;"   ","")&amp;IF(AND(N(AA126)&gt;0,N(AA127)&lt;=0.004),"✓ "&amp;'Calc base'!K$6&amp;"   ","")&amp;IF(AND(N(AC126)&gt;0,N(AC127)&lt;=0.004),"✓ "&amp;'Calc base'!L$6&amp;"   ","")&amp;IF(AND(N(AE126)&gt;0,N(AE127)&lt;=0.004),"✓ "&amp;'Calc base'!M$6&amp;"   ","")&amp;IF(AND(N(AG126)&gt;0,N(AG127)&lt;=0.004),"✓ "&amp;'Calc base'!N$6&amp;"   ","")))</f>
        <v/>
      </c>
      <c r="J127" s="70" t="str">
        <f>IF($A127="","",ROUND(N(K126)*(1+'Calc base'!H150),2)-K127)</f>
        <v/>
      </c>
      <c r="K127" s="75" t="str">
        <f>IF($A127="","",CHOOSE('Calc riepilogo'!$B$2,'Calc valanga'!AT150,'Calc palla di neve'!AT150,'Calc personalizzata'!AT150))</f>
        <v/>
      </c>
      <c r="L127" s="70" t="str">
        <f>IF($A127="","",ROUND(N(M126)*(1+'Calc base'!I150),2)-M127)</f>
        <v/>
      </c>
      <c r="M127" s="75" t="str">
        <f>IF($A127="","",CHOOSE('Calc riepilogo'!$B$2,'Calc valanga'!AU150,'Calc palla di neve'!AU150,'Calc personalizzata'!AU150))</f>
        <v/>
      </c>
      <c r="N127" s="70" t="str">
        <f>IF($A127="","",ROUND(N(O126)*(1+'Calc base'!J150),2)-O127)</f>
        <v/>
      </c>
      <c r="O127" s="75" t="str">
        <f>IF($A127="","",CHOOSE('Calc riepilogo'!$B$2,'Calc valanga'!AV150,'Calc palla di neve'!AV150,'Calc personalizzata'!AV150))</f>
        <v/>
      </c>
      <c r="P127" s="70" t="str">
        <f>IF($A127="","",ROUND(N(Q126)*(1+'Calc base'!K150),2)-Q127)</f>
        <v/>
      </c>
      <c r="Q127" s="75" t="str">
        <f>IF($A127="","",CHOOSE('Calc riepilogo'!$B$2,'Calc valanga'!AW150,'Calc palla di neve'!AW150,'Calc personalizzata'!AW150))</f>
        <v/>
      </c>
      <c r="R127" s="70" t="str">
        <f>IF($A127="","",ROUND(N(S126)*(1+'Calc base'!L150),2)-S127)</f>
        <v/>
      </c>
      <c r="S127" s="75" t="str">
        <f>IF($A127="","",CHOOSE('Calc riepilogo'!$B$2,'Calc valanga'!AX150,'Calc palla di neve'!AX150,'Calc personalizzata'!AX150))</f>
        <v/>
      </c>
      <c r="T127" s="70" t="str">
        <f>IF($A127="","",ROUND(N(U126)*(1+'Calc base'!M150),2)-U127)</f>
        <v/>
      </c>
      <c r="U127" s="75" t="str">
        <f>IF($A127="","",CHOOSE('Calc riepilogo'!$B$2,'Calc valanga'!AY150,'Calc palla di neve'!AY150,'Calc personalizzata'!AY150))</f>
        <v/>
      </c>
      <c r="V127" s="70" t="str">
        <f>IF($A127="","",ROUND(N(W126)*(1+'Calc base'!N150),2)-W127)</f>
        <v/>
      </c>
      <c r="W127" s="75" t="str">
        <f>IF($A127="","",CHOOSE('Calc riepilogo'!$B$2,'Calc valanga'!AZ150,'Calc palla di neve'!AZ150,'Calc personalizzata'!AZ150))</f>
        <v/>
      </c>
      <c r="X127" s="70" t="str">
        <f>IF($A127="","",ROUND(N(Y126)*(1+'Calc base'!O150),2)-Y127)</f>
        <v/>
      </c>
      <c r="Y127" s="75" t="str">
        <f>IF($A127="","",CHOOSE('Calc riepilogo'!$B$2,'Calc valanga'!BA150,'Calc palla di neve'!BA150,'Calc personalizzata'!BA150))</f>
        <v/>
      </c>
      <c r="Z127" s="70" t="str">
        <f>IF($A127="","",ROUND(N(AA126)*(1+'Calc base'!P150),2)-AA127)</f>
        <v/>
      </c>
      <c r="AA127" s="75" t="str">
        <f>IF($A127="","",CHOOSE('Calc riepilogo'!$B$2,'Calc valanga'!BB150,'Calc palla di neve'!BB150,'Calc personalizzata'!BB150))</f>
        <v/>
      </c>
      <c r="AB127" s="70" t="str">
        <f>IF($A127="","",ROUND(N(AC126)*(1+'Calc base'!Q150),2)-AC127)</f>
        <v/>
      </c>
      <c r="AC127" s="75" t="str">
        <f>IF($A127="","",CHOOSE('Calc riepilogo'!$B$2,'Calc valanga'!BC150,'Calc palla di neve'!BC150,'Calc personalizzata'!BC150))</f>
        <v/>
      </c>
      <c r="AD127" s="70" t="str">
        <f>IF($A127="","",ROUND(N(AE126)*(1+'Calc base'!R150),2)-AE127)</f>
        <v/>
      </c>
      <c r="AE127" s="75" t="str">
        <f>IF($A127="","",CHOOSE('Calc riepilogo'!$B$2,'Calc valanga'!BD150,'Calc palla di neve'!BD150,'Calc personalizzata'!BD150))</f>
        <v/>
      </c>
      <c r="AF127" s="70" t="str">
        <f>IF($A127="","",ROUND(N(AG126)*(1+'Calc base'!S150),2)-AG127)</f>
        <v/>
      </c>
      <c r="AG127" s="75" t="str">
        <f>IF($A127="","",CHOOSE('Calc riepilogo'!$B$2,'Calc valanga'!BE150,'Calc palla di neve'!BE150,'Calc personalizzata'!BE150))</f>
        <v/>
      </c>
      <c r="AI127" t="n">
        <v>120</v>
      </c>
    </row>
    <row r="128">
      <c r="A128" s="68" t="str">
        <f>IF(121&gt;'Calc riepilogo'!$B$7,"",'Calc base'!$B151)</f>
        <v/>
      </c>
      <c r="B128" s="69" t="str">
        <f>IF($A128="","",'Calc base'!$C151)</f>
        <v/>
      </c>
      <c r="C128" s="69" t="str">
        <f>IF($A128="","",'Calc base'!$E151)</f>
        <v/>
      </c>
      <c r="D128" s="70" t="str">
        <f>IF($A128="","",J128+L128+N128+P128+R128+T128+V128+X128+Z128+AB128+AD128+AF128)</f>
        <v/>
      </c>
      <c r="E128" s="70" t="str">
        <f>IF($A128="","",CHOOSE('Calc riepilogo'!$B$2,'Calc valanga'!$H151,'Calc palla di neve'!$H151,'Calc personalizzata'!$H151))</f>
        <v/>
      </c>
      <c r="F128" s="71" t="str">
        <f>IF($A128="","",CHOOSE('Calc riepilogo'!$B$2,'Calc valanga'!$G151,'Calc palla di neve'!$G151,'Calc personalizzata'!$G151))</f>
        <v/>
      </c>
      <c r="G128" s="72" t="n"/>
      <c r="H128" s="73" t="n"/>
      <c r="I128" s="74" t="str">
        <f>IF($A128="","",TRIM(IF(AND(N(K127)&gt;0,N(K128)&lt;=0.004),"✓ "&amp;'Calc base'!C$6&amp;"   ","")&amp;IF(AND(N(M127)&gt;0,N(M128)&lt;=0.004),"✓ "&amp;'Calc base'!D$6&amp;"   ","")&amp;IF(AND(N(O127)&gt;0,N(O128)&lt;=0.004),"✓ "&amp;'Calc base'!E$6&amp;"   ","")&amp;IF(AND(N(Q127)&gt;0,N(Q128)&lt;=0.004),"✓ "&amp;'Calc base'!F$6&amp;"   ","")&amp;IF(AND(N(S127)&gt;0,N(S128)&lt;=0.004),"✓ "&amp;'Calc base'!G$6&amp;"   ","")&amp;IF(AND(N(U127)&gt;0,N(U128)&lt;=0.004),"✓ "&amp;'Calc base'!H$6&amp;"   ","")&amp;IF(AND(N(W127)&gt;0,N(W128)&lt;=0.004),"✓ "&amp;'Calc base'!I$6&amp;"   ","")&amp;IF(AND(N(Y127)&gt;0,N(Y128)&lt;=0.004),"✓ "&amp;'Calc base'!J$6&amp;"   ","")&amp;IF(AND(N(AA127)&gt;0,N(AA128)&lt;=0.004),"✓ "&amp;'Calc base'!K$6&amp;"   ","")&amp;IF(AND(N(AC127)&gt;0,N(AC128)&lt;=0.004),"✓ "&amp;'Calc base'!L$6&amp;"   ","")&amp;IF(AND(N(AE127)&gt;0,N(AE128)&lt;=0.004),"✓ "&amp;'Calc base'!M$6&amp;"   ","")&amp;IF(AND(N(AG127)&gt;0,N(AG128)&lt;=0.004),"✓ "&amp;'Calc base'!N$6&amp;"   ","")))</f>
        <v/>
      </c>
      <c r="J128" s="70" t="str">
        <f>IF($A128="","",ROUND(N(K127)*(1+'Calc base'!H151),2)-K128)</f>
        <v/>
      </c>
      <c r="K128" s="75" t="str">
        <f>IF($A128="","",CHOOSE('Calc riepilogo'!$B$2,'Calc valanga'!AT151,'Calc palla di neve'!AT151,'Calc personalizzata'!AT151))</f>
        <v/>
      </c>
      <c r="L128" s="70" t="str">
        <f>IF($A128="","",ROUND(N(M127)*(1+'Calc base'!I151),2)-M128)</f>
        <v/>
      </c>
      <c r="M128" s="75" t="str">
        <f>IF($A128="","",CHOOSE('Calc riepilogo'!$B$2,'Calc valanga'!AU151,'Calc palla di neve'!AU151,'Calc personalizzata'!AU151))</f>
        <v/>
      </c>
      <c r="N128" s="70" t="str">
        <f>IF($A128="","",ROUND(N(O127)*(1+'Calc base'!J151),2)-O128)</f>
        <v/>
      </c>
      <c r="O128" s="75" t="str">
        <f>IF($A128="","",CHOOSE('Calc riepilogo'!$B$2,'Calc valanga'!AV151,'Calc palla di neve'!AV151,'Calc personalizzata'!AV151))</f>
        <v/>
      </c>
      <c r="P128" s="70" t="str">
        <f>IF($A128="","",ROUND(N(Q127)*(1+'Calc base'!K151),2)-Q128)</f>
        <v/>
      </c>
      <c r="Q128" s="75" t="str">
        <f>IF($A128="","",CHOOSE('Calc riepilogo'!$B$2,'Calc valanga'!AW151,'Calc palla di neve'!AW151,'Calc personalizzata'!AW151))</f>
        <v/>
      </c>
      <c r="R128" s="70" t="str">
        <f>IF($A128="","",ROUND(N(S127)*(1+'Calc base'!L151),2)-S128)</f>
        <v/>
      </c>
      <c r="S128" s="75" t="str">
        <f>IF($A128="","",CHOOSE('Calc riepilogo'!$B$2,'Calc valanga'!AX151,'Calc palla di neve'!AX151,'Calc personalizzata'!AX151))</f>
        <v/>
      </c>
      <c r="T128" s="70" t="str">
        <f>IF($A128="","",ROUND(N(U127)*(1+'Calc base'!M151),2)-U128)</f>
        <v/>
      </c>
      <c r="U128" s="75" t="str">
        <f>IF($A128="","",CHOOSE('Calc riepilogo'!$B$2,'Calc valanga'!AY151,'Calc palla di neve'!AY151,'Calc personalizzata'!AY151))</f>
        <v/>
      </c>
      <c r="V128" s="70" t="str">
        <f>IF($A128="","",ROUND(N(W127)*(1+'Calc base'!N151),2)-W128)</f>
        <v/>
      </c>
      <c r="W128" s="75" t="str">
        <f>IF($A128="","",CHOOSE('Calc riepilogo'!$B$2,'Calc valanga'!AZ151,'Calc palla di neve'!AZ151,'Calc personalizzata'!AZ151))</f>
        <v/>
      </c>
      <c r="X128" s="70" t="str">
        <f>IF($A128="","",ROUND(N(Y127)*(1+'Calc base'!O151),2)-Y128)</f>
        <v/>
      </c>
      <c r="Y128" s="75" t="str">
        <f>IF($A128="","",CHOOSE('Calc riepilogo'!$B$2,'Calc valanga'!BA151,'Calc palla di neve'!BA151,'Calc personalizzata'!BA151))</f>
        <v/>
      </c>
      <c r="Z128" s="70" t="str">
        <f>IF($A128="","",ROUND(N(AA127)*(1+'Calc base'!P151),2)-AA128)</f>
        <v/>
      </c>
      <c r="AA128" s="75" t="str">
        <f>IF($A128="","",CHOOSE('Calc riepilogo'!$B$2,'Calc valanga'!BB151,'Calc palla di neve'!BB151,'Calc personalizzata'!BB151))</f>
        <v/>
      </c>
      <c r="AB128" s="70" t="str">
        <f>IF($A128="","",ROUND(N(AC127)*(1+'Calc base'!Q151),2)-AC128)</f>
        <v/>
      </c>
      <c r="AC128" s="75" t="str">
        <f>IF($A128="","",CHOOSE('Calc riepilogo'!$B$2,'Calc valanga'!BC151,'Calc palla di neve'!BC151,'Calc personalizzata'!BC151))</f>
        <v/>
      </c>
      <c r="AD128" s="70" t="str">
        <f>IF($A128="","",ROUND(N(AE127)*(1+'Calc base'!R151),2)-AE128)</f>
        <v/>
      </c>
      <c r="AE128" s="75" t="str">
        <f>IF($A128="","",CHOOSE('Calc riepilogo'!$B$2,'Calc valanga'!BD151,'Calc palla di neve'!BD151,'Calc personalizzata'!BD151))</f>
        <v/>
      </c>
      <c r="AF128" s="70" t="str">
        <f>IF($A128="","",ROUND(N(AG127)*(1+'Calc base'!S151),2)-AG128)</f>
        <v/>
      </c>
      <c r="AG128" s="75" t="str">
        <f>IF($A128="","",CHOOSE('Calc riepilogo'!$B$2,'Calc valanga'!BE151,'Calc palla di neve'!BE151,'Calc personalizzata'!BE151))</f>
        <v/>
      </c>
      <c r="AI128" t="n">
        <v>121</v>
      </c>
    </row>
    <row r="129">
      <c r="A129" s="68" t="str">
        <f>IF(122&gt;'Calc riepilogo'!$B$7,"",'Calc base'!$B152)</f>
        <v/>
      </c>
      <c r="B129" s="69" t="str">
        <f>IF($A129="","",'Calc base'!$C152)</f>
        <v/>
      </c>
      <c r="C129" s="69" t="str">
        <f>IF($A129="","",'Calc base'!$E152)</f>
        <v/>
      </c>
      <c r="D129" s="70" t="str">
        <f>IF($A129="","",J129+L129+N129+P129+R129+T129+V129+X129+Z129+AB129+AD129+AF129)</f>
        <v/>
      </c>
      <c r="E129" s="70" t="str">
        <f>IF($A129="","",CHOOSE('Calc riepilogo'!$B$2,'Calc valanga'!$H152,'Calc palla di neve'!$H152,'Calc personalizzata'!$H152))</f>
        <v/>
      </c>
      <c r="F129" s="71" t="str">
        <f>IF($A129="","",CHOOSE('Calc riepilogo'!$B$2,'Calc valanga'!$G152,'Calc palla di neve'!$G152,'Calc personalizzata'!$G152))</f>
        <v/>
      </c>
      <c r="G129" s="72" t="n"/>
      <c r="H129" s="73" t="n"/>
      <c r="I129" s="74" t="str">
        <f>IF($A129="","",TRIM(IF(AND(N(K128)&gt;0,N(K129)&lt;=0.004),"✓ "&amp;'Calc base'!C$6&amp;"   ","")&amp;IF(AND(N(M128)&gt;0,N(M129)&lt;=0.004),"✓ "&amp;'Calc base'!D$6&amp;"   ","")&amp;IF(AND(N(O128)&gt;0,N(O129)&lt;=0.004),"✓ "&amp;'Calc base'!E$6&amp;"   ","")&amp;IF(AND(N(Q128)&gt;0,N(Q129)&lt;=0.004),"✓ "&amp;'Calc base'!F$6&amp;"   ","")&amp;IF(AND(N(S128)&gt;0,N(S129)&lt;=0.004),"✓ "&amp;'Calc base'!G$6&amp;"   ","")&amp;IF(AND(N(U128)&gt;0,N(U129)&lt;=0.004),"✓ "&amp;'Calc base'!H$6&amp;"   ","")&amp;IF(AND(N(W128)&gt;0,N(W129)&lt;=0.004),"✓ "&amp;'Calc base'!I$6&amp;"   ","")&amp;IF(AND(N(Y128)&gt;0,N(Y129)&lt;=0.004),"✓ "&amp;'Calc base'!J$6&amp;"   ","")&amp;IF(AND(N(AA128)&gt;0,N(AA129)&lt;=0.004),"✓ "&amp;'Calc base'!K$6&amp;"   ","")&amp;IF(AND(N(AC128)&gt;0,N(AC129)&lt;=0.004),"✓ "&amp;'Calc base'!L$6&amp;"   ","")&amp;IF(AND(N(AE128)&gt;0,N(AE129)&lt;=0.004),"✓ "&amp;'Calc base'!M$6&amp;"   ","")&amp;IF(AND(N(AG128)&gt;0,N(AG129)&lt;=0.004),"✓ "&amp;'Calc base'!N$6&amp;"   ","")))</f>
        <v/>
      </c>
      <c r="J129" s="70" t="str">
        <f>IF($A129="","",ROUND(N(K128)*(1+'Calc base'!H152),2)-K129)</f>
        <v/>
      </c>
      <c r="K129" s="75" t="str">
        <f>IF($A129="","",CHOOSE('Calc riepilogo'!$B$2,'Calc valanga'!AT152,'Calc palla di neve'!AT152,'Calc personalizzata'!AT152))</f>
        <v/>
      </c>
      <c r="L129" s="70" t="str">
        <f>IF($A129="","",ROUND(N(M128)*(1+'Calc base'!I152),2)-M129)</f>
        <v/>
      </c>
      <c r="M129" s="75" t="str">
        <f>IF($A129="","",CHOOSE('Calc riepilogo'!$B$2,'Calc valanga'!AU152,'Calc palla di neve'!AU152,'Calc personalizzata'!AU152))</f>
        <v/>
      </c>
      <c r="N129" s="70" t="str">
        <f>IF($A129="","",ROUND(N(O128)*(1+'Calc base'!J152),2)-O129)</f>
        <v/>
      </c>
      <c r="O129" s="75" t="str">
        <f>IF($A129="","",CHOOSE('Calc riepilogo'!$B$2,'Calc valanga'!AV152,'Calc palla di neve'!AV152,'Calc personalizzata'!AV152))</f>
        <v/>
      </c>
      <c r="P129" s="70" t="str">
        <f>IF($A129="","",ROUND(N(Q128)*(1+'Calc base'!K152),2)-Q129)</f>
        <v/>
      </c>
      <c r="Q129" s="75" t="str">
        <f>IF($A129="","",CHOOSE('Calc riepilogo'!$B$2,'Calc valanga'!AW152,'Calc palla di neve'!AW152,'Calc personalizzata'!AW152))</f>
        <v/>
      </c>
      <c r="R129" s="70" t="str">
        <f>IF($A129="","",ROUND(N(S128)*(1+'Calc base'!L152),2)-S129)</f>
        <v/>
      </c>
      <c r="S129" s="75" t="str">
        <f>IF($A129="","",CHOOSE('Calc riepilogo'!$B$2,'Calc valanga'!AX152,'Calc palla di neve'!AX152,'Calc personalizzata'!AX152))</f>
        <v/>
      </c>
      <c r="T129" s="70" t="str">
        <f>IF($A129="","",ROUND(N(U128)*(1+'Calc base'!M152),2)-U129)</f>
        <v/>
      </c>
      <c r="U129" s="75" t="str">
        <f>IF($A129="","",CHOOSE('Calc riepilogo'!$B$2,'Calc valanga'!AY152,'Calc palla di neve'!AY152,'Calc personalizzata'!AY152))</f>
        <v/>
      </c>
      <c r="V129" s="70" t="str">
        <f>IF($A129="","",ROUND(N(W128)*(1+'Calc base'!N152),2)-W129)</f>
        <v/>
      </c>
      <c r="W129" s="75" t="str">
        <f>IF($A129="","",CHOOSE('Calc riepilogo'!$B$2,'Calc valanga'!AZ152,'Calc palla di neve'!AZ152,'Calc personalizzata'!AZ152))</f>
        <v/>
      </c>
      <c r="X129" s="70" t="str">
        <f>IF($A129="","",ROUND(N(Y128)*(1+'Calc base'!O152),2)-Y129)</f>
        <v/>
      </c>
      <c r="Y129" s="75" t="str">
        <f>IF($A129="","",CHOOSE('Calc riepilogo'!$B$2,'Calc valanga'!BA152,'Calc palla di neve'!BA152,'Calc personalizzata'!BA152))</f>
        <v/>
      </c>
      <c r="Z129" s="70" t="str">
        <f>IF($A129="","",ROUND(N(AA128)*(1+'Calc base'!P152),2)-AA129)</f>
        <v/>
      </c>
      <c r="AA129" s="75" t="str">
        <f>IF($A129="","",CHOOSE('Calc riepilogo'!$B$2,'Calc valanga'!BB152,'Calc palla di neve'!BB152,'Calc personalizzata'!BB152))</f>
        <v/>
      </c>
      <c r="AB129" s="70" t="str">
        <f>IF($A129="","",ROUND(N(AC128)*(1+'Calc base'!Q152),2)-AC129)</f>
        <v/>
      </c>
      <c r="AC129" s="75" t="str">
        <f>IF($A129="","",CHOOSE('Calc riepilogo'!$B$2,'Calc valanga'!BC152,'Calc palla di neve'!BC152,'Calc personalizzata'!BC152))</f>
        <v/>
      </c>
      <c r="AD129" s="70" t="str">
        <f>IF($A129="","",ROUND(N(AE128)*(1+'Calc base'!R152),2)-AE129)</f>
        <v/>
      </c>
      <c r="AE129" s="75" t="str">
        <f>IF($A129="","",CHOOSE('Calc riepilogo'!$B$2,'Calc valanga'!BD152,'Calc palla di neve'!BD152,'Calc personalizzata'!BD152))</f>
        <v/>
      </c>
      <c r="AF129" s="70" t="str">
        <f>IF($A129="","",ROUND(N(AG128)*(1+'Calc base'!S152),2)-AG129)</f>
        <v/>
      </c>
      <c r="AG129" s="75" t="str">
        <f>IF($A129="","",CHOOSE('Calc riepilogo'!$B$2,'Calc valanga'!BE152,'Calc palla di neve'!BE152,'Calc personalizzata'!BE152))</f>
        <v/>
      </c>
      <c r="AI129" t="n">
        <v>122</v>
      </c>
    </row>
    <row r="130">
      <c r="A130" s="68" t="str">
        <f>IF(123&gt;'Calc riepilogo'!$B$7,"",'Calc base'!$B153)</f>
        <v/>
      </c>
      <c r="B130" s="69" t="str">
        <f>IF($A130="","",'Calc base'!$C153)</f>
        <v/>
      </c>
      <c r="C130" s="69" t="str">
        <f>IF($A130="","",'Calc base'!$E153)</f>
        <v/>
      </c>
      <c r="D130" s="70" t="str">
        <f>IF($A130="","",J130+L130+N130+P130+R130+T130+V130+X130+Z130+AB130+AD130+AF130)</f>
        <v/>
      </c>
      <c r="E130" s="70" t="str">
        <f>IF($A130="","",CHOOSE('Calc riepilogo'!$B$2,'Calc valanga'!$H153,'Calc palla di neve'!$H153,'Calc personalizzata'!$H153))</f>
        <v/>
      </c>
      <c r="F130" s="71" t="str">
        <f>IF($A130="","",CHOOSE('Calc riepilogo'!$B$2,'Calc valanga'!$G153,'Calc palla di neve'!$G153,'Calc personalizzata'!$G153))</f>
        <v/>
      </c>
      <c r="G130" s="72" t="n"/>
      <c r="H130" s="73" t="n"/>
      <c r="I130" s="74" t="str">
        <f>IF($A130="","",TRIM(IF(AND(N(K129)&gt;0,N(K130)&lt;=0.004),"✓ "&amp;'Calc base'!C$6&amp;"   ","")&amp;IF(AND(N(M129)&gt;0,N(M130)&lt;=0.004),"✓ "&amp;'Calc base'!D$6&amp;"   ","")&amp;IF(AND(N(O129)&gt;0,N(O130)&lt;=0.004),"✓ "&amp;'Calc base'!E$6&amp;"   ","")&amp;IF(AND(N(Q129)&gt;0,N(Q130)&lt;=0.004),"✓ "&amp;'Calc base'!F$6&amp;"   ","")&amp;IF(AND(N(S129)&gt;0,N(S130)&lt;=0.004),"✓ "&amp;'Calc base'!G$6&amp;"   ","")&amp;IF(AND(N(U129)&gt;0,N(U130)&lt;=0.004),"✓ "&amp;'Calc base'!H$6&amp;"   ","")&amp;IF(AND(N(W129)&gt;0,N(W130)&lt;=0.004),"✓ "&amp;'Calc base'!I$6&amp;"   ","")&amp;IF(AND(N(Y129)&gt;0,N(Y130)&lt;=0.004),"✓ "&amp;'Calc base'!J$6&amp;"   ","")&amp;IF(AND(N(AA129)&gt;0,N(AA130)&lt;=0.004),"✓ "&amp;'Calc base'!K$6&amp;"   ","")&amp;IF(AND(N(AC129)&gt;0,N(AC130)&lt;=0.004),"✓ "&amp;'Calc base'!L$6&amp;"   ","")&amp;IF(AND(N(AE129)&gt;0,N(AE130)&lt;=0.004),"✓ "&amp;'Calc base'!M$6&amp;"   ","")&amp;IF(AND(N(AG129)&gt;0,N(AG130)&lt;=0.004),"✓ "&amp;'Calc base'!N$6&amp;"   ","")))</f>
        <v/>
      </c>
      <c r="J130" s="70" t="str">
        <f>IF($A130="","",ROUND(N(K129)*(1+'Calc base'!H153),2)-K130)</f>
        <v/>
      </c>
      <c r="K130" s="75" t="str">
        <f>IF($A130="","",CHOOSE('Calc riepilogo'!$B$2,'Calc valanga'!AT153,'Calc palla di neve'!AT153,'Calc personalizzata'!AT153))</f>
        <v/>
      </c>
      <c r="L130" s="70" t="str">
        <f>IF($A130="","",ROUND(N(M129)*(1+'Calc base'!I153),2)-M130)</f>
        <v/>
      </c>
      <c r="M130" s="75" t="str">
        <f>IF($A130="","",CHOOSE('Calc riepilogo'!$B$2,'Calc valanga'!AU153,'Calc palla di neve'!AU153,'Calc personalizzata'!AU153))</f>
        <v/>
      </c>
      <c r="N130" s="70" t="str">
        <f>IF($A130="","",ROUND(N(O129)*(1+'Calc base'!J153),2)-O130)</f>
        <v/>
      </c>
      <c r="O130" s="75" t="str">
        <f>IF($A130="","",CHOOSE('Calc riepilogo'!$B$2,'Calc valanga'!AV153,'Calc palla di neve'!AV153,'Calc personalizzata'!AV153))</f>
        <v/>
      </c>
      <c r="P130" s="70" t="str">
        <f>IF($A130="","",ROUND(N(Q129)*(1+'Calc base'!K153),2)-Q130)</f>
        <v/>
      </c>
      <c r="Q130" s="75" t="str">
        <f>IF($A130="","",CHOOSE('Calc riepilogo'!$B$2,'Calc valanga'!AW153,'Calc palla di neve'!AW153,'Calc personalizzata'!AW153))</f>
        <v/>
      </c>
      <c r="R130" s="70" t="str">
        <f>IF($A130="","",ROUND(N(S129)*(1+'Calc base'!L153),2)-S130)</f>
        <v/>
      </c>
      <c r="S130" s="75" t="str">
        <f>IF($A130="","",CHOOSE('Calc riepilogo'!$B$2,'Calc valanga'!AX153,'Calc palla di neve'!AX153,'Calc personalizzata'!AX153))</f>
        <v/>
      </c>
      <c r="T130" s="70" t="str">
        <f>IF($A130="","",ROUND(N(U129)*(1+'Calc base'!M153),2)-U130)</f>
        <v/>
      </c>
      <c r="U130" s="75" t="str">
        <f>IF($A130="","",CHOOSE('Calc riepilogo'!$B$2,'Calc valanga'!AY153,'Calc palla di neve'!AY153,'Calc personalizzata'!AY153))</f>
        <v/>
      </c>
      <c r="V130" s="70" t="str">
        <f>IF($A130="","",ROUND(N(W129)*(1+'Calc base'!N153),2)-W130)</f>
        <v/>
      </c>
      <c r="W130" s="75" t="str">
        <f>IF($A130="","",CHOOSE('Calc riepilogo'!$B$2,'Calc valanga'!AZ153,'Calc palla di neve'!AZ153,'Calc personalizzata'!AZ153))</f>
        <v/>
      </c>
      <c r="X130" s="70" t="str">
        <f>IF($A130="","",ROUND(N(Y129)*(1+'Calc base'!O153),2)-Y130)</f>
        <v/>
      </c>
      <c r="Y130" s="75" t="str">
        <f>IF($A130="","",CHOOSE('Calc riepilogo'!$B$2,'Calc valanga'!BA153,'Calc palla di neve'!BA153,'Calc personalizzata'!BA153))</f>
        <v/>
      </c>
      <c r="Z130" s="70" t="str">
        <f>IF($A130="","",ROUND(N(AA129)*(1+'Calc base'!P153),2)-AA130)</f>
        <v/>
      </c>
      <c r="AA130" s="75" t="str">
        <f>IF($A130="","",CHOOSE('Calc riepilogo'!$B$2,'Calc valanga'!BB153,'Calc palla di neve'!BB153,'Calc personalizzata'!BB153))</f>
        <v/>
      </c>
      <c r="AB130" s="70" t="str">
        <f>IF($A130="","",ROUND(N(AC129)*(1+'Calc base'!Q153),2)-AC130)</f>
        <v/>
      </c>
      <c r="AC130" s="75" t="str">
        <f>IF($A130="","",CHOOSE('Calc riepilogo'!$B$2,'Calc valanga'!BC153,'Calc palla di neve'!BC153,'Calc personalizzata'!BC153))</f>
        <v/>
      </c>
      <c r="AD130" s="70" t="str">
        <f>IF($A130="","",ROUND(N(AE129)*(1+'Calc base'!R153),2)-AE130)</f>
        <v/>
      </c>
      <c r="AE130" s="75" t="str">
        <f>IF($A130="","",CHOOSE('Calc riepilogo'!$B$2,'Calc valanga'!BD153,'Calc palla di neve'!BD153,'Calc personalizzata'!BD153))</f>
        <v/>
      </c>
      <c r="AF130" s="70" t="str">
        <f>IF($A130="","",ROUND(N(AG129)*(1+'Calc base'!S153),2)-AG130)</f>
        <v/>
      </c>
      <c r="AG130" s="75" t="str">
        <f>IF($A130="","",CHOOSE('Calc riepilogo'!$B$2,'Calc valanga'!BE153,'Calc palla di neve'!BE153,'Calc personalizzata'!BE153))</f>
        <v/>
      </c>
      <c r="AI130" t="n">
        <v>123</v>
      </c>
    </row>
    <row r="131">
      <c r="A131" s="68" t="str">
        <f>IF(124&gt;'Calc riepilogo'!$B$7,"",'Calc base'!$B154)</f>
        <v/>
      </c>
      <c r="B131" s="69" t="str">
        <f>IF($A131="","",'Calc base'!$C154)</f>
        <v/>
      </c>
      <c r="C131" s="69" t="str">
        <f>IF($A131="","",'Calc base'!$E154)</f>
        <v/>
      </c>
      <c r="D131" s="70" t="str">
        <f>IF($A131="","",J131+L131+N131+P131+R131+T131+V131+X131+Z131+AB131+AD131+AF131)</f>
        <v/>
      </c>
      <c r="E131" s="70" t="str">
        <f>IF($A131="","",CHOOSE('Calc riepilogo'!$B$2,'Calc valanga'!$H154,'Calc palla di neve'!$H154,'Calc personalizzata'!$H154))</f>
        <v/>
      </c>
      <c r="F131" s="71" t="str">
        <f>IF($A131="","",CHOOSE('Calc riepilogo'!$B$2,'Calc valanga'!$G154,'Calc palla di neve'!$G154,'Calc personalizzata'!$G154))</f>
        <v/>
      </c>
      <c r="G131" s="72" t="n"/>
      <c r="H131" s="73" t="n"/>
      <c r="I131" s="74" t="str">
        <f>IF($A131="","",TRIM(IF(AND(N(K130)&gt;0,N(K131)&lt;=0.004),"✓ "&amp;'Calc base'!C$6&amp;"   ","")&amp;IF(AND(N(M130)&gt;0,N(M131)&lt;=0.004),"✓ "&amp;'Calc base'!D$6&amp;"   ","")&amp;IF(AND(N(O130)&gt;0,N(O131)&lt;=0.004),"✓ "&amp;'Calc base'!E$6&amp;"   ","")&amp;IF(AND(N(Q130)&gt;0,N(Q131)&lt;=0.004),"✓ "&amp;'Calc base'!F$6&amp;"   ","")&amp;IF(AND(N(S130)&gt;0,N(S131)&lt;=0.004),"✓ "&amp;'Calc base'!G$6&amp;"   ","")&amp;IF(AND(N(U130)&gt;0,N(U131)&lt;=0.004),"✓ "&amp;'Calc base'!H$6&amp;"   ","")&amp;IF(AND(N(W130)&gt;0,N(W131)&lt;=0.004),"✓ "&amp;'Calc base'!I$6&amp;"   ","")&amp;IF(AND(N(Y130)&gt;0,N(Y131)&lt;=0.004),"✓ "&amp;'Calc base'!J$6&amp;"   ","")&amp;IF(AND(N(AA130)&gt;0,N(AA131)&lt;=0.004),"✓ "&amp;'Calc base'!K$6&amp;"   ","")&amp;IF(AND(N(AC130)&gt;0,N(AC131)&lt;=0.004),"✓ "&amp;'Calc base'!L$6&amp;"   ","")&amp;IF(AND(N(AE130)&gt;0,N(AE131)&lt;=0.004),"✓ "&amp;'Calc base'!M$6&amp;"   ","")&amp;IF(AND(N(AG130)&gt;0,N(AG131)&lt;=0.004),"✓ "&amp;'Calc base'!N$6&amp;"   ","")))</f>
        <v/>
      </c>
      <c r="J131" s="70" t="str">
        <f>IF($A131="","",ROUND(N(K130)*(1+'Calc base'!H154),2)-K131)</f>
        <v/>
      </c>
      <c r="K131" s="75" t="str">
        <f>IF($A131="","",CHOOSE('Calc riepilogo'!$B$2,'Calc valanga'!AT154,'Calc palla di neve'!AT154,'Calc personalizzata'!AT154))</f>
        <v/>
      </c>
      <c r="L131" s="70" t="str">
        <f>IF($A131="","",ROUND(N(M130)*(1+'Calc base'!I154),2)-M131)</f>
        <v/>
      </c>
      <c r="M131" s="75" t="str">
        <f>IF($A131="","",CHOOSE('Calc riepilogo'!$B$2,'Calc valanga'!AU154,'Calc palla di neve'!AU154,'Calc personalizzata'!AU154))</f>
        <v/>
      </c>
      <c r="N131" s="70" t="str">
        <f>IF($A131="","",ROUND(N(O130)*(1+'Calc base'!J154),2)-O131)</f>
        <v/>
      </c>
      <c r="O131" s="75" t="str">
        <f>IF($A131="","",CHOOSE('Calc riepilogo'!$B$2,'Calc valanga'!AV154,'Calc palla di neve'!AV154,'Calc personalizzata'!AV154))</f>
        <v/>
      </c>
      <c r="P131" s="70" t="str">
        <f>IF($A131="","",ROUND(N(Q130)*(1+'Calc base'!K154),2)-Q131)</f>
        <v/>
      </c>
      <c r="Q131" s="75" t="str">
        <f>IF($A131="","",CHOOSE('Calc riepilogo'!$B$2,'Calc valanga'!AW154,'Calc palla di neve'!AW154,'Calc personalizzata'!AW154))</f>
        <v/>
      </c>
      <c r="R131" s="70" t="str">
        <f>IF($A131="","",ROUND(N(S130)*(1+'Calc base'!L154),2)-S131)</f>
        <v/>
      </c>
      <c r="S131" s="75" t="str">
        <f>IF($A131="","",CHOOSE('Calc riepilogo'!$B$2,'Calc valanga'!AX154,'Calc palla di neve'!AX154,'Calc personalizzata'!AX154))</f>
        <v/>
      </c>
      <c r="T131" s="70" t="str">
        <f>IF($A131="","",ROUND(N(U130)*(1+'Calc base'!M154),2)-U131)</f>
        <v/>
      </c>
      <c r="U131" s="75" t="str">
        <f>IF($A131="","",CHOOSE('Calc riepilogo'!$B$2,'Calc valanga'!AY154,'Calc palla di neve'!AY154,'Calc personalizzata'!AY154))</f>
        <v/>
      </c>
      <c r="V131" s="70" t="str">
        <f>IF($A131="","",ROUND(N(W130)*(1+'Calc base'!N154),2)-W131)</f>
        <v/>
      </c>
      <c r="W131" s="75" t="str">
        <f>IF($A131="","",CHOOSE('Calc riepilogo'!$B$2,'Calc valanga'!AZ154,'Calc palla di neve'!AZ154,'Calc personalizzata'!AZ154))</f>
        <v/>
      </c>
      <c r="X131" s="70" t="str">
        <f>IF($A131="","",ROUND(N(Y130)*(1+'Calc base'!O154),2)-Y131)</f>
        <v/>
      </c>
      <c r="Y131" s="75" t="str">
        <f>IF($A131="","",CHOOSE('Calc riepilogo'!$B$2,'Calc valanga'!BA154,'Calc palla di neve'!BA154,'Calc personalizzata'!BA154))</f>
        <v/>
      </c>
      <c r="Z131" s="70" t="str">
        <f>IF($A131="","",ROUND(N(AA130)*(1+'Calc base'!P154),2)-AA131)</f>
        <v/>
      </c>
      <c r="AA131" s="75" t="str">
        <f>IF($A131="","",CHOOSE('Calc riepilogo'!$B$2,'Calc valanga'!BB154,'Calc palla di neve'!BB154,'Calc personalizzata'!BB154))</f>
        <v/>
      </c>
      <c r="AB131" s="70" t="str">
        <f>IF($A131="","",ROUND(N(AC130)*(1+'Calc base'!Q154),2)-AC131)</f>
        <v/>
      </c>
      <c r="AC131" s="75" t="str">
        <f>IF($A131="","",CHOOSE('Calc riepilogo'!$B$2,'Calc valanga'!BC154,'Calc palla di neve'!BC154,'Calc personalizzata'!BC154))</f>
        <v/>
      </c>
      <c r="AD131" s="70" t="str">
        <f>IF($A131="","",ROUND(N(AE130)*(1+'Calc base'!R154),2)-AE131)</f>
        <v/>
      </c>
      <c r="AE131" s="75" t="str">
        <f>IF($A131="","",CHOOSE('Calc riepilogo'!$B$2,'Calc valanga'!BD154,'Calc palla di neve'!BD154,'Calc personalizzata'!BD154))</f>
        <v/>
      </c>
      <c r="AF131" s="70" t="str">
        <f>IF($A131="","",ROUND(N(AG130)*(1+'Calc base'!S154),2)-AG131)</f>
        <v/>
      </c>
      <c r="AG131" s="75" t="str">
        <f>IF($A131="","",CHOOSE('Calc riepilogo'!$B$2,'Calc valanga'!BE154,'Calc palla di neve'!BE154,'Calc personalizzata'!BE154))</f>
        <v/>
      </c>
      <c r="AI131" t="n">
        <v>124</v>
      </c>
    </row>
    <row r="132">
      <c r="A132" s="68" t="str">
        <f>IF(125&gt;'Calc riepilogo'!$B$7,"",'Calc base'!$B155)</f>
        <v/>
      </c>
      <c r="B132" s="69" t="str">
        <f>IF($A132="","",'Calc base'!$C155)</f>
        <v/>
      </c>
      <c r="C132" s="69" t="str">
        <f>IF($A132="","",'Calc base'!$E155)</f>
        <v/>
      </c>
      <c r="D132" s="70" t="str">
        <f>IF($A132="","",J132+L132+N132+P132+R132+T132+V132+X132+Z132+AB132+AD132+AF132)</f>
        <v/>
      </c>
      <c r="E132" s="70" t="str">
        <f>IF($A132="","",CHOOSE('Calc riepilogo'!$B$2,'Calc valanga'!$H155,'Calc palla di neve'!$H155,'Calc personalizzata'!$H155))</f>
        <v/>
      </c>
      <c r="F132" s="71" t="str">
        <f>IF($A132="","",CHOOSE('Calc riepilogo'!$B$2,'Calc valanga'!$G155,'Calc palla di neve'!$G155,'Calc personalizzata'!$G155))</f>
        <v/>
      </c>
      <c r="G132" s="72" t="n"/>
      <c r="H132" s="73" t="n"/>
      <c r="I132" s="74" t="str">
        <f>IF($A132="","",TRIM(IF(AND(N(K131)&gt;0,N(K132)&lt;=0.004),"✓ "&amp;'Calc base'!C$6&amp;"   ","")&amp;IF(AND(N(M131)&gt;0,N(M132)&lt;=0.004),"✓ "&amp;'Calc base'!D$6&amp;"   ","")&amp;IF(AND(N(O131)&gt;0,N(O132)&lt;=0.004),"✓ "&amp;'Calc base'!E$6&amp;"   ","")&amp;IF(AND(N(Q131)&gt;0,N(Q132)&lt;=0.004),"✓ "&amp;'Calc base'!F$6&amp;"   ","")&amp;IF(AND(N(S131)&gt;0,N(S132)&lt;=0.004),"✓ "&amp;'Calc base'!G$6&amp;"   ","")&amp;IF(AND(N(U131)&gt;0,N(U132)&lt;=0.004),"✓ "&amp;'Calc base'!H$6&amp;"   ","")&amp;IF(AND(N(W131)&gt;0,N(W132)&lt;=0.004),"✓ "&amp;'Calc base'!I$6&amp;"   ","")&amp;IF(AND(N(Y131)&gt;0,N(Y132)&lt;=0.004),"✓ "&amp;'Calc base'!J$6&amp;"   ","")&amp;IF(AND(N(AA131)&gt;0,N(AA132)&lt;=0.004),"✓ "&amp;'Calc base'!K$6&amp;"   ","")&amp;IF(AND(N(AC131)&gt;0,N(AC132)&lt;=0.004),"✓ "&amp;'Calc base'!L$6&amp;"   ","")&amp;IF(AND(N(AE131)&gt;0,N(AE132)&lt;=0.004),"✓ "&amp;'Calc base'!M$6&amp;"   ","")&amp;IF(AND(N(AG131)&gt;0,N(AG132)&lt;=0.004),"✓ "&amp;'Calc base'!N$6&amp;"   ","")))</f>
        <v/>
      </c>
      <c r="J132" s="70" t="str">
        <f>IF($A132="","",ROUND(N(K131)*(1+'Calc base'!H155),2)-K132)</f>
        <v/>
      </c>
      <c r="K132" s="75" t="str">
        <f>IF($A132="","",CHOOSE('Calc riepilogo'!$B$2,'Calc valanga'!AT155,'Calc palla di neve'!AT155,'Calc personalizzata'!AT155))</f>
        <v/>
      </c>
      <c r="L132" s="70" t="str">
        <f>IF($A132="","",ROUND(N(M131)*(1+'Calc base'!I155),2)-M132)</f>
        <v/>
      </c>
      <c r="M132" s="75" t="str">
        <f>IF($A132="","",CHOOSE('Calc riepilogo'!$B$2,'Calc valanga'!AU155,'Calc palla di neve'!AU155,'Calc personalizzata'!AU155))</f>
        <v/>
      </c>
      <c r="N132" s="70" t="str">
        <f>IF($A132="","",ROUND(N(O131)*(1+'Calc base'!J155),2)-O132)</f>
        <v/>
      </c>
      <c r="O132" s="75" t="str">
        <f>IF($A132="","",CHOOSE('Calc riepilogo'!$B$2,'Calc valanga'!AV155,'Calc palla di neve'!AV155,'Calc personalizzata'!AV155))</f>
        <v/>
      </c>
      <c r="P132" s="70" t="str">
        <f>IF($A132="","",ROUND(N(Q131)*(1+'Calc base'!K155),2)-Q132)</f>
        <v/>
      </c>
      <c r="Q132" s="75" t="str">
        <f>IF($A132="","",CHOOSE('Calc riepilogo'!$B$2,'Calc valanga'!AW155,'Calc palla di neve'!AW155,'Calc personalizzata'!AW155))</f>
        <v/>
      </c>
      <c r="R132" s="70" t="str">
        <f>IF($A132="","",ROUND(N(S131)*(1+'Calc base'!L155),2)-S132)</f>
        <v/>
      </c>
      <c r="S132" s="75" t="str">
        <f>IF($A132="","",CHOOSE('Calc riepilogo'!$B$2,'Calc valanga'!AX155,'Calc palla di neve'!AX155,'Calc personalizzata'!AX155))</f>
        <v/>
      </c>
      <c r="T132" s="70" t="str">
        <f>IF($A132="","",ROUND(N(U131)*(1+'Calc base'!M155),2)-U132)</f>
        <v/>
      </c>
      <c r="U132" s="75" t="str">
        <f>IF($A132="","",CHOOSE('Calc riepilogo'!$B$2,'Calc valanga'!AY155,'Calc palla di neve'!AY155,'Calc personalizzata'!AY155))</f>
        <v/>
      </c>
      <c r="V132" s="70" t="str">
        <f>IF($A132="","",ROUND(N(W131)*(1+'Calc base'!N155),2)-W132)</f>
        <v/>
      </c>
      <c r="W132" s="75" t="str">
        <f>IF($A132="","",CHOOSE('Calc riepilogo'!$B$2,'Calc valanga'!AZ155,'Calc palla di neve'!AZ155,'Calc personalizzata'!AZ155))</f>
        <v/>
      </c>
      <c r="X132" s="70" t="str">
        <f>IF($A132="","",ROUND(N(Y131)*(1+'Calc base'!O155),2)-Y132)</f>
        <v/>
      </c>
      <c r="Y132" s="75" t="str">
        <f>IF($A132="","",CHOOSE('Calc riepilogo'!$B$2,'Calc valanga'!BA155,'Calc palla di neve'!BA155,'Calc personalizzata'!BA155))</f>
        <v/>
      </c>
      <c r="Z132" s="70" t="str">
        <f>IF($A132="","",ROUND(N(AA131)*(1+'Calc base'!P155),2)-AA132)</f>
        <v/>
      </c>
      <c r="AA132" s="75" t="str">
        <f>IF($A132="","",CHOOSE('Calc riepilogo'!$B$2,'Calc valanga'!BB155,'Calc palla di neve'!BB155,'Calc personalizzata'!BB155))</f>
        <v/>
      </c>
      <c r="AB132" s="70" t="str">
        <f>IF($A132="","",ROUND(N(AC131)*(1+'Calc base'!Q155),2)-AC132)</f>
        <v/>
      </c>
      <c r="AC132" s="75" t="str">
        <f>IF($A132="","",CHOOSE('Calc riepilogo'!$B$2,'Calc valanga'!BC155,'Calc palla di neve'!BC155,'Calc personalizzata'!BC155))</f>
        <v/>
      </c>
      <c r="AD132" s="70" t="str">
        <f>IF($A132="","",ROUND(N(AE131)*(1+'Calc base'!R155),2)-AE132)</f>
        <v/>
      </c>
      <c r="AE132" s="75" t="str">
        <f>IF($A132="","",CHOOSE('Calc riepilogo'!$B$2,'Calc valanga'!BD155,'Calc palla di neve'!BD155,'Calc personalizzata'!BD155))</f>
        <v/>
      </c>
      <c r="AF132" s="70" t="str">
        <f>IF($A132="","",ROUND(N(AG131)*(1+'Calc base'!S155),2)-AG132)</f>
        <v/>
      </c>
      <c r="AG132" s="75" t="str">
        <f>IF($A132="","",CHOOSE('Calc riepilogo'!$B$2,'Calc valanga'!BE155,'Calc palla di neve'!BE155,'Calc personalizzata'!BE155))</f>
        <v/>
      </c>
      <c r="AI132" t="n">
        <v>125</v>
      </c>
    </row>
    <row r="133">
      <c r="A133" s="68" t="str">
        <f>IF(126&gt;'Calc riepilogo'!$B$7,"",'Calc base'!$B156)</f>
        <v/>
      </c>
      <c r="B133" s="69" t="str">
        <f>IF($A133="","",'Calc base'!$C156)</f>
        <v/>
      </c>
      <c r="C133" s="69" t="str">
        <f>IF($A133="","",'Calc base'!$E156)</f>
        <v/>
      </c>
      <c r="D133" s="70" t="str">
        <f>IF($A133="","",J133+L133+N133+P133+R133+T133+V133+X133+Z133+AB133+AD133+AF133)</f>
        <v/>
      </c>
      <c r="E133" s="70" t="str">
        <f>IF($A133="","",CHOOSE('Calc riepilogo'!$B$2,'Calc valanga'!$H156,'Calc palla di neve'!$H156,'Calc personalizzata'!$H156))</f>
        <v/>
      </c>
      <c r="F133" s="71" t="str">
        <f>IF($A133="","",CHOOSE('Calc riepilogo'!$B$2,'Calc valanga'!$G156,'Calc palla di neve'!$G156,'Calc personalizzata'!$G156))</f>
        <v/>
      </c>
      <c r="G133" s="72" t="n"/>
      <c r="H133" s="73" t="n"/>
      <c r="I133" s="74" t="str">
        <f>IF($A133="","",TRIM(IF(AND(N(K132)&gt;0,N(K133)&lt;=0.004),"✓ "&amp;'Calc base'!C$6&amp;"   ","")&amp;IF(AND(N(M132)&gt;0,N(M133)&lt;=0.004),"✓ "&amp;'Calc base'!D$6&amp;"   ","")&amp;IF(AND(N(O132)&gt;0,N(O133)&lt;=0.004),"✓ "&amp;'Calc base'!E$6&amp;"   ","")&amp;IF(AND(N(Q132)&gt;0,N(Q133)&lt;=0.004),"✓ "&amp;'Calc base'!F$6&amp;"   ","")&amp;IF(AND(N(S132)&gt;0,N(S133)&lt;=0.004),"✓ "&amp;'Calc base'!G$6&amp;"   ","")&amp;IF(AND(N(U132)&gt;0,N(U133)&lt;=0.004),"✓ "&amp;'Calc base'!H$6&amp;"   ","")&amp;IF(AND(N(W132)&gt;0,N(W133)&lt;=0.004),"✓ "&amp;'Calc base'!I$6&amp;"   ","")&amp;IF(AND(N(Y132)&gt;0,N(Y133)&lt;=0.004),"✓ "&amp;'Calc base'!J$6&amp;"   ","")&amp;IF(AND(N(AA132)&gt;0,N(AA133)&lt;=0.004),"✓ "&amp;'Calc base'!K$6&amp;"   ","")&amp;IF(AND(N(AC132)&gt;0,N(AC133)&lt;=0.004),"✓ "&amp;'Calc base'!L$6&amp;"   ","")&amp;IF(AND(N(AE132)&gt;0,N(AE133)&lt;=0.004),"✓ "&amp;'Calc base'!M$6&amp;"   ","")&amp;IF(AND(N(AG132)&gt;0,N(AG133)&lt;=0.004),"✓ "&amp;'Calc base'!N$6&amp;"   ","")))</f>
        <v/>
      </c>
      <c r="J133" s="70" t="str">
        <f>IF($A133="","",ROUND(N(K132)*(1+'Calc base'!H156),2)-K133)</f>
        <v/>
      </c>
      <c r="K133" s="75" t="str">
        <f>IF($A133="","",CHOOSE('Calc riepilogo'!$B$2,'Calc valanga'!AT156,'Calc palla di neve'!AT156,'Calc personalizzata'!AT156))</f>
        <v/>
      </c>
      <c r="L133" s="70" t="str">
        <f>IF($A133="","",ROUND(N(M132)*(1+'Calc base'!I156),2)-M133)</f>
        <v/>
      </c>
      <c r="M133" s="75" t="str">
        <f>IF($A133="","",CHOOSE('Calc riepilogo'!$B$2,'Calc valanga'!AU156,'Calc palla di neve'!AU156,'Calc personalizzata'!AU156))</f>
        <v/>
      </c>
      <c r="N133" s="70" t="str">
        <f>IF($A133="","",ROUND(N(O132)*(1+'Calc base'!J156),2)-O133)</f>
        <v/>
      </c>
      <c r="O133" s="75" t="str">
        <f>IF($A133="","",CHOOSE('Calc riepilogo'!$B$2,'Calc valanga'!AV156,'Calc palla di neve'!AV156,'Calc personalizzata'!AV156))</f>
        <v/>
      </c>
      <c r="P133" s="70" t="str">
        <f>IF($A133="","",ROUND(N(Q132)*(1+'Calc base'!K156),2)-Q133)</f>
        <v/>
      </c>
      <c r="Q133" s="75" t="str">
        <f>IF($A133="","",CHOOSE('Calc riepilogo'!$B$2,'Calc valanga'!AW156,'Calc palla di neve'!AW156,'Calc personalizzata'!AW156))</f>
        <v/>
      </c>
      <c r="R133" s="70" t="str">
        <f>IF($A133="","",ROUND(N(S132)*(1+'Calc base'!L156),2)-S133)</f>
        <v/>
      </c>
      <c r="S133" s="75" t="str">
        <f>IF($A133="","",CHOOSE('Calc riepilogo'!$B$2,'Calc valanga'!AX156,'Calc palla di neve'!AX156,'Calc personalizzata'!AX156))</f>
        <v/>
      </c>
      <c r="T133" s="70" t="str">
        <f>IF($A133="","",ROUND(N(U132)*(1+'Calc base'!M156),2)-U133)</f>
        <v/>
      </c>
      <c r="U133" s="75" t="str">
        <f>IF($A133="","",CHOOSE('Calc riepilogo'!$B$2,'Calc valanga'!AY156,'Calc palla di neve'!AY156,'Calc personalizzata'!AY156))</f>
        <v/>
      </c>
      <c r="V133" s="70" t="str">
        <f>IF($A133="","",ROUND(N(W132)*(1+'Calc base'!N156),2)-W133)</f>
        <v/>
      </c>
      <c r="W133" s="75" t="str">
        <f>IF($A133="","",CHOOSE('Calc riepilogo'!$B$2,'Calc valanga'!AZ156,'Calc palla di neve'!AZ156,'Calc personalizzata'!AZ156))</f>
        <v/>
      </c>
      <c r="X133" s="70" t="str">
        <f>IF($A133="","",ROUND(N(Y132)*(1+'Calc base'!O156),2)-Y133)</f>
        <v/>
      </c>
      <c r="Y133" s="75" t="str">
        <f>IF($A133="","",CHOOSE('Calc riepilogo'!$B$2,'Calc valanga'!BA156,'Calc palla di neve'!BA156,'Calc personalizzata'!BA156))</f>
        <v/>
      </c>
      <c r="Z133" s="70" t="str">
        <f>IF($A133="","",ROUND(N(AA132)*(1+'Calc base'!P156),2)-AA133)</f>
        <v/>
      </c>
      <c r="AA133" s="75" t="str">
        <f>IF($A133="","",CHOOSE('Calc riepilogo'!$B$2,'Calc valanga'!BB156,'Calc palla di neve'!BB156,'Calc personalizzata'!BB156))</f>
        <v/>
      </c>
      <c r="AB133" s="70" t="str">
        <f>IF($A133="","",ROUND(N(AC132)*(1+'Calc base'!Q156),2)-AC133)</f>
        <v/>
      </c>
      <c r="AC133" s="75" t="str">
        <f>IF($A133="","",CHOOSE('Calc riepilogo'!$B$2,'Calc valanga'!BC156,'Calc palla di neve'!BC156,'Calc personalizzata'!BC156))</f>
        <v/>
      </c>
      <c r="AD133" s="70" t="str">
        <f>IF($A133="","",ROUND(N(AE132)*(1+'Calc base'!R156),2)-AE133)</f>
        <v/>
      </c>
      <c r="AE133" s="75" t="str">
        <f>IF($A133="","",CHOOSE('Calc riepilogo'!$B$2,'Calc valanga'!BD156,'Calc palla di neve'!BD156,'Calc personalizzata'!BD156))</f>
        <v/>
      </c>
      <c r="AF133" s="70" t="str">
        <f>IF($A133="","",ROUND(N(AG132)*(1+'Calc base'!S156),2)-AG133)</f>
        <v/>
      </c>
      <c r="AG133" s="75" t="str">
        <f>IF($A133="","",CHOOSE('Calc riepilogo'!$B$2,'Calc valanga'!BE156,'Calc palla di neve'!BE156,'Calc personalizzata'!BE156))</f>
        <v/>
      </c>
      <c r="AI133" t="n">
        <v>126</v>
      </c>
    </row>
    <row r="134">
      <c r="A134" s="68" t="str">
        <f>IF(127&gt;'Calc riepilogo'!$B$7,"",'Calc base'!$B157)</f>
        <v/>
      </c>
      <c r="B134" s="69" t="str">
        <f>IF($A134="","",'Calc base'!$C157)</f>
        <v/>
      </c>
      <c r="C134" s="69" t="str">
        <f>IF($A134="","",'Calc base'!$E157)</f>
        <v/>
      </c>
      <c r="D134" s="70" t="str">
        <f>IF($A134="","",J134+L134+N134+P134+R134+T134+V134+X134+Z134+AB134+AD134+AF134)</f>
        <v/>
      </c>
      <c r="E134" s="70" t="str">
        <f>IF($A134="","",CHOOSE('Calc riepilogo'!$B$2,'Calc valanga'!$H157,'Calc palla di neve'!$H157,'Calc personalizzata'!$H157))</f>
        <v/>
      </c>
      <c r="F134" s="71" t="str">
        <f>IF($A134="","",CHOOSE('Calc riepilogo'!$B$2,'Calc valanga'!$G157,'Calc palla di neve'!$G157,'Calc personalizzata'!$G157))</f>
        <v/>
      </c>
      <c r="G134" s="72" t="n"/>
      <c r="H134" s="73" t="n"/>
      <c r="I134" s="74" t="str">
        <f>IF($A134="","",TRIM(IF(AND(N(K133)&gt;0,N(K134)&lt;=0.004),"✓ "&amp;'Calc base'!C$6&amp;"   ","")&amp;IF(AND(N(M133)&gt;0,N(M134)&lt;=0.004),"✓ "&amp;'Calc base'!D$6&amp;"   ","")&amp;IF(AND(N(O133)&gt;0,N(O134)&lt;=0.004),"✓ "&amp;'Calc base'!E$6&amp;"   ","")&amp;IF(AND(N(Q133)&gt;0,N(Q134)&lt;=0.004),"✓ "&amp;'Calc base'!F$6&amp;"   ","")&amp;IF(AND(N(S133)&gt;0,N(S134)&lt;=0.004),"✓ "&amp;'Calc base'!G$6&amp;"   ","")&amp;IF(AND(N(U133)&gt;0,N(U134)&lt;=0.004),"✓ "&amp;'Calc base'!H$6&amp;"   ","")&amp;IF(AND(N(W133)&gt;0,N(W134)&lt;=0.004),"✓ "&amp;'Calc base'!I$6&amp;"   ","")&amp;IF(AND(N(Y133)&gt;0,N(Y134)&lt;=0.004),"✓ "&amp;'Calc base'!J$6&amp;"   ","")&amp;IF(AND(N(AA133)&gt;0,N(AA134)&lt;=0.004),"✓ "&amp;'Calc base'!K$6&amp;"   ","")&amp;IF(AND(N(AC133)&gt;0,N(AC134)&lt;=0.004),"✓ "&amp;'Calc base'!L$6&amp;"   ","")&amp;IF(AND(N(AE133)&gt;0,N(AE134)&lt;=0.004),"✓ "&amp;'Calc base'!M$6&amp;"   ","")&amp;IF(AND(N(AG133)&gt;0,N(AG134)&lt;=0.004),"✓ "&amp;'Calc base'!N$6&amp;"   ","")))</f>
        <v/>
      </c>
      <c r="J134" s="70" t="str">
        <f>IF($A134="","",ROUND(N(K133)*(1+'Calc base'!H157),2)-K134)</f>
        <v/>
      </c>
      <c r="K134" s="75" t="str">
        <f>IF($A134="","",CHOOSE('Calc riepilogo'!$B$2,'Calc valanga'!AT157,'Calc palla di neve'!AT157,'Calc personalizzata'!AT157))</f>
        <v/>
      </c>
      <c r="L134" s="70" t="str">
        <f>IF($A134="","",ROUND(N(M133)*(1+'Calc base'!I157),2)-M134)</f>
        <v/>
      </c>
      <c r="M134" s="75" t="str">
        <f>IF($A134="","",CHOOSE('Calc riepilogo'!$B$2,'Calc valanga'!AU157,'Calc palla di neve'!AU157,'Calc personalizzata'!AU157))</f>
        <v/>
      </c>
      <c r="N134" s="70" t="str">
        <f>IF($A134="","",ROUND(N(O133)*(1+'Calc base'!J157),2)-O134)</f>
        <v/>
      </c>
      <c r="O134" s="75" t="str">
        <f>IF($A134="","",CHOOSE('Calc riepilogo'!$B$2,'Calc valanga'!AV157,'Calc palla di neve'!AV157,'Calc personalizzata'!AV157))</f>
        <v/>
      </c>
      <c r="P134" s="70" t="str">
        <f>IF($A134="","",ROUND(N(Q133)*(1+'Calc base'!K157),2)-Q134)</f>
        <v/>
      </c>
      <c r="Q134" s="75" t="str">
        <f>IF($A134="","",CHOOSE('Calc riepilogo'!$B$2,'Calc valanga'!AW157,'Calc palla di neve'!AW157,'Calc personalizzata'!AW157))</f>
        <v/>
      </c>
      <c r="R134" s="70" t="str">
        <f>IF($A134="","",ROUND(N(S133)*(1+'Calc base'!L157),2)-S134)</f>
        <v/>
      </c>
      <c r="S134" s="75" t="str">
        <f>IF($A134="","",CHOOSE('Calc riepilogo'!$B$2,'Calc valanga'!AX157,'Calc palla di neve'!AX157,'Calc personalizzata'!AX157))</f>
        <v/>
      </c>
      <c r="T134" s="70" t="str">
        <f>IF($A134="","",ROUND(N(U133)*(1+'Calc base'!M157),2)-U134)</f>
        <v/>
      </c>
      <c r="U134" s="75" t="str">
        <f>IF($A134="","",CHOOSE('Calc riepilogo'!$B$2,'Calc valanga'!AY157,'Calc palla di neve'!AY157,'Calc personalizzata'!AY157))</f>
        <v/>
      </c>
      <c r="V134" s="70" t="str">
        <f>IF($A134="","",ROUND(N(W133)*(1+'Calc base'!N157),2)-W134)</f>
        <v/>
      </c>
      <c r="W134" s="75" t="str">
        <f>IF($A134="","",CHOOSE('Calc riepilogo'!$B$2,'Calc valanga'!AZ157,'Calc palla di neve'!AZ157,'Calc personalizzata'!AZ157))</f>
        <v/>
      </c>
      <c r="X134" s="70" t="str">
        <f>IF($A134="","",ROUND(N(Y133)*(1+'Calc base'!O157),2)-Y134)</f>
        <v/>
      </c>
      <c r="Y134" s="75" t="str">
        <f>IF($A134="","",CHOOSE('Calc riepilogo'!$B$2,'Calc valanga'!BA157,'Calc palla di neve'!BA157,'Calc personalizzata'!BA157))</f>
        <v/>
      </c>
      <c r="Z134" s="70" t="str">
        <f>IF($A134="","",ROUND(N(AA133)*(1+'Calc base'!P157),2)-AA134)</f>
        <v/>
      </c>
      <c r="AA134" s="75" t="str">
        <f>IF($A134="","",CHOOSE('Calc riepilogo'!$B$2,'Calc valanga'!BB157,'Calc palla di neve'!BB157,'Calc personalizzata'!BB157))</f>
        <v/>
      </c>
      <c r="AB134" s="70" t="str">
        <f>IF($A134="","",ROUND(N(AC133)*(1+'Calc base'!Q157),2)-AC134)</f>
        <v/>
      </c>
      <c r="AC134" s="75" t="str">
        <f>IF($A134="","",CHOOSE('Calc riepilogo'!$B$2,'Calc valanga'!BC157,'Calc palla di neve'!BC157,'Calc personalizzata'!BC157))</f>
        <v/>
      </c>
      <c r="AD134" s="70" t="str">
        <f>IF($A134="","",ROUND(N(AE133)*(1+'Calc base'!R157),2)-AE134)</f>
        <v/>
      </c>
      <c r="AE134" s="75" t="str">
        <f>IF($A134="","",CHOOSE('Calc riepilogo'!$B$2,'Calc valanga'!BD157,'Calc palla di neve'!BD157,'Calc personalizzata'!BD157))</f>
        <v/>
      </c>
      <c r="AF134" s="70" t="str">
        <f>IF($A134="","",ROUND(N(AG133)*(1+'Calc base'!S157),2)-AG134)</f>
        <v/>
      </c>
      <c r="AG134" s="75" t="str">
        <f>IF($A134="","",CHOOSE('Calc riepilogo'!$B$2,'Calc valanga'!BE157,'Calc palla di neve'!BE157,'Calc personalizzata'!BE157))</f>
        <v/>
      </c>
      <c r="AI134" t="n">
        <v>127</v>
      </c>
    </row>
    <row r="135">
      <c r="A135" s="68" t="str">
        <f>IF(128&gt;'Calc riepilogo'!$B$7,"",'Calc base'!$B158)</f>
        <v/>
      </c>
      <c r="B135" s="69" t="str">
        <f>IF($A135="","",'Calc base'!$C158)</f>
        <v/>
      </c>
      <c r="C135" s="69" t="str">
        <f>IF($A135="","",'Calc base'!$E158)</f>
        <v/>
      </c>
      <c r="D135" s="70" t="str">
        <f>IF($A135="","",J135+L135+N135+P135+R135+T135+V135+X135+Z135+AB135+AD135+AF135)</f>
        <v/>
      </c>
      <c r="E135" s="70" t="str">
        <f>IF($A135="","",CHOOSE('Calc riepilogo'!$B$2,'Calc valanga'!$H158,'Calc palla di neve'!$H158,'Calc personalizzata'!$H158))</f>
        <v/>
      </c>
      <c r="F135" s="71" t="str">
        <f>IF($A135="","",CHOOSE('Calc riepilogo'!$B$2,'Calc valanga'!$G158,'Calc palla di neve'!$G158,'Calc personalizzata'!$G158))</f>
        <v/>
      </c>
      <c r="G135" s="72" t="n"/>
      <c r="H135" s="73" t="n"/>
      <c r="I135" s="74" t="str">
        <f>IF($A135="","",TRIM(IF(AND(N(K134)&gt;0,N(K135)&lt;=0.004),"✓ "&amp;'Calc base'!C$6&amp;"   ","")&amp;IF(AND(N(M134)&gt;0,N(M135)&lt;=0.004),"✓ "&amp;'Calc base'!D$6&amp;"   ","")&amp;IF(AND(N(O134)&gt;0,N(O135)&lt;=0.004),"✓ "&amp;'Calc base'!E$6&amp;"   ","")&amp;IF(AND(N(Q134)&gt;0,N(Q135)&lt;=0.004),"✓ "&amp;'Calc base'!F$6&amp;"   ","")&amp;IF(AND(N(S134)&gt;0,N(S135)&lt;=0.004),"✓ "&amp;'Calc base'!G$6&amp;"   ","")&amp;IF(AND(N(U134)&gt;0,N(U135)&lt;=0.004),"✓ "&amp;'Calc base'!H$6&amp;"   ","")&amp;IF(AND(N(W134)&gt;0,N(W135)&lt;=0.004),"✓ "&amp;'Calc base'!I$6&amp;"   ","")&amp;IF(AND(N(Y134)&gt;0,N(Y135)&lt;=0.004),"✓ "&amp;'Calc base'!J$6&amp;"   ","")&amp;IF(AND(N(AA134)&gt;0,N(AA135)&lt;=0.004),"✓ "&amp;'Calc base'!K$6&amp;"   ","")&amp;IF(AND(N(AC134)&gt;0,N(AC135)&lt;=0.004),"✓ "&amp;'Calc base'!L$6&amp;"   ","")&amp;IF(AND(N(AE134)&gt;0,N(AE135)&lt;=0.004),"✓ "&amp;'Calc base'!M$6&amp;"   ","")&amp;IF(AND(N(AG134)&gt;0,N(AG135)&lt;=0.004),"✓ "&amp;'Calc base'!N$6&amp;"   ","")))</f>
        <v/>
      </c>
      <c r="J135" s="70" t="str">
        <f>IF($A135="","",ROUND(N(K134)*(1+'Calc base'!H158),2)-K135)</f>
        <v/>
      </c>
      <c r="K135" s="75" t="str">
        <f>IF($A135="","",CHOOSE('Calc riepilogo'!$B$2,'Calc valanga'!AT158,'Calc palla di neve'!AT158,'Calc personalizzata'!AT158))</f>
        <v/>
      </c>
      <c r="L135" s="70" t="str">
        <f>IF($A135="","",ROUND(N(M134)*(1+'Calc base'!I158),2)-M135)</f>
        <v/>
      </c>
      <c r="M135" s="75" t="str">
        <f>IF($A135="","",CHOOSE('Calc riepilogo'!$B$2,'Calc valanga'!AU158,'Calc palla di neve'!AU158,'Calc personalizzata'!AU158))</f>
        <v/>
      </c>
      <c r="N135" s="70" t="str">
        <f>IF($A135="","",ROUND(N(O134)*(1+'Calc base'!J158),2)-O135)</f>
        <v/>
      </c>
      <c r="O135" s="75" t="str">
        <f>IF($A135="","",CHOOSE('Calc riepilogo'!$B$2,'Calc valanga'!AV158,'Calc palla di neve'!AV158,'Calc personalizzata'!AV158))</f>
        <v/>
      </c>
      <c r="P135" s="70" t="str">
        <f>IF($A135="","",ROUND(N(Q134)*(1+'Calc base'!K158),2)-Q135)</f>
        <v/>
      </c>
      <c r="Q135" s="75" t="str">
        <f>IF($A135="","",CHOOSE('Calc riepilogo'!$B$2,'Calc valanga'!AW158,'Calc palla di neve'!AW158,'Calc personalizzata'!AW158))</f>
        <v/>
      </c>
      <c r="R135" s="70" t="str">
        <f>IF($A135="","",ROUND(N(S134)*(1+'Calc base'!L158),2)-S135)</f>
        <v/>
      </c>
      <c r="S135" s="75" t="str">
        <f>IF($A135="","",CHOOSE('Calc riepilogo'!$B$2,'Calc valanga'!AX158,'Calc palla di neve'!AX158,'Calc personalizzata'!AX158))</f>
        <v/>
      </c>
      <c r="T135" s="70" t="str">
        <f>IF($A135="","",ROUND(N(U134)*(1+'Calc base'!M158),2)-U135)</f>
        <v/>
      </c>
      <c r="U135" s="75" t="str">
        <f>IF($A135="","",CHOOSE('Calc riepilogo'!$B$2,'Calc valanga'!AY158,'Calc palla di neve'!AY158,'Calc personalizzata'!AY158))</f>
        <v/>
      </c>
      <c r="V135" s="70" t="str">
        <f>IF($A135="","",ROUND(N(W134)*(1+'Calc base'!N158),2)-W135)</f>
        <v/>
      </c>
      <c r="W135" s="75" t="str">
        <f>IF($A135="","",CHOOSE('Calc riepilogo'!$B$2,'Calc valanga'!AZ158,'Calc palla di neve'!AZ158,'Calc personalizzata'!AZ158))</f>
        <v/>
      </c>
      <c r="X135" s="70" t="str">
        <f>IF($A135="","",ROUND(N(Y134)*(1+'Calc base'!O158),2)-Y135)</f>
        <v/>
      </c>
      <c r="Y135" s="75" t="str">
        <f>IF($A135="","",CHOOSE('Calc riepilogo'!$B$2,'Calc valanga'!BA158,'Calc palla di neve'!BA158,'Calc personalizzata'!BA158))</f>
        <v/>
      </c>
      <c r="Z135" s="70" t="str">
        <f>IF($A135="","",ROUND(N(AA134)*(1+'Calc base'!P158),2)-AA135)</f>
        <v/>
      </c>
      <c r="AA135" s="75" t="str">
        <f>IF($A135="","",CHOOSE('Calc riepilogo'!$B$2,'Calc valanga'!BB158,'Calc palla di neve'!BB158,'Calc personalizzata'!BB158))</f>
        <v/>
      </c>
      <c r="AB135" s="70" t="str">
        <f>IF($A135="","",ROUND(N(AC134)*(1+'Calc base'!Q158),2)-AC135)</f>
        <v/>
      </c>
      <c r="AC135" s="75" t="str">
        <f>IF($A135="","",CHOOSE('Calc riepilogo'!$B$2,'Calc valanga'!BC158,'Calc palla di neve'!BC158,'Calc personalizzata'!BC158))</f>
        <v/>
      </c>
      <c r="AD135" s="70" t="str">
        <f>IF($A135="","",ROUND(N(AE134)*(1+'Calc base'!R158),2)-AE135)</f>
        <v/>
      </c>
      <c r="AE135" s="75" t="str">
        <f>IF($A135="","",CHOOSE('Calc riepilogo'!$B$2,'Calc valanga'!BD158,'Calc palla di neve'!BD158,'Calc personalizzata'!BD158))</f>
        <v/>
      </c>
      <c r="AF135" s="70" t="str">
        <f>IF($A135="","",ROUND(N(AG134)*(1+'Calc base'!S158),2)-AG135)</f>
        <v/>
      </c>
      <c r="AG135" s="75" t="str">
        <f>IF($A135="","",CHOOSE('Calc riepilogo'!$B$2,'Calc valanga'!BE158,'Calc palla di neve'!BE158,'Calc personalizzata'!BE158))</f>
        <v/>
      </c>
      <c r="AI135" t="n">
        <v>128</v>
      </c>
    </row>
    <row r="136">
      <c r="A136" s="68" t="str">
        <f>IF(129&gt;'Calc riepilogo'!$B$7,"",'Calc base'!$B159)</f>
        <v/>
      </c>
      <c r="B136" s="69" t="str">
        <f>IF($A136="","",'Calc base'!$C159)</f>
        <v/>
      </c>
      <c r="C136" s="69" t="str">
        <f>IF($A136="","",'Calc base'!$E159)</f>
        <v/>
      </c>
      <c r="D136" s="70" t="str">
        <f>IF($A136="","",J136+L136+N136+P136+R136+T136+V136+X136+Z136+AB136+AD136+AF136)</f>
        <v/>
      </c>
      <c r="E136" s="70" t="str">
        <f>IF($A136="","",CHOOSE('Calc riepilogo'!$B$2,'Calc valanga'!$H159,'Calc palla di neve'!$H159,'Calc personalizzata'!$H159))</f>
        <v/>
      </c>
      <c r="F136" s="71" t="str">
        <f>IF($A136="","",CHOOSE('Calc riepilogo'!$B$2,'Calc valanga'!$G159,'Calc palla di neve'!$G159,'Calc personalizzata'!$G159))</f>
        <v/>
      </c>
      <c r="G136" s="72" t="n"/>
      <c r="H136" s="73" t="n"/>
      <c r="I136" s="74" t="str">
        <f>IF($A136="","",TRIM(IF(AND(N(K135)&gt;0,N(K136)&lt;=0.004),"✓ "&amp;'Calc base'!C$6&amp;"   ","")&amp;IF(AND(N(M135)&gt;0,N(M136)&lt;=0.004),"✓ "&amp;'Calc base'!D$6&amp;"   ","")&amp;IF(AND(N(O135)&gt;0,N(O136)&lt;=0.004),"✓ "&amp;'Calc base'!E$6&amp;"   ","")&amp;IF(AND(N(Q135)&gt;0,N(Q136)&lt;=0.004),"✓ "&amp;'Calc base'!F$6&amp;"   ","")&amp;IF(AND(N(S135)&gt;0,N(S136)&lt;=0.004),"✓ "&amp;'Calc base'!G$6&amp;"   ","")&amp;IF(AND(N(U135)&gt;0,N(U136)&lt;=0.004),"✓ "&amp;'Calc base'!H$6&amp;"   ","")&amp;IF(AND(N(W135)&gt;0,N(W136)&lt;=0.004),"✓ "&amp;'Calc base'!I$6&amp;"   ","")&amp;IF(AND(N(Y135)&gt;0,N(Y136)&lt;=0.004),"✓ "&amp;'Calc base'!J$6&amp;"   ","")&amp;IF(AND(N(AA135)&gt;0,N(AA136)&lt;=0.004),"✓ "&amp;'Calc base'!K$6&amp;"   ","")&amp;IF(AND(N(AC135)&gt;0,N(AC136)&lt;=0.004),"✓ "&amp;'Calc base'!L$6&amp;"   ","")&amp;IF(AND(N(AE135)&gt;0,N(AE136)&lt;=0.004),"✓ "&amp;'Calc base'!M$6&amp;"   ","")&amp;IF(AND(N(AG135)&gt;0,N(AG136)&lt;=0.004),"✓ "&amp;'Calc base'!N$6&amp;"   ","")))</f>
        <v/>
      </c>
      <c r="J136" s="70" t="str">
        <f>IF($A136="","",ROUND(N(K135)*(1+'Calc base'!H159),2)-K136)</f>
        <v/>
      </c>
      <c r="K136" s="75" t="str">
        <f>IF($A136="","",CHOOSE('Calc riepilogo'!$B$2,'Calc valanga'!AT159,'Calc palla di neve'!AT159,'Calc personalizzata'!AT159))</f>
        <v/>
      </c>
      <c r="L136" s="70" t="str">
        <f>IF($A136="","",ROUND(N(M135)*(1+'Calc base'!I159),2)-M136)</f>
        <v/>
      </c>
      <c r="M136" s="75" t="str">
        <f>IF($A136="","",CHOOSE('Calc riepilogo'!$B$2,'Calc valanga'!AU159,'Calc palla di neve'!AU159,'Calc personalizzata'!AU159))</f>
        <v/>
      </c>
      <c r="N136" s="70" t="str">
        <f>IF($A136="","",ROUND(N(O135)*(1+'Calc base'!J159),2)-O136)</f>
        <v/>
      </c>
      <c r="O136" s="75" t="str">
        <f>IF($A136="","",CHOOSE('Calc riepilogo'!$B$2,'Calc valanga'!AV159,'Calc palla di neve'!AV159,'Calc personalizzata'!AV159))</f>
        <v/>
      </c>
      <c r="P136" s="70" t="str">
        <f>IF($A136="","",ROUND(N(Q135)*(1+'Calc base'!K159),2)-Q136)</f>
        <v/>
      </c>
      <c r="Q136" s="75" t="str">
        <f>IF($A136="","",CHOOSE('Calc riepilogo'!$B$2,'Calc valanga'!AW159,'Calc palla di neve'!AW159,'Calc personalizzata'!AW159))</f>
        <v/>
      </c>
      <c r="R136" s="70" t="str">
        <f>IF($A136="","",ROUND(N(S135)*(1+'Calc base'!L159),2)-S136)</f>
        <v/>
      </c>
      <c r="S136" s="75" t="str">
        <f>IF($A136="","",CHOOSE('Calc riepilogo'!$B$2,'Calc valanga'!AX159,'Calc palla di neve'!AX159,'Calc personalizzata'!AX159))</f>
        <v/>
      </c>
      <c r="T136" s="70" t="str">
        <f>IF($A136="","",ROUND(N(U135)*(1+'Calc base'!M159),2)-U136)</f>
        <v/>
      </c>
      <c r="U136" s="75" t="str">
        <f>IF($A136="","",CHOOSE('Calc riepilogo'!$B$2,'Calc valanga'!AY159,'Calc palla di neve'!AY159,'Calc personalizzata'!AY159))</f>
        <v/>
      </c>
      <c r="V136" s="70" t="str">
        <f>IF($A136="","",ROUND(N(W135)*(1+'Calc base'!N159),2)-W136)</f>
        <v/>
      </c>
      <c r="W136" s="75" t="str">
        <f>IF($A136="","",CHOOSE('Calc riepilogo'!$B$2,'Calc valanga'!AZ159,'Calc palla di neve'!AZ159,'Calc personalizzata'!AZ159))</f>
        <v/>
      </c>
      <c r="X136" s="70" t="str">
        <f>IF($A136="","",ROUND(N(Y135)*(1+'Calc base'!O159),2)-Y136)</f>
        <v/>
      </c>
      <c r="Y136" s="75" t="str">
        <f>IF($A136="","",CHOOSE('Calc riepilogo'!$B$2,'Calc valanga'!BA159,'Calc palla di neve'!BA159,'Calc personalizzata'!BA159))</f>
        <v/>
      </c>
      <c r="Z136" s="70" t="str">
        <f>IF($A136="","",ROUND(N(AA135)*(1+'Calc base'!P159),2)-AA136)</f>
        <v/>
      </c>
      <c r="AA136" s="75" t="str">
        <f>IF($A136="","",CHOOSE('Calc riepilogo'!$B$2,'Calc valanga'!BB159,'Calc palla di neve'!BB159,'Calc personalizzata'!BB159))</f>
        <v/>
      </c>
      <c r="AB136" s="70" t="str">
        <f>IF($A136="","",ROUND(N(AC135)*(1+'Calc base'!Q159),2)-AC136)</f>
        <v/>
      </c>
      <c r="AC136" s="75" t="str">
        <f>IF($A136="","",CHOOSE('Calc riepilogo'!$B$2,'Calc valanga'!BC159,'Calc palla di neve'!BC159,'Calc personalizzata'!BC159))</f>
        <v/>
      </c>
      <c r="AD136" s="70" t="str">
        <f>IF($A136="","",ROUND(N(AE135)*(1+'Calc base'!R159),2)-AE136)</f>
        <v/>
      </c>
      <c r="AE136" s="75" t="str">
        <f>IF($A136="","",CHOOSE('Calc riepilogo'!$B$2,'Calc valanga'!BD159,'Calc palla di neve'!BD159,'Calc personalizzata'!BD159))</f>
        <v/>
      </c>
      <c r="AF136" s="70" t="str">
        <f>IF($A136="","",ROUND(N(AG135)*(1+'Calc base'!S159),2)-AG136)</f>
        <v/>
      </c>
      <c r="AG136" s="75" t="str">
        <f>IF($A136="","",CHOOSE('Calc riepilogo'!$B$2,'Calc valanga'!BE159,'Calc palla di neve'!BE159,'Calc personalizzata'!BE159))</f>
        <v/>
      </c>
      <c r="AI136" t="n">
        <v>129</v>
      </c>
    </row>
    <row r="137">
      <c r="A137" s="68" t="str">
        <f>IF(130&gt;'Calc riepilogo'!$B$7,"",'Calc base'!$B160)</f>
        <v/>
      </c>
      <c r="B137" s="69" t="str">
        <f>IF($A137="","",'Calc base'!$C160)</f>
        <v/>
      </c>
      <c r="C137" s="69" t="str">
        <f>IF($A137="","",'Calc base'!$E160)</f>
        <v/>
      </c>
      <c r="D137" s="70" t="str">
        <f>IF($A137="","",J137+L137+N137+P137+R137+T137+V137+X137+Z137+AB137+AD137+AF137)</f>
        <v/>
      </c>
      <c r="E137" s="70" t="str">
        <f>IF($A137="","",CHOOSE('Calc riepilogo'!$B$2,'Calc valanga'!$H160,'Calc palla di neve'!$H160,'Calc personalizzata'!$H160))</f>
        <v/>
      </c>
      <c r="F137" s="71" t="str">
        <f>IF($A137="","",CHOOSE('Calc riepilogo'!$B$2,'Calc valanga'!$G160,'Calc palla di neve'!$G160,'Calc personalizzata'!$G160))</f>
        <v/>
      </c>
      <c r="G137" s="72" t="n"/>
      <c r="H137" s="73" t="n"/>
      <c r="I137" s="74" t="str">
        <f>IF($A137="","",TRIM(IF(AND(N(K136)&gt;0,N(K137)&lt;=0.004),"✓ "&amp;'Calc base'!C$6&amp;"   ","")&amp;IF(AND(N(M136)&gt;0,N(M137)&lt;=0.004),"✓ "&amp;'Calc base'!D$6&amp;"   ","")&amp;IF(AND(N(O136)&gt;0,N(O137)&lt;=0.004),"✓ "&amp;'Calc base'!E$6&amp;"   ","")&amp;IF(AND(N(Q136)&gt;0,N(Q137)&lt;=0.004),"✓ "&amp;'Calc base'!F$6&amp;"   ","")&amp;IF(AND(N(S136)&gt;0,N(S137)&lt;=0.004),"✓ "&amp;'Calc base'!G$6&amp;"   ","")&amp;IF(AND(N(U136)&gt;0,N(U137)&lt;=0.004),"✓ "&amp;'Calc base'!H$6&amp;"   ","")&amp;IF(AND(N(W136)&gt;0,N(W137)&lt;=0.004),"✓ "&amp;'Calc base'!I$6&amp;"   ","")&amp;IF(AND(N(Y136)&gt;0,N(Y137)&lt;=0.004),"✓ "&amp;'Calc base'!J$6&amp;"   ","")&amp;IF(AND(N(AA136)&gt;0,N(AA137)&lt;=0.004),"✓ "&amp;'Calc base'!K$6&amp;"   ","")&amp;IF(AND(N(AC136)&gt;0,N(AC137)&lt;=0.004),"✓ "&amp;'Calc base'!L$6&amp;"   ","")&amp;IF(AND(N(AE136)&gt;0,N(AE137)&lt;=0.004),"✓ "&amp;'Calc base'!M$6&amp;"   ","")&amp;IF(AND(N(AG136)&gt;0,N(AG137)&lt;=0.004),"✓ "&amp;'Calc base'!N$6&amp;"   ","")))</f>
        <v/>
      </c>
      <c r="J137" s="70" t="str">
        <f>IF($A137="","",ROUND(N(K136)*(1+'Calc base'!H160),2)-K137)</f>
        <v/>
      </c>
      <c r="K137" s="75" t="str">
        <f>IF($A137="","",CHOOSE('Calc riepilogo'!$B$2,'Calc valanga'!AT160,'Calc palla di neve'!AT160,'Calc personalizzata'!AT160))</f>
        <v/>
      </c>
      <c r="L137" s="70" t="str">
        <f>IF($A137="","",ROUND(N(M136)*(1+'Calc base'!I160),2)-M137)</f>
        <v/>
      </c>
      <c r="M137" s="75" t="str">
        <f>IF($A137="","",CHOOSE('Calc riepilogo'!$B$2,'Calc valanga'!AU160,'Calc palla di neve'!AU160,'Calc personalizzata'!AU160))</f>
        <v/>
      </c>
      <c r="N137" s="70" t="str">
        <f>IF($A137="","",ROUND(N(O136)*(1+'Calc base'!J160),2)-O137)</f>
        <v/>
      </c>
      <c r="O137" s="75" t="str">
        <f>IF($A137="","",CHOOSE('Calc riepilogo'!$B$2,'Calc valanga'!AV160,'Calc palla di neve'!AV160,'Calc personalizzata'!AV160))</f>
        <v/>
      </c>
      <c r="P137" s="70" t="str">
        <f>IF($A137="","",ROUND(N(Q136)*(1+'Calc base'!K160),2)-Q137)</f>
        <v/>
      </c>
      <c r="Q137" s="75" t="str">
        <f>IF($A137="","",CHOOSE('Calc riepilogo'!$B$2,'Calc valanga'!AW160,'Calc palla di neve'!AW160,'Calc personalizzata'!AW160))</f>
        <v/>
      </c>
      <c r="R137" s="70" t="str">
        <f>IF($A137="","",ROUND(N(S136)*(1+'Calc base'!L160),2)-S137)</f>
        <v/>
      </c>
      <c r="S137" s="75" t="str">
        <f>IF($A137="","",CHOOSE('Calc riepilogo'!$B$2,'Calc valanga'!AX160,'Calc palla di neve'!AX160,'Calc personalizzata'!AX160))</f>
        <v/>
      </c>
      <c r="T137" s="70" t="str">
        <f>IF($A137="","",ROUND(N(U136)*(1+'Calc base'!M160),2)-U137)</f>
        <v/>
      </c>
      <c r="U137" s="75" t="str">
        <f>IF($A137="","",CHOOSE('Calc riepilogo'!$B$2,'Calc valanga'!AY160,'Calc palla di neve'!AY160,'Calc personalizzata'!AY160))</f>
        <v/>
      </c>
      <c r="V137" s="70" t="str">
        <f>IF($A137="","",ROUND(N(W136)*(1+'Calc base'!N160),2)-W137)</f>
        <v/>
      </c>
      <c r="W137" s="75" t="str">
        <f>IF($A137="","",CHOOSE('Calc riepilogo'!$B$2,'Calc valanga'!AZ160,'Calc palla di neve'!AZ160,'Calc personalizzata'!AZ160))</f>
        <v/>
      </c>
      <c r="X137" s="70" t="str">
        <f>IF($A137="","",ROUND(N(Y136)*(1+'Calc base'!O160),2)-Y137)</f>
        <v/>
      </c>
      <c r="Y137" s="75" t="str">
        <f>IF($A137="","",CHOOSE('Calc riepilogo'!$B$2,'Calc valanga'!BA160,'Calc palla di neve'!BA160,'Calc personalizzata'!BA160))</f>
        <v/>
      </c>
      <c r="Z137" s="70" t="str">
        <f>IF($A137="","",ROUND(N(AA136)*(1+'Calc base'!P160),2)-AA137)</f>
        <v/>
      </c>
      <c r="AA137" s="75" t="str">
        <f>IF($A137="","",CHOOSE('Calc riepilogo'!$B$2,'Calc valanga'!BB160,'Calc palla di neve'!BB160,'Calc personalizzata'!BB160))</f>
        <v/>
      </c>
      <c r="AB137" s="70" t="str">
        <f>IF($A137="","",ROUND(N(AC136)*(1+'Calc base'!Q160),2)-AC137)</f>
        <v/>
      </c>
      <c r="AC137" s="75" t="str">
        <f>IF($A137="","",CHOOSE('Calc riepilogo'!$B$2,'Calc valanga'!BC160,'Calc palla di neve'!BC160,'Calc personalizzata'!BC160))</f>
        <v/>
      </c>
      <c r="AD137" s="70" t="str">
        <f>IF($A137="","",ROUND(N(AE136)*(1+'Calc base'!R160),2)-AE137)</f>
        <v/>
      </c>
      <c r="AE137" s="75" t="str">
        <f>IF($A137="","",CHOOSE('Calc riepilogo'!$B$2,'Calc valanga'!BD160,'Calc palla di neve'!BD160,'Calc personalizzata'!BD160))</f>
        <v/>
      </c>
      <c r="AF137" s="70" t="str">
        <f>IF($A137="","",ROUND(N(AG136)*(1+'Calc base'!S160),2)-AG137)</f>
        <v/>
      </c>
      <c r="AG137" s="75" t="str">
        <f>IF($A137="","",CHOOSE('Calc riepilogo'!$B$2,'Calc valanga'!BE160,'Calc palla di neve'!BE160,'Calc personalizzata'!BE160))</f>
        <v/>
      </c>
      <c r="AI137" t="n">
        <v>130</v>
      </c>
    </row>
    <row r="138">
      <c r="A138" s="68" t="str">
        <f>IF(131&gt;'Calc riepilogo'!$B$7,"",'Calc base'!$B161)</f>
        <v/>
      </c>
      <c r="B138" s="69" t="str">
        <f>IF($A138="","",'Calc base'!$C161)</f>
        <v/>
      </c>
      <c r="C138" s="69" t="str">
        <f>IF($A138="","",'Calc base'!$E161)</f>
        <v/>
      </c>
      <c r="D138" s="70" t="str">
        <f>IF($A138="","",J138+L138+N138+P138+R138+T138+V138+X138+Z138+AB138+AD138+AF138)</f>
        <v/>
      </c>
      <c r="E138" s="70" t="str">
        <f>IF($A138="","",CHOOSE('Calc riepilogo'!$B$2,'Calc valanga'!$H161,'Calc palla di neve'!$H161,'Calc personalizzata'!$H161))</f>
        <v/>
      </c>
      <c r="F138" s="71" t="str">
        <f>IF($A138="","",CHOOSE('Calc riepilogo'!$B$2,'Calc valanga'!$G161,'Calc palla di neve'!$G161,'Calc personalizzata'!$G161))</f>
        <v/>
      </c>
      <c r="G138" s="72" t="n"/>
      <c r="H138" s="73" t="n"/>
      <c r="I138" s="74" t="str">
        <f>IF($A138="","",TRIM(IF(AND(N(K137)&gt;0,N(K138)&lt;=0.004),"✓ "&amp;'Calc base'!C$6&amp;"   ","")&amp;IF(AND(N(M137)&gt;0,N(M138)&lt;=0.004),"✓ "&amp;'Calc base'!D$6&amp;"   ","")&amp;IF(AND(N(O137)&gt;0,N(O138)&lt;=0.004),"✓ "&amp;'Calc base'!E$6&amp;"   ","")&amp;IF(AND(N(Q137)&gt;0,N(Q138)&lt;=0.004),"✓ "&amp;'Calc base'!F$6&amp;"   ","")&amp;IF(AND(N(S137)&gt;0,N(S138)&lt;=0.004),"✓ "&amp;'Calc base'!G$6&amp;"   ","")&amp;IF(AND(N(U137)&gt;0,N(U138)&lt;=0.004),"✓ "&amp;'Calc base'!H$6&amp;"   ","")&amp;IF(AND(N(W137)&gt;0,N(W138)&lt;=0.004),"✓ "&amp;'Calc base'!I$6&amp;"   ","")&amp;IF(AND(N(Y137)&gt;0,N(Y138)&lt;=0.004),"✓ "&amp;'Calc base'!J$6&amp;"   ","")&amp;IF(AND(N(AA137)&gt;0,N(AA138)&lt;=0.004),"✓ "&amp;'Calc base'!K$6&amp;"   ","")&amp;IF(AND(N(AC137)&gt;0,N(AC138)&lt;=0.004),"✓ "&amp;'Calc base'!L$6&amp;"   ","")&amp;IF(AND(N(AE137)&gt;0,N(AE138)&lt;=0.004),"✓ "&amp;'Calc base'!M$6&amp;"   ","")&amp;IF(AND(N(AG137)&gt;0,N(AG138)&lt;=0.004),"✓ "&amp;'Calc base'!N$6&amp;"   ","")))</f>
        <v/>
      </c>
      <c r="J138" s="70" t="str">
        <f>IF($A138="","",ROUND(N(K137)*(1+'Calc base'!H161),2)-K138)</f>
        <v/>
      </c>
      <c r="K138" s="75" t="str">
        <f>IF($A138="","",CHOOSE('Calc riepilogo'!$B$2,'Calc valanga'!AT161,'Calc palla di neve'!AT161,'Calc personalizzata'!AT161))</f>
        <v/>
      </c>
      <c r="L138" s="70" t="str">
        <f>IF($A138="","",ROUND(N(M137)*(1+'Calc base'!I161),2)-M138)</f>
        <v/>
      </c>
      <c r="M138" s="75" t="str">
        <f>IF($A138="","",CHOOSE('Calc riepilogo'!$B$2,'Calc valanga'!AU161,'Calc palla di neve'!AU161,'Calc personalizzata'!AU161))</f>
        <v/>
      </c>
      <c r="N138" s="70" t="str">
        <f>IF($A138="","",ROUND(N(O137)*(1+'Calc base'!J161),2)-O138)</f>
        <v/>
      </c>
      <c r="O138" s="75" t="str">
        <f>IF($A138="","",CHOOSE('Calc riepilogo'!$B$2,'Calc valanga'!AV161,'Calc palla di neve'!AV161,'Calc personalizzata'!AV161))</f>
        <v/>
      </c>
      <c r="P138" s="70" t="str">
        <f>IF($A138="","",ROUND(N(Q137)*(1+'Calc base'!K161),2)-Q138)</f>
        <v/>
      </c>
      <c r="Q138" s="75" t="str">
        <f>IF($A138="","",CHOOSE('Calc riepilogo'!$B$2,'Calc valanga'!AW161,'Calc palla di neve'!AW161,'Calc personalizzata'!AW161))</f>
        <v/>
      </c>
      <c r="R138" s="70" t="str">
        <f>IF($A138="","",ROUND(N(S137)*(1+'Calc base'!L161),2)-S138)</f>
        <v/>
      </c>
      <c r="S138" s="75" t="str">
        <f>IF($A138="","",CHOOSE('Calc riepilogo'!$B$2,'Calc valanga'!AX161,'Calc palla di neve'!AX161,'Calc personalizzata'!AX161))</f>
        <v/>
      </c>
      <c r="T138" s="70" t="str">
        <f>IF($A138="","",ROUND(N(U137)*(1+'Calc base'!M161),2)-U138)</f>
        <v/>
      </c>
      <c r="U138" s="75" t="str">
        <f>IF($A138="","",CHOOSE('Calc riepilogo'!$B$2,'Calc valanga'!AY161,'Calc palla di neve'!AY161,'Calc personalizzata'!AY161))</f>
        <v/>
      </c>
      <c r="V138" s="70" t="str">
        <f>IF($A138="","",ROUND(N(W137)*(1+'Calc base'!N161),2)-W138)</f>
        <v/>
      </c>
      <c r="W138" s="75" t="str">
        <f>IF($A138="","",CHOOSE('Calc riepilogo'!$B$2,'Calc valanga'!AZ161,'Calc palla di neve'!AZ161,'Calc personalizzata'!AZ161))</f>
        <v/>
      </c>
      <c r="X138" s="70" t="str">
        <f>IF($A138="","",ROUND(N(Y137)*(1+'Calc base'!O161),2)-Y138)</f>
        <v/>
      </c>
      <c r="Y138" s="75" t="str">
        <f>IF($A138="","",CHOOSE('Calc riepilogo'!$B$2,'Calc valanga'!BA161,'Calc palla di neve'!BA161,'Calc personalizzata'!BA161))</f>
        <v/>
      </c>
      <c r="Z138" s="70" t="str">
        <f>IF($A138="","",ROUND(N(AA137)*(1+'Calc base'!P161),2)-AA138)</f>
        <v/>
      </c>
      <c r="AA138" s="75" t="str">
        <f>IF($A138="","",CHOOSE('Calc riepilogo'!$B$2,'Calc valanga'!BB161,'Calc palla di neve'!BB161,'Calc personalizzata'!BB161))</f>
        <v/>
      </c>
      <c r="AB138" s="70" t="str">
        <f>IF($A138="","",ROUND(N(AC137)*(1+'Calc base'!Q161),2)-AC138)</f>
        <v/>
      </c>
      <c r="AC138" s="75" t="str">
        <f>IF($A138="","",CHOOSE('Calc riepilogo'!$B$2,'Calc valanga'!BC161,'Calc palla di neve'!BC161,'Calc personalizzata'!BC161))</f>
        <v/>
      </c>
      <c r="AD138" s="70" t="str">
        <f>IF($A138="","",ROUND(N(AE137)*(1+'Calc base'!R161),2)-AE138)</f>
        <v/>
      </c>
      <c r="AE138" s="75" t="str">
        <f>IF($A138="","",CHOOSE('Calc riepilogo'!$B$2,'Calc valanga'!BD161,'Calc palla di neve'!BD161,'Calc personalizzata'!BD161))</f>
        <v/>
      </c>
      <c r="AF138" s="70" t="str">
        <f>IF($A138="","",ROUND(N(AG137)*(1+'Calc base'!S161),2)-AG138)</f>
        <v/>
      </c>
      <c r="AG138" s="75" t="str">
        <f>IF($A138="","",CHOOSE('Calc riepilogo'!$B$2,'Calc valanga'!BE161,'Calc palla di neve'!BE161,'Calc personalizzata'!BE161))</f>
        <v/>
      </c>
      <c r="AI138" t="n">
        <v>131</v>
      </c>
    </row>
    <row r="139">
      <c r="A139" s="68" t="str">
        <f>IF(132&gt;'Calc riepilogo'!$B$7,"",'Calc base'!$B162)</f>
        <v/>
      </c>
      <c r="B139" s="69" t="str">
        <f>IF($A139="","",'Calc base'!$C162)</f>
        <v/>
      </c>
      <c r="C139" s="69" t="str">
        <f>IF($A139="","",'Calc base'!$E162)</f>
        <v/>
      </c>
      <c r="D139" s="70" t="str">
        <f>IF($A139="","",J139+L139+N139+P139+R139+T139+V139+X139+Z139+AB139+AD139+AF139)</f>
        <v/>
      </c>
      <c r="E139" s="70" t="str">
        <f>IF($A139="","",CHOOSE('Calc riepilogo'!$B$2,'Calc valanga'!$H162,'Calc palla di neve'!$H162,'Calc personalizzata'!$H162))</f>
        <v/>
      </c>
      <c r="F139" s="71" t="str">
        <f>IF($A139="","",CHOOSE('Calc riepilogo'!$B$2,'Calc valanga'!$G162,'Calc palla di neve'!$G162,'Calc personalizzata'!$G162))</f>
        <v/>
      </c>
      <c r="G139" s="72" t="n"/>
      <c r="H139" s="73" t="n"/>
      <c r="I139" s="74" t="str">
        <f>IF($A139="","",TRIM(IF(AND(N(K138)&gt;0,N(K139)&lt;=0.004),"✓ "&amp;'Calc base'!C$6&amp;"   ","")&amp;IF(AND(N(M138)&gt;0,N(M139)&lt;=0.004),"✓ "&amp;'Calc base'!D$6&amp;"   ","")&amp;IF(AND(N(O138)&gt;0,N(O139)&lt;=0.004),"✓ "&amp;'Calc base'!E$6&amp;"   ","")&amp;IF(AND(N(Q138)&gt;0,N(Q139)&lt;=0.004),"✓ "&amp;'Calc base'!F$6&amp;"   ","")&amp;IF(AND(N(S138)&gt;0,N(S139)&lt;=0.004),"✓ "&amp;'Calc base'!G$6&amp;"   ","")&amp;IF(AND(N(U138)&gt;0,N(U139)&lt;=0.004),"✓ "&amp;'Calc base'!H$6&amp;"   ","")&amp;IF(AND(N(W138)&gt;0,N(W139)&lt;=0.004),"✓ "&amp;'Calc base'!I$6&amp;"   ","")&amp;IF(AND(N(Y138)&gt;0,N(Y139)&lt;=0.004),"✓ "&amp;'Calc base'!J$6&amp;"   ","")&amp;IF(AND(N(AA138)&gt;0,N(AA139)&lt;=0.004),"✓ "&amp;'Calc base'!K$6&amp;"   ","")&amp;IF(AND(N(AC138)&gt;0,N(AC139)&lt;=0.004),"✓ "&amp;'Calc base'!L$6&amp;"   ","")&amp;IF(AND(N(AE138)&gt;0,N(AE139)&lt;=0.004),"✓ "&amp;'Calc base'!M$6&amp;"   ","")&amp;IF(AND(N(AG138)&gt;0,N(AG139)&lt;=0.004),"✓ "&amp;'Calc base'!N$6&amp;"   ","")))</f>
        <v/>
      </c>
      <c r="J139" s="70" t="str">
        <f>IF($A139="","",ROUND(N(K138)*(1+'Calc base'!H162),2)-K139)</f>
        <v/>
      </c>
      <c r="K139" s="75" t="str">
        <f>IF($A139="","",CHOOSE('Calc riepilogo'!$B$2,'Calc valanga'!AT162,'Calc palla di neve'!AT162,'Calc personalizzata'!AT162))</f>
        <v/>
      </c>
      <c r="L139" s="70" t="str">
        <f>IF($A139="","",ROUND(N(M138)*(1+'Calc base'!I162),2)-M139)</f>
        <v/>
      </c>
      <c r="M139" s="75" t="str">
        <f>IF($A139="","",CHOOSE('Calc riepilogo'!$B$2,'Calc valanga'!AU162,'Calc palla di neve'!AU162,'Calc personalizzata'!AU162))</f>
        <v/>
      </c>
      <c r="N139" s="70" t="str">
        <f>IF($A139="","",ROUND(N(O138)*(1+'Calc base'!J162),2)-O139)</f>
        <v/>
      </c>
      <c r="O139" s="75" t="str">
        <f>IF($A139="","",CHOOSE('Calc riepilogo'!$B$2,'Calc valanga'!AV162,'Calc palla di neve'!AV162,'Calc personalizzata'!AV162))</f>
        <v/>
      </c>
      <c r="P139" s="70" t="str">
        <f>IF($A139="","",ROUND(N(Q138)*(1+'Calc base'!K162),2)-Q139)</f>
        <v/>
      </c>
      <c r="Q139" s="75" t="str">
        <f>IF($A139="","",CHOOSE('Calc riepilogo'!$B$2,'Calc valanga'!AW162,'Calc palla di neve'!AW162,'Calc personalizzata'!AW162))</f>
        <v/>
      </c>
      <c r="R139" s="70" t="str">
        <f>IF($A139="","",ROUND(N(S138)*(1+'Calc base'!L162),2)-S139)</f>
        <v/>
      </c>
      <c r="S139" s="75" t="str">
        <f>IF($A139="","",CHOOSE('Calc riepilogo'!$B$2,'Calc valanga'!AX162,'Calc palla di neve'!AX162,'Calc personalizzata'!AX162))</f>
        <v/>
      </c>
      <c r="T139" s="70" t="str">
        <f>IF($A139="","",ROUND(N(U138)*(1+'Calc base'!M162),2)-U139)</f>
        <v/>
      </c>
      <c r="U139" s="75" t="str">
        <f>IF($A139="","",CHOOSE('Calc riepilogo'!$B$2,'Calc valanga'!AY162,'Calc palla di neve'!AY162,'Calc personalizzata'!AY162))</f>
        <v/>
      </c>
      <c r="V139" s="70" t="str">
        <f>IF($A139="","",ROUND(N(W138)*(1+'Calc base'!N162),2)-W139)</f>
        <v/>
      </c>
      <c r="W139" s="75" t="str">
        <f>IF($A139="","",CHOOSE('Calc riepilogo'!$B$2,'Calc valanga'!AZ162,'Calc palla di neve'!AZ162,'Calc personalizzata'!AZ162))</f>
        <v/>
      </c>
      <c r="X139" s="70" t="str">
        <f>IF($A139="","",ROUND(N(Y138)*(1+'Calc base'!O162),2)-Y139)</f>
        <v/>
      </c>
      <c r="Y139" s="75" t="str">
        <f>IF($A139="","",CHOOSE('Calc riepilogo'!$B$2,'Calc valanga'!BA162,'Calc palla di neve'!BA162,'Calc personalizzata'!BA162))</f>
        <v/>
      </c>
      <c r="Z139" s="70" t="str">
        <f>IF($A139="","",ROUND(N(AA138)*(1+'Calc base'!P162),2)-AA139)</f>
        <v/>
      </c>
      <c r="AA139" s="75" t="str">
        <f>IF($A139="","",CHOOSE('Calc riepilogo'!$B$2,'Calc valanga'!BB162,'Calc palla di neve'!BB162,'Calc personalizzata'!BB162))</f>
        <v/>
      </c>
      <c r="AB139" s="70" t="str">
        <f>IF($A139="","",ROUND(N(AC138)*(1+'Calc base'!Q162),2)-AC139)</f>
        <v/>
      </c>
      <c r="AC139" s="75" t="str">
        <f>IF($A139="","",CHOOSE('Calc riepilogo'!$B$2,'Calc valanga'!BC162,'Calc palla di neve'!BC162,'Calc personalizzata'!BC162))</f>
        <v/>
      </c>
      <c r="AD139" s="70" t="str">
        <f>IF($A139="","",ROUND(N(AE138)*(1+'Calc base'!R162),2)-AE139)</f>
        <v/>
      </c>
      <c r="AE139" s="75" t="str">
        <f>IF($A139="","",CHOOSE('Calc riepilogo'!$B$2,'Calc valanga'!BD162,'Calc palla di neve'!BD162,'Calc personalizzata'!BD162))</f>
        <v/>
      </c>
      <c r="AF139" s="70" t="str">
        <f>IF($A139="","",ROUND(N(AG138)*(1+'Calc base'!S162),2)-AG139)</f>
        <v/>
      </c>
      <c r="AG139" s="75" t="str">
        <f>IF($A139="","",CHOOSE('Calc riepilogo'!$B$2,'Calc valanga'!BE162,'Calc palla di neve'!BE162,'Calc personalizzata'!BE162))</f>
        <v/>
      </c>
      <c r="AI139" t="n">
        <v>132</v>
      </c>
    </row>
    <row r="140">
      <c r="A140" s="68" t="str">
        <f>IF(133&gt;'Calc riepilogo'!$B$7,"",'Calc base'!$B163)</f>
        <v/>
      </c>
      <c r="B140" s="69" t="str">
        <f>IF($A140="","",'Calc base'!$C163)</f>
        <v/>
      </c>
      <c r="C140" s="69" t="str">
        <f>IF($A140="","",'Calc base'!$E163)</f>
        <v/>
      </c>
      <c r="D140" s="70" t="str">
        <f>IF($A140="","",J140+L140+N140+P140+R140+T140+V140+X140+Z140+AB140+AD140+AF140)</f>
        <v/>
      </c>
      <c r="E140" s="70" t="str">
        <f>IF($A140="","",CHOOSE('Calc riepilogo'!$B$2,'Calc valanga'!$H163,'Calc palla di neve'!$H163,'Calc personalizzata'!$H163))</f>
        <v/>
      </c>
      <c r="F140" s="71" t="str">
        <f>IF($A140="","",CHOOSE('Calc riepilogo'!$B$2,'Calc valanga'!$G163,'Calc palla di neve'!$G163,'Calc personalizzata'!$G163))</f>
        <v/>
      </c>
      <c r="G140" s="72" t="n"/>
      <c r="H140" s="73" t="n"/>
      <c r="I140" s="74" t="str">
        <f>IF($A140="","",TRIM(IF(AND(N(K139)&gt;0,N(K140)&lt;=0.004),"✓ "&amp;'Calc base'!C$6&amp;"   ","")&amp;IF(AND(N(M139)&gt;0,N(M140)&lt;=0.004),"✓ "&amp;'Calc base'!D$6&amp;"   ","")&amp;IF(AND(N(O139)&gt;0,N(O140)&lt;=0.004),"✓ "&amp;'Calc base'!E$6&amp;"   ","")&amp;IF(AND(N(Q139)&gt;0,N(Q140)&lt;=0.004),"✓ "&amp;'Calc base'!F$6&amp;"   ","")&amp;IF(AND(N(S139)&gt;0,N(S140)&lt;=0.004),"✓ "&amp;'Calc base'!G$6&amp;"   ","")&amp;IF(AND(N(U139)&gt;0,N(U140)&lt;=0.004),"✓ "&amp;'Calc base'!H$6&amp;"   ","")&amp;IF(AND(N(W139)&gt;0,N(W140)&lt;=0.004),"✓ "&amp;'Calc base'!I$6&amp;"   ","")&amp;IF(AND(N(Y139)&gt;0,N(Y140)&lt;=0.004),"✓ "&amp;'Calc base'!J$6&amp;"   ","")&amp;IF(AND(N(AA139)&gt;0,N(AA140)&lt;=0.004),"✓ "&amp;'Calc base'!K$6&amp;"   ","")&amp;IF(AND(N(AC139)&gt;0,N(AC140)&lt;=0.004),"✓ "&amp;'Calc base'!L$6&amp;"   ","")&amp;IF(AND(N(AE139)&gt;0,N(AE140)&lt;=0.004),"✓ "&amp;'Calc base'!M$6&amp;"   ","")&amp;IF(AND(N(AG139)&gt;0,N(AG140)&lt;=0.004),"✓ "&amp;'Calc base'!N$6&amp;"   ","")))</f>
        <v/>
      </c>
      <c r="J140" s="70" t="str">
        <f>IF($A140="","",ROUND(N(K139)*(1+'Calc base'!H163),2)-K140)</f>
        <v/>
      </c>
      <c r="K140" s="75" t="str">
        <f>IF($A140="","",CHOOSE('Calc riepilogo'!$B$2,'Calc valanga'!AT163,'Calc palla di neve'!AT163,'Calc personalizzata'!AT163))</f>
        <v/>
      </c>
      <c r="L140" s="70" t="str">
        <f>IF($A140="","",ROUND(N(M139)*(1+'Calc base'!I163),2)-M140)</f>
        <v/>
      </c>
      <c r="M140" s="75" t="str">
        <f>IF($A140="","",CHOOSE('Calc riepilogo'!$B$2,'Calc valanga'!AU163,'Calc palla di neve'!AU163,'Calc personalizzata'!AU163))</f>
        <v/>
      </c>
      <c r="N140" s="70" t="str">
        <f>IF($A140="","",ROUND(N(O139)*(1+'Calc base'!J163),2)-O140)</f>
        <v/>
      </c>
      <c r="O140" s="75" t="str">
        <f>IF($A140="","",CHOOSE('Calc riepilogo'!$B$2,'Calc valanga'!AV163,'Calc palla di neve'!AV163,'Calc personalizzata'!AV163))</f>
        <v/>
      </c>
      <c r="P140" s="70" t="str">
        <f>IF($A140="","",ROUND(N(Q139)*(1+'Calc base'!K163),2)-Q140)</f>
        <v/>
      </c>
      <c r="Q140" s="75" t="str">
        <f>IF($A140="","",CHOOSE('Calc riepilogo'!$B$2,'Calc valanga'!AW163,'Calc palla di neve'!AW163,'Calc personalizzata'!AW163))</f>
        <v/>
      </c>
      <c r="R140" s="70" t="str">
        <f>IF($A140="","",ROUND(N(S139)*(1+'Calc base'!L163),2)-S140)</f>
        <v/>
      </c>
      <c r="S140" s="75" t="str">
        <f>IF($A140="","",CHOOSE('Calc riepilogo'!$B$2,'Calc valanga'!AX163,'Calc palla di neve'!AX163,'Calc personalizzata'!AX163))</f>
        <v/>
      </c>
      <c r="T140" s="70" t="str">
        <f>IF($A140="","",ROUND(N(U139)*(1+'Calc base'!M163),2)-U140)</f>
        <v/>
      </c>
      <c r="U140" s="75" t="str">
        <f>IF($A140="","",CHOOSE('Calc riepilogo'!$B$2,'Calc valanga'!AY163,'Calc palla di neve'!AY163,'Calc personalizzata'!AY163))</f>
        <v/>
      </c>
      <c r="V140" s="70" t="str">
        <f>IF($A140="","",ROUND(N(W139)*(1+'Calc base'!N163),2)-W140)</f>
        <v/>
      </c>
      <c r="W140" s="75" t="str">
        <f>IF($A140="","",CHOOSE('Calc riepilogo'!$B$2,'Calc valanga'!AZ163,'Calc palla di neve'!AZ163,'Calc personalizzata'!AZ163))</f>
        <v/>
      </c>
      <c r="X140" s="70" t="str">
        <f>IF($A140="","",ROUND(N(Y139)*(1+'Calc base'!O163),2)-Y140)</f>
        <v/>
      </c>
      <c r="Y140" s="75" t="str">
        <f>IF($A140="","",CHOOSE('Calc riepilogo'!$B$2,'Calc valanga'!BA163,'Calc palla di neve'!BA163,'Calc personalizzata'!BA163))</f>
        <v/>
      </c>
      <c r="Z140" s="70" t="str">
        <f>IF($A140="","",ROUND(N(AA139)*(1+'Calc base'!P163),2)-AA140)</f>
        <v/>
      </c>
      <c r="AA140" s="75" t="str">
        <f>IF($A140="","",CHOOSE('Calc riepilogo'!$B$2,'Calc valanga'!BB163,'Calc palla di neve'!BB163,'Calc personalizzata'!BB163))</f>
        <v/>
      </c>
      <c r="AB140" s="70" t="str">
        <f>IF($A140="","",ROUND(N(AC139)*(1+'Calc base'!Q163),2)-AC140)</f>
        <v/>
      </c>
      <c r="AC140" s="75" t="str">
        <f>IF($A140="","",CHOOSE('Calc riepilogo'!$B$2,'Calc valanga'!BC163,'Calc palla di neve'!BC163,'Calc personalizzata'!BC163))</f>
        <v/>
      </c>
      <c r="AD140" s="70" t="str">
        <f>IF($A140="","",ROUND(N(AE139)*(1+'Calc base'!R163),2)-AE140)</f>
        <v/>
      </c>
      <c r="AE140" s="75" t="str">
        <f>IF($A140="","",CHOOSE('Calc riepilogo'!$B$2,'Calc valanga'!BD163,'Calc palla di neve'!BD163,'Calc personalizzata'!BD163))</f>
        <v/>
      </c>
      <c r="AF140" s="70" t="str">
        <f>IF($A140="","",ROUND(N(AG139)*(1+'Calc base'!S163),2)-AG140)</f>
        <v/>
      </c>
      <c r="AG140" s="75" t="str">
        <f>IF($A140="","",CHOOSE('Calc riepilogo'!$B$2,'Calc valanga'!BE163,'Calc palla di neve'!BE163,'Calc personalizzata'!BE163))</f>
        <v/>
      </c>
      <c r="AI140" t="n">
        <v>133</v>
      </c>
    </row>
    <row r="141">
      <c r="A141" s="68" t="str">
        <f>IF(134&gt;'Calc riepilogo'!$B$7,"",'Calc base'!$B164)</f>
        <v/>
      </c>
      <c r="B141" s="69" t="str">
        <f>IF($A141="","",'Calc base'!$C164)</f>
        <v/>
      </c>
      <c r="C141" s="69" t="str">
        <f>IF($A141="","",'Calc base'!$E164)</f>
        <v/>
      </c>
      <c r="D141" s="70" t="str">
        <f>IF($A141="","",J141+L141+N141+P141+R141+T141+V141+X141+Z141+AB141+AD141+AF141)</f>
        <v/>
      </c>
      <c r="E141" s="70" t="str">
        <f>IF($A141="","",CHOOSE('Calc riepilogo'!$B$2,'Calc valanga'!$H164,'Calc palla di neve'!$H164,'Calc personalizzata'!$H164))</f>
        <v/>
      </c>
      <c r="F141" s="71" t="str">
        <f>IF($A141="","",CHOOSE('Calc riepilogo'!$B$2,'Calc valanga'!$G164,'Calc palla di neve'!$G164,'Calc personalizzata'!$G164))</f>
        <v/>
      </c>
      <c r="G141" s="72" t="n"/>
      <c r="H141" s="73" t="n"/>
      <c r="I141" s="74" t="str">
        <f>IF($A141="","",TRIM(IF(AND(N(K140)&gt;0,N(K141)&lt;=0.004),"✓ "&amp;'Calc base'!C$6&amp;"   ","")&amp;IF(AND(N(M140)&gt;0,N(M141)&lt;=0.004),"✓ "&amp;'Calc base'!D$6&amp;"   ","")&amp;IF(AND(N(O140)&gt;0,N(O141)&lt;=0.004),"✓ "&amp;'Calc base'!E$6&amp;"   ","")&amp;IF(AND(N(Q140)&gt;0,N(Q141)&lt;=0.004),"✓ "&amp;'Calc base'!F$6&amp;"   ","")&amp;IF(AND(N(S140)&gt;0,N(S141)&lt;=0.004),"✓ "&amp;'Calc base'!G$6&amp;"   ","")&amp;IF(AND(N(U140)&gt;0,N(U141)&lt;=0.004),"✓ "&amp;'Calc base'!H$6&amp;"   ","")&amp;IF(AND(N(W140)&gt;0,N(W141)&lt;=0.004),"✓ "&amp;'Calc base'!I$6&amp;"   ","")&amp;IF(AND(N(Y140)&gt;0,N(Y141)&lt;=0.004),"✓ "&amp;'Calc base'!J$6&amp;"   ","")&amp;IF(AND(N(AA140)&gt;0,N(AA141)&lt;=0.004),"✓ "&amp;'Calc base'!K$6&amp;"   ","")&amp;IF(AND(N(AC140)&gt;0,N(AC141)&lt;=0.004),"✓ "&amp;'Calc base'!L$6&amp;"   ","")&amp;IF(AND(N(AE140)&gt;0,N(AE141)&lt;=0.004),"✓ "&amp;'Calc base'!M$6&amp;"   ","")&amp;IF(AND(N(AG140)&gt;0,N(AG141)&lt;=0.004),"✓ "&amp;'Calc base'!N$6&amp;"   ","")))</f>
        <v/>
      </c>
      <c r="J141" s="70" t="str">
        <f>IF($A141="","",ROUND(N(K140)*(1+'Calc base'!H164),2)-K141)</f>
        <v/>
      </c>
      <c r="K141" s="75" t="str">
        <f>IF($A141="","",CHOOSE('Calc riepilogo'!$B$2,'Calc valanga'!AT164,'Calc palla di neve'!AT164,'Calc personalizzata'!AT164))</f>
        <v/>
      </c>
      <c r="L141" s="70" t="str">
        <f>IF($A141="","",ROUND(N(M140)*(1+'Calc base'!I164),2)-M141)</f>
        <v/>
      </c>
      <c r="M141" s="75" t="str">
        <f>IF($A141="","",CHOOSE('Calc riepilogo'!$B$2,'Calc valanga'!AU164,'Calc palla di neve'!AU164,'Calc personalizzata'!AU164))</f>
        <v/>
      </c>
      <c r="N141" s="70" t="str">
        <f>IF($A141="","",ROUND(N(O140)*(1+'Calc base'!J164),2)-O141)</f>
        <v/>
      </c>
      <c r="O141" s="75" t="str">
        <f>IF($A141="","",CHOOSE('Calc riepilogo'!$B$2,'Calc valanga'!AV164,'Calc palla di neve'!AV164,'Calc personalizzata'!AV164))</f>
        <v/>
      </c>
      <c r="P141" s="70" t="str">
        <f>IF($A141="","",ROUND(N(Q140)*(1+'Calc base'!K164),2)-Q141)</f>
        <v/>
      </c>
      <c r="Q141" s="75" t="str">
        <f>IF($A141="","",CHOOSE('Calc riepilogo'!$B$2,'Calc valanga'!AW164,'Calc palla di neve'!AW164,'Calc personalizzata'!AW164))</f>
        <v/>
      </c>
      <c r="R141" s="70" t="str">
        <f>IF($A141="","",ROUND(N(S140)*(1+'Calc base'!L164),2)-S141)</f>
        <v/>
      </c>
      <c r="S141" s="75" t="str">
        <f>IF($A141="","",CHOOSE('Calc riepilogo'!$B$2,'Calc valanga'!AX164,'Calc palla di neve'!AX164,'Calc personalizzata'!AX164))</f>
        <v/>
      </c>
      <c r="T141" s="70" t="str">
        <f>IF($A141="","",ROUND(N(U140)*(1+'Calc base'!M164),2)-U141)</f>
        <v/>
      </c>
      <c r="U141" s="75" t="str">
        <f>IF($A141="","",CHOOSE('Calc riepilogo'!$B$2,'Calc valanga'!AY164,'Calc palla di neve'!AY164,'Calc personalizzata'!AY164))</f>
        <v/>
      </c>
      <c r="V141" s="70" t="str">
        <f>IF($A141="","",ROUND(N(W140)*(1+'Calc base'!N164),2)-W141)</f>
        <v/>
      </c>
      <c r="W141" s="75" t="str">
        <f>IF($A141="","",CHOOSE('Calc riepilogo'!$B$2,'Calc valanga'!AZ164,'Calc palla di neve'!AZ164,'Calc personalizzata'!AZ164))</f>
        <v/>
      </c>
      <c r="X141" s="70" t="str">
        <f>IF($A141="","",ROUND(N(Y140)*(1+'Calc base'!O164),2)-Y141)</f>
        <v/>
      </c>
      <c r="Y141" s="75" t="str">
        <f>IF($A141="","",CHOOSE('Calc riepilogo'!$B$2,'Calc valanga'!BA164,'Calc palla di neve'!BA164,'Calc personalizzata'!BA164))</f>
        <v/>
      </c>
      <c r="Z141" s="70" t="str">
        <f>IF($A141="","",ROUND(N(AA140)*(1+'Calc base'!P164),2)-AA141)</f>
        <v/>
      </c>
      <c r="AA141" s="75" t="str">
        <f>IF($A141="","",CHOOSE('Calc riepilogo'!$B$2,'Calc valanga'!BB164,'Calc palla di neve'!BB164,'Calc personalizzata'!BB164))</f>
        <v/>
      </c>
      <c r="AB141" s="70" t="str">
        <f>IF($A141="","",ROUND(N(AC140)*(1+'Calc base'!Q164),2)-AC141)</f>
        <v/>
      </c>
      <c r="AC141" s="75" t="str">
        <f>IF($A141="","",CHOOSE('Calc riepilogo'!$B$2,'Calc valanga'!BC164,'Calc palla di neve'!BC164,'Calc personalizzata'!BC164))</f>
        <v/>
      </c>
      <c r="AD141" s="70" t="str">
        <f>IF($A141="","",ROUND(N(AE140)*(1+'Calc base'!R164),2)-AE141)</f>
        <v/>
      </c>
      <c r="AE141" s="75" t="str">
        <f>IF($A141="","",CHOOSE('Calc riepilogo'!$B$2,'Calc valanga'!BD164,'Calc palla di neve'!BD164,'Calc personalizzata'!BD164))</f>
        <v/>
      </c>
      <c r="AF141" s="70" t="str">
        <f>IF($A141="","",ROUND(N(AG140)*(1+'Calc base'!S164),2)-AG141)</f>
        <v/>
      </c>
      <c r="AG141" s="75" t="str">
        <f>IF($A141="","",CHOOSE('Calc riepilogo'!$B$2,'Calc valanga'!BE164,'Calc palla di neve'!BE164,'Calc personalizzata'!BE164))</f>
        <v/>
      </c>
      <c r="AI141" t="n">
        <v>134</v>
      </c>
    </row>
    <row r="142">
      <c r="A142" s="68" t="str">
        <f>IF(135&gt;'Calc riepilogo'!$B$7,"",'Calc base'!$B165)</f>
        <v/>
      </c>
      <c r="B142" s="69" t="str">
        <f>IF($A142="","",'Calc base'!$C165)</f>
        <v/>
      </c>
      <c r="C142" s="69" t="str">
        <f>IF($A142="","",'Calc base'!$E165)</f>
        <v/>
      </c>
      <c r="D142" s="70" t="str">
        <f>IF($A142="","",J142+L142+N142+P142+R142+T142+V142+X142+Z142+AB142+AD142+AF142)</f>
        <v/>
      </c>
      <c r="E142" s="70" t="str">
        <f>IF($A142="","",CHOOSE('Calc riepilogo'!$B$2,'Calc valanga'!$H165,'Calc palla di neve'!$H165,'Calc personalizzata'!$H165))</f>
        <v/>
      </c>
      <c r="F142" s="71" t="str">
        <f>IF($A142="","",CHOOSE('Calc riepilogo'!$B$2,'Calc valanga'!$G165,'Calc palla di neve'!$G165,'Calc personalizzata'!$G165))</f>
        <v/>
      </c>
      <c r="G142" s="72" t="n"/>
      <c r="H142" s="73" t="n"/>
      <c r="I142" s="74" t="str">
        <f>IF($A142="","",TRIM(IF(AND(N(K141)&gt;0,N(K142)&lt;=0.004),"✓ "&amp;'Calc base'!C$6&amp;"   ","")&amp;IF(AND(N(M141)&gt;0,N(M142)&lt;=0.004),"✓ "&amp;'Calc base'!D$6&amp;"   ","")&amp;IF(AND(N(O141)&gt;0,N(O142)&lt;=0.004),"✓ "&amp;'Calc base'!E$6&amp;"   ","")&amp;IF(AND(N(Q141)&gt;0,N(Q142)&lt;=0.004),"✓ "&amp;'Calc base'!F$6&amp;"   ","")&amp;IF(AND(N(S141)&gt;0,N(S142)&lt;=0.004),"✓ "&amp;'Calc base'!G$6&amp;"   ","")&amp;IF(AND(N(U141)&gt;0,N(U142)&lt;=0.004),"✓ "&amp;'Calc base'!H$6&amp;"   ","")&amp;IF(AND(N(W141)&gt;0,N(W142)&lt;=0.004),"✓ "&amp;'Calc base'!I$6&amp;"   ","")&amp;IF(AND(N(Y141)&gt;0,N(Y142)&lt;=0.004),"✓ "&amp;'Calc base'!J$6&amp;"   ","")&amp;IF(AND(N(AA141)&gt;0,N(AA142)&lt;=0.004),"✓ "&amp;'Calc base'!K$6&amp;"   ","")&amp;IF(AND(N(AC141)&gt;0,N(AC142)&lt;=0.004),"✓ "&amp;'Calc base'!L$6&amp;"   ","")&amp;IF(AND(N(AE141)&gt;0,N(AE142)&lt;=0.004),"✓ "&amp;'Calc base'!M$6&amp;"   ","")&amp;IF(AND(N(AG141)&gt;0,N(AG142)&lt;=0.004),"✓ "&amp;'Calc base'!N$6&amp;"   ","")))</f>
        <v/>
      </c>
      <c r="J142" s="70" t="str">
        <f>IF($A142="","",ROUND(N(K141)*(1+'Calc base'!H165),2)-K142)</f>
        <v/>
      </c>
      <c r="K142" s="75" t="str">
        <f>IF($A142="","",CHOOSE('Calc riepilogo'!$B$2,'Calc valanga'!AT165,'Calc palla di neve'!AT165,'Calc personalizzata'!AT165))</f>
        <v/>
      </c>
      <c r="L142" s="70" t="str">
        <f>IF($A142="","",ROUND(N(M141)*(1+'Calc base'!I165),2)-M142)</f>
        <v/>
      </c>
      <c r="M142" s="75" t="str">
        <f>IF($A142="","",CHOOSE('Calc riepilogo'!$B$2,'Calc valanga'!AU165,'Calc palla di neve'!AU165,'Calc personalizzata'!AU165))</f>
        <v/>
      </c>
      <c r="N142" s="70" t="str">
        <f>IF($A142="","",ROUND(N(O141)*(1+'Calc base'!J165),2)-O142)</f>
        <v/>
      </c>
      <c r="O142" s="75" t="str">
        <f>IF($A142="","",CHOOSE('Calc riepilogo'!$B$2,'Calc valanga'!AV165,'Calc palla di neve'!AV165,'Calc personalizzata'!AV165))</f>
        <v/>
      </c>
      <c r="P142" s="70" t="str">
        <f>IF($A142="","",ROUND(N(Q141)*(1+'Calc base'!K165),2)-Q142)</f>
        <v/>
      </c>
      <c r="Q142" s="75" t="str">
        <f>IF($A142="","",CHOOSE('Calc riepilogo'!$B$2,'Calc valanga'!AW165,'Calc palla di neve'!AW165,'Calc personalizzata'!AW165))</f>
        <v/>
      </c>
      <c r="R142" s="70" t="str">
        <f>IF($A142="","",ROUND(N(S141)*(1+'Calc base'!L165),2)-S142)</f>
        <v/>
      </c>
      <c r="S142" s="75" t="str">
        <f>IF($A142="","",CHOOSE('Calc riepilogo'!$B$2,'Calc valanga'!AX165,'Calc palla di neve'!AX165,'Calc personalizzata'!AX165))</f>
        <v/>
      </c>
      <c r="T142" s="70" t="str">
        <f>IF($A142="","",ROUND(N(U141)*(1+'Calc base'!M165),2)-U142)</f>
        <v/>
      </c>
      <c r="U142" s="75" t="str">
        <f>IF($A142="","",CHOOSE('Calc riepilogo'!$B$2,'Calc valanga'!AY165,'Calc palla di neve'!AY165,'Calc personalizzata'!AY165))</f>
        <v/>
      </c>
      <c r="V142" s="70" t="str">
        <f>IF($A142="","",ROUND(N(W141)*(1+'Calc base'!N165),2)-W142)</f>
        <v/>
      </c>
      <c r="W142" s="75" t="str">
        <f>IF($A142="","",CHOOSE('Calc riepilogo'!$B$2,'Calc valanga'!AZ165,'Calc palla di neve'!AZ165,'Calc personalizzata'!AZ165))</f>
        <v/>
      </c>
      <c r="X142" s="70" t="str">
        <f>IF($A142="","",ROUND(N(Y141)*(1+'Calc base'!O165),2)-Y142)</f>
        <v/>
      </c>
      <c r="Y142" s="75" t="str">
        <f>IF($A142="","",CHOOSE('Calc riepilogo'!$B$2,'Calc valanga'!BA165,'Calc palla di neve'!BA165,'Calc personalizzata'!BA165))</f>
        <v/>
      </c>
      <c r="Z142" s="70" t="str">
        <f>IF($A142="","",ROUND(N(AA141)*(1+'Calc base'!P165),2)-AA142)</f>
        <v/>
      </c>
      <c r="AA142" s="75" t="str">
        <f>IF($A142="","",CHOOSE('Calc riepilogo'!$B$2,'Calc valanga'!BB165,'Calc palla di neve'!BB165,'Calc personalizzata'!BB165))</f>
        <v/>
      </c>
      <c r="AB142" s="70" t="str">
        <f>IF($A142="","",ROUND(N(AC141)*(1+'Calc base'!Q165),2)-AC142)</f>
        <v/>
      </c>
      <c r="AC142" s="75" t="str">
        <f>IF($A142="","",CHOOSE('Calc riepilogo'!$B$2,'Calc valanga'!BC165,'Calc palla di neve'!BC165,'Calc personalizzata'!BC165))</f>
        <v/>
      </c>
      <c r="AD142" s="70" t="str">
        <f>IF($A142="","",ROUND(N(AE141)*(1+'Calc base'!R165),2)-AE142)</f>
        <v/>
      </c>
      <c r="AE142" s="75" t="str">
        <f>IF($A142="","",CHOOSE('Calc riepilogo'!$B$2,'Calc valanga'!BD165,'Calc palla di neve'!BD165,'Calc personalizzata'!BD165))</f>
        <v/>
      </c>
      <c r="AF142" s="70" t="str">
        <f>IF($A142="","",ROUND(N(AG141)*(1+'Calc base'!S165),2)-AG142)</f>
        <v/>
      </c>
      <c r="AG142" s="75" t="str">
        <f>IF($A142="","",CHOOSE('Calc riepilogo'!$B$2,'Calc valanga'!BE165,'Calc palla di neve'!BE165,'Calc personalizzata'!BE165))</f>
        <v/>
      </c>
      <c r="AI142" t="n">
        <v>135</v>
      </c>
    </row>
    <row r="143">
      <c r="A143" s="68" t="str">
        <f>IF(136&gt;'Calc riepilogo'!$B$7,"",'Calc base'!$B166)</f>
        <v/>
      </c>
      <c r="B143" s="69" t="str">
        <f>IF($A143="","",'Calc base'!$C166)</f>
        <v/>
      </c>
      <c r="C143" s="69" t="str">
        <f>IF($A143="","",'Calc base'!$E166)</f>
        <v/>
      </c>
      <c r="D143" s="70" t="str">
        <f>IF($A143="","",J143+L143+N143+P143+R143+T143+V143+X143+Z143+AB143+AD143+AF143)</f>
        <v/>
      </c>
      <c r="E143" s="70" t="str">
        <f>IF($A143="","",CHOOSE('Calc riepilogo'!$B$2,'Calc valanga'!$H166,'Calc palla di neve'!$H166,'Calc personalizzata'!$H166))</f>
        <v/>
      </c>
      <c r="F143" s="71" t="str">
        <f>IF($A143="","",CHOOSE('Calc riepilogo'!$B$2,'Calc valanga'!$G166,'Calc palla di neve'!$G166,'Calc personalizzata'!$G166))</f>
        <v/>
      </c>
      <c r="G143" s="72" t="n"/>
      <c r="H143" s="73" t="n"/>
      <c r="I143" s="74" t="str">
        <f>IF($A143="","",TRIM(IF(AND(N(K142)&gt;0,N(K143)&lt;=0.004),"✓ "&amp;'Calc base'!C$6&amp;"   ","")&amp;IF(AND(N(M142)&gt;0,N(M143)&lt;=0.004),"✓ "&amp;'Calc base'!D$6&amp;"   ","")&amp;IF(AND(N(O142)&gt;0,N(O143)&lt;=0.004),"✓ "&amp;'Calc base'!E$6&amp;"   ","")&amp;IF(AND(N(Q142)&gt;0,N(Q143)&lt;=0.004),"✓ "&amp;'Calc base'!F$6&amp;"   ","")&amp;IF(AND(N(S142)&gt;0,N(S143)&lt;=0.004),"✓ "&amp;'Calc base'!G$6&amp;"   ","")&amp;IF(AND(N(U142)&gt;0,N(U143)&lt;=0.004),"✓ "&amp;'Calc base'!H$6&amp;"   ","")&amp;IF(AND(N(W142)&gt;0,N(W143)&lt;=0.004),"✓ "&amp;'Calc base'!I$6&amp;"   ","")&amp;IF(AND(N(Y142)&gt;0,N(Y143)&lt;=0.004),"✓ "&amp;'Calc base'!J$6&amp;"   ","")&amp;IF(AND(N(AA142)&gt;0,N(AA143)&lt;=0.004),"✓ "&amp;'Calc base'!K$6&amp;"   ","")&amp;IF(AND(N(AC142)&gt;0,N(AC143)&lt;=0.004),"✓ "&amp;'Calc base'!L$6&amp;"   ","")&amp;IF(AND(N(AE142)&gt;0,N(AE143)&lt;=0.004),"✓ "&amp;'Calc base'!M$6&amp;"   ","")&amp;IF(AND(N(AG142)&gt;0,N(AG143)&lt;=0.004),"✓ "&amp;'Calc base'!N$6&amp;"   ","")))</f>
        <v/>
      </c>
      <c r="J143" s="70" t="str">
        <f>IF($A143="","",ROUND(N(K142)*(1+'Calc base'!H166),2)-K143)</f>
        <v/>
      </c>
      <c r="K143" s="75" t="str">
        <f>IF($A143="","",CHOOSE('Calc riepilogo'!$B$2,'Calc valanga'!AT166,'Calc palla di neve'!AT166,'Calc personalizzata'!AT166))</f>
        <v/>
      </c>
      <c r="L143" s="70" t="str">
        <f>IF($A143="","",ROUND(N(M142)*(1+'Calc base'!I166),2)-M143)</f>
        <v/>
      </c>
      <c r="M143" s="75" t="str">
        <f>IF($A143="","",CHOOSE('Calc riepilogo'!$B$2,'Calc valanga'!AU166,'Calc palla di neve'!AU166,'Calc personalizzata'!AU166))</f>
        <v/>
      </c>
      <c r="N143" s="70" t="str">
        <f>IF($A143="","",ROUND(N(O142)*(1+'Calc base'!J166),2)-O143)</f>
        <v/>
      </c>
      <c r="O143" s="75" t="str">
        <f>IF($A143="","",CHOOSE('Calc riepilogo'!$B$2,'Calc valanga'!AV166,'Calc palla di neve'!AV166,'Calc personalizzata'!AV166))</f>
        <v/>
      </c>
      <c r="P143" s="70" t="str">
        <f>IF($A143="","",ROUND(N(Q142)*(1+'Calc base'!K166),2)-Q143)</f>
        <v/>
      </c>
      <c r="Q143" s="75" t="str">
        <f>IF($A143="","",CHOOSE('Calc riepilogo'!$B$2,'Calc valanga'!AW166,'Calc palla di neve'!AW166,'Calc personalizzata'!AW166))</f>
        <v/>
      </c>
      <c r="R143" s="70" t="str">
        <f>IF($A143="","",ROUND(N(S142)*(1+'Calc base'!L166),2)-S143)</f>
        <v/>
      </c>
      <c r="S143" s="75" t="str">
        <f>IF($A143="","",CHOOSE('Calc riepilogo'!$B$2,'Calc valanga'!AX166,'Calc palla di neve'!AX166,'Calc personalizzata'!AX166))</f>
        <v/>
      </c>
      <c r="T143" s="70" t="str">
        <f>IF($A143="","",ROUND(N(U142)*(1+'Calc base'!M166),2)-U143)</f>
        <v/>
      </c>
      <c r="U143" s="75" t="str">
        <f>IF($A143="","",CHOOSE('Calc riepilogo'!$B$2,'Calc valanga'!AY166,'Calc palla di neve'!AY166,'Calc personalizzata'!AY166))</f>
        <v/>
      </c>
      <c r="V143" s="70" t="str">
        <f>IF($A143="","",ROUND(N(W142)*(1+'Calc base'!N166),2)-W143)</f>
        <v/>
      </c>
      <c r="W143" s="75" t="str">
        <f>IF($A143="","",CHOOSE('Calc riepilogo'!$B$2,'Calc valanga'!AZ166,'Calc palla di neve'!AZ166,'Calc personalizzata'!AZ166))</f>
        <v/>
      </c>
      <c r="X143" s="70" t="str">
        <f>IF($A143="","",ROUND(N(Y142)*(1+'Calc base'!O166),2)-Y143)</f>
        <v/>
      </c>
      <c r="Y143" s="75" t="str">
        <f>IF($A143="","",CHOOSE('Calc riepilogo'!$B$2,'Calc valanga'!BA166,'Calc palla di neve'!BA166,'Calc personalizzata'!BA166))</f>
        <v/>
      </c>
      <c r="Z143" s="70" t="str">
        <f>IF($A143="","",ROUND(N(AA142)*(1+'Calc base'!P166),2)-AA143)</f>
        <v/>
      </c>
      <c r="AA143" s="75" t="str">
        <f>IF($A143="","",CHOOSE('Calc riepilogo'!$B$2,'Calc valanga'!BB166,'Calc palla di neve'!BB166,'Calc personalizzata'!BB166))</f>
        <v/>
      </c>
      <c r="AB143" s="70" t="str">
        <f>IF($A143="","",ROUND(N(AC142)*(1+'Calc base'!Q166),2)-AC143)</f>
        <v/>
      </c>
      <c r="AC143" s="75" t="str">
        <f>IF($A143="","",CHOOSE('Calc riepilogo'!$B$2,'Calc valanga'!BC166,'Calc palla di neve'!BC166,'Calc personalizzata'!BC166))</f>
        <v/>
      </c>
      <c r="AD143" s="70" t="str">
        <f>IF($A143="","",ROUND(N(AE142)*(1+'Calc base'!R166),2)-AE143)</f>
        <v/>
      </c>
      <c r="AE143" s="75" t="str">
        <f>IF($A143="","",CHOOSE('Calc riepilogo'!$B$2,'Calc valanga'!BD166,'Calc palla di neve'!BD166,'Calc personalizzata'!BD166))</f>
        <v/>
      </c>
      <c r="AF143" s="70" t="str">
        <f>IF($A143="","",ROUND(N(AG142)*(1+'Calc base'!S166),2)-AG143)</f>
        <v/>
      </c>
      <c r="AG143" s="75" t="str">
        <f>IF($A143="","",CHOOSE('Calc riepilogo'!$B$2,'Calc valanga'!BE166,'Calc palla di neve'!BE166,'Calc personalizzata'!BE166))</f>
        <v/>
      </c>
      <c r="AI143" t="n">
        <v>136</v>
      </c>
    </row>
    <row r="144">
      <c r="A144" s="68" t="str">
        <f>IF(137&gt;'Calc riepilogo'!$B$7,"",'Calc base'!$B167)</f>
        <v/>
      </c>
      <c r="B144" s="69" t="str">
        <f>IF($A144="","",'Calc base'!$C167)</f>
        <v/>
      </c>
      <c r="C144" s="69" t="str">
        <f>IF($A144="","",'Calc base'!$E167)</f>
        <v/>
      </c>
      <c r="D144" s="70" t="str">
        <f>IF($A144="","",J144+L144+N144+P144+R144+T144+V144+X144+Z144+AB144+AD144+AF144)</f>
        <v/>
      </c>
      <c r="E144" s="70" t="str">
        <f>IF($A144="","",CHOOSE('Calc riepilogo'!$B$2,'Calc valanga'!$H167,'Calc palla di neve'!$H167,'Calc personalizzata'!$H167))</f>
        <v/>
      </c>
      <c r="F144" s="71" t="str">
        <f>IF($A144="","",CHOOSE('Calc riepilogo'!$B$2,'Calc valanga'!$G167,'Calc palla di neve'!$G167,'Calc personalizzata'!$G167))</f>
        <v/>
      </c>
      <c r="G144" s="72" t="n"/>
      <c r="H144" s="73" t="n"/>
      <c r="I144" s="74" t="str">
        <f>IF($A144="","",TRIM(IF(AND(N(K143)&gt;0,N(K144)&lt;=0.004),"✓ "&amp;'Calc base'!C$6&amp;"   ","")&amp;IF(AND(N(M143)&gt;0,N(M144)&lt;=0.004),"✓ "&amp;'Calc base'!D$6&amp;"   ","")&amp;IF(AND(N(O143)&gt;0,N(O144)&lt;=0.004),"✓ "&amp;'Calc base'!E$6&amp;"   ","")&amp;IF(AND(N(Q143)&gt;0,N(Q144)&lt;=0.004),"✓ "&amp;'Calc base'!F$6&amp;"   ","")&amp;IF(AND(N(S143)&gt;0,N(S144)&lt;=0.004),"✓ "&amp;'Calc base'!G$6&amp;"   ","")&amp;IF(AND(N(U143)&gt;0,N(U144)&lt;=0.004),"✓ "&amp;'Calc base'!H$6&amp;"   ","")&amp;IF(AND(N(W143)&gt;0,N(W144)&lt;=0.004),"✓ "&amp;'Calc base'!I$6&amp;"   ","")&amp;IF(AND(N(Y143)&gt;0,N(Y144)&lt;=0.004),"✓ "&amp;'Calc base'!J$6&amp;"   ","")&amp;IF(AND(N(AA143)&gt;0,N(AA144)&lt;=0.004),"✓ "&amp;'Calc base'!K$6&amp;"   ","")&amp;IF(AND(N(AC143)&gt;0,N(AC144)&lt;=0.004),"✓ "&amp;'Calc base'!L$6&amp;"   ","")&amp;IF(AND(N(AE143)&gt;0,N(AE144)&lt;=0.004),"✓ "&amp;'Calc base'!M$6&amp;"   ","")&amp;IF(AND(N(AG143)&gt;0,N(AG144)&lt;=0.004),"✓ "&amp;'Calc base'!N$6&amp;"   ","")))</f>
        <v/>
      </c>
      <c r="J144" s="70" t="str">
        <f>IF($A144="","",ROUND(N(K143)*(1+'Calc base'!H167),2)-K144)</f>
        <v/>
      </c>
      <c r="K144" s="75" t="str">
        <f>IF($A144="","",CHOOSE('Calc riepilogo'!$B$2,'Calc valanga'!AT167,'Calc palla di neve'!AT167,'Calc personalizzata'!AT167))</f>
        <v/>
      </c>
      <c r="L144" s="70" t="str">
        <f>IF($A144="","",ROUND(N(M143)*(1+'Calc base'!I167),2)-M144)</f>
        <v/>
      </c>
      <c r="M144" s="75" t="str">
        <f>IF($A144="","",CHOOSE('Calc riepilogo'!$B$2,'Calc valanga'!AU167,'Calc palla di neve'!AU167,'Calc personalizzata'!AU167))</f>
        <v/>
      </c>
      <c r="N144" s="70" t="str">
        <f>IF($A144="","",ROUND(N(O143)*(1+'Calc base'!J167),2)-O144)</f>
        <v/>
      </c>
      <c r="O144" s="75" t="str">
        <f>IF($A144="","",CHOOSE('Calc riepilogo'!$B$2,'Calc valanga'!AV167,'Calc palla di neve'!AV167,'Calc personalizzata'!AV167))</f>
        <v/>
      </c>
      <c r="P144" s="70" t="str">
        <f>IF($A144="","",ROUND(N(Q143)*(1+'Calc base'!K167),2)-Q144)</f>
        <v/>
      </c>
      <c r="Q144" s="75" t="str">
        <f>IF($A144="","",CHOOSE('Calc riepilogo'!$B$2,'Calc valanga'!AW167,'Calc palla di neve'!AW167,'Calc personalizzata'!AW167))</f>
        <v/>
      </c>
      <c r="R144" s="70" t="str">
        <f>IF($A144="","",ROUND(N(S143)*(1+'Calc base'!L167),2)-S144)</f>
        <v/>
      </c>
      <c r="S144" s="75" t="str">
        <f>IF($A144="","",CHOOSE('Calc riepilogo'!$B$2,'Calc valanga'!AX167,'Calc palla di neve'!AX167,'Calc personalizzata'!AX167))</f>
        <v/>
      </c>
      <c r="T144" s="70" t="str">
        <f>IF($A144="","",ROUND(N(U143)*(1+'Calc base'!M167),2)-U144)</f>
        <v/>
      </c>
      <c r="U144" s="75" t="str">
        <f>IF($A144="","",CHOOSE('Calc riepilogo'!$B$2,'Calc valanga'!AY167,'Calc palla di neve'!AY167,'Calc personalizzata'!AY167))</f>
        <v/>
      </c>
      <c r="V144" s="70" t="str">
        <f>IF($A144="","",ROUND(N(W143)*(1+'Calc base'!N167),2)-W144)</f>
        <v/>
      </c>
      <c r="W144" s="75" t="str">
        <f>IF($A144="","",CHOOSE('Calc riepilogo'!$B$2,'Calc valanga'!AZ167,'Calc palla di neve'!AZ167,'Calc personalizzata'!AZ167))</f>
        <v/>
      </c>
      <c r="X144" s="70" t="str">
        <f>IF($A144="","",ROUND(N(Y143)*(1+'Calc base'!O167),2)-Y144)</f>
        <v/>
      </c>
      <c r="Y144" s="75" t="str">
        <f>IF($A144="","",CHOOSE('Calc riepilogo'!$B$2,'Calc valanga'!BA167,'Calc palla di neve'!BA167,'Calc personalizzata'!BA167))</f>
        <v/>
      </c>
      <c r="Z144" s="70" t="str">
        <f>IF($A144="","",ROUND(N(AA143)*(1+'Calc base'!P167),2)-AA144)</f>
        <v/>
      </c>
      <c r="AA144" s="75" t="str">
        <f>IF($A144="","",CHOOSE('Calc riepilogo'!$B$2,'Calc valanga'!BB167,'Calc palla di neve'!BB167,'Calc personalizzata'!BB167))</f>
        <v/>
      </c>
      <c r="AB144" s="70" t="str">
        <f>IF($A144="","",ROUND(N(AC143)*(1+'Calc base'!Q167),2)-AC144)</f>
        <v/>
      </c>
      <c r="AC144" s="75" t="str">
        <f>IF($A144="","",CHOOSE('Calc riepilogo'!$B$2,'Calc valanga'!BC167,'Calc palla di neve'!BC167,'Calc personalizzata'!BC167))</f>
        <v/>
      </c>
      <c r="AD144" s="70" t="str">
        <f>IF($A144="","",ROUND(N(AE143)*(1+'Calc base'!R167),2)-AE144)</f>
        <v/>
      </c>
      <c r="AE144" s="75" t="str">
        <f>IF($A144="","",CHOOSE('Calc riepilogo'!$B$2,'Calc valanga'!BD167,'Calc palla di neve'!BD167,'Calc personalizzata'!BD167))</f>
        <v/>
      </c>
      <c r="AF144" s="70" t="str">
        <f>IF($A144="","",ROUND(N(AG143)*(1+'Calc base'!S167),2)-AG144)</f>
        <v/>
      </c>
      <c r="AG144" s="75" t="str">
        <f>IF($A144="","",CHOOSE('Calc riepilogo'!$B$2,'Calc valanga'!BE167,'Calc palla di neve'!BE167,'Calc personalizzata'!BE167))</f>
        <v/>
      </c>
      <c r="AI144" t="n">
        <v>137</v>
      </c>
    </row>
    <row r="145">
      <c r="A145" s="68" t="str">
        <f>IF(138&gt;'Calc riepilogo'!$B$7,"",'Calc base'!$B168)</f>
        <v/>
      </c>
      <c r="B145" s="69" t="str">
        <f>IF($A145="","",'Calc base'!$C168)</f>
        <v/>
      </c>
      <c r="C145" s="69" t="str">
        <f>IF($A145="","",'Calc base'!$E168)</f>
        <v/>
      </c>
      <c r="D145" s="70" t="str">
        <f>IF($A145="","",J145+L145+N145+P145+R145+T145+V145+X145+Z145+AB145+AD145+AF145)</f>
        <v/>
      </c>
      <c r="E145" s="70" t="str">
        <f>IF($A145="","",CHOOSE('Calc riepilogo'!$B$2,'Calc valanga'!$H168,'Calc palla di neve'!$H168,'Calc personalizzata'!$H168))</f>
        <v/>
      </c>
      <c r="F145" s="71" t="str">
        <f>IF($A145="","",CHOOSE('Calc riepilogo'!$B$2,'Calc valanga'!$G168,'Calc palla di neve'!$G168,'Calc personalizzata'!$G168))</f>
        <v/>
      </c>
      <c r="G145" s="72" t="n"/>
      <c r="H145" s="73" t="n"/>
      <c r="I145" s="74" t="str">
        <f>IF($A145="","",TRIM(IF(AND(N(K144)&gt;0,N(K145)&lt;=0.004),"✓ "&amp;'Calc base'!C$6&amp;"   ","")&amp;IF(AND(N(M144)&gt;0,N(M145)&lt;=0.004),"✓ "&amp;'Calc base'!D$6&amp;"   ","")&amp;IF(AND(N(O144)&gt;0,N(O145)&lt;=0.004),"✓ "&amp;'Calc base'!E$6&amp;"   ","")&amp;IF(AND(N(Q144)&gt;0,N(Q145)&lt;=0.004),"✓ "&amp;'Calc base'!F$6&amp;"   ","")&amp;IF(AND(N(S144)&gt;0,N(S145)&lt;=0.004),"✓ "&amp;'Calc base'!G$6&amp;"   ","")&amp;IF(AND(N(U144)&gt;0,N(U145)&lt;=0.004),"✓ "&amp;'Calc base'!H$6&amp;"   ","")&amp;IF(AND(N(W144)&gt;0,N(W145)&lt;=0.004),"✓ "&amp;'Calc base'!I$6&amp;"   ","")&amp;IF(AND(N(Y144)&gt;0,N(Y145)&lt;=0.004),"✓ "&amp;'Calc base'!J$6&amp;"   ","")&amp;IF(AND(N(AA144)&gt;0,N(AA145)&lt;=0.004),"✓ "&amp;'Calc base'!K$6&amp;"   ","")&amp;IF(AND(N(AC144)&gt;0,N(AC145)&lt;=0.004),"✓ "&amp;'Calc base'!L$6&amp;"   ","")&amp;IF(AND(N(AE144)&gt;0,N(AE145)&lt;=0.004),"✓ "&amp;'Calc base'!M$6&amp;"   ","")&amp;IF(AND(N(AG144)&gt;0,N(AG145)&lt;=0.004),"✓ "&amp;'Calc base'!N$6&amp;"   ","")))</f>
        <v/>
      </c>
      <c r="J145" s="70" t="str">
        <f>IF($A145="","",ROUND(N(K144)*(1+'Calc base'!H168),2)-K145)</f>
        <v/>
      </c>
      <c r="K145" s="75" t="str">
        <f>IF($A145="","",CHOOSE('Calc riepilogo'!$B$2,'Calc valanga'!AT168,'Calc palla di neve'!AT168,'Calc personalizzata'!AT168))</f>
        <v/>
      </c>
      <c r="L145" s="70" t="str">
        <f>IF($A145="","",ROUND(N(M144)*(1+'Calc base'!I168),2)-M145)</f>
        <v/>
      </c>
      <c r="M145" s="75" t="str">
        <f>IF($A145="","",CHOOSE('Calc riepilogo'!$B$2,'Calc valanga'!AU168,'Calc palla di neve'!AU168,'Calc personalizzata'!AU168))</f>
        <v/>
      </c>
      <c r="N145" s="70" t="str">
        <f>IF($A145="","",ROUND(N(O144)*(1+'Calc base'!J168),2)-O145)</f>
        <v/>
      </c>
      <c r="O145" s="75" t="str">
        <f>IF($A145="","",CHOOSE('Calc riepilogo'!$B$2,'Calc valanga'!AV168,'Calc palla di neve'!AV168,'Calc personalizzata'!AV168))</f>
        <v/>
      </c>
      <c r="P145" s="70" t="str">
        <f>IF($A145="","",ROUND(N(Q144)*(1+'Calc base'!K168),2)-Q145)</f>
        <v/>
      </c>
      <c r="Q145" s="75" t="str">
        <f>IF($A145="","",CHOOSE('Calc riepilogo'!$B$2,'Calc valanga'!AW168,'Calc palla di neve'!AW168,'Calc personalizzata'!AW168))</f>
        <v/>
      </c>
      <c r="R145" s="70" t="str">
        <f>IF($A145="","",ROUND(N(S144)*(1+'Calc base'!L168),2)-S145)</f>
        <v/>
      </c>
      <c r="S145" s="75" t="str">
        <f>IF($A145="","",CHOOSE('Calc riepilogo'!$B$2,'Calc valanga'!AX168,'Calc palla di neve'!AX168,'Calc personalizzata'!AX168))</f>
        <v/>
      </c>
      <c r="T145" s="70" t="str">
        <f>IF($A145="","",ROUND(N(U144)*(1+'Calc base'!M168),2)-U145)</f>
        <v/>
      </c>
      <c r="U145" s="75" t="str">
        <f>IF($A145="","",CHOOSE('Calc riepilogo'!$B$2,'Calc valanga'!AY168,'Calc palla di neve'!AY168,'Calc personalizzata'!AY168))</f>
        <v/>
      </c>
      <c r="V145" s="70" t="str">
        <f>IF($A145="","",ROUND(N(W144)*(1+'Calc base'!N168),2)-W145)</f>
        <v/>
      </c>
      <c r="W145" s="75" t="str">
        <f>IF($A145="","",CHOOSE('Calc riepilogo'!$B$2,'Calc valanga'!AZ168,'Calc palla di neve'!AZ168,'Calc personalizzata'!AZ168))</f>
        <v/>
      </c>
      <c r="X145" s="70" t="str">
        <f>IF($A145="","",ROUND(N(Y144)*(1+'Calc base'!O168),2)-Y145)</f>
        <v/>
      </c>
      <c r="Y145" s="75" t="str">
        <f>IF($A145="","",CHOOSE('Calc riepilogo'!$B$2,'Calc valanga'!BA168,'Calc palla di neve'!BA168,'Calc personalizzata'!BA168))</f>
        <v/>
      </c>
      <c r="Z145" s="70" t="str">
        <f>IF($A145="","",ROUND(N(AA144)*(1+'Calc base'!P168),2)-AA145)</f>
        <v/>
      </c>
      <c r="AA145" s="75" t="str">
        <f>IF($A145="","",CHOOSE('Calc riepilogo'!$B$2,'Calc valanga'!BB168,'Calc palla di neve'!BB168,'Calc personalizzata'!BB168))</f>
        <v/>
      </c>
      <c r="AB145" s="70" t="str">
        <f>IF($A145="","",ROUND(N(AC144)*(1+'Calc base'!Q168),2)-AC145)</f>
        <v/>
      </c>
      <c r="AC145" s="75" t="str">
        <f>IF($A145="","",CHOOSE('Calc riepilogo'!$B$2,'Calc valanga'!BC168,'Calc palla di neve'!BC168,'Calc personalizzata'!BC168))</f>
        <v/>
      </c>
      <c r="AD145" s="70" t="str">
        <f>IF($A145="","",ROUND(N(AE144)*(1+'Calc base'!R168),2)-AE145)</f>
        <v/>
      </c>
      <c r="AE145" s="75" t="str">
        <f>IF($A145="","",CHOOSE('Calc riepilogo'!$B$2,'Calc valanga'!BD168,'Calc palla di neve'!BD168,'Calc personalizzata'!BD168))</f>
        <v/>
      </c>
      <c r="AF145" s="70" t="str">
        <f>IF($A145="","",ROUND(N(AG144)*(1+'Calc base'!S168),2)-AG145)</f>
        <v/>
      </c>
      <c r="AG145" s="75" t="str">
        <f>IF($A145="","",CHOOSE('Calc riepilogo'!$B$2,'Calc valanga'!BE168,'Calc palla di neve'!BE168,'Calc personalizzata'!BE168))</f>
        <v/>
      </c>
      <c r="AI145" t="n">
        <v>138</v>
      </c>
    </row>
    <row r="146">
      <c r="A146" s="68" t="str">
        <f>IF(139&gt;'Calc riepilogo'!$B$7,"",'Calc base'!$B169)</f>
        <v/>
      </c>
      <c r="B146" s="69" t="str">
        <f>IF($A146="","",'Calc base'!$C169)</f>
        <v/>
      </c>
      <c r="C146" s="69" t="str">
        <f>IF($A146="","",'Calc base'!$E169)</f>
        <v/>
      </c>
      <c r="D146" s="70" t="str">
        <f>IF($A146="","",J146+L146+N146+P146+R146+T146+V146+X146+Z146+AB146+AD146+AF146)</f>
        <v/>
      </c>
      <c r="E146" s="70" t="str">
        <f>IF($A146="","",CHOOSE('Calc riepilogo'!$B$2,'Calc valanga'!$H169,'Calc palla di neve'!$H169,'Calc personalizzata'!$H169))</f>
        <v/>
      </c>
      <c r="F146" s="71" t="str">
        <f>IF($A146="","",CHOOSE('Calc riepilogo'!$B$2,'Calc valanga'!$G169,'Calc palla di neve'!$G169,'Calc personalizzata'!$G169))</f>
        <v/>
      </c>
      <c r="G146" s="72" t="n"/>
      <c r="H146" s="73" t="n"/>
      <c r="I146" s="74" t="str">
        <f>IF($A146="","",TRIM(IF(AND(N(K145)&gt;0,N(K146)&lt;=0.004),"✓ "&amp;'Calc base'!C$6&amp;"   ","")&amp;IF(AND(N(M145)&gt;0,N(M146)&lt;=0.004),"✓ "&amp;'Calc base'!D$6&amp;"   ","")&amp;IF(AND(N(O145)&gt;0,N(O146)&lt;=0.004),"✓ "&amp;'Calc base'!E$6&amp;"   ","")&amp;IF(AND(N(Q145)&gt;0,N(Q146)&lt;=0.004),"✓ "&amp;'Calc base'!F$6&amp;"   ","")&amp;IF(AND(N(S145)&gt;0,N(S146)&lt;=0.004),"✓ "&amp;'Calc base'!G$6&amp;"   ","")&amp;IF(AND(N(U145)&gt;0,N(U146)&lt;=0.004),"✓ "&amp;'Calc base'!H$6&amp;"   ","")&amp;IF(AND(N(W145)&gt;0,N(W146)&lt;=0.004),"✓ "&amp;'Calc base'!I$6&amp;"   ","")&amp;IF(AND(N(Y145)&gt;0,N(Y146)&lt;=0.004),"✓ "&amp;'Calc base'!J$6&amp;"   ","")&amp;IF(AND(N(AA145)&gt;0,N(AA146)&lt;=0.004),"✓ "&amp;'Calc base'!K$6&amp;"   ","")&amp;IF(AND(N(AC145)&gt;0,N(AC146)&lt;=0.004),"✓ "&amp;'Calc base'!L$6&amp;"   ","")&amp;IF(AND(N(AE145)&gt;0,N(AE146)&lt;=0.004),"✓ "&amp;'Calc base'!M$6&amp;"   ","")&amp;IF(AND(N(AG145)&gt;0,N(AG146)&lt;=0.004),"✓ "&amp;'Calc base'!N$6&amp;"   ","")))</f>
        <v/>
      </c>
      <c r="J146" s="70" t="str">
        <f>IF($A146="","",ROUND(N(K145)*(1+'Calc base'!H169),2)-K146)</f>
        <v/>
      </c>
      <c r="K146" s="75" t="str">
        <f>IF($A146="","",CHOOSE('Calc riepilogo'!$B$2,'Calc valanga'!AT169,'Calc palla di neve'!AT169,'Calc personalizzata'!AT169))</f>
        <v/>
      </c>
      <c r="L146" s="70" t="str">
        <f>IF($A146="","",ROUND(N(M145)*(1+'Calc base'!I169),2)-M146)</f>
        <v/>
      </c>
      <c r="M146" s="75" t="str">
        <f>IF($A146="","",CHOOSE('Calc riepilogo'!$B$2,'Calc valanga'!AU169,'Calc palla di neve'!AU169,'Calc personalizzata'!AU169))</f>
        <v/>
      </c>
      <c r="N146" s="70" t="str">
        <f>IF($A146="","",ROUND(N(O145)*(1+'Calc base'!J169),2)-O146)</f>
        <v/>
      </c>
      <c r="O146" s="75" t="str">
        <f>IF($A146="","",CHOOSE('Calc riepilogo'!$B$2,'Calc valanga'!AV169,'Calc palla di neve'!AV169,'Calc personalizzata'!AV169))</f>
        <v/>
      </c>
      <c r="P146" s="70" t="str">
        <f>IF($A146="","",ROUND(N(Q145)*(1+'Calc base'!K169),2)-Q146)</f>
        <v/>
      </c>
      <c r="Q146" s="75" t="str">
        <f>IF($A146="","",CHOOSE('Calc riepilogo'!$B$2,'Calc valanga'!AW169,'Calc palla di neve'!AW169,'Calc personalizzata'!AW169))</f>
        <v/>
      </c>
      <c r="R146" s="70" t="str">
        <f>IF($A146="","",ROUND(N(S145)*(1+'Calc base'!L169),2)-S146)</f>
        <v/>
      </c>
      <c r="S146" s="75" t="str">
        <f>IF($A146="","",CHOOSE('Calc riepilogo'!$B$2,'Calc valanga'!AX169,'Calc palla di neve'!AX169,'Calc personalizzata'!AX169))</f>
        <v/>
      </c>
      <c r="T146" s="70" t="str">
        <f>IF($A146="","",ROUND(N(U145)*(1+'Calc base'!M169),2)-U146)</f>
        <v/>
      </c>
      <c r="U146" s="75" t="str">
        <f>IF($A146="","",CHOOSE('Calc riepilogo'!$B$2,'Calc valanga'!AY169,'Calc palla di neve'!AY169,'Calc personalizzata'!AY169))</f>
        <v/>
      </c>
      <c r="V146" s="70" t="str">
        <f>IF($A146="","",ROUND(N(W145)*(1+'Calc base'!N169),2)-W146)</f>
        <v/>
      </c>
      <c r="W146" s="75" t="str">
        <f>IF($A146="","",CHOOSE('Calc riepilogo'!$B$2,'Calc valanga'!AZ169,'Calc palla di neve'!AZ169,'Calc personalizzata'!AZ169))</f>
        <v/>
      </c>
      <c r="X146" s="70" t="str">
        <f>IF($A146="","",ROUND(N(Y145)*(1+'Calc base'!O169),2)-Y146)</f>
        <v/>
      </c>
      <c r="Y146" s="75" t="str">
        <f>IF($A146="","",CHOOSE('Calc riepilogo'!$B$2,'Calc valanga'!BA169,'Calc palla di neve'!BA169,'Calc personalizzata'!BA169))</f>
        <v/>
      </c>
      <c r="Z146" s="70" t="str">
        <f>IF($A146="","",ROUND(N(AA145)*(1+'Calc base'!P169),2)-AA146)</f>
        <v/>
      </c>
      <c r="AA146" s="75" t="str">
        <f>IF($A146="","",CHOOSE('Calc riepilogo'!$B$2,'Calc valanga'!BB169,'Calc palla di neve'!BB169,'Calc personalizzata'!BB169))</f>
        <v/>
      </c>
      <c r="AB146" s="70" t="str">
        <f>IF($A146="","",ROUND(N(AC145)*(1+'Calc base'!Q169),2)-AC146)</f>
        <v/>
      </c>
      <c r="AC146" s="75" t="str">
        <f>IF($A146="","",CHOOSE('Calc riepilogo'!$B$2,'Calc valanga'!BC169,'Calc palla di neve'!BC169,'Calc personalizzata'!BC169))</f>
        <v/>
      </c>
      <c r="AD146" s="70" t="str">
        <f>IF($A146="","",ROUND(N(AE145)*(1+'Calc base'!R169),2)-AE146)</f>
        <v/>
      </c>
      <c r="AE146" s="75" t="str">
        <f>IF($A146="","",CHOOSE('Calc riepilogo'!$B$2,'Calc valanga'!BD169,'Calc palla di neve'!BD169,'Calc personalizzata'!BD169))</f>
        <v/>
      </c>
      <c r="AF146" s="70" t="str">
        <f>IF($A146="","",ROUND(N(AG145)*(1+'Calc base'!S169),2)-AG146)</f>
        <v/>
      </c>
      <c r="AG146" s="75" t="str">
        <f>IF($A146="","",CHOOSE('Calc riepilogo'!$B$2,'Calc valanga'!BE169,'Calc palla di neve'!BE169,'Calc personalizzata'!BE169))</f>
        <v/>
      </c>
      <c r="AI146" t="n">
        <v>139</v>
      </c>
    </row>
    <row r="147">
      <c r="A147" s="68" t="str">
        <f>IF(140&gt;'Calc riepilogo'!$B$7,"",'Calc base'!$B170)</f>
        <v/>
      </c>
      <c r="B147" s="69" t="str">
        <f>IF($A147="","",'Calc base'!$C170)</f>
        <v/>
      </c>
      <c r="C147" s="69" t="str">
        <f>IF($A147="","",'Calc base'!$E170)</f>
        <v/>
      </c>
      <c r="D147" s="70" t="str">
        <f>IF($A147="","",J147+L147+N147+P147+R147+T147+V147+X147+Z147+AB147+AD147+AF147)</f>
        <v/>
      </c>
      <c r="E147" s="70" t="str">
        <f>IF($A147="","",CHOOSE('Calc riepilogo'!$B$2,'Calc valanga'!$H170,'Calc palla di neve'!$H170,'Calc personalizzata'!$H170))</f>
        <v/>
      </c>
      <c r="F147" s="71" t="str">
        <f>IF($A147="","",CHOOSE('Calc riepilogo'!$B$2,'Calc valanga'!$G170,'Calc palla di neve'!$G170,'Calc personalizzata'!$G170))</f>
        <v/>
      </c>
      <c r="G147" s="72" t="n"/>
      <c r="H147" s="73" t="n"/>
      <c r="I147" s="74" t="str">
        <f>IF($A147="","",TRIM(IF(AND(N(K146)&gt;0,N(K147)&lt;=0.004),"✓ "&amp;'Calc base'!C$6&amp;"   ","")&amp;IF(AND(N(M146)&gt;0,N(M147)&lt;=0.004),"✓ "&amp;'Calc base'!D$6&amp;"   ","")&amp;IF(AND(N(O146)&gt;0,N(O147)&lt;=0.004),"✓ "&amp;'Calc base'!E$6&amp;"   ","")&amp;IF(AND(N(Q146)&gt;0,N(Q147)&lt;=0.004),"✓ "&amp;'Calc base'!F$6&amp;"   ","")&amp;IF(AND(N(S146)&gt;0,N(S147)&lt;=0.004),"✓ "&amp;'Calc base'!G$6&amp;"   ","")&amp;IF(AND(N(U146)&gt;0,N(U147)&lt;=0.004),"✓ "&amp;'Calc base'!H$6&amp;"   ","")&amp;IF(AND(N(W146)&gt;0,N(W147)&lt;=0.004),"✓ "&amp;'Calc base'!I$6&amp;"   ","")&amp;IF(AND(N(Y146)&gt;0,N(Y147)&lt;=0.004),"✓ "&amp;'Calc base'!J$6&amp;"   ","")&amp;IF(AND(N(AA146)&gt;0,N(AA147)&lt;=0.004),"✓ "&amp;'Calc base'!K$6&amp;"   ","")&amp;IF(AND(N(AC146)&gt;0,N(AC147)&lt;=0.004),"✓ "&amp;'Calc base'!L$6&amp;"   ","")&amp;IF(AND(N(AE146)&gt;0,N(AE147)&lt;=0.004),"✓ "&amp;'Calc base'!M$6&amp;"   ","")&amp;IF(AND(N(AG146)&gt;0,N(AG147)&lt;=0.004),"✓ "&amp;'Calc base'!N$6&amp;"   ","")))</f>
        <v/>
      </c>
      <c r="J147" s="70" t="str">
        <f>IF($A147="","",ROUND(N(K146)*(1+'Calc base'!H170),2)-K147)</f>
        <v/>
      </c>
      <c r="K147" s="75" t="str">
        <f>IF($A147="","",CHOOSE('Calc riepilogo'!$B$2,'Calc valanga'!AT170,'Calc palla di neve'!AT170,'Calc personalizzata'!AT170))</f>
        <v/>
      </c>
      <c r="L147" s="70" t="str">
        <f>IF($A147="","",ROUND(N(M146)*(1+'Calc base'!I170),2)-M147)</f>
        <v/>
      </c>
      <c r="M147" s="75" t="str">
        <f>IF($A147="","",CHOOSE('Calc riepilogo'!$B$2,'Calc valanga'!AU170,'Calc palla di neve'!AU170,'Calc personalizzata'!AU170))</f>
        <v/>
      </c>
      <c r="N147" s="70" t="str">
        <f>IF($A147="","",ROUND(N(O146)*(1+'Calc base'!J170),2)-O147)</f>
        <v/>
      </c>
      <c r="O147" s="75" t="str">
        <f>IF($A147="","",CHOOSE('Calc riepilogo'!$B$2,'Calc valanga'!AV170,'Calc palla di neve'!AV170,'Calc personalizzata'!AV170))</f>
        <v/>
      </c>
      <c r="P147" s="70" t="str">
        <f>IF($A147="","",ROUND(N(Q146)*(1+'Calc base'!K170),2)-Q147)</f>
        <v/>
      </c>
      <c r="Q147" s="75" t="str">
        <f>IF($A147="","",CHOOSE('Calc riepilogo'!$B$2,'Calc valanga'!AW170,'Calc palla di neve'!AW170,'Calc personalizzata'!AW170))</f>
        <v/>
      </c>
      <c r="R147" s="70" t="str">
        <f>IF($A147="","",ROUND(N(S146)*(1+'Calc base'!L170),2)-S147)</f>
        <v/>
      </c>
      <c r="S147" s="75" t="str">
        <f>IF($A147="","",CHOOSE('Calc riepilogo'!$B$2,'Calc valanga'!AX170,'Calc palla di neve'!AX170,'Calc personalizzata'!AX170))</f>
        <v/>
      </c>
      <c r="T147" s="70" t="str">
        <f>IF($A147="","",ROUND(N(U146)*(1+'Calc base'!M170),2)-U147)</f>
        <v/>
      </c>
      <c r="U147" s="75" t="str">
        <f>IF($A147="","",CHOOSE('Calc riepilogo'!$B$2,'Calc valanga'!AY170,'Calc palla di neve'!AY170,'Calc personalizzata'!AY170))</f>
        <v/>
      </c>
      <c r="V147" s="70" t="str">
        <f>IF($A147="","",ROUND(N(W146)*(1+'Calc base'!N170),2)-W147)</f>
        <v/>
      </c>
      <c r="W147" s="75" t="str">
        <f>IF($A147="","",CHOOSE('Calc riepilogo'!$B$2,'Calc valanga'!AZ170,'Calc palla di neve'!AZ170,'Calc personalizzata'!AZ170))</f>
        <v/>
      </c>
      <c r="X147" s="70" t="str">
        <f>IF($A147="","",ROUND(N(Y146)*(1+'Calc base'!O170),2)-Y147)</f>
        <v/>
      </c>
      <c r="Y147" s="75" t="str">
        <f>IF($A147="","",CHOOSE('Calc riepilogo'!$B$2,'Calc valanga'!BA170,'Calc palla di neve'!BA170,'Calc personalizzata'!BA170))</f>
        <v/>
      </c>
      <c r="Z147" s="70" t="str">
        <f>IF($A147="","",ROUND(N(AA146)*(1+'Calc base'!P170),2)-AA147)</f>
        <v/>
      </c>
      <c r="AA147" s="75" t="str">
        <f>IF($A147="","",CHOOSE('Calc riepilogo'!$B$2,'Calc valanga'!BB170,'Calc palla di neve'!BB170,'Calc personalizzata'!BB170))</f>
        <v/>
      </c>
      <c r="AB147" s="70" t="str">
        <f>IF($A147="","",ROUND(N(AC146)*(1+'Calc base'!Q170),2)-AC147)</f>
        <v/>
      </c>
      <c r="AC147" s="75" t="str">
        <f>IF($A147="","",CHOOSE('Calc riepilogo'!$B$2,'Calc valanga'!BC170,'Calc palla di neve'!BC170,'Calc personalizzata'!BC170))</f>
        <v/>
      </c>
      <c r="AD147" s="70" t="str">
        <f>IF($A147="","",ROUND(N(AE146)*(1+'Calc base'!R170),2)-AE147)</f>
        <v/>
      </c>
      <c r="AE147" s="75" t="str">
        <f>IF($A147="","",CHOOSE('Calc riepilogo'!$B$2,'Calc valanga'!BD170,'Calc palla di neve'!BD170,'Calc personalizzata'!BD170))</f>
        <v/>
      </c>
      <c r="AF147" s="70" t="str">
        <f>IF($A147="","",ROUND(N(AG146)*(1+'Calc base'!S170),2)-AG147)</f>
        <v/>
      </c>
      <c r="AG147" s="75" t="str">
        <f>IF($A147="","",CHOOSE('Calc riepilogo'!$B$2,'Calc valanga'!BE170,'Calc palla di neve'!BE170,'Calc personalizzata'!BE170))</f>
        <v/>
      </c>
      <c r="AI147" t="n">
        <v>140</v>
      </c>
    </row>
    <row r="148">
      <c r="A148" s="68" t="str">
        <f>IF(141&gt;'Calc riepilogo'!$B$7,"",'Calc base'!$B171)</f>
        <v/>
      </c>
      <c r="B148" s="69" t="str">
        <f>IF($A148="","",'Calc base'!$C171)</f>
        <v/>
      </c>
      <c r="C148" s="69" t="str">
        <f>IF($A148="","",'Calc base'!$E171)</f>
        <v/>
      </c>
      <c r="D148" s="70" t="str">
        <f>IF($A148="","",J148+L148+N148+P148+R148+T148+V148+X148+Z148+AB148+AD148+AF148)</f>
        <v/>
      </c>
      <c r="E148" s="70" t="str">
        <f>IF($A148="","",CHOOSE('Calc riepilogo'!$B$2,'Calc valanga'!$H171,'Calc palla di neve'!$H171,'Calc personalizzata'!$H171))</f>
        <v/>
      </c>
      <c r="F148" s="71" t="str">
        <f>IF($A148="","",CHOOSE('Calc riepilogo'!$B$2,'Calc valanga'!$G171,'Calc palla di neve'!$G171,'Calc personalizzata'!$G171))</f>
        <v/>
      </c>
      <c r="G148" s="72" t="n"/>
      <c r="H148" s="73" t="n"/>
      <c r="I148" s="74" t="str">
        <f>IF($A148="","",TRIM(IF(AND(N(K147)&gt;0,N(K148)&lt;=0.004),"✓ "&amp;'Calc base'!C$6&amp;"   ","")&amp;IF(AND(N(M147)&gt;0,N(M148)&lt;=0.004),"✓ "&amp;'Calc base'!D$6&amp;"   ","")&amp;IF(AND(N(O147)&gt;0,N(O148)&lt;=0.004),"✓ "&amp;'Calc base'!E$6&amp;"   ","")&amp;IF(AND(N(Q147)&gt;0,N(Q148)&lt;=0.004),"✓ "&amp;'Calc base'!F$6&amp;"   ","")&amp;IF(AND(N(S147)&gt;0,N(S148)&lt;=0.004),"✓ "&amp;'Calc base'!G$6&amp;"   ","")&amp;IF(AND(N(U147)&gt;0,N(U148)&lt;=0.004),"✓ "&amp;'Calc base'!H$6&amp;"   ","")&amp;IF(AND(N(W147)&gt;0,N(W148)&lt;=0.004),"✓ "&amp;'Calc base'!I$6&amp;"   ","")&amp;IF(AND(N(Y147)&gt;0,N(Y148)&lt;=0.004),"✓ "&amp;'Calc base'!J$6&amp;"   ","")&amp;IF(AND(N(AA147)&gt;0,N(AA148)&lt;=0.004),"✓ "&amp;'Calc base'!K$6&amp;"   ","")&amp;IF(AND(N(AC147)&gt;0,N(AC148)&lt;=0.004),"✓ "&amp;'Calc base'!L$6&amp;"   ","")&amp;IF(AND(N(AE147)&gt;0,N(AE148)&lt;=0.004),"✓ "&amp;'Calc base'!M$6&amp;"   ","")&amp;IF(AND(N(AG147)&gt;0,N(AG148)&lt;=0.004),"✓ "&amp;'Calc base'!N$6&amp;"   ","")))</f>
        <v/>
      </c>
      <c r="J148" s="70" t="str">
        <f>IF($A148="","",ROUND(N(K147)*(1+'Calc base'!H171),2)-K148)</f>
        <v/>
      </c>
      <c r="K148" s="75" t="str">
        <f>IF($A148="","",CHOOSE('Calc riepilogo'!$B$2,'Calc valanga'!AT171,'Calc palla di neve'!AT171,'Calc personalizzata'!AT171))</f>
        <v/>
      </c>
      <c r="L148" s="70" t="str">
        <f>IF($A148="","",ROUND(N(M147)*(1+'Calc base'!I171),2)-M148)</f>
        <v/>
      </c>
      <c r="M148" s="75" t="str">
        <f>IF($A148="","",CHOOSE('Calc riepilogo'!$B$2,'Calc valanga'!AU171,'Calc palla di neve'!AU171,'Calc personalizzata'!AU171))</f>
        <v/>
      </c>
      <c r="N148" s="70" t="str">
        <f>IF($A148="","",ROUND(N(O147)*(1+'Calc base'!J171),2)-O148)</f>
        <v/>
      </c>
      <c r="O148" s="75" t="str">
        <f>IF($A148="","",CHOOSE('Calc riepilogo'!$B$2,'Calc valanga'!AV171,'Calc palla di neve'!AV171,'Calc personalizzata'!AV171))</f>
        <v/>
      </c>
      <c r="P148" s="70" t="str">
        <f>IF($A148="","",ROUND(N(Q147)*(1+'Calc base'!K171),2)-Q148)</f>
        <v/>
      </c>
      <c r="Q148" s="75" t="str">
        <f>IF($A148="","",CHOOSE('Calc riepilogo'!$B$2,'Calc valanga'!AW171,'Calc palla di neve'!AW171,'Calc personalizzata'!AW171))</f>
        <v/>
      </c>
      <c r="R148" s="70" t="str">
        <f>IF($A148="","",ROUND(N(S147)*(1+'Calc base'!L171),2)-S148)</f>
        <v/>
      </c>
      <c r="S148" s="75" t="str">
        <f>IF($A148="","",CHOOSE('Calc riepilogo'!$B$2,'Calc valanga'!AX171,'Calc palla di neve'!AX171,'Calc personalizzata'!AX171))</f>
        <v/>
      </c>
      <c r="T148" s="70" t="str">
        <f>IF($A148="","",ROUND(N(U147)*(1+'Calc base'!M171),2)-U148)</f>
        <v/>
      </c>
      <c r="U148" s="75" t="str">
        <f>IF($A148="","",CHOOSE('Calc riepilogo'!$B$2,'Calc valanga'!AY171,'Calc palla di neve'!AY171,'Calc personalizzata'!AY171))</f>
        <v/>
      </c>
      <c r="V148" s="70" t="str">
        <f>IF($A148="","",ROUND(N(W147)*(1+'Calc base'!N171),2)-W148)</f>
        <v/>
      </c>
      <c r="W148" s="75" t="str">
        <f>IF($A148="","",CHOOSE('Calc riepilogo'!$B$2,'Calc valanga'!AZ171,'Calc palla di neve'!AZ171,'Calc personalizzata'!AZ171))</f>
        <v/>
      </c>
      <c r="X148" s="70" t="str">
        <f>IF($A148="","",ROUND(N(Y147)*(1+'Calc base'!O171),2)-Y148)</f>
        <v/>
      </c>
      <c r="Y148" s="75" t="str">
        <f>IF($A148="","",CHOOSE('Calc riepilogo'!$B$2,'Calc valanga'!BA171,'Calc palla di neve'!BA171,'Calc personalizzata'!BA171))</f>
        <v/>
      </c>
      <c r="Z148" s="70" t="str">
        <f>IF($A148="","",ROUND(N(AA147)*(1+'Calc base'!P171),2)-AA148)</f>
        <v/>
      </c>
      <c r="AA148" s="75" t="str">
        <f>IF($A148="","",CHOOSE('Calc riepilogo'!$B$2,'Calc valanga'!BB171,'Calc palla di neve'!BB171,'Calc personalizzata'!BB171))</f>
        <v/>
      </c>
      <c r="AB148" s="70" t="str">
        <f>IF($A148="","",ROUND(N(AC147)*(1+'Calc base'!Q171),2)-AC148)</f>
        <v/>
      </c>
      <c r="AC148" s="75" t="str">
        <f>IF($A148="","",CHOOSE('Calc riepilogo'!$B$2,'Calc valanga'!BC171,'Calc palla di neve'!BC171,'Calc personalizzata'!BC171))</f>
        <v/>
      </c>
      <c r="AD148" s="70" t="str">
        <f>IF($A148="","",ROUND(N(AE147)*(1+'Calc base'!R171),2)-AE148)</f>
        <v/>
      </c>
      <c r="AE148" s="75" t="str">
        <f>IF($A148="","",CHOOSE('Calc riepilogo'!$B$2,'Calc valanga'!BD171,'Calc palla di neve'!BD171,'Calc personalizzata'!BD171))</f>
        <v/>
      </c>
      <c r="AF148" s="70" t="str">
        <f>IF($A148="","",ROUND(N(AG147)*(1+'Calc base'!S171),2)-AG148)</f>
        <v/>
      </c>
      <c r="AG148" s="75" t="str">
        <f>IF($A148="","",CHOOSE('Calc riepilogo'!$B$2,'Calc valanga'!BE171,'Calc palla di neve'!BE171,'Calc personalizzata'!BE171))</f>
        <v/>
      </c>
      <c r="AI148" t="n">
        <v>141</v>
      </c>
    </row>
    <row r="149">
      <c r="A149" s="68" t="str">
        <f>IF(142&gt;'Calc riepilogo'!$B$7,"",'Calc base'!$B172)</f>
        <v/>
      </c>
      <c r="B149" s="69" t="str">
        <f>IF($A149="","",'Calc base'!$C172)</f>
        <v/>
      </c>
      <c r="C149" s="69" t="str">
        <f>IF($A149="","",'Calc base'!$E172)</f>
        <v/>
      </c>
      <c r="D149" s="70" t="str">
        <f>IF($A149="","",J149+L149+N149+P149+R149+T149+V149+X149+Z149+AB149+AD149+AF149)</f>
        <v/>
      </c>
      <c r="E149" s="70" t="str">
        <f>IF($A149="","",CHOOSE('Calc riepilogo'!$B$2,'Calc valanga'!$H172,'Calc palla di neve'!$H172,'Calc personalizzata'!$H172))</f>
        <v/>
      </c>
      <c r="F149" s="71" t="str">
        <f>IF($A149="","",CHOOSE('Calc riepilogo'!$B$2,'Calc valanga'!$G172,'Calc palla di neve'!$G172,'Calc personalizzata'!$G172))</f>
        <v/>
      </c>
      <c r="G149" s="72" t="n"/>
      <c r="H149" s="73" t="n"/>
      <c r="I149" s="74" t="str">
        <f>IF($A149="","",TRIM(IF(AND(N(K148)&gt;0,N(K149)&lt;=0.004),"✓ "&amp;'Calc base'!C$6&amp;"   ","")&amp;IF(AND(N(M148)&gt;0,N(M149)&lt;=0.004),"✓ "&amp;'Calc base'!D$6&amp;"   ","")&amp;IF(AND(N(O148)&gt;0,N(O149)&lt;=0.004),"✓ "&amp;'Calc base'!E$6&amp;"   ","")&amp;IF(AND(N(Q148)&gt;0,N(Q149)&lt;=0.004),"✓ "&amp;'Calc base'!F$6&amp;"   ","")&amp;IF(AND(N(S148)&gt;0,N(S149)&lt;=0.004),"✓ "&amp;'Calc base'!G$6&amp;"   ","")&amp;IF(AND(N(U148)&gt;0,N(U149)&lt;=0.004),"✓ "&amp;'Calc base'!H$6&amp;"   ","")&amp;IF(AND(N(W148)&gt;0,N(W149)&lt;=0.004),"✓ "&amp;'Calc base'!I$6&amp;"   ","")&amp;IF(AND(N(Y148)&gt;0,N(Y149)&lt;=0.004),"✓ "&amp;'Calc base'!J$6&amp;"   ","")&amp;IF(AND(N(AA148)&gt;0,N(AA149)&lt;=0.004),"✓ "&amp;'Calc base'!K$6&amp;"   ","")&amp;IF(AND(N(AC148)&gt;0,N(AC149)&lt;=0.004),"✓ "&amp;'Calc base'!L$6&amp;"   ","")&amp;IF(AND(N(AE148)&gt;0,N(AE149)&lt;=0.004),"✓ "&amp;'Calc base'!M$6&amp;"   ","")&amp;IF(AND(N(AG148)&gt;0,N(AG149)&lt;=0.004),"✓ "&amp;'Calc base'!N$6&amp;"   ","")))</f>
        <v/>
      </c>
      <c r="J149" s="70" t="str">
        <f>IF($A149="","",ROUND(N(K148)*(1+'Calc base'!H172),2)-K149)</f>
        <v/>
      </c>
      <c r="K149" s="75" t="str">
        <f>IF($A149="","",CHOOSE('Calc riepilogo'!$B$2,'Calc valanga'!AT172,'Calc palla di neve'!AT172,'Calc personalizzata'!AT172))</f>
        <v/>
      </c>
      <c r="L149" s="70" t="str">
        <f>IF($A149="","",ROUND(N(M148)*(1+'Calc base'!I172),2)-M149)</f>
        <v/>
      </c>
      <c r="M149" s="75" t="str">
        <f>IF($A149="","",CHOOSE('Calc riepilogo'!$B$2,'Calc valanga'!AU172,'Calc palla di neve'!AU172,'Calc personalizzata'!AU172))</f>
        <v/>
      </c>
      <c r="N149" s="70" t="str">
        <f>IF($A149="","",ROUND(N(O148)*(1+'Calc base'!J172),2)-O149)</f>
        <v/>
      </c>
      <c r="O149" s="75" t="str">
        <f>IF($A149="","",CHOOSE('Calc riepilogo'!$B$2,'Calc valanga'!AV172,'Calc palla di neve'!AV172,'Calc personalizzata'!AV172))</f>
        <v/>
      </c>
      <c r="P149" s="70" t="str">
        <f>IF($A149="","",ROUND(N(Q148)*(1+'Calc base'!K172),2)-Q149)</f>
        <v/>
      </c>
      <c r="Q149" s="75" t="str">
        <f>IF($A149="","",CHOOSE('Calc riepilogo'!$B$2,'Calc valanga'!AW172,'Calc palla di neve'!AW172,'Calc personalizzata'!AW172))</f>
        <v/>
      </c>
      <c r="R149" s="70" t="str">
        <f>IF($A149="","",ROUND(N(S148)*(1+'Calc base'!L172),2)-S149)</f>
        <v/>
      </c>
      <c r="S149" s="75" t="str">
        <f>IF($A149="","",CHOOSE('Calc riepilogo'!$B$2,'Calc valanga'!AX172,'Calc palla di neve'!AX172,'Calc personalizzata'!AX172))</f>
        <v/>
      </c>
      <c r="T149" s="70" t="str">
        <f>IF($A149="","",ROUND(N(U148)*(1+'Calc base'!M172),2)-U149)</f>
        <v/>
      </c>
      <c r="U149" s="75" t="str">
        <f>IF($A149="","",CHOOSE('Calc riepilogo'!$B$2,'Calc valanga'!AY172,'Calc palla di neve'!AY172,'Calc personalizzata'!AY172))</f>
        <v/>
      </c>
      <c r="V149" s="70" t="str">
        <f>IF($A149="","",ROUND(N(W148)*(1+'Calc base'!N172),2)-W149)</f>
        <v/>
      </c>
      <c r="W149" s="75" t="str">
        <f>IF($A149="","",CHOOSE('Calc riepilogo'!$B$2,'Calc valanga'!AZ172,'Calc palla di neve'!AZ172,'Calc personalizzata'!AZ172))</f>
        <v/>
      </c>
      <c r="X149" s="70" t="str">
        <f>IF($A149="","",ROUND(N(Y148)*(1+'Calc base'!O172),2)-Y149)</f>
        <v/>
      </c>
      <c r="Y149" s="75" t="str">
        <f>IF($A149="","",CHOOSE('Calc riepilogo'!$B$2,'Calc valanga'!BA172,'Calc palla di neve'!BA172,'Calc personalizzata'!BA172))</f>
        <v/>
      </c>
      <c r="Z149" s="70" t="str">
        <f>IF($A149="","",ROUND(N(AA148)*(1+'Calc base'!P172),2)-AA149)</f>
        <v/>
      </c>
      <c r="AA149" s="75" t="str">
        <f>IF($A149="","",CHOOSE('Calc riepilogo'!$B$2,'Calc valanga'!BB172,'Calc palla di neve'!BB172,'Calc personalizzata'!BB172))</f>
        <v/>
      </c>
      <c r="AB149" s="70" t="str">
        <f>IF($A149="","",ROUND(N(AC148)*(1+'Calc base'!Q172),2)-AC149)</f>
        <v/>
      </c>
      <c r="AC149" s="75" t="str">
        <f>IF($A149="","",CHOOSE('Calc riepilogo'!$B$2,'Calc valanga'!BC172,'Calc palla di neve'!BC172,'Calc personalizzata'!BC172))</f>
        <v/>
      </c>
      <c r="AD149" s="70" t="str">
        <f>IF($A149="","",ROUND(N(AE148)*(1+'Calc base'!R172),2)-AE149)</f>
        <v/>
      </c>
      <c r="AE149" s="75" t="str">
        <f>IF($A149="","",CHOOSE('Calc riepilogo'!$B$2,'Calc valanga'!BD172,'Calc palla di neve'!BD172,'Calc personalizzata'!BD172))</f>
        <v/>
      </c>
      <c r="AF149" s="70" t="str">
        <f>IF($A149="","",ROUND(N(AG148)*(1+'Calc base'!S172),2)-AG149)</f>
        <v/>
      </c>
      <c r="AG149" s="75" t="str">
        <f>IF($A149="","",CHOOSE('Calc riepilogo'!$B$2,'Calc valanga'!BE172,'Calc palla di neve'!BE172,'Calc personalizzata'!BE172))</f>
        <v/>
      </c>
      <c r="AI149" t="n">
        <v>142</v>
      </c>
    </row>
    <row r="150">
      <c r="A150" s="68" t="str">
        <f>IF(143&gt;'Calc riepilogo'!$B$7,"",'Calc base'!$B173)</f>
        <v/>
      </c>
      <c r="B150" s="69" t="str">
        <f>IF($A150="","",'Calc base'!$C173)</f>
        <v/>
      </c>
      <c r="C150" s="69" t="str">
        <f>IF($A150="","",'Calc base'!$E173)</f>
        <v/>
      </c>
      <c r="D150" s="70" t="str">
        <f>IF($A150="","",J150+L150+N150+P150+R150+T150+V150+X150+Z150+AB150+AD150+AF150)</f>
        <v/>
      </c>
      <c r="E150" s="70" t="str">
        <f>IF($A150="","",CHOOSE('Calc riepilogo'!$B$2,'Calc valanga'!$H173,'Calc palla di neve'!$H173,'Calc personalizzata'!$H173))</f>
        <v/>
      </c>
      <c r="F150" s="71" t="str">
        <f>IF($A150="","",CHOOSE('Calc riepilogo'!$B$2,'Calc valanga'!$G173,'Calc palla di neve'!$G173,'Calc personalizzata'!$G173))</f>
        <v/>
      </c>
      <c r="G150" s="72" t="n"/>
      <c r="H150" s="73" t="n"/>
      <c r="I150" s="74" t="str">
        <f>IF($A150="","",TRIM(IF(AND(N(K149)&gt;0,N(K150)&lt;=0.004),"✓ "&amp;'Calc base'!C$6&amp;"   ","")&amp;IF(AND(N(M149)&gt;0,N(M150)&lt;=0.004),"✓ "&amp;'Calc base'!D$6&amp;"   ","")&amp;IF(AND(N(O149)&gt;0,N(O150)&lt;=0.004),"✓ "&amp;'Calc base'!E$6&amp;"   ","")&amp;IF(AND(N(Q149)&gt;0,N(Q150)&lt;=0.004),"✓ "&amp;'Calc base'!F$6&amp;"   ","")&amp;IF(AND(N(S149)&gt;0,N(S150)&lt;=0.004),"✓ "&amp;'Calc base'!G$6&amp;"   ","")&amp;IF(AND(N(U149)&gt;0,N(U150)&lt;=0.004),"✓ "&amp;'Calc base'!H$6&amp;"   ","")&amp;IF(AND(N(W149)&gt;0,N(W150)&lt;=0.004),"✓ "&amp;'Calc base'!I$6&amp;"   ","")&amp;IF(AND(N(Y149)&gt;0,N(Y150)&lt;=0.004),"✓ "&amp;'Calc base'!J$6&amp;"   ","")&amp;IF(AND(N(AA149)&gt;0,N(AA150)&lt;=0.004),"✓ "&amp;'Calc base'!K$6&amp;"   ","")&amp;IF(AND(N(AC149)&gt;0,N(AC150)&lt;=0.004),"✓ "&amp;'Calc base'!L$6&amp;"   ","")&amp;IF(AND(N(AE149)&gt;0,N(AE150)&lt;=0.004),"✓ "&amp;'Calc base'!M$6&amp;"   ","")&amp;IF(AND(N(AG149)&gt;0,N(AG150)&lt;=0.004),"✓ "&amp;'Calc base'!N$6&amp;"   ","")))</f>
        <v/>
      </c>
      <c r="J150" s="70" t="str">
        <f>IF($A150="","",ROUND(N(K149)*(1+'Calc base'!H173),2)-K150)</f>
        <v/>
      </c>
      <c r="K150" s="75" t="str">
        <f>IF($A150="","",CHOOSE('Calc riepilogo'!$B$2,'Calc valanga'!AT173,'Calc palla di neve'!AT173,'Calc personalizzata'!AT173))</f>
        <v/>
      </c>
      <c r="L150" s="70" t="str">
        <f>IF($A150="","",ROUND(N(M149)*(1+'Calc base'!I173),2)-M150)</f>
        <v/>
      </c>
      <c r="M150" s="75" t="str">
        <f>IF($A150="","",CHOOSE('Calc riepilogo'!$B$2,'Calc valanga'!AU173,'Calc palla di neve'!AU173,'Calc personalizzata'!AU173))</f>
        <v/>
      </c>
      <c r="N150" s="70" t="str">
        <f>IF($A150="","",ROUND(N(O149)*(1+'Calc base'!J173),2)-O150)</f>
        <v/>
      </c>
      <c r="O150" s="75" t="str">
        <f>IF($A150="","",CHOOSE('Calc riepilogo'!$B$2,'Calc valanga'!AV173,'Calc palla di neve'!AV173,'Calc personalizzata'!AV173))</f>
        <v/>
      </c>
      <c r="P150" s="70" t="str">
        <f>IF($A150="","",ROUND(N(Q149)*(1+'Calc base'!K173),2)-Q150)</f>
        <v/>
      </c>
      <c r="Q150" s="75" t="str">
        <f>IF($A150="","",CHOOSE('Calc riepilogo'!$B$2,'Calc valanga'!AW173,'Calc palla di neve'!AW173,'Calc personalizzata'!AW173))</f>
        <v/>
      </c>
      <c r="R150" s="70" t="str">
        <f>IF($A150="","",ROUND(N(S149)*(1+'Calc base'!L173),2)-S150)</f>
        <v/>
      </c>
      <c r="S150" s="75" t="str">
        <f>IF($A150="","",CHOOSE('Calc riepilogo'!$B$2,'Calc valanga'!AX173,'Calc palla di neve'!AX173,'Calc personalizzata'!AX173))</f>
        <v/>
      </c>
      <c r="T150" s="70" t="str">
        <f>IF($A150="","",ROUND(N(U149)*(1+'Calc base'!M173),2)-U150)</f>
        <v/>
      </c>
      <c r="U150" s="75" t="str">
        <f>IF($A150="","",CHOOSE('Calc riepilogo'!$B$2,'Calc valanga'!AY173,'Calc palla di neve'!AY173,'Calc personalizzata'!AY173))</f>
        <v/>
      </c>
      <c r="V150" s="70" t="str">
        <f>IF($A150="","",ROUND(N(W149)*(1+'Calc base'!N173),2)-W150)</f>
        <v/>
      </c>
      <c r="W150" s="75" t="str">
        <f>IF($A150="","",CHOOSE('Calc riepilogo'!$B$2,'Calc valanga'!AZ173,'Calc palla di neve'!AZ173,'Calc personalizzata'!AZ173))</f>
        <v/>
      </c>
      <c r="X150" s="70" t="str">
        <f>IF($A150="","",ROUND(N(Y149)*(1+'Calc base'!O173),2)-Y150)</f>
        <v/>
      </c>
      <c r="Y150" s="75" t="str">
        <f>IF($A150="","",CHOOSE('Calc riepilogo'!$B$2,'Calc valanga'!BA173,'Calc palla di neve'!BA173,'Calc personalizzata'!BA173))</f>
        <v/>
      </c>
      <c r="Z150" s="70" t="str">
        <f>IF($A150="","",ROUND(N(AA149)*(1+'Calc base'!P173),2)-AA150)</f>
        <v/>
      </c>
      <c r="AA150" s="75" t="str">
        <f>IF($A150="","",CHOOSE('Calc riepilogo'!$B$2,'Calc valanga'!BB173,'Calc palla di neve'!BB173,'Calc personalizzata'!BB173))</f>
        <v/>
      </c>
      <c r="AB150" s="70" t="str">
        <f>IF($A150="","",ROUND(N(AC149)*(1+'Calc base'!Q173),2)-AC150)</f>
        <v/>
      </c>
      <c r="AC150" s="75" t="str">
        <f>IF($A150="","",CHOOSE('Calc riepilogo'!$B$2,'Calc valanga'!BC173,'Calc palla di neve'!BC173,'Calc personalizzata'!BC173))</f>
        <v/>
      </c>
      <c r="AD150" s="70" t="str">
        <f>IF($A150="","",ROUND(N(AE149)*(1+'Calc base'!R173),2)-AE150)</f>
        <v/>
      </c>
      <c r="AE150" s="75" t="str">
        <f>IF($A150="","",CHOOSE('Calc riepilogo'!$B$2,'Calc valanga'!BD173,'Calc palla di neve'!BD173,'Calc personalizzata'!BD173))</f>
        <v/>
      </c>
      <c r="AF150" s="70" t="str">
        <f>IF($A150="","",ROUND(N(AG149)*(1+'Calc base'!S173),2)-AG150)</f>
        <v/>
      </c>
      <c r="AG150" s="75" t="str">
        <f>IF($A150="","",CHOOSE('Calc riepilogo'!$B$2,'Calc valanga'!BE173,'Calc palla di neve'!BE173,'Calc personalizzata'!BE173))</f>
        <v/>
      </c>
      <c r="AI150" t="n">
        <v>143</v>
      </c>
    </row>
    <row r="151">
      <c r="A151" s="68" t="str">
        <f>IF(144&gt;'Calc riepilogo'!$B$7,"",'Calc base'!$B174)</f>
        <v/>
      </c>
      <c r="B151" s="69" t="str">
        <f>IF($A151="","",'Calc base'!$C174)</f>
        <v/>
      </c>
      <c r="C151" s="69" t="str">
        <f>IF($A151="","",'Calc base'!$E174)</f>
        <v/>
      </c>
      <c r="D151" s="70" t="str">
        <f>IF($A151="","",J151+L151+N151+P151+R151+T151+V151+X151+Z151+AB151+AD151+AF151)</f>
        <v/>
      </c>
      <c r="E151" s="70" t="str">
        <f>IF($A151="","",CHOOSE('Calc riepilogo'!$B$2,'Calc valanga'!$H174,'Calc palla di neve'!$H174,'Calc personalizzata'!$H174))</f>
        <v/>
      </c>
      <c r="F151" s="71" t="str">
        <f>IF($A151="","",CHOOSE('Calc riepilogo'!$B$2,'Calc valanga'!$G174,'Calc palla di neve'!$G174,'Calc personalizzata'!$G174))</f>
        <v/>
      </c>
      <c r="G151" s="72" t="n"/>
      <c r="H151" s="73" t="n"/>
      <c r="I151" s="74" t="str">
        <f>IF($A151="","",TRIM(IF(AND(N(K150)&gt;0,N(K151)&lt;=0.004),"✓ "&amp;'Calc base'!C$6&amp;"   ","")&amp;IF(AND(N(M150)&gt;0,N(M151)&lt;=0.004),"✓ "&amp;'Calc base'!D$6&amp;"   ","")&amp;IF(AND(N(O150)&gt;0,N(O151)&lt;=0.004),"✓ "&amp;'Calc base'!E$6&amp;"   ","")&amp;IF(AND(N(Q150)&gt;0,N(Q151)&lt;=0.004),"✓ "&amp;'Calc base'!F$6&amp;"   ","")&amp;IF(AND(N(S150)&gt;0,N(S151)&lt;=0.004),"✓ "&amp;'Calc base'!G$6&amp;"   ","")&amp;IF(AND(N(U150)&gt;0,N(U151)&lt;=0.004),"✓ "&amp;'Calc base'!H$6&amp;"   ","")&amp;IF(AND(N(W150)&gt;0,N(W151)&lt;=0.004),"✓ "&amp;'Calc base'!I$6&amp;"   ","")&amp;IF(AND(N(Y150)&gt;0,N(Y151)&lt;=0.004),"✓ "&amp;'Calc base'!J$6&amp;"   ","")&amp;IF(AND(N(AA150)&gt;0,N(AA151)&lt;=0.004),"✓ "&amp;'Calc base'!K$6&amp;"   ","")&amp;IF(AND(N(AC150)&gt;0,N(AC151)&lt;=0.004),"✓ "&amp;'Calc base'!L$6&amp;"   ","")&amp;IF(AND(N(AE150)&gt;0,N(AE151)&lt;=0.004),"✓ "&amp;'Calc base'!M$6&amp;"   ","")&amp;IF(AND(N(AG150)&gt;0,N(AG151)&lt;=0.004),"✓ "&amp;'Calc base'!N$6&amp;"   ","")))</f>
        <v/>
      </c>
      <c r="J151" s="70" t="str">
        <f>IF($A151="","",ROUND(N(K150)*(1+'Calc base'!H174),2)-K151)</f>
        <v/>
      </c>
      <c r="K151" s="75" t="str">
        <f>IF($A151="","",CHOOSE('Calc riepilogo'!$B$2,'Calc valanga'!AT174,'Calc palla di neve'!AT174,'Calc personalizzata'!AT174))</f>
        <v/>
      </c>
      <c r="L151" s="70" t="str">
        <f>IF($A151="","",ROUND(N(M150)*(1+'Calc base'!I174),2)-M151)</f>
        <v/>
      </c>
      <c r="M151" s="75" t="str">
        <f>IF($A151="","",CHOOSE('Calc riepilogo'!$B$2,'Calc valanga'!AU174,'Calc palla di neve'!AU174,'Calc personalizzata'!AU174))</f>
        <v/>
      </c>
      <c r="N151" s="70" t="str">
        <f>IF($A151="","",ROUND(N(O150)*(1+'Calc base'!J174),2)-O151)</f>
        <v/>
      </c>
      <c r="O151" s="75" t="str">
        <f>IF($A151="","",CHOOSE('Calc riepilogo'!$B$2,'Calc valanga'!AV174,'Calc palla di neve'!AV174,'Calc personalizzata'!AV174))</f>
        <v/>
      </c>
      <c r="P151" s="70" t="str">
        <f>IF($A151="","",ROUND(N(Q150)*(1+'Calc base'!K174),2)-Q151)</f>
        <v/>
      </c>
      <c r="Q151" s="75" t="str">
        <f>IF($A151="","",CHOOSE('Calc riepilogo'!$B$2,'Calc valanga'!AW174,'Calc palla di neve'!AW174,'Calc personalizzata'!AW174))</f>
        <v/>
      </c>
      <c r="R151" s="70" t="str">
        <f>IF($A151="","",ROUND(N(S150)*(1+'Calc base'!L174),2)-S151)</f>
        <v/>
      </c>
      <c r="S151" s="75" t="str">
        <f>IF($A151="","",CHOOSE('Calc riepilogo'!$B$2,'Calc valanga'!AX174,'Calc palla di neve'!AX174,'Calc personalizzata'!AX174))</f>
        <v/>
      </c>
      <c r="T151" s="70" t="str">
        <f>IF($A151="","",ROUND(N(U150)*(1+'Calc base'!M174),2)-U151)</f>
        <v/>
      </c>
      <c r="U151" s="75" t="str">
        <f>IF($A151="","",CHOOSE('Calc riepilogo'!$B$2,'Calc valanga'!AY174,'Calc palla di neve'!AY174,'Calc personalizzata'!AY174))</f>
        <v/>
      </c>
      <c r="V151" s="70" t="str">
        <f>IF($A151="","",ROUND(N(W150)*(1+'Calc base'!N174),2)-W151)</f>
        <v/>
      </c>
      <c r="W151" s="75" t="str">
        <f>IF($A151="","",CHOOSE('Calc riepilogo'!$B$2,'Calc valanga'!AZ174,'Calc palla di neve'!AZ174,'Calc personalizzata'!AZ174))</f>
        <v/>
      </c>
      <c r="X151" s="70" t="str">
        <f>IF($A151="","",ROUND(N(Y150)*(1+'Calc base'!O174),2)-Y151)</f>
        <v/>
      </c>
      <c r="Y151" s="75" t="str">
        <f>IF($A151="","",CHOOSE('Calc riepilogo'!$B$2,'Calc valanga'!BA174,'Calc palla di neve'!BA174,'Calc personalizzata'!BA174))</f>
        <v/>
      </c>
      <c r="Z151" s="70" t="str">
        <f>IF($A151="","",ROUND(N(AA150)*(1+'Calc base'!P174),2)-AA151)</f>
        <v/>
      </c>
      <c r="AA151" s="75" t="str">
        <f>IF($A151="","",CHOOSE('Calc riepilogo'!$B$2,'Calc valanga'!BB174,'Calc palla di neve'!BB174,'Calc personalizzata'!BB174))</f>
        <v/>
      </c>
      <c r="AB151" s="70" t="str">
        <f>IF($A151="","",ROUND(N(AC150)*(1+'Calc base'!Q174),2)-AC151)</f>
        <v/>
      </c>
      <c r="AC151" s="75" t="str">
        <f>IF($A151="","",CHOOSE('Calc riepilogo'!$B$2,'Calc valanga'!BC174,'Calc palla di neve'!BC174,'Calc personalizzata'!BC174))</f>
        <v/>
      </c>
      <c r="AD151" s="70" t="str">
        <f>IF($A151="","",ROUND(N(AE150)*(1+'Calc base'!R174),2)-AE151)</f>
        <v/>
      </c>
      <c r="AE151" s="75" t="str">
        <f>IF($A151="","",CHOOSE('Calc riepilogo'!$B$2,'Calc valanga'!BD174,'Calc palla di neve'!BD174,'Calc personalizzata'!BD174))</f>
        <v/>
      </c>
      <c r="AF151" s="70" t="str">
        <f>IF($A151="","",ROUND(N(AG150)*(1+'Calc base'!S174),2)-AG151)</f>
        <v/>
      </c>
      <c r="AG151" s="75" t="str">
        <f>IF($A151="","",CHOOSE('Calc riepilogo'!$B$2,'Calc valanga'!BE174,'Calc palla di neve'!BE174,'Calc personalizzata'!BE174))</f>
        <v/>
      </c>
      <c r="AI151" t="n">
        <v>144</v>
      </c>
    </row>
    <row r="152">
      <c r="A152" s="68" t="str">
        <f>IF(145&gt;'Calc riepilogo'!$B$7,"",'Calc base'!$B175)</f>
        <v/>
      </c>
      <c r="B152" s="69" t="str">
        <f>IF($A152="","",'Calc base'!$C175)</f>
        <v/>
      </c>
      <c r="C152" s="69" t="str">
        <f>IF($A152="","",'Calc base'!$E175)</f>
        <v/>
      </c>
      <c r="D152" s="70" t="str">
        <f>IF($A152="","",J152+L152+N152+P152+R152+T152+V152+X152+Z152+AB152+AD152+AF152)</f>
        <v/>
      </c>
      <c r="E152" s="70" t="str">
        <f>IF($A152="","",CHOOSE('Calc riepilogo'!$B$2,'Calc valanga'!$H175,'Calc palla di neve'!$H175,'Calc personalizzata'!$H175))</f>
        <v/>
      </c>
      <c r="F152" s="71" t="str">
        <f>IF($A152="","",CHOOSE('Calc riepilogo'!$B$2,'Calc valanga'!$G175,'Calc palla di neve'!$G175,'Calc personalizzata'!$G175))</f>
        <v/>
      </c>
      <c r="G152" s="72" t="n"/>
      <c r="H152" s="73" t="n"/>
      <c r="I152" s="74" t="str">
        <f>IF($A152="","",TRIM(IF(AND(N(K151)&gt;0,N(K152)&lt;=0.004),"✓ "&amp;'Calc base'!C$6&amp;"   ","")&amp;IF(AND(N(M151)&gt;0,N(M152)&lt;=0.004),"✓ "&amp;'Calc base'!D$6&amp;"   ","")&amp;IF(AND(N(O151)&gt;0,N(O152)&lt;=0.004),"✓ "&amp;'Calc base'!E$6&amp;"   ","")&amp;IF(AND(N(Q151)&gt;0,N(Q152)&lt;=0.004),"✓ "&amp;'Calc base'!F$6&amp;"   ","")&amp;IF(AND(N(S151)&gt;0,N(S152)&lt;=0.004),"✓ "&amp;'Calc base'!G$6&amp;"   ","")&amp;IF(AND(N(U151)&gt;0,N(U152)&lt;=0.004),"✓ "&amp;'Calc base'!H$6&amp;"   ","")&amp;IF(AND(N(W151)&gt;0,N(W152)&lt;=0.004),"✓ "&amp;'Calc base'!I$6&amp;"   ","")&amp;IF(AND(N(Y151)&gt;0,N(Y152)&lt;=0.004),"✓ "&amp;'Calc base'!J$6&amp;"   ","")&amp;IF(AND(N(AA151)&gt;0,N(AA152)&lt;=0.004),"✓ "&amp;'Calc base'!K$6&amp;"   ","")&amp;IF(AND(N(AC151)&gt;0,N(AC152)&lt;=0.004),"✓ "&amp;'Calc base'!L$6&amp;"   ","")&amp;IF(AND(N(AE151)&gt;0,N(AE152)&lt;=0.004),"✓ "&amp;'Calc base'!M$6&amp;"   ","")&amp;IF(AND(N(AG151)&gt;0,N(AG152)&lt;=0.004),"✓ "&amp;'Calc base'!N$6&amp;"   ","")))</f>
        <v/>
      </c>
      <c r="J152" s="70" t="str">
        <f>IF($A152="","",ROUND(N(K151)*(1+'Calc base'!H175),2)-K152)</f>
        <v/>
      </c>
      <c r="K152" s="75" t="str">
        <f>IF($A152="","",CHOOSE('Calc riepilogo'!$B$2,'Calc valanga'!AT175,'Calc palla di neve'!AT175,'Calc personalizzata'!AT175))</f>
        <v/>
      </c>
      <c r="L152" s="70" t="str">
        <f>IF($A152="","",ROUND(N(M151)*(1+'Calc base'!I175),2)-M152)</f>
        <v/>
      </c>
      <c r="M152" s="75" t="str">
        <f>IF($A152="","",CHOOSE('Calc riepilogo'!$B$2,'Calc valanga'!AU175,'Calc palla di neve'!AU175,'Calc personalizzata'!AU175))</f>
        <v/>
      </c>
      <c r="N152" s="70" t="str">
        <f>IF($A152="","",ROUND(N(O151)*(1+'Calc base'!J175),2)-O152)</f>
        <v/>
      </c>
      <c r="O152" s="75" t="str">
        <f>IF($A152="","",CHOOSE('Calc riepilogo'!$B$2,'Calc valanga'!AV175,'Calc palla di neve'!AV175,'Calc personalizzata'!AV175))</f>
        <v/>
      </c>
      <c r="P152" s="70" t="str">
        <f>IF($A152="","",ROUND(N(Q151)*(1+'Calc base'!K175),2)-Q152)</f>
        <v/>
      </c>
      <c r="Q152" s="75" t="str">
        <f>IF($A152="","",CHOOSE('Calc riepilogo'!$B$2,'Calc valanga'!AW175,'Calc palla di neve'!AW175,'Calc personalizzata'!AW175))</f>
        <v/>
      </c>
      <c r="R152" s="70" t="str">
        <f>IF($A152="","",ROUND(N(S151)*(1+'Calc base'!L175),2)-S152)</f>
        <v/>
      </c>
      <c r="S152" s="75" t="str">
        <f>IF($A152="","",CHOOSE('Calc riepilogo'!$B$2,'Calc valanga'!AX175,'Calc palla di neve'!AX175,'Calc personalizzata'!AX175))</f>
        <v/>
      </c>
      <c r="T152" s="70" t="str">
        <f>IF($A152="","",ROUND(N(U151)*(1+'Calc base'!M175),2)-U152)</f>
        <v/>
      </c>
      <c r="U152" s="75" t="str">
        <f>IF($A152="","",CHOOSE('Calc riepilogo'!$B$2,'Calc valanga'!AY175,'Calc palla di neve'!AY175,'Calc personalizzata'!AY175))</f>
        <v/>
      </c>
      <c r="V152" s="70" t="str">
        <f>IF($A152="","",ROUND(N(W151)*(1+'Calc base'!N175),2)-W152)</f>
        <v/>
      </c>
      <c r="W152" s="75" t="str">
        <f>IF($A152="","",CHOOSE('Calc riepilogo'!$B$2,'Calc valanga'!AZ175,'Calc palla di neve'!AZ175,'Calc personalizzata'!AZ175))</f>
        <v/>
      </c>
      <c r="X152" s="70" t="str">
        <f>IF($A152="","",ROUND(N(Y151)*(1+'Calc base'!O175),2)-Y152)</f>
        <v/>
      </c>
      <c r="Y152" s="75" t="str">
        <f>IF($A152="","",CHOOSE('Calc riepilogo'!$B$2,'Calc valanga'!BA175,'Calc palla di neve'!BA175,'Calc personalizzata'!BA175))</f>
        <v/>
      </c>
      <c r="Z152" s="70" t="str">
        <f>IF($A152="","",ROUND(N(AA151)*(1+'Calc base'!P175),2)-AA152)</f>
        <v/>
      </c>
      <c r="AA152" s="75" t="str">
        <f>IF($A152="","",CHOOSE('Calc riepilogo'!$B$2,'Calc valanga'!BB175,'Calc palla di neve'!BB175,'Calc personalizzata'!BB175))</f>
        <v/>
      </c>
      <c r="AB152" s="70" t="str">
        <f>IF($A152="","",ROUND(N(AC151)*(1+'Calc base'!Q175),2)-AC152)</f>
        <v/>
      </c>
      <c r="AC152" s="75" t="str">
        <f>IF($A152="","",CHOOSE('Calc riepilogo'!$B$2,'Calc valanga'!BC175,'Calc palla di neve'!BC175,'Calc personalizzata'!BC175))</f>
        <v/>
      </c>
      <c r="AD152" s="70" t="str">
        <f>IF($A152="","",ROUND(N(AE151)*(1+'Calc base'!R175),2)-AE152)</f>
        <v/>
      </c>
      <c r="AE152" s="75" t="str">
        <f>IF($A152="","",CHOOSE('Calc riepilogo'!$B$2,'Calc valanga'!BD175,'Calc palla di neve'!BD175,'Calc personalizzata'!BD175))</f>
        <v/>
      </c>
      <c r="AF152" s="70" t="str">
        <f>IF($A152="","",ROUND(N(AG151)*(1+'Calc base'!S175),2)-AG152)</f>
        <v/>
      </c>
      <c r="AG152" s="75" t="str">
        <f>IF($A152="","",CHOOSE('Calc riepilogo'!$B$2,'Calc valanga'!BE175,'Calc palla di neve'!BE175,'Calc personalizzata'!BE175))</f>
        <v/>
      </c>
      <c r="AI152" t="n">
        <v>145</v>
      </c>
    </row>
    <row r="153">
      <c r="A153" s="68" t="str">
        <f>IF(146&gt;'Calc riepilogo'!$B$7,"",'Calc base'!$B176)</f>
        <v/>
      </c>
      <c r="B153" s="69" t="str">
        <f>IF($A153="","",'Calc base'!$C176)</f>
        <v/>
      </c>
      <c r="C153" s="69" t="str">
        <f>IF($A153="","",'Calc base'!$E176)</f>
        <v/>
      </c>
      <c r="D153" s="70" t="str">
        <f>IF($A153="","",J153+L153+N153+P153+R153+T153+V153+X153+Z153+AB153+AD153+AF153)</f>
        <v/>
      </c>
      <c r="E153" s="70" t="str">
        <f>IF($A153="","",CHOOSE('Calc riepilogo'!$B$2,'Calc valanga'!$H176,'Calc palla di neve'!$H176,'Calc personalizzata'!$H176))</f>
        <v/>
      </c>
      <c r="F153" s="71" t="str">
        <f>IF($A153="","",CHOOSE('Calc riepilogo'!$B$2,'Calc valanga'!$G176,'Calc palla di neve'!$G176,'Calc personalizzata'!$G176))</f>
        <v/>
      </c>
      <c r="G153" s="72" t="n"/>
      <c r="H153" s="73" t="n"/>
      <c r="I153" s="74" t="str">
        <f>IF($A153="","",TRIM(IF(AND(N(K152)&gt;0,N(K153)&lt;=0.004),"✓ "&amp;'Calc base'!C$6&amp;"   ","")&amp;IF(AND(N(M152)&gt;0,N(M153)&lt;=0.004),"✓ "&amp;'Calc base'!D$6&amp;"   ","")&amp;IF(AND(N(O152)&gt;0,N(O153)&lt;=0.004),"✓ "&amp;'Calc base'!E$6&amp;"   ","")&amp;IF(AND(N(Q152)&gt;0,N(Q153)&lt;=0.004),"✓ "&amp;'Calc base'!F$6&amp;"   ","")&amp;IF(AND(N(S152)&gt;0,N(S153)&lt;=0.004),"✓ "&amp;'Calc base'!G$6&amp;"   ","")&amp;IF(AND(N(U152)&gt;0,N(U153)&lt;=0.004),"✓ "&amp;'Calc base'!H$6&amp;"   ","")&amp;IF(AND(N(W152)&gt;0,N(W153)&lt;=0.004),"✓ "&amp;'Calc base'!I$6&amp;"   ","")&amp;IF(AND(N(Y152)&gt;0,N(Y153)&lt;=0.004),"✓ "&amp;'Calc base'!J$6&amp;"   ","")&amp;IF(AND(N(AA152)&gt;0,N(AA153)&lt;=0.004),"✓ "&amp;'Calc base'!K$6&amp;"   ","")&amp;IF(AND(N(AC152)&gt;0,N(AC153)&lt;=0.004),"✓ "&amp;'Calc base'!L$6&amp;"   ","")&amp;IF(AND(N(AE152)&gt;0,N(AE153)&lt;=0.004),"✓ "&amp;'Calc base'!M$6&amp;"   ","")&amp;IF(AND(N(AG152)&gt;0,N(AG153)&lt;=0.004),"✓ "&amp;'Calc base'!N$6&amp;"   ","")))</f>
        <v/>
      </c>
      <c r="J153" s="70" t="str">
        <f>IF($A153="","",ROUND(N(K152)*(1+'Calc base'!H176),2)-K153)</f>
        <v/>
      </c>
      <c r="K153" s="75" t="str">
        <f>IF($A153="","",CHOOSE('Calc riepilogo'!$B$2,'Calc valanga'!AT176,'Calc palla di neve'!AT176,'Calc personalizzata'!AT176))</f>
        <v/>
      </c>
      <c r="L153" s="70" t="str">
        <f>IF($A153="","",ROUND(N(M152)*(1+'Calc base'!I176),2)-M153)</f>
        <v/>
      </c>
      <c r="M153" s="75" t="str">
        <f>IF($A153="","",CHOOSE('Calc riepilogo'!$B$2,'Calc valanga'!AU176,'Calc palla di neve'!AU176,'Calc personalizzata'!AU176))</f>
        <v/>
      </c>
      <c r="N153" s="70" t="str">
        <f>IF($A153="","",ROUND(N(O152)*(1+'Calc base'!J176),2)-O153)</f>
        <v/>
      </c>
      <c r="O153" s="75" t="str">
        <f>IF($A153="","",CHOOSE('Calc riepilogo'!$B$2,'Calc valanga'!AV176,'Calc palla di neve'!AV176,'Calc personalizzata'!AV176))</f>
        <v/>
      </c>
      <c r="P153" s="70" t="str">
        <f>IF($A153="","",ROUND(N(Q152)*(1+'Calc base'!K176),2)-Q153)</f>
        <v/>
      </c>
      <c r="Q153" s="75" t="str">
        <f>IF($A153="","",CHOOSE('Calc riepilogo'!$B$2,'Calc valanga'!AW176,'Calc palla di neve'!AW176,'Calc personalizzata'!AW176))</f>
        <v/>
      </c>
      <c r="R153" s="70" t="str">
        <f>IF($A153="","",ROUND(N(S152)*(1+'Calc base'!L176),2)-S153)</f>
        <v/>
      </c>
      <c r="S153" s="75" t="str">
        <f>IF($A153="","",CHOOSE('Calc riepilogo'!$B$2,'Calc valanga'!AX176,'Calc palla di neve'!AX176,'Calc personalizzata'!AX176))</f>
        <v/>
      </c>
      <c r="T153" s="70" t="str">
        <f>IF($A153="","",ROUND(N(U152)*(1+'Calc base'!M176),2)-U153)</f>
        <v/>
      </c>
      <c r="U153" s="75" t="str">
        <f>IF($A153="","",CHOOSE('Calc riepilogo'!$B$2,'Calc valanga'!AY176,'Calc palla di neve'!AY176,'Calc personalizzata'!AY176))</f>
        <v/>
      </c>
      <c r="V153" s="70" t="str">
        <f>IF($A153="","",ROUND(N(W152)*(1+'Calc base'!N176),2)-W153)</f>
        <v/>
      </c>
      <c r="W153" s="75" t="str">
        <f>IF($A153="","",CHOOSE('Calc riepilogo'!$B$2,'Calc valanga'!AZ176,'Calc palla di neve'!AZ176,'Calc personalizzata'!AZ176))</f>
        <v/>
      </c>
      <c r="X153" s="70" t="str">
        <f>IF($A153="","",ROUND(N(Y152)*(1+'Calc base'!O176),2)-Y153)</f>
        <v/>
      </c>
      <c r="Y153" s="75" t="str">
        <f>IF($A153="","",CHOOSE('Calc riepilogo'!$B$2,'Calc valanga'!BA176,'Calc palla di neve'!BA176,'Calc personalizzata'!BA176))</f>
        <v/>
      </c>
      <c r="Z153" s="70" t="str">
        <f>IF($A153="","",ROUND(N(AA152)*(1+'Calc base'!P176),2)-AA153)</f>
        <v/>
      </c>
      <c r="AA153" s="75" t="str">
        <f>IF($A153="","",CHOOSE('Calc riepilogo'!$B$2,'Calc valanga'!BB176,'Calc palla di neve'!BB176,'Calc personalizzata'!BB176))</f>
        <v/>
      </c>
      <c r="AB153" s="70" t="str">
        <f>IF($A153="","",ROUND(N(AC152)*(1+'Calc base'!Q176),2)-AC153)</f>
        <v/>
      </c>
      <c r="AC153" s="75" t="str">
        <f>IF($A153="","",CHOOSE('Calc riepilogo'!$B$2,'Calc valanga'!BC176,'Calc palla di neve'!BC176,'Calc personalizzata'!BC176))</f>
        <v/>
      </c>
      <c r="AD153" s="70" t="str">
        <f>IF($A153="","",ROUND(N(AE152)*(1+'Calc base'!R176),2)-AE153)</f>
        <v/>
      </c>
      <c r="AE153" s="75" t="str">
        <f>IF($A153="","",CHOOSE('Calc riepilogo'!$B$2,'Calc valanga'!BD176,'Calc palla di neve'!BD176,'Calc personalizzata'!BD176))</f>
        <v/>
      </c>
      <c r="AF153" s="70" t="str">
        <f>IF($A153="","",ROUND(N(AG152)*(1+'Calc base'!S176),2)-AG153)</f>
        <v/>
      </c>
      <c r="AG153" s="75" t="str">
        <f>IF($A153="","",CHOOSE('Calc riepilogo'!$B$2,'Calc valanga'!BE176,'Calc palla di neve'!BE176,'Calc personalizzata'!BE176))</f>
        <v/>
      </c>
      <c r="AI153" t="n">
        <v>146</v>
      </c>
    </row>
    <row r="154">
      <c r="A154" s="68" t="str">
        <f>IF(147&gt;'Calc riepilogo'!$B$7,"",'Calc base'!$B177)</f>
        <v/>
      </c>
      <c r="B154" s="69" t="str">
        <f>IF($A154="","",'Calc base'!$C177)</f>
        <v/>
      </c>
      <c r="C154" s="69" t="str">
        <f>IF($A154="","",'Calc base'!$E177)</f>
        <v/>
      </c>
      <c r="D154" s="70" t="str">
        <f>IF($A154="","",J154+L154+N154+P154+R154+T154+V154+X154+Z154+AB154+AD154+AF154)</f>
        <v/>
      </c>
      <c r="E154" s="70" t="str">
        <f>IF($A154="","",CHOOSE('Calc riepilogo'!$B$2,'Calc valanga'!$H177,'Calc palla di neve'!$H177,'Calc personalizzata'!$H177))</f>
        <v/>
      </c>
      <c r="F154" s="71" t="str">
        <f>IF($A154="","",CHOOSE('Calc riepilogo'!$B$2,'Calc valanga'!$G177,'Calc palla di neve'!$G177,'Calc personalizzata'!$G177))</f>
        <v/>
      </c>
      <c r="G154" s="72" t="n"/>
      <c r="H154" s="73" t="n"/>
      <c r="I154" s="74" t="str">
        <f>IF($A154="","",TRIM(IF(AND(N(K153)&gt;0,N(K154)&lt;=0.004),"✓ "&amp;'Calc base'!C$6&amp;"   ","")&amp;IF(AND(N(M153)&gt;0,N(M154)&lt;=0.004),"✓ "&amp;'Calc base'!D$6&amp;"   ","")&amp;IF(AND(N(O153)&gt;0,N(O154)&lt;=0.004),"✓ "&amp;'Calc base'!E$6&amp;"   ","")&amp;IF(AND(N(Q153)&gt;0,N(Q154)&lt;=0.004),"✓ "&amp;'Calc base'!F$6&amp;"   ","")&amp;IF(AND(N(S153)&gt;0,N(S154)&lt;=0.004),"✓ "&amp;'Calc base'!G$6&amp;"   ","")&amp;IF(AND(N(U153)&gt;0,N(U154)&lt;=0.004),"✓ "&amp;'Calc base'!H$6&amp;"   ","")&amp;IF(AND(N(W153)&gt;0,N(W154)&lt;=0.004),"✓ "&amp;'Calc base'!I$6&amp;"   ","")&amp;IF(AND(N(Y153)&gt;0,N(Y154)&lt;=0.004),"✓ "&amp;'Calc base'!J$6&amp;"   ","")&amp;IF(AND(N(AA153)&gt;0,N(AA154)&lt;=0.004),"✓ "&amp;'Calc base'!K$6&amp;"   ","")&amp;IF(AND(N(AC153)&gt;0,N(AC154)&lt;=0.004),"✓ "&amp;'Calc base'!L$6&amp;"   ","")&amp;IF(AND(N(AE153)&gt;0,N(AE154)&lt;=0.004),"✓ "&amp;'Calc base'!M$6&amp;"   ","")&amp;IF(AND(N(AG153)&gt;0,N(AG154)&lt;=0.004),"✓ "&amp;'Calc base'!N$6&amp;"   ","")))</f>
        <v/>
      </c>
      <c r="J154" s="70" t="str">
        <f>IF($A154="","",ROUND(N(K153)*(1+'Calc base'!H177),2)-K154)</f>
        <v/>
      </c>
      <c r="K154" s="75" t="str">
        <f>IF($A154="","",CHOOSE('Calc riepilogo'!$B$2,'Calc valanga'!AT177,'Calc palla di neve'!AT177,'Calc personalizzata'!AT177))</f>
        <v/>
      </c>
      <c r="L154" s="70" t="str">
        <f>IF($A154="","",ROUND(N(M153)*(1+'Calc base'!I177),2)-M154)</f>
        <v/>
      </c>
      <c r="M154" s="75" t="str">
        <f>IF($A154="","",CHOOSE('Calc riepilogo'!$B$2,'Calc valanga'!AU177,'Calc palla di neve'!AU177,'Calc personalizzata'!AU177))</f>
        <v/>
      </c>
      <c r="N154" s="70" t="str">
        <f>IF($A154="","",ROUND(N(O153)*(1+'Calc base'!J177),2)-O154)</f>
        <v/>
      </c>
      <c r="O154" s="75" t="str">
        <f>IF($A154="","",CHOOSE('Calc riepilogo'!$B$2,'Calc valanga'!AV177,'Calc palla di neve'!AV177,'Calc personalizzata'!AV177))</f>
        <v/>
      </c>
      <c r="P154" s="70" t="str">
        <f>IF($A154="","",ROUND(N(Q153)*(1+'Calc base'!K177),2)-Q154)</f>
        <v/>
      </c>
      <c r="Q154" s="75" t="str">
        <f>IF($A154="","",CHOOSE('Calc riepilogo'!$B$2,'Calc valanga'!AW177,'Calc palla di neve'!AW177,'Calc personalizzata'!AW177))</f>
        <v/>
      </c>
      <c r="R154" s="70" t="str">
        <f>IF($A154="","",ROUND(N(S153)*(1+'Calc base'!L177),2)-S154)</f>
        <v/>
      </c>
      <c r="S154" s="75" t="str">
        <f>IF($A154="","",CHOOSE('Calc riepilogo'!$B$2,'Calc valanga'!AX177,'Calc palla di neve'!AX177,'Calc personalizzata'!AX177))</f>
        <v/>
      </c>
      <c r="T154" s="70" t="str">
        <f>IF($A154="","",ROUND(N(U153)*(1+'Calc base'!M177),2)-U154)</f>
        <v/>
      </c>
      <c r="U154" s="75" t="str">
        <f>IF($A154="","",CHOOSE('Calc riepilogo'!$B$2,'Calc valanga'!AY177,'Calc palla di neve'!AY177,'Calc personalizzata'!AY177))</f>
        <v/>
      </c>
      <c r="V154" s="70" t="str">
        <f>IF($A154="","",ROUND(N(W153)*(1+'Calc base'!N177),2)-W154)</f>
        <v/>
      </c>
      <c r="W154" s="75" t="str">
        <f>IF($A154="","",CHOOSE('Calc riepilogo'!$B$2,'Calc valanga'!AZ177,'Calc palla di neve'!AZ177,'Calc personalizzata'!AZ177))</f>
        <v/>
      </c>
      <c r="X154" s="70" t="str">
        <f>IF($A154="","",ROUND(N(Y153)*(1+'Calc base'!O177),2)-Y154)</f>
        <v/>
      </c>
      <c r="Y154" s="75" t="str">
        <f>IF($A154="","",CHOOSE('Calc riepilogo'!$B$2,'Calc valanga'!BA177,'Calc palla di neve'!BA177,'Calc personalizzata'!BA177))</f>
        <v/>
      </c>
      <c r="Z154" s="70" t="str">
        <f>IF($A154="","",ROUND(N(AA153)*(1+'Calc base'!P177),2)-AA154)</f>
        <v/>
      </c>
      <c r="AA154" s="75" t="str">
        <f>IF($A154="","",CHOOSE('Calc riepilogo'!$B$2,'Calc valanga'!BB177,'Calc palla di neve'!BB177,'Calc personalizzata'!BB177))</f>
        <v/>
      </c>
      <c r="AB154" s="70" t="str">
        <f>IF($A154="","",ROUND(N(AC153)*(1+'Calc base'!Q177),2)-AC154)</f>
        <v/>
      </c>
      <c r="AC154" s="75" t="str">
        <f>IF($A154="","",CHOOSE('Calc riepilogo'!$B$2,'Calc valanga'!BC177,'Calc palla di neve'!BC177,'Calc personalizzata'!BC177))</f>
        <v/>
      </c>
      <c r="AD154" s="70" t="str">
        <f>IF($A154="","",ROUND(N(AE153)*(1+'Calc base'!R177),2)-AE154)</f>
        <v/>
      </c>
      <c r="AE154" s="75" t="str">
        <f>IF($A154="","",CHOOSE('Calc riepilogo'!$B$2,'Calc valanga'!BD177,'Calc palla di neve'!BD177,'Calc personalizzata'!BD177))</f>
        <v/>
      </c>
      <c r="AF154" s="70" t="str">
        <f>IF($A154="","",ROUND(N(AG153)*(1+'Calc base'!S177),2)-AG154)</f>
        <v/>
      </c>
      <c r="AG154" s="75" t="str">
        <f>IF($A154="","",CHOOSE('Calc riepilogo'!$B$2,'Calc valanga'!BE177,'Calc palla di neve'!BE177,'Calc personalizzata'!BE177))</f>
        <v/>
      </c>
      <c r="AI154" t="n">
        <v>147</v>
      </c>
    </row>
    <row r="155">
      <c r="A155" s="68" t="str">
        <f>IF(148&gt;'Calc riepilogo'!$B$7,"",'Calc base'!$B178)</f>
        <v/>
      </c>
      <c r="B155" s="69" t="str">
        <f>IF($A155="","",'Calc base'!$C178)</f>
        <v/>
      </c>
      <c r="C155" s="69" t="str">
        <f>IF($A155="","",'Calc base'!$E178)</f>
        <v/>
      </c>
      <c r="D155" s="70" t="str">
        <f>IF($A155="","",J155+L155+N155+P155+R155+T155+V155+X155+Z155+AB155+AD155+AF155)</f>
        <v/>
      </c>
      <c r="E155" s="70" t="str">
        <f>IF($A155="","",CHOOSE('Calc riepilogo'!$B$2,'Calc valanga'!$H178,'Calc palla di neve'!$H178,'Calc personalizzata'!$H178))</f>
        <v/>
      </c>
      <c r="F155" s="71" t="str">
        <f>IF($A155="","",CHOOSE('Calc riepilogo'!$B$2,'Calc valanga'!$G178,'Calc palla di neve'!$G178,'Calc personalizzata'!$G178))</f>
        <v/>
      </c>
      <c r="G155" s="72" t="n"/>
      <c r="H155" s="73" t="n"/>
      <c r="I155" s="74" t="str">
        <f>IF($A155="","",TRIM(IF(AND(N(K154)&gt;0,N(K155)&lt;=0.004),"✓ "&amp;'Calc base'!C$6&amp;"   ","")&amp;IF(AND(N(M154)&gt;0,N(M155)&lt;=0.004),"✓ "&amp;'Calc base'!D$6&amp;"   ","")&amp;IF(AND(N(O154)&gt;0,N(O155)&lt;=0.004),"✓ "&amp;'Calc base'!E$6&amp;"   ","")&amp;IF(AND(N(Q154)&gt;0,N(Q155)&lt;=0.004),"✓ "&amp;'Calc base'!F$6&amp;"   ","")&amp;IF(AND(N(S154)&gt;0,N(S155)&lt;=0.004),"✓ "&amp;'Calc base'!G$6&amp;"   ","")&amp;IF(AND(N(U154)&gt;0,N(U155)&lt;=0.004),"✓ "&amp;'Calc base'!H$6&amp;"   ","")&amp;IF(AND(N(W154)&gt;0,N(W155)&lt;=0.004),"✓ "&amp;'Calc base'!I$6&amp;"   ","")&amp;IF(AND(N(Y154)&gt;0,N(Y155)&lt;=0.004),"✓ "&amp;'Calc base'!J$6&amp;"   ","")&amp;IF(AND(N(AA154)&gt;0,N(AA155)&lt;=0.004),"✓ "&amp;'Calc base'!K$6&amp;"   ","")&amp;IF(AND(N(AC154)&gt;0,N(AC155)&lt;=0.004),"✓ "&amp;'Calc base'!L$6&amp;"   ","")&amp;IF(AND(N(AE154)&gt;0,N(AE155)&lt;=0.004),"✓ "&amp;'Calc base'!M$6&amp;"   ","")&amp;IF(AND(N(AG154)&gt;0,N(AG155)&lt;=0.004),"✓ "&amp;'Calc base'!N$6&amp;"   ","")))</f>
        <v/>
      </c>
      <c r="J155" s="70" t="str">
        <f>IF($A155="","",ROUND(N(K154)*(1+'Calc base'!H178),2)-K155)</f>
        <v/>
      </c>
      <c r="K155" s="75" t="str">
        <f>IF($A155="","",CHOOSE('Calc riepilogo'!$B$2,'Calc valanga'!AT178,'Calc palla di neve'!AT178,'Calc personalizzata'!AT178))</f>
        <v/>
      </c>
      <c r="L155" s="70" t="str">
        <f>IF($A155="","",ROUND(N(M154)*(1+'Calc base'!I178),2)-M155)</f>
        <v/>
      </c>
      <c r="M155" s="75" t="str">
        <f>IF($A155="","",CHOOSE('Calc riepilogo'!$B$2,'Calc valanga'!AU178,'Calc palla di neve'!AU178,'Calc personalizzata'!AU178))</f>
        <v/>
      </c>
      <c r="N155" s="70" t="str">
        <f>IF($A155="","",ROUND(N(O154)*(1+'Calc base'!J178),2)-O155)</f>
        <v/>
      </c>
      <c r="O155" s="75" t="str">
        <f>IF($A155="","",CHOOSE('Calc riepilogo'!$B$2,'Calc valanga'!AV178,'Calc palla di neve'!AV178,'Calc personalizzata'!AV178))</f>
        <v/>
      </c>
      <c r="P155" s="70" t="str">
        <f>IF($A155="","",ROUND(N(Q154)*(1+'Calc base'!K178),2)-Q155)</f>
        <v/>
      </c>
      <c r="Q155" s="75" t="str">
        <f>IF($A155="","",CHOOSE('Calc riepilogo'!$B$2,'Calc valanga'!AW178,'Calc palla di neve'!AW178,'Calc personalizzata'!AW178))</f>
        <v/>
      </c>
      <c r="R155" s="70" t="str">
        <f>IF($A155="","",ROUND(N(S154)*(1+'Calc base'!L178),2)-S155)</f>
        <v/>
      </c>
      <c r="S155" s="75" t="str">
        <f>IF($A155="","",CHOOSE('Calc riepilogo'!$B$2,'Calc valanga'!AX178,'Calc palla di neve'!AX178,'Calc personalizzata'!AX178))</f>
        <v/>
      </c>
      <c r="T155" s="70" t="str">
        <f>IF($A155="","",ROUND(N(U154)*(1+'Calc base'!M178),2)-U155)</f>
        <v/>
      </c>
      <c r="U155" s="75" t="str">
        <f>IF($A155="","",CHOOSE('Calc riepilogo'!$B$2,'Calc valanga'!AY178,'Calc palla di neve'!AY178,'Calc personalizzata'!AY178))</f>
        <v/>
      </c>
      <c r="V155" s="70" t="str">
        <f>IF($A155="","",ROUND(N(W154)*(1+'Calc base'!N178),2)-W155)</f>
        <v/>
      </c>
      <c r="W155" s="75" t="str">
        <f>IF($A155="","",CHOOSE('Calc riepilogo'!$B$2,'Calc valanga'!AZ178,'Calc palla di neve'!AZ178,'Calc personalizzata'!AZ178))</f>
        <v/>
      </c>
      <c r="X155" s="70" t="str">
        <f>IF($A155="","",ROUND(N(Y154)*(1+'Calc base'!O178),2)-Y155)</f>
        <v/>
      </c>
      <c r="Y155" s="75" t="str">
        <f>IF($A155="","",CHOOSE('Calc riepilogo'!$B$2,'Calc valanga'!BA178,'Calc palla di neve'!BA178,'Calc personalizzata'!BA178))</f>
        <v/>
      </c>
      <c r="Z155" s="70" t="str">
        <f>IF($A155="","",ROUND(N(AA154)*(1+'Calc base'!P178),2)-AA155)</f>
        <v/>
      </c>
      <c r="AA155" s="75" t="str">
        <f>IF($A155="","",CHOOSE('Calc riepilogo'!$B$2,'Calc valanga'!BB178,'Calc palla di neve'!BB178,'Calc personalizzata'!BB178))</f>
        <v/>
      </c>
      <c r="AB155" s="70" t="str">
        <f>IF($A155="","",ROUND(N(AC154)*(1+'Calc base'!Q178),2)-AC155)</f>
        <v/>
      </c>
      <c r="AC155" s="75" t="str">
        <f>IF($A155="","",CHOOSE('Calc riepilogo'!$B$2,'Calc valanga'!BC178,'Calc palla di neve'!BC178,'Calc personalizzata'!BC178))</f>
        <v/>
      </c>
      <c r="AD155" s="70" t="str">
        <f>IF($A155="","",ROUND(N(AE154)*(1+'Calc base'!R178),2)-AE155)</f>
        <v/>
      </c>
      <c r="AE155" s="75" t="str">
        <f>IF($A155="","",CHOOSE('Calc riepilogo'!$B$2,'Calc valanga'!BD178,'Calc palla di neve'!BD178,'Calc personalizzata'!BD178))</f>
        <v/>
      </c>
      <c r="AF155" s="70" t="str">
        <f>IF($A155="","",ROUND(N(AG154)*(1+'Calc base'!S178),2)-AG155)</f>
        <v/>
      </c>
      <c r="AG155" s="75" t="str">
        <f>IF($A155="","",CHOOSE('Calc riepilogo'!$B$2,'Calc valanga'!BE178,'Calc palla di neve'!BE178,'Calc personalizzata'!BE178))</f>
        <v/>
      </c>
      <c r="AI155" t="n">
        <v>148</v>
      </c>
    </row>
    <row r="156">
      <c r="A156" s="68" t="str">
        <f>IF(149&gt;'Calc riepilogo'!$B$7,"",'Calc base'!$B179)</f>
        <v/>
      </c>
      <c r="B156" s="69" t="str">
        <f>IF($A156="","",'Calc base'!$C179)</f>
        <v/>
      </c>
      <c r="C156" s="69" t="str">
        <f>IF($A156="","",'Calc base'!$E179)</f>
        <v/>
      </c>
      <c r="D156" s="70" t="str">
        <f>IF($A156="","",J156+L156+N156+P156+R156+T156+V156+X156+Z156+AB156+AD156+AF156)</f>
        <v/>
      </c>
      <c r="E156" s="70" t="str">
        <f>IF($A156="","",CHOOSE('Calc riepilogo'!$B$2,'Calc valanga'!$H179,'Calc palla di neve'!$H179,'Calc personalizzata'!$H179))</f>
        <v/>
      </c>
      <c r="F156" s="71" t="str">
        <f>IF($A156="","",CHOOSE('Calc riepilogo'!$B$2,'Calc valanga'!$G179,'Calc palla di neve'!$G179,'Calc personalizzata'!$G179))</f>
        <v/>
      </c>
      <c r="G156" s="72" t="n"/>
      <c r="H156" s="73" t="n"/>
      <c r="I156" s="74" t="str">
        <f>IF($A156="","",TRIM(IF(AND(N(K155)&gt;0,N(K156)&lt;=0.004),"✓ "&amp;'Calc base'!C$6&amp;"   ","")&amp;IF(AND(N(M155)&gt;0,N(M156)&lt;=0.004),"✓ "&amp;'Calc base'!D$6&amp;"   ","")&amp;IF(AND(N(O155)&gt;0,N(O156)&lt;=0.004),"✓ "&amp;'Calc base'!E$6&amp;"   ","")&amp;IF(AND(N(Q155)&gt;0,N(Q156)&lt;=0.004),"✓ "&amp;'Calc base'!F$6&amp;"   ","")&amp;IF(AND(N(S155)&gt;0,N(S156)&lt;=0.004),"✓ "&amp;'Calc base'!G$6&amp;"   ","")&amp;IF(AND(N(U155)&gt;0,N(U156)&lt;=0.004),"✓ "&amp;'Calc base'!H$6&amp;"   ","")&amp;IF(AND(N(W155)&gt;0,N(W156)&lt;=0.004),"✓ "&amp;'Calc base'!I$6&amp;"   ","")&amp;IF(AND(N(Y155)&gt;0,N(Y156)&lt;=0.004),"✓ "&amp;'Calc base'!J$6&amp;"   ","")&amp;IF(AND(N(AA155)&gt;0,N(AA156)&lt;=0.004),"✓ "&amp;'Calc base'!K$6&amp;"   ","")&amp;IF(AND(N(AC155)&gt;0,N(AC156)&lt;=0.004),"✓ "&amp;'Calc base'!L$6&amp;"   ","")&amp;IF(AND(N(AE155)&gt;0,N(AE156)&lt;=0.004),"✓ "&amp;'Calc base'!M$6&amp;"   ","")&amp;IF(AND(N(AG155)&gt;0,N(AG156)&lt;=0.004),"✓ "&amp;'Calc base'!N$6&amp;"   ","")))</f>
        <v/>
      </c>
      <c r="J156" s="70" t="str">
        <f>IF($A156="","",ROUND(N(K155)*(1+'Calc base'!H179),2)-K156)</f>
        <v/>
      </c>
      <c r="K156" s="75" t="str">
        <f>IF($A156="","",CHOOSE('Calc riepilogo'!$B$2,'Calc valanga'!AT179,'Calc palla di neve'!AT179,'Calc personalizzata'!AT179))</f>
        <v/>
      </c>
      <c r="L156" s="70" t="str">
        <f>IF($A156="","",ROUND(N(M155)*(1+'Calc base'!I179),2)-M156)</f>
        <v/>
      </c>
      <c r="M156" s="75" t="str">
        <f>IF($A156="","",CHOOSE('Calc riepilogo'!$B$2,'Calc valanga'!AU179,'Calc palla di neve'!AU179,'Calc personalizzata'!AU179))</f>
        <v/>
      </c>
      <c r="N156" s="70" t="str">
        <f>IF($A156="","",ROUND(N(O155)*(1+'Calc base'!J179),2)-O156)</f>
        <v/>
      </c>
      <c r="O156" s="75" t="str">
        <f>IF($A156="","",CHOOSE('Calc riepilogo'!$B$2,'Calc valanga'!AV179,'Calc palla di neve'!AV179,'Calc personalizzata'!AV179))</f>
        <v/>
      </c>
      <c r="P156" s="70" t="str">
        <f>IF($A156="","",ROUND(N(Q155)*(1+'Calc base'!K179),2)-Q156)</f>
        <v/>
      </c>
      <c r="Q156" s="75" t="str">
        <f>IF($A156="","",CHOOSE('Calc riepilogo'!$B$2,'Calc valanga'!AW179,'Calc palla di neve'!AW179,'Calc personalizzata'!AW179))</f>
        <v/>
      </c>
      <c r="R156" s="70" t="str">
        <f>IF($A156="","",ROUND(N(S155)*(1+'Calc base'!L179),2)-S156)</f>
        <v/>
      </c>
      <c r="S156" s="75" t="str">
        <f>IF($A156="","",CHOOSE('Calc riepilogo'!$B$2,'Calc valanga'!AX179,'Calc palla di neve'!AX179,'Calc personalizzata'!AX179))</f>
        <v/>
      </c>
      <c r="T156" s="70" t="str">
        <f>IF($A156="","",ROUND(N(U155)*(1+'Calc base'!M179),2)-U156)</f>
        <v/>
      </c>
      <c r="U156" s="75" t="str">
        <f>IF($A156="","",CHOOSE('Calc riepilogo'!$B$2,'Calc valanga'!AY179,'Calc palla di neve'!AY179,'Calc personalizzata'!AY179))</f>
        <v/>
      </c>
      <c r="V156" s="70" t="str">
        <f>IF($A156="","",ROUND(N(W155)*(1+'Calc base'!N179),2)-W156)</f>
        <v/>
      </c>
      <c r="W156" s="75" t="str">
        <f>IF($A156="","",CHOOSE('Calc riepilogo'!$B$2,'Calc valanga'!AZ179,'Calc palla di neve'!AZ179,'Calc personalizzata'!AZ179))</f>
        <v/>
      </c>
      <c r="X156" s="70" t="str">
        <f>IF($A156="","",ROUND(N(Y155)*(1+'Calc base'!O179),2)-Y156)</f>
        <v/>
      </c>
      <c r="Y156" s="75" t="str">
        <f>IF($A156="","",CHOOSE('Calc riepilogo'!$B$2,'Calc valanga'!BA179,'Calc palla di neve'!BA179,'Calc personalizzata'!BA179))</f>
        <v/>
      </c>
      <c r="Z156" s="70" t="str">
        <f>IF($A156="","",ROUND(N(AA155)*(1+'Calc base'!P179),2)-AA156)</f>
        <v/>
      </c>
      <c r="AA156" s="75" t="str">
        <f>IF($A156="","",CHOOSE('Calc riepilogo'!$B$2,'Calc valanga'!BB179,'Calc palla di neve'!BB179,'Calc personalizzata'!BB179))</f>
        <v/>
      </c>
      <c r="AB156" s="70" t="str">
        <f>IF($A156="","",ROUND(N(AC155)*(1+'Calc base'!Q179),2)-AC156)</f>
        <v/>
      </c>
      <c r="AC156" s="75" t="str">
        <f>IF($A156="","",CHOOSE('Calc riepilogo'!$B$2,'Calc valanga'!BC179,'Calc palla di neve'!BC179,'Calc personalizzata'!BC179))</f>
        <v/>
      </c>
      <c r="AD156" s="70" t="str">
        <f>IF($A156="","",ROUND(N(AE155)*(1+'Calc base'!R179),2)-AE156)</f>
        <v/>
      </c>
      <c r="AE156" s="75" t="str">
        <f>IF($A156="","",CHOOSE('Calc riepilogo'!$B$2,'Calc valanga'!BD179,'Calc palla di neve'!BD179,'Calc personalizzata'!BD179))</f>
        <v/>
      </c>
      <c r="AF156" s="70" t="str">
        <f>IF($A156="","",ROUND(N(AG155)*(1+'Calc base'!S179),2)-AG156)</f>
        <v/>
      </c>
      <c r="AG156" s="75" t="str">
        <f>IF($A156="","",CHOOSE('Calc riepilogo'!$B$2,'Calc valanga'!BE179,'Calc palla di neve'!BE179,'Calc personalizzata'!BE179))</f>
        <v/>
      </c>
      <c r="AI156" t="n">
        <v>149</v>
      </c>
    </row>
    <row r="157">
      <c r="A157" s="68" t="str">
        <f>IF(150&gt;'Calc riepilogo'!$B$7,"",'Calc base'!$B180)</f>
        <v/>
      </c>
      <c r="B157" s="69" t="str">
        <f>IF($A157="","",'Calc base'!$C180)</f>
        <v/>
      </c>
      <c r="C157" s="69" t="str">
        <f>IF($A157="","",'Calc base'!$E180)</f>
        <v/>
      </c>
      <c r="D157" s="70" t="str">
        <f>IF($A157="","",J157+L157+N157+P157+R157+T157+V157+X157+Z157+AB157+AD157+AF157)</f>
        <v/>
      </c>
      <c r="E157" s="70" t="str">
        <f>IF($A157="","",CHOOSE('Calc riepilogo'!$B$2,'Calc valanga'!$H180,'Calc palla di neve'!$H180,'Calc personalizzata'!$H180))</f>
        <v/>
      </c>
      <c r="F157" s="71" t="str">
        <f>IF($A157="","",CHOOSE('Calc riepilogo'!$B$2,'Calc valanga'!$G180,'Calc palla di neve'!$G180,'Calc personalizzata'!$G180))</f>
        <v/>
      </c>
      <c r="G157" s="72" t="n"/>
      <c r="H157" s="73" t="n"/>
      <c r="I157" s="74" t="str">
        <f>IF($A157="","",TRIM(IF(AND(N(K156)&gt;0,N(K157)&lt;=0.004),"✓ "&amp;'Calc base'!C$6&amp;"   ","")&amp;IF(AND(N(M156)&gt;0,N(M157)&lt;=0.004),"✓ "&amp;'Calc base'!D$6&amp;"   ","")&amp;IF(AND(N(O156)&gt;0,N(O157)&lt;=0.004),"✓ "&amp;'Calc base'!E$6&amp;"   ","")&amp;IF(AND(N(Q156)&gt;0,N(Q157)&lt;=0.004),"✓ "&amp;'Calc base'!F$6&amp;"   ","")&amp;IF(AND(N(S156)&gt;0,N(S157)&lt;=0.004),"✓ "&amp;'Calc base'!G$6&amp;"   ","")&amp;IF(AND(N(U156)&gt;0,N(U157)&lt;=0.004),"✓ "&amp;'Calc base'!H$6&amp;"   ","")&amp;IF(AND(N(W156)&gt;0,N(W157)&lt;=0.004),"✓ "&amp;'Calc base'!I$6&amp;"   ","")&amp;IF(AND(N(Y156)&gt;0,N(Y157)&lt;=0.004),"✓ "&amp;'Calc base'!J$6&amp;"   ","")&amp;IF(AND(N(AA156)&gt;0,N(AA157)&lt;=0.004),"✓ "&amp;'Calc base'!K$6&amp;"   ","")&amp;IF(AND(N(AC156)&gt;0,N(AC157)&lt;=0.004),"✓ "&amp;'Calc base'!L$6&amp;"   ","")&amp;IF(AND(N(AE156)&gt;0,N(AE157)&lt;=0.004),"✓ "&amp;'Calc base'!M$6&amp;"   ","")&amp;IF(AND(N(AG156)&gt;0,N(AG157)&lt;=0.004),"✓ "&amp;'Calc base'!N$6&amp;"   ","")))</f>
        <v/>
      </c>
      <c r="J157" s="70" t="str">
        <f>IF($A157="","",ROUND(N(K156)*(1+'Calc base'!H180),2)-K157)</f>
        <v/>
      </c>
      <c r="K157" s="75" t="str">
        <f>IF($A157="","",CHOOSE('Calc riepilogo'!$B$2,'Calc valanga'!AT180,'Calc palla di neve'!AT180,'Calc personalizzata'!AT180))</f>
        <v/>
      </c>
      <c r="L157" s="70" t="str">
        <f>IF($A157="","",ROUND(N(M156)*(1+'Calc base'!I180),2)-M157)</f>
        <v/>
      </c>
      <c r="M157" s="75" t="str">
        <f>IF($A157="","",CHOOSE('Calc riepilogo'!$B$2,'Calc valanga'!AU180,'Calc palla di neve'!AU180,'Calc personalizzata'!AU180))</f>
        <v/>
      </c>
      <c r="N157" s="70" t="str">
        <f>IF($A157="","",ROUND(N(O156)*(1+'Calc base'!J180),2)-O157)</f>
        <v/>
      </c>
      <c r="O157" s="75" t="str">
        <f>IF($A157="","",CHOOSE('Calc riepilogo'!$B$2,'Calc valanga'!AV180,'Calc palla di neve'!AV180,'Calc personalizzata'!AV180))</f>
        <v/>
      </c>
      <c r="P157" s="70" t="str">
        <f>IF($A157="","",ROUND(N(Q156)*(1+'Calc base'!K180),2)-Q157)</f>
        <v/>
      </c>
      <c r="Q157" s="75" t="str">
        <f>IF($A157="","",CHOOSE('Calc riepilogo'!$B$2,'Calc valanga'!AW180,'Calc palla di neve'!AW180,'Calc personalizzata'!AW180))</f>
        <v/>
      </c>
      <c r="R157" s="70" t="str">
        <f>IF($A157="","",ROUND(N(S156)*(1+'Calc base'!L180),2)-S157)</f>
        <v/>
      </c>
      <c r="S157" s="75" t="str">
        <f>IF($A157="","",CHOOSE('Calc riepilogo'!$B$2,'Calc valanga'!AX180,'Calc palla di neve'!AX180,'Calc personalizzata'!AX180))</f>
        <v/>
      </c>
      <c r="T157" s="70" t="str">
        <f>IF($A157="","",ROUND(N(U156)*(1+'Calc base'!M180),2)-U157)</f>
        <v/>
      </c>
      <c r="U157" s="75" t="str">
        <f>IF($A157="","",CHOOSE('Calc riepilogo'!$B$2,'Calc valanga'!AY180,'Calc palla di neve'!AY180,'Calc personalizzata'!AY180))</f>
        <v/>
      </c>
      <c r="V157" s="70" t="str">
        <f>IF($A157="","",ROUND(N(W156)*(1+'Calc base'!N180),2)-W157)</f>
        <v/>
      </c>
      <c r="W157" s="75" t="str">
        <f>IF($A157="","",CHOOSE('Calc riepilogo'!$B$2,'Calc valanga'!AZ180,'Calc palla di neve'!AZ180,'Calc personalizzata'!AZ180))</f>
        <v/>
      </c>
      <c r="X157" s="70" t="str">
        <f>IF($A157="","",ROUND(N(Y156)*(1+'Calc base'!O180),2)-Y157)</f>
        <v/>
      </c>
      <c r="Y157" s="75" t="str">
        <f>IF($A157="","",CHOOSE('Calc riepilogo'!$B$2,'Calc valanga'!BA180,'Calc palla di neve'!BA180,'Calc personalizzata'!BA180))</f>
        <v/>
      </c>
      <c r="Z157" s="70" t="str">
        <f>IF($A157="","",ROUND(N(AA156)*(1+'Calc base'!P180),2)-AA157)</f>
        <v/>
      </c>
      <c r="AA157" s="75" t="str">
        <f>IF($A157="","",CHOOSE('Calc riepilogo'!$B$2,'Calc valanga'!BB180,'Calc palla di neve'!BB180,'Calc personalizzata'!BB180))</f>
        <v/>
      </c>
      <c r="AB157" s="70" t="str">
        <f>IF($A157="","",ROUND(N(AC156)*(1+'Calc base'!Q180),2)-AC157)</f>
        <v/>
      </c>
      <c r="AC157" s="75" t="str">
        <f>IF($A157="","",CHOOSE('Calc riepilogo'!$B$2,'Calc valanga'!BC180,'Calc palla di neve'!BC180,'Calc personalizzata'!BC180))</f>
        <v/>
      </c>
      <c r="AD157" s="70" t="str">
        <f>IF($A157="","",ROUND(N(AE156)*(1+'Calc base'!R180),2)-AE157)</f>
        <v/>
      </c>
      <c r="AE157" s="75" t="str">
        <f>IF($A157="","",CHOOSE('Calc riepilogo'!$B$2,'Calc valanga'!BD180,'Calc palla di neve'!BD180,'Calc personalizzata'!BD180))</f>
        <v/>
      </c>
      <c r="AF157" s="70" t="str">
        <f>IF($A157="","",ROUND(N(AG156)*(1+'Calc base'!S180),2)-AG157)</f>
        <v/>
      </c>
      <c r="AG157" s="75" t="str">
        <f>IF($A157="","",CHOOSE('Calc riepilogo'!$B$2,'Calc valanga'!BE180,'Calc palla di neve'!BE180,'Calc personalizzata'!BE180))</f>
        <v/>
      </c>
      <c r="AI157" t="n">
        <v>150</v>
      </c>
    </row>
    <row r="158">
      <c r="A158" s="68" t="str">
        <f>IF(151&gt;'Calc riepilogo'!$B$7,"",'Calc base'!$B181)</f>
        <v/>
      </c>
      <c r="B158" s="69" t="str">
        <f>IF($A158="","",'Calc base'!$C181)</f>
        <v/>
      </c>
      <c r="C158" s="69" t="str">
        <f>IF($A158="","",'Calc base'!$E181)</f>
        <v/>
      </c>
      <c r="D158" s="70" t="str">
        <f>IF($A158="","",J158+L158+N158+P158+R158+T158+V158+X158+Z158+AB158+AD158+AF158)</f>
        <v/>
      </c>
      <c r="E158" s="70" t="str">
        <f>IF($A158="","",CHOOSE('Calc riepilogo'!$B$2,'Calc valanga'!$H181,'Calc palla di neve'!$H181,'Calc personalizzata'!$H181))</f>
        <v/>
      </c>
      <c r="F158" s="71" t="str">
        <f>IF($A158="","",CHOOSE('Calc riepilogo'!$B$2,'Calc valanga'!$G181,'Calc palla di neve'!$G181,'Calc personalizzata'!$G181))</f>
        <v/>
      </c>
      <c r="G158" s="72" t="n"/>
      <c r="H158" s="73" t="n"/>
      <c r="I158" s="74" t="str">
        <f>IF($A158="","",TRIM(IF(AND(N(K157)&gt;0,N(K158)&lt;=0.004),"✓ "&amp;'Calc base'!C$6&amp;"   ","")&amp;IF(AND(N(M157)&gt;0,N(M158)&lt;=0.004),"✓ "&amp;'Calc base'!D$6&amp;"   ","")&amp;IF(AND(N(O157)&gt;0,N(O158)&lt;=0.004),"✓ "&amp;'Calc base'!E$6&amp;"   ","")&amp;IF(AND(N(Q157)&gt;0,N(Q158)&lt;=0.004),"✓ "&amp;'Calc base'!F$6&amp;"   ","")&amp;IF(AND(N(S157)&gt;0,N(S158)&lt;=0.004),"✓ "&amp;'Calc base'!G$6&amp;"   ","")&amp;IF(AND(N(U157)&gt;0,N(U158)&lt;=0.004),"✓ "&amp;'Calc base'!H$6&amp;"   ","")&amp;IF(AND(N(W157)&gt;0,N(W158)&lt;=0.004),"✓ "&amp;'Calc base'!I$6&amp;"   ","")&amp;IF(AND(N(Y157)&gt;0,N(Y158)&lt;=0.004),"✓ "&amp;'Calc base'!J$6&amp;"   ","")&amp;IF(AND(N(AA157)&gt;0,N(AA158)&lt;=0.004),"✓ "&amp;'Calc base'!K$6&amp;"   ","")&amp;IF(AND(N(AC157)&gt;0,N(AC158)&lt;=0.004),"✓ "&amp;'Calc base'!L$6&amp;"   ","")&amp;IF(AND(N(AE157)&gt;0,N(AE158)&lt;=0.004),"✓ "&amp;'Calc base'!M$6&amp;"   ","")&amp;IF(AND(N(AG157)&gt;0,N(AG158)&lt;=0.004),"✓ "&amp;'Calc base'!N$6&amp;"   ","")))</f>
        <v/>
      </c>
      <c r="J158" s="70" t="str">
        <f>IF($A158="","",ROUND(N(K157)*(1+'Calc base'!H181),2)-K158)</f>
        <v/>
      </c>
      <c r="K158" s="75" t="str">
        <f>IF($A158="","",CHOOSE('Calc riepilogo'!$B$2,'Calc valanga'!AT181,'Calc palla di neve'!AT181,'Calc personalizzata'!AT181))</f>
        <v/>
      </c>
      <c r="L158" s="70" t="str">
        <f>IF($A158="","",ROUND(N(M157)*(1+'Calc base'!I181),2)-M158)</f>
        <v/>
      </c>
      <c r="M158" s="75" t="str">
        <f>IF($A158="","",CHOOSE('Calc riepilogo'!$B$2,'Calc valanga'!AU181,'Calc palla di neve'!AU181,'Calc personalizzata'!AU181))</f>
        <v/>
      </c>
      <c r="N158" s="70" t="str">
        <f>IF($A158="","",ROUND(N(O157)*(1+'Calc base'!J181),2)-O158)</f>
        <v/>
      </c>
      <c r="O158" s="75" t="str">
        <f>IF($A158="","",CHOOSE('Calc riepilogo'!$B$2,'Calc valanga'!AV181,'Calc palla di neve'!AV181,'Calc personalizzata'!AV181))</f>
        <v/>
      </c>
      <c r="P158" s="70" t="str">
        <f>IF($A158="","",ROUND(N(Q157)*(1+'Calc base'!K181),2)-Q158)</f>
        <v/>
      </c>
      <c r="Q158" s="75" t="str">
        <f>IF($A158="","",CHOOSE('Calc riepilogo'!$B$2,'Calc valanga'!AW181,'Calc palla di neve'!AW181,'Calc personalizzata'!AW181))</f>
        <v/>
      </c>
      <c r="R158" s="70" t="str">
        <f>IF($A158="","",ROUND(N(S157)*(1+'Calc base'!L181),2)-S158)</f>
        <v/>
      </c>
      <c r="S158" s="75" t="str">
        <f>IF($A158="","",CHOOSE('Calc riepilogo'!$B$2,'Calc valanga'!AX181,'Calc palla di neve'!AX181,'Calc personalizzata'!AX181))</f>
        <v/>
      </c>
      <c r="T158" s="70" t="str">
        <f>IF($A158="","",ROUND(N(U157)*(1+'Calc base'!M181),2)-U158)</f>
        <v/>
      </c>
      <c r="U158" s="75" t="str">
        <f>IF($A158="","",CHOOSE('Calc riepilogo'!$B$2,'Calc valanga'!AY181,'Calc palla di neve'!AY181,'Calc personalizzata'!AY181))</f>
        <v/>
      </c>
      <c r="V158" s="70" t="str">
        <f>IF($A158="","",ROUND(N(W157)*(1+'Calc base'!N181),2)-W158)</f>
        <v/>
      </c>
      <c r="W158" s="75" t="str">
        <f>IF($A158="","",CHOOSE('Calc riepilogo'!$B$2,'Calc valanga'!AZ181,'Calc palla di neve'!AZ181,'Calc personalizzata'!AZ181))</f>
        <v/>
      </c>
      <c r="X158" s="70" t="str">
        <f>IF($A158="","",ROUND(N(Y157)*(1+'Calc base'!O181),2)-Y158)</f>
        <v/>
      </c>
      <c r="Y158" s="75" t="str">
        <f>IF($A158="","",CHOOSE('Calc riepilogo'!$B$2,'Calc valanga'!BA181,'Calc palla di neve'!BA181,'Calc personalizzata'!BA181))</f>
        <v/>
      </c>
      <c r="Z158" s="70" t="str">
        <f>IF($A158="","",ROUND(N(AA157)*(1+'Calc base'!P181),2)-AA158)</f>
        <v/>
      </c>
      <c r="AA158" s="75" t="str">
        <f>IF($A158="","",CHOOSE('Calc riepilogo'!$B$2,'Calc valanga'!BB181,'Calc palla di neve'!BB181,'Calc personalizzata'!BB181))</f>
        <v/>
      </c>
      <c r="AB158" s="70" t="str">
        <f>IF($A158="","",ROUND(N(AC157)*(1+'Calc base'!Q181),2)-AC158)</f>
        <v/>
      </c>
      <c r="AC158" s="75" t="str">
        <f>IF($A158="","",CHOOSE('Calc riepilogo'!$B$2,'Calc valanga'!BC181,'Calc palla di neve'!BC181,'Calc personalizzata'!BC181))</f>
        <v/>
      </c>
      <c r="AD158" s="70" t="str">
        <f>IF($A158="","",ROUND(N(AE157)*(1+'Calc base'!R181),2)-AE158)</f>
        <v/>
      </c>
      <c r="AE158" s="75" t="str">
        <f>IF($A158="","",CHOOSE('Calc riepilogo'!$B$2,'Calc valanga'!BD181,'Calc palla di neve'!BD181,'Calc personalizzata'!BD181))</f>
        <v/>
      </c>
      <c r="AF158" s="70" t="str">
        <f>IF($A158="","",ROUND(N(AG157)*(1+'Calc base'!S181),2)-AG158)</f>
        <v/>
      </c>
      <c r="AG158" s="75" t="str">
        <f>IF($A158="","",CHOOSE('Calc riepilogo'!$B$2,'Calc valanga'!BE181,'Calc palla di neve'!BE181,'Calc personalizzata'!BE181))</f>
        <v/>
      </c>
      <c r="AI158" t="n">
        <v>151</v>
      </c>
    </row>
    <row r="159">
      <c r="A159" s="68" t="str">
        <f>IF(152&gt;'Calc riepilogo'!$B$7,"",'Calc base'!$B182)</f>
        <v/>
      </c>
      <c r="B159" s="69" t="str">
        <f>IF($A159="","",'Calc base'!$C182)</f>
        <v/>
      </c>
      <c r="C159" s="69" t="str">
        <f>IF($A159="","",'Calc base'!$E182)</f>
        <v/>
      </c>
      <c r="D159" s="70" t="str">
        <f>IF($A159="","",J159+L159+N159+P159+R159+T159+V159+X159+Z159+AB159+AD159+AF159)</f>
        <v/>
      </c>
      <c r="E159" s="70" t="str">
        <f>IF($A159="","",CHOOSE('Calc riepilogo'!$B$2,'Calc valanga'!$H182,'Calc palla di neve'!$H182,'Calc personalizzata'!$H182))</f>
        <v/>
      </c>
      <c r="F159" s="71" t="str">
        <f>IF($A159="","",CHOOSE('Calc riepilogo'!$B$2,'Calc valanga'!$G182,'Calc palla di neve'!$G182,'Calc personalizzata'!$G182))</f>
        <v/>
      </c>
      <c r="G159" s="72" t="n"/>
      <c r="H159" s="73" t="n"/>
      <c r="I159" s="74" t="str">
        <f>IF($A159="","",TRIM(IF(AND(N(K158)&gt;0,N(K159)&lt;=0.004),"✓ "&amp;'Calc base'!C$6&amp;"   ","")&amp;IF(AND(N(M158)&gt;0,N(M159)&lt;=0.004),"✓ "&amp;'Calc base'!D$6&amp;"   ","")&amp;IF(AND(N(O158)&gt;0,N(O159)&lt;=0.004),"✓ "&amp;'Calc base'!E$6&amp;"   ","")&amp;IF(AND(N(Q158)&gt;0,N(Q159)&lt;=0.004),"✓ "&amp;'Calc base'!F$6&amp;"   ","")&amp;IF(AND(N(S158)&gt;0,N(S159)&lt;=0.004),"✓ "&amp;'Calc base'!G$6&amp;"   ","")&amp;IF(AND(N(U158)&gt;0,N(U159)&lt;=0.004),"✓ "&amp;'Calc base'!H$6&amp;"   ","")&amp;IF(AND(N(W158)&gt;0,N(W159)&lt;=0.004),"✓ "&amp;'Calc base'!I$6&amp;"   ","")&amp;IF(AND(N(Y158)&gt;0,N(Y159)&lt;=0.004),"✓ "&amp;'Calc base'!J$6&amp;"   ","")&amp;IF(AND(N(AA158)&gt;0,N(AA159)&lt;=0.004),"✓ "&amp;'Calc base'!K$6&amp;"   ","")&amp;IF(AND(N(AC158)&gt;0,N(AC159)&lt;=0.004),"✓ "&amp;'Calc base'!L$6&amp;"   ","")&amp;IF(AND(N(AE158)&gt;0,N(AE159)&lt;=0.004),"✓ "&amp;'Calc base'!M$6&amp;"   ","")&amp;IF(AND(N(AG158)&gt;0,N(AG159)&lt;=0.004),"✓ "&amp;'Calc base'!N$6&amp;"   ","")))</f>
        <v/>
      </c>
      <c r="J159" s="70" t="str">
        <f>IF($A159="","",ROUND(N(K158)*(1+'Calc base'!H182),2)-K159)</f>
        <v/>
      </c>
      <c r="K159" s="75" t="str">
        <f>IF($A159="","",CHOOSE('Calc riepilogo'!$B$2,'Calc valanga'!AT182,'Calc palla di neve'!AT182,'Calc personalizzata'!AT182))</f>
        <v/>
      </c>
      <c r="L159" s="70" t="str">
        <f>IF($A159="","",ROUND(N(M158)*(1+'Calc base'!I182),2)-M159)</f>
        <v/>
      </c>
      <c r="M159" s="75" t="str">
        <f>IF($A159="","",CHOOSE('Calc riepilogo'!$B$2,'Calc valanga'!AU182,'Calc palla di neve'!AU182,'Calc personalizzata'!AU182))</f>
        <v/>
      </c>
      <c r="N159" s="70" t="str">
        <f>IF($A159="","",ROUND(N(O158)*(1+'Calc base'!J182),2)-O159)</f>
        <v/>
      </c>
      <c r="O159" s="75" t="str">
        <f>IF($A159="","",CHOOSE('Calc riepilogo'!$B$2,'Calc valanga'!AV182,'Calc palla di neve'!AV182,'Calc personalizzata'!AV182))</f>
        <v/>
      </c>
      <c r="P159" s="70" t="str">
        <f>IF($A159="","",ROUND(N(Q158)*(1+'Calc base'!K182),2)-Q159)</f>
        <v/>
      </c>
      <c r="Q159" s="75" t="str">
        <f>IF($A159="","",CHOOSE('Calc riepilogo'!$B$2,'Calc valanga'!AW182,'Calc palla di neve'!AW182,'Calc personalizzata'!AW182))</f>
        <v/>
      </c>
      <c r="R159" s="70" t="str">
        <f>IF($A159="","",ROUND(N(S158)*(1+'Calc base'!L182),2)-S159)</f>
        <v/>
      </c>
      <c r="S159" s="75" t="str">
        <f>IF($A159="","",CHOOSE('Calc riepilogo'!$B$2,'Calc valanga'!AX182,'Calc palla di neve'!AX182,'Calc personalizzata'!AX182))</f>
        <v/>
      </c>
      <c r="T159" s="70" t="str">
        <f>IF($A159="","",ROUND(N(U158)*(1+'Calc base'!M182),2)-U159)</f>
        <v/>
      </c>
      <c r="U159" s="75" t="str">
        <f>IF($A159="","",CHOOSE('Calc riepilogo'!$B$2,'Calc valanga'!AY182,'Calc palla di neve'!AY182,'Calc personalizzata'!AY182))</f>
        <v/>
      </c>
      <c r="V159" s="70" t="str">
        <f>IF($A159="","",ROUND(N(W158)*(1+'Calc base'!N182),2)-W159)</f>
        <v/>
      </c>
      <c r="W159" s="75" t="str">
        <f>IF($A159="","",CHOOSE('Calc riepilogo'!$B$2,'Calc valanga'!AZ182,'Calc palla di neve'!AZ182,'Calc personalizzata'!AZ182))</f>
        <v/>
      </c>
      <c r="X159" s="70" t="str">
        <f>IF($A159="","",ROUND(N(Y158)*(1+'Calc base'!O182),2)-Y159)</f>
        <v/>
      </c>
      <c r="Y159" s="75" t="str">
        <f>IF($A159="","",CHOOSE('Calc riepilogo'!$B$2,'Calc valanga'!BA182,'Calc palla di neve'!BA182,'Calc personalizzata'!BA182))</f>
        <v/>
      </c>
      <c r="Z159" s="70" t="str">
        <f>IF($A159="","",ROUND(N(AA158)*(1+'Calc base'!P182),2)-AA159)</f>
        <v/>
      </c>
      <c r="AA159" s="75" t="str">
        <f>IF($A159="","",CHOOSE('Calc riepilogo'!$B$2,'Calc valanga'!BB182,'Calc palla di neve'!BB182,'Calc personalizzata'!BB182))</f>
        <v/>
      </c>
      <c r="AB159" s="70" t="str">
        <f>IF($A159="","",ROUND(N(AC158)*(1+'Calc base'!Q182),2)-AC159)</f>
        <v/>
      </c>
      <c r="AC159" s="75" t="str">
        <f>IF($A159="","",CHOOSE('Calc riepilogo'!$B$2,'Calc valanga'!BC182,'Calc palla di neve'!BC182,'Calc personalizzata'!BC182))</f>
        <v/>
      </c>
      <c r="AD159" s="70" t="str">
        <f>IF($A159="","",ROUND(N(AE158)*(1+'Calc base'!R182),2)-AE159)</f>
        <v/>
      </c>
      <c r="AE159" s="75" t="str">
        <f>IF($A159="","",CHOOSE('Calc riepilogo'!$B$2,'Calc valanga'!BD182,'Calc palla di neve'!BD182,'Calc personalizzata'!BD182))</f>
        <v/>
      </c>
      <c r="AF159" s="70" t="str">
        <f>IF($A159="","",ROUND(N(AG158)*(1+'Calc base'!S182),2)-AG159)</f>
        <v/>
      </c>
      <c r="AG159" s="75" t="str">
        <f>IF($A159="","",CHOOSE('Calc riepilogo'!$B$2,'Calc valanga'!BE182,'Calc palla di neve'!BE182,'Calc personalizzata'!BE182))</f>
        <v/>
      </c>
      <c r="AI159" t="n">
        <v>152</v>
      </c>
    </row>
    <row r="160">
      <c r="A160" s="68" t="str">
        <f>IF(153&gt;'Calc riepilogo'!$B$7,"",'Calc base'!$B183)</f>
        <v/>
      </c>
      <c r="B160" s="69" t="str">
        <f>IF($A160="","",'Calc base'!$C183)</f>
        <v/>
      </c>
      <c r="C160" s="69" t="str">
        <f>IF($A160="","",'Calc base'!$E183)</f>
        <v/>
      </c>
      <c r="D160" s="70" t="str">
        <f>IF($A160="","",J160+L160+N160+P160+R160+T160+V160+X160+Z160+AB160+AD160+AF160)</f>
        <v/>
      </c>
      <c r="E160" s="70" t="str">
        <f>IF($A160="","",CHOOSE('Calc riepilogo'!$B$2,'Calc valanga'!$H183,'Calc palla di neve'!$H183,'Calc personalizzata'!$H183))</f>
        <v/>
      </c>
      <c r="F160" s="71" t="str">
        <f>IF($A160="","",CHOOSE('Calc riepilogo'!$B$2,'Calc valanga'!$G183,'Calc palla di neve'!$G183,'Calc personalizzata'!$G183))</f>
        <v/>
      </c>
      <c r="G160" s="72" t="n"/>
      <c r="H160" s="73" t="n"/>
      <c r="I160" s="74" t="str">
        <f>IF($A160="","",TRIM(IF(AND(N(K159)&gt;0,N(K160)&lt;=0.004),"✓ "&amp;'Calc base'!C$6&amp;"   ","")&amp;IF(AND(N(M159)&gt;0,N(M160)&lt;=0.004),"✓ "&amp;'Calc base'!D$6&amp;"   ","")&amp;IF(AND(N(O159)&gt;0,N(O160)&lt;=0.004),"✓ "&amp;'Calc base'!E$6&amp;"   ","")&amp;IF(AND(N(Q159)&gt;0,N(Q160)&lt;=0.004),"✓ "&amp;'Calc base'!F$6&amp;"   ","")&amp;IF(AND(N(S159)&gt;0,N(S160)&lt;=0.004),"✓ "&amp;'Calc base'!G$6&amp;"   ","")&amp;IF(AND(N(U159)&gt;0,N(U160)&lt;=0.004),"✓ "&amp;'Calc base'!H$6&amp;"   ","")&amp;IF(AND(N(W159)&gt;0,N(W160)&lt;=0.004),"✓ "&amp;'Calc base'!I$6&amp;"   ","")&amp;IF(AND(N(Y159)&gt;0,N(Y160)&lt;=0.004),"✓ "&amp;'Calc base'!J$6&amp;"   ","")&amp;IF(AND(N(AA159)&gt;0,N(AA160)&lt;=0.004),"✓ "&amp;'Calc base'!K$6&amp;"   ","")&amp;IF(AND(N(AC159)&gt;0,N(AC160)&lt;=0.004),"✓ "&amp;'Calc base'!L$6&amp;"   ","")&amp;IF(AND(N(AE159)&gt;0,N(AE160)&lt;=0.004),"✓ "&amp;'Calc base'!M$6&amp;"   ","")&amp;IF(AND(N(AG159)&gt;0,N(AG160)&lt;=0.004),"✓ "&amp;'Calc base'!N$6&amp;"   ","")))</f>
        <v/>
      </c>
      <c r="J160" s="70" t="str">
        <f>IF($A160="","",ROUND(N(K159)*(1+'Calc base'!H183),2)-K160)</f>
        <v/>
      </c>
      <c r="K160" s="75" t="str">
        <f>IF($A160="","",CHOOSE('Calc riepilogo'!$B$2,'Calc valanga'!AT183,'Calc palla di neve'!AT183,'Calc personalizzata'!AT183))</f>
        <v/>
      </c>
      <c r="L160" s="70" t="str">
        <f>IF($A160="","",ROUND(N(M159)*(1+'Calc base'!I183),2)-M160)</f>
        <v/>
      </c>
      <c r="M160" s="75" t="str">
        <f>IF($A160="","",CHOOSE('Calc riepilogo'!$B$2,'Calc valanga'!AU183,'Calc palla di neve'!AU183,'Calc personalizzata'!AU183))</f>
        <v/>
      </c>
      <c r="N160" s="70" t="str">
        <f>IF($A160="","",ROUND(N(O159)*(1+'Calc base'!J183),2)-O160)</f>
        <v/>
      </c>
      <c r="O160" s="75" t="str">
        <f>IF($A160="","",CHOOSE('Calc riepilogo'!$B$2,'Calc valanga'!AV183,'Calc palla di neve'!AV183,'Calc personalizzata'!AV183))</f>
        <v/>
      </c>
      <c r="P160" s="70" t="str">
        <f>IF($A160="","",ROUND(N(Q159)*(1+'Calc base'!K183),2)-Q160)</f>
        <v/>
      </c>
      <c r="Q160" s="75" t="str">
        <f>IF($A160="","",CHOOSE('Calc riepilogo'!$B$2,'Calc valanga'!AW183,'Calc palla di neve'!AW183,'Calc personalizzata'!AW183))</f>
        <v/>
      </c>
      <c r="R160" s="70" t="str">
        <f>IF($A160="","",ROUND(N(S159)*(1+'Calc base'!L183),2)-S160)</f>
        <v/>
      </c>
      <c r="S160" s="75" t="str">
        <f>IF($A160="","",CHOOSE('Calc riepilogo'!$B$2,'Calc valanga'!AX183,'Calc palla di neve'!AX183,'Calc personalizzata'!AX183))</f>
        <v/>
      </c>
      <c r="T160" s="70" t="str">
        <f>IF($A160="","",ROUND(N(U159)*(1+'Calc base'!M183),2)-U160)</f>
        <v/>
      </c>
      <c r="U160" s="75" t="str">
        <f>IF($A160="","",CHOOSE('Calc riepilogo'!$B$2,'Calc valanga'!AY183,'Calc palla di neve'!AY183,'Calc personalizzata'!AY183))</f>
        <v/>
      </c>
      <c r="V160" s="70" t="str">
        <f>IF($A160="","",ROUND(N(W159)*(1+'Calc base'!N183),2)-W160)</f>
        <v/>
      </c>
      <c r="W160" s="75" t="str">
        <f>IF($A160="","",CHOOSE('Calc riepilogo'!$B$2,'Calc valanga'!AZ183,'Calc palla di neve'!AZ183,'Calc personalizzata'!AZ183))</f>
        <v/>
      </c>
      <c r="X160" s="70" t="str">
        <f>IF($A160="","",ROUND(N(Y159)*(1+'Calc base'!O183),2)-Y160)</f>
        <v/>
      </c>
      <c r="Y160" s="75" t="str">
        <f>IF($A160="","",CHOOSE('Calc riepilogo'!$B$2,'Calc valanga'!BA183,'Calc palla di neve'!BA183,'Calc personalizzata'!BA183))</f>
        <v/>
      </c>
      <c r="Z160" s="70" t="str">
        <f>IF($A160="","",ROUND(N(AA159)*(1+'Calc base'!P183),2)-AA160)</f>
        <v/>
      </c>
      <c r="AA160" s="75" t="str">
        <f>IF($A160="","",CHOOSE('Calc riepilogo'!$B$2,'Calc valanga'!BB183,'Calc palla di neve'!BB183,'Calc personalizzata'!BB183))</f>
        <v/>
      </c>
      <c r="AB160" s="70" t="str">
        <f>IF($A160="","",ROUND(N(AC159)*(1+'Calc base'!Q183),2)-AC160)</f>
        <v/>
      </c>
      <c r="AC160" s="75" t="str">
        <f>IF($A160="","",CHOOSE('Calc riepilogo'!$B$2,'Calc valanga'!BC183,'Calc palla di neve'!BC183,'Calc personalizzata'!BC183))</f>
        <v/>
      </c>
      <c r="AD160" s="70" t="str">
        <f>IF($A160="","",ROUND(N(AE159)*(1+'Calc base'!R183),2)-AE160)</f>
        <v/>
      </c>
      <c r="AE160" s="75" t="str">
        <f>IF($A160="","",CHOOSE('Calc riepilogo'!$B$2,'Calc valanga'!BD183,'Calc palla di neve'!BD183,'Calc personalizzata'!BD183))</f>
        <v/>
      </c>
      <c r="AF160" s="70" t="str">
        <f>IF($A160="","",ROUND(N(AG159)*(1+'Calc base'!S183),2)-AG160)</f>
        <v/>
      </c>
      <c r="AG160" s="75" t="str">
        <f>IF($A160="","",CHOOSE('Calc riepilogo'!$B$2,'Calc valanga'!BE183,'Calc palla di neve'!BE183,'Calc personalizzata'!BE183))</f>
        <v/>
      </c>
      <c r="AI160" t="n">
        <v>153</v>
      </c>
    </row>
    <row r="161">
      <c r="A161" s="68" t="str">
        <f>IF(154&gt;'Calc riepilogo'!$B$7,"",'Calc base'!$B184)</f>
        <v/>
      </c>
      <c r="B161" s="69" t="str">
        <f>IF($A161="","",'Calc base'!$C184)</f>
        <v/>
      </c>
      <c r="C161" s="69" t="str">
        <f>IF($A161="","",'Calc base'!$E184)</f>
        <v/>
      </c>
      <c r="D161" s="70" t="str">
        <f>IF($A161="","",J161+L161+N161+P161+R161+T161+V161+X161+Z161+AB161+AD161+AF161)</f>
        <v/>
      </c>
      <c r="E161" s="70" t="str">
        <f>IF($A161="","",CHOOSE('Calc riepilogo'!$B$2,'Calc valanga'!$H184,'Calc palla di neve'!$H184,'Calc personalizzata'!$H184))</f>
        <v/>
      </c>
      <c r="F161" s="71" t="str">
        <f>IF($A161="","",CHOOSE('Calc riepilogo'!$B$2,'Calc valanga'!$G184,'Calc palla di neve'!$G184,'Calc personalizzata'!$G184))</f>
        <v/>
      </c>
      <c r="G161" s="72" t="n"/>
      <c r="H161" s="73" t="n"/>
      <c r="I161" s="74" t="str">
        <f>IF($A161="","",TRIM(IF(AND(N(K160)&gt;0,N(K161)&lt;=0.004),"✓ "&amp;'Calc base'!C$6&amp;"   ","")&amp;IF(AND(N(M160)&gt;0,N(M161)&lt;=0.004),"✓ "&amp;'Calc base'!D$6&amp;"   ","")&amp;IF(AND(N(O160)&gt;0,N(O161)&lt;=0.004),"✓ "&amp;'Calc base'!E$6&amp;"   ","")&amp;IF(AND(N(Q160)&gt;0,N(Q161)&lt;=0.004),"✓ "&amp;'Calc base'!F$6&amp;"   ","")&amp;IF(AND(N(S160)&gt;0,N(S161)&lt;=0.004),"✓ "&amp;'Calc base'!G$6&amp;"   ","")&amp;IF(AND(N(U160)&gt;0,N(U161)&lt;=0.004),"✓ "&amp;'Calc base'!H$6&amp;"   ","")&amp;IF(AND(N(W160)&gt;0,N(W161)&lt;=0.004),"✓ "&amp;'Calc base'!I$6&amp;"   ","")&amp;IF(AND(N(Y160)&gt;0,N(Y161)&lt;=0.004),"✓ "&amp;'Calc base'!J$6&amp;"   ","")&amp;IF(AND(N(AA160)&gt;0,N(AA161)&lt;=0.004),"✓ "&amp;'Calc base'!K$6&amp;"   ","")&amp;IF(AND(N(AC160)&gt;0,N(AC161)&lt;=0.004),"✓ "&amp;'Calc base'!L$6&amp;"   ","")&amp;IF(AND(N(AE160)&gt;0,N(AE161)&lt;=0.004),"✓ "&amp;'Calc base'!M$6&amp;"   ","")&amp;IF(AND(N(AG160)&gt;0,N(AG161)&lt;=0.004),"✓ "&amp;'Calc base'!N$6&amp;"   ","")))</f>
        <v/>
      </c>
      <c r="J161" s="70" t="str">
        <f>IF($A161="","",ROUND(N(K160)*(1+'Calc base'!H184),2)-K161)</f>
        <v/>
      </c>
      <c r="K161" s="75" t="str">
        <f>IF($A161="","",CHOOSE('Calc riepilogo'!$B$2,'Calc valanga'!AT184,'Calc palla di neve'!AT184,'Calc personalizzata'!AT184))</f>
        <v/>
      </c>
      <c r="L161" s="70" t="str">
        <f>IF($A161="","",ROUND(N(M160)*(1+'Calc base'!I184),2)-M161)</f>
        <v/>
      </c>
      <c r="M161" s="75" t="str">
        <f>IF($A161="","",CHOOSE('Calc riepilogo'!$B$2,'Calc valanga'!AU184,'Calc palla di neve'!AU184,'Calc personalizzata'!AU184))</f>
        <v/>
      </c>
      <c r="N161" s="70" t="str">
        <f>IF($A161="","",ROUND(N(O160)*(1+'Calc base'!J184),2)-O161)</f>
        <v/>
      </c>
      <c r="O161" s="75" t="str">
        <f>IF($A161="","",CHOOSE('Calc riepilogo'!$B$2,'Calc valanga'!AV184,'Calc palla di neve'!AV184,'Calc personalizzata'!AV184))</f>
        <v/>
      </c>
      <c r="P161" s="70" t="str">
        <f>IF($A161="","",ROUND(N(Q160)*(1+'Calc base'!K184),2)-Q161)</f>
        <v/>
      </c>
      <c r="Q161" s="75" t="str">
        <f>IF($A161="","",CHOOSE('Calc riepilogo'!$B$2,'Calc valanga'!AW184,'Calc palla di neve'!AW184,'Calc personalizzata'!AW184))</f>
        <v/>
      </c>
      <c r="R161" s="70" t="str">
        <f>IF($A161="","",ROUND(N(S160)*(1+'Calc base'!L184),2)-S161)</f>
        <v/>
      </c>
      <c r="S161" s="75" t="str">
        <f>IF($A161="","",CHOOSE('Calc riepilogo'!$B$2,'Calc valanga'!AX184,'Calc palla di neve'!AX184,'Calc personalizzata'!AX184))</f>
        <v/>
      </c>
      <c r="T161" s="70" t="str">
        <f>IF($A161="","",ROUND(N(U160)*(1+'Calc base'!M184),2)-U161)</f>
        <v/>
      </c>
      <c r="U161" s="75" t="str">
        <f>IF($A161="","",CHOOSE('Calc riepilogo'!$B$2,'Calc valanga'!AY184,'Calc palla di neve'!AY184,'Calc personalizzata'!AY184))</f>
        <v/>
      </c>
      <c r="V161" s="70" t="str">
        <f>IF($A161="","",ROUND(N(W160)*(1+'Calc base'!N184),2)-W161)</f>
        <v/>
      </c>
      <c r="W161" s="75" t="str">
        <f>IF($A161="","",CHOOSE('Calc riepilogo'!$B$2,'Calc valanga'!AZ184,'Calc palla di neve'!AZ184,'Calc personalizzata'!AZ184))</f>
        <v/>
      </c>
      <c r="X161" s="70" t="str">
        <f>IF($A161="","",ROUND(N(Y160)*(1+'Calc base'!O184),2)-Y161)</f>
        <v/>
      </c>
      <c r="Y161" s="75" t="str">
        <f>IF($A161="","",CHOOSE('Calc riepilogo'!$B$2,'Calc valanga'!BA184,'Calc palla di neve'!BA184,'Calc personalizzata'!BA184))</f>
        <v/>
      </c>
      <c r="Z161" s="70" t="str">
        <f>IF($A161="","",ROUND(N(AA160)*(1+'Calc base'!P184),2)-AA161)</f>
        <v/>
      </c>
      <c r="AA161" s="75" t="str">
        <f>IF($A161="","",CHOOSE('Calc riepilogo'!$B$2,'Calc valanga'!BB184,'Calc palla di neve'!BB184,'Calc personalizzata'!BB184))</f>
        <v/>
      </c>
      <c r="AB161" s="70" t="str">
        <f>IF($A161="","",ROUND(N(AC160)*(1+'Calc base'!Q184),2)-AC161)</f>
        <v/>
      </c>
      <c r="AC161" s="75" t="str">
        <f>IF($A161="","",CHOOSE('Calc riepilogo'!$B$2,'Calc valanga'!BC184,'Calc palla di neve'!BC184,'Calc personalizzata'!BC184))</f>
        <v/>
      </c>
      <c r="AD161" s="70" t="str">
        <f>IF($A161="","",ROUND(N(AE160)*(1+'Calc base'!R184),2)-AE161)</f>
        <v/>
      </c>
      <c r="AE161" s="75" t="str">
        <f>IF($A161="","",CHOOSE('Calc riepilogo'!$B$2,'Calc valanga'!BD184,'Calc palla di neve'!BD184,'Calc personalizzata'!BD184))</f>
        <v/>
      </c>
      <c r="AF161" s="70" t="str">
        <f>IF($A161="","",ROUND(N(AG160)*(1+'Calc base'!S184),2)-AG161)</f>
        <v/>
      </c>
      <c r="AG161" s="75" t="str">
        <f>IF($A161="","",CHOOSE('Calc riepilogo'!$B$2,'Calc valanga'!BE184,'Calc palla di neve'!BE184,'Calc personalizzata'!BE184))</f>
        <v/>
      </c>
      <c r="AI161" t="n">
        <v>154</v>
      </c>
    </row>
    <row r="162">
      <c r="A162" s="68" t="str">
        <f>IF(155&gt;'Calc riepilogo'!$B$7,"",'Calc base'!$B185)</f>
        <v/>
      </c>
      <c r="B162" s="69" t="str">
        <f>IF($A162="","",'Calc base'!$C185)</f>
        <v/>
      </c>
      <c r="C162" s="69" t="str">
        <f>IF($A162="","",'Calc base'!$E185)</f>
        <v/>
      </c>
      <c r="D162" s="70" t="str">
        <f>IF($A162="","",J162+L162+N162+P162+R162+T162+V162+X162+Z162+AB162+AD162+AF162)</f>
        <v/>
      </c>
      <c r="E162" s="70" t="str">
        <f>IF($A162="","",CHOOSE('Calc riepilogo'!$B$2,'Calc valanga'!$H185,'Calc palla di neve'!$H185,'Calc personalizzata'!$H185))</f>
        <v/>
      </c>
      <c r="F162" s="71" t="str">
        <f>IF($A162="","",CHOOSE('Calc riepilogo'!$B$2,'Calc valanga'!$G185,'Calc palla di neve'!$G185,'Calc personalizzata'!$G185))</f>
        <v/>
      </c>
      <c r="G162" s="72" t="n"/>
      <c r="H162" s="73" t="n"/>
      <c r="I162" s="74" t="str">
        <f>IF($A162="","",TRIM(IF(AND(N(K161)&gt;0,N(K162)&lt;=0.004),"✓ "&amp;'Calc base'!C$6&amp;"   ","")&amp;IF(AND(N(M161)&gt;0,N(M162)&lt;=0.004),"✓ "&amp;'Calc base'!D$6&amp;"   ","")&amp;IF(AND(N(O161)&gt;0,N(O162)&lt;=0.004),"✓ "&amp;'Calc base'!E$6&amp;"   ","")&amp;IF(AND(N(Q161)&gt;0,N(Q162)&lt;=0.004),"✓ "&amp;'Calc base'!F$6&amp;"   ","")&amp;IF(AND(N(S161)&gt;0,N(S162)&lt;=0.004),"✓ "&amp;'Calc base'!G$6&amp;"   ","")&amp;IF(AND(N(U161)&gt;0,N(U162)&lt;=0.004),"✓ "&amp;'Calc base'!H$6&amp;"   ","")&amp;IF(AND(N(W161)&gt;0,N(W162)&lt;=0.004),"✓ "&amp;'Calc base'!I$6&amp;"   ","")&amp;IF(AND(N(Y161)&gt;0,N(Y162)&lt;=0.004),"✓ "&amp;'Calc base'!J$6&amp;"   ","")&amp;IF(AND(N(AA161)&gt;0,N(AA162)&lt;=0.004),"✓ "&amp;'Calc base'!K$6&amp;"   ","")&amp;IF(AND(N(AC161)&gt;0,N(AC162)&lt;=0.004),"✓ "&amp;'Calc base'!L$6&amp;"   ","")&amp;IF(AND(N(AE161)&gt;0,N(AE162)&lt;=0.004),"✓ "&amp;'Calc base'!M$6&amp;"   ","")&amp;IF(AND(N(AG161)&gt;0,N(AG162)&lt;=0.004),"✓ "&amp;'Calc base'!N$6&amp;"   ","")))</f>
        <v/>
      </c>
      <c r="J162" s="70" t="str">
        <f>IF($A162="","",ROUND(N(K161)*(1+'Calc base'!H185),2)-K162)</f>
        <v/>
      </c>
      <c r="K162" s="75" t="str">
        <f>IF($A162="","",CHOOSE('Calc riepilogo'!$B$2,'Calc valanga'!AT185,'Calc palla di neve'!AT185,'Calc personalizzata'!AT185))</f>
        <v/>
      </c>
      <c r="L162" s="70" t="str">
        <f>IF($A162="","",ROUND(N(M161)*(1+'Calc base'!I185),2)-M162)</f>
        <v/>
      </c>
      <c r="M162" s="75" t="str">
        <f>IF($A162="","",CHOOSE('Calc riepilogo'!$B$2,'Calc valanga'!AU185,'Calc palla di neve'!AU185,'Calc personalizzata'!AU185))</f>
        <v/>
      </c>
      <c r="N162" s="70" t="str">
        <f>IF($A162="","",ROUND(N(O161)*(1+'Calc base'!J185),2)-O162)</f>
        <v/>
      </c>
      <c r="O162" s="75" t="str">
        <f>IF($A162="","",CHOOSE('Calc riepilogo'!$B$2,'Calc valanga'!AV185,'Calc palla di neve'!AV185,'Calc personalizzata'!AV185))</f>
        <v/>
      </c>
      <c r="P162" s="70" t="str">
        <f>IF($A162="","",ROUND(N(Q161)*(1+'Calc base'!K185),2)-Q162)</f>
        <v/>
      </c>
      <c r="Q162" s="75" t="str">
        <f>IF($A162="","",CHOOSE('Calc riepilogo'!$B$2,'Calc valanga'!AW185,'Calc palla di neve'!AW185,'Calc personalizzata'!AW185))</f>
        <v/>
      </c>
      <c r="R162" s="70" t="str">
        <f>IF($A162="","",ROUND(N(S161)*(1+'Calc base'!L185),2)-S162)</f>
        <v/>
      </c>
      <c r="S162" s="75" t="str">
        <f>IF($A162="","",CHOOSE('Calc riepilogo'!$B$2,'Calc valanga'!AX185,'Calc palla di neve'!AX185,'Calc personalizzata'!AX185))</f>
        <v/>
      </c>
      <c r="T162" s="70" t="str">
        <f>IF($A162="","",ROUND(N(U161)*(1+'Calc base'!M185),2)-U162)</f>
        <v/>
      </c>
      <c r="U162" s="75" t="str">
        <f>IF($A162="","",CHOOSE('Calc riepilogo'!$B$2,'Calc valanga'!AY185,'Calc palla di neve'!AY185,'Calc personalizzata'!AY185))</f>
        <v/>
      </c>
      <c r="V162" s="70" t="str">
        <f>IF($A162="","",ROUND(N(W161)*(1+'Calc base'!N185),2)-W162)</f>
        <v/>
      </c>
      <c r="W162" s="75" t="str">
        <f>IF($A162="","",CHOOSE('Calc riepilogo'!$B$2,'Calc valanga'!AZ185,'Calc palla di neve'!AZ185,'Calc personalizzata'!AZ185))</f>
        <v/>
      </c>
      <c r="X162" s="70" t="str">
        <f>IF($A162="","",ROUND(N(Y161)*(1+'Calc base'!O185),2)-Y162)</f>
        <v/>
      </c>
      <c r="Y162" s="75" t="str">
        <f>IF($A162="","",CHOOSE('Calc riepilogo'!$B$2,'Calc valanga'!BA185,'Calc palla di neve'!BA185,'Calc personalizzata'!BA185))</f>
        <v/>
      </c>
      <c r="Z162" s="70" t="str">
        <f>IF($A162="","",ROUND(N(AA161)*(1+'Calc base'!P185),2)-AA162)</f>
        <v/>
      </c>
      <c r="AA162" s="75" t="str">
        <f>IF($A162="","",CHOOSE('Calc riepilogo'!$B$2,'Calc valanga'!BB185,'Calc palla di neve'!BB185,'Calc personalizzata'!BB185))</f>
        <v/>
      </c>
      <c r="AB162" s="70" t="str">
        <f>IF($A162="","",ROUND(N(AC161)*(1+'Calc base'!Q185),2)-AC162)</f>
        <v/>
      </c>
      <c r="AC162" s="75" t="str">
        <f>IF($A162="","",CHOOSE('Calc riepilogo'!$B$2,'Calc valanga'!BC185,'Calc palla di neve'!BC185,'Calc personalizzata'!BC185))</f>
        <v/>
      </c>
      <c r="AD162" s="70" t="str">
        <f>IF($A162="","",ROUND(N(AE161)*(1+'Calc base'!R185),2)-AE162)</f>
        <v/>
      </c>
      <c r="AE162" s="75" t="str">
        <f>IF($A162="","",CHOOSE('Calc riepilogo'!$B$2,'Calc valanga'!BD185,'Calc palla di neve'!BD185,'Calc personalizzata'!BD185))</f>
        <v/>
      </c>
      <c r="AF162" s="70" t="str">
        <f>IF($A162="","",ROUND(N(AG161)*(1+'Calc base'!S185),2)-AG162)</f>
        <v/>
      </c>
      <c r="AG162" s="75" t="str">
        <f>IF($A162="","",CHOOSE('Calc riepilogo'!$B$2,'Calc valanga'!BE185,'Calc palla di neve'!BE185,'Calc personalizzata'!BE185))</f>
        <v/>
      </c>
      <c r="AI162" t="n">
        <v>155</v>
      </c>
    </row>
    <row r="163">
      <c r="A163" s="68" t="str">
        <f>IF(156&gt;'Calc riepilogo'!$B$7,"",'Calc base'!$B186)</f>
        <v/>
      </c>
      <c r="B163" s="69" t="str">
        <f>IF($A163="","",'Calc base'!$C186)</f>
        <v/>
      </c>
      <c r="C163" s="69" t="str">
        <f>IF($A163="","",'Calc base'!$E186)</f>
        <v/>
      </c>
      <c r="D163" s="70" t="str">
        <f>IF($A163="","",J163+L163+N163+P163+R163+T163+V163+X163+Z163+AB163+AD163+AF163)</f>
        <v/>
      </c>
      <c r="E163" s="70" t="str">
        <f>IF($A163="","",CHOOSE('Calc riepilogo'!$B$2,'Calc valanga'!$H186,'Calc palla di neve'!$H186,'Calc personalizzata'!$H186))</f>
        <v/>
      </c>
      <c r="F163" s="71" t="str">
        <f>IF($A163="","",CHOOSE('Calc riepilogo'!$B$2,'Calc valanga'!$G186,'Calc palla di neve'!$G186,'Calc personalizzata'!$G186))</f>
        <v/>
      </c>
      <c r="G163" s="72" t="n"/>
      <c r="H163" s="73" t="n"/>
      <c r="I163" s="74" t="str">
        <f>IF($A163="","",TRIM(IF(AND(N(K162)&gt;0,N(K163)&lt;=0.004),"✓ "&amp;'Calc base'!C$6&amp;"   ","")&amp;IF(AND(N(M162)&gt;0,N(M163)&lt;=0.004),"✓ "&amp;'Calc base'!D$6&amp;"   ","")&amp;IF(AND(N(O162)&gt;0,N(O163)&lt;=0.004),"✓ "&amp;'Calc base'!E$6&amp;"   ","")&amp;IF(AND(N(Q162)&gt;0,N(Q163)&lt;=0.004),"✓ "&amp;'Calc base'!F$6&amp;"   ","")&amp;IF(AND(N(S162)&gt;0,N(S163)&lt;=0.004),"✓ "&amp;'Calc base'!G$6&amp;"   ","")&amp;IF(AND(N(U162)&gt;0,N(U163)&lt;=0.004),"✓ "&amp;'Calc base'!H$6&amp;"   ","")&amp;IF(AND(N(W162)&gt;0,N(W163)&lt;=0.004),"✓ "&amp;'Calc base'!I$6&amp;"   ","")&amp;IF(AND(N(Y162)&gt;0,N(Y163)&lt;=0.004),"✓ "&amp;'Calc base'!J$6&amp;"   ","")&amp;IF(AND(N(AA162)&gt;0,N(AA163)&lt;=0.004),"✓ "&amp;'Calc base'!K$6&amp;"   ","")&amp;IF(AND(N(AC162)&gt;0,N(AC163)&lt;=0.004),"✓ "&amp;'Calc base'!L$6&amp;"   ","")&amp;IF(AND(N(AE162)&gt;0,N(AE163)&lt;=0.004),"✓ "&amp;'Calc base'!M$6&amp;"   ","")&amp;IF(AND(N(AG162)&gt;0,N(AG163)&lt;=0.004),"✓ "&amp;'Calc base'!N$6&amp;"   ","")))</f>
        <v/>
      </c>
      <c r="J163" s="70" t="str">
        <f>IF($A163="","",ROUND(N(K162)*(1+'Calc base'!H186),2)-K163)</f>
        <v/>
      </c>
      <c r="K163" s="75" t="str">
        <f>IF($A163="","",CHOOSE('Calc riepilogo'!$B$2,'Calc valanga'!AT186,'Calc palla di neve'!AT186,'Calc personalizzata'!AT186))</f>
        <v/>
      </c>
      <c r="L163" s="70" t="str">
        <f>IF($A163="","",ROUND(N(M162)*(1+'Calc base'!I186),2)-M163)</f>
        <v/>
      </c>
      <c r="M163" s="75" t="str">
        <f>IF($A163="","",CHOOSE('Calc riepilogo'!$B$2,'Calc valanga'!AU186,'Calc palla di neve'!AU186,'Calc personalizzata'!AU186))</f>
        <v/>
      </c>
      <c r="N163" s="70" t="str">
        <f>IF($A163="","",ROUND(N(O162)*(1+'Calc base'!J186),2)-O163)</f>
        <v/>
      </c>
      <c r="O163" s="75" t="str">
        <f>IF($A163="","",CHOOSE('Calc riepilogo'!$B$2,'Calc valanga'!AV186,'Calc palla di neve'!AV186,'Calc personalizzata'!AV186))</f>
        <v/>
      </c>
      <c r="P163" s="70" t="str">
        <f>IF($A163="","",ROUND(N(Q162)*(1+'Calc base'!K186),2)-Q163)</f>
        <v/>
      </c>
      <c r="Q163" s="75" t="str">
        <f>IF($A163="","",CHOOSE('Calc riepilogo'!$B$2,'Calc valanga'!AW186,'Calc palla di neve'!AW186,'Calc personalizzata'!AW186))</f>
        <v/>
      </c>
      <c r="R163" s="70" t="str">
        <f>IF($A163="","",ROUND(N(S162)*(1+'Calc base'!L186),2)-S163)</f>
        <v/>
      </c>
      <c r="S163" s="75" t="str">
        <f>IF($A163="","",CHOOSE('Calc riepilogo'!$B$2,'Calc valanga'!AX186,'Calc palla di neve'!AX186,'Calc personalizzata'!AX186))</f>
        <v/>
      </c>
      <c r="T163" s="70" t="str">
        <f>IF($A163="","",ROUND(N(U162)*(1+'Calc base'!M186),2)-U163)</f>
        <v/>
      </c>
      <c r="U163" s="75" t="str">
        <f>IF($A163="","",CHOOSE('Calc riepilogo'!$B$2,'Calc valanga'!AY186,'Calc palla di neve'!AY186,'Calc personalizzata'!AY186))</f>
        <v/>
      </c>
      <c r="V163" s="70" t="str">
        <f>IF($A163="","",ROUND(N(W162)*(1+'Calc base'!N186),2)-W163)</f>
        <v/>
      </c>
      <c r="W163" s="75" t="str">
        <f>IF($A163="","",CHOOSE('Calc riepilogo'!$B$2,'Calc valanga'!AZ186,'Calc palla di neve'!AZ186,'Calc personalizzata'!AZ186))</f>
        <v/>
      </c>
      <c r="X163" s="70" t="str">
        <f>IF($A163="","",ROUND(N(Y162)*(1+'Calc base'!O186),2)-Y163)</f>
        <v/>
      </c>
      <c r="Y163" s="75" t="str">
        <f>IF($A163="","",CHOOSE('Calc riepilogo'!$B$2,'Calc valanga'!BA186,'Calc palla di neve'!BA186,'Calc personalizzata'!BA186))</f>
        <v/>
      </c>
      <c r="Z163" s="70" t="str">
        <f>IF($A163="","",ROUND(N(AA162)*(1+'Calc base'!P186),2)-AA163)</f>
        <v/>
      </c>
      <c r="AA163" s="75" t="str">
        <f>IF($A163="","",CHOOSE('Calc riepilogo'!$B$2,'Calc valanga'!BB186,'Calc palla di neve'!BB186,'Calc personalizzata'!BB186))</f>
        <v/>
      </c>
      <c r="AB163" s="70" t="str">
        <f>IF($A163="","",ROUND(N(AC162)*(1+'Calc base'!Q186),2)-AC163)</f>
        <v/>
      </c>
      <c r="AC163" s="75" t="str">
        <f>IF($A163="","",CHOOSE('Calc riepilogo'!$B$2,'Calc valanga'!BC186,'Calc palla di neve'!BC186,'Calc personalizzata'!BC186))</f>
        <v/>
      </c>
      <c r="AD163" s="70" t="str">
        <f>IF($A163="","",ROUND(N(AE162)*(1+'Calc base'!R186),2)-AE163)</f>
        <v/>
      </c>
      <c r="AE163" s="75" t="str">
        <f>IF($A163="","",CHOOSE('Calc riepilogo'!$B$2,'Calc valanga'!BD186,'Calc palla di neve'!BD186,'Calc personalizzata'!BD186))</f>
        <v/>
      </c>
      <c r="AF163" s="70" t="str">
        <f>IF($A163="","",ROUND(N(AG162)*(1+'Calc base'!S186),2)-AG163)</f>
        <v/>
      </c>
      <c r="AG163" s="75" t="str">
        <f>IF($A163="","",CHOOSE('Calc riepilogo'!$B$2,'Calc valanga'!BE186,'Calc palla di neve'!BE186,'Calc personalizzata'!BE186))</f>
        <v/>
      </c>
      <c r="AI163" t="n">
        <v>156</v>
      </c>
    </row>
    <row r="164">
      <c r="A164" s="68" t="str">
        <f>IF(157&gt;'Calc riepilogo'!$B$7,"",'Calc base'!$B187)</f>
        <v/>
      </c>
      <c r="B164" s="69" t="str">
        <f>IF($A164="","",'Calc base'!$C187)</f>
        <v/>
      </c>
      <c r="C164" s="69" t="str">
        <f>IF($A164="","",'Calc base'!$E187)</f>
        <v/>
      </c>
      <c r="D164" s="70" t="str">
        <f>IF($A164="","",J164+L164+N164+P164+R164+T164+V164+X164+Z164+AB164+AD164+AF164)</f>
        <v/>
      </c>
      <c r="E164" s="70" t="str">
        <f>IF($A164="","",CHOOSE('Calc riepilogo'!$B$2,'Calc valanga'!$H187,'Calc palla di neve'!$H187,'Calc personalizzata'!$H187))</f>
        <v/>
      </c>
      <c r="F164" s="71" t="str">
        <f>IF($A164="","",CHOOSE('Calc riepilogo'!$B$2,'Calc valanga'!$G187,'Calc palla di neve'!$G187,'Calc personalizzata'!$G187))</f>
        <v/>
      </c>
      <c r="G164" s="72" t="n"/>
      <c r="H164" s="73" t="n"/>
      <c r="I164" s="74" t="str">
        <f>IF($A164="","",TRIM(IF(AND(N(K163)&gt;0,N(K164)&lt;=0.004),"✓ "&amp;'Calc base'!C$6&amp;"   ","")&amp;IF(AND(N(M163)&gt;0,N(M164)&lt;=0.004),"✓ "&amp;'Calc base'!D$6&amp;"   ","")&amp;IF(AND(N(O163)&gt;0,N(O164)&lt;=0.004),"✓ "&amp;'Calc base'!E$6&amp;"   ","")&amp;IF(AND(N(Q163)&gt;0,N(Q164)&lt;=0.004),"✓ "&amp;'Calc base'!F$6&amp;"   ","")&amp;IF(AND(N(S163)&gt;0,N(S164)&lt;=0.004),"✓ "&amp;'Calc base'!G$6&amp;"   ","")&amp;IF(AND(N(U163)&gt;0,N(U164)&lt;=0.004),"✓ "&amp;'Calc base'!H$6&amp;"   ","")&amp;IF(AND(N(W163)&gt;0,N(W164)&lt;=0.004),"✓ "&amp;'Calc base'!I$6&amp;"   ","")&amp;IF(AND(N(Y163)&gt;0,N(Y164)&lt;=0.004),"✓ "&amp;'Calc base'!J$6&amp;"   ","")&amp;IF(AND(N(AA163)&gt;0,N(AA164)&lt;=0.004),"✓ "&amp;'Calc base'!K$6&amp;"   ","")&amp;IF(AND(N(AC163)&gt;0,N(AC164)&lt;=0.004),"✓ "&amp;'Calc base'!L$6&amp;"   ","")&amp;IF(AND(N(AE163)&gt;0,N(AE164)&lt;=0.004),"✓ "&amp;'Calc base'!M$6&amp;"   ","")&amp;IF(AND(N(AG163)&gt;0,N(AG164)&lt;=0.004),"✓ "&amp;'Calc base'!N$6&amp;"   ","")))</f>
        <v/>
      </c>
      <c r="J164" s="70" t="str">
        <f>IF($A164="","",ROUND(N(K163)*(1+'Calc base'!H187),2)-K164)</f>
        <v/>
      </c>
      <c r="K164" s="75" t="str">
        <f>IF($A164="","",CHOOSE('Calc riepilogo'!$B$2,'Calc valanga'!AT187,'Calc palla di neve'!AT187,'Calc personalizzata'!AT187))</f>
        <v/>
      </c>
      <c r="L164" s="70" t="str">
        <f>IF($A164="","",ROUND(N(M163)*(1+'Calc base'!I187),2)-M164)</f>
        <v/>
      </c>
      <c r="M164" s="75" t="str">
        <f>IF($A164="","",CHOOSE('Calc riepilogo'!$B$2,'Calc valanga'!AU187,'Calc palla di neve'!AU187,'Calc personalizzata'!AU187))</f>
        <v/>
      </c>
      <c r="N164" s="70" t="str">
        <f>IF($A164="","",ROUND(N(O163)*(1+'Calc base'!J187),2)-O164)</f>
        <v/>
      </c>
      <c r="O164" s="75" t="str">
        <f>IF($A164="","",CHOOSE('Calc riepilogo'!$B$2,'Calc valanga'!AV187,'Calc palla di neve'!AV187,'Calc personalizzata'!AV187))</f>
        <v/>
      </c>
      <c r="P164" s="70" t="str">
        <f>IF($A164="","",ROUND(N(Q163)*(1+'Calc base'!K187),2)-Q164)</f>
        <v/>
      </c>
      <c r="Q164" s="75" t="str">
        <f>IF($A164="","",CHOOSE('Calc riepilogo'!$B$2,'Calc valanga'!AW187,'Calc palla di neve'!AW187,'Calc personalizzata'!AW187))</f>
        <v/>
      </c>
      <c r="R164" s="70" t="str">
        <f>IF($A164="","",ROUND(N(S163)*(1+'Calc base'!L187),2)-S164)</f>
        <v/>
      </c>
      <c r="S164" s="75" t="str">
        <f>IF($A164="","",CHOOSE('Calc riepilogo'!$B$2,'Calc valanga'!AX187,'Calc palla di neve'!AX187,'Calc personalizzata'!AX187))</f>
        <v/>
      </c>
      <c r="T164" s="70" t="str">
        <f>IF($A164="","",ROUND(N(U163)*(1+'Calc base'!M187),2)-U164)</f>
        <v/>
      </c>
      <c r="U164" s="75" t="str">
        <f>IF($A164="","",CHOOSE('Calc riepilogo'!$B$2,'Calc valanga'!AY187,'Calc palla di neve'!AY187,'Calc personalizzata'!AY187))</f>
        <v/>
      </c>
      <c r="V164" s="70" t="str">
        <f>IF($A164="","",ROUND(N(W163)*(1+'Calc base'!N187),2)-W164)</f>
        <v/>
      </c>
      <c r="W164" s="75" t="str">
        <f>IF($A164="","",CHOOSE('Calc riepilogo'!$B$2,'Calc valanga'!AZ187,'Calc palla di neve'!AZ187,'Calc personalizzata'!AZ187))</f>
        <v/>
      </c>
      <c r="X164" s="70" t="str">
        <f>IF($A164="","",ROUND(N(Y163)*(1+'Calc base'!O187),2)-Y164)</f>
        <v/>
      </c>
      <c r="Y164" s="75" t="str">
        <f>IF($A164="","",CHOOSE('Calc riepilogo'!$B$2,'Calc valanga'!BA187,'Calc palla di neve'!BA187,'Calc personalizzata'!BA187))</f>
        <v/>
      </c>
      <c r="Z164" s="70" t="str">
        <f>IF($A164="","",ROUND(N(AA163)*(1+'Calc base'!P187),2)-AA164)</f>
        <v/>
      </c>
      <c r="AA164" s="75" t="str">
        <f>IF($A164="","",CHOOSE('Calc riepilogo'!$B$2,'Calc valanga'!BB187,'Calc palla di neve'!BB187,'Calc personalizzata'!BB187))</f>
        <v/>
      </c>
      <c r="AB164" s="70" t="str">
        <f>IF($A164="","",ROUND(N(AC163)*(1+'Calc base'!Q187),2)-AC164)</f>
        <v/>
      </c>
      <c r="AC164" s="75" t="str">
        <f>IF($A164="","",CHOOSE('Calc riepilogo'!$B$2,'Calc valanga'!BC187,'Calc palla di neve'!BC187,'Calc personalizzata'!BC187))</f>
        <v/>
      </c>
      <c r="AD164" s="70" t="str">
        <f>IF($A164="","",ROUND(N(AE163)*(1+'Calc base'!R187),2)-AE164)</f>
        <v/>
      </c>
      <c r="AE164" s="75" t="str">
        <f>IF($A164="","",CHOOSE('Calc riepilogo'!$B$2,'Calc valanga'!BD187,'Calc palla di neve'!BD187,'Calc personalizzata'!BD187))</f>
        <v/>
      </c>
      <c r="AF164" s="70" t="str">
        <f>IF($A164="","",ROUND(N(AG163)*(1+'Calc base'!S187),2)-AG164)</f>
        <v/>
      </c>
      <c r="AG164" s="75" t="str">
        <f>IF($A164="","",CHOOSE('Calc riepilogo'!$B$2,'Calc valanga'!BE187,'Calc palla di neve'!BE187,'Calc personalizzata'!BE187))</f>
        <v/>
      </c>
      <c r="AI164" t="n">
        <v>157</v>
      </c>
    </row>
    <row r="165">
      <c r="A165" s="68" t="str">
        <f>IF(158&gt;'Calc riepilogo'!$B$7,"",'Calc base'!$B188)</f>
        <v/>
      </c>
      <c r="B165" s="69" t="str">
        <f>IF($A165="","",'Calc base'!$C188)</f>
        <v/>
      </c>
      <c r="C165" s="69" t="str">
        <f>IF($A165="","",'Calc base'!$E188)</f>
        <v/>
      </c>
      <c r="D165" s="70" t="str">
        <f>IF($A165="","",J165+L165+N165+P165+R165+T165+V165+X165+Z165+AB165+AD165+AF165)</f>
        <v/>
      </c>
      <c r="E165" s="70" t="str">
        <f>IF($A165="","",CHOOSE('Calc riepilogo'!$B$2,'Calc valanga'!$H188,'Calc palla di neve'!$H188,'Calc personalizzata'!$H188))</f>
        <v/>
      </c>
      <c r="F165" s="71" t="str">
        <f>IF($A165="","",CHOOSE('Calc riepilogo'!$B$2,'Calc valanga'!$G188,'Calc palla di neve'!$G188,'Calc personalizzata'!$G188))</f>
        <v/>
      </c>
      <c r="G165" s="72" t="n"/>
      <c r="H165" s="73" t="n"/>
      <c r="I165" s="74" t="str">
        <f>IF($A165="","",TRIM(IF(AND(N(K164)&gt;0,N(K165)&lt;=0.004),"✓ "&amp;'Calc base'!C$6&amp;"   ","")&amp;IF(AND(N(M164)&gt;0,N(M165)&lt;=0.004),"✓ "&amp;'Calc base'!D$6&amp;"   ","")&amp;IF(AND(N(O164)&gt;0,N(O165)&lt;=0.004),"✓ "&amp;'Calc base'!E$6&amp;"   ","")&amp;IF(AND(N(Q164)&gt;0,N(Q165)&lt;=0.004),"✓ "&amp;'Calc base'!F$6&amp;"   ","")&amp;IF(AND(N(S164)&gt;0,N(S165)&lt;=0.004),"✓ "&amp;'Calc base'!G$6&amp;"   ","")&amp;IF(AND(N(U164)&gt;0,N(U165)&lt;=0.004),"✓ "&amp;'Calc base'!H$6&amp;"   ","")&amp;IF(AND(N(W164)&gt;0,N(W165)&lt;=0.004),"✓ "&amp;'Calc base'!I$6&amp;"   ","")&amp;IF(AND(N(Y164)&gt;0,N(Y165)&lt;=0.004),"✓ "&amp;'Calc base'!J$6&amp;"   ","")&amp;IF(AND(N(AA164)&gt;0,N(AA165)&lt;=0.004),"✓ "&amp;'Calc base'!K$6&amp;"   ","")&amp;IF(AND(N(AC164)&gt;0,N(AC165)&lt;=0.004),"✓ "&amp;'Calc base'!L$6&amp;"   ","")&amp;IF(AND(N(AE164)&gt;0,N(AE165)&lt;=0.004),"✓ "&amp;'Calc base'!M$6&amp;"   ","")&amp;IF(AND(N(AG164)&gt;0,N(AG165)&lt;=0.004),"✓ "&amp;'Calc base'!N$6&amp;"   ","")))</f>
        <v/>
      </c>
      <c r="J165" s="70" t="str">
        <f>IF($A165="","",ROUND(N(K164)*(1+'Calc base'!H188),2)-K165)</f>
        <v/>
      </c>
      <c r="K165" s="75" t="str">
        <f>IF($A165="","",CHOOSE('Calc riepilogo'!$B$2,'Calc valanga'!AT188,'Calc palla di neve'!AT188,'Calc personalizzata'!AT188))</f>
        <v/>
      </c>
      <c r="L165" s="70" t="str">
        <f>IF($A165="","",ROUND(N(M164)*(1+'Calc base'!I188),2)-M165)</f>
        <v/>
      </c>
      <c r="M165" s="75" t="str">
        <f>IF($A165="","",CHOOSE('Calc riepilogo'!$B$2,'Calc valanga'!AU188,'Calc palla di neve'!AU188,'Calc personalizzata'!AU188))</f>
        <v/>
      </c>
      <c r="N165" s="70" t="str">
        <f>IF($A165="","",ROUND(N(O164)*(1+'Calc base'!J188),2)-O165)</f>
        <v/>
      </c>
      <c r="O165" s="75" t="str">
        <f>IF($A165="","",CHOOSE('Calc riepilogo'!$B$2,'Calc valanga'!AV188,'Calc palla di neve'!AV188,'Calc personalizzata'!AV188))</f>
        <v/>
      </c>
      <c r="P165" s="70" t="str">
        <f>IF($A165="","",ROUND(N(Q164)*(1+'Calc base'!K188),2)-Q165)</f>
        <v/>
      </c>
      <c r="Q165" s="75" t="str">
        <f>IF($A165="","",CHOOSE('Calc riepilogo'!$B$2,'Calc valanga'!AW188,'Calc palla di neve'!AW188,'Calc personalizzata'!AW188))</f>
        <v/>
      </c>
      <c r="R165" s="70" t="str">
        <f>IF($A165="","",ROUND(N(S164)*(1+'Calc base'!L188),2)-S165)</f>
        <v/>
      </c>
      <c r="S165" s="75" t="str">
        <f>IF($A165="","",CHOOSE('Calc riepilogo'!$B$2,'Calc valanga'!AX188,'Calc palla di neve'!AX188,'Calc personalizzata'!AX188))</f>
        <v/>
      </c>
      <c r="T165" s="70" t="str">
        <f>IF($A165="","",ROUND(N(U164)*(1+'Calc base'!M188),2)-U165)</f>
        <v/>
      </c>
      <c r="U165" s="75" t="str">
        <f>IF($A165="","",CHOOSE('Calc riepilogo'!$B$2,'Calc valanga'!AY188,'Calc palla di neve'!AY188,'Calc personalizzata'!AY188))</f>
        <v/>
      </c>
      <c r="V165" s="70" t="str">
        <f>IF($A165="","",ROUND(N(W164)*(1+'Calc base'!N188),2)-W165)</f>
        <v/>
      </c>
      <c r="W165" s="75" t="str">
        <f>IF($A165="","",CHOOSE('Calc riepilogo'!$B$2,'Calc valanga'!AZ188,'Calc palla di neve'!AZ188,'Calc personalizzata'!AZ188))</f>
        <v/>
      </c>
      <c r="X165" s="70" t="str">
        <f>IF($A165="","",ROUND(N(Y164)*(1+'Calc base'!O188),2)-Y165)</f>
        <v/>
      </c>
      <c r="Y165" s="75" t="str">
        <f>IF($A165="","",CHOOSE('Calc riepilogo'!$B$2,'Calc valanga'!BA188,'Calc palla di neve'!BA188,'Calc personalizzata'!BA188))</f>
        <v/>
      </c>
      <c r="Z165" s="70" t="str">
        <f>IF($A165="","",ROUND(N(AA164)*(1+'Calc base'!P188),2)-AA165)</f>
        <v/>
      </c>
      <c r="AA165" s="75" t="str">
        <f>IF($A165="","",CHOOSE('Calc riepilogo'!$B$2,'Calc valanga'!BB188,'Calc palla di neve'!BB188,'Calc personalizzata'!BB188))</f>
        <v/>
      </c>
      <c r="AB165" s="70" t="str">
        <f>IF($A165="","",ROUND(N(AC164)*(1+'Calc base'!Q188),2)-AC165)</f>
        <v/>
      </c>
      <c r="AC165" s="75" t="str">
        <f>IF($A165="","",CHOOSE('Calc riepilogo'!$B$2,'Calc valanga'!BC188,'Calc palla di neve'!BC188,'Calc personalizzata'!BC188))</f>
        <v/>
      </c>
      <c r="AD165" s="70" t="str">
        <f>IF($A165="","",ROUND(N(AE164)*(1+'Calc base'!R188),2)-AE165)</f>
        <v/>
      </c>
      <c r="AE165" s="75" t="str">
        <f>IF($A165="","",CHOOSE('Calc riepilogo'!$B$2,'Calc valanga'!BD188,'Calc palla di neve'!BD188,'Calc personalizzata'!BD188))</f>
        <v/>
      </c>
      <c r="AF165" s="70" t="str">
        <f>IF($A165="","",ROUND(N(AG164)*(1+'Calc base'!S188),2)-AG165)</f>
        <v/>
      </c>
      <c r="AG165" s="75" t="str">
        <f>IF($A165="","",CHOOSE('Calc riepilogo'!$B$2,'Calc valanga'!BE188,'Calc palla di neve'!BE188,'Calc personalizzata'!BE188))</f>
        <v/>
      </c>
      <c r="AI165" t="n">
        <v>158</v>
      </c>
    </row>
    <row r="166">
      <c r="A166" s="68" t="str">
        <f>IF(159&gt;'Calc riepilogo'!$B$7,"",'Calc base'!$B189)</f>
        <v/>
      </c>
      <c r="B166" s="69" t="str">
        <f>IF($A166="","",'Calc base'!$C189)</f>
        <v/>
      </c>
      <c r="C166" s="69" t="str">
        <f>IF($A166="","",'Calc base'!$E189)</f>
        <v/>
      </c>
      <c r="D166" s="70" t="str">
        <f>IF($A166="","",J166+L166+N166+P166+R166+T166+V166+X166+Z166+AB166+AD166+AF166)</f>
        <v/>
      </c>
      <c r="E166" s="70" t="str">
        <f>IF($A166="","",CHOOSE('Calc riepilogo'!$B$2,'Calc valanga'!$H189,'Calc palla di neve'!$H189,'Calc personalizzata'!$H189))</f>
        <v/>
      </c>
      <c r="F166" s="71" t="str">
        <f>IF($A166="","",CHOOSE('Calc riepilogo'!$B$2,'Calc valanga'!$G189,'Calc palla di neve'!$G189,'Calc personalizzata'!$G189))</f>
        <v/>
      </c>
      <c r="G166" s="72" t="n"/>
      <c r="H166" s="73" t="n"/>
      <c r="I166" s="74" t="str">
        <f>IF($A166="","",TRIM(IF(AND(N(K165)&gt;0,N(K166)&lt;=0.004),"✓ "&amp;'Calc base'!C$6&amp;"   ","")&amp;IF(AND(N(M165)&gt;0,N(M166)&lt;=0.004),"✓ "&amp;'Calc base'!D$6&amp;"   ","")&amp;IF(AND(N(O165)&gt;0,N(O166)&lt;=0.004),"✓ "&amp;'Calc base'!E$6&amp;"   ","")&amp;IF(AND(N(Q165)&gt;0,N(Q166)&lt;=0.004),"✓ "&amp;'Calc base'!F$6&amp;"   ","")&amp;IF(AND(N(S165)&gt;0,N(S166)&lt;=0.004),"✓ "&amp;'Calc base'!G$6&amp;"   ","")&amp;IF(AND(N(U165)&gt;0,N(U166)&lt;=0.004),"✓ "&amp;'Calc base'!H$6&amp;"   ","")&amp;IF(AND(N(W165)&gt;0,N(W166)&lt;=0.004),"✓ "&amp;'Calc base'!I$6&amp;"   ","")&amp;IF(AND(N(Y165)&gt;0,N(Y166)&lt;=0.004),"✓ "&amp;'Calc base'!J$6&amp;"   ","")&amp;IF(AND(N(AA165)&gt;0,N(AA166)&lt;=0.004),"✓ "&amp;'Calc base'!K$6&amp;"   ","")&amp;IF(AND(N(AC165)&gt;0,N(AC166)&lt;=0.004),"✓ "&amp;'Calc base'!L$6&amp;"   ","")&amp;IF(AND(N(AE165)&gt;0,N(AE166)&lt;=0.004),"✓ "&amp;'Calc base'!M$6&amp;"   ","")&amp;IF(AND(N(AG165)&gt;0,N(AG166)&lt;=0.004),"✓ "&amp;'Calc base'!N$6&amp;"   ","")))</f>
        <v/>
      </c>
      <c r="J166" s="70" t="str">
        <f>IF($A166="","",ROUND(N(K165)*(1+'Calc base'!H189),2)-K166)</f>
        <v/>
      </c>
      <c r="K166" s="75" t="str">
        <f>IF($A166="","",CHOOSE('Calc riepilogo'!$B$2,'Calc valanga'!AT189,'Calc palla di neve'!AT189,'Calc personalizzata'!AT189))</f>
        <v/>
      </c>
      <c r="L166" s="70" t="str">
        <f>IF($A166="","",ROUND(N(M165)*(1+'Calc base'!I189),2)-M166)</f>
        <v/>
      </c>
      <c r="M166" s="75" t="str">
        <f>IF($A166="","",CHOOSE('Calc riepilogo'!$B$2,'Calc valanga'!AU189,'Calc palla di neve'!AU189,'Calc personalizzata'!AU189))</f>
        <v/>
      </c>
      <c r="N166" s="70" t="str">
        <f>IF($A166="","",ROUND(N(O165)*(1+'Calc base'!J189),2)-O166)</f>
        <v/>
      </c>
      <c r="O166" s="75" t="str">
        <f>IF($A166="","",CHOOSE('Calc riepilogo'!$B$2,'Calc valanga'!AV189,'Calc palla di neve'!AV189,'Calc personalizzata'!AV189))</f>
        <v/>
      </c>
      <c r="P166" s="70" t="str">
        <f>IF($A166="","",ROUND(N(Q165)*(1+'Calc base'!K189),2)-Q166)</f>
        <v/>
      </c>
      <c r="Q166" s="75" t="str">
        <f>IF($A166="","",CHOOSE('Calc riepilogo'!$B$2,'Calc valanga'!AW189,'Calc palla di neve'!AW189,'Calc personalizzata'!AW189))</f>
        <v/>
      </c>
      <c r="R166" s="70" t="str">
        <f>IF($A166="","",ROUND(N(S165)*(1+'Calc base'!L189),2)-S166)</f>
        <v/>
      </c>
      <c r="S166" s="75" t="str">
        <f>IF($A166="","",CHOOSE('Calc riepilogo'!$B$2,'Calc valanga'!AX189,'Calc palla di neve'!AX189,'Calc personalizzata'!AX189))</f>
        <v/>
      </c>
      <c r="T166" s="70" t="str">
        <f>IF($A166="","",ROUND(N(U165)*(1+'Calc base'!M189),2)-U166)</f>
        <v/>
      </c>
      <c r="U166" s="75" t="str">
        <f>IF($A166="","",CHOOSE('Calc riepilogo'!$B$2,'Calc valanga'!AY189,'Calc palla di neve'!AY189,'Calc personalizzata'!AY189))</f>
        <v/>
      </c>
      <c r="V166" s="70" t="str">
        <f>IF($A166="","",ROUND(N(W165)*(1+'Calc base'!N189),2)-W166)</f>
        <v/>
      </c>
      <c r="W166" s="75" t="str">
        <f>IF($A166="","",CHOOSE('Calc riepilogo'!$B$2,'Calc valanga'!AZ189,'Calc palla di neve'!AZ189,'Calc personalizzata'!AZ189))</f>
        <v/>
      </c>
      <c r="X166" s="70" t="str">
        <f>IF($A166="","",ROUND(N(Y165)*(1+'Calc base'!O189),2)-Y166)</f>
        <v/>
      </c>
      <c r="Y166" s="75" t="str">
        <f>IF($A166="","",CHOOSE('Calc riepilogo'!$B$2,'Calc valanga'!BA189,'Calc palla di neve'!BA189,'Calc personalizzata'!BA189))</f>
        <v/>
      </c>
      <c r="Z166" s="70" t="str">
        <f>IF($A166="","",ROUND(N(AA165)*(1+'Calc base'!P189),2)-AA166)</f>
        <v/>
      </c>
      <c r="AA166" s="75" t="str">
        <f>IF($A166="","",CHOOSE('Calc riepilogo'!$B$2,'Calc valanga'!BB189,'Calc palla di neve'!BB189,'Calc personalizzata'!BB189))</f>
        <v/>
      </c>
      <c r="AB166" s="70" t="str">
        <f>IF($A166="","",ROUND(N(AC165)*(1+'Calc base'!Q189),2)-AC166)</f>
        <v/>
      </c>
      <c r="AC166" s="75" t="str">
        <f>IF($A166="","",CHOOSE('Calc riepilogo'!$B$2,'Calc valanga'!BC189,'Calc palla di neve'!BC189,'Calc personalizzata'!BC189))</f>
        <v/>
      </c>
      <c r="AD166" s="70" t="str">
        <f>IF($A166="","",ROUND(N(AE165)*(1+'Calc base'!R189),2)-AE166)</f>
        <v/>
      </c>
      <c r="AE166" s="75" t="str">
        <f>IF($A166="","",CHOOSE('Calc riepilogo'!$B$2,'Calc valanga'!BD189,'Calc palla di neve'!BD189,'Calc personalizzata'!BD189))</f>
        <v/>
      </c>
      <c r="AF166" s="70" t="str">
        <f>IF($A166="","",ROUND(N(AG165)*(1+'Calc base'!S189),2)-AG166)</f>
        <v/>
      </c>
      <c r="AG166" s="75" t="str">
        <f>IF($A166="","",CHOOSE('Calc riepilogo'!$B$2,'Calc valanga'!BE189,'Calc palla di neve'!BE189,'Calc personalizzata'!BE189))</f>
        <v/>
      </c>
      <c r="AI166" t="n">
        <v>159</v>
      </c>
    </row>
    <row r="167">
      <c r="A167" s="68" t="str">
        <f>IF(160&gt;'Calc riepilogo'!$B$7,"",'Calc base'!$B190)</f>
        <v/>
      </c>
      <c r="B167" s="69" t="str">
        <f>IF($A167="","",'Calc base'!$C190)</f>
        <v/>
      </c>
      <c r="C167" s="69" t="str">
        <f>IF($A167="","",'Calc base'!$E190)</f>
        <v/>
      </c>
      <c r="D167" s="70" t="str">
        <f>IF($A167="","",J167+L167+N167+P167+R167+T167+V167+X167+Z167+AB167+AD167+AF167)</f>
        <v/>
      </c>
      <c r="E167" s="70" t="str">
        <f>IF($A167="","",CHOOSE('Calc riepilogo'!$B$2,'Calc valanga'!$H190,'Calc palla di neve'!$H190,'Calc personalizzata'!$H190))</f>
        <v/>
      </c>
      <c r="F167" s="71" t="str">
        <f>IF($A167="","",CHOOSE('Calc riepilogo'!$B$2,'Calc valanga'!$G190,'Calc palla di neve'!$G190,'Calc personalizzata'!$G190))</f>
        <v/>
      </c>
      <c r="G167" s="72" t="n"/>
      <c r="H167" s="73" t="n"/>
      <c r="I167" s="74" t="str">
        <f>IF($A167="","",TRIM(IF(AND(N(K166)&gt;0,N(K167)&lt;=0.004),"✓ "&amp;'Calc base'!C$6&amp;"   ","")&amp;IF(AND(N(M166)&gt;0,N(M167)&lt;=0.004),"✓ "&amp;'Calc base'!D$6&amp;"   ","")&amp;IF(AND(N(O166)&gt;0,N(O167)&lt;=0.004),"✓ "&amp;'Calc base'!E$6&amp;"   ","")&amp;IF(AND(N(Q166)&gt;0,N(Q167)&lt;=0.004),"✓ "&amp;'Calc base'!F$6&amp;"   ","")&amp;IF(AND(N(S166)&gt;0,N(S167)&lt;=0.004),"✓ "&amp;'Calc base'!G$6&amp;"   ","")&amp;IF(AND(N(U166)&gt;0,N(U167)&lt;=0.004),"✓ "&amp;'Calc base'!H$6&amp;"   ","")&amp;IF(AND(N(W166)&gt;0,N(W167)&lt;=0.004),"✓ "&amp;'Calc base'!I$6&amp;"   ","")&amp;IF(AND(N(Y166)&gt;0,N(Y167)&lt;=0.004),"✓ "&amp;'Calc base'!J$6&amp;"   ","")&amp;IF(AND(N(AA166)&gt;0,N(AA167)&lt;=0.004),"✓ "&amp;'Calc base'!K$6&amp;"   ","")&amp;IF(AND(N(AC166)&gt;0,N(AC167)&lt;=0.004),"✓ "&amp;'Calc base'!L$6&amp;"   ","")&amp;IF(AND(N(AE166)&gt;0,N(AE167)&lt;=0.004),"✓ "&amp;'Calc base'!M$6&amp;"   ","")&amp;IF(AND(N(AG166)&gt;0,N(AG167)&lt;=0.004),"✓ "&amp;'Calc base'!N$6&amp;"   ","")))</f>
        <v/>
      </c>
      <c r="J167" s="70" t="str">
        <f>IF($A167="","",ROUND(N(K166)*(1+'Calc base'!H190),2)-K167)</f>
        <v/>
      </c>
      <c r="K167" s="75" t="str">
        <f>IF($A167="","",CHOOSE('Calc riepilogo'!$B$2,'Calc valanga'!AT190,'Calc palla di neve'!AT190,'Calc personalizzata'!AT190))</f>
        <v/>
      </c>
      <c r="L167" s="70" t="str">
        <f>IF($A167="","",ROUND(N(M166)*(1+'Calc base'!I190),2)-M167)</f>
        <v/>
      </c>
      <c r="M167" s="75" t="str">
        <f>IF($A167="","",CHOOSE('Calc riepilogo'!$B$2,'Calc valanga'!AU190,'Calc palla di neve'!AU190,'Calc personalizzata'!AU190))</f>
        <v/>
      </c>
      <c r="N167" s="70" t="str">
        <f>IF($A167="","",ROUND(N(O166)*(1+'Calc base'!J190),2)-O167)</f>
        <v/>
      </c>
      <c r="O167" s="75" t="str">
        <f>IF($A167="","",CHOOSE('Calc riepilogo'!$B$2,'Calc valanga'!AV190,'Calc palla di neve'!AV190,'Calc personalizzata'!AV190))</f>
        <v/>
      </c>
      <c r="P167" s="70" t="str">
        <f>IF($A167="","",ROUND(N(Q166)*(1+'Calc base'!K190),2)-Q167)</f>
        <v/>
      </c>
      <c r="Q167" s="75" t="str">
        <f>IF($A167="","",CHOOSE('Calc riepilogo'!$B$2,'Calc valanga'!AW190,'Calc palla di neve'!AW190,'Calc personalizzata'!AW190))</f>
        <v/>
      </c>
      <c r="R167" s="70" t="str">
        <f>IF($A167="","",ROUND(N(S166)*(1+'Calc base'!L190),2)-S167)</f>
        <v/>
      </c>
      <c r="S167" s="75" t="str">
        <f>IF($A167="","",CHOOSE('Calc riepilogo'!$B$2,'Calc valanga'!AX190,'Calc palla di neve'!AX190,'Calc personalizzata'!AX190))</f>
        <v/>
      </c>
      <c r="T167" s="70" t="str">
        <f>IF($A167="","",ROUND(N(U166)*(1+'Calc base'!M190),2)-U167)</f>
        <v/>
      </c>
      <c r="U167" s="75" t="str">
        <f>IF($A167="","",CHOOSE('Calc riepilogo'!$B$2,'Calc valanga'!AY190,'Calc palla di neve'!AY190,'Calc personalizzata'!AY190))</f>
        <v/>
      </c>
      <c r="V167" s="70" t="str">
        <f>IF($A167="","",ROUND(N(W166)*(1+'Calc base'!N190),2)-W167)</f>
        <v/>
      </c>
      <c r="W167" s="75" t="str">
        <f>IF($A167="","",CHOOSE('Calc riepilogo'!$B$2,'Calc valanga'!AZ190,'Calc palla di neve'!AZ190,'Calc personalizzata'!AZ190))</f>
        <v/>
      </c>
      <c r="X167" s="70" t="str">
        <f>IF($A167="","",ROUND(N(Y166)*(1+'Calc base'!O190),2)-Y167)</f>
        <v/>
      </c>
      <c r="Y167" s="75" t="str">
        <f>IF($A167="","",CHOOSE('Calc riepilogo'!$B$2,'Calc valanga'!BA190,'Calc palla di neve'!BA190,'Calc personalizzata'!BA190))</f>
        <v/>
      </c>
      <c r="Z167" s="70" t="str">
        <f>IF($A167="","",ROUND(N(AA166)*(1+'Calc base'!P190),2)-AA167)</f>
        <v/>
      </c>
      <c r="AA167" s="75" t="str">
        <f>IF($A167="","",CHOOSE('Calc riepilogo'!$B$2,'Calc valanga'!BB190,'Calc palla di neve'!BB190,'Calc personalizzata'!BB190))</f>
        <v/>
      </c>
      <c r="AB167" s="70" t="str">
        <f>IF($A167="","",ROUND(N(AC166)*(1+'Calc base'!Q190),2)-AC167)</f>
        <v/>
      </c>
      <c r="AC167" s="75" t="str">
        <f>IF($A167="","",CHOOSE('Calc riepilogo'!$B$2,'Calc valanga'!BC190,'Calc palla di neve'!BC190,'Calc personalizzata'!BC190))</f>
        <v/>
      </c>
      <c r="AD167" s="70" t="str">
        <f>IF($A167="","",ROUND(N(AE166)*(1+'Calc base'!R190),2)-AE167)</f>
        <v/>
      </c>
      <c r="AE167" s="75" t="str">
        <f>IF($A167="","",CHOOSE('Calc riepilogo'!$B$2,'Calc valanga'!BD190,'Calc palla di neve'!BD190,'Calc personalizzata'!BD190))</f>
        <v/>
      </c>
      <c r="AF167" s="70" t="str">
        <f>IF($A167="","",ROUND(N(AG166)*(1+'Calc base'!S190),2)-AG167)</f>
        <v/>
      </c>
      <c r="AG167" s="75" t="str">
        <f>IF($A167="","",CHOOSE('Calc riepilogo'!$B$2,'Calc valanga'!BE190,'Calc palla di neve'!BE190,'Calc personalizzata'!BE190))</f>
        <v/>
      </c>
      <c r="AI167" t="n">
        <v>160</v>
      </c>
    </row>
    <row r="168">
      <c r="A168" s="68" t="str">
        <f>IF(161&gt;'Calc riepilogo'!$B$7,"",'Calc base'!$B191)</f>
        <v/>
      </c>
      <c r="B168" s="69" t="str">
        <f>IF($A168="","",'Calc base'!$C191)</f>
        <v/>
      </c>
      <c r="C168" s="69" t="str">
        <f>IF($A168="","",'Calc base'!$E191)</f>
        <v/>
      </c>
      <c r="D168" s="70" t="str">
        <f>IF($A168="","",J168+L168+N168+P168+R168+T168+V168+X168+Z168+AB168+AD168+AF168)</f>
        <v/>
      </c>
      <c r="E168" s="70" t="str">
        <f>IF($A168="","",CHOOSE('Calc riepilogo'!$B$2,'Calc valanga'!$H191,'Calc palla di neve'!$H191,'Calc personalizzata'!$H191))</f>
        <v/>
      </c>
      <c r="F168" s="71" t="str">
        <f>IF($A168="","",CHOOSE('Calc riepilogo'!$B$2,'Calc valanga'!$G191,'Calc palla di neve'!$G191,'Calc personalizzata'!$G191))</f>
        <v/>
      </c>
      <c r="G168" s="72" t="n"/>
      <c r="H168" s="73" t="n"/>
      <c r="I168" s="74" t="str">
        <f>IF($A168="","",TRIM(IF(AND(N(K167)&gt;0,N(K168)&lt;=0.004),"✓ "&amp;'Calc base'!C$6&amp;"   ","")&amp;IF(AND(N(M167)&gt;0,N(M168)&lt;=0.004),"✓ "&amp;'Calc base'!D$6&amp;"   ","")&amp;IF(AND(N(O167)&gt;0,N(O168)&lt;=0.004),"✓ "&amp;'Calc base'!E$6&amp;"   ","")&amp;IF(AND(N(Q167)&gt;0,N(Q168)&lt;=0.004),"✓ "&amp;'Calc base'!F$6&amp;"   ","")&amp;IF(AND(N(S167)&gt;0,N(S168)&lt;=0.004),"✓ "&amp;'Calc base'!G$6&amp;"   ","")&amp;IF(AND(N(U167)&gt;0,N(U168)&lt;=0.004),"✓ "&amp;'Calc base'!H$6&amp;"   ","")&amp;IF(AND(N(W167)&gt;0,N(W168)&lt;=0.004),"✓ "&amp;'Calc base'!I$6&amp;"   ","")&amp;IF(AND(N(Y167)&gt;0,N(Y168)&lt;=0.004),"✓ "&amp;'Calc base'!J$6&amp;"   ","")&amp;IF(AND(N(AA167)&gt;0,N(AA168)&lt;=0.004),"✓ "&amp;'Calc base'!K$6&amp;"   ","")&amp;IF(AND(N(AC167)&gt;0,N(AC168)&lt;=0.004),"✓ "&amp;'Calc base'!L$6&amp;"   ","")&amp;IF(AND(N(AE167)&gt;0,N(AE168)&lt;=0.004),"✓ "&amp;'Calc base'!M$6&amp;"   ","")&amp;IF(AND(N(AG167)&gt;0,N(AG168)&lt;=0.004),"✓ "&amp;'Calc base'!N$6&amp;"   ","")))</f>
        <v/>
      </c>
      <c r="J168" s="70" t="str">
        <f>IF($A168="","",ROUND(N(K167)*(1+'Calc base'!H191),2)-K168)</f>
        <v/>
      </c>
      <c r="K168" s="75" t="str">
        <f>IF($A168="","",CHOOSE('Calc riepilogo'!$B$2,'Calc valanga'!AT191,'Calc palla di neve'!AT191,'Calc personalizzata'!AT191))</f>
        <v/>
      </c>
      <c r="L168" s="70" t="str">
        <f>IF($A168="","",ROUND(N(M167)*(1+'Calc base'!I191),2)-M168)</f>
        <v/>
      </c>
      <c r="M168" s="75" t="str">
        <f>IF($A168="","",CHOOSE('Calc riepilogo'!$B$2,'Calc valanga'!AU191,'Calc palla di neve'!AU191,'Calc personalizzata'!AU191))</f>
        <v/>
      </c>
      <c r="N168" s="70" t="str">
        <f>IF($A168="","",ROUND(N(O167)*(1+'Calc base'!J191),2)-O168)</f>
        <v/>
      </c>
      <c r="O168" s="75" t="str">
        <f>IF($A168="","",CHOOSE('Calc riepilogo'!$B$2,'Calc valanga'!AV191,'Calc palla di neve'!AV191,'Calc personalizzata'!AV191))</f>
        <v/>
      </c>
      <c r="P168" s="70" t="str">
        <f>IF($A168="","",ROUND(N(Q167)*(1+'Calc base'!K191),2)-Q168)</f>
        <v/>
      </c>
      <c r="Q168" s="75" t="str">
        <f>IF($A168="","",CHOOSE('Calc riepilogo'!$B$2,'Calc valanga'!AW191,'Calc palla di neve'!AW191,'Calc personalizzata'!AW191))</f>
        <v/>
      </c>
      <c r="R168" s="70" t="str">
        <f>IF($A168="","",ROUND(N(S167)*(1+'Calc base'!L191),2)-S168)</f>
        <v/>
      </c>
      <c r="S168" s="75" t="str">
        <f>IF($A168="","",CHOOSE('Calc riepilogo'!$B$2,'Calc valanga'!AX191,'Calc palla di neve'!AX191,'Calc personalizzata'!AX191))</f>
        <v/>
      </c>
      <c r="T168" s="70" t="str">
        <f>IF($A168="","",ROUND(N(U167)*(1+'Calc base'!M191),2)-U168)</f>
        <v/>
      </c>
      <c r="U168" s="75" t="str">
        <f>IF($A168="","",CHOOSE('Calc riepilogo'!$B$2,'Calc valanga'!AY191,'Calc palla di neve'!AY191,'Calc personalizzata'!AY191))</f>
        <v/>
      </c>
      <c r="V168" s="70" t="str">
        <f>IF($A168="","",ROUND(N(W167)*(1+'Calc base'!N191),2)-W168)</f>
        <v/>
      </c>
      <c r="W168" s="75" t="str">
        <f>IF($A168="","",CHOOSE('Calc riepilogo'!$B$2,'Calc valanga'!AZ191,'Calc palla di neve'!AZ191,'Calc personalizzata'!AZ191))</f>
        <v/>
      </c>
      <c r="X168" s="70" t="str">
        <f>IF($A168="","",ROUND(N(Y167)*(1+'Calc base'!O191),2)-Y168)</f>
        <v/>
      </c>
      <c r="Y168" s="75" t="str">
        <f>IF($A168="","",CHOOSE('Calc riepilogo'!$B$2,'Calc valanga'!BA191,'Calc palla di neve'!BA191,'Calc personalizzata'!BA191))</f>
        <v/>
      </c>
      <c r="Z168" s="70" t="str">
        <f>IF($A168="","",ROUND(N(AA167)*(1+'Calc base'!P191),2)-AA168)</f>
        <v/>
      </c>
      <c r="AA168" s="75" t="str">
        <f>IF($A168="","",CHOOSE('Calc riepilogo'!$B$2,'Calc valanga'!BB191,'Calc palla di neve'!BB191,'Calc personalizzata'!BB191))</f>
        <v/>
      </c>
      <c r="AB168" s="70" t="str">
        <f>IF($A168="","",ROUND(N(AC167)*(1+'Calc base'!Q191),2)-AC168)</f>
        <v/>
      </c>
      <c r="AC168" s="75" t="str">
        <f>IF($A168="","",CHOOSE('Calc riepilogo'!$B$2,'Calc valanga'!BC191,'Calc palla di neve'!BC191,'Calc personalizzata'!BC191))</f>
        <v/>
      </c>
      <c r="AD168" s="70" t="str">
        <f>IF($A168="","",ROUND(N(AE167)*(1+'Calc base'!R191),2)-AE168)</f>
        <v/>
      </c>
      <c r="AE168" s="75" t="str">
        <f>IF($A168="","",CHOOSE('Calc riepilogo'!$B$2,'Calc valanga'!BD191,'Calc palla di neve'!BD191,'Calc personalizzata'!BD191))</f>
        <v/>
      </c>
      <c r="AF168" s="70" t="str">
        <f>IF($A168="","",ROUND(N(AG167)*(1+'Calc base'!S191),2)-AG168)</f>
        <v/>
      </c>
      <c r="AG168" s="75" t="str">
        <f>IF($A168="","",CHOOSE('Calc riepilogo'!$B$2,'Calc valanga'!BE191,'Calc palla di neve'!BE191,'Calc personalizzata'!BE191))</f>
        <v/>
      </c>
      <c r="AI168" t="n">
        <v>161</v>
      </c>
    </row>
    <row r="169">
      <c r="A169" s="68" t="str">
        <f>IF(162&gt;'Calc riepilogo'!$B$7,"",'Calc base'!$B192)</f>
        <v/>
      </c>
      <c r="B169" s="69" t="str">
        <f>IF($A169="","",'Calc base'!$C192)</f>
        <v/>
      </c>
      <c r="C169" s="69" t="str">
        <f>IF($A169="","",'Calc base'!$E192)</f>
        <v/>
      </c>
      <c r="D169" s="70" t="str">
        <f>IF($A169="","",J169+L169+N169+P169+R169+T169+V169+X169+Z169+AB169+AD169+AF169)</f>
        <v/>
      </c>
      <c r="E169" s="70" t="str">
        <f>IF($A169="","",CHOOSE('Calc riepilogo'!$B$2,'Calc valanga'!$H192,'Calc palla di neve'!$H192,'Calc personalizzata'!$H192))</f>
        <v/>
      </c>
      <c r="F169" s="71" t="str">
        <f>IF($A169="","",CHOOSE('Calc riepilogo'!$B$2,'Calc valanga'!$G192,'Calc palla di neve'!$G192,'Calc personalizzata'!$G192))</f>
        <v/>
      </c>
      <c r="G169" s="72" t="n"/>
      <c r="H169" s="73" t="n"/>
      <c r="I169" s="74" t="str">
        <f>IF($A169="","",TRIM(IF(AND(N(K168)&gt;0,N(K169)&lt;=0.004),"✓ "&amp;'Calc base'!C$6&amp;"   ","")&amp;IF(AND(N(M168)&gt;0,N(M169)&lt;=0.004),"✓ "&amp;'Calc base'!D$6&amp;"   ","")&amp;IF(AND(N(O168)&gt;0,N(O169)&lt;=0.004),"✓ "&amp;'Calc base'!E$6&amp;"   ","")&amp;IF(AND(N(Q168)&gt;0,N(Q169)&lt;=0.004),"✓ "&amp;'Calc base'!F$6&amp;"   ","")&amp;IF(AND(N(S168)&gt;0,N(S169)&lt;=0.004),"✓ "&amp;'Calc base'!G$6&amp;"   ","")&amp;IF(AND(N(U168)&gt;0,N(U169)&lt;=0.004),"✓ "&amp;'Calc base'!H$6&amp;"   ","")&amp;IF(AND(N(W168)&gt;0,N(W169)&lt;=0.004),"✓ "&amp;'Calc base'!I$6&amp;"   ","")&amp;IF(AND(N(Y168)&gt;0,N(Y169)&lt;=0.004),"✓ "&amp;'Calc base'!J$6&amp;"   ","")&amp;IF(AND(N(AA168)&gt;0,N(AA169)&lt;=0.004),"✓ "&amp;'Calc base'!K$6&amp;"   ","")&amp;IF(AND(N(AC168)&gt;0,N(AC169)&lt;=0.004),"✓ "&amp;'Calc base'!L$6&amp;"   ","")&amp;IF(AND(N(AE168)&gt;0,N(AE169)&lt;=0.004),"✓ "&amp;'Calc base'!M$6&amp;"   ","")&amp;IF(AND(N(AG168)&gt;0,N(AG169)&lt;=0.004),"✓ "&amp;'Calc base'!N$6&amp;"   ","")))</f>
        <v/>
      </c>
      <c r="J169" s="70" t="str">
        <f>IF($A169="","",ROUND(N(K168)*(1+'Calc base'!H192),2)-K169)</f>
        <v/>
      </c>
      <c r="K169" s="75" t="str">
        <f>IF($A169="","",CHOOSE('Calc riepilogo'!$B$2,'Calc valanga'!AT192,'Calc palla di neve'!AT192,'Calc personalizzata'!AT192))</f>
        <v/>
      </c>
      <c r="L169" s="70" t="str">
        <f>IF($A169="","",ROUND(N(M168)*(1+'Calc base'!I192),2)-M169)</f>
        <v/>
      </c>
      <c r="M169" s="75" t="str">
        <f>IF($A169="","",CHOOSE('Calc riepilogo'!$B$2,'Calc valanga'!AU192,'Calc palla di neve'!AU192,'Calc personalizzata'!AU192))</f>
        <v/>
      </c>
      <c r="N169" s="70" t="str">
        <f>IF($A169="","",ROUND(N(O168)*(1+'Calc base'!J192),2)-O169)</f>
        <v/>
      </c>
      <c r="O169" s="75" t="str">
        <f>IF($A169="","",CHOOSE('Calc riepilogo'!$B$2,'Calc valanga'!AV192,'Calc palla di neve'!AV192,'Calc personalizzata'!AV192))</f>
        <v/>
      </c>
      <c r="P169" s="70" t="str">
        <f>IF($A169="","",ROUND(N(Q168)*(1+'Calc base'!K192),2)-Q169)</f>
        <v/>
      </c>
      <c r="Q169" s="75" t="str">
        <f>IF($A169="","",CHOOSE('Calc riepilogo'!$B$2,'Calc valanga'!AW192,'Calc palla di neve'!AW192,'Calc personalizzata'!AW192))</f>
        <v/>
      </c>
      <c r="R169" s="70" t="str">
        <f>IF($A169="","",ROUND(N(S168)*(1+'Calc base'!L192),2)-S169)</f>
        <v/>
      </c>
      <c r="S169" s="75" t="str">
        <f>IF($A169="","",CHOOSE('Calc riepilogo'!$B$2,'Calc valanga'!AX192,'Calc palla di neve'!AX192,'Calc personalizzata'!AX192))</f>
        <v/>
      </c>
      <c r="T169" s="70" t="str">
        <f>IF($A169="","",ROUND(N(U168)*(1+'Calc base'!M192),2)-U169)</f>
        <v/>
      </c>
      <c r="U169" s="75" t="str">
        <f>IF($A169="","",CHOOSE('Calc riepilogo'!$B$2,'Calc valanga'!AY192,'Calc palla di neve'!AY192,'Calc personalizzata'!AY192))</f>
        <v/>
      </c>
      <c r="V169" s="70" t="str">
        <f>IF($A169="","",ROUND(N(W168)*(1+'Calc base'!N192),2)-W169)</f>
        <v/>
      </c>
      <c r="W169" s="75" t="str">
        <f>IF($A169="","",CHOOSE('Calc riepilogo'!$B$2,'Calc valanga'!AZ192,'Calc palla di neve'!AZ192,'Calc personalizzata'!AZ192))</f>
        <v/>
      </c>
      <c r="X169" s="70" t="str">
        <f>IF($A169="","",ROUND(N(Y168)*(1+'Calc base'!O192),2)-Y169)</f>
        <v/>
      </c>
      <c r="Y169" s="75" t="str">
        <f>IF($A169="","",CHOOSE('Calc riepilogo'!$B$2,'Calc valanga'!BA192,'Calc palla di neve'!BA192,'Calc personalizzata'!BA192))</f>
        <v/>
      </c>
      <c r="Z169" s="70" t="str">
        <f>IF($A169="","",ROUND(N(AA168)*(1+'Calc base'!P192),2)-AA169)</f>
        <v/>
      </c>
      <c r="AA169" s="75" t="str">
        <f>IF($A169="","",CHOOSE('Calc riepilogo'!$B$2,'Calc valanga'!BB192,'Calc palla di neve'!BB192,'Calc personalizzata'!BB192))</f>
        <v/>
      </c>
      <c r="AB169" s="70" t="str">
        <f>IF($A169="","",ROUND(N(AC168)*(1+'Calc base'!Q192),2)-AC169)</f>
        <v/>
      </c>
      <c r="AC169" s="75" t="str">
        <f>IF($A169="","",CHOOSE('Calc riepilogo'!$B$2,'Calc valanga'!BC192,'Calc palla di neve'!BC192,'Calc personalizzata'!BC192))</f>
        <v/>
      </c>
      <c r="AD169" s="70" t="str">
        <f>IF($A169="","",ROUND(N(AE168)*(1+'Calc base'!R192),2)-AE169)</f>
        <v/>
      </c>
      <c r="AE169" s="75" t="str">
        <f>IF($A169="","",CHOOSE('Calc riepilogo'!$B$2,'Calc valanga'!BD192,'Calc palla di neve'!BD192,'Calc personalizzata'!BD192))</f>
        <v/>
      </c>
      <c r="AF169" s="70" t="str">
        <f>IF($A169="","",ROUND(N(AG168)*(1+'Calc base'!S192),2)-AG169)</f>
        <v/>
      </c>
      <c r="AG169" s="75" t="str">
        <f>IF($A169="","",CHOOSE('Calc riepilogo'!$B$2,'Calc valanga'!BE192,'Calc palla di neve'!BE192,'Calc personalizzata'!BE192))</f>
        <v/>
      </c>
      <c r="AI169" t="n">
        <v>162</v>
      </c>
    </row>
    <row r="170">
      <c r="A170" s="68" t="str">
        <f>IF(163&gt;'Calc riepilogo'!$B$7,"",'Calc base'!$B193)</f>
        <v/>
      </c>
      <c r="B170" s="69" t="str">
        <f>IF($A170="","",'Calc base'!$C193)</f>
        <v/>
      </c>
      <c r="C170" s="69" t="str">
        <f>IF($A170="","",'Calc base'!$E193)</f>
        <v/>
      </c>
      <c r="D170" s="70" t="str">
        <f>IF($A170="","",J170+L170+N170+P170+R170+T170+V170+X170+Z170+AB170+AD170+AF170)</f>
        <v/>
      </c>
      <c r="E170" s="70" t="str">
        <f>IF($A170="","",CHOOSE('Calc riepilogo'!$B$2,'Calc valanga'!$H193,'Calc palla di neve'!$H193,'Calc personalizzata'!$H193))</f>
        <v/>
      </c>
      <c r="F170" s="71" t="str">
        <f>IF($A170="","",CHOOSE('Calc riepilogo'!$B$2,'Calc valanga'!$G193,'Calc palla di neve'!$G193,'Calc personalizzata'!$G193))</f>
        <v/>
      </c>
      <c r="G170" s="72" t="n"/>
      <c r="H170" s="73" t="n"/>
      <c r="I170" s="74" t="str">
        <f>IF($A170="","",TRIM(IF(AND(N(K169)&gt;0,N(K170)&lt;=0.004),"✓ "&amp;'Calc base'!C$6&amp;"   ","")&amp;IF(AND(N(M169)&gt;0,N(M170)&lt;=0.004),"✓ "&amp;'Calc base'!D$6&amp;"   ","")&amp;IF(AND(N(O169)&gt;0,N(O170)&lt;=0.004),"✓ "&amp;'Calc base'!E$6&amp;"   ","")&amp;IF(AND(N(Q169)&gt;0,N(Q170)&lt;=0.004),"✓ "&amp;'Calc base'!F$6&amp;"   ","")&amp;IF(AND(N(S169)&gt;0,N(S170)&lt;=0.004),"✓ "&amp;'Calc base'!G$6&amp;"   ","")&amp;IF(AND(N(U169)&gt;0,N(U170)&lt;=0.004),"✓ "&amp;'Calc base'!H$6&amp;"   ","")&amp;IF(AND(N(W169)&gt;0,N(W170)&lt;=0.004),"✓ "&amp;'Calc base'!I$6&amp;"   ","")&amp;IF(AND(N(Y169)&gt;0,N(Y170)&lt;=0.004),"✓ "&amp;'Calc base'!J$6&amp;"   ","")&amp;IF(AND(N(AA169)&gt;0,N(AA170)&lt;=0.004),"✓ "&amp;'Calc base'!K$6&amp;"   ","")&amp;IF(AND(N(AC169)&gt;0,N(AC170)&lt;=0.004),"✓ "&amp;'Calc base'!L$6&amp;"   ","")&amp;IF(AND(N(AE169)&gt;0,N(AE170)&lt;=0.004),"✓ "&amp;'Calc base'!M$6&amp;"   ","")&amp;IF(AND(N(AG169)&gt;0,N(AG170)&lt;=0.004),"✓ "&amp;'Calc base'!N$6&amp;"   ","")))</f>
        <v/>
      </c>
      <c r="J170" s="70" t="str">
        <f>IF($A170="","",ROUND(N(K169)*(1+'Calc base'!H193),2)-K170)</f>
        <v/>
      </c>
      <c r="K170" s="75" t="str">
        <f>IF($A170="","",CHOOSE('Calc riepilogo'!$B$2,'Calc valanga'!AT193,'Calc palla di neve'!AT193,'Calc personalizzata'!AT193))</f>
        <v/>
      </c>
      <c r="L170" s="70" t="str">
        <f>IF($A170="","",ROUND(N(M169)*(1+'Calc base'!I193),2)-M170)</f>
        <v/>
      </c>
      <c r="M170" s="75" t="str">
        <f>IF($A170="","",CHOOSE('Calc riepilogo'!$B$2,'Calc valanga'!AU193,'Calc palla di neve'!AU193,'Calc personalizzata'!AU193))</f>
        <v/>
      </c>
      <c r="N170" s="70" t="str">
        <f>IF($A170="","",ROUND(N(O169)*(1+'Calc base'!J193),2)-O170)</f>
        <v/>
      </c>
      <c r="O170" s="75" t="str">
        <f>IF($A170="","",CHOOSE('Calc riepilogo'!$B$2,'Calc valanga'!AV193,'Calc palla di neve'!AV193,'Calc personalizzata'!AV193))</f>
        <v/>
      </c>
      <c r="P170" s="70" t="str">
        <f>IF($A170="","",ROUND(N(Q169)*(1+'Calc base'!K193),2)-Q170)</f>
        <v/>
      </c>
      <c r="Q170" s="75" t="str">
        <f>IF($A170="","",CHOOSE('Calc riepilogo'!$B$2,'Calc valanga'!AW193,'Calc palla di neve'!AW193,'Calc personalizzata'!AW193))</f>
        <v/>
      </c>
      <c r="R170" s="70" t="str">
        <f>IF($A170="","",ROUND(N(S169)*(1+'Calc base'!L193),2)-S170)</f>
        <v/>
      </c>
      <c r="S170" s="75" t="str">
        <f>IF($A170="","",CHOOSE('Calc riepilogo'!$B$2,'Calc valanga'!AX193,'Calc palla di neve'!AX193,'Calc personalizzata'!AX193))</f>
        <v/>
      </c>
      <c r="T170" s="70" t="str">
        <f>IF($A170="","",ROUND(N(U169)*(1+'Calc base'!M193),2)-U170)</f>
        <v/>
      </c>
      <c r="U170" s="75" t="str">
        <f>IF($A170="","",CHOOSE('Calc riepilogo'!$B$2,'Calc valanga'!AY193,'Calc palla di neve'!AY193,'Calc personalizzata'!AY193))</f>
        <v/>
      </c>
      <c r="V170" s="70" t="str">
        <f>IF($A170="","",ROUND(N(W169)*(1+'Calc base'!N193),2)-W170)</f>
        <v/>
      </c>
      <c r="W170" s="75" t="str">
        <f>IF($A170="","",CHOOSE('Calc riepilogo'!$B$2,'Calc valanga'!AZ193,'Calc palla di neve'!AZ193,'Calc personalizzata'!AZ193))</f>
        <v/>
      </c>
      <c r="X170" s="70" t="str">
        <f>IF($A170="","",ROUND(N(Y169)*(1+'Calc base'!O193),2)-Y170)</f>
        <v/>
      </c>
      <c r="Y170" s="75" t="str">
        <f>IF($A170="","",CHOOSE('Calc riepilogo'!$B$2,'Calc valanga'!BA193,'Calc palla di neve'!BA193,'Calc personalizzata'!BA193))</f>
        <v/>
      </c>
      <c r="Z170" s="70" t="str">
        <f>IF($A170="","",ROUND(N(AA169)*(1+'Calc base'!P193),2)-AA170)</f>
        <v/>
      </c>
      <c r="AA170" s="75" t="str">
        <f>IF($A170="","",CHOOSE('Calc riepilogo'!$B$2,'Calc valanga'!BB193,'Calc palla di neve'!BB193,'Calc personalizzata'!BB193))</f>
        <v/>
      </c>
      <c r="AB170" s="70" t="str">
        <f>IF($A170="","",ROUND(N(AC169)*(1+'Calc base'!Q193),2)-AC170)</f>
        <v/>
      </c>
      <c r="AC170" s="75" t="str">
        <f>IF($A170="","",CHOOSE('Calc riepilogo'!$B$2,'Calc valanga'!BC193,'Calc palla di neve'!BC193,'Calc personalizzata'!BC193))</f>
        <v/>
      </c>
      <c r="AD170" s="70" t="str">
        <f>IF($A170="","",ROUND(N(AE169)*(1+'Calc base'!R193),2)-AE170)</f>
        <v/>
      </c>
      <c r="AE170" s="75" t="str">
        <f>IF($A170="","",CHOOSE('Calc riepilogo'!$B$2,'Calc valanga'!BD193,'Calc palla di neve'!BD193,'Calc personalizzata'!BD193))</f>
        <v/>
      </c>
      <c r="AF170" s="70" t="str">
        <f>IF($A170="","",ROUND(N(AG169)*(1+'Calc base'!S193),2)-AG170)</f>
        <v/>
      </c>
      <c r="AG170" s="75" t="str">
        <f>IF($A170="","",CHOOSE('Calc riepilogo'!$B$2,'Calc valanga'!BE193,'Calc palla di neve'!BE193,'Calc personalizzata'!BE193))</f>
        <v/>
      </c>
      <c r="AI170" t="n">
        <v>163</v>
      </c>
    </row>
    <row r="171">
      <c r="A171" s="68" t="str">
        <f>IF(164&gt;'Calc riepilogo'!$B$7,"",'Calc base'!$B194)</f>
        <v/>
      </c>
      <c r="B171" s="69" t="str">
        <f>IF($A171="","",'Calc base'!$C194)</f>
        <v/>
      </c>
      <c r="C171" s="69" t="str">
        <f>IF($A171="","",'Calc base'!$E194)</f>
        <v/>
      </c>
      <c r="D171" s="70" t="str">
        <f>IF($A171="","",J171+L171+N171+P171+R171+T171+V171+X171+Z171+AB171+AD171+AF171)</f>
        <v/>
      </c>
      <c r="E171" s="70" t="str">
        <f>IF($A171="","",CHOOSE('Calc riepilogo'!$B$2,'Calc valanga'!$H194,'Calc palla di neve'!$H194,'Calc personalizzata'!$H194))</f>
        <v/>
      </c>
      <c r="F171" s="71" t="str">
        <f>IF($A171="","",CHOOSE('Calc riepilogo'!$B$2,'Calc valanga'!$G194,'Calc palla di neve'!$G194,'Calc personalizzata'!$G194))</f>
        <v/>
      </c>
      <c r="G171" s="72" t="n"/>
      <c r="H171" s="73" t="n"/>
      <c r="I171" s="74" t="str">
        <f>IF($A171="","",TRIM(IF(AND(N(K170)&gt;0,N(K171)&lt;=0.004),"✓ "&amp;'Calc base'!C$6&amp;"   ","")&amp;IF(AND(N(M170)&gt;0,N(M171)&lt;=0.004),"✓ "&amp;'Calc base'!D$6&amp;"   ","")&amp;IF(AND(N(O170)&gt;0,N(O171)&lt;=0.004),"✓ "&amp;'Calc base'!E$6&amp;"   ","")&amp;IF(AND(N(Q170)&gt;0,N(Q171)&lt;=0.004),"✓ "&amp;'Calc base'!F$6&amp;"   ","")&amp;IF(AND(N(S170)&gt;0,N(S171)&lt;=0.004),"✓ "&amp;'Calc base'!G$6&amp;"   ","")&amp;IF(AND(N(U170)&gt;0,N(U171)&lt;=0.004),"✓ "&amp;'Calc base'!H$6&amp;"   ","")&amp;IF(AND(N(W170)&gt;0,N(W171)&lt;=0.004),"✓ "&amp;'Calc base'!I$6&amp;"   ","")&amp;IF(AND(N(Y170)&gt;0,N(Y171)&lt;=0.004),"✓ "&amp;'Calc base'!J$6&amp;"   ","")&amp;IF(AND(N(AA170)&gt;0,N(AA171)&lt;=0.004),"✓ "&amp;'Calc base'!K$6&amp;"   ","")&amp;IF(AND(N(AC170)&gt;0,N(AC171)&lt;=0.004),"✓ "&amp;'Calc base'!L$6&amp;"   ","")&amp;IF(AND(N(AE170)&gt;0,N(AE171)&lt;=0.004),"✓ "&amp;'Calc base'!M$6&amp;"   ","")&amp;IF(AND(N(AG170)&gt;0,N(AG171)&lt;=0.004),"✓ "&amp;'Calc base'!N$6&amp;"   ","")))</f>
        <v/>
      </c>
      <c r="J171" s="70" t="str">
        <f>IF($A171="","",ROUND(N(K170)*(1+'Calc base'!H194),2)-K171)</f>
        <v/>
      </c>
      <c r="K171" s="75" t="str">
        <f>IF($A171="","",CHOOSE('Calc riepilogo'!$B$2,'Calc valanga'!AT194,'Calc palla di neve'!AT194,'Calc personalizzata'!AT194))</f>
        <v/>
      </c>
      <c r="L171" s="70" t="str">
        <f>IF($A171="","",ROUND(N(M170)*(1+'Calc base'!I194),2)-M171)</f>
        <v/>
      </c>
      <c r="M171" s="75" t="str">
        <f>IF($A171="","",CHOOSE('Calc riepilogo'!$B$2,'Calc valanga'!AU194,'Calc palla di neve'!AU194,'Calc personalizzata'!AU194))</f>
        <v/>
      </c>
      <c r="N171" s="70" t="str">
        <f>IF($A171="","",ROUND(N(O170)*(1+'Calc base'!J194),2)-O171)</f>
        <v/>
      </c>
      <c r="O171" s="75" t="str">
        <f>IF($A171="","",CHOOSE('Calc riepilogo'!$B$2,'Calc valanga'!AV194,'Calc palla di neve'!AV194,'Calc personalizzata'!AV194))</f>
        <v/>
      </c>
      <c r="P171" s="70" t="str">
        <f>IF($A171="","",ROUND(N(Q170)*(1+'Calc base'!K194),2)-Q171)</f>
        <v/>
      </c>
      <c r="Q171" s="75" t="str">
        <f>IF($A171="","",CHOOSE('Calc riepilogo'!$B$2,'Calc valanga'!AW194,'Calc palla di neve'!AW194,'Calc personalizzata'!AW194))</f>
        <v/>
      </c>
      <c r="R171" s="70" t="str">
        <f>IF($A171="","",ROUND(N(S170)*(1+'Calc base'!L194),2)-S171)</f>
        <v/>
      </c>
      <c r="S171" s="75" t="str">
        <f>IF($A171="","",CHOOSE('Calc riepilogo'!$B$2,'Calc valanga'!AX194,'Calc palla di neve'!AX194,'Calc personalizzata'!AX194))</f>
        <v/>
      </c>
      <c r="T171" s="70" t="str">
        <f>IF($A171="","",ROUND(N(U170)*(1+'Calc base'!M194),2)-U171)</f>
        <v/>
      </c>
      <c r="U171" s="75" t="str">
        <f>IF($A171="","",CHOOSE('Calc riepilogo'!$B$2,'Calc valanga'!AY194,'Calc palla di neve'!AY194,'Calc personalizzata'!AY194))</f>
        <v/>
      </c>
      <c r="V171" s="70" t="str">
        <f>IF($A171="","",ROUND(N(W170)*(1+'Calc base'!N194),2)-W171)</f>
        <v/>
      </c>
      <c r="W171" s="75" t="str">
        <f>IF($A171="","",CHOOSE('Calc riepilogo'!$B$2,'Calc valanga'!AZ194,'Calc palla di neve'!AZ194,'Calc personalizzata'!AZ194))</f>
        <v/>
      </c>
      <c r="X171" s="70" t="str">
        <f>IF($A171="","",ROUND(N(Y170)*(1+'Calc base'!O194),2)-Y171)</f>
        <v/>
      </c>
      <c r="Y171" s="75" t="str">
        <f>IF($A171="","",CHOOSE('Calc riepilogo'!$B$2,'Calc valanga'!BA194,'Calc palla di neve'!BA194,'Calc personalizzata'!BA194))</f>
        <v/>
      </c>
      <c r="Z171" s="70" t="str">
        <f>IF($A171="","",ROUND(N(AA170)*(1+'Calc base'!P194),2)-AA171)</f>
        <v/>
      </c>
      <c r="AA171" s="75" t="str">
        <f>IF($A171="","",CHOOSE('Calc riepilogo'!$B$2,'Calc valanga'!BB194,'Calc palla di neve'!BB194,'Calc personalizzata'!BB194))</f>
        <v/>
      </c>
      <c r="AB171" s="70" t="str">
        <f>IF($A171="","",ROUND(N(AC170)*(1+'Calc base'!Q194),2)-AC171)</f>
        <v/>
      </c>
      <c r="AC171" s="75" t="str">
        <f>IF($A171="","",CHOOSE('Calc riepilogo'!$B$2,'Calc valanga'!BC194,'Calc palla di neve'!BC194,'Calc personalizzata'!BC194))</f>
        <v/>
      </c>
      <c r="AD171" s="70" t="str">
        <f>IF($A171="","",ROUND(N(AE170)*(1+'Calc base'!R194),2)-AE171)</f>
        <v/>
      </c>
      <c r="AE171" s="75" t="str">
        <f>IF($A171="","",CHOOSE('Calc riepilogo'!$B$2,'Calc valanga'!BD194,'Calc palla di neve'!BD194,'Calc personalizzata'!BD194))</f>
        <v/>
      </c>
      <c r="AF171" s="70" t="str">
        <f>IF($A171="","",ROUND(N(AG170)*(1+'Calc base'!S194),2)-AG171)</f>
        <v/>
      </c>
      <c r="AG171" s="75" t="str">
        <f>IF($A171="","",CHOOSE('Calc riepilogo'!$B$2,'Calc valanga'!BE194,'Calc palla di neve'!BE194,'Calc personalizzata'!BE194))</f>
        <v/>
      </c>
      <c r="AI171" t="n">
        <v>164</v>
      </c>
    </row>
    <row r="172">
      <c r="A172" s="68" t="str">
        <f>IF(165&gt;'Calc riepilogo'!$B$7,"",'Calc base'!$B195)</f>
        <v/>
      </c>
      <c r="B172" s="69" t="str">
        <f>IF($A172="","",'Calc base'!$C195)</f>
        <v/>
      </c>
      <c r="C172" s="69" t="str">
        <f>IF($A172="","",'Calc base'!$E195)</f>
        <v/>
      </c>
      <c r="D172" s="70" t="str">
        <f>IF($A172="","",J172+L172+N172+P172+R172+T172+V172+X172+Z172+AB172+AD172+AF172)</f>
        <v/>
      </c>
      <c r="E172" s="70" t="str">
        <f>IF($A172="","",CHOOSE('Calc riepilogo'!$B$2,'Calc valanga'!$H195,'Calc palla di neve'!$H195,'Calc personalizzata'!$H195))</f>
        <v/>
      </c>
      <c r="F172" s="71" t="str">
        <f>IF($A172="","",CHOOSE('Calc riepilogo'!$B$2,'Calc valanga'!$G195,'Calc palla di neve'!$G195,'Calc personalizzata'!$G195))</f>
        <v/>
      </c>
      <c r="G172" s="72" t="n"/>
      <c r="H172" s="73" t="n"/>
      <c r="I172" s="74" t="str">
        <f>IF($A172="","",TRIM(IF(AND(N(K171)&gt;0,N(K172)&lt;=0.004),"✓ "&amp;'Calc base'!C$6&amp;"   ","")&amp;IF(AND(N(M171)&gt;0,N(M172)&lt;=0.004),"✓ "&amp;'Calc base'!D$6&amp;"   ","")&amp;IF(AND(N(O171)&gt;0,N(O172)&lt;=0.004),"✓ "&amp;'Calc base'!E$6&amp;"   ","")&amp;IF(AND(N(Q171)&gt;0,N(Q172)&lt;=0.004),"✓ "&amp;'Calc base'!F$6&amp;"   ","")&amp;IF(AND(N(S171)&gt;0,N(S172)&lt;=0.004),"✓ "&amp;'Calc base'!G$6&amp;"   ","")&amp;IF(AND(N(U171)&gt;0,N(U172)&lt;=0.004),"✓ "&amp;'Calc base'!H$6&amp;"   ","")&amp;IF(AND(N(W171)&gt;0,N(W172)&lt;=0.004),"✓ "&amp;'Calc base'!I$6&amp;"   ","")&amp;IF(AND(N(Y171)&gt;0,N(Y172)&lt;=0.004),"✓ "&amp;'Calc base'!J$6&amp;"   ","")&amp;IF(AND(N(AA171)&gt;0,N(AA172)&lt;=0.004),"✓ "&amp;'Calc base'!K$6&amp;"   ","")&amp;IF(AND(N(AC171)&gt;0,N(AC172)&lt;=0.004),"✓ "&amp;'Calc base'!L$6&amp;"   ","")&amp;IF(AND(N(AE171)&gt;0,N(AE172)&lt;=0.004),"✓ "&amp;'Calc base'!M$6&amp;"   ","")&amp;IF(AND(N(AG171)&gt;0,N(AG172)&lt;=0.004),"✓ "&amp;'Calc base'!N$6&amp;"   ","")))</f>
        <v/>
      </c>
      <c r="J172" s="70" t="str">
        <f>IF($A172="","",ROUND(N(K171)*(1+'Calc base'!H195),2)-K172)</f>
        <v/>
      </c>
      <c r="K172" s="75" t="str">
        <f>IF($A172="","",CHOOSE('Calc riepilogo'!$B$2,'Calc valanga'!AT195,'Calc palla di neve'!AT195,'Calc personalizzata'!AT195))</f>
        <v/>
      </c>
      <c r="L172" s="70" t="str">
        <f>IF($A172="","",ROUND(N(M171)*(1+'Calc base'!I195),2)-M172)</f>
        <v/>
      </c>
      <c r="M172" s="75" t="str">
        <f>IF($A172="","",CHOOSE('Calc riepilogo'!$B$2,'Calc valanga'!AU195,'Calc palla di neve'!AU195,'Calc personalizzata'!AU195))</f>
        <v/>
      </c>
      <c r="N172" s="70" t="str">
        <f>IF($A172="","",ROUND(N(O171)*(1+'Calc base'!J195),2)-O172)</f>
        <v/>
      </c>
      <c r="O172" s="75" t="str">
        <f>IF($A172="","",CHOOSE('Calc riepilogo'!$B$2,'Calc valanga'!AV195,'Calc palla di neve'!AV195,'Calc personalizzata'!AV195))</f>
        <v/>
      </c>
      <c r="P172" s="70" t="str">
        <f>IF($A172="","",ROUND(N(Q171)*(1+'Calc base'!K195),2)-Q172)</f>
        <v/>
      </c>
      <c r="Q172" s="75" t="str">
        <f>IF($A172="","",CHOOSE('Calc riepilogo'!$B$2,'Calc valanga'!AW195,'Calc palla di neve'!AW195,'Calc personalizzata'!AW195))</f>
        <v/>
      </c>
      <c r="R172" s="70" t="str">
        <f>IF($A172="","",ROUND(N(S171)*(1+'Calc base'!L195),2)-S172)</f>
        <v/>
      </c>
      <c r="S172" s="75" t="str">
        <f>IF($A172="","",CHOOSE('Calc riepilogo'!$B$2,'Calc valanga'!AX195,'Calc palla di neve'!AX195,'Calc personalizzata'!AX195))</f>
        <v/>
      </c>
      <c r="T172" s="70" t="str">
        <f>IF($A172="","",ROUND(N(U171)*(1+'Calc base'!M195),2)-U172)</f>
        <v/>
      </c>
      <c r="U172" s="75" t="str">
        <f>IF($A172="","",CHOOSE('Calc riepilogo'!$B$2,'Calc valanga'!AY195,'Calc palla di neve'!AY195,'Calc personalizzata'!AY195))</f>
        <v/>
      </c>
      <c r="V172" s="70" t="str">
        <f>IF($A172="","",ROUND(N(W171)*(1+'Calc base'!N195),2)-W172)</f>
        <v/>
      </c>
      <c r="W172" s="75" t="str">
        <f>IF($A172="","",CHOOSE('Calc riepilogo'!$B$2,'Calc valanga'!AZ195,'Calc palla di neve'!AZ195,'Calc personalizzata'!AZ195))</f>
        <v/>
      </c>
      <c r="X172" s="70" t="str">
        <f>IF($A172="","",ROUND(N(Y171)*(1+'Calc base'!O195),2)-Y172)</f>
        <v/>
      </c>
      <c r="Y172" s="75" t="str">
        <f>IF($A172="","",CHOOSE('Calc riepilogo'!$B$2,'Calc valanga'!BA195,'Calc palla di neve'!BA195,'Calc personalizzata'!BA195))</f>
        <v/>
      </c>
      <c r="Z172" s="70" t="str">
        <f>IF($A172="","",ROUND(N(AA171)*(1+'Calc base'!P195),2)-AA172)</f>
        <v/>
      </c>
      <c r="AA172" s="75" t="str">
        <f>IF($A172="","",CHOOSE('Calc riepilogo'!$B$2,'Calc valanga'!BB195,'Calc palla di neve'!BB195,'Calc personalizzata'!BB195))</f>
        <v/>
      </c>
      <c r="AB172" s="70" t="str">
        <f>IF($A172="","",ROUND(N(AC171)*(1+'Calc base'!Q195),2)-AC172)</f>
        <v/>
      </c>
      <c r="AC172" s="75" t="str">
        <f>IF($A172="","",CHOOSE('Calc riepilogo'!$B$2,'Calc valanga'!BC195,'Calc palla di neve'!BC195,'Calc personalizzata'!BC195))</f>
        <v/>
      </c>
      <c r="AD172" s="70" t="str">
        <f>IF($A172="","",ROUND(N(AE171)*(1+'Calc base'!R195),2)-AE172)</f>
        <v/>
      </c>
      <c r="AE172" s="75" t="str">
        <f>IF($A172="","",CHOOSE('Calc riepilogo'!$B$2,'Calc valanga'!BD195,'Calc palla di neve'!BD195,'Calc personalizzata'!BD195))</f>
        <v/>
      </c>
      <c r="AF172" s="70" t="str">
        <f>IF($A172="","",ROUND(N(AG171)*(1+'Calc base'!S195),2)-AG172)</f>
        <v/>
      </c>
      <c r="AG172" s="75" t="str">
        <f>IF($A172="","",CHOOSE('Calc riepilogo'!$B$2,'Calc valanga'!BE195,'Calc palla di neve'!BE195,'Calc personalizzata'!BE195))</f>
        <v/>
      </c>
      <c r="AI172" t="n">
        <v>165</v>
      </c>
    </row>
    <row r="173">
      <c r="A173" s="68" t="str">
        <f>IF(166&gt;'Calc riepilogo'!$B$7,"",'Calc base'!$B196)</f>
        <v/>
      </c>
      <c r="B173" s="69" t="str">
        <f>IF($A173="","",'Calc base'!$C196)</f>
        <v/>
      </c>
      <c r="C173" s="69" t="str">
        <f>IF($A173="","",'Calc base'!$E196)</f>
        <v/>
      </c>
      <c r="D173" s="70" t="str">
        <f>IF($A173="","",J173+L173+N173+P173+R173+T173+V173+X173+Z173+AB173+AD173+AF173)</f>
        <v/>
      </c>
      <c r="E173" s="70" t="str">
        <f>IF($A173="","",CHOOSE('Calc riepilogo'!$B$2,'Calc valanga'!$H196,'Calc palla di neve'!$H196,'Calc personalizzata'!$H196))</f>
        <v/>
      </c>
      <c r="F173" s="71" t="str">
        <f>IF($A173="","",CHOOSE('Calc riepilogo'!$B$2,'Calc valanga'!$G196,'Calc palla di neve'!$G196,'Calc personalizzata'!$G196))</f>
        <v/>
      </c>
      <c r="G173" s="72" t="n"/>
      <c r="H173" s="73" t="n"/>
      <c r="I173" s="74" t="str">
        <f>IF($A173="","",TRIM(IF(AND(N(K172)&gt;0,N(K173)&lt;=0.004),"✓ "&amp;'Calc base'!C$6&amp;"   ","")&amp;IF(AND(N(M172)&gt;0,N(M173)&lt;=0.004),"✓ "&amp;'Calc base'!D$6&amp;"   ","")&amp;IF(AND(N(O172)&gt;0,N(O173)&lt;=0.004),"✓ "&amp;'Calc base'!E$6&amp;"   ","")&amp;IF(AND(N(Q172)&gt;0,N(Q173)&lt;=0.004),"✓ "&amp;'Calc base'!F$6&amp;"   ","")&amp;IF(AND(N(S172)&gt;0,N(S173)&lt;=0.004),"✓ "&amp;'Calc base'!G$6&amp;"   ","")&amp;IF(AND(N(U172)&gt;0,N(U173)&lt;=0.004),"✓ "&amp;'Calc base'!H$6&amp;"   ","")&amp;IF(AND(N(W172)&gt;0,N(W173)&lt;=0.004),"✓ "&amp;'Calc base'!I$6&amp;"   ","")&amp;IF(AND(N(Y172)&gt;0,N(Y173)&lt;=0.004),"✓ "&amp;'Calc base'!J$6&amp;"   ","")&amp;IF(AND(N(AA172)&gt;0,N(AA173)&lt;=0.004),"✓ "&amp;'Calc base'!K$6&amp;"   ","")&amp;IF(AND(N(AC172)&gt;0,N(AC173)&lt;=0.004),"✓ "&amp;'Calc base'!L$6&amp;"   ","")&amp;IF(AND(N(AE172)&gt;0,N(AE173)&lt;=0.004),"✓ "&amp;'Calc base'!M$6&amp;"   ","")&amp;IF(AND(N(AG172)&gt;0,N(AG173)&lt;=0.004),"✓ "&amp;'Calc base'!N$6&amp;"   ","")))</f>
        <v/>
      </c>
      <c r="J173" s="70" t="str">
        <f>IF($A173="","",ROUND(N(K172)*(1+'Calc base'!H196),2)-K173)</f>
        <v/>
      </c>
      <c r="K173" s="75" t="str">
        <f>IF($A173="","",CHOOSE('Calc riepilogo'!$B$2,'Calc valanga'!AT196,'Calc palla di neve'!AT196,'Calc personalizzata'!AT196))</f>
        <v/>
      </c>
      <c r="L173" s="70" t="str">
        <f>IF($A173="","",ROUND(N(M172)*(1+'Calc base'!I196),2)-M173)</f>
        <v/>
      </c>
      <c r="M173" s="75" t="str">
        <f>IF($A173="","",CHOOSE('Calc riepilogo'!$B$2,'Calc valanga'!AU196,'Calc palla di neve'!AU196,'Calc personalizzata'!AU196))</f>
        <v/>
      </c>
      <c r="N173" s="70" t="str">
        <f>IF($A173="","",ROUND(N(O172)*(1+'Calc base'!J196),2)-O173)</f>
        <v/>
      </c>
      <c r="O173" s="75" t="str">
        <f>IF($A173="","",CHOOSE('Calc riepilogo'!$B$2,'Calc valanga'!AV196,'Calc palla di neve'!AV196,'Calc personalizzata'!AV196))</f>
        <v/>
      </c>
      <c r="P173" s="70" t="str">
        <f>IF($A173="","",ROUND(N(Q172)*(1+'Calc base'!K196),2)-Q173)</f>
        <v/>
      </c>
      <c r="Q173" s="75" t="str">
        <f>IF($A173="","",CHOOSE('Calc riepilogo'!$B$2,'Calc valanga'!AW196,'Calc palla di neve'!AW196,'Calc personalizzata'!AW196))</f>
        <v/>
      </c>
      <c r="R173" s="70" t="str">
        <f>IF($A173="","",ROUND(N(S172)*(1+'Calc base'!L196),2)-S173)</f>
        <v/>
      </c>
      <c r="S173" s="75" t="str">
        <f>IF($A173="","",CHOOSE('Calc riepilogo'!$B$2,'Calc valanga'!AX196,'Calc palla di neve'!AX196,'Calc personalizzata'!AX196))</f>
        <v/>
      </c>
      <c r="T173" s="70" t="str">
        <f>IF($A173="","",ROUND(N(U172)*(1+'Calc base'!M196),2)-U173)</f>
        <v/>
      </c>
      <c r="U173" s="75" t="str">
        <f>IF($A173="","",CHOOSE('Calc riepilogo'!$B$2,'Calc valanga'!AY196,'Calc palla di neve'!AY196,'Calc personalizzata'!AY196))</f>
        <v/>
      </c>
      <c r="V173" s="70" t="str">
        <f>IF($A173="","",ROUND(N(W172)*(1+'Calc base'!N196),2)-W173)</f>
        <v/>
      </c>
      <c r="W173" s="75" t="str">
        <f>IF($A173="","",CHOOSE('Calc riepilogo'!$B$2,'Calc valanga'!AZ196,'Calc palla di neve'!AZ196,'Calc personalizzata'!AZ196))</f>
        <v/>
      </c>
      <c r="X173" s="70" t="str">
        <f>IF($A173="","",ROUND(N(Y172)*(1+'Calc base'!O196),2)-Y173)</f>
        <v/>
      </c>
      <c r="Y173" s="75" t="str">
        <f>IF($A173="","",CHOOSE('Calc riepilogo'!$B$2,'Calc valanga'!BA196,'Calc palla di neve'!BA196,'Calc personalizzata'!BA196))</f>
        <v/>
      </c>
      <c r="Z173" s="70" t="str">
        <f>IF($A173="","",ROUND(N(AA172)*(1+'Calc base'!P196),2)-AA173)</f>
        <v/>
      </c>
      <c r="AA173" s="75" t="str">
        <f>IF($A173="","",CHOOSE('Calc riepilogo'!$B$2,'Calc valanga'!BB196,'Calc palla di neve'!BB196,'Calc personalizzata'!BB196))</f>
        <v/>
      </c>
      <c r="AB173" s="70" t="str">
        <f>IF($A173="","",ROUND(N(AC172)*(1+'Calc base'!Q196),2)-AC173)</f>
        <v/>
      </c>
      <c r="AC173" s="75" t="str">
        <f>IF($A173="","",CHOOSE('Calc riepilogo'!$B$2,'Calc valanga'!BC196,'Calc palla di neve'!BC196,'Calc personalizzata'!BC196))</f>
        <v/>
      </c>
      <c r="AD173" s="70" t="str">
        <f>IF($A173="","",ROUND(N(AE172)*(1+'Calc base'!R196),2)-AE173)</f>
        <v/>
      </c>
      <c r="AE173" s="75" t="str">
        <f>IF($A173="","",CHOOSE('Calc riepilogo'!$B$2,'Calc valanga'!BD196,'Calc palla di neve'!BD196,'Calc personalizzata'!BD196))</f>
        <v/>
      </c>
      <c r="AF173" s="70" t="str">
        <f>IF($A173="","",ROUND(N(AG172)*(1+'Calc base'!S196),2)-AG173)</f>
        <v/>
      </c>
      <c r="AG173" s="75" t="str">
        <f>IF($A173="","",CHOOSE('Calc riepilogo'!$B$2,'Calc valanga'!BE196,'Calc palla di neve'!BE196,'Calc personalizzata'!BE196))</f>
        <v/>
      </c>
      <c r="AI173" t="n">
        <v>166</v>
      </c>
    </row>
    <row r="174">
      <c r="A174" s="68" t="str">
        <f>IF(167&gt;'Calc riepilogo'!$B$7,"",'Calc base'!$B197)</f>
        <v/>
      </c>
      <c r="B174" s="69" t="str">
        <f>IF($A174="","",'Calc base'!$C197)</f>
        <v/>
      </c>
      <c r="C174" s="69" t="str">
        <f>IF($A174="","",'Calc base'!$E197)</f>
        <v/>
      </c>
      <c r="D174" s="70" t="str">
        <f>IF($A174="","",J174+L174+N174+P174+R174+T174+V174+X174+Z174+AB174+AD174+AF174)</f>
        <v/>
      </c>
      <c r="E174" s="70" t="str">
        <f>IF($A174="","",CHOOSE('Calc riepilogo'!$B$2,'Calc valanga'!$H197,'Calc palla di neve'!$H197,'Calc personalizzata'!$H197))</f>
        <v/>
      </c>
      <c r="F174" s="71" t="str">
        <f>IF($A174="","",CHOOSE('Calc riepilogo'!$B$2,'Calc valanga'!$G197,'Calc palla di neve'!$G197,'Calc personalizzata'!$G197))</f>
        <v/>
      </c>
      <c r="G174" s="72" t="n"/>
      <c r="H174" s="73" t="n"/>
      <c r="I174" s="74" t="str">
        <f>IF($A174="","",TRIM(IF(AND(N(K173)&gt;0,N(K174)&lt;=0.004),"✓ "&amp;'Calc base'!C$6&amp;"   ","")&amp;IF(AND(N(M173)&gt;0,N(M174)&lt;=0.004),"✓ "&amp;'Calc base'!D$6&amp;"   ","")&amp;IF(AND(N(O173)&gt;0,N(O174)&lt;=0.004),"✓ "&amp;'Calc base'!E$6&amp;"   ","")&amp;IF(AND(N(Q173)&gt;0,N(Q174)&lt;=0.004),"✓ "&amp;'Calc base'!F$6&amp;"   ","")&amp;IF(AND(N(S173)&gt;0,N(S174)&lt;=0.004),"✓ "&amp;'Calc base'!G$6&amp;"   ","")&amp;IF(AND(N(U173)&gt;0,N(U174)&lt;=0.004),"✓ "&amp;'Calc base'!H$6&amp;"   ","")&amp;IF(AND(N(W173)&gt;0,N(W174)&lt;=0.004),"✓ "&amp;'Calc base'!I$6&amp;"   ","")&amp;IF(AND(N(Y173)&gt;0,N(Y174)&lt;=0.004),"✓ "&amp;'Calc base'!J$6&amp;"   ","")&amp;IF(AND(N(AA173)&gt;0,N(AA174)&lt;=0.004),"✓ "&amp;'Calc base'!K$6&amp;"   ","")&amp;IF(AND(N(AC173)&gt;0,N(AC174)&lt;=0.004),"✓ "&amp;'Calc base'!L$6&amp;"   ","")&amp;IF(AND(N(AE173)&gt;0,N(AE174)&lt;=0.004),"✓ "&amp;'Calc base'!M$6&amp;"   ","")&amp;IF(AND(N(AG173)&gt;0,N(AG174)&lt;=0.004),"✓ "&amp;'Calc base'!N$6&amp;"   ","")))</f>
        <v/>
      </c>
      <c r="J174" s="70" t="str">
        <f>IF($A174="","",ROUND(N(K173)*(1+'Calc base'!H197),2)-K174)</f>
        <v/>
      </c>
      <c r="K174" s="75" t="str">
        <f>IF($A174="","",CHOOSE('Calc riepilogo'!$B$2,'Calc valanga'!AT197,'Calc palla di neve'!AT197,'Calc personalizzata'!AT197))</f>
        <v/>
      </c>
      <c r="L174" s="70" t="str">
        <f>IF($A174="","",ROUND(N(M173)*(1+'Calc base'!I197),2)-M174)</f>
        <v/>
      </c>
      <c r="M174" s="75" t="str">
        <f>IF($A174="","",CHOOSE('Calc riepilogo'!$B$2,'Calc valanga'!AU197,'Calc palla di neve'!AU197,'Calc personalizzata'!AU197))</f>
        <v/>
      </c>
      <c r="N174" s="70" t="str">
        <f>IF($A174="","",ROUND(N(O173)*(1+'Calc base'!J197),2)-O174)</f>
        <v/>
      </c>
      <c r="O174" s="75" t="str">
        <f>IF($A174="","",CHOOSE('Calc riepilogo'!$B$2,'Calc valanga'!AV197,'Calc palla di neve'!AV197,'Calc personalizzata'!AV197))</f>
        <v/>
      </c>
      <c r="P174" s="70" t="str">
        <f>IF($A174="","",ROUND(N(Q173)*(1+'Calc base'!K197),2)-Q174)</f>
        <v/>
      </c>
      <c r="Q174" s="75" t="str">
        <f>IF($A174="","",CHOOSE('Calc riepilogo'!$B$2,'Calc valanga'!AW197,'Calc palla di neve'!AW197,'Calc personalizzata'!AW197))</f>
        <v/>
      </c>
      <c r="R174" s="70" t="str">
        <f>IF($A174="","",ROUND(N(S173)*(1+'Calc base'!L197),2)-S174)</f>
        <v/>
      </c>
      <c r="S174" s="75" t="str">
        <f>IF($A174="","",CHOOSE('Calc riepilogo'!$B$2,'Calc valanga'!AX197,'Calc palla di neve'!AX197,'Calc personalizzata'!AX197))</f>
        <v/>
      </c>
      <c r="T174" s="70" t="str">
        <f>IF($A174="","",ROUND(N(U173)*(1+'Calc base'!M197),2)-U174)</f>
        <v/>
      </c>
      <c r="U174" s="75" t="str">
        <f>IF($A174="","",CHOOSE('Calc riepilogo'!$B$2,'Calc valanga'!AY197,'Calc palla di neve'!AY197,'Calc personalizzata'!AY197))</f>
        <v/>
      </c>
      <c r="V174" s="70" t="str">
        <f>IF($A174="","",ROUND(N(W173)*(1+'Calc base'!N197),2)-W174)</f>
        <v/>
      </c>
      <c r="W174" s="75" t="str">
        <f>IF($A174="","",CHOOSE('Calc riepilogo'!$B$2,'Calc valanga'!AZ197,'Calc palla di neve'!AZ197,'Calc personalizzata'!AZ197))</f>
        <v/>
      </c>
      <c r="X174" s="70" t="str">
        <f>IF($A174="","",ROUND(N(Y173)*(1+'Calc base'!O197),2)-Y174)</f>
        <v/>
      </c>
      <c r="Y174" s="75" t="str">
        <f>IF($A174="","",CHOOSE('Calc riepilogo'!$B$2,'Calc valanga'!BA197,'Calc palla di neve'!BA197,'Calc personalizzata'!BA197))</f>
        <v/>
      </c>
      <c r="Z174" s="70" t="str">
        <f>IF($A174="","",ROUND(N(AA173)*(1+'Calc base'!P197),2)-AA174)</f>
        <v/>
      </c>
      <c r="AA174" s="75" t="str">
        <f>IF($A174="","",CHOOSE('Calc riepilogo'!$B$2,'Calc valanga'!BB197,'Calc palla di neve'!BB197,'Calc personalizzata'!BB197))</f>
        <v/>
      </c>
      <c r="AB174" s="70" t="str">
        <f>IF($A174="","",ROUND(N(AC173)*(1+'Calc base'!Q197),2)-AC174)</f>
        <v/>
      </c>
      <c r="AC174" s="75" t="str">
        <f>IF($A174="","",CHOOSE('Calc riepilogo'!$B$2,'Calc valanga'!BC197,'Calc palla di neve'!BC197,'Calc personalizzata'!BC197))</f>
        <v/>
      </c>
      <c r="AD174" s="70" t="str">
        <f>IF($A174="","",ROUND(N(AE173)*(1+'Calc base'!R197),2)-AE174)</f>
        <v/>
      </c>
      <c r="AE174" s="75" t="str">
        <f>IF($A174="","",CHOOSE('Calc riepilogo'!$B$2,'Calc valanga'!BD197,'Calc palla di neve'!BD197,'Calc personalizzata'!BD197))</f>
        <v/>
      </c>
      <c r="AF174" s="70" t="str">
        <f>IF($A174="","",ROUND(N(AG173)*(1+'Calc base'!S197),2)-AG174)</f>
        <v/>
      </c>
      <c r="AG174" s="75" t="str">
        <f>IF($A174="","",CHOOSE('Calc riepilogo'!$B$2,'Calc valanga'!BE197,'Calc palla di neve'!BE197,'Calc personalizzata'!BE197))</f>
        <v/>
      </c>
      <c r="AI174" t="n">
        <v>167</v>
      </c>
    </row>
    <row r="175">
      <c r="A175" s="68" t="str">
        <f>IF(168&gt;'Calc riepilogo'!$B$7,"",'Calc base'!$B198)</f>
        <v/>
      </c>
      <c r="B175" s="69" t="str">
        <f>IF($A175="","",'Calc base'!$C198)</f>
        <v/>
      </c>
      <c r="C175" s="69" t="str">
        <f>IF($A175="","",'Calc base'!$E198)</f>
        <v/>
      </c>
      <c r="D175" s="70" t="str">
        <f>IF($A175="","",J175+L175+N175+P175+R175+T175+V175+X175+Z175+AB175+AD175+AF175)</f>
        <v/>
      </c>
      <c r="E175" s="70" t="str">
        <f>IF($A175="","",CHOOSE('Calc riepilogo'!$B$2,'Calc valanga'!$H198,'Calc palla di neve'!$H198,'Calc personalizzata'!$H198))</f>
        <v/>
      </c>
      <c r="F175" s="71" t="str">
        <f>IF($A175="","",CHOOSE('Calc riepilogo'!$B$2,'Calc valanga'!$G198,'Calc palla di neve'!$G198,'Calc personalizzata'!$G198))</f>
        <v/>
      </c>
      <c r="G175" s="72" t="n"/>
      <c r="H175" s="73" t="n"/>
      <c r="I175" s="74" t="str">
        <f>IF($A175="","",TRIM(IF(AND(N(K174)&gt;0,N(K175)&lt;=0.004),"✓ "&amp;'Calc base'!C$6&amp;"   ","")&amp;IF(AND(N(M174)&gt;0,N(M175)&lt;=0.004),"✓ "&amp;'Calc base'!D$6&amp;"   ","")&amp;IF(AND(N(O174)&gt;0,N(O175)&lt;=0.004),"✓ "&amp;'Calc base'!E$6&amp;"   ","")&amp;IF(AND(N(Q174)&gt;0,N(Q175)&lt;=0.004),"✓ "&amp;'Calc base'!F$6&amp;"   ","")&amp;IF(AND(N(S174)&gt;0,N(S175)&lt;=0.004),"✓ "&amp;'Calc base'!G$6&amp;"   ","")&amp;IF(AND(N(U174)&gt;0,N(U175)&lt;=0.004),"✓ "&amp;'Calc base'!H$6&amp;"   ","")&amp;IF(AND(N(W174)&gt;0,N(W175)&lt;=0.004),"✓ "&amp;'Calc base'!I$6&amp;"   ","")&amp;IF(AND(N(Y174)&gt;0,N(Y175)&lt;=0.004),"✓ "&amp;'Calc base'!J$6&amp;"   ","")&amp;IF(AND(N(AA174)&gt;0,N(AA175)&lt;=0.004),"✓ "&amp;'Calc base'!K$6&amp;"   ","")&amp;IF(AND(N(AC174)&gt;0,N(AC175)&lt;=0.004),"✓ "&amp;'Calc base'!L$6&amp;"   ","")&amp;IF(AND(N(AE174)&gt;0,N(AE175)&lt;=0.004),"✓ "&amp;'Calc base'!M$6&amp;"   ","")&amp;IF(AND(N(AG174)&gt;0,N(AG175)&lt;=0.004),"✓ "&amp;'Calc base'!N$6&amp;"   ","")))</f>
        <v/>
      </c>
      <c r="J175" s="70" t="str">
        <f>IF($A175="","",ROUND(N(K174)*(1+'Calc base'!H198),2)-K175)</f>
        <v/>
      </c>
      <c r="K175" s="75" t="str">
        <f>IF($A175="","",CHOOSE('Calc riepilogo'!$B$2,'Calc valanga'!AT198,'Calc palla di neve'!AT198,'Calc personalizzata'!AT198))</f>
        <v/>
      </c>
      <c r="L175" s="70" t="str">
        <f>IF($A175="","",ROUND(N(M174)*(1+'Calc base'!I198),2)-M175)</f>
        <v/>
      </c>
      <c r="M175" s="75" t="str">
        <f>IF($A175="","",CHOOSE('Calc riepilogo'!$B$2,'Calc valanga'!AU198,'Calc palla di neve'!AU198,'Calc personalizzata'!AU198))</f>
        <v/>
      </c>
      <c r="N175" s="70" t="str">
        <f>IF($A175="","",ROUND(N(O174)*(1+'Calc base'!J198),2)-O175)</f>
        <v/>
      </c>
      <c r="O175" s="75" t="str">
        <f>IF($A175="","",CHOOSE('Calc riepilogo'!$B$2,'Calc valanga'!AV198,'Calc palla di neve'!AV198,'Calc personalizzata'!AV198))</f>
        <v/>
      </c>
      <c r="P175" s="70" t="str">
        <f>IF($A175="","",ROUND(N(Q174)*(1+'Calc base'!K198),2)-Q175)</f>
        <v/>
      </c>
      <c r="Q175" s="75" t="str">
        <f>IF($A175="","",CHOOSE('Calc riepilogo'!$B$2,'Calc valanga'!AW198,'Calc palla di neve'!AW198,'Calc personalizzata'!AW198))</f>
        <v/>
      </c>
      <c r="R175" s="70" t="str">
        <f>IF($A175="","",ROUND(N(S174)*(1+'Calc base'!L198),2)-S175)</f>
        <v/>
      </c>
      <c r="S175" s="75" t="str">
        <f>IF($A175="","",CHOOSE('Calc riepilogo'!$B$2,'Calc valanga'!AX198,'Calc palla di neve'!AX198,'Calc personalizzata'!AX198))</f>
        <v/>
      </c>
      <c r="T175" s="70" t="str">
        <f>IF($A175="","",ROUND(N(U174)*(1+'Calc base'!M198),2)-U175)</f>
        <v/>
      </c>
      <c r="U175" s="75" t="str">
        <f>IF($A175="","",CHOOSE('Calc riepilogo'!$B$2,'Calc valanga'!AY198,'Calc palla di neve'!AY198,'Calc personalizzata'!AY198))</f>
        <v/>
      </c>
      <c r="V175" s="70" t="str">
        <f>IF($A175="","",ROUND(N(W174)*(1+'Calc base'!N198),2)-W175)</f>
        <v/>
      </c>
      <c r="W175" s="75" t="str">
        <f>IF($A175="","",CHOOSE('Calc riepilogo'!$B$2,'Calc valanga'!AZ198,'Calc palla di neve'!AZ198,'Calc personalizzata'!AZ198))</f>
        <v/>
      </c>
      <c r="X175" s="70" t="str">
        <f>IF($A175="","",ROUND(N(Y174)*(1+'Calc base'!O198),2)-Y175)</f>
        <v/>
      </c>
      <c r="Y175" s="75" t="str">
        <f>IF($A175="","",CHOOSE('Calc riepilogo'!$B$2,'Calc valanga'!BA198,'Calc palla di neve'!BA198,'Calc personalizzata'!BA198))</f>
        <v/>
      </c>
      <c r="Z175" s="70" t="str">
        <f>IF($A175="","",ROUND(N(AA174)*(1+'Calc base'!P198),2)-AA175)</f>
        <v/>
      </c>
      <c r="AA175" s="75" t="str">
        <f>IF($A175="","",CHOOSE('Calc riepilogo'!$B$2,'Calc valanga'!BB198,'Calc palla di neve'!BB198,'Calc personalizzata'!BB198))</f>
        <v/>
      </c>
      <c r="AB175" s="70" t="str">
        <f>IF($A175="","",ROUND(N(AC174)*(1+'Calc base'!Q198),2)-AC175)</f>
        <v/>
      </c>
      <c r="AC175" s="75" t="str">
        <f>IF($A175="","",CHOOSE('Calc riepilogo'!$B$2,'Calc valanga'!BC198,'Calc palla di neve'!BC198,'Calc personalizzata'!BC198))</f>
        <v/>
      </c>
      <c r="AD175" s="70" t="str">
        <f>IF($A175="","",ROUND(N(AE174)*(1+'Calc base'!R198),2)-AE175)</f>
        <v/>
      </c>
      <c r="AE175" s="75" t="str">
        <f>IF($A175="","",CHOOSE('Calc riepilogo'!$B$2,'Calc valanga'!BD198,'Calc palla di neve'!BD198,'Calc personalizzata'!BD198))</f>
        <v/>
      </c>
      <c r="AF175" s="70" t="str">
        <f>IF($A175="","",ROUND(N(AG174)*(1+'Calc base'!S198),2)-AG175)</f>
        <v/>
      </c>
      <c r="AG175" s="75" t="str">
        <f>IF($A175="","",CHOOSE('Calc riepilogo'!$B$2,'Calc valanga'!BE198,'Calc palla di neve'!BE198,'Calc personalizzata'!BE198))</f>
        <v/>
      </c>
      <c r="AI175" t="n">
        <v>168</v>
      </c>
    </row>
    <row r="176">
      <c r="A176" s="68" t="str">
        <f>IF(169&gt;'Calc riepilogo'!$B$7,"",'Calc base'!$B199)</f>
        <v/>
      </c>
      <c r="B176" s="69" t="str">
        <f>IF($A176="","",'Calc base'!$C199)</f>
        <v/>
      </c>
      <c r="C176" s="69" t="str">
        <f>IF($A176="","",'Calc base'!$E199)</f>
        <v/>
      </c>
      <c r="D176" s="70" t="str">
        <f>IF($A176="","",J176+L176+N176+P176+R176+T176+V176+X176+Z176+AB176+AD176+AF176)</f>
        <v/>
      </c>
      <c r="E176" s="70" t="str">
        <f>IF($A176="","",CHOOSE('Calc riepilogo'!$B$2,'Calc valanga'!$H199,'Calc palla di neve'!$H199,'Calc personalizzata'!$H199))</f>
        <v/>
      </c>
      <c r="F176" s="71" t="str">
        <f>IF($A176="","",CHOOSE('Calc riepilogo'!$B$2,'Calc valanga'!$G199,'Calc palla di neve'!$G199,'Calc personalizzata'!$G199))</f>
        <v/>
      </c>
      <c r="G176" s="72" t="n"/>
      <c r="H176" s="73" t="n"/>
      <c r="I176" s="74" t="str">
        <f>IF($A176="","",TRIM(IF(AND(N(K175)&gt;0,N(K176)&lt;=0.004),"✓ "&amp;'Calc base'!C$6&amp;"   ","")&amp;IF(AND(N(M175)&gt;0,N(M176)&lt;=0.004),"✓ "&amp;'Calc base'!D$6&amp;"   ","")&amp;IF(AND(N(O175)&gt;0,N(O176)&lt;=0.004),"✓ "&amp;'Calc base'!E$6&amp;"   ","")&amp;IF(AND(N(Q175)&gt;0,N(Q176)&lt;=0.004),"✓ "&amp;'Calc base'!F$6&amp;"   ","")&amp;IF(AND(N(S175)&gt;0,N(S176)&lt;=0.004),"✓ "&amp;'Calc base'!G$6&amp;"   ","")&amp;IF(AND(N(U175)&gt;0,N(U176)&lt;=0.004),"✓ "&amp;'Calc base'!H$6&amp;"   ","")&amp;IF(AND(N(W175)&gt;0,N(W176)&lt;=0.004),"✓ "&amp;'Calc base'!I$6&amp;"   ","")&amp;IF(AND(N(Y175)&gt;0,N(Y176)&lt;=0.004),"✓ "&amp;'Calc base'!J$6&amp;"   ","")&amp;IF(AND(N(AA175)&gt;0,N(AA176)&lt;=0.004),"✓ "&amp;'Calc base'!K$6&amp;"   ","")&amp;IF(AND(N(AC175)&gt;0,N(AC176)&lt;=0.004),"✓ "&amp;'Calc base'!L$6&amp;"   ","")&amp;IF(AND(N(AE175)&gt;0,N(AE176)&lt;=0.004),"✓ "&amp;'Calc base'!M$6&amp;"   ","")&amp;IF(AND(N(AG175)&gt;0,N(AG176)&lt;=0.004),"✓ "&amp;'Calc base'!N$6&amp;"   ","")))</f>
        <v/>
      </c>
      <c r="J176" s="70" t="str">
        <f>IF($A176="","",ROUND(N(K175)*(1+'Calc base'!H199),2)-K176)</f>
        <v/>
      </c>
      <c r="K176" s="75" t="str">
        <f>IF($A176="","",CHOOSE('Calc riepilogo'!$B$2,'Calc valanga'!AT199,'Calc palla di neve'!AT199,'Calc personalizzata'!AT199))</f>
        <v/>
      </c>
      <c r="L176" s="70" t="str">
        <f>IF($A176="","",ROUND(N(M175)*(1+'Calc base'!I199),2)-M176)</f>
        <v/>
      </c>
      <c r="M176" s="75" t="str">
        <f>IF($A176="","",CHOOSE('Calc riepilogo'!$B$2,'Calc valanga'!AU199,'Calc palla di neve'!AU199,'Calc personalizzata'!AU199))</f>
        <v/>
      </c>
      <c r="N176" s="70" t="str">
        <f>IF($A176="","",ROUND(N(O175)*(1+'Calc base'!J199),2)-O176)</f>
        <v/>
      </c>
      <c r="O176" s="75" t="str">
        <f>IF($A176="","",CHOOSE('Calc riepilogo'!$B$2,'Calc valanga'!AV199,'Calc palla di neve'!AV199,'Calc personalizzata'!AV199))</f>
        <v/>
      </c>
      <c r="P176" s="70" t="str">
        <f>IF($A176="","",ROUND(N(Q175)*(1+'Calc base'!K199),2)-Q176)</f>
        <v/>
      </c>
      <c r="Q176" s="75" t="str">
        <f>IF($A176="","",CHOOSE('Calc riepilogo'!$B$2,'Calc valanga'!AW199,'Calc palla di neve'!AW199,'Calc personalizzata'!AW199))</f>
        <v/>
      </c>
      <c r="R176" s="70" t="str">
        <f>IF($A176="","",ROUND(N(S175)*(1+'Calc base'!L199),2)-S176)</f>
        <v/>
      </c>
      <c r="S176" s="75" t="str">
        <f>IF($A176="","",CHOOSE('Calc riepilogo'!$B$2,'Calc valanga'!AX199,'Calc palla di neve'!AX199,'Calc personalizzata'!AX199))</f>
        <v/>
      </c>
      <c r="T176" s="70" t="str">
        <f>IF($A176="","",ROUND(N(U175)*(1+'Calc base'!M199),2)-U176)</f>
        <v/>
      </c>
      <c r="U176" s="75" t="str">
        <f>IF($A176="","",CHOOSE('Calc riepilogo'!$B$2,'Calc valanga'!AY199,'Calc palla di neve'!AY199,'Calc personalizzata'!AY199))</f>
        <v/>
      </c>
      <c r="V176" s="70" t="str">
        <f>IF($A176="","",ROUND(N(W175)*(1+'Calc base'!N199),2)-W176)</f>
        <v/>
      </c>
      <c r="W176" s="75" t="str">
        <f>IF($A176="","",CHOOSE('Calc riepilogo'!$B$2,'Calc valanga'!AZ199,'Calc palla di neve'!AZ199,'Calc personalizzata'!AZ199))</f>
        <v/>
      </c>
      <c r="X176" s="70" t="str">
        <f>IF($A176="","",ROUND(N(Y175)*(1+'Calc base'!O199),2)-Y176)</f>
        <v/>
      </c>
      <c r="Y176" s="75" t="str">
        <f>IF($A176="","",CHOOSE('Calc riepilogo'!$B$2,'Calc valanga'!BA199,'Calc palla di neve'!BA199,'Calc personalizzata'!BA199))</f>
        <v/>
      </c>
      <c r="Z176" s="70" t="str">
        <f>IF($A176="","",ROUND(N(AA175)*(1+'Calc base'!P199),2)-AA176)</f>
        <v/>
      </c>
      <c r="AA176" s="75" t="str">
        <f>IF($A176="","",CHOOSE('Calc riepilogo'!$B$2,'Calc valanga'!BB199,'Calc palla di neve'!BB199,'Calc personalizzata'!BB199))</f>
        <v/>
      </c>
      <c r="AB176" s="70" t="str">
        <f>IF($A176="","",ROUND(N(AC175)*(1+'Calc base'!Q199),2)-AC176)</f>
        <v/>
      </c>
      <c r="AC176" s="75" t="str">
        <f>IF($A176="","",CHOOSE('Calc riepilogo'!$B$2,'Calc valanga'!BC199,'Calc palla di neve'!BC199,'Calc personalizzata'!BC199))</f>
        <v/>
      </c>
      <c r="AD176" s="70" t="str">
        <f>IF($A176="","",ROUND(N(AE175)*(1+'Calc base'!R199),2)-AE176)</f>
        <v/>
      </c>
      <c r="AE176" s="75" t="str">
        <f>IF($A176="","",CHOOSE('Calc riepilogo'!$B$2,'Calc valanga'!BD199,'Calc palla di neve'!BD199,'Calc personalizzata'!BD199))</f>
        <v/>
      </c>
      <c r="AF176" s="70" t="str">
        <f>IF($A176="","",ROUND(N(AG175)*(1+'Calc base'!S199),2)-AG176)</f>
        <v/>
      </c>
      <c r="AG176" s="75" t="str">
        <f>IF($A176="","",CHOOSE('Calc riepilogo'!$B$2,'Calc valanga'!BE199,'Calc palla di neve'!BE199,'Calc personalizzata'!BE199))</f>
        <v/>
      </c>
      <c r="AI176" t="n">
        <v>169</v>
      </c>
    </row>
    <row r="177">
      <c r="A177" s="68" t="str">
        <f>IF(170&gt;'Calc riepilogo'!$B$7,"",'Calc base'!$B200)</f>
        <v/>
      </c>
      <c r="B177" s="69" t="str">
        <f>IF($A177="","",'Calc base'!$C200)</f>
        <v/>
      </c>
      <c r="C177" s="69" t="str">
        <f>IF($A177="","",'Calc base'!$E200)</f>
        <v/>
      </c>
      <c r="D177" s="70" t="str">
        <f>IF($A177="","",J177+L177+N177+P177+R177+T177+V177+X177+Z177+AB177+AD177+AF177)</f>
        <v/>
      </c>
      <c r="E177" s="70" t="str">
        <f>IF($A177="","",CHOOSE('Calc riepilogo'!$B$2,'Calc valanga'!$H200,'Calc palla di neve'!$H200,'Calc personalizzata'!$H200))</f>
        <v/>
      </c>
      <c r="F177" s="71" t="str">
        <f>IF($A177="","",CHOOSE('Calc riepilogo'!$B$2,'Calc valanga'!$G200,'Calc palla di neve'!$G200,'Calc personalizzata'!$G200))</f>
        <v/>
      </c>
      <c r="G177" s="72" t="n"/>
      <c r="H177" s="73" t="n"/>
      <c r="I177" s="74" t="str">
        <f>IF($A177="","",TRIM(IF(AND(N(K176)&gt;0,N(K177)&lt;=0.004),"✓ "&amp;'Calc base'!C$6&amp;"   ","")&amp;IF(AND(N(M176)&gt;0,N(M177)&lt;=0.004),"✓ "&amp;'Calc base'!D$6&amp;"   ","")&amp;IF(AND(N(O176)&gt;0,N(O177)&lt;=0.004),"✓ "&amp;'Calc base'!E$6&amp;"   ","")&amp;IF(AND(N(Q176)&gt;0,N(Q177)&lt;=0.004),"✓ "&amp;'Calc base'!F$6&amp;"   ","")&amp;IF(AND(N(S176)&gt;0,N(S177)&lt;=0.004),"✓ "&amp;'Calc base'!G$6&amp;"   ","")&amp;IF(AND(N(U176)&gt;0,N(U177)&lt;=0.004),"✓ "&amp;'Calc base'!H$6&amp;"   ","")&amp;IF(AND(N(W176)&gt;0,N(W177)&lt;=0.004),"✓ "&amp;'Calc base'!I$6&amp;"   ","")&amp;IF(AND(N(Y176)&gt;0,N(Y177)&lt;=0.004),"✓ "&amp;'Calc base'!J$6&amp;"   ","")&amp;IF(AND(N(AA176)&gt;0,N(AA177)&lt;=0.004),"✓ "&amp;'Calc base'!K$6&amp;"   ","")&amp;IF(AND(N(AC176)&gt;0,N(AC177)&lt;=0.004),"✓ "&amp;'Calc base'!L$6&amp;"   ","")&amp;IF(AND(N(AE176)&gt;0,N(AE177)&lt;=0.004),"✓ "&amp;'Calc base'!M$6&amp;"   ","")&amp;IF(AND(N(AG176)&gt;0,N(AG177)&lt;=0.004),"✓ "&amp;'Calc base'!N$6&amp;"   ","")))</f>
        <v/>
      </c>
      <c r="J177" s="70" t="str">
        <f>IF($A177="","",ROUND(N(K176)*(1+'Calc base'!H200),2)-K177)</f>
        <v/>
      </c>
      <c r="K177" s="75" t="str">
        <f>IF($A177="","",CHOOSE('Calc riepilogo'!$B$2,'Calc valanga'!AT200,'Calc palla di neve'!AT200,'Calc personalizzata'!AT200))</f>
        <v/>
      </c>
      <c r="L177" s="70" t="str">
        <f>IF($A177="","",ROUND(N(M176)*(1+'Calc base'!I200),2)-M177)</f>
        <v/>
      </c>
      <c r="M177" s="75" t="str">
        <f>IF($A177="","",CHOOSE('Calc riepilogo'!$B$2,'Calc valanga'!AU200,'Calc palla di neve'!AU200,'Calc personalizzata'!AU200))</f>
        <v/>
      </c>
      <c r="N177" s="70" t="str">
        <f>IF($A177="","",ROUND(N(O176)*(1+'Calc base'!J200),2)-O177)</f>
        <v/>
      </c>
      <c r="O177" s="75" t="str">
        <f>IF($A177="","",CHOOSE('Calc riepilogo'!$B$2,'Calc valanga'!AV200,'Calc palla di neve'!AV200,'Calc personalizzata'!AV200))</f>
        <v/>
      </c>
      <c r="P177" s="70" t="str">
        <f>IF($A177="","",ROUND(N(Q176)*(1+'Calc base'!K200),2)-Q177)</f>
        <v/>
      </c>
      <c r="Q177" s="75" t="str">
        <f>IF($A177="","",CHOOSE('Calc riepilogo'!$B$2,'Calc valanga'!AW200,'Calc palla di neve'!AW200,'Calc personalizzata'!AW200))</f>
        <v/>
      </c>
      <c r="R177" s="70" t="str">
        <f>IF($A177="","",ROUND(N(S176)*(1+'Calc base'!L200),2)-S177)</f>
        <v/>
      </c>
      <c r="S177" s="75" t="str">
        <f>IF($A177="","",CHOOSE('Calc riepilogo'!$B$2,'Calc valanga'!AX200,'Calc palla di neve'!AX200,'Calc personalizzata'!AX200))</f>
        <v/>
      </c>
      <c r="T177" s="70" t="str">
        <f>IF($A177="","",ROUND(N(U176)*(1+'Calc base'!M200),2)-U177)</f>
        <v/>
      </c>
      <c r="U177" s="75" t="str">
        <f>IF($A177="","",CHOOSE('Calc riepilogo'!$B$2,'Calc valanga'!AY200,'Calc palla di neve'!AY200,'Calc personalizzata'!AY200))</f>
        <v/>
      </c>
      <c r="V177" s="70" t="str">
        <f>IF($A177="","",ROUND(N(W176)*(1+'Calc base'!N200),2)-W177)</f>
        <v/>
      </c>
      <c r="W177" s="75" t="str">
        <f>IF($A177="","",CHOOSE('Calc riepilogo'!$B$2,'Calc valanga'!AZ200,'Calc palla di neve'!AZ200,'Calc personalizzata'!AZ200))</f>
        <v/>
      </c>
      <c r="X177" s="70" t="str">
        <f>IF($A177="","",ROUND(N(Y176)*(1+'Calc base'!O200),2)-Y177)</f>
        <v/>
      </c>
      <c r="Y177" s="75" t="str">
        <f>IF($A177="","",CHOOSE('Calc riepilogo'!$B$2,'Calc valanga'!BA200,'Calc palla di neve'!BA200,'Calc personalizzata'!BA200))</f>
        <v/>
      </c>
      <c r="Z177" s="70" t="str">
        <f>IF($A177="","",ROUND(N(AA176)*(1+'Calc base'!P200),2)-AA177)</f>
        <v/>
      </c>
      <c r="AA177" s="75" t="str">
        <f>IF($A177="","",CHOOSE('Calc riepilogo'!$B$2,'Calc valanga'!BB200,'Calc palla di neve'!BB200,'Calc personalizzata'!BB200))</f>
        <v/>
      </c>
      <c r="AB177" s="70" t="str">
        <f>IF($A177="","",ROUND(N(AC176)*(1+'Calc base'!Q200),2)-AC177)</f>
        <v/>
      </c>
      <c r="AC177" s="75" t="str">
        <f>IF($A177="","",CHOOSE('Calc riepilogo'!$B$2,'Calc valanga'!BC200,'Calc palla di neve'!BC200,'Calc personalizzata'!BC200))</f>
        <v/>
      </c>
      <c r="AD177" s="70" t="str">
        <f>IF($A177="","",ROUND(N(AE176)*(1+'Calc base'!R200),2)-AE177)</f>
        <v/>
      </c>
      <c r="AE177" s="75" t="str">
        <f>IF($A177="","",CHOOSE('Calc riepilogo'!$B$2,'Calc valanga'!BD200,'Calc palla di neve'!BD200,'Calc personalizzata'!BD200))</f>
        <v/>
      </c>
      <c r="AF177" s="70" t="str">
        <f>IF($A177="","",ROUND(N(AG176)*(1+'Calc base'!S200),2)-AG177)</f>
        <v/>
      </c>
      <c r="AG177" s="75" t="str">
        <f>IF($A177="","",CHOOSE('Calc riepilogo'!$B$2,'Calc valanga'!BE200,'Calc palla di neve'!BE200,'Calc personalizzata'!BE200))</f>
        <v/>
      </c>
      <c r="AI177" t="n">
        <v>170</v>
      </c>
    </row>
    <row r="178">
      <c r="A178" s="68" t="str">
        <f>IF(171&gt;'Calc riepilogo'!$B$7,"",'Calc base'!$B201)</f>
        <v/>
      </c>
      <c r="B178" s="69" t="str">
        <f>IF($A178="","",'Calc base'!$C201)</f>
        <v/>
      </c>
      <c r="C178" s="69" t="str">
        <f>IF($A178="","",'Calc base'!$E201)</f>
        <v/>
      </c>
      <c r="D178" s="70" t="str">
        <f>IF($A178="","",J178+L178+N178+P178+R178+T178+V178+X178+Z178+AB178+AD178+AF178)</f>
        <v/>
      </c>
      <c r="E178" s="70" t="str">
        <f>IF($A178="","",CHOOSE('Calc riepilogo'!$B$2,'Calc valanga'!$H201,'Calc palla di neve'!$H201,'Calc personalizzata'!$H201))</f>
        <v/>
      </c>
      <c r="F178" s="71" t="str">
        <f>IF($A178="","",CHOOSE('Calc riepilogo'!$B$2,'Calc valanga'!$G201,'Calc palla di neve'!$G201,'Calc personalizzata'!$G201))</f>
        <v/>
      </c>
      <c r="G178" s="72" t="n"/>
      <c r="H178" s="73" t="n"/>
      <c r="I178" s="74" t="str">
        <f>IF($A178="","",TRIM(IF(AND(N(K177)&gt;0,N(K178)&lt;=0.004),"✓ "&amp;'Calc base'!C$6&amp;"   ","")&amp;IF(AND(N(M177)&gt;0,N(M178)&lt;=0.004),"✓ "&amp;'Calc base'!D$6&amp;"   ","")&amp;IF(AND(N(O177)&gt;0,N(O178)&lt;=0.004),"✓ "&amp;'Calc base'!E$6&amp;"   ","")&amp;IF(AND(N(Q177)&gt;0,N(Q178)&lt;=0.004),"✓ "&amp;'Calc base'!F$6&amp;"   ","")&amp;IF(AND(N(S177)&gt;0,N(S178)&lt;=0.004),"✓ "&amp;'Calc base'!G$6&amp;"   ","")&amp;IF(AND(N(U177)&gt;0,N(U178)&lt;=0.004),"✓ "&amp;'Calc base'!H$6&amp;"   ","")&amp;IF(AND(N(W177)&gt;0,N(W178)&lt;=0.004),"✓ "&amp;'Calc base'!I$6&amp;"   ","")&amp;IF(AND(N(Y177)&gt;0,N(Y178)&lt;=0.004),"✓ "&amp;'Calc base'!J$6&amp;"   ","")&amp;IF(AND(N(AA177)&gt;0,N(AA178)&lt;=0.004),"✓ "&amp;'Calc base'!K$6&amp;"   ","")&amp;IF(AND(N(AC177)&gt;0,N(AC178)&lt;=0.004),"✓ "&amp;'Calc base'!L$6&amp;"   ","")&amp;IF(AND(N(AE177)&gt;0,N(AE178)&lt;=0.004),"✓ "&amp;'Calc base'!M$6&amp;"   ","")&amp;IF(AND(N(AG177)&gt;0,N(AG178)&lt;=0.004),"✓ "&amp;'Calc base'!N$6&amp;"   ","")))</f>
        <v/>
      </c>
      <c r="J178" s="70" t="str">
        <f>IF($A178="","",ROUND(N(K177)*(1+'Calc base'!H201),2)-K178)</f>
        <v/>
      </c>
      <c r="K178" s="75" t="str">
        <f>IF($A178="","",CHOOSE('Calc riepilogo'!$B$2,'Calc valanga'!AT201,'Calc palla di neve'!AT201,'Calc personalizzata'!AT201))</f>
        <v/>
      </c>
      <c r="L178" s="70" t="str">
        <f>IF($A178="","",ROUND(N(M177)*(1+'Calc base'!I201),2)-M178)</f>
        <v/>
      </c>
      <c r="M178" s="75" t="str">
        <f>IF($A178="","",CHOOSE('Calc riepilogo'!$B$2,'Calc valanga'!AU201,'Calc palla di neve'!AU201,'Calc personalizzata'!AU201))</f>
        <v/>
      </c>
      <c r="N178" s="70" t="str">
        <f>IF($A178="","",ROUND(N(O177)*(1+'Calc base'!J201),2)-O178)</f>
        <v/>
      </c>
      <c r="O178" s="75" t="str">
        <f>IF($A178="","",CHOOSE('Calc riepilogo'!$B$2,'Calc valanga'!AV201,'Calc palla di neve'!AV201,'Calc personalizzata'!AV201))</f>
        <v/>
      </c>
      <c r="P178" s="70" t="str">
        <f>IF($A178="","",ROUND(N(Q177)*(1+'Calc base'!K201),2)-Q178)</f>
        <v/>
      </c>
      <c r="Q178" s="75" t="str">
        <f>IF($A178="","",CHOOSE('Calc riepilogo'!$B$2,'Calc valanga'!AW201,'Calc palla di neve'!AW201,'Calc personalizzata'!AW201))</f>
        <v/>
      </c>
      <c r="R178" s="70" t="str">
        <f>IF($A178="","",ROUND(N(S177)*(1+'Calc base'!L201),2)-S178)</f>
        <v/>
      </c>
      <c r="S178" s="75" t="str">
        <f>IF($A178="","",CHOOSE('Calc riepilogo'!$B$2,'Calc valanga'!AX201,'Calc palla di neve'!AX201,'Calc personalizzata'!AX201))</f>
        <v/>
      </c>
      <c r="T178" s="70" t="str">
        <f>IF($A178="","",ROUND(N(U177)*(1+'Calc base'!M201),2)-U178)</f>
        <v/>
      </c>
      <c r="U178" s="75" t="str">
        <f>IF($A178="","",CHOOSE('Calc riepilogo'!$B$2,'Calc valanga'!AY201,'Calc palla di neve'!AY201,'Calc personalizzata'!AY201))</f>
        <v/>
      </c>
      <c r="V178" s="70" t="str">
        <f>IF($A178="","",ROUND(N(W177)*(1+'Calc base'!N201),2)-W178)</f>
        <v/>
      </c>
      <c r="W178" s="75" t="str">
        <f>IF($A178="","",CHOOSE('Calc riepilogo'!$B$2,'Calc valanga'!AZ201,'Calc palla di neve'!AZ201,'Calc personalizzata'!AZ201))</f>
        <v/>
      </c>
      <c r="X178" s="70" t="str">
        <f>IF($A178="","",ROUND(N(Y177)*(1+'Calc base'!O201),2)-Y178)</f>
        <v/>
      </c>
      <c r="Y178" s="75" t="str">
        <f>IF($A178="","",CHOOSE('Calc riepilogo'!$B$2,'Calc valanga'!BA201,'Calc palla di neve'!BA201,'Calc personalizzata'!BA201))</f>
        <v/>
      </c>
      <c r="Z178" s="70" t="str">
        <f>IF($A178="","",ROUND(N(AA177)*(1+'Calc base'!P201),2)-AA178)</f>
        <v/>
      </c>
      <c r="AA178" s="75" t="str">
        <f>IF($A178="","",CHOOSE('Calc riepilogo'!$B$2,'Calc valanga'!BB201,'Calc palla di neve'!BB201,'Calc personalizzata'!BB201))</f>
        <v/>
      </c>
      <c r="AB178" s="70" t="str">
        <f>IF($A178="","",ROUND(N(AC177)*(1+'Calc base'!Q201),2)-AC178)</f>
        <v/>
      </c>
      <c r="AC178" s="75" t="str">
        <f>IF($A178="","",CHOOSE('Calc riepilogo'!$B$2,'Calc valanga'!BC201,'Calc palla di neve'!BC201,'Calc personalizzata'!BC201))</f>
        <v/>
      </c>
      <c r="AD178" s="70" t="str">
        <f>IF($A178="","",ROUND(N(AE177)*(1+'Calc base'!R201),2)-AE178)</f>
        <v/>
      </c>
      <c r="AE178" s="75" t="str">
        <f>IF($A178="","",CHOOSE('Calc riepilogo'!$B$2,'Calc valanga'!BD201,'Calc palla di neve'!BD201,'Calc personalizzata'!BD201))</f>
        <v/>
      </c>
      <c r="AF178" s="70" t="str">
        <f>IF($A178="","",ROUND(N(AG177)*(1+'Calc base'!S201),2)-AG178)</f>
        <v/>
      </c>
      <c r="AG178" s="75" t="str">
        <f>IF($A178="","",CHOOSE('Calc riepilogo'!$B$2,'Calc valanga'!BE201,'Calc palla di neve'!BE201,'Calc personalizzata'!BE201))</f>
        <v/>
      </c>
      <c r="AI178" t="n">
        <v>171</v>
      </c>
    </row>
    <row r="179">
      <c r="A179" s="68" t="str">
        <f>IF(172&gt;'Calc riepilogo'!$B$7,"",'Calc base'!$B202)</f>
        <v/>
      </c>
      <c r="B179" s="69" t="str">
        <f>IF($A179="","",'Calc base'!$C202)</f>
        <v/>
      </c>
      <c r="C179" s="69" t="str">
        <f>IF($A179="","",'Calc base'!$E202)</f>
        <v/>
      </c>
      <c r="D179" s="70" t="str">
        <f>IF($A179="","",J179+L179+N179+P179+R179+T179+V179+X179+Z179+AB179+AD179+AF179)</f>
        <v/>
      </c>
      <c r="E179" s="70" t="str">
        <f>IF($A179="","",CHOOSE('Calc riepilogo'!$B$2,'Calc valanga'!$H202,'Calc palla di neve'!$H202,'Calc personalizzata'!$H202))</f>
        <v/>
      </c>
      <c r="F179" s="71" t="str">
        <f>IF($A179="","",CHOOSE('Calc riepilogo'!$B$2,'Calc valanga'!$G202,'Calc palla di neve'!$G202,'Calc personalizzata'!$G202))</f>
        <v/>
      </c>
      <c r="G179" s="72" t="n"/>
      <c r="H179" s="73" t="n"/>
      <c r="I179" s="74" t="str">
        <f>IF($A179="","",TRIM(IF(AND(N(K178)&gt;0,N(K179)&lt;=0.004),"✓ "&amp;'Calc base'!C$6&amp;"   ","")&amp;IF(AND(N(M178)&gt;0,N(M179)&lt;=0.004),"✓ "&amp;'Calc base'!D$6&amp;"   ","")&amp;IF(AND(N(O178)&gt;0,N(O179)&lt;=0.004),"✓ "&amp;'Calc base'!E$6&amp;"   ","")&amp;IF(AND(N(Q178)&gt;0,N(Q179)&lt;=0.004),"✓ "&amp;'Calc base'!F$6&amp;"   ","")&amp;IF(AND(N(S178)&gt;0,N(S179)&lt;=0.004),"✓ "&amp;'Calc base'!G$6&amp;"   ","")&amp;IF(AND(N(U178)&gt;0,N(U179)&lt;=0.004),"✓ "&amp;'Calc base'!H$6&amp;"   ","")&amp;IF(AND(N(W178)&gt;0,N(W179)&lt;=0.004),"✓ "&amp;'Calc base'!I$6&amp;"   ","")&amp;IF(AND(N(Y178)&gt;0,N(Y179)&lt;=0.004),"✓ "&amp;'Calc base'!J$6&amp;"   ","")&amp;IF(AND(N(AA178)&gt;0,N(AA179)&lt;=0.004),"✓ "&amp;'Calc base'!K$6&amp;"   ","")&amp;IF(AND(N(AC178)&gt;0,N(AC179)&lt;=0.004),"✓ "&amp;'Calc base'!L$6&amp;"   ","")&amp;IF(AND(N(AE178)&gt;0,N(AE179)&lt;=0.004),"✓ "&amp;'Calc base'!M$6&amp;"   ","")&amp;IF(AND(N(AG178)&gt;0,N(AG179)&lt;=0.004),"✓ "&amp;'Calc base'!N$6&amp;"   ","")))</f>
        <v/>
      </c>
      <c r="J179" s="70" t="str">
        <f>IF($A179="","",ROUND(N(K178)*(1+'Calc base'!H202),2)-K179)</f>
        <v/>
      </c>
      <c r="K179" s="75" t="str">
        <f>IF($A179="","",CHOOSE('Calc riepilogo'!$B$2,'Calc valanga'!AT202,'Calc palla di neve'!AT202,'Calc personalizzata'!AT202))</f>
        <v/>
      </c>
      <c r="L179" s="70" t="str">
        <f>IF($A179="","",ROUND(N(M178)*(1+'Calc base'!I202),2)-M179)</f>
        <v/>
      </c>
      <c r="M179" s="75" t="str">
        <f>IF($A179="","",CHOOSE('Calc riepilogo'!$B$2,'Calc valanga'!AU202,'Calc palla di neve'!AU202,'Calc personalizzata'!AU202))</f>
        <v/>
      </c>
      <c r="N179" s="70" t="str">
        <f>IF($A179="","",ROUND(N(O178)*(1+'Calc base'!J202),2)-O179)</f>
        <v/>
      </c>
      <c r="O179" s="75" t="str">
        <f>IF($A179="","",CHOOSE('Calc riepilogo'!$B$2,'Calc valanga'!AV202,'Calc palla di neve'!AV202,'Calc personalizzata'!AV202))</f>
        <v/>
      </c>
      <c r="P179" s="70" t="str">
        <f>IF($A179="","",ROUND(N(Q178)*(1+'Calc base'!K202),2)-Q179)</f>
        <v/>
      </c>
      <c r="Q179" s="75" t="str">
        <f>IF($A179="","",CHOOSE('Calc riepilogo'!$B$2,'Calc valanga'!AW202,'Calc palla di neve'!AW202,'Calc personalizzata'!AW202))</f>
        <v/>
      </c>
      <c r="R179" s="70" t="str">
        <f>IF($A179="","",ROUND(N(S178)*(1+'Calc base'!L202),2)-S179)</f>
        <v/>
      </c>
      <c r="S179" s="75" t="str">
        <f>IF($A179="","",CHOOSE('Calc riepilogo'!$B$2,'Calc valanga'!AX202,'Calc palla di neve'!AX202,'Calc personalizzata'!AX202))</f>
        <v/>
      </c>
      <c r="T179" s="70" t="str">
        <f>IF($A179="","",ROUND(N(U178)*(1+'Calc base'!M202),2)-U179)</f>
        <v/>
      </c>
      <c r="U179" s="75" t="str">
        <f>IF($A179="","",CHOOSE('Calc riepilogo'!$B$2,'Calc valanga'!AY202,'Calc palla di neve'!AY202,'Calc personalizzata'!AY202))</f>
        <v/>
      </c>
      <c r="V179" s="70" t="str">
        <f>IF($A179="","",ROUND(N(W178)*(1+'Calc base'!N202),2)-W179)</f>
        <v/>
      </c>
      <c r="W179" s="75" t="str">
        <f>IF($A179="","",CHOOSE('Calc riepilogo'!$B$2,'Calc valanga'!AZ202,'Calc palla di neve'!AZ202,'Calc personalizzata'!AZ202))</f>
        <v/>
      </c>
      <c r="X179" s="70" t="str">
        <f>IF($A179="","",ROUND(N(Y178)*(1+'Calc base'!O202),2)-Y179)</f>
        <v/>
      </c>
      <c r="Y179" s="75" t="str">
        <f>IF($A179="","",CHOOSE('Calc riepilogo'!$B$2,'Calc valanga'!BA202,'Calc palla di neve'!BA202,'Calc personalizzata'!BA202))</f>
        <v/>
      </c>
      <c r="Z179" s="70" t="str">
        <f>IF($A179="","",ROUND(N(AA178)*(1+'Calc base'!P202),2)-AA179)</f>
        <v/>
      </c>
      <c r="AA179" s="75" t="str">
        <f>IF($A179="","",CHOOSE('Calc riepilogo'!$B$2,'Calc valanga'!BB202,'Calc palla di neve'!BB202,'Calc personalizzata'!BB202))</f>
        <v/>
      </c>
      <c r="AB179" s="70" t="str">
        <f>IF($A179="","",ROUND(N(AC178)*(1+'Calc base'!Q202),2)-AC179)</f>
        <v/>
      </c>
      <c r="AC179" s="75" t="str">
        <f>IF($A179="","",CHOOSE('Calc riepilogo'!$B$2,'Calc valanga'!BC202,'Calc palla di neve'!BC202,'Calc personalizzata'!BC202))</f>
        <v/>
      </c>
      <c r="AD179" s="70" t="str">
        <f>IF($A179="","",ROUND(N(AE178)*(1+'Calc base'!R202),2)-AE179)</f>
        <v/>
      </c>
      <c r="AE179" s="75" t="str">
        <f>IF($A179="","",CHOOSE('Calc riepilogo'!$B$2,'Calc valanga'!BD202,'Calc palla di neve'!BD202,'Calc personalizzata'!BD202))</f>
        <v/>
      </c>
      <c r="AF179" s="70" t="str">
        <f>IF($A179="","",ROUND(N(AG178)*(1+'Calc base'!S202),2)-AG179)</f>
        <v/>
      </c>
      <c r="AG179" s="75" t="str">
        <f>IF($A179="","",CHOOSE('Calc riepilogo'!$B$2,'Calc valanga'!BE202,'Calc palla di neve'!BE202,'Calc personalizzata'!BE202))</f>
        <v/>
      </c>
      <c r="AI179" t="n">
        <v>172</v>
      </c>
    </row>
    <row r="180">
      <c r="A180" s="68" t="str">
        <f>IF(173&gt;'Calc riepilogo'!$B$7,"",'Calc base'!$B203)</f>
        <v/>
      </c>
      <c r="B180" s="69" t="str">
        <f>IF($A180="","",'Calc base'!$C203)</f>
        <v/>
      </c>
      <c r="C180" s="69" t="str">
        <f>IF($A180="","",'Calc base'!$E203)</f>
        <v/>
      </c>
      <c r="D180" s="70" t="str">
        <f>IF($A180="","",J180+L180+N180+P180+R180+T180+V180+X180+Z180+AB180+AD180+AF180)</f>
        <v/>
      </c>
      <c r="E180" s="70" t="str">
        <f>IF($A180="","",CHOOSE('Calc riepilogo'!$B$2,'Calc valanga'!$H203,'Calc palla di neve'!$H203,'Calc personalizzata'!$H203))</f>
        <v/>
      </c>
      <c r="F180" s="71" t="str">
        <f>IF($A180="","",CHOOSE('Calc riepilogo'!$B$2,'Calc valanga'!$G203,'Calc palla di neve'!$G203,'Calc personalizzata'!$G203))</f>
        <v/>
      </c>
      <c r="G180" s="72" t="n"/>
      <c r="H180" s="73" t="n"/>
      <c r="I180" s="74" t="str">
        <f>IF($A180="","",TRIM(IF(AND(N(K179)&gt;0,N(K180)&lt;=0.004),"✓ "&amp;'Calc base'!C$6&amp;"   ","")&amp;IF(AND(N(M179)&gt;0,N(M180)&lt;=0.004),"✓ "&amp;'Calc base'!D$6&amp;"   ","")&amp;IF(AND(N(O179)&gt;0,N(O180)&lt;=0.004),"✓ "&amp;'Calc base'!E$6&amp;"   ","")&amp;IF(AND(N(Q179)&gt;0,N(Q180)&lt;=0.004),"✓ "&amp;'Calc base'!F$6&amp;"   ","")&amp;IF(AND(N(S179)&gt;0,N(S180)&lt;=0.004),"✓ "&amp;'Calc base'!G$6&amp;"   ","")&amp;IF(AND(N(U179)&gt;0,N(U180)&lt;=0.004),"✓ "&amp;'Calc base'!H$6&amp;"   ","")&amp;IF(AND(N(W179)&gt;0,N(W180)&lt;=0.004),"✓ "&amp;'Calc base'!I$6&amp;"   ","")&amp;IF(AND(N(Y179)&gt;0,N(Y180)&lt;=0.004),"✓ "&amp;'Calc base'!J$6&amp;"   ","")&amp;IF(AND(N(AA179)&gt;0,N(AA180)&lt;=0.004),"✓ "&amp;'Calc base'!K$6&amp;"   ","")&amp;IF(AND(N(AC179)&gt;0,N(AC180)&lt;=0.004),"✓ "&amp;'Calc base'!L$6&amp;"   ","")&amp;IF(AND(N(AE179)&gt;0,N(AE180)&lt;=0.004),"✓ "&amp;'Calc base'!M$6&amp;"   ","")&amp;IF(AND(N(AG179)&gt;0,N(AG180)&lt;=0.004),"✓ "&amp;'Calc base'!N$6&amp;"   ","")))</f>
        <v/>
      </c>
      <c r="J180" s="70" t="str">
        <f>IF($A180="","",ROUND(N(K179)*(1+'Calc base'!H203),2)-K180)</f>
        <v/>
      </c>
      <c r="K180" s="75" t="str">
        <f>IF($A180="","",CHOOSE('Calc riepilogo'!$B$2,'Calc valanga'!AT203,'Calc palla di neve'!AT203,'Calc personalizzata'!AT203))</f>
        <v/>
      </c>
      <c r="L180" s="70" t="str">
        <f>IF($A180="","",ROUND(N(M179)*(1+'Calc base'!I203),2)-M180)</f>
        <v/>
      </c>
      <c r="M180" s="75" t="str">
        <f>IF($A180="","",CHOOSE('Calc riepilogo'!$B$2,'Calc valanga'!AU203,'Calc palla di neve'!AU203,'Calc personalizzata'!AU203))</f>
        <v/>
      </c>
      <c r="N180" s="70" t="str">
        <f>IF($A180="","",ROUND(N(O179)*(1+'Calc base'!J203),2)-O180)</f>
        <v/>
      </c>
      <c r="O180" s="75" t="str">
        <f>IF($A180="","",CHOOSE('Calc riepilogo'!$B$2,'Calc valanga'!AV203,'Calc palla di neve'!AV203,'Calc personalizzata'!AV203))</f>
        <v/>
      </c>
      <c r="P180" s="70" t="str">
        <f>IF($A180="","",ROUND(N(Q179)*(1+'Calc base'!K203),2)-Q180)</f>
        <v/>
      </c>
      <c r="Q180" s="75" t="str">
        <f>IF($A180="","",CHOOSE('Calc riepilogo'!$B$2,'Calc valanga'!AW203,'Calc palla di neve'!AW203,'Calc personalizzata'!AW203))</f>
        <v/>
      </c>
      <c r="R180" s="70" t="str">
        <f>IF($A180="","",ROUND(N(S179)*(1+'Calc base'!L203),2)-S180)</f>
        <v/>
      </c>
      <c r="S180" s="75" t="str">
        <f>IF($A180="","",CHOOSE('Calc riepilogo'!$B$2,'Calc valanga'!AX203,'Calc palla di neve'!AX203,'Calc personalizzata'!AX203))</f>
        <v/>
      </c>
      <c r="T180" s="70" t="str">
        <f>IF($A180="","",ROUND(N(U179)*(1+'Calc base'!M203),2)-U180)</f>
        <v/>
      </c>
      <c r="U180" s="75" t="str">
        <f>IF($A180="","",CHOOSE('Calc riepilogo'!$B$2,'Calc valanga'!AY203,'Calc palla di neve'!AY203,'Calc personalizzata'!AY203))</f>
        <v/>
      </c>
      <c r="V180" s="70" t="str">
        <f>IF($A180="","",ROUND(N(W179)*(1+'Calc base'!N203),2)-W180)</f>
        <v/>
      </c>
      <c r="W180" s="75" t="str">
        <f>IF($A180="","",CHOOSE('Calc riepilogo'!$B$2,'Calc valanga'!AZ203,'Calc palla di neve'!AZ203,'Calc personalizzata'!AZ203))</f>
        <v/>
      </c>
      <c r="X180" s="70" t="str">
        <f>IF($A180="","",ROUND(N(Y179)*(1+'Calc base'!O203),2)-Y180)</f>
        <v/>
      </c>
      <c r="Y180" s="75" t="str">
        <f>IF($A180="","",CHOOSE('Calc riepilogo'!$B$2,'Calc valanga'!BA203,'Calc palla di neve'!BA203,'Calc personalizzata'!BA203))</f>
        <v/>
      </c>
      <c r="Z180" s="70" t="str">
        <f>IF($A180="","",ROUND(N(AA179)*(1+'Calc base'!P203),2)-AA180)</f>
        <v/>
      </c>
      <c r="AA180" s="75" t="str">
        <f>IF($A180="","",CHOOSE('Calc riepilogo'!$B$2,'Calc valanga'!BB203,'Calc palla di neve'!BB203,'Calc personalizzata'!BB203))</f>
        <v/>
      </c>
      <c r="AB180" s="70" t="str">
        <f>IF($A180="","",ROUND(N(AC179)*(1+'Calc base'!Q203),2)-AC180)</f>
        <v/>
      </c>
      <c r="AC180" s="75" t="str">
        <f>IF($A180="","",CHOOSE('Calc riepilogo'!$B$2,'Calc valanga'!BC203,'Calc palla di neve'!BC203,'Calc personalizzata'!BC203))</f>
        <v/>
      </c>
      <c r="AD180" s="70" t="str">
        <f>IF($A180="","",ROUND(N(AE179)*(1+'Calc base'!R203),2)-AE180)</f>
        <v/>
      </c>
      <c r="AE180" s="75" t="str">
        <f>IF($A180="","",CHOOSE('Calc riepilogo'!$B$2,'Calc valanga'!BD203,'Calc palla di neve'!BD203,'Calc personalizzata'!BD203))</f>
        <v/>
      </c>
      <c r="AF180" s="70" t="str">
        <f>IF($A180="","",ROUND(N(AG179)*(1+'Calc base'!S203),2)-AG180)</f>
        <v/>
      </c>
      <c r="AG180" s="75" t="str">
        <f>IF($A180="","",CHOOSE('Calc riepilogo'!$B$2,'Calc valanga'!BE203,'Calc palla di neve'!BE203,'Calc personalizzata'!BE203))</f>
        <v/>
      </c>
      <c r="AI180" t="n">
        <v>173</v>
      </c>
    </row>
    <row r="181">
      <c r="A181" s="68" t="str">
        <f>IF(174&gt;'Calc riepilogo'!$B$7,"",'Calc base'!$B204)</f>
        <v/>
      </c>
      <c r="B181" s="69" t="str">
        <f>IF($A181="","",'Calc base'!$C204)</f>
        <v/>
      </c>
      <c r="C181" s="69" t="str">
        <f>IF($A181="","",'Calc base'!$E204)</f>
        <v/>
      </c>
      <c r="D181" s="70" t="str">
        <f>IF($A181="","",J181+L181+N181+P181+R181+T181+V181+X181+Z181+AB181+AD181+AF181)</f>
        <v/>
      </c>
      <c r="E181" s="70" t="str">
        <f>IF($A181="","",CHOOSE('Calc riepilogo'!$B$2,'Calc valanga'!$H204,'Calc palla di neve'!$H204,'Calc personalizzata'!$H204))</f>
        <v/>
      </c>
      <c r="F181" s="71" t="str">
        <f>IF($A181="","",CHOOSE('Calc riepilogo'!$B$2,'Calc valanga'!$G204,'Calc palla di neve'!$G204,'Calc personalizzata'!$G204))</f>
        <v/>
      </c>
      <c r="G181" s="72" t="n"/>
      <c r="H181" s="73" t="n"/>
      <c r="I181" s="74" t="str">
        <f>IF($A181="","",TRIM(IF(AND(N(K180)&gt;0,N(K181)&lt;=0.004),"✓ "&amp;'Calc base'!C$6&amp;"   ","")&amp;IF(AND(N(M180)&gt;0,N(M181)&lt;=0.004),"✓ "&amp;'Calc base'!D$6&amp;"   ","")&amp;IF(AND(N(O180)&gt;0,N(O181)&lt;=0.004),"✓ "&amp;'Calc base'!E$6&amp;"   ","")&amp;IF(AND(N(Q180)&gt;0,N(Q181)&lt;=0.004),"✓ "&amp;'Calc base'!F$6&amp;"   ","")&amp;IF(AND(N(S180)&gt;0,N(S181)&lt;=0.004),"✓ "&amp;'Calc base'!G$6&amp;"   ","")&amp;IF(AND(N(U180)&gt;0,N(U181)&lt;=0.004),"✓ "&amp;'Calc base'!H$6&amp;"   ","")&amp;IF(AND(N(W180)&gt;0,N(W181)&lt;=0.004),"✓ "&amp;'Calc base'!I$6&amp;"   ","")&amp;IF(AND(N(Y180)&gt;0,N(Y181)&lt;=0.004),"✓ "&amp;'Calc base'!J$6&amp;"   ","")&amp;IF(AND(N(AA180)&gt;0,N(AA181)&lt;=0.004),"✓ "&amp;'Calc base'!K$6&amp;"   ","")&amp;IF(AND(N(AC180)&gt;0,N(AC181)&lt;=0.004),"✓ "&amp;'Calc base'!L$6&amp;"   ","")&amp;IF(AND(N(AE180)&gt;0,N(AE181)&lt;=0.004),"✓ "&amp;'Calc base'!M$6&amp;"   ","")&amp;IF(AND(N(AG180)&gt;0,N(AG181)&lt;=0.004),"✓ "&amp;'Calc base'!N$6&amp;"   ","")))</f>
        <v/>
      </c>
      <c r="J181" s="70" t="str">
        <f>IF($A181="","",ROUND(N(K180)*(1+'Calc base'!H204),2)-K181)</f>
        <v/>
      </c>
      <c r="K181" s="75" t="str">
        <f>IF($A181="","",CHOOSE('Calc riepilogo'!$B$2,'Calc valanga'!AT204,'Calc palla di neve'!AT204,'Calc personalizzata'!AT204))</f>
        <v/>
      </c>
      <c r="L181" s="70" t="str">
        <f>IF($A181="","",ROUND(N(M180)*(1+'Calc base'!I204),2)-M181)</f>
        <v/>
      </c>
      <c r="M181" s="75" t="str">
        <f>IF($A181="","",CHOOSE('Calc riepilogo'!$B$2,'Calc valanga'!AU204,'Calc palla di neve'!AU204,'Calc personalizzata'!AU204))</f>
        <v/>
      </c>
      <c r="N181" s="70" t="str">
        <f>IF($A181="","",ROUND(N(O180)*(1+'Calc base'!J204),2)-O181)</f>
        <v/>
      </c>
      <c r="O181" s="75" t="str">
        <f>IF($A181="","",CHOOSE('Calc riepilogo'!$B$2,'Calc valanga'!AV204,'Calc palla di neve'!AV204,'Calc personalizzata'!AV204))</f>
        <v/>
      </c>
      <c r="P181" s="70" t="str">
        <f>IF($A181="","",ROUND(N(Q180)*(1+'Calc base'!K204),2)-Q181)</f>
        <v/>
      </c>
      <c r="Q181" s="75" t="str">
        <f>IF($A181="","",CHOOSE('Calc riepilogo'!$B$2,'Calc valanga'!AW204,'Calc palla di neve'!AW204,'Calc personalizzata'!AW204))</f>
        <v/>
      </c>
      <c r="R181" s="70" t="str">
        <f>IF($A181="","",ROUND(N(S180)*(1+'Calc base'!L204),2)-S181)</f>
        <v/>
      </c>
      <c r="S181" s="75" t="str">
        <f>IF($A181="","",CHOOSE('Calc riepilogo'!$B$2,'Calc valanga'!AX204,'Calc palla di neve'!AX204,'Calc personalizzata'!AX204))</f>
        <v/>
      </c>
      <c r="T181" s="70" t="str">
        <f>IF($A181="","",ROUND(N(U180)*(1+'Calc base'!M204),2)-U181)</f>
        <v/>
      </c>
      <c r="U181" s="75" t="str">
        <f>IF($A181="","",CHOOSE('Calc riepilogo'!$B$2,'Calc valanga'!AY204,'Calc palla di neve'!AY204,'Calc personalizzata'!AY204))</f>
        <v/>
      </c>
      <c r="V181" s="70" t="str">
        <f>IF($A181="","",ROUND(N(W180)*(1+'Calc base'!N204),2)-W181)</f>
        <v/>
      </c>
      <c r="W181" s="75" t="str">
        <f>IF($A181="","",CHOOSE('Calc riepilogo'!$B$2,'Calc valanga'!AZ204,'Calc palla di neve'!AZ204,'Calc personalizzata'!AZ204))</f>
        <v/>
      </c>
      <c r="X181" s="70" t="str">
        <f>IF($A181="","",ROUND(N(Y180)*(1+'Calc base'!O204),2)-Y181)</f>
        <v/>
      </c>
      <c r="Y181" s="75" t="str">
        <f>IF($A181="","",CHOOSE('Calc riepilogo'!$B$2,'Calc valanga'!BA204,'Calc palla di neve'!BA204,'Calc personalizzata'!BA204))</f>
        <v/>
      </c>
      <c r="Z181" s="70" t="str">
        <f>IF($A181="","",ROUND(N(AA180)*(1+'Calc base'!P204),2)-AA181)</f>
        <v/>
      </c>
      <c r="AA181" s="75" t="str">
        <f>IF($A181="","",CHOOSE('Calc riepilogo'!$B$2,'Calc valanga'!BB204,'Calc palla di neve'!BB204,'Calc personalizzata'!BB204))</f>
        <v/>
      </c>
      <c r="AB181" s="70" t="str">
        <f>IF($A181="","",ROUND(N(AC180)*(1+'Calc base'!Q204),2)-AC181)</f>
        <v/>
      </c>
      <c r="AC181" s="75" t="str">
        <f>IF($A181="","",CHOOSE('Calc riepilogo'!$B$2,'Calc valanga'!BC204,'Calc palla di neve'!BC204,'Calc personalizzata'!BC204))</f>
        <v/>
      </c>
      <c r="AD181" s="70" t="str">
        <f>IF($A181="","",ROUND(N(AE180)*(1+'Calc base'!R204),2)-AE181)</f>
        <v/>
      </c>
      <c r="AE181" s="75" t="str">
        <f>IF($A181="","",CHOOSE('Calc riepilogo'!$B$2,'Calc valanga'!BD204,'Calc palla di neve'!BD204,'Calc personalizzata'!BD204))</f>
        <v/>
      </c>
      <c r="AF181" s="70" t="str">
        <f>IF($A181="","",ROUND(N(AG180)*(1+'Calc base'!S204),2)-AG181)</f>
        <v/>
      </c>
      <c r="AG181" s="75" t="str">
        <f>IF($A181="","",CHOOSE('Calc riepilogo'!$B$2,'Calc valanga'!BE204,'Calc palla di neve'!BE204,'Calc personalizzata'!BE204))</f>
        <v/>
      </c>
      <c r="AI181" t="n">
        <v>174</v>
      </c>
    </row>
    <row r="182">
      <c r="A182" s="68" t="str">
        <f>IF(175&gt;'Calc riepilogo'!$B$7,"",'Calc base'!$B205)</f>
        <v/>
      </c>
      <c r="B182" s="69" t="str">
        <f>IF($A182="","",'Calc base'!$C205)</f>
        <v/>
      </c>
      <c r="C182" s="69" t="str">
        <f>IF($A182="","",'Calc base'!$E205)</f>
        <v/>
      </c>
      <c r="D182" s="70" t="str">
        <f>IF($A182="","",J182+L182+N182+P182+R182+T182+V182+X182+Z182+AB182+AD182+AF182)</f>
        <v/>
      </c>
      <c r="E182" s="70" t="str">
        <f>IF($A182="","",CHOOSE('Calc riepilogo'!$B$2,'Calc valanga'!$H205,'Calc palla di neve'!$H205,'Calc personalizzata'!$H205))</f>
        <v/>
      </c>
      <c r="F182" s="71" t="str">
        <f>IF($A182="","",CHOOSE('Calc riepilogo'!$B$2,'Calc valanga'!$G205,'Calc palla di neve'!$G205,'Calc personalizzata'!$G205))</f>
        <v/>
      </c>
      <c r="G182" s="72" t="n"/>
      <c r="H182" s="73" t="n"/>
      <c r="I182" s="74" t="str">
        <f>IF($A182="","",TRIM(IF(AND(N(K181)&gt;0,N(K182)&lt;=0.004),"✓ "&amp;'Calc base'!C$6&amp;"   ","")&amp;IF(AND(N(M181)&gt;0,N(M182)&lt;=0.004),"✓ "&amp;'Calc base'!D$6&amp;"   ","")&amp;IF(AND(N(O181)&gt;0,N(O182)&lt;=0.004),"✓ "&amp;'Calc base'!E$6&amp;"   ","")&amp;IF(AND(N(Q181)&gt;0,N(Q182)&lt;=0.004),"✓ "&amp;'Calc base'!F$6&amp;"   ","")&amp;IF(AND(N(S181)&gt;0,N(S182)&lt;=0.004),"✓ "&amp;'Calc base'!G$6&amp;"   ","")&amp;IF(AND(N(U181)&gt;0,N(U182)&lt;=0.004),"✓ "&amp;'Calc base'!H$6&amp;"   ","")&amp;IF(AND(N(W181)&gt;0,N(W182)&lt;=0.004),"✓ "&amp;'Calc base'!I$6&amp;"   ","")&amp;IF(AND(N(Y181)&gt;0,N(Y182)&lt;=0.004),"✓ "&amp;'Calc base'!J$6&amp;"   ","")&amp;IF(AND(N(AA181)&gt;0,N(AA182)&lt;=0.004),"✓ "&amp;'Calc base'!K$6&amp;"   ","")&amp;IF(AND(N(AC181)&gt;0,N(AC182)&lt;=0.004),"✓ "&amp;'Calc base'!L$6&amp;"   ","")&amp;IF(AND(N(AE181)&gt;0,N(AE182)&lt;=0.004),"✓ "&amp;'Calc base'!M$6&amp;"   ","")&amp;IF(AND(N(AG181)&gt;0,N(AG182)&lt;=0.004),"✓ "&amp;'Calc base'!N$6&amp;"   ","")))</f>
        <v/>
      </c>
      <c r="J182" s="70" t="str">
        <f>IF($A182="","",ROUND(N(K181)*(1+'Calc base'!H205),2)-K182)</f>
        <v/>
      </c>
      <c r="K182" s="75" t="str">
        <f>IF($A182="","",CHOOSE('Calc riepilogo'!$B$2,'Calc valanga'!AT205,'Calc palla di neve'!AT205,'Calc personalizzata'!AT205))</f>
        <v/>
      </c>
      <c r="L182" s="70" t="str">
        <f>IF($A182="","",ROUND(N(M181)*(1+'Calc base'!I205),2)-M182)</f>
        <v/>
      </c>
      <c r="M182" s="75" t="str">
        <f>IF($A182="","",CHOOSE('Calc riepilogo'!$B$2,'Calc valanga'!AU205,'Calc palla di neve'!AU205,'Calc personalizzata'!AU205))</f>
        <v/>
      </c>
      <c r="N182" s="70" t="str">
        <f>IF($A182="","",ROUND(N(O181)*(1+'Calc base'!J205),2)-O182)</f>
        <v/>
      </c>
      <c r="O182" s="75" t="str">
        <f>IF($A182="","",CHOOSE('Calc riepilogo'!$B$2,'Calc valanga'!AV205,'Calc palla di neve'!AV205,'Calc personalizzata'!AV205))</f>
        <v/>
      </c>
      <c r="P182" s="70" t="str">
        <f>IF($A182="","",ROUND(N(Q181)*(1+'Calc base'!K205),2)-Q182)</f>
        <v/>
      </c>
      <c r="Q182" s="75" t="str">
        <f>IF($A182="","",CHOOSE('Calc riepilogo'!$B$2,'Calc valanga'!AW205,'Calc palla di neve'!AW205,'Calc personalizzata'!AW205))</f>
        <v/>
      </c>
      <c r="R182" s="70" t="str">
        <f>IF($A182="","",ROUND(N(S181)*(1+'Calc base'!L205),2)-S182)</f>
        <v/>
      </c>
      <c r="S182" s="75" t="str">
        <f>IF($A182="","",CHOOSE('Calc riepilogo'!$B$2,'Calc valanga'!AX205,'Calc palla di neve'!AX205,'Calc personalizzata'!AX205))</f>
        <v/>
      </c>
      <c r="T182" s="70" t="str">
        <f>IF($A182="","",ROUND(N(U181)*(1+'Calc base'!M205),2)-U182)</f>
        <v/>
      </c>
      <c r="U182" s="75" t="str">
        <f>IF($A182="","",CHOOSE('Calc riepilogo'!$B$2,'Calc valanga'!AY205,'Calc palla di neve'!AY205,'Calc personalizzata'!AY205))</f>
        <v/>
      </c>
      <c r="V182" s="70" t="str">
        <f>IF($A182="","",ROUND(N(W181)*(1+'Calc base'!N205),2)-W182)</f>
        <v/>
      </c>
      <c r="W182" s="75" t="str">
        <f>IF($A182="","",CHOOSE('Calc riepilogo'!$B$2,'Calc valanga'!AZ205,'Calc palla di neve'!AZ205,'Calc personalizzata'!AZ205))</f>
        <v/>
      </c>
      <c r="X182" s="70" t="str">
        <f>IF($A182="","",ROUND(N(Y181)*(1+'Calc base'!O205),2)-Y182)</f>
        <v/>
      </c>
      <c r="Y182" s="75" t="str">
        <f>IF($A182="","",CHOOSE('Calc riepilogo'!$B$2,'Calc valanga'!BA205,'Calc palla di neve'!BA205,'Calc personalizzata'!BA205))</f>
        <v/>
      </c>
      <c r="Z182" s="70" t="str">
        <f>IF($A182="","",ROUND(N(AA181)*(1+'Calc base'!P205),2)-AA182)</f>
        <v/>
      </c>
      <c r="AA182" s="75" t="str">
        <f>IF($A182="","",CHOOSE('Calc riepilogo'!$B$2,'Calc valanga'!BB205,'Calc palla di neve'!BB205,'Calc personalizzata'!BB205))</f>
        <v/>
      </c>
      <c r="AB182" s="70" t="str">
        <f>IF($A182="","",ROUND(N(AC181)*(1+'Calc base'!Q205),2)-AC182)</f>
        <v/>
      </c>
      <c r="AC182" s="75" t="str">
        <f>IF($A182="","",CHOOSE('Calc riepilogo'!$B$2,'Calc valanga'!BC205,'Calc palla di neve'!BC205,'Calc personalizzata'!BC205))</f>
        <v/>
      </c>
      <c r="AD182" s="70" t="str">
        <f>IF($A182="","",ROUND(N(AE181)*(1+'Calc base'!R205),2)-AE182)</f>
        <v/>
      </c>
      <c r="AE182" s="75" t="str">
        <f>IF($A182="","",CHOOSE('Calc riepilogo'!$B$2,'Calc valanga'!BD205,'Calc palla di neve'!BD205,'Calc personalizzata'!BD205))</f>
        <v/>
      </c>
      <c r="AF182" s="70" t="str">
        <f>IF($A182="","",ROUND(N(AG181)*(1+'Calc base'!S205),2)-AG182)</f>
        <v/>
      </c>
      <c r="AG182" s="75" t="str">
        <f>IF($A182="","",CHOOSE('Calc riepilogo'!$B$2,'Calc valanga'!BE205,'Calc palla di neve'!BE205,'Calc personalizzata'!BE205))</f>
        <v/>
      </c>
      <c r="AI182" t="n">
        <v>175</v>
      </c>
    </row>
    <row r="183">
      <c r="A183" s="68" t="str">
        <f>IF(176&gt;'Calc riepilogo'!$B$7,"",'Calc base'!$B206)</f>
        <v/>
      </c>
      <c r="B183" s="69" t="str">
        <f>IF($A183="","",'Calc base'!$C206)</f>
        <v/>
      </c>
      <c r="C183" s="69" t="str">
        <f>IF($A183="","",'Calc base'!$E206)</f>
        <v/>
      </c>
      <c r="D183" s="70" t="str">
        <f>IF($A183="","",J183+L183+N183+P183+R183+T183+V183+X183+Z183+AB183+AD183+AF183)</f>
        <v/>
      </c>
      <c r="E183" s="70" t="str">
        <f>IF($A183="","",CHOOSE('Calc riepilogo'!$B$2,'Calc valanga'!$H206,'Calc palla di neve'!$H206,'Calc personalizzata'!$H206))</f>
        <v/>
      </c>
      <c r="F183" s="71" t="str">
        <f>IF($A183="","",CHOOSE('Calc riepilogo'!$B$2,'Calc valanga'!$G206,'Calc palla di neve'!$G206,'Calc personalizzata'!$G206))</f>
        <v/>
      </c>
      <c r="G183" s="72" t="n"/>
      <c r="H183" s="73" t="n"/>
      <c r="I183" s="74" t="str">
        <f>IF($A183="","",TRIM(IF(AND(N(K182)&gt;0,N(K183)&lt;=0.004),"✓ "&amp;'Calc base'!C$6&amp;"   ","")&amp;IF(AND(N(M182)&gt;0,N(M183)&lt;=0.004),"✓ "&amp;'Calc base'!D$6&amp;"   ","")&amp;IF(AND(N(O182)&gt;0,N(O183)&lt;=0.004),"✓ "&amp;'Calc base'!E$6&amp;"   ","")&amp;IF(AND(N(Q182)&gt;0,N(Q183)&lt;=0.004),"✓ "&amp;'Calc base'!F$6&amp;"   ","")&amp;IF(AND(N(S182)&gt;0,N(S183)&lt;=0.004),"✓ "&amp;'Calc base'!G$6&amp;"   ","")&amp;IF(AND(N(U182)&gt;0,N(U183)&lt;=0.004),"✓ "&amp;'Calc base'!H$6&amp;"   ","")&amp;IF(AND(N(W182)&gt;0,N(W183)&lt;=0.004),"✓ "&amp;'Calc base'!I$6&amp;"   ","")&amp;IF(AND(N(Y182)&gt;0,N(Y183)&lt;=0.004),"✓ "&amp;'Calc base'!J$6&amp;"   ","")&amp;IF(AND(N(AA182)&gt;0,N(AA183)&lt;=0.004),"✓ "&amp;'Calc base'!K$6&amp;"   ","")&amp;IF(AND(N(AC182)&gt;0,N(AC183)&lt;=0.004),"✓ "&amp;'Calc base'!L$6&amp;"   ","")&amp;IF(AND(N(AE182)&gt;0,N(AE183)&lt;=0.004),"✓ "&amp;'Calc base'!M$6&amp;"   ","")&amp;IF(AND(N(AG182)&gt;0,N(AG183)&lt;=0.004),"✓ "&amp;'Calc base'!N$6&amp;"   ","")))</f>
        <v/>
      </c>
      <c r="J183" s="70" t="str">
        <f>IF($A183="","",ROUND(N(K182)*(1+'Calc base'!H206),2)-K183)</f>
        <v/>
      </c>
      <c r="K183" s="75" t="str">
        <f>IF($A183="","",CHOOSE('Calc riepilogo'!$B$2,'Calc valanga'!AT206,'Calc palla di neve'!AT206,'Calc personalizzata'!AT206))</f>
        <v/>
      </c>
      <c r="L183" s="70" t="str">
        <f>IF($A183="","",ROUND(N(M182)*(1+'Calc base'!I206),2)-M183)</f>
        <v/>
      </c>
      <c r="M183" s="75" t="str">
        <f>IF($A183="","",CHOOSE('Calc riepilogo'!$B$2,'Calc valanga'!AU206,'Calc palla di neve'!AU206,'Calc personalizzata'!AU206))</f>
        <v/>
      </c>
      <c r="N183" s="70" t="str">
        <f>IF($A183="","",ROUND(N(O182)*(1+'Calc base'!J206),2)-O183)</f>
        <v/>
      </c>
      <c r="O183" s="75" t="str">
        <f>IF($A183="","",CHOOSE('Calc riepilogo'!$B$2,'Calc valanga'!AV206,'Calc palla di neve'!AV206,'Calc personalizzata'!AV206))</f>
        <v/>
      </c>
      <c r="P183" s="70" t="str">
        <f>IF($A183="","",ROUND(N(Q182)*(1+'Calc base'!K206),2)-Q183)</f>
        <v/>
      </c>
      <c r="Q183" s="75" t="str">
        <f>IF($A183="","",CHOOSE('Calc riepilogo'!$B$2,'Calc valanga'!AW206,'Calc palla di neve'!AW206,'Calc personalizzata'!AW206))</f>
        <v/>
      </c>
      <c r="R183" s="70" t="str">
        <f>IF($A183="","",ROUND(N(S182)*(1+'Calc base'!L206),2)-S183)</f>
        <v/>
      </c>
      <c r="S183" s="75" t="str">
        <f>IF($A183="","",CHOOSE('Calc riepilogo'!$B$2,'Calc valanga'!AX206,'Calc palla di neve'!AX206,'Calc personalizzata'!AX206))</f>
        <v/>
      </c>
      <c r="T183" s="70" t="str">
        <f>IF($A183="","",ROUND(N(U182)*(1+'Calc base'!M206),2)-U183)</f>
        <v/>
      </c>
      <c r="U183" s="75" t="str">
        <f>IF($A183="","",CHOOSE('Calc riepilogo'!$B$2,'Calc valanga'!AY206,'Calc palla di neve'!AY206,'Calc personalizzata'!AY206))</f>
        <v/>
      </c>
      <c r="V183" s="70" t="str">
        <f>IF($A183="","",ROUND(N(W182)*(1+'Calc base'!N206),2)-W183)</f>
        <v/>
      </c>
      <c r="W183" s="75" t="str">
        <f>IF($A183="","",CHOOSE('Calc riepilogo'!$B$2,'Calc valanga'!AZ206,'Calc palla di neve'!AZ206,'Calc personalizzata'!AZ206))</f>
        <v/>
      </c>
      <c r="X183" s="70" t="str">
        <f>IF($A183="","",ROUND(N(Y182)*(1+'Calc base'!O206),2)-Y183)</f>
        <v/>
      </c>
      <c r="Y183" s="75" t="str">
        <f>IF($A183="","",CHOOSE('Calc riepilogo'!$B$2,'Calc valanga'!BA206,'Calc palla di neve'!BA206,'Calc personalizzata'!BA206))</f>
        <v/>
      </c>
      <c r="Z183" s="70" t="str">
        <f>IF($A183="","",ROUND(N(AA182)*(1+'Calc base'!P206),2)-AA183)</f>
        <v/>
      </c>
      <c r="AA183" s="75" t="str">
        <f>IF($A183="","",CHOOSE('Calc riepilogo'!$B$2,'Calc valanga'!BB206,'Calc palla di neve'!BB206,'Calc personalizzata'!BB206))</f>
        <v/>
      </c>
      <c r="AB183" s="70" t="str">
        <f>IF($A183="","",ROUND(N(AC182)*(1+'Calc base'!Q206),2)-AC183)</f>
        <v/>
      </c>
      <c r="AC183" s="75" t="str">
        <f>IF($A183="","",CHOOSE('Calc riepilogo'!$B$2,'Calc valanga'!BC206,'Calc palla di neve'!BC206,'Calc personalizzata'!BC206))</f>
        <v/>
      </c>
      <c r="AD183" s="70" t="str">
        <f>IF($A183="","",ROUND(N(AE182)*(1+'Calc base'!R206),2)-AE183)</f>
        <v/>
      </c>
      <c r="AE183" s="75" t="str">
        <f>IF($A183="","",CHOOSE('Calc riepilogo'!$B$2,'Calc valanga'!BD206,'Calc palla di neve'!BD206,'Calc personalizzata'!BD206))</f>
        <v/>
      </c>
      <c r="AF183" s="70" t="str">
        <f>IF($A183="","",ROUND(N(AG182)*(1+'Calc base'!S206),2)-AG183)</f>
        <v/>
      </c>
      <c r="AG183" s="75" t="str">
        <f>IF($A183="","",CHOOSE('Calc riepilogo'!$B$2,'Calc valanga'!BE206,'Calc palla di neve'!BE206,'Calc personalizzata'!BE206))</f>
        <v/>
      </c>
      <c r="AI183" t="n">
        <v>176</v>
      </c>
    </row>
    <row r="184">
      <c r="A184" s="68" t="str">
        <f>IF(177&gt;'Calc riepilogo'!$B$7,"",'Calc base'!$B207)</f>
        <v/>
      </c>
      <c r="B184" s="69" t="str">
        <f>IF($A184="","",'Calc base'!$C207)</f>
        <v/>
      </c>
      <c r="C184" s="69" t="str">
        <f>IF($A184="","",'Calc base'!$E207)</f>
        <v/>
      </c>
      <c r="D184" s="70" t="str">
        <f>IF($A184="","",J184+L184+N184+P184+R184+T184+V184+X184+Z184+AB184+AD184+AF184)</f>
        <v/>
      </c>
      <c r="E184" s="70" t="str">
        <f>IF($A184="","",CHOOSE('Calc riepilogo'!$B$2,'Calc valanga'!$H207,'Calc palla di neve'!$H207,'Calc personalizzata'!$H207))</f>
        <v/>
      </c>
      <c r="F184" s="71" t="str">
        <f>IF($A184="","",CHOOSE('Calc riepilogo'!$B$2,'Calc valanga'!$G207,'Calc palla di neve'!$G207,'Calc personalizzata'!$G207))</f>
        <v/>
      </c>
      <c r="G184" s="72" t="n"/>
      <c r="H184" s="73" t="n"/>
      <c r="I184" s="74" t="str">
        <f>IF($A184="","",TRIM(IF(AND(N(K183)&gt;0,N(K184)&lt;=0.004),"✓ "&amp;'Calc base'!C$6&amp;"   ","")&amp;IF(AND(N(M183)&gt;0,N(M184)&lt;=0.004),"✓ "&amp;'Calc base'!D$6&amp;"   ","")&amp;IF(AND(N(O183)&gt;0,N(O184)&lt;=0.004),"✓ "&amp;'Calc base'!E$6&amp;"   ","")&amp;IF(AND(N(Q183)&gt;0,N(Q184)&lt;=0.004),"✓ "&amp;'Calc base'!F$6&amp;"   ","")&amp;IF(AND(N(S183)&gt;0,N(S184)&lt;=0.004),"✓ "&amp;'Calc base'!G$6&amp;"   ","")&amp;IF(AND(N(U183)&gt;0,N(U184)&lt;=0.004),"✓ "&amp;'Calc base'!H$6&amp;"   ","")&amp;IF(AND(N(W183)&gt;0,N(W184)&lt;=0.004),"✓ "&amp;'Calc base'!I$6&amp;"   ","")&amp;IF(AND(N(Y183)&gt;0,N(Y184)&lt;=0.004),"✓ "&amp;'Calc base'!J$6&amp;"   ","")&amp;IF(AND(N(AA183)&gt;0,N(AA184)&lt;=0.004),"✓ "&amp;'Calc base'!K$6&amp;"   ","")&amp;IF(AND(N(AC183)&gt;0,N(AC184)&lt;=0.004),"✓ "&amp;'Calc base'!L$6&amp;"   ","")&amp;IF(AND(N(AE183)&gt;0,N(AE184)&lt;=0.004),"✓ "&amp;'Calc base'!M$6&amp;"   ","")&amp;IF(AND(N(AG183)&gt;0,N(AG184)&lt;=0.004),"✓ "&amp;'Calc base'!N$6&amp;"   ","")))</f>
        <v/>
      </c>
      <c r="J184" s="70" t="str">
        <f>IF($A184="","",ROUND(N(K183)*(1+'Calc base'!H207),2)-K184)</f>
        <v/>
      </c>
      <c r="K184" s="75" t="str">
        <f>IF($A184="","",CHOOSE('Calc riepilogo'!$B$2,'Calc valanga'!AT207,'Calc palla di neve'!AT207,'Calc personalizzata'!AT207))</f>
        <v/>
      </c>
      <c r="L184" s="70" t="str">
        <f>IF($A184="","",ROUND(N(M183)*(1+'Calc base'!I207),2)-M184)</f>
        <v/>
      </c>
      <c r="M184" s="75" t="str">
        <f>IF($A184="","",CHOOSE('Calc riepilogo'!$B$2,'Calc valanga'!AU207,'Calc palla di neve'!AU207,'Calc personalizzata'!AU207))</f>
        <v/>
      </c>
      <c r="N184" s="70" t="str">
        <f>IF($A184="","",ROUND(N(O183)*(1+'Calc base'!J207),2)-O184)</f>
        <v/>
      </c>
      <c r="O184" s="75" t="str">
        <f>IF($A184="","",CHOOSE('Calc riepilogo'!$B$2,'Calc valanga'!AV207,'Calc palla di neve'!AV207,'Calc personalizzata'!AV207))</f>
        <v/>
      </c>
      <c r="P184" s="70" t="str">
        <f>IF($A184="","",ROUND(N(Q183)*(1+'Calc base'!K207),2)-Q184)</f>
        <v/>
      </c>
      <c r="Q184" s="75" t="str">
        <f>IF($A184="","",CHOOSE('Calc riepilogo'!$B$2,'Calc valanga'!AW207,'Calc palla di neve'!AW207,'Calc personalizzata'!AW207))</f>
        <v/>
      </c>
      <c r="R184" s="70" t="str">
        <f>IF($A184="","",ROUND(N(S183)*(1+'Calc base'!L207),2)-S184)</f>
        <v/>
      </c>
      <c r="S184" s="75" t="str">
        <f>IF($A184="","",CHOOSE('Calc riepilogo'!$B$2,'Calc valanga'!AX207,'Calc palla di neve'!AX207,'Calc personalizzata'!AX207))</f>
        <v/>
      </c>
      <c r="T184" s="70" t="str">
        <f>IF($A184="","",ROUND(N(U183)*(1+'Calc base'!M207),2)-U184)</f>
        <v/>
      </c>
      <c r="U184" s="75" t="str">
        <f>IF($A184="","",CHOOSE('Calc riepilogo'!$B$2,'Calc valanga'!AY207,'Calc palla di neve'!AY207,'Calc personalizzata'!AY207))</f>
        <v/>
      </c>
      <c r="V184" s="70" t="str">
        <f>IF($A184="","",ROUND(N(W183)*(1+'Calc base'!N207),2)-W184)</f>
        <v/>
      </c>
      <c r="W184" s="75" t="str">
        <f>IF($A184="","",CHOOSE('Calc riepilogo'!$B$2,'Calc valanga'!AZ207,'Calc palla di neve'!AZ207,'Calc personalizzata'!AZ207))</f>
        <v/>
      </c>
      <c r="X184" s="70" t="str">
        <f>IF($A184="","",ROUND(N(Y183)*(1+'Calc base'!O207),2)-Y184)</f>
        <v/>
      </c>
      <c r="Y184" s="75" t="str">
        <f>IF($A184="","",CHOOSE('Calc riepilogo'!$B$2,'Calc valanga'!BA207,'Calc palla di neve'!BA207,'Calc personalizzata'!BA207))</f>
        <v/>
      </c>
      <c r="Z184" s="70" t="str">
        <f>IF($A184="","",ROUND(N(AA183)*(1+'Calc base'!P207),2)-AA184)</f>
        <v/>
      </c>
      <c r="AA184" s="75" t="str">
        <f>IF($A184="","",CHOOSE('Calc riepilogo'!$B$2,'Calc valanga'!BB207,'Calc palla di neve'!BB207,'Calc personalizzata'!BB207))</f>
        <v/>
      </c>
      <c r="AB184" s="70" t="str">
        <f>IF($A184="","",ROUND(N(AC183)*(1+'Calc base'!Q207),2)-AC184)</f>
        <v/>
      </c>
      <c r="AC184" s="75" t="str">
        <f>IF($A184="","",CHOOSE('Calc riepilogo'!$B$2,'Calc valanga'!BC207,'Calc palla di neve'!BC207,'Calc personalizzata'!BC207))</f>
        <v/>
      </c>
      <c r="AD184" s="70" t="str">
        <f>IF($A184="","",ROUND(N(AE183)*(1+'Calc base'!R207),2)-AE184)</f>
        <v/>
      </c>
      <c r="AE184" s="75" t="str">
        <f>IF($A184="","",CHOOSE('Calc riepilogo'!$B$2,'Calc valanga'!BD207,'Calc palla di neve'!BD207,'Calc personalizzata'!BD207))</f>
        <v/>
      </c>
      <c r="AF184" s="70" t="str">
        <f>IF($A184="","",ROUND(N(AG183)*(1+'Calc base'!S207),2)-AG184)</f>
        <v/>
      </c>
      <c r="AG184" s="75" t="str">
        <f>IF($A184="","",CHOOSE('Calc riepilogo'!$B$2,'Calc valanga'!BE207,'Calc palla di neve'!BE207,'Calc personalizzata'!BE207))</f>
        <v/>
      </c>
      <c r="AI184" t="n">
        <v>177</v>
      </c>
    </row>
    <row r="185">
      <c r="A185" s="68" t="str">
        <f>IF(178&gt;'Calc riepilogo'!$B$7,"",'Calc base'!$B208)</f>
        <v/>
      </c>
      <c r="B185" s="69" t="str">
        <f>IF($A185="","",'Calc base'!$C208)</f>
        <v/>
      </c>
      <c r="C185" s="69" t="str">
        <f>IF($A185="","",'Calc base'!$E208)</f>
        <v/>
      </c>
      <c r="D185" s="70" t="str">
        <f>IF($A185="","",J185+L185+N185+P185+R185+T185+V185+X185+Z185+AB185+AD185+AF185)</f>
        <v/>
      </c>
      <c r="E185" s="70" t="str">
        <f>IF($A185="","",CHOOSE('Calc riepilogo'!$B$2,'Calc valanga'!$H208,'Calc palla di neve'!$H208,'Calc personalizzata'!$H208))</f>
        <v/>
      </c>
      <c r="F185" s="71" t="str">
        <f>IF($A185="","",CHOOSE('Calc riepilogo'!$B$2,'Calc valanga'!$G208,'Calc palla di neve'!$G208,'Calc personalizzata'!$G208))</f>
        <v/>
      </c>
      <c r="G185" s="72" t="n"/>
      <c r="H185" s="73" t="n"/>
      <c r="I185" s="74" t="str">
        <f>IF($A185="","",TRIM(IF(AND(N(K184)&gt;0,N(K185)&lt;=0.004),"✓ "&amp;'Calc base'!C$6&amp;"   ","")&amp;IF(AND(N(M184)&gt;0,N(M185)&lt;=0.004),"✓ "&amp;'Calc base'!D$6&amp;"   ","")&amp;IF(AND(N(O184)&gt;0,N(O185)&lt;=0.004),"✓ "&amp;'Calc base'!E$6&amp;"   ","")&amp;IF(AND(N(Q184)&gt;0,N(Q185)&lt;=0.004),"✓ "&amp;'Calc base'!F$6&amp;"   ","")&amp;IF(AND(N(S184)&gt;0,N(S185)&lt;=0.004),"✓ "&amp;'Calc base'!G$6&amp;"   ","")&amp;IF(AND(N(U184)&gt;0,N(U185)&lt;=0.004),"✓ "&amp;'Calc base'!H$6&amp;"   ","")&amp;IF(AND(N(W184)&gt;0,N(W185)&lt;=0.004),"✓ "&amp;'Calc base'!I$6&amp;"   ","")&amp;IF(AND(N(Y184)&gt;0,N(Y185)&lt;=0.004),"✓ "&amp;'Calc base'!J$6&amp;"   ","")&amp;IF(AND(N(AA184)&gt;0,N(AA185)&lt;=0.004),"✓ "&amp;'Calc base'!K$6&amp;"   ","")&amp;IF(AND(N(AC184)&gt;0,N(AC185)&lt;=0.004),"✓ "&amp;'Calc base'!L$6&amp;"   ","")&amp;IF(AND(N(AE184)&gt;0,N(AE185)&lt;=0.004),"✓ "&amp;'Calc base'!M$6&amp;"   ","")&amp;IF(AND(N(AG184)&gt;0,N(AG185)&lt;=0.004),"✓ "&amp;'Calc base'!N$6&amp;"   ","")))</f>
        <v/>
      </c>
      <c r="J185" s="70" t="str">
        <f>IF($A185="","",ROUND(N(K184)*(1+'Calc base'!H208),2)-K185)</f>
        <v/>
      </c>
      <c r="K185" s="75" t="str">
        <f>IF($A185="","",CHOOSE('Calc riepilogo'!$B$2,'Calc valanga'!AT208,'Calc palla di neve'!AT208,'Calc personalizzata'!AT208))</f>
        <v/>
      </c>
      <c r="L185" s="70" t="str">
        <f>IF($A185="","",ROUND(N(M184)*(1+'Calc base'!I208),2)-M185)</f>
        <v/>
      </c>
      <c r="M185" s="75" t="str">
        <f>IF($A185="","",CHOOSE('Calc riepilogo'!$B$2,'Calc valanga'!AU208,'Calc palla di neve'!AU208,'Calc personalizzata'!AU208))</f>
        <v/>
      </c>
      <c r="N185" s="70" t="str">
        <f>IF($A185="","",ROUND(N(O184)*(1+'Calc base'!J208),2)-O185)</f>
        <v/>
      </c>
      <c r="O185" s="75" t="str">
        <f>IF($A185="","",CHOOSE('Calc riepilogo'!$B$2,'Calc valanga'!AV208,'Calc palla di neve'!AV208,'Calc personalizzata'!AV208))</f>
        <v/>
      </c>
      <c r="P185" s="70" t="str">
        <f>IF($A185="","",ROUND(N(Q184)*(1+'Calc base'!K208),2)-Q185)</f>
        <v/>
      </c>
      <c r="Q185" s="75" t="str">
        <f>IF($A185="","",CHOOSE('Calc riepilogo'!$B$2,'Calc valanga'!AW208,'Calc palla di neve'!AW208,'Calc personalizzata'!AW208))</f>
        <v/>
      </c>
      <c r="R185" s="70" t="str">
        <f>IF($A185="","",ROUND(N(S184)*(1+'Calc base'!L208),2)-S185)</f>
        <v/>
      </c>
      <c r="S185" s="75" t="str">
        <f>IF($A185="","",CHOOSE('Calc riepilogo'!$B$2,'Calc valanga'!AX208,'Calc palla di neve'!AX208,'Calc personalizzata'!AX208))</f>
        <v/>
      </c>
      <c r="T185" s="70" t="str">
        <f>IF($A185="","",ROUND(N(U184)*(1+'Calc base'!M208),2)-U185)</f>
        <v/>
      </c>
      <c r="U185" s="75" t="str">
        <f>IF($A185="","",CHOOSE('Calc riepilogo'!$B$2,'Calc valanga'!AY208,'Calc palla di neve'!AY208,'Calc personalizzata'!AY208))</f>
        <v/>
      </c>
      <c r="V185" s="70" t="str">
        <f>IF($A185="","",ROUND(N(W184)*(1+'Calc base'!N208),2)-W185)</f>
        <v/>
      </c>
      <c r="W185" s="75" t="str">
        <f>IF($A185="","",CHOOSE('Calc riepilogo'!$B$2,'Calc valanga'!AZ208,'Calc palla di neve'!AZ208,'Calc personalizzata'!AZ208))</f>
        <v/>
      </c>
      <c r="X185" s="70" t="str">
        <f>IF($A185="","",ROUND(N(Y184)*(1+'Calc base'!O208),2)-Y185)</f>
        <v/>
      </c>
      <c r="Y185" s="75" t="str">
        <f>IF($A185="","",CHOOSE('Calc riepilogo'!$B$2,'Calc valanga'!BA208,'Calc palla di neve'!BA208,'Calc personalizzata'!BA208))</f>
        <v/>
      </c>
      <c r="Z185" s="70" t="str">
        <f>IF($A185="","",ROUND(N(AA184)*(1+'Calc base'!P208),2)-AA185)</f>
        <v/>
      </c>
      <c r="AA185" s="75" t="str">
        <f>IF($A185="","",CHOOSE('Calc riepilogo'!$B$2,'Calc valanga'!BB208,'Calc palla di neve'!BB208,'Calc personalizzata'!BB208))</f>
        <v/>
      </c>
      <c r="AB185" s="70" t="str">
        <f>IF($A185="","",ROUND(N(AC184)*(1+'Calc base'!Q208),2)-AC185)</f>
        <v/>
      </c>
      <c r="AC185" s="75" t="str">
        <f>IF($A185="","",CHOOSE('Calc riepilogo'!$B$2,'Calc valanga'!BC208,'Calc palla di neve'!BC208,'Calc personalizzata'!BC208))</f>
        <v/>
      </c>
      <c r="AD185" s="70" t="str">
        <f>IF($A185="","",ROUND(N(AE184)*(1+'Calc base'!R208),2)-AE185)</f>
        <v/>
      </c>
      <c r="AE185" s="75" t="str">
        <f>IF($A185="","",CHOOSE('Calc riepilogo'!$B$2,'Calc valanga'!BD208,'Calc palla di neve'!BD208,'Calc personalizzata'!BD208))</f>
        <v/>
      </c>
      <c r="AF185" s="70" t="str">
        <f>IF($A185="","",ROUND(N(AG184)*(1+'Calc base'!S208),2)-AG185)</f>
        <v/>
      </c>
      <c r="AG185" s="75" t="str">
        <f>IF($A185="","",CHOOSE('Calc riepilogo'!$B$2,'Calc valanga'!BE208,'Calc palla di neve'!BE208,'Calc personalizzata'!BE208))</f>
        <v/>
      </c>
      <c r="AI185" t="n">
        <v>178</v>
      </c>
    </row>
    <row r="186">
      <c r="A186" s="68" t="str">
        <f>IF(179&gt;'Calc riepilogo'!$B$7,"",'Calc base'!$B209)</f>
        <v/>
      </c>
      <c r="B186" s="69" t="str">
        <f>IF($A186="","",'Calc base'!$C209)</f>
        <v/>
      </c>
      <c r="C186" s="69" t="str">
        <f>IF($A186="","",'Calc base'!$E209)</f>
        <v/>
      </c>
      <c r="D186" s="70" t="str">
        <f>IF($A186="","",J186+L186+N186+P186+R186+T186+V186+X186+Z186+AB186+AD186+AF186)</f>
        <v/>
      </c>
      <c r="E186" s="70" t="str">
        <f>IF($A186="","",CHOOSE('Calc riepilogo'!$B$2,'Calc valanga'!$H209,'Calc palla di neve'!$H209,'Calc personalizzata'!$H209))</f>
        <v/>
      </c>
      <c r="F186" s="71" t="str">
        <f>IF($A186="","",CHOOSE('Calc riepilogo'!$B$2,'Calc valanga'!$G209,'Calc palla di neve'!$G209,'Calc personalizzata'!$G209))</f>
        <v/>
      </c>
      <c r="G186" s="72" t="n"/>
      <c r="H186" s="73" t="n"/>
      <c r="I186" s="74" t="str">
        <f>IF($A186="","",TRIM(IF(AND(N(K185)&gt;0,N(K186)&lt;=0.004),"✓ "&amp;'Calc base'!C$6&amp;"   ","")&amp;IF(AND(N(M185)&gt;0,N(M186)&lt;=0.004),"✓ "&amp;'Calc base'!D$6&amp;"   ","")&amp;IF(AND(N(O185)&gt;0,N(O186)&lt;=0.004),"✓ "&amp;'Calc base'!E$6&amp;"   ","")&amp;IF(AND(N(Q185)&gt;0,N(Q186)&lt;=0.004),"✓ "&amp;'Calc base'!F$6&amp;"   ","")&amp;IF(AND(N(S185)&gt;0,N(S186)&lt;=0.004),"✓ "&amp;'Calc base'!G$6&amp;"   ","")&amp;IF(AND(N(U185)&gt;0,N(U186)&lt;=0.004),"✓ "&amp;'Calc base'!H$6&amp;"   ","")&amp;IF(AND(N(W185)&gt;0,N(W186)&lt;=0.004),"✓ "&amp;'Calc base'!I$6&amp;"   ","")&amp;IF(AND(N(Y185)&gt;0,N(Y186)&lt;=0.004),"✓ "&amp;'Calc base'!J$6&amp;"   ","")&amp;IF(AND(N(AA185)&gt;0,N(AA186)&lt;=0.004),"✓ "&amp;'Calc base'!K$6&amp;"   ","")&amp;IF(AND(N(AC185)&gt;0,N(AC186)&lt;=0.004),"✓ "&amp;'Calc base'!L$6&amp;"   ","")&amp;IF(AND(N(AE185)&gt;0,N(AE186)&lt;=0.004),"✓ "&amp;'Calc base'!M$6&amp;"   ","")&amp;IF(AND(N(AG185)&gt;0,N(AG186)&lt;=0.004),"✓ "&amp;'Calc base'!N$6&amp;"   ","")))</f>
        <v/>
      </c>
      <c r="J186" s="70" t="str">
        <f>IF($A186="","",ROUND(N(K185)*(1+'Calc base'!H209),2)-K186)</f>
        <v/>
      </c>
      <c r="K186" s="75" t="str">
        <f>IF($A186="","",CHOOSE('Calc riepilogo'!$B$2,'Calc valanga'!AT209,'Calc palla di neve'!AT209,'Calc personalizzata'!AT209))</f>
        <v/>
      </c>
      <c r="L186" s="70" t="str">
        <f>IF($A186="","",ROUND(N(M185)*(1+'Calc base'!I209),2)-M186)</f>
        <v/>
      </c>
      <c r="M186" s="75" t="str">
        <f>IF($A186="","",CHOOSE('Calc riepilogo'!$B$2,'Calc valanga'!AU209,'Calc palla di neve'!AU209,'Calc personalizzata'!AU209))</f>
        <v/>
      </c>
      <c r="N186" s="70" t="str">
        <f>IF($A186="","",ROUND(N(O185)*(1+'Calc base'!J209),2)-O186)</f>
        <v/>
      </c>
      <c r="O186" s="75" t="str">
        <f>IF($A186="","",CHOOSE('Calc riepilogo'!$B$2,'Calc valanga'!AV209,'Calc palla di neve'!AV209,'Calc personalizzata'!AV209))</f>
        <v/>
      </c>
      <c r="P186" s="70" t="str">
        <f>IF($A186="","",ROUND(N(Q185)*(1+'Calc base'!K209),2)-Q186)</f>
        <v/>
      </c>
      <c r="Q186" s="75" t="str">
        <f>IF($A186="","",CHOOSE('Calc riepilogo'!$B$2,'Calc valanga'!AW209,'Calc palla di neve'!AW209,'Calc personalizzata'!AW209))</f>
        <v/>
      </c>
      <c r="R186" s="70" t="str">
        <f>IF($A186="","",ROUND(N(S185)*(1+'Calc base'!L209),2)-S186)</f>
        <v/>
      </c>
      <c r="S186" s="75" t="str">
        <f>IF($A186="","",CHOOSE('Calc riepilogo'!$B$2,'Calc valanga'!AX209,'Calc palla di neve'!AX209,'Calc personalizzata'!AX209))</f>
        <v/>
      </c>
      <c r="T186" s="70" t="str">
        <f>IF($A186="","",ROUND(N(U185)*(1+'Calc base'!M209),2)-U186)</f>
        <v/>
      </c>
      <c r="U186" s="75" t="str">
        <f>IF($A186="","",CHOOSE('Calc riepilogo'!$B$2,'Calc valanga'!AY209,'Calc palla di neve'!AY209,'Calc personalizzata'!AY209))</f>
        <v/>
      </c>
      <c r="V186" s="70" t="str">
        <f>IF($A186="","",ROUND(N(W185)*(1+'Calc base'!N209),2)-W186)</f>
        <v/>
      </c>
      <c r="W186" s="75" t="str">
        <f>IF($A186="","",CHOOSE('Calc riepilogo'!$B$2,'Calc valanga'!AZ209,'Calc palla di neve'!AZ209,'Calc personalizzata'!AZ209))</f>
        <v/>
      </c>
      <c r="X186" s="70" t="str">
        <f>IF($A186="","",ROUND(N(Y185)*(1+'Calc base'!O209),2)-Y186)</f>
        <v/>
      </c>
      <c r="Y186" s="75" t="str">
        <f>IF($A186="","",CHOOSE('Calc riepilogo'!$B$2,'Calc valanga'!BA209,'Calc palla di neve'!BA209,'Calc personalizzata'!BA209))</f>
        <v/>
      </c>
      <c r="Z186" s="70" t="str">
        <f>IF($A186="","",ROUND(N(AA185)*(1+'Calc base'!P209),2)-AA186)</f>
        <v/>
      </c>
      <c r="AA186" s="75" t="str">
        <f>IF($A186="","",CHOOSE('Calc riepilogo'!$B$2,'Calc valanga'!BB209,'Calc palla di neve'!BB209,'Calc personalizzata'!BB209))</f>
        <v/>
      </c>
      <c r="AB186" s="70" t="str">
        <f>IF($A186="","",ROUND(N(AC185)*(1+'Calc base'!Q209),2)-AC186)</f>
        <v/>
      </c>
      <c r="AC186" s="75" t="str">
        <f>IF($A186="","",CHOOSE('Calc riepilogo'!$B$2,'Calc valanga'!BC209,'Calc palla di neve'!BC209,'Calc personalizzata'!BC209))</f>
        <v/>
      </c>
      <c r="AD186" s="70" t="str">
        <f>IF($A186="","",ROUND(N(AE185)*(1+'Calc base'!R209),2)-AE186)</f>
        <v/>
      </c>
      <c r="AE186" s="75" t="str">
        <f>IF($A186="","",CHOOSE('Calc riepilogo'!$B$2,'Calc valanga'!BD209,'Calc palla di neve'!BD209,'Calc personalizzata'!BD209))</f>
        <v/>
      </c>
      <c r="AF186" s="70" t="str">
        <f>IF($A186="","",ROUND(N(AG185)*(1+'Calc base'!S209),2)-AG186)</f>
        <v/>
      </c>
      <c r="AG186" s="75" t="str">
        <f>IF($A186="","",CHOOSE('Calc riepilogo'!$B$2,'Calc valanga'!BE209,'Calc palla di neve'!BE209,'Calc personalizzata'!BE209))</f>
        <v/>
      </c>
      <c r="AI186" t="n">
        <v>179</v>
      </c>
    </row>
    <row r="187">
      <c r="A187" s="68" t="str">
        <f>IF(180&gt;'Calc riepilogo'!$B$7,"",'Calc base'!$B210)</f>
        <v/>
      </c>
      <c r="B187" s="69" t="str">
        <f>IF($A187="","",'Calc base'!$C210)</f>
        <v/>
      </c>
      <c r="C187" s="69" t="str">
        <f>IF($A187="","",'Calc base'!$E210)</f>
        <v/>
      </c>
      <c r="D187" s="70" t="str">
        <f>IF($A187="","",J187+L187+N187+P187+R187+T187+V187+X187+Z187+AB187+AD187+AF187)</f>
        <v/>
      </c>
      <c r="E187" s="70" t="str">
        <f>IF($A187="","",CHOOSE('Calc riepilogo'!$B$2,'Calc valanga'!$H210,'Calc palla di neve'!$H210,'Calc personalizzata'!$H210))</f>
        <v/>
      </c>
      <c r="F187" s="71" t="str">
        <f>IF($A187="","",CHOOSE('Calc riepilogo'!$B$2,'Calc valanga'!$G210,'Calc palla di neve'!$G210,'Calc personalizzata'!$G210))</f>
        <v/>
      </c>
      <c r="G187" s="72" t="n"/>
      <c r="H187" s="73" t="n"/>
      <c r="I187" s="74" t="str">
        <f>IF($A187="","",TRIM(IF(AND(N(K186)&gt;0,N(K187)&lt;=0.004),"✓ "&amp;'Calc base'!C$6&amp;"   ","")&amp;IF(AND(N(M186)&gt;0,N(M187)&lt;=0.004),"✓ "&amp;'Calc base'!D$6&amp;"   ","")&amp;IF(AND(N(O186)&gt;0,N(O187)&lt;=0.004),"✓ "&amp;'Calc base'!E$6&amp;"   ","")&amp;IF(AND(N(Q186)&gt;0,N(Q187)&lt;=0.004),"✓ "&amp;'Calc base'!F$6&amp;"   ","")&amp;IF(AND(N(S186)&gt;0,N(S187)&lt;=0.004),"✓ "&amp;'Calc base'!G$6&amp;"   ","")&amp;IF(AND(N(U186)&gt;0,N(U187)&lt;=0.004),"✓ "&amp;'Calc base'!H$6&amp;"   ","")&amp;IF(AND(N(W186)&gt;0,N(W187)&lt;=0.004),"✓ "&amp;'Calc base'!I$6&amp;"   ","")&amp;IF(AND(N(Y186)&gt;0,N(Y187)&lt;=0.004),"✓ "&amp;'Calc base'!J$6&amp;"   ","")&amp;IF(AND(N(AA186)&gt;0,N(AA187)&lt;=0.004),"✓ "&amp;'Calc base'!K$6&amp;"   ","")&amp;IF(AND(N(AC186)&gt;0,N(AC187)&lt;=0.004),"✓ "&amp;'Calc base'!L$6&amp;"   ","")&amp;IF(AND(N(AE186)&gt;0,N(AE187)&lt;=0.004),"✓ "&amp;'Calc base'!M$6&amp;"   ","")&amp;IF(AND(N(AG186)&gt;0,N(AG187)&lt;=0.004),"✓ "&amp;'Calc base'!N$6&amp;"   ","")))</f>
        <v/>
      </c>
      <c r="J187" s="70" t="str">
        <f>IF($A187="","",ROUND(N(K186)*(1+'Calc base'!H210),2)-K187)</f>
        <v/>
      </c>
      <c r="K187" s="75" t="str">
        <f>IF($A187="","",CHOOSE('Calc riepilogo'!$B$2,'Calc valanga'!AT210,'Calc palla di neve'!AT210,'Calc personalizzata'!AT210))</f>
        <v/>
      </c>
      <c r="L187" s="70" t="str">
        <f>IF($A187="","",ROUND(N(M186)*(1+'Calc base'!I210),2)-M187)</f>
        <v/>
      </c>
      <c r="M187" s="75" t="str">
        <f>IF($A187="","",CHOOSE('Calc riepilogo'!$B$2,'Calc valanga'!AU210,'Calc palla di neve'!AU210,'Calc personalizzata'!AU210))</f>
        <v/>
      </c>
      <c r="N187" s="70" t="str">
        <f>IF($A187="","",ROUND(N(O186)*(1+'Calc base'!J210),2)-O187)</f>
        <v/>
      </c>
      <c r="O187" s="75" t="str">
        <f>IF($A187="","",CHOOSE('Calc riepilogo'!$B$2,'Calc valanga'!AV210,'Calc palla di neve'!AV210,'Calc personalizzata'!AV210))</f>
        <v/>
      </c>
      <c r="P187" s="70" t="str">
        <f>IF($A187="","",ROUND(N(Q186)*(1+'Calc base'!K210),2)-Q187)</f>
        <v/>
      </c>
      <c r="Q187" s="75" t="str">
        <f>IF($A187="","",CHOOSE('Calc riepilogo'!$B$2,'Calc valanga'!AW210,'Calc palla di neve'!AW210,'Calc personalizzata'!AW210))</f>
        <v/>
      </c>
      <c r="R187" s="70" t="str">
        <f>IF($A187="","",ROUND(N(S186)*(1+'Calc base'!L210),2)-S187)</f>
        <v/>
      </c>
      <c r="S187" s="75" t="str">
        <f>IF($A187="","",CHOOSE('Calc riepilogo'!$B$2,'Calc valanga'!AX210,'Calc palla di neve'!AX210,'Calc personalizzata'!AX210))</f>
        <v/>
      </c>
      <c r="T187" s="70" t="str">
        <f>IF($A187="","",ROUND(N(U186)*(1+'Calc base'!M210),2)-U187)</f>
        <v/>
      </c>
      <c r="U187" s="75" t="str">
        <f>IF($A187="","",CHOOSE('Calc riepilogo'!$B$2,'Calc valanga'!AY210,'Calc palla di neve'!AY210,'Calc personalizzata'!AY210))</f>
        <v/>
      </c>
      <c r="V187" s="70" t="str">
        <f>IF($A187="","",ROUND(N(W186)*(1+'Calc base'!N210),2)-W187)</f>
        <v/>
      </c>
      <c r="W187" s="75" t="str">
        <f>IF($A187="","",CHOOSE('Calc riepilogo'!$B$2,'Calc valanga'!AZ210,'Calc palla di neve'!AZ210,'Calc personalizzata'!AZ210))</f>
        <v/>
      </c>
      <c r="X187" s="70" t="str">
        <f>IF($A187="","",ROUND(N(Y186)*(1+'Calc base'!O210),2)-Y187)</f>
        <v/>
      </c>
      <c r="Y187" s="75" t="str">
        <f>IF($A187="","",CHOOSE('Calc riepilogo'!$B$2,'Calc valanga'!BA210,'Calc palla di neve'!BA210,'Calc personalizzata'!BA210))</f>
        <v/>
      </c>
      <c r="Z187" s="70" t="str">
        <f>IF($A187="","",ROUND(N(AA186)*(1+'Calc base'!P210),2)-AA187)</f>
        <v/>
      </c>
      <c r="AA187" s="75" t="str">
        <f>IF($A187="","",CHOOSE('Calc riepilogo'!$B$2,'Calc valanga'!BB210,'Calc palla di neve'!BB210,'Calc personalizzata'!BB210))</f>
        <v/>
      </c>
      <c r="AB187" s="70" t="str">
        <f>IF($A187="","",ROUND(N(AC186)*(1+'Calc base'!Q210),2)-AC187)</f>
        <v/>
      </c>
      <c r="AC187" s="75" t="str">
        <f>IF($A187="","",CHOOSE('Calc riepilogo'!$B$2,'Calc valanga'!BC210,'Calc palla di neve'!BC210,'Calc personalizzata'!BC210))</f>
        <v/>
      </c>
      <c r="AD187" s="70" t="str">
        <f>IF($A187="","",ROUND(N(AE186)*(1+'Calc base'!R210),2)-AE187)</f>
        <v/>
      </c>
      <c r="AE187" s="75" t="str">
        <f>IF($A187="","",CHOOSE('Calc riepilogo'!$B$2,'Calc valanga'!BD210,'Calc palla di neve'!BD210,'Calc personalizzata'!BD210))</f>
        <v/>
      </c>
      <c r="AF187" s="70" t="str">
        <f>IF($A187="","",ROUND(N(AG186)*(1+'Calc base'!S210),2)-AG187)</f>
        <v/>
      </c>
      <c r="AG187" s="75" t="str">
        <f>IF($A187="","",CHOOSE('Calc riepilogo'!$B$2,'Calc valanga'!BE210,'Calc palla di neve'!BE210,'Calc personalizzata'!BE210))</f>
        <v/>
      </c>
      <c r="AI187" t="n">
        <v>180</v>
      </c>
    </row>
    <row r="188">
      <c r="A188" s="68" t="str">
        <f>IF(181&gt;'Calc riepilogo'!$B$7,"",'Calc base'!$B211)</f>
        <v/>
      </c>
      <c r="B188" s="69" t="str">
        <f>IF($A188="","",'Calc base'!$C211)</f>
        <v/>
      </c>
      <c r="C188" s="69" t="str">
        <f>IF($A188="","",'Calc base'!$E211)</f>
        <v/>
      </c>
      <c r="D188" s="70" t="str">
        <f>IF($A188="","",J188+L188+N188+P188+R188+T188+V188+X188+Z188+AB188+AD188+AF188)</f>
        <v/>
      </c>
      <c r="E188" s="70" t="str">
        <f>IF($A188="","",CHOOSE('Calc riepilogo'!$B$2,'Calc valanga'!$H211,'Calc palla di neve'!$H211,'Calc personalizzata'!$H211))</f>
        <v/>
      </c>
      <c r="F188" s="71" t="str">
        <f>IF($A188="","",CHOOSE('Calc riepilogo'!$B$2,'Calc valanga'!$G211,'Calc palla di neve'!$G211,'Calc personalizzata'!$G211))</f>
        <v/>
      </c>
      <c r="G188" s="72" t="n"/>
      <c r="H188" s="73" t="n"/>
      <c r="I188" s="74" t="str">
        <f>IF($A188="","",TRIM(IF(AND(N(K187)&gt;0,N(K188)&lt;=0.004),"✓ "&amp;'Calc base'!C$6&amp;"   ","")&amp;IF(AND(N(M187)&gt;0,N(M188)&lt;=0.004),"✓ "&amp;'Calc base'!D$6&amp;"   ","")&amp;IF(AND(N(O187)&gt;0,N(O188)&lt;=0.004),"✓ "&amp;'Calc base'!E$6&amp;"   ","")&amp;IF(AND(N(Q187)&gt;0,N(Q188)&lt;=0.004),"✓ "&amp;'Calc base'!F$6&amp;"   ","")&amp;IF(AND(N(S187)&gt;0,N(S188)&lt;=0.004),"✓ "&amp;'Calc base'!G$6&amp;"   ","")&amp;IF(AND(N(U187)&gt;0,N(U188)&lt;=0.004),"✓ "&amp;'Calc base'!H$6&amp;"   ","")&amp;IF(AND(N(W187)&gt;0,N(W188)&lt;=0.004),"✓ "&amp;'Calc base'!I$6&amp;"   ","")&amp;IF(AND(N(Y187)&gt;0,N(Y188)&lt;=0.004),"✓ "&amp;'Calc base'!J$6&amp;"   ","")&amp;IF(AND(N(AA187)&gt;0,N(AA188)&lt;=0.004),"✓ "&amp;'Calc base'!K$6&amp;"   ","")&amp;IF(AND(N(AC187)&gt;0,N(AC188)&lt;=0.004),"✓ "&amp;'Calc base'!L$6&amp;"   ","")&amp;IF(AND(N(AE187)&gt;0,N(AE188)&lt;=0.004),"✓ "&amp;'Calc base'!M$6&amp;"   ","")&amp;IF(AND(N(AG187)&gt;0,N(AG188)&lt;=0.004),"✓ "&amp;'Calc base'!N$6&amp;"   ","")))</f>
        <v/>
      </c>
      <c r="J188" s="70" t="str">
        <f>IF($A188="","",ROUND(N(K187)*(1+'Calc base'!H211),2)-K188)</f>
        <v/>
      </c>
      <c r="K188" s="75" t="str">
        <f>IF($A188="","",CHOOSE('Calc riepilogo'!$B$2,'Calc valanga'!AT211,'Calc palla di neve'!AT211,'Calc personalizzata'!AT211))</f>
        <v/>
      </c>
      <c r="L188" s="70" t="str">
        <f>IF($A188="","",ROUND(N(M187)*(1+'Calc base'!I211),2)-M188)</f>
        <v/>
      </c>
      <c r="M188" s="75" t="str">
        <f>IF($A188="","",CHOOSE('Calc riepilogo'!$B$2,'Calc valanga'!AU211,'Calc palla di neve'!AU211,'Calc personalizzata'!AU211))</f>
        <v/>
      </c>
      <c r="N188" s="70" t="str">
        <f>IF($A188="","",ROUND(N(O187)*(1+'Calc base'!J211),2)-O188)</f>
        <v/>
      </c>
      <c r="O188" s="75" t="str">
        <f>IF($A188="","",CHOOSE('Calc riepilogo'!$B$2,'Calc valanga'!AV211,'Calc palla di neve'!AV211,'Calc personalizzata'!AV211))</f>
        <v/>
      </c>
      <c r="P188" s="70" t="str">
        <f>IF($A188="","",ROUND(N(Q187)*(1+'Calc base'!K211),2)-Q188)</f>
        <v/>
      </c>
      <c r="Q188" s="75" t="str">
        <f>IF($A188="","",CHOOSE('Calc riepilogo'!$B$2,'Calc valanga'!AW211,'Calc palla di neve'!AW211,'Calc personalizzata'!AW211))</f>
        <v/>
      </c>
      <c r="R188" s="70" t="str">
        <f>IF($A188="","",ROUND(N(S187)*(1+'Calc base'!L211),2)-S188)</f>
        <v/>
      </c>
      <c r="S188" s="75" t="str">
        <f>IF($A188="","",CHOOSE('Calc riepilogo'!$B$2,'Calc valanga'!AX211,'Calc palla di neve'!AX211,'Calc personalizzata'!AX211))</f>
        <v/>
      </c>
      <c r="T188" s="70" t="str">
        <f>IF($A188="","",ROUND(N(U187)*(1+'Calc base'!M211),2)-U188)</f>
        <v/>
      </c>
      <c r="U188" s="75" t="str">
        <f>IF($A188="","",CHOOSE('Calc riepilogo'!$B$2,'Calc valanga'!AY211,'Calc palla di neve'!AY211,'Calc personalizzata'!AY211))</f>
        <v/>
      </c>
      <c r="V188" s="70" t="str">
        <f>IF($A188="","",ROUND(N(W187)*(1+'Calc base'!N211),2)-W188)</f>
        <v/>
      </c>
      <c r="W188" s="75" t="str">
        <f>IF($A188="","",CHOOSE('Calc riepilogo'!$B$2,'Calc valanga'!AZ211,'Calc palla di neve'!AZ211,'Calc personalizzata'!AZ211))</f>
        <v/>
      </c>
      <c r="X188" s="70" t="str">
        <f>IF($A188="","",ROUND(N(Y187)*(1+'Calc base'!O211),2)-Y188)</f>
        <v/>
      </c>
      <c r="Y188" s="75" t="str">
        <f>IF($A188="","",CHOOSE('Calc riepilogo'!$B$2,'Calc valanga'!BA211,'Calc palla di neve'!BA211,'Calc personalizzata'!BA211))</f>
        <v/>
      </c>
      <c r="Z188" s="70" t="str">
        <f>IF($A188="","",ROUND(N(AA187)*(1+'Calc base'!P211),2)-AA188)</f>
        <v/>
      </c>
      <c r="AA188" s="75" t="str">
        <f>IF($A188="","",CHOOSE('Calc riepilogo'!$B$2,'Calc valanga'!BB211,'Calc palla di neve'!BB211,'Calc personalizzata'!BB211))</f>
        <v/>
      </c>
      <c r="AB188" s="70" t="str">
        <f>IF($A188="","",ROUND(N(AC187)*(1+'Calc base'!Q211),2)-AC188)</f>
        <v/>
      </c>
      <c r="AC188" s="75" t="str">
        <f>IF($A188="","",CHOOSE('Calc riepilogo'!$B$2,'Calc valanga'!BC211,'Calc palla di neve'!BC211,'Calc personalizzata'!BC211))</f>
        <v/>
      </c>
      <c r="AD188" s="70" t="str">
        <f>IF($A188="","",ROUND(N(AE187)*(1+'Calc base'!R211),2)-AE188)</f>
        <v/>
      </c>
      <c r="AE188" s="75" t="str">
        <f>IF($A188="","",CHOOSE('Calc riepilogo'!$B$2,'Calc valanga'!BD211,'Calc palla di neve'!BD211,'Calc personalizzata'!BD211))</f>
        <v/>
      </c>
      <c r="AF188" s="70" t="str">
        <f>IF($A188="","",ROUND(N(AG187)*(1+'Calc base'!S211),2)-AG188)</f>
        <v/>
      </c>
      <c r="AG188" s="75" t="str">
        <f>IF($A188="","",CHOOSE('Calc riepilogo'!$B$2,'Calc valanga'!BE211,'Calc palla di neve'!BE211,'Calc personalizzata'!BE211))</f>
        <v/>
      </c>
      <c r="AI188" t="n">
        <v>181</v>
      </c>
    </row>
    <row r="189">
      <c r="A189" s="68" t="str">
        <f>IF(182&gt;'Calc riepilogo'!$B$7,"",'Calc base'!$B212)</f>
        <v/>
      </c>
      <c r="B189" s="69" t="str">
        <f>IF($A189="","",'Calc base'!$C212)</f>
        <v/>
      </c>
      <c r="C189" s="69" t="str">
        <f>IF($A189="","",'Calc base'!$E212)</f>
        <v/>
      </c>
      <c r="D189" s="70" t="str">
        <f>IF($A189="","",J189+L189+N189+P189+R189+T189+V189+X189+Z189+AB189+AD189+AF189)</f>
        <v/>
      </c>
      <c r="E189" s="70" t="str">
        <f>IF($A189="","",CHOOSE('Calc riepilogo'!$B$2,'Calc valanga'!$H212,'Calc palla di neve'!$H212,'Calc personalizzata'!$H212))</f>
        <v/>
      </c>
      <c r="F189" s="71" t="str">
        <f>IF($A189="","",CHOOSE('Calc riepilogo'!$B$2,'Calc valanga'!$G212,'Calc palla di neve'!$G212,'Calc personalizzata'!$G212))</f>
        <v/>
      </c>
      <c r="G189" s="72" t="n"/>
      <c r="H189" s="73" t="n"/>
      <c r="I189" s="74" t="str">
        <f>IF($A189="","",TRIM(IF(AND(N(K188)&gt;0,N(K189)&lt;=0.004),"✓ "&amp;'Calc base'!C$6&amp;"   ","")&amp;IF(AND(N(M188)&gt;0,N(M189)&lt;=0.004),"✓ "&amp;'Calc base'!D$6&amp;"   ","")&amp;IF(AND(N(O188)&gt;0,N(O189)&lt;=0.004),"✓ "&amp;'Calc base'!E$6&amp;"   ","")&amp;IF(AND(N(Q188)&gt;0,N(Q189)&lt;=0.004),"✓ "&amp;'Calc base'!F$6&amp;"   ","")&amp;IF(AND(N(S188)&gt;0,N(S189)&lt;=0.004),"✓ "&amp;'Calc base'!G$6&amp;"   ","")&amp;IF(AND(N(U188)&gt;0,N(U189)&lt;=0.004),"✓ "&amp;'Calc base'!H$6&amp;"   ","")&amp;IF(AND(N(W188)&gt;0,N(W189)&lt;=0.004),"✓ "&amp;'Calc base'!I$6&amp;"   ","")&amp;IF(AND(N(Y188)&gt;0,N(Y189)&lt;=0.004),"✓ "&amp;'Calc base'!J$6&amp;"   ","")&amp;IF(AND(N(AA188)&gt;0,N(AA189)&lt;=0.004),"✓ "&amp;'Calc base'!K$6&amp;"   ","")&amp;IF(AND(N(AC188)&gt;0,N(AC189)&lt;=0.004),"✓ "&amp;'Calc base'!L$6&amp;"   ","")&amp;IF(AND(N(AE188)&gt;0,N(AE189)&lt;=0.004),"✓ "&amp;'Calc base'!M$6&amp;"   ","")&amp;IF(AND(N(AG188)&gt;0,N(AG189)&lt;=0.004),"✓ "&amp;'Calc base'!N$6&amp;"   ","")))</f>
        <v/>
      </c>
      <c r="J189" s="70" t="str">
        <f>IF($A189="","",ROUND(N(K188)*(1+'Calc base'!H212),2)-K189)</f>
        <v/>
      </c>
      <c r="K189" s="75" t="str">
        <f>IF($A189="","",CHOOSE('Calc riepilogo'!$B$2,'Calc valanga'!AT212,'Calc palla di neve'!AT212,'Calc personalizzata'!AT212))</f>
        <v/>
      </c>
      <c r="L189" s="70" t="str">
        <f>IF($A189="","",ROUND(N(M188)*(1+'Calc base'!I212),2)-M189)</f>
        <v/>
      </c>
      <c r="M189" s="75" t="str">
        <f>IF($A189="","",CHOOSE('Calc riepilogo'!$B$2,'Calc valanga'!AU212,'Calc palla di neve'!AU212,'Calc personalizzata'!AU212))</f>
        <v/>
      </c>
      <c r="N189" s="70" t="str">
        <f>IF($A189="","",ROUND(N(O188)*(1+'Calc base'!J212),2)-O189)</f>
        <v/>
      </c>
      <c r="O189" s="75" t="str">
        <f>IF($A189="","",CHOOSE('Calc riepilogo'!$B$2,'Calc valanga'!AV212,'Calc palla di neve'!AV212,'Calc personalizzata'!AV212))</f>
        <v/>
      </c>
      <c r="P189" s="70" t="str">
        <f>IF($A189="","",ROUND(N(Q188)*(1+'Calc base'!K212),2)-Q189)</f>
        <v/>
      </c>
      <c r="Q189" s="75" t="str">
        <f>IF($A189="","",CHOOSE('Calc riepilogo'!$B$2,'Calc valanga'!AW212,'Calc palla di neve'!AW212,'Calc personalizzata'!AW212))</f>
        <v/>
      </c>
      <c r="R189" s="70" t="str">
        <f>IF($A189="","",ROUND(N(S188)*(1+'Calc base'!L212),2)-S189)</f>
        <v/>
      </c>
      <c r="S189" s="75" t="str">
        <f>IF($A189="","",CHOOSE('Calc riepilogo'!$B$2,'Calc valanga'!AX212,'Calc palla di neve'!AX212,'Calc personalizzata'!AX212))</f>
        <v/>
      </c>
      <c r="T189" s="70" t="str">
        <f>IF($A189="","",ROUND(N(U188)*(1+'Calc base'!M212),2)-U189)</f>
        <v/>
      </c>
      <c r="U189" s="75" t="str">
        <f>IF($A189="","",CHOOSE('Calc riepilogo'!$B$2,'Calc valanga'!AY212,'Calc palla di neve'!AY212,'Calc personalizzata'!AY212))</f>
        <v/>
      </c>
      <c r="V189" s="70" t="str">
        <f>IF($A189="","",ROUND(N(W188)*(1+'Calc base'!N212),2)-W189)</f>
        <v/>
      </c>
      <c r="W189" s="75" t="str">
        <f>IF($A189="","",CHOOSE('Calc riepilogo'!$B$2,'Calc valanga'!AZ212,'Calc palla di neve'!AZ212,'Calc personalizzata'!AZ212))</f>
        <v/>
      </c>
      <c r="X189" s="70" t="str">
        <f>IF($A189="","",ROUND(N(Y188)*(1+'Calc base'!O212),2)-Y189)</f>
        <v/>
      </c>
      <c r="Y189" s="75" t="str">
        <f>IF($A189="","",CHOOSE('Calc riepilogo'!$B$2,'Calc valanga'!BA212,'Calc palla di neve'!BA212,'Calc personalizzata'!BA212))</f>
        <v/>
      </c>
      <c r="Z189" s="70" t="str">
        <f>IF($A189="","",ROUND(N(AA188)*(1+'Calc base'!P212),2)-AA189)</f>
        <v/>
      </c>
      <c r="AA189" s="75" t="str">
        <f>IF($A189="","",CHOOSE('Calc riepilogo'!$B$2,'Calc valanga'!BB212,'Calc palla di neve'!BB212,'Calc personalizzata'!BB212))</f>
        <v/>
      </c>
      <c r="AB189" s="70" t="str">
        <f>IF($A189="","",ROUND(N(AC188)*(1+'Calc base'!Q212),2)-AC189)</f>
        <v/>
      </c>
      <c r="AC189" s="75" t="str">
        <f>IF($A189="","",CHOOSE('Calc riepilogo'!$B$2,'Calc valanga'!BC212,'Calc palla di neve'!BC212,'Calc personalizzata'!BC212))</f>
        <v/>
      </c>
      <c r="AD189" s="70" t="str">
        <f>IF($A189="","",ROUND(N(AE188)*(1+'Calc base'!R212),2)-AE189)</f>
        <v/>
      </c>
      <c r="AE189" s="75" t="str">
        <f>IF($A189="","",CHOOSE('Calc riepilogo'!$B$2,'Calc valanga'!BD212,'Calc palla di neve'!BD212,'Calc personalizzata'!BD212))</f>
        <v/>
      </c>
      <c r="AF189" s="70" t="str">
        <f>IF($A189="","",ROUND(N(AG188)*(1+'Calc base'!S212),2)-AG189)</f>
        <v/>
      </c>
      <c r="AG189" s="75" t="str">
        <f>IF($A189="","",CHOOSE('Calc riepilogo'!$B$2,'Calc valanga'!BE212,'Calc palla di neve'!BE212,'Calc personalizzata'!BE212))</f>
        <v/>
      </c>
      <c r="AI189" t="n">
        <v>182</v>
      </c>
    </row>
    <row r="190">
      <c r="A190" s="68" t="str">
        <f>IF(183&gt;'Calc riepilogo'!$B$7,"",'Calc base'!$B213)</f>
        <v/>
      </c>
      <c r="B190" s="69" t="str">
        <f>IF($A190="","",'Calc base'!$C213)</f>
        <v/>
      </c>
      <c r="C190" s="69" t="str">
        <f>IF($A190="","",'Calc base'!$E213)</f>
        <v/>
      </c>
      <c r="D190" s="70" t="str">
        <f>IF($A190="","",J190+L190+N190+P190+R190+T190+V190+X190+Z190+AB190+AD190+AF190)</f>
        <v/>
      </c>
      <c r="E190" s="70" t="str">
        <f>IF($A190="","",CHOOSE('Calc riepilogo'!$B$2,'Calc valanga'!$H213,'Calc palla di neve'!$H213,'Calc personalizzata'!$H213))</f>
        <v/>
      </c>
      <c r="F190" s="71" t="str">
        <f>IF($A190="","",CHOOSE('Calc riepilogo'!$B$2,'Calc valanga'!$G213,'Calc palla di neve'!$G213,'Calc personalizzata'!$G213))</f>
        <v/>
      </c>
      <c r="G190" s="72" t="n"/>
      <c r="H190" s="73" t="n"/>
      <c r="I190" s="74" t="str">
        <f>IF($A190="","",TRIM(IF(AND(N(K189)&gt;0,N(K190)&lt;=0.004),"✓ "&amp;'Calc base'!C$6&amp;"   ","")&amp;IF(AND(N(M189)&gt;0,N(M190)&lt;=0.004),"✓ "&amp;'Calc base'!D$6&amp;"   ","")&amp;IF(AND(N(O189)&gt;0,N(O190)&lt;=0.004),"✓ "&amp;'Calc base'!E$6&amp;"   ","")&amp;IF(AND(N(Q189)&gt;0,N(Q190)&lt;=0.004),"✓ "&amp;'Calc base'!F$6&amp;"   ","")&amp;IF(AND(N(S189)&gt;0,N(S190)&lt;=0.004),"✓ "&amp;'Calc base'!G$6&amp;"   ","")&amp;IF(AND(N(U189)&gt;0,N(U190)&lt;=0.004),"✓ "&amp;'Calc base'!H$6&amp;"   ","")&amp;IF(AND(N(W189)&gt;0,N(W190)&lt;=0.004),"✓ "&amp;'Calc base'!I$6&amp;"   ","")&amp;IF(AND(N(Y189)&gt;0,N(Y190)&lt;=0.004),"✓ "&amp;'Calc base'!J$6&amp;"   ","")&amp;IF(AND(N(AA189)&gt;0,N(AA190)&lt;=0.004),"✓ "&amp;'Calc base'!K$6&amp;"   ","")&amp;IF(AND(N(AC189)&gt;0,N(AC190)&lt;=0.004),"✓ "&amp;'Calc base'!L$6&amp;"   ","")&amp;IF(AND(N(AE189)&gt;0,N(AE190)&lt;=0.004),"✓ "&amp;'Calc base'!M$6&amp;"   ","")&amp;IF(AND(N(AG189)&gt;0,N(AG190)&lt;=0.004),"✓ "&amp;'Calc base'!N$6&amp;"   ","")))</f>
        <v/>
      </c>
      <c r="J190" s="70" t="str">
        <f>IF($A190="","",ROUND(N(K189)*(1+'Calc base'!H213),2)-K190)</f>
        <v/>
      </c>
      <c r="K190" s="75" t="str">
        <f>IF($A190="","",CHOOSE('Calc riepilogo'!$B$2,'Calc valanga'!AT213,'Calc palla di neve'!AT213,'Calc personalizzata'!AT213))</f>
        <v/>
      </c>
      <c r="L190" s="70" t="str">
        <f>IF($A190="","",ROUND(N(M189)*(1+'Calc base'!I213),2)-M190)</f>
        <v/>
      </c>
      <c r="M190" s="75" t="str">
        <f>IF($A190="","",CHOOSE('Calc riepilogo'!$B$2,'Calc valanga'!AU213,'Calc palla di neve'!AU213,'Calc personalizzata'!AU213))</f>
        <v/>
      </c>
      <c r="N190" s="70" t="str">
        <f>IF($A190="","",ROUND(N(O189)*(1+'Calc base'!J213),2)-O190)</f>
        <v/>
      </c>
      <c r="O190" s="75" t="str">
        <f>IF($A190="","",CHOOSE('Calc riepilogo'!$B$2,'Calc valanga'!AV213,'Calc palla di neve'!AV213,'Calc personalizzata'!AV213))</f>
        <v/>
      </c>
      <c r="P190" s="70" t="str">
        <f>IF($A190="","",ROUND(N(Q189)*(1+'Calc base'!K213),2)-Q190)</f>
        <v/>
      </c>
      <c r="Q190" s="75" t="str">
        <f>IF($A190="","",CHOOSE('Calc riepilogo'!$B$2,'Calc valanga'!AW213,'Calc palla di neve'!AW213,'Calc personalizzata'!AW213))</f>
        <v/>
      </c>
      <c r="R190" s="70" t="str">
        <f>IF($A190="","",ROUND(N(S189)*(1+'Calc base'!L213),2)-S190)</f>
        <v/>
      </c>
      <c r="S190" s="75" t="str">
        <f>IF($A190="","",CHOOSE('Calc riepilogo'!$B$2,'Calc valanga'!AX213,'Calc palla di neve'!AX213,'Calc personalizzata'!AX213))</f>
        <v/>
      </c>
      <c r="T190" s="70" t="str">
        <f>IF($A190="","",ROUND(N(U189)*(1+'Calc base'!M213),2)-U190)</f>
        <v/>
      </c>
      <c r="U190" s="75" t="str">
        <f>IF($A190="","",CHOOSE('Calc riepilogo'!$B$2,'Calc valanga'!AY213,'Calc palla di neve'!AY213,'Calc personalizzata'!AY213))</f>
        <v/>
      </c>
      <c r="V190" s="70" t="str">
        <f>IF($A190="","",ROUND(N(W189)*(1+'Calc base'!N213),2)-W190)</f>
        <v/>
      </c>
      <c r="W190" s="75" t="str">
        <f>IF($A190="","",CHOOSE('Calc riepilogo'!$B$2,'Calc valanga'!AZ213,'Calc palla di neve'!AZ213,'Calc personalizzata'!AZ213))</f>
        <v/>
      </c>
      <c r="X190" s="70" t="str">
        <f>IF($A190="","",ROUND(N(Y189)*(1+'Calc base'!O213),2)-Y190)</f>
        <v/>
      </c>
      <c r="Y190" s="75" t="str">
        <f>IF($A190="","",CHOOSE('Calc riepilogo'!$B$2,'Calc valanga'!BA213,'Calc palla di neve'!BA213,'Calc personalizzata'!BA213))</f>
        <v/>
      </c>
      <c r="Z190" s="70" t="str">
        <f>IF($A190="","",ROUND(N(AA189)*(1+'Calc base'!P213),2)-AA190)</f>
        <v/>
      </c>
      <c r="AA190" s="75" t="str">
        <f>IF($A190="","",CHOOSE('Calc riepilogo'!$B$2,'Calc valanga'!BB213,'Calc palla di neve'!BB213,'Calc personalizzata'!BB213))</f>
        <v/>
      </c>
      <c r="AB190" s="70" t="str">
        <f>IF($A190="","",ROUND(N(AC189)*(1+'Calc base'!Q213),2)-AC190)</f>
        <v/>
      </c>
      <c r="AC190" s="75" t="str">
        <f>IF($A190="","",CHOOSE('Calc riepilogo'!$B$2,'Calc valanga'!BC213,'Calc palla di neve'!BC213,'Calc personalizzata'!BC213))</f>
        <v/>
      </c>
      <c r="AD190" s="70" t="str">
        <f>IF($A190="","",ROUND(N(AE189)*(1+'Calc base'!R213),2)-AE190)</f>
        <v/>
      </c>
      <c r="AE190" s="75" t="str">
        <f>IF($A190="","",CHOOSE('Calc riepilogo'!$B$2,'Calc valanga'!BD213,'Calc palla di neve'!BD213,'Calc personalizzata'!BD213))</f>
        <v/>
      </c>
      <c r="AF190" s="70" t="str">
        <f>IF($A190="","",ROUND(N(AG189)*(1+'Calc base'!S213),2)-AG190)</f>
        <v/>
      </c>
      <c r="AG190" s="75" t="str">
        <f>IF($A190="","",CHOOSE('Calc riepilogo'!$B$2,'Calc valanga'!BE213,'Calc palla di neve'!BE213,'Calc personalizzata'!BE213))</f>
        <v/>
      </c>
      <c r="AI190" t="n">
        <v>183</v>
      </c>
    </row>
    <row r="191">
      <c r="A191" s="68" t="str">
        <f>IF(184&gt;'Calc riepilogo'!$B$7,"",'Calc base'!$B214)</f>
        <v/>
      </c>
      <c r="B191" s="69" t="str">
        <f>IF($A191="","",'Calc base'!$C214)</f>
        <v/>
      </c>
      <c r="C191" s="69" t="str">
        <f>IF($A191="","",'Calc base'!$E214)</f>
        <v/>
      </c>
      <c r="D191" s="70" t="str">
        <f>IF($A191="","",J191+L191+N191+P191+R191+T191+V191+X191+Z191+AB191+AD191+AF191)</f>
        <v/>
      </c>
      <c r="E191" s="70" t="str">
        <f>IF($A191="","",CHOOSE('Calc riepilogo'!$B$2,'Calc valanga'!$H214,'Calc palla di neve'!$H214,'Calc personalizzata'!$H214))</f>
        <v/>
      </c>
      <c r="F191" s="71" t="str">
        <f>IF($A191="","",CHOOSE('Calc riepilogo'!$B$2,'Calc valanga'!$G214,'Calc palla di neve'!$G214,'Calc personalizzata'!$G214))</f>
        <v/>
      </c>
      <c r="G191" s="72" t="n"/>
      <c r="H191" s="73" t="n"/>
      <c r="I191" s="74" t="str">
        <f>IF($A191="","",TRIM(IF(AND(N(K190)&gt;0,N(K191)&lt;=0.004),"✓ "&amp;'Calc base'!C$6&amp;"   ","")&amp;IF(AND(N(M190)&gt;0,N(M191)&lt;=0.004),"✓ "&amp;'Calc base'!D$6&amp;"   ","")&amp;IF(AND(N(O190)&gt;0,N(O191)&lt;=0.004),"✓ "&amp;'Calc base'!E$6&amp;"   ","")&amp;IF(AND(N(Q190)&gt;0,N(Q191)&lt;=0.004),"✓ "&amp;'Calc base'!F$6&amp;"   ","")&amp;IF(AND(N(S190)&gt;0,N(S191)&lt;=0.004),"✓ "&amp;'Calc base'!G$6&amp;"   ","")&amp;IF(AND(N(U190)&gt;0,N(U191)&lt;=0.004),"✓ "&amp;'Calc base'!H$6&amp;"   ","")&amp;IF(AND(N(W190)&gt;0,N(W191)&lt;=0.004),"✓ "&amp;'Calc base'!I$6&amp;"   ","")&amp;IF(AND(N(Y190)&gt;0,N(Y191)&lt;=0.004),"✓ "&amp;'Calc base'!J$6&amp;"   ","")&amp;IF(AND(N(AA190)&gt;0,N(AA191)&lt;=0.004),"✓ "&amp;'Calc base'!K$6&amp;"   ","")&amp;IF(AND(N(AC190)&gt;0,N(AC191)&lt;=0.004),"✓ "&amp;'Calc base'!L$6&amp;"   ","")&amp;IF(AND(N(AE190)&gt;0,N(AE191)&lt;=0.004),"✓ "&amp;'Calc base'!M$6&amp;"   ","")&amp;IF(AND(N(AG190)&gt;0,N(AG191)&lt;=0.004),"✓ "&amp;'Calc base'!N$6&amp;"   ","")))</f>
        <v/>
      </c>
      <c r="J191" s="70" t="str">
        <f>IF($A191="","",ROUND(N(K190)*(1+'Calc base'!H214),2)-K191)</f>
        <v/>
      </c>
      <c r="K191" s="75" t="str">
        <f>IF($A191="","",CHOOSE('Calc riepilogo'!$B$2,'Calc valanga'!AT214,'Calc palla di neve'!AT214,'Calc personalizzata'!AT214))</f>
        <v/>
      </c>
      <c r="L191" s="70" t="str">
        <f>IF($A191="","",ROUND(N(M190)*(1+'Calc base'!I214),2)-M191)</f>
        <v/>
      </c>
      <c r="M191" s="75" t="str">
        <f>IF($A191="","",CHOOSE('Calc riepilogo'!$B$2,'Calc valanga'!AU214,'Calc palla di neve'!AU214,'Calc personalizzata'!AU214))</f>
        <v/>
      </c>
      <c r="N191" s="70" t="str">
        <f>IF($A191="","",ROUND(N(O190)*(1+'Calc base'!J214),2)-O191)</f>
        <v/>
      </c>
      <c r="O191" s="75" t="str">
        <f>IF($A191="","",CHOOSE('Calc riepilogo'!$B$2,'Calc valanga'!AV214,'Calc palla di neve'!AV214,'Calc personalizzata'!AV214))</f>
        <v/>
      </c>
      <c r="P191" s="70" t="str">
        <f>IF($A191="","",ROUND(N(Q190)*(1+'Calc base'!K214),2)-Q191)</f>
        <v/>
      </c>
      <c r="Q191" s="75" t="str">
        <f>IF($A191="","",CHOOSE('Calc riepilogo'!$B$2,'Calc valanga'!AW214,'Calc palla di neve'!AW214,'Calc personalizzata'!AW214))</f>
        <v/>
      </c>
      <c r="R191" s="70" t="str">
        <f>IF($A191="","",ROUND(N(S190)*(1+'Calc base'!L214),2)-S191)</f>
        <v/>
      </c>
      <c r="S191" s="75" t="str">
        <f>IF($A191="","",CHOOSE('Calc riepilogo'!$B$2,'Calc valanga'!AX214,'Calc palla di neve'!AX214,'Calc personalizzata'!AX214))</f>
        <v/>
      </c>
      <c r="T191" s="70" t="str">
        <f>IF($A191="","",ROUND(N(U190)*(1+'Calc base'!M214),2)-U191)</f>
        <v/>
      </c>
      <c r="U191" s="75" t="str">
        <f>IF($A191="","",CHOOSE('Calc riepilogo'!$B$2,'Calc valanga'!AY214,'Calc palla di neve'!AY214,'Calc personalizzata'!AY214))</f>
        <v/>
      </c>
      <c r="V191" s="70" t="str">
        <f>IF($A191="","",ROUND(N(W190)*(1+'Calc base'!N214),2)-W191)</f>
        <v/>
      </c>
      <c r="W191" s="75" t="str">
        <f>IF($A191="","",CHOOSE('Calc riepilogo'!$B$2,'Calc valanga'!AZ214,'Calc palla di neve'!AZ214,'Calc personalizzata'!AZ214))</f>
        <v/>
      </c>
      <c r="X191" s="70" t="str">
        <f>IF($A191="","",ROUND(N(Y190)*(1+'Calc base'!O214),2)-Y191)</f>
        <v/>
      </c>
      <c r="Y191" s="75" t="str">
        <f>IF($A191="","",CHOOSE('Calc riepilogo'!$B$2,'Calc valanga'!BA214,'Calc palla di neve'!BA214,'Calc personalizzata'!BA214))</f>
        <v/>
      </c>
      <c r="Z191" s="70" t="str">
        <f>IF($A191="","",ROUND(N(AA190)*(1+'Calc base'!P214),2)-AA191)</f>
        <v/>
      </c>
      <c r="AA191" s="75" t="str">
        <f>IF($A191="","",CHOOSE('Calc riepilogo'!$B$2,'Calc valanga'!BB214,'Calc palla di neve'!BB214,'Calc personalizzata'!BB214))</f>
        <v/>
      </c>
      <c r="AB191" s="70" t="str">
        <f>IF($A191="","",ROUND(N(AC190)*(1+'Calc base'!Q214),2)-AC191)</f>
        <v/>
      </c>
      <c r="AC191" s="75" t="str">
        <f>IF($A191="","",CHOOSE('Calc riepilogo'!$B$2,'Calc valanga'!BC214,'Calc palla di neve'!BC214,'Calc personalizzata'!BC214))</f>
        <v/>
      </c>
      <c r="AD191" s="70" t="str">
        <f>IF($A191="","",ROUND(N(AE190)*(1+'Calc base'!R214),2)-AE191)</f>
        <v/>
      </c>
      <c r="AE191" s="75" t="str">
        <f>IF($A191="","",CHOOSE('Calc riepilogo'!$B$2,'Calc valanga'!BD214,'Calc palla di neve'!BD214,'Calc personalizzata'!BD214))</f>
        <v/>
      </c>
      <c r="AF191" s="70" t="str">
        <f>IF($A191="","",ROUND(N(AG190)*(1+'Calc base'!S214),2)-AG191)</f>
        <v/>
      </c>
      <c r="AG191" s="75" t="str">
        <f>IF($A191="","",CHOOSE('Calc riepilogo'!$B$2,'Calc valanga'!BE214,'Calc palla di neve'!BE214,'Calc personalizzata'!BE214))</f>
        <v/>
      </c>
      <c r="AI191" t="n">
        <v>184</v>
      </c>
    </row>
    <row r="192">
      <c r="A192" s="68" t="str">
        <f>IF(185&gt;'Calc riepilogo'!$B$7,"",'Calc base'!$B215)</f>
        <v/>
      </c>
      <c r="B192" s="69" t="str">
        <f>IF($A192="","",'Calc base'!$C215)</f>
        <v/>
      </c>
      <c r="C192" s="69" t="str">
        <f>IF($A192="","",'Calc base'!$E215)</f>
        <v/>
      </c>
      <c r="D192" s="70" t="str">
        <f>IF($A192="","",J192+L192+N192+P192+R192+T192+V192+X192+Z192+AB192+AD192+AF192)</f>
        <v/>
      </c>
      <c r="E192" s="70" t="str">
        <f>IF($A192="","",CHOOSE('Calc riepilogo'!$B$2,'Calc valanga'!$H215,'Calc palla di neve'!$H215,'Calc personalizzata'!$H215))</f>
        <v/>
      </c>
      <c r="F192" s="71" t="str">
        <f>IF($A192="","",CHOOSE('Calc riepilogo'!$B$2,'Calc valanga'!$G215,'Calc palla di neve'!$G215,'Calc personalizzata'!$G215))</f>
        <v/>
      </c>
      <c r="G192" s="72" t="n"/>
      <c r="H192" s="73" t="n"/>
      <c r="I192" s="74" t="str">
        <f>IF($A192="","",TRIM(IF(AND(N(K191)&gt;0,N(K192)&lt;=0.004),"✓ "&amp;'Calc base'!C$6&amp;"   ","")&amp;IF(AND(N(M191)&gt;0,N(M192)&lt;=0.004),"✓ "&amp;'Calc base'!D$6&amp;"   ","")&amp;IF(AND(N(O191)&gt;0,N(O192)&lt;=0.004),"✓ "&amp;'Calc base'!E$6&amp;"   ","")&amp;IF(AND(N(Q191)&gt;0,N(Q192)&lt;=0.004),"✓ "&amp;'Calc base'!F$6&amp;"   ","")&amp;IF(AND(N(S191)&gt;0,N(S192)&lt;=0.004),"✓ "&amp;'Calc base'!G$6&amp;"   ","")&amp;IF(AND(N(U191)&gt;0,N(U192)&lt;=0.004),"✓ "&amp;'Calc base'!H$6&amp;"   ","")&amp;IF(AND(N(W191)&gt;0,N(W192)&lt;=0.004),"✓ "&amp;'Calc base'!I$6&amp;"   ","")&amp;IF(AND(N(Y191)&gt;0,N(Y192)&lt;=0.004),"✓ "&amp;'Calc base'!J$6&amp;"   ","")&amp;IF(AND(N(AA191)&gt;0,N(AA192)&lt;=0.004),"✓ "&amp;'Calc base'!K$6&amp;"   ","")&amp;IF(AND(N(AC191)&gt;0,N(AC192)&lt;=0.004),"✓ "&amp;'Calc base'!L$6&amp;"   ","")&amp;IF(AND(N(AE191)&gt;0,N(AE192)&lt;=0.004),"✓ "&amp;'Calc base'!M$6&amp;"   ","")&amp;IF(AND(N(AG191)&gt;0,N(AG192)&lt;=0.004),"✓ "&amp;'Calc base'!N$6&amp;"   ","")))</f>
        <v/>
      </c>
      <c r="J192" s="70" t="str">
        <f>IF($A192="","",ROUND(N(K191)*(1+'Calc base'!H215),2)-K192)</f>
        <v/>
      </c>
      <c r="K192" s="75" t="str">
        <f>IF($A192="","",CHOOSE('Calc riepilogo'!$B$2,'Calc valanga'!AT215,'Calc palla di neve'!AT215,'Calc personalizzata'!AT215))</f>
        <v/>
      </c>
      <c r="L192" s="70" t="str">
        <f>IF($A192="","",ROUND(N(M191)*(1+'Calc base'!I215),2)-M192)</f>
        <v/>
      </c>
      <c r="M192" s="75" t="str">
        <f>IF($A192="","",CHOOSE('Calc riepilogo'!$B$2,'Calc valanga'!AU215,'Calc palla di neve'!AU215,'Calc personalizzata'!AU215))</f>
        <v/>
      </c>
      <c r="N192" s="70" t="str">
        <f>IF($A192="","",ROUND(N(O191)*(1+'Calc base'!J215),2)-O192)</f>
        <v/>
      </c>
      <c r="O192" s="75" t="str">
        <f>IF($A192="","",CHOOSE('Calc riepilogo'!$B$2,'Calc valanga'!AV215,'Calc palla di neve'!AV215,'Calc personalizzata'!AV215))</f>
        <v/>
      </c>
      <c r="P192" s="70" t="str">
        <f>IF($A192="","",ROUND(N(Q191)*(1+'Calc base'!K215),2)-Q192)</f>
        <v/>
      </c>
      <c r="Q192" s="75" t="str">
        <f>IF($A192="","",CHOOSE('Calc riepilogo'!$B$2,'Calc valanga'!AW215,'Calc palla di neve'!AW215,'Calc personalizzata'!AW215))</f>
        <v/>
      </c>
      <c r="R192" s="70" t="str">
        <f>IF($A192="","",ROUND(N(S191)*(1+'Calc base'!L215),2)-S192)</f>
        <v/>
      </c>
      <c r="S192" s="75" t="str">
        <f>IF($A192="","",CHOOSE('Calc riepilogo'!$B$2,'Calc valanga'!AX215,'Calc palla di neve'!AX215,'Calc personalizzata'!AX215))</f>
        <v/>
      </c>
      <c r="T192" s="70" t="str">
        <f>IF($A192="","",ROUND(N(U191)*(1+'Calc base'!M215),2)-U192)</f>
        <v/>
      </c>
      <c r="U192" s="75" t="str">
        <f>IF($A192="","",CHOOSE('Calc riepilogo'!$B$2,'Calc valanga'!AY215,'Calc palla di neve'!AY215,'Calc personalizzata'!AY215))</f>
        <v/>
      </c>
      <c r="V192" s="70" t="str">
        <f>IF($A192="","",ROUND(N(W191)*(1+'Calc base'!N215),2)-W192)</f>
        <v/>
      </c>
      <c r="W192" s="75" t="str">
        <f>IF($A192="","",CHOOSE('Calc riepilogo'!$B$2,'Calc valanga'!AZ215,'Calc palla di neve'!AZ215,'Calc personalizzata'!AZ215))</f>
        <v/>
      </c>
      <c r="X192" s="70" t="str">
        <f>IF($A192="","",ROUND(N(Y191)*(1+'Calc base'!O215),2)-Y192)</f>
        <v/>
      </c>
      <c r="Y192" s="75" t="str">
        <f>IF($A192="","",CHOOSE('Calc riepilogo'!$B$2,'Calc valanga'!BA215,'Calc palla di neve'!BA215,'Calc personalizzata'!BA215))</f>
        <v/>
      </c>
      <c r="Z192" s="70" t="str">
        <f>IF($A192="","",ROUND(N(AA191)*(1+'Calc base'!P215),2)-AA192)</f>
        <v/>
      </c>
      <c r="AA192" s="75" t="str">
        <f>IF($A192="","",CHOOSE('Calc riepilogo'!$B$2,'Calc valanga'!BB215,'Calc palla di neve'!BB215,'Calc personalizzata'!BB215))</f>
        <v/>
      </c>
      <c r="AB192" s="70" t="str">
        <f>IF($A192="","",ROUND(N(AC191)*(1+'Calc base'!Q215),2)-AC192)</f>
        <v/>
      </c>
      <c r="AC192" s="75" t="str">
        <f>IF($A192="","",CHOOSE('Calc riepilogo'!$B$2,'Calc valanga'!BC215,'Calc palla di neve'!BC215,'Calc personalizzata'!BC215))</f>
        <v/>
      </c>
      <c r="AD192" s="70" t="str">
        <f>IF($A192="","",ROUND(N(AE191)*(1+'Calc base'!R215),2)-AE192)</f>
        <v/>
      </c>
      <c r="AE192" s="75" t="str">
        <f>IF($A192="","",CHOOSE('Calc riepilogo'!$B$2,'Calc valanga'!BD215,'Calc palla di neve'!BD215,'Calc personalizzata'!BD215))</f>
        <v/>
      </c>
      <c r="AF192" s="70" t="str">
        <f>IF($A192="","",ROUND(N(AG191)*(1+'Calc base'!S215),2)-AG192)</f>
        <v/>
      </c>
      <c r="AG192" s="75" t="str">
        <f>IF($A192="","",CHOOSE('Calc riepilogo'!$B$2,'Calc valanga'!BE215,'Calc palla di neve'!BE215,'Calc personalizzata'!BE215))</f>
        <v/>
      </c>
      <c r="AI192" t="n">
        <v>185</v>
      </c>
    </row>
    <row r="193">
      <c r="A193" s="68" t="str">
        <f>IF(186&gt;'Calc riepilogo'!$B$7,"",'Calc base'!$B216)</f>
        <v/>
      </c>
      <c r="B193" s="69" t="str">
        <f>IF($A193="","",'Calc base'!$C216)</f>
        <v/>
      </c>
      <c r="C193" s="69" t="str">
        <f>IF($A193="","",'Calc base'!$E216)</f>
        <v/>
      </c>
      <c r="D193" s="70" t="str">
        <f>IF($A193="","",J193+L193+N193+P193+R193+T193+V193+X193+Z193+AB193+AD193+AF193)</f>
        <v/>
      </c>
      <c r="E193" s="70" t="str">
        <f>IF($A193="","",CHOOSE('Calc riepilogo'!$B$2,'Calc valanga'!$H216,'Calc palla di neve'!$H216,'Calc personalizzata'!$H216))</f>
        <v/>
      </c>
      <c r="F193" s="71" t="str">
        <f>IF($A193="","",CHOOSE('Calc riepilogo'!$B$2,'Calc valanga'!$G216,'Calc palla di neve'!$G216,'Calc personalizzata'!$G216))</f>
        <v/>
      </c>
      <c r="G193" s="72" t="n"/>
      <c r="H193" s="73" t="n"/>
      <c r="I193" s="74" t="str">
        <f>IF($A193="","",TRIM(IF(AND(N(K192)&gt;0,N(K193)&lt;=0.004),"✓ "&amp;'Calc base'!C$6&amp;"   ","")&amp;IF(AND(N(M192)&gt;0,N(M193)&lt;=0.004),"✓ "&amp;'Calc base'!D$6&amp;"   ","")&amp;IF(AND(N(O192)&gt;0,N(O193)&lt;=0.004),"✓ "&amp;'Calc base'!E$6&amp;"   ","")&amp;IF(AND(N(Q192)&gt;0,N(Q193)&lt;=0.004),"✓ "&amp;'Calc base'!F$6&amp;"   ","")&amp;IF(AND(N(S192)&gt;0,N(S193)&lt;=0.004),"✓ "&amp;'Calc base'!G$6&amp;"   ","")&amp;IF(AND(N(U192)&gt;0,N(U193)&lt;=0.004),"✓ "&amp;'Calc base'!H$6&amp;"   ","")&amp;IF(AND(N(W192)&gt;0,N(W193)&lt;=0.004),"✓ "&amp;'Calc base'!I$6&amp;"   ","")&amp;IF(AND(N(Y192)&gt;0,N(Y193)&lt;=0.004),"✓ "&amp;'Calc base'!J$6&amp;"   ","")&amp;IF(AND(N(AA192)&gt;0,N(AA193)&lt;=0.004),"✓ "&amp;'Calc base'!K$6&amp;"   ","")&amp;IF(AND(N(AC192)&gt;0,N(AC193)&lt;=0.004),"✓ "&amp;'Calc base'!L$6&amp;"   ","")&amp;IF(AND(N(AE192)&gt;0,N(AE193)&lt;=0.004),"✓ "&amp;'Calc base'!M$6&amp;"   ","")&amp;IF(AND(N(AG192)&gt;0,N(AG193)&lt;=0.004),"✓ "&amp;'Calc base'!N$6&amp;"   ","")))</f>
        <v/>
      </c>
      <c r="J193" s="70" t="str">
        <f>IF($A193="","",ROUND(N(K192)*(1+'Calc base'!H216),2)-K193)</f>
        <v/>
      </c>
      <c r="K193" s="75" t="str">
        <f>IF($A193="","",CHOOSE('Calc riepilogo'!$B$2,'Calc valanga'!AT216,'Calc palla di neve'!AT216,'Calc personalizzata'!AT216))</f>
        <v/>
      </c>
      <c r="L193" s="70" t="str">
        <f>IF($A193="","",ROUND(N(M192)*(1+'Calc base'!I216),2)-M193)</f>
        <v/>
      </c>
      <c r="M193" s="75" t="str">
        <f>IF($A193="","",CHOOSE('Calc riepilogo'!$B$2,'Calc valanga'!AU216,'Calc palla di neve'!AU216,'Calc personalizzata'!AU216))</f>
        <v/>
      </c>
      <c r="N193" s="70" t="str">
        <f>IF($A193="","",ROUND(N(O192)*(1+'Calc base'!J216),2)-O193)</f>
        <v/>
      </c>
      <c r="O193" s="75" t="str">
        <f>IF($A193="","",CHOOSE('Calc riepilogo'!$B$2,'Calc valanga'!AV216,'Calc palla di neve'!AV216,'Calc personalizzata'!AV216))</f>
        <v/>
      </c>
      <c r="P193" s="70" t="str">
        <f>IF($A193="","",ROUND(N(Q192)*(1+'Calc base'!K216),2)-Q193)</f>
        <v/>
      </c>
      <c r="Q193" s="75" t="str">
        <f>IF($A193="","",CHOOSE('Calc riepilogo'!$B$2,'Calc valanga'!AW216,'Calc palla di neve'!AW216,'Calc personalizzata'!AW216))</f>
        <v/>
      </c>
      <c r="R193" s="70" t="str">
        <f>IF($A193="","",ROUND(N(S192)*(1+'Calc base'!L216),2)-S193)</f>
        <v/>
      </c>
      <c r="S193" s="75" t="str">
        <f>IF($A193="","",CHOOSE('Calc riepilogo'!$B$2,'Calc valanga'!AX216,'Calc palla di neve'!AX216,'Calc personalizzata'!AX216))</f>
        <v/>
      </c>
      <c r="T193" s="70" t="str">
        <f>IF($A193="","",ROUND(N(U192)*(1+'Calc base'!M216),2)-U193)</f>
        <v/>
      </c>
      <c r="U193" s="75" t="str">
        <f>IF($A193="","",CHOOSE('Calc riepilogo'!$B$2,'Calc valanga'!AY216,'Calc palla di neve'!AY216,'Calc personalizzata'!AY216))</f>
        <v/>
      </c>
      <c r="V193" s="70" t="str">
        <f>IF($A193="","",ROUND(N(W192)*(1+'Calc base'!N216),2)-W193)</f>
        <v/>
      </c>
      <c r="W193" s="75" t="str">
        <f>IF($A193="","",CHOOSE('Calc riepilogo'!$B$2,'Calc valanga'!AZ216,'Calc palla di neve'!AZ216,'Calc personalizzata'!AZ216))</f>
        <v/>
      </c>
      <c r="X193" s="70" t="str">
        <f>IF($A193="","",ROUND(N(Y192)*(1+'Calc base'!O216),2)-Y193)</f>
        <v/>
      </c>
      <c r="Y193" s="75" t="str">
        <f>IF($A193="","",CHOOSE('Calc riepilogo'!$B$2,'Calc valanga'!BA216,'Calc palla di neve'!BA216,'Calc personalizzata'!BA216))</f>
        <v/>
      </c>
      <c r="Z193" s="70" t="str">
        <f>IF($A193="","",ROUND(N(AA192)*(1+'Calc base'!P216),2)-AA193)</f>
        <v/>
      </c>
      <c r="AA193" s="75" t="str">
        <f>IF($A193="","",CHOOSE('Calc riepilogo'!$B$2,'Calc valanga'!BB216,'Calc palla di neve'!BB216,'Calc personalizzata'!BB216))</f>
        <v/>
      </c>
      <c r="AB193" s="70" t="str">
        <f>IF($A193="","",ROUND(N(AC192)*(1+'Calc base'!Q216),2)-AC193)</f>
        <v/>
      </c>
      <c r="AC193" s="75" t="str">
        <f>IF($A193="","",CHOOSE('Calc riepilogo'!$B$2,'Calc valanga'!BC216,'Calc palla di neve'!BC216,'Calc personalizzata'!BC216))</f>
        <v/>
      </c>
      <c r="AD193" s="70" t="str">
        <f>IF($A193="","",ROUND(N(AE192)*(1+'Calc base'!R216),2)-AE193)</f>
        <v/>
      </c>
      <c r="AE193" s="75" t="str">
        <f>IF($A193="","",CHOOSE('Calc riepilogo'!$B$2,'Calc valanga'!BD216,'Calc palla di neve'!BD216,'Calc personalizzata'!BD216))</f>
        <v/>
      </c>
      <c r="AF193" s="70" t="str">
        <f>IF($A193="","",ROUND(N(AG192)*(1+'Calc base'!S216),2)-AG193)</f>
        <v/>
      </c>
      <c r="AG193" s="75" t="str">
        <f>IF($A193="","",CHOOSE('Calc riepilogo'!$B$2,'Calc valanga'!BE216,'Calc palla di neve'!BE216,'Calc personalizzata'!BE216))</f>
        <v/>
      </c>
      <c r="AI193" t="n">
        <v>186</v>
      </c>
    </row>
    <row r="194">
      <c r="A194" s="68" t="str">
        <f>IF(187&gt;'Calc riepilogo'!$B$7,"",'Calc base'!$B217)</f>
        <v/>
      </c>
      <c r="B194" s="69" t="str">
        <f>IF($A194="","",'Calc base'!$C217)</f>
        <v/>
      </c>
      <c r="C194" s="69" t="str">
        <f>IF($A194="","",'Calc base'!$E217)</f>
        <v/>
      </c>
      <c r="D194" s="70" t="str">
        <f>IF($A194="","",J194+L194+N194+P194+R194+T194+V194+X194+Z194+AB194+AD194+AF194)</f>
        <v/>
      </c>
      <c r="E194" s="70" t="str">
        <f>IF($A194="","",CHOOSE('Calc riepilogo'!$B$2,'Calc valanga'!$H217,'Calc palla di neve'!$H217,'Calc personalizzata'!$H217))</f>
        <v/>
      </c>
      <c r="F194" s="71" t="str">
        <f>IF($A194="","",CHOOSE('Calc riepilogo'!$B$2,'Calc valanga'!$G217,'Calc palla di neve'!$G217,'Calc personalizzata'!$G217))</f>
        <v/>
      </c>
      <c r="G194" s="72" t="n"/>
      <c r="H194" s="73" t="n"/>
      <c r="I194" s="74" t="str">
        <f>IF($A194="","",TRIM(IF(AND(N(K193)&gt;0,N(K194)&lt;=0.004),"✓ "&amp;'Calc base'!C$6&amp;"   ","")&amp;IF(AND(N(M193)&gt;0,N(M194)&lt;=0.004),"✓ "&amp;'Calc base'!D$6&amp;"   ","")&amp;IF(AND(N(O193)&gt;0,N(O194)&lt;=0.004),"✓ "&amp;'Calc base'!E$6&amp;"   ","")&amp;IF(AND(N(Q193)&gt;0,N(Q194)&lt;=0.004),"✓ "&amp;'Calc base'!F$6&amp;"   ","")&amp;IF(AND(N(S193)&gt;0,N(S194)&lt;=0.004),"✓ "&amp;'Calc base'!G$6&amp;"   ","")&amp;IF(AND(N(U193)&gt;0,N(U194)&lt;=0.004),"✓ "&amp;'Calc base'!H$6&amp;"   ","")&amp;IF(AND(N(W193)&gt;0,N(W194)&lt;=0.004),"✓ "&amp;'Calc base'!I$6&amp;"   ","")&amp;IF(AND(N(Y193)&gt;0,N(Y194)&lt;=0.004),"✓ "&amp;'Calc base'!J$6&amp;"   ","")&amp;IF(AND(N(AA193)&gt;0,N(AA194)&lt;=0.004),"✓ "&amp;'Calc base'!K$6&amp;"   ","")&amp;IF(AND(N(AC193)&gt;0,N(AC194)&lt;=0.004),"✓ "&amp;'Calc base'!L$6&amp;"   ","")&amp;IF(AND(N(AE193)&gt;0,N(AE194)&lt;=0.004),"✓ "&amp;'Calc base'!M$6&amp;"   ","")&amp;IF(AND(N(AG193)&gt;0,N(AG194)&lt;=0.004),"✓ "&amp;'Calc base'!N$6&amp;"   ","")))</f>
        <v/>
      </c>
      <c r="J194" s="70" t="str">
        <f>IF($A194="","",ROUND(N(K193)*(1+'Calc base'!H217),2)-K194)</f>
        <v/>
      </c>
      <c r="K194" s="75" t="str">
        <f>IF($A194="","",CHOOSE('Calc riepilogo'!$B$2,'Calc valanga'!AT217,'Calc palla di neve'!AT217,'Calc personalizzata'!AT217))</f>
        <v/>
      </c>
      <c r="L194" s="70" t="str">
        <f>IF($A194="","",ROUND(N(M193)*(1+'Calc base'!I217),2)-M194)</f>
        <v/>
      </c>
      <c r="M194" s="75" t="str">
        <f>IF($A194="","",CHOOSE('Calc riepilogo'!$B$2,'Calc valanga'!AU217,'Calc palla di neve'!AU217,'Calc personalizzata'!AU217))</f>
        <v/>
      </c>
      <c r="N194" s="70" t="str">
        <f>IF($A194="","",ROUND(N(O193)*(1+'Calc base'!J217),2)-O194)</f>
        <v/>
      </c>
      <c r="O194" s="75" t="str">
        <f>IF($A194="","",CHOOSE('Calc riepilogo'!$B$2,'Calc valanga'!AV217,'Calc palla di neve'!AV217,'Calc personalizzata'!AV217))</f>
        <v/>
      </c>
      <c r="P194" s="70" t="str">
        <f>IF($A194="","",ROUND(N(Q193)*(1+'Calc base'!K217),2)-Q194)</f>
        <v/>
      </c>
      <c r="Q194" s="75" t="str">
        <f>IF($A194="","",CHOOSE('Calc riepilogo'!$B$2,'Calc valanga'!AW217,'Calc palla di neve'!AW217,'Calc personalizzata'!AW217))</f>
        <v/>
      </c>
      <c r="R194" s="70" t="str">
        <f>IF($A194="","",ROUND(N(S193)*(1+'Calc base'!L217),2)-S194)</f>
        <v/>
      </c>
      <c r="S194" s="75" t="str">
        <f>IF($A194="","",CHOOSE('Calc riepilogo'!$B$2,'Calc valanga'!AX217,'Calc palla di neve'!AX217,'Calc personalizzata'!AX217))</f>
        <v/>
      </c>
      <c r="T194" s="70" t="str">
        <f>IF($A194="","",ROUND(N(U193)*(1+'Calc base'!M217),2)-U194)</f>
        <v/>
      </c>
      <c r="U194" s="75" t="str">
        <f>IF($A194="","",CHOOSE('Calc riepilogo'!$B$2,'Calc valanga'!AY217,'Calc palla di neve'!AY217,'Calc personalizzata'!AY217))</f>
        <v/>
      </c>
      <c r="V194" s="70" t="str">
        <f>IF($A194="","",ROUND(N(W193)*(1+'Calc base'!N217),2)-W194)</f>
        <v/>
      </c>
      <c r="W194" s="75" t="str">
        <f>IF($A194="","",CHOOSE('Calc riepilogo'!$B$2,'Calc valanga'!AZ217,'Calc palla di neve'!AZ217,'Calc personalizzata'!AZ217))</f>
        <v/>
      </c>
      <c r="X194" s="70" t="str">
        <f>IF($A194="","",ROUND(N(Y193)*(1+'Calc base'!O217),2)-Y194)</f>
        <v/>
      </c>
      <c r="Y194" s="75" t="str">
        <f>IF($A194="","",CHOOSE('Calc riepilogo'!$B$2,'Calc valanga'!BA217,'Calc palla di neve'!BA217,'Calc personalizzata'!BA217))</f>
        <v/>
      </c>
      <c r="Z194" s="70" t="str">
        <f>IF($A194="","",ROUND(N(AA193)*(1+'Calc base'!P217),2)-AA194)</f>
        <v/>
      </c>
      <c r="AA194" s="75" t="str">
        <f>IF($A194="","",CHOOSE('Calc riepilogo'!$B$2,'Calc valanga'!BB217,'Calc palla di neve'!BB217,'Calc personalizzata'!BB217))</f>
        <v/>
      </c>
      <c r="AB194" s="70" t="str">
        <f>IF($A194="","",ROUND(N(AC193)*(1+'Calc base'!Q217),2)-AC194)</f>
        <v/>
      </c>
      <c r="AC194" s="75" t="str">
        <f>IF($A194="","",CHOOSE('Calc riepilogo'!$B$2,'Calc valanga'!BC217,'Calc palla di neve'!BC217,'Calc personalizzata'!BC217))</f>
        <v/>
      </c>
      <c r="AD194" s="70" t="str">
        <f>IF($A194="","",ROUND(N(AE193)*(1+'Calc base'!R217),2)-AE194)</f>
        <v/>
      </c>
      <c r="AE194" s="75" t="str">
        <f>IF($A194="","",CHOOSE('Calc riepilogo'!$B$2,'Calc valanga'!BD217,'Calc palla di neve'!BD217,'Calc personalizzata'!BD217))</f>
        <v/>
      </c>
      <c r="AF194" s="70" t="str">
        <f>IF($A194="","",ROUND(N(AG193)*(1+'Calc base'!S217),2)-AG194)</f>
        <v/>
      </c>
      <c r="AG194" s="75" t="str">
        <f>IF($A194="","",CHOOSE('Calc riepilogo'!$B$2,'Calc valanga'!BE217,'Calc palla di neve'!BE217,'Calc personalizzata'!BE217))</f>
        <v/>
      </c>
      <c r="AI194" t="n">
        <v>187</v>
      </c>
    </row>
    <row r="195">
      <c r="A195" s="68" t="str">
        <f>IF(188&gt;'Calc riepilogo'!$B$7,"",'Calc base'!$B218)</f>
        <v/>
      </c>
      <c r="B195" s="69" t="str">
        <f>IF($A195="","",'Calc base'!$C218)</f>
        <v/>
      </c>
      <c r="C195" s="69" t="str">
        <f>IF($A195="","",'Calc base'!$E218)</f>
        <v/>
      </c>
      <c r="D195" s="70" t="str">
        <f>IF($A195="","",J195+L195+N195+P195+R195+T195+V195+X195+Z195+AB195+AD195+AF195)</f>
        <v/>
      </c>
      <c r="E195" s="70" t="str">
        <f>IF($A195="","",CHOOSE('Calc riepilogo'!$B$2,'Calc valanga'!$H218,'Calc palla di neve'!$H218,'Calc personalizzata'!$H218))</f>
        <v/>
      </c>
      <c r="F195" s="71" t="str">
        <f>IF($A195="","",CHOOSE('Calc riepilogo'!$B$2,'Calc valanga'!$G218,'Calc palla di neve'!$G218,'Calc personalizzata'!$G218))</f>
        <v/>
      </c>
      <c r="G195" s="72" t="n"/>
      <c r="H195" s="73" t="n"/>
      <c r="I195" s="74" t="str">
        <f>IF($A195="","",TRIM(IF(AND(N(K194)&gt;0,N(K195)&lt;=0.004),"✓ "&amp;'Calc base'!C$6&amp;"   ","")&amp;IF(AND(N(M194)&gt;0,N(M195)&lt;=0.004),"✓ "&amp;'Calc base'!D$6&amp;"   ","")&amp;IF(AND(N(O194)&gt;0,N(O195)&lt;=0.004),"✓ "&amp;'Calc base'!E$6&amp;"   ","")&amp;IF(AND(N(Q194)&gt;0,N(Q195)&lt;=0.004),"✓ "&amp;'Calc base'!F$6&amp;"   ","")&amp;IF(AND(N(S194)&gt;0,N(S195)&lt;=0.004),"✓ "&amp;'Calc base'!G$6&amp;"   ","")&amp;IF(AND(N(U194)&gt;0,N(U195)&lt;=0.004),"✓ "&amp;'Calc base'!H$6&amp;"   ","")&amp;IF(AND(N(W194)&gt;0,N(W195)&lt;=0.004),"✓ "&amp;'Calc base'!I$6&amp;"   ","")&amp;IF(AND(N(Y194)&gt;0,N(Y195)&lt;=0.004),"✓ "&amp;'Calc base'!J$6&amp;"   ","")&amp;IF(AND(N(AA194)&gt;0,N(AA195)&lt;=0.004),"✓ "&amp;'Calc base'!K$6&amp;"   ","")&amp;IF(AND(N(AC194)&gt;0,N(AC195)&lt;=0.004),"✓ "&amp;'Calc base'!L$6&amp;"   ","")&amp;IF(AND(N(AE194)&gt;0,N(AE195)&lt;=0.004),"✓ "&amp;'Calc base'!M$6&amp;"   ","")&amp;IF(AND(N(AG194)&gt;0,N(AG195)&lt;=0.004),"✓ "&amp;'Calc base'!N$6&amp;"   ","")))</f>
        <v/>
      </c>
      <c r="J195" s="70" t="str">
        <f>IF($A195="","",ROUND(N(K194)*(1+'Calc base'!H218),2)-K195)</f>
        <v/>
      </c>
      <c r="K195" s="75" t="str">
        <f>IF($A195="","",CHOOSE('Calc riepilogo'!$B$2,'Calc valanga'!AT218,'Calc palla di neve'!AT218,'Calc personalizzata'!AT218))</f>
        <v/>
      </c>
      <c r="L195" s="70" t="str">
        <f>IF($A195="","",ROUND(N(M194)*(1+'Calc base'!I218),2)-M195)</f>
        <v/>
      </c>
      <c r="M195" s="75" t="str">
        <f>IF($A195="","",CHOOSE('Calc riepilogo'!$B$2,'Calc valanga'!AU218,'Calc palla di neve'!AU218,'Calc personalizzata'!AU218))</f>
        <v/>
      </c>
      <c r="N195" s="70" t="str">
        <f>IF($A195="","",ROUND(N(O194)*(1+'Calc base'!J218),2)-O195)</f>
        <v/>
      </c>
      <c r="O195" s="75" t="str">
        <f>IF($A195="","",CHOOSE('Calc riepilogo'!$B$2,'Calc valanga'!AV218,'Calc palla di neve'!AV218,'Calc personalizzata'!AV218))</f>
        <v/>
      </c>
      <c r="P195" s="70" t="str">
        <f>IF($A195="","",ROUND(N(Q194)*(1+'Calc base'!K218),2)-Q195)</f>
        <v/>
      </c>
      <c r="Q195" s="75" t="str">
        <f>IF($A195="","",CHOOSE('Calc riepilogo'!$B$2,'Calc valanga'!AW218,'Calc palla di neve'!AW218,'Calc personalizzata'!AW218))</f>
        <v/>
      </c>
      <c r="R195" s="70" t="str">
        <f>IF($A195="","",ROUND(N(S194)*(1+'Calc base'!L218),2)-S195)</f>
        <v/>
      </c>
      <c r="S195" s="75" t="str">
        <f>IF($A195="","",CHOOSE('Calc riepilogo'!$B$2,'Calc valanga'!AX218,'Calc palla di neve'!AX218,'Calc personalizzata'!AX218))</f>
        <v/>
      </c>
      <c r="T195" s="70" t="str">
        <f>IF($A195="","",ROUND(N(U194)*(1+'Calc base'!M218),2)-U195)</f>
        <v/>
      </c>
      <c r="U195" s="75" t="str">
        <f>IF($A195="","",CHOOSE('Calc riepilogo'!$B$2,'Calc valanga'!AY218,'Calc palla di neve'!AY218,'Calc personalizzata'!AY218))</f>
        <v/>
      </c>
      <c r="V195" s="70" t="str">
        <f>IF($A195="","",ROUND(N(W194)*(1+'Calc base'!N218),2)-W195)</f>
        <v/>
      </c>
      <c r="W195" s="75" t="str">
        <f>IF($A195="","",CHOOSE('Calc riepilogo'!$B$2,'Calc valanga'!AZ218,'Calc palla di neve'!AZ218,'Calc personalizzata'!AZ218))</f>
        <v/>
      </c>
      <c r="X195" s="70" t="str">
        <f>IF($A195="","",ROUND(N(Y194)*(1+'Calc base'!O218),2)-Y195)</f>
        <v/>
      </c>
      <c r="Y195" s="75" t="str">
        <f>IF($A195="","",CHOOSE('Calc riepilogo'!$B$2,'Calc valanga'!BA218,'Calc palla di neve'!BA218,'Calc personalizzata'!BA218))</f>
        <v/>
      </c>
      <c r="Z195" s="70" t="str">
        <f>IF($A195="","",ROUND(N(AA194)*(1+'Calc base'!P218),2)-AA195)</f>
        <v/>
      </c>
      <c r="AA195" s="75" t="str">
        <f>IF($A195="","",CHOOSE('Calc riepilogo'!$B$2,'Calc valanga'!BB218,'Calc palla di neve'!BB218,'Calc personalizzata'!BB218))</f>
        <v/>
      </c>
      <c r="AB195" s="70" t="str">
        <f>IF($A195="","",ROUND(N(AC194)*(1+'Calc base'!Q218),2)-AC195)</f>
        <v/>
      </c>
      <c r="AC195" s="75" t="str">
        <f>IF($A195="","",CHOOSE('Calc riepilogo'!$B$2,'Calc valanga'!BC218,'Calc palla di neve'!BC218,'Calc personalizzata'!BC218))</f>
        <v/>
      </c>
      <c r="AD195" s="70" t="str">
        <f>IF($A195="","",ROUND(N(AE194)*(1+'Calc base'!R218),2)-AE195)</f>
        <v/>
      </c>
      <c r="AE195" s="75" t="str">
        <f>IF($A195="","",CHOOSE('Calc riepilogo'!$B$2,'Calc valanga'!BD218,'Calc palla di neve'!BD218,'Calc personalizzata'!BD218))</f>
        <v/>
      </c>
      <c r="AF195" s="70" t="str">
        <f>IF($A195="","",ROUND(N(AG194)*(1+'Calc base'!S218),2)-AG195)</f>
        <v/>
      </c>
      <c r="AG195" s="75" t="str">
        <f>IF($A195="","",CHOOSE('Calc riepilogo'!$B$2,'Calc valanga'!BE218,'Calc palla di neve'!BE218,'Calc personalizzata'!BE218))</f>
        <v/>
      </c>
      <c r="AI195" t="n">
        <v>188</v>
      </c>
    </row>
    <row r="196">
      <c r="A196" s="68" t="str">
        <f>IF(189&gt;'Calc riepilogo'!$B$7,"",'Calc base'!$B219)</f>
        <v/>
      </c>
      <c r="B196" s="69" t="str">
        <f>IF($A196="","",'Calc base'!$C219)</f>
        <v/>
      </c>
      <c r="C196" s="69" t="str">
        <f>IF($A196="","",'Calc base'!$E219)</f>
        <v/>
      </c>
      <c r="D196" s="70" t="str">
        <f>IF($A196="","",J196+L196+N196+P196+R196+T196+V196+X196+Z196+AB196+AD196+AF196)</f>
        <v/>
      </c>
      <c r="E196" s="70" t="str">
        <f>IF($A196="","",CHOOSE('Calc riepilogo'!$B$2,'Calc valanga'!$H219,'Calc palla di neve'!$H219,'Calc personalizzata'!$H219))</f>
        <v/>
      </c>
      <c r="F196" s="71" t="str">
        <f>IF($A196="","",CHOOSE('Calc riepilogo'!$B$2,'Calc valanga'!$G219,'Calc palla di neve'!$G219,'Calc personalizzata'!$G219))</f>
        <v/>
      </c>
      <c r="G196" s="72" t="n"/>
      <c r="H196" s="73" t="n"/>
      <c r="I196" s="74" t="str">
        <f>IF($A196="","",TRIM(IF(AND(N(K195)&gt;0,N(K196)&lt;=0.004),"✓ "&amp;'Calc base'!C$6&amp;"   ","")&amp;IF(AND(N(M195)&gt;0,N(M196)&lt;=0.004),"✓ "&amp;'Calc base'!D$6&amp;"   ","")&amp;IF(AND(N(O195)&gt;0,N(O196)&lt;=0.004),"✓ "&amp;'Calc base'!E$6&amp;"   ","")&amp;IF(AND(N(Q195)&gt;0,N(Q196)&lt;=0.004),"✓ "&amp;'Calc base'!F$6&amp;"   ","")&amp;IF(AND(N(S195)&gt;0,N(S196)&lt;=0.004),"✓ "&amp;'Calc base'!G$6&amp;"   ","")&amp;IF(AND(N(U195)&gt;0,N(U196)&lt;=0.004),"✓ "&amp;'Calc base'!H$6&amp;"   ","")&amp;IF(AND(N(W195)&gt;0,N(W196)&lt;=0.004),"✓ "&amp;'Calc base'!I$6&amp;"   ","")&amp;IF(AND(N(Y195)&gt;0,N(Y196)&lt;=0.004),"✓ "&amp;'Calc base'!J$6&amp;"   ","")&amp;IF(AND(N(AA195)&gt;0,N(AA196)&lt;=0.004),"✓ "&amp;'Calc base'!K$6&amp;"   ","")&amp;IF(AND(N(AC195)&gt;0,N(AC196)&lt;=0.004),"✓ "&amp;'Calc base'!L$6&amp;"   ","")&amp;IF(AND(N(AE195)&gt;0,N(AE196)&lt;=0.004),"✓ "&amp;'Calc base'!M$6&amp;"   ","")&amp;IF(AND(N(AG195)&gt;0,N(AG196)&lt;=0.004),"✓ "&amp;'Calc base'!N$6&amp;"   ","")))</f>
        <v/>
      </c>
      <c r="J196" s="70" t="str">
        <f>IF($A196="","",ROUND(N(K195)*(1+'Calc base'!H219),2)-K196)</f>
        <v/>
      </c>
      <c r="K196" s="75" t="str">
        <f>IF($A196="","",CHOOSE('Calc riepilogo'!$B$2,'Calc valanga'!AT219,'Calc palla di neve'!AT219,'Calc personalizzata'!AT219))</f>
        <v/>
      </c>
      <c r="L196" s="70" t="str">
        <f>IF($A196="","",ROUND(N(M195)*(1+'Calc base'!I219),2)-M196)</f>
        <v/>
      </c>
      <c r="M196" s="75" t="str">
        <f>IF($A196="","",CHOOSE('Calc riepilogo'!$B$2,'Calc valanga'!AU219,'Calc palla di neve'!AU219,'Calc personalizzata'!AU219))</f>
        <v/>
      </c>
      <c r="N196" s="70" t="str">
        <f>IF($A196="","",ROUND(N(O195)*(1+'Calc base'!J219),2)-O196)</f>
        <v/>
      </c>
      <c r="O196" s="75" t="str">
        <f>IF($A196="","",CHOOSE('Calc riepilogo'!$B$2,'Calc valanga'!AV219,'Calc palla di neve'!AV219,'Calc personalizzata'!AV219))</f>
        <v/>
      </c>
      <c r="P196" s="70" t="str">
        <f>IF($A196="","",ROUND(N(Q195)*(1+'Calc base'!K219),2)-Q196)</f>
        <v/>
      </c>
      <c r="Q196" s="75" t="str">
        <f>IF($A196="","",CHOOSE('Calc riepilogo'!$B$2,'Calc valanga'!AW219,'Calc palla di neve'!AW219,'Calc personalizzata'!AW219))</f>
        <v/>
      </c>
      <c r="R196" s="70" t="str">
        <f>IF($A196="","",ROUND(N(S195)*(1+'Calc base'!L219),2)-S196)</f>
        <v/>
      </c>
      <c r="S196" s="75" t="str">
        <f>IF($A196="","",CHOOSE('Calc riepilogo'!$B$2,'Calc valanga'!AX219,'Calc palla di neve'!AX219,'Calc personalizzata'!AX219))</f>
        <v/>
      </c>
      <c r="T196" s="70" t="str">
        <f>IF($A196="","",ROUND(N(U195)*(1+'Calc base'!M219),2)-U196)</f>
        <v/>
      </c>
      <c r="U196" s="75" t="str">
        <f>IF($A196="","",CHOOSE('Calc riepilogo'!$B$2,'Calc valanga'!AY219,'Calc palla di neve'!AY219,'Calc personalizzata'!AY219))</f>
        <v/>
      </c>
      <c r="V196" s="70" t="str">
        <f>IF($A196="","",ROUND(N(W195)*(1+'Calc base'!N219),2)-W196)</f>
        <v/>
      </c>
      <c r="W196" s="75" t="str">
        <f>IF($A196="","",CHOOSE('Calc riepilogo'!$B$2,'Calc valanga'!AZ219,'Calc palla di neve'!AZ219,'Calc personalizzata'!AZ219))</f>
        <v/>
      </c>
      <c r="X196" s="70" t="str">
        <f>IF($A196="","",ROUND(N(Y195)*(1+'Calc base'!O219),2)-Y196)</f>
        <v/>
      </c>
      <c r="Y196" s="75" t="str">
        <f>IF($A196="","",CHOOSE('Calc riepilogo'!$B$2,'Calc valanga'!BA219,'Calc palla di neve'!BA219,'Calc personalizzata'!BA219))</f>
        <v/>
      </c>
      <c r="Z196" s="70" t="str">
        <f>IF($A196="","",ROUND(N(AA195)*(1+'Calc base'!P219),2)-AA196)</f>
        <v/>
      </c>
      <c r="AA196" s="75" t="str">
        <f>IF($A196="","",CHOOSE('Calc riepilogo'!$B$2,'Calc valanga'!BB219,'Calc palla di neve'!BB219,'Calc personalizzata'!BB219))</f>
        <v/>
      </c>
      <c r="AB196" s="70" t="str">
        <f>IF($A196="","",ROUND(N(AC195)*(1+'Calc base'!Q219),2)-AC196)</f>
        <v/>
      </c>
      <c r="AC196" s="75" t="str">
        <f>IF($A196="","",CHOOSE('Calc riepilogo'!$B$2,'Calc valanga'!BC219,'Calc palla di neve'!BC219,'Calc personalizzata'!BC219))</f>
        <v/>
      </c>
      <c r="AD196" s="70" t="str">
        <f>IF($A196="","",ROUND(N(AE195)*(1+'Calc base'!R219),2)-AE196)</f>
        <v/>
      </c>
      <c r="AE196" s="75" t="str">
        <f>IF($A196="","",CHOOSE('Calc riepilogo'!$B$2,'Calc valanga'!BD219,'Calc palla di neve'!BD219,'Calc personalizzata'!BD219))</f>
        <v/>
      </c>
      <c r="AF196" s="70" t="str">
        <f>IF($A196="","",ROUND(N(AG195)*(1+'Calc base'!S219),2)-AG196)</f>
        <v/>
      </c>
      <c r="AG196" s="75" t="str">
        <f>IF($A196="","",CHOOSE('Calc riepilogo'!$B$2,'Calc valanga'!BE219,'Calc palla di neve'!BE219,'Calc personalizzata'!BE219))</f>
        <v/>
      </c>
      <c r="AI196" t="n">
        <v>189</v>
      </c>
    </row>
    <row r="197">
      <c r="A197" s="68" t="str">
        <f>IF(190&gt;'Calc riepilogo'!$B$7,"",'Calc base'!$B220)</f>
        <v/>
      </c>
      <c r="B197" s="69" t="str">
        <f>IF($A197="","",'Calc base'!$C220)</f>
        <v/>
      </c>
      <c r="C197" s="69" t="str">
        <f>IF($A197="","",'Calc base'!$E220)</f>
        <v/>
      </c>
      <c r="D197" s="70" t="str">
        <f>IF($A197="","",J197+L197+N197+P197+R197+T197+V197+X197+Z197+AB197+AD197+AF197)</f>
        <v/>
      </c>
      <c r="E197" s="70" t="str">
        <f>IF($A197="","",CHOOSE('Calc riepilogo'!$B$2,'Calc valanga'!$H220,'Calc palla di neve'!$H220,'Calc personalizzata'!$H220))</f>
        <v/>
      </c>
      <c r="F197" s="71" t="str">
        <f>IF($A197="","",CHOOSE('Calc riepilogo'!$B$2,'Calc valanga'!$G220,'Calc palla di neve'!$G220,'Calc personalizzata'!$G220))</f>
        <v/>
      </c>
      <c r="G197" s="72" t="n"/>
      <c r="H197" s="73" t="n"/>
      <c r="I197" s="74" t="str">
        <f>IF($A197="","",TRIM(IF(AND(N(K196)&gt;0,N(K197)&lt;=0.004),"✓ "&amp;'Calc base'!C$6&amp;"   ","")&amp;IF(AND(N(M196)&gt;0,N(M197)&lt;=0.004),"✓ "&amp;'Calc base'!D$6&amp;"   ","")&amp;IF(AND(N(O196)&gt;0,N(O197)&lt;=0.004),"✓ "&amp;'Calc base'!E$6&amp;"   ","")&amp;IF(AND(N(Q196)&gt;0,N(Q197)&lt;=0.004),"✓ "&amp;'Calc base'!F$6&amp;"   ","")&amp;IF(AND(N(S196)&gt;0,N(S197)&lt;=0.004),"✓ "&amp;'Calc base'!G$6&amp;"   ","")&amp;IF(AND(N(U196)&gt;0,N(U197)&lt;=0.004),"✓ "&amp;'Calc base'!H$6&amp;"   ","")&amp;IF(AND(N(W196)&gt;0,N(W197)&lt;=0.004),"✓ "&amp;'Calc base'!I$6&amp;"   ","")&amp;IF(AND(N(Y196)&gt;0,N(Y197)&lt;=0.004),"✓ "&amp;'Calc base'!J$6&amp;"   ","")&amp;IF(AND(N(AA196)&gt;0,N(AA197)&lt;=0.004),"✓ "&amp;'Calc base'!K$6&amp;"   ","")&amp;IF(AND(N(AC196)&gt;0,N(AC197)&lt;=0.004),"✓ "&amp;'Calc base'!L$6&amp;"   ","")&amp;IF(AND(N(AE196)&gt;0,N(AE197)&lt;=0.004),"✓ "&amp;'Calc base'!M$6&amp;"   ","")&amp;IF(AND(N(AG196)&gt;0,N(AG197)&lt;=0.004),"✓ "&amp;'Calc base'!N$6&amp;"   ","")))</f>
        <v/>
      </c>
      <c r="J197" s="70" t="str">
        <f>IF($A197="","",ROUND(N(K196)*(1+'Calc base'!H220),2)-K197)</f>
        <v/>
      </c>
      <c r="K197" s="75" t="str">
        <f>IF($A197="","",CHOOSE('Calc riepilogo'!$B$2,'Calc valanga'!AT220,'Calc palla di neve'!AT220,'Calc personalizzata'!AT220))</f>
        <v/>
      </c>
      <c r="L197" s="70" t="str">
        <f>IF($A197="","",ROUND(N(M196)*(1+'Calc base'!I220),2)-M197)</f>
        <v/>
      </c>
      <c r="M197" s="75" t="str">
        <f>IF($A197="","",CHOOSE('Calc riepilogo'!$B$2,'Calc valanga'!AU220,'Calc palla di neve'!AU220,'Calc personalizzata'!AU220))</f>
        <v/>
      </c>
      <c r="N197" s="70" t="str">
        <f>IF($A197="","",ROUND(N(O196)*(1+'Calc base'!J220),2)-O197)</f>
        <v/>
      </c>
      <c r="O197" s="75" t="str">
        <f>IF($A197="","",CHOOSE('Calc riepilogo'!$B$2,'Calc valanga'!AV220,'Calc palla di neve'!AV220,'Calc personalizzata'!AV220))</f>
        <v/>
      </c>
      <c r="P197" s="70" t="str">
        <f>IF($A197="","",ROUND(N(Q196)*(1+'Calc base'!K220),2)-Q197)</f>
        <v/>
      </c>
      <c r="Q197" s="75" t="str">
        <f>IF($A197="","",CHOOSE('Calc riepilogo'!$B$2,'Calc valanga'!AW220,'Calc palla di neve'!AW220,'Calc personalizzata'!AW220))</f>
        <v/>
      </c>
      <c r="R197" s="70" t="str">
        <f>IF($A197="","",ROUND(N(S196)*(1+'Calc base'!L220),2)-S197)</f>
        <v/>
      </c>
      <c r="S197" s="75" t="str">
        <f>IF($A197="","",CHOOSE('Calc riepilogo'!$B$2,'Calc valanga'!AX220,'Calc palla di neve'!AX220,'Calc personalizzata'!AX220))</f>
        <v/>
      </c>
      <c r="T197" s="70" t="str">
        <f>IF($A197="","",ROUND(N(U196)*(1+'Calc base'!M220),2)-U197)</f>
        <v/>
      </c>
      <c r="U197" s="75" t="str">
        <f>IF($A197="","",CHOOSE('Calc riepilogo'!$B$2,'Calc valanga'!AY220,'Calc palla di neve'!AY220,'Calc personalizzata'!AY220))</f>
        <v/>
      </c>
      <c r="V197" s="70" t="str">
        <f>IF($A197="","",ROUND(N(W196)*(1+'Calc base'!N220),2)-W197)</f>
        <v/>
      </c>
      <c r="W197" s="75" t="str">
        <f>IF($A197="","",CHOOSE('Calc riepilogo'!$B$2,'Calc valanga'!AZ220,'Calc palla di neve'!AZ220,'Calc personalizzata'!AZ220))</f>
        <v/>
      </c>
      <c r="X197" s="70" t="str">
        <f>IF($A197="","",ROUND(N(Y196)*(1+'Calc base'!O220),2)-Y197)</f>
        <v/>
      </c>
      <c r="Y197" s="75" t="str">
        <f>IF($A197="","",CHOOSE('Calc riepilogo'!$B$2,'Calc valanga'!BA220,'Calc palla di neve'!BA220,'Calc personalizzata'!BA220))</f>
        <v/>
      </c>
      <c r="Z197" s="70" t="str">
        <f>IF($A197="","",ROUND(N(AA196)*(1+'Calc base'!P220),2)-AA197)</f>
        <v/>
      </c>
      <c r="AA197" s="75" t="str">
        <f>IF($A197="","",CHOOSE('Calc riepilogo'!$B$2,'Calc valanga'!BB220,'Calc palla di neve'!BB220,'Calc personalizzata'!BB220))</f>
        <v/>
      </c>
      <c r="AB197" s="70" t="str">
        <f>IF($A197="","",ROUND(N(AC196)*(1+'Calc base'!Q220),2)-AC197)</f>
        <v/>
      </c>
      <c r="AC197" s="75" t="str">
        <f>IF($A197="","",CHOOSE('Calc riepilogo'!$B$2,'Calc valanga'!BC220,'Calc palla di neve'!BC220,'Calc personalizzata'!BC220))</f>
        <v/>
      </c>
      <c r="AD197" s="70" t="str">
        <f>IF($A197="","",ROUND(N(AE196)*(1+'Calc base'!R220),2)-AE197)</f>
        <v/>
      </c>
      <c r="AE197" s="75" t="str">
        <f>IF($A197="","",CHOOSE('Calc riepilogo'!$B$2,'Calc valanga'!BD220,'Calc palla di neve'!BD220,'Calc personalizzata'!BD220))</f>
        <v/>
      </c>
      <c r="AF197" s="70" t="str">
        <f>IF($A197="","",ROUND(N(AG196)*(1+'Calc base'!S220),2)-AG197)</f>
        <v/>
      </c>
      <c r="AG197" s="75" t="str">
        <f>IF($A197="","",CHOOSE('Calc riepilogo'!$B$2,'Calc valanga'!BE220,'Calc palla di neve'!BE220,'Calc personalizzata'!BE220))</f>
        <v/>
      </c>
      <c r="AI197" t="n">
        <v>190</v>
      </c>
    </row>
    <row r="198">
      <c r="A198" s="68" t="str">
        <f>IF(191&gt;'Calc riepilogo'!$B$7,"",'Calc base'!$B221)</f>
        <v/>
      </c>
      <c r="B198" s="69" t="str">
        <f>IF($A198="","",'Calc base'!$C221)</f>
        <v/>
      </c>
      <c r="C198" s="69" t="str">
        <f>IF($A198="","",'Calc base'!$E221)</f>
        <v/>
      </c>
      <c r="D198" s="70" t="str">
        <f>IF($A198="","",J198+L198+N198+P198+R198+T198+V198+X198+Z198+AB198+AD198+AF198)</f>
        <v/>
      </c>
      <c r="E198" s="70" t="str">
        <f>IF($A198="","",CHOOSE('Calc riepilogo'!$B$2,'Calc valanga'!$H221,'Calc palla di neve'!$H221,'Calc personalizzata'!$H221))</f>
        <v/>
      </c>
      <c r="F198" s="71" t="str">
        <f>IF($A198="","",CHOOSE('Calc riepilogo'!$B$2,'Calc valanga'!$G221,'Calc palla di neve'!$G221,'Calc personalizzata'!$G221))</f>
        <v/>
      </c>
      <c r="G198" s="72" t="n"/>
      <c r="H198" s="73" t="n"/>
      <c r="I198" s="74" t="str">
        <f>IF($A198="","",TRIM(IF(AND(N(K197)&gt;0,N(K198)&lt;=0.004),"✓ "&amp;'Calc base'!C$6&amp;"   ","")&amp;IF(AND(N(M197)&gt;0,N(M198)&lt;=0.004),"✓ "&amp;'Calc base'!D$6&amp;"   ","")&amp;IF(AND(N(O197)&gt;0,N(O198)&lt;=0.004),"✓ "&amp;'Calc base'!E$6&amp;"   ","")&amp;IF(AND(N(Q197)&gt;0,N(Q198)&lt;=0.004),"✓ "&amp;'Calc base'!F$6&amp;"   ","")&amp;IF(AND(N(S197)&gt;0,N(S198)&lt;=0.004),"✓ "&amp;'Calc base'!G$6&amp;"   ","")&amp;IF(AND(N(U197)&gt;0,N(U198)&lt;=0.004),"✓ "&amp;'Calc base'!H$6&amp;"   ","")&amp;IF(AND(N(W197)&gt;0,N(W198)&lt;=0.004),"✓ "&amp;'Calc base'!I$6&amp;"   ","")&amp;IF(AND(N(Y197)&gt;0,N(Y198)&lt;=0.004),"✓ "&amp;'Calc base'!J$6&amp;"   ","")&amp;IF(AND(N(AA197)&gt;0,N(AA198)&lt;=0.004),"✓ "&amp;'Calc base'!K$6&amp;"   ","")&amp;IF(AND(N(AC197)&gt;0,N(AC198)&lt;=0.004),"✓ "&amp;'Calc base'!L$6&amp;"   ","")&amp;IF(AND(N(AE197)&gt;0,N(AE198)&lt;=0.004),"✓ "&amp;'Calc base'!M$6&amp;"   ","")&amp;IF(AND(N(AG197)&gt;0,N(AG198)&lt;=0.004),"✓ "&amp;'Calc base'!N$6&amp;"   ","")))</f>
        <v/>
      </c>
      <c r="J198" s="70" t="str">
        <f>IF($A198="","",ROUND(N(K197)*(1+'Calc base'!H221),2)-K198)</f>
        <v/>
      </c>
      <c r="K198" s="75" t="str">
        <f>IF($A198="","",CHOOSE('Calc riepilogo'!$B$2,'Calc valanga'!AT221,'Calc palla di neve'!AT221,'Calc personalizzata'!AT221))</f>
        <v/>
      </c>
      <c r="L198" s="70" t="str">
        <f>IF($A198="","",ROUND(N(M197)*(1+'Calc base'!I221),2)-M198)</f>
        <v/>
      </c>
      <c r="M198" s="75" t="str">
        <f>IF($A198="","",CHOOSE('Calc riepilogo'!$B$2,'Calc valanga'!AU221,'Calc palla di neve'!AU221,'Calc personalizzata'!AU221))</f>
        <v/>
      </c>
      <c r="N198" s="70" t="str">
        <f>IF($A198="","",ROUND(N(O197)*(1+'Calc base'!J221),2)-O198)</f>
        <v/>
      </c>
      <c r="O198" s="75" t="str">
        <f>IF($A198="","",CHOOSE('Calc riepilogo'!$B$2,'Calc valanga'!AV221,'Calc palla di neve'!AV221,'Calc personalizzata'!AV221))</f>
        <v/>
      </c>
      <c r="P198" s="70" t="str">
        <f>IF($A198="","",ROUND(N(Q197)*(1+'Calc base'!K221),2)-Q198)</f>
        <v/>
      </c>
      <c r="Q198" s="75" t="str">
        <f>IF($A198="","",CHOOSE('Calc riepilogo'!$B$2,'Calc valanga'!AW221,'Calc palla di neve'!AW221,'Calc personalizzata'!AW221))</f>
        <v/>
      </c>
      <c r="R198" s="70" t="str">
        <f>IF($A198="","",ROUND(N(S197)*(1+'Calc base'!L221),2)-S198)</f>
        <v/>
      </c>
      <c r="S198" s="75" t="str">
        <f>IF($A198="","",CHOOSE('Calc riepilogo'!$B$2,'Calc valanga'!AX221,'Calc palla di neve'!AX221,'Calc personalizzata'!AX221))</f>
        <v/>
      </c>
      <c r="T198" s="70" t="str">
        <f>IF($A198="","",ROUND(N(U197)*(1+'Calc base'!M221),2)-U198)</f>
        <v/>
      </c>
      <c r="U198" s="75" t="str">
        <f>IF($A198="","",CHOOSE('Calc riepilogo'!$B$2,'Calc valanga'!AY221,'Calc palla di neve'!AY221,'Calc personalizzata'!AY221))</f>
        <v/>
      </c>
      <c r="V198" s="70" t="str">
        <f>IF($A198="","",ROUND(N(W197)*(1+'Calc base'!N221),2)-W198)</f>
        <v/>
      </c>
      <c r="W198" s="75" t="str">
        <f>IF($A198="","",CHOOSE('Calc riepilogo'!$B$2,'Calc valanga'!AZ221,'Calc palla di neve'!AZ221,'Calc personalizzata'!AZ221))</f>
        <v/>
      </c>
      <c r="X198" s="70" t="str">
        <f>IF($A198="","",ROUND(N(Y197)*(1+'Calc base'!O221),2)-Y198)</f>
        <v/>
      </c>
      <c r="Y198" s="75" t="str">
        <f>IF($A198="","",CHOOSE('Calc riepilogo'!$B$2,'Calc valanga'!BA221,'Calc palla di neve'!BA221,'Calc personalizzata'!BA221))</f>
        <v/>
      </c>
      <c r="Z198" s="70" t="str">
        <f>IF($A198="","",ROUND(N(AA197)*(1+'Calc base'!P221),2)-AA198)</f>
        <v/>
      </c>
      <c r="AA198" s="75" t="str">
        <f>IF($A198="","",CHOOSE('Calc riepilogo'!$B$2,'Calc valanga'!BB221,'Calc palla di neve'!BB221,'Calc personalizzata'!BB221))</f>
        <v/>
      </c>
      <c r="AB198" s="70" t="str">
        <f>IF($A198="","",ROUND(N(AC197)*(1+'Calc base'!Q221),2)-AC198)</f>
        <v/>
      </c>
      <c r="AC198" s="75" t="str">
        <f>IF($A198="","",CHOOSE('Calc riepilogo'!$B$2,'Calc valanga'!BC221,'Calc palla di neve'!BC221,'Calc personalizzata'!BC221))</f>
        <v/>
      </c>
      <c r="AD198" s="70" t="str">
        <f>IF($A198="","",ROUND(N(AE197)*(1+'Calc base'!R221),2)-AE198)</f>
        <v/>
      </c>
      <c r="AE198" s="75" t="str">
        <f>IF($A198="","",CHOOSE('Calc riepilogo'!$B$2,'Calc valanga'!BD221,'Calc palla di neve'!BD221,'Calc personalizzata'!BD221))</f>
        <v/>
      </c>
      <c r="AF198" s="70" t="str">
        <f>IF($A198="","",ROUND(N(AG197)*(1+'Calc base'!S221),2)-AG198)</f>
        <v/>
      </c>
      <c r="AG198" s="75" t="str">
        <f>IF($A198="","",CHOOSE('Calc riepilogo'!$B$2,'Calc valanga'!BE221,'Calc palla di neve'!BE221,'Calc personalizzata'!BE221))</f>
        <v/>
      </c>
      <c r="AI198" t="n">
        <v>191</v>
      </c>
    </row>
    <row r="199">
      <c r="A199" s="68" t="str">
        <f>IF(192&gt;'Calc riepilogo'!$B$7,"",'Calc base'!$B222)</f>
        <v/>
      </c>
      <c r="B199" s="69" t="str">
        <f>IF($A199="","",'Calc base'!$C222)</f>
        <v/>
      </c>
      <c r="C199" s="69" t="str">
        <f>IF($A199="","",'Calc base'!$E222)</f>
        <v/>
      </c>
      <c r="D199" s="70" t="str">
        <f>IF($A199="","",J199+L199+N199+P199+R199+T199+V199+X199+Z199+AB199+AD199+AF199)</f>
        <v/>
      </c>
      <c r="E199" s="70" t="str">
        <f>IF($A199="","",CHOOSE('Calc riepilogo'!$B$2,'Calc valanga'!$H222,'Calc palla di neve'!$H222,'Calc personalizzata'!$H222))</f>
        <v/>
      </c>
      <c r="F199" s="71" t="str">
        <f>IF($A199="","",CHOOSE('Calc riepilogo'!$B$2,'Calc valanga'!$G222,'Calc palla di neve'!$G222,'Calc personalizzata'!$G222))</f>
        <v/>
      </c>
      <c r="G199" s="72" t="n"/>
      <c r="H199" s="73" t="n"/>
      <c r="I199" s="74" t="str">
        <f>IF($A199="","",TRIM(IF(AND(N(K198)&gt;0,N(K199)&lt;=0.004),"✓ "&amp;'Calc base'!C$6&amp;"   ","")&amp;IF(AND(N(M198)&gt;0,N(M199)&lt;=0.004),"✓ "&amp;'Calc base'!D$6&amp;"   ","")&amp;IF(AND(N(O198)&gt;0,N(O199)&lt;=0.004),"✓ "&amp;'Calc base'!E$6&amp;"   ","")&amp;IF(AND(N(Q198)&gt;0,N(Q199)&lt;=0.004),"✓ "&amp;'Calc base'!F$6&amp;"   ","")&amp;IF(AND(N(S198)&gt;0,N(S199)&lt;=0.004),"✓ "&amp;'Calc base'!G$6&amp;"   ","")&amp;IF(AND(N(U198)&gt;0,N(U199)&lt;=0.004),"✓ "&amp;'Calc base'!H$6&amp;"   ","")&amp;IF(AND(N(W198)&gt;0,N(W199)&lt;=0.004),"✓ "&amp;'Calc base'!I$6&amp;"   ","")&amp;IF(AND(N(Y198)&gt;0,N(Y199)&lt;=0.004),"✓ "&amp;'Calc base'!J$6&amp;"   ","")&amp;IF(AND(N(AA198)&gt;0,N(AA199)&lt;=0.004),"✓ "&amp;'Calc base'!K$6&amp;"   ","")&amp;IF(AND(N(AC198)&gt;0,N(AC199)&lt;=0.004),"✓ "&amp;'Calc base'!L$6&amp;"   ","")&amp;IF(AND(N(AE198)&gt;0,N(AE199)&lt;=0.004),"✓ "&amp;'Calc base'!M$6&amp;"   ","")&amp;IF(AND(N(AG198)&gt;0,N(AG199)&lt;=0.004),"✓ "&amp;'Calc base'!N$6&amp;"   ","")))</f>
        <v/>
      </c>
      <c r="J199" s="70" t="str">
        <f>IF($A199="","",ROUND(N(K198)*(1+'Calc base'!H222),2)-K199)</f>
        <v/>
      </c>
      <c r="K199" s="75" t="str">
        <f>IF($A199="","",CHOOSE('Calc riepilogo'!$B$2,'Calc valanga'!AT222,'Calc palla di neve'!AT222,'Calc personalizzata'!AT222))</f>
        <v/>
      </c>
      <c r="L199" s="70" t="str">
        <f>IF($A199="","",ROUND(N(M198)*(1+'Calc base'!I222),2)-M199)</f>
        <v/>
      </c>
      <c r="M199" s="75" t="str">
        <f>IF($A199="","",CHOOSE('Calc riepilogo'!$B$2,'Calc valanga'!AU222,'Calc palla di neve'!AU222,'Calc personalizzata'!AU222))</f>
        <v/>
      </c>
      <c r="N199" s="70" t="str">
        <f>IF($A199="","",ROUND(N(O198)*(1+'Calc base'!J222),2)-O199)</f>
        <v/>
      </c>
      <c r="O199" s="75" t="str">
        <f>IF($A199="","",CHOOSE('Calc riepilogo'!$B$2,'Calc valanga'!AV222,'Calc palla di neve'!AV222,'Calc personalizzata'!AV222))</f>
        <v/>
      </c>
      <c r="P199" s="70" t="str">
        <f>IF($A199="","",ROUND(N(Q198)*(1+'Calc base'!K222),2)-Q199)</f>
        <v/>
      </c>
      <c r="Q199" s="75" t="str">
        <f>IF($A199="","",CHOOSE('Calc riepilogo'!$B$2,'Calc valanga'!AW222,'Calc palla di neve'!AW222,'Calc personalizzata'!AW222))</f>
        <v/>
      </c>
      <c r="R199" s="70" t="str">
        <f>IF($A199="","",ROUND(N(S198)*(1+'Calc base'!L222),2)-S199)</f>
        <v/>
      </c>
      <c r="S199" s="75" t="str">
        <f>IF($A199="","",CHOOSE('Calc riepilogo'!$B$2,'Calc valanga'!AX222,'Calc palla di neve'!AX222,'Calc personalizzata'!AX222))</f>
        <v/>
      </c>
      <c r="T199" s="70" t="str">
        <f>IF($A199="","",ROUND(N(U198)*(1+'Calc base'!M222),2)-U199)</f>
        <v/>
      </c>
      <c r="U199" s="75" t="str">
        <f>IF($A199="","",CHOOSE('Calc riepilogo'!$B$2,'Calc valanga'!AY222,'Calc palla di neve'!AY222,'Calc personalizzata'!AY222))</f>
        <v/>
      </c>
      <c r="V199" s="70" t="str">
        <f>IF($A199="","",ROUND(N(W198)*(1+'Calc base'!N222),2)-W199)</f>
        <v/>
      </c>
      <c r="W199" s="75" t="str">
        <f>IF($A199="","",CHOOSE('Calc riepilogo'!$B$2,'Calc valanga'!AZ222,'Calc palla di neve'!AZ222,'Calc personalizzata'!AZ222))</f>
        <v/>
      </c>
      <c r="X199" s="70" t="str">
        <f>IF($A199="","",ROUND(N(Y198)*(1+'Calc base'!O222),2)-Y199)</f>
        <v/>
      </c>
      <c r="Y199" s="75" t="str">
        <f>IF($A199="","",CHOOSE('Calc riepilogo'!$B$2,'Calc valanga'!BA222,'Calc palla di neve'!BA222,'Calc personalizzata'!BA222))</f>
        <v/>
      </c>
      <c r="Z199" s="70" t="str">
        <f>IF($A199="","",ROUND(N(AA198)*(1+'Calc base'!P222),2)-AA199)</f>
        <v/>
      </c>
      <c r="AA199" s="75" t="str">
        <f>IF($A199="","",CHOOSE('Calc riepilogo'!$B$2,'Calc valanga'!BB222,'Calc palla di neve'!BB222,'Calc personalizzata'!BB222))</f>
        <v/>
      </c>
      <c r="AB199" s="70" t="str">
        <f>IF($A199="","",ROUND(N(AC198)*(1+'Calc base'!Q222),2)-AC199)</f>
        <v/>
      </c>
      <c r="AC199" s="75" t="str">
        <f>IF($A199="","",CHOOSE('Calc riepilogo'!$B$2,'Calc valanga'!BC222,'Calc palla di neve'!BC222,'Calc personalizzata'!BC222))</f>
        <v/>
      </c>
      <c r="AD199" s="70" t="str">
        <f>IF($A199="","",ROUND(N(AE198)*(1+'Calc base'!R222),2)-AE199)</f>
        <v/>
      </c>
      <c r="AE199" s="75" t="str">
        <f>IF($A199="","",CHOOSE('Calc riepilogo'!$B$2,'Calc valanga'!BD222,'Calc palla di neve'!BD222,'Calc personalizzata'!BD222))</f>
        <v/>
      </c>
      <c r="AF199" s="70" t="str">
        <f>IF($A199="","",ROUND(N(AG198)*(1+'Calc base'!S222),2)-AG199)</f>
        <v/>
      </c>
      <c r="AG199" s="75" t="str">
        <f>IF($A199="","",CHOOSE('Calc riepilogo'!$B$2,'Calc valanga'!BE222,'Calc palla di neve'!BE222,'Calc personalizzata'!BE222))</f>
        <v/>
      </c>
      <c r="AI199" t="n">
        <v>192</v>
      </c>
    </row>
    <row r="200">
      <c r="A200" s="68" t="str">
        <f>IF(193&gt;'Calc riepilogo'!$B$7,"",'Calc base'!$B223)</f>
        <v/>
      </c>
      <c r="B200" s="69" t="str">
        <f>IF($A200="","",'Calc base'!$C223)</f>
        <v/>
      </c>
      <c r="C200" s="69" t="str">
        <f>IF($A200="","",'Calc base'!$E223)</f>
        <v/>
      </c>
      <c r="D200" s="70" t="str">
        <f>IF($A200="","",J200+L200+N200+P200+R200+T200+V200+X200+Z200+AB200+AD200+AF200)</f>
        <v/>
      </c>
      <c r="E200" s="70" t="str">
        <f>IF($A200="","",CHOOSE('Calc riepilogo'!$B$2,'Calc valanga'!$H223,'Calc palla di neve'!$H223,'Calc personalizzata'!$H223))</f>
        <v/>
      </c>
      <c r="F200" s="71" t="str">
        <f>IF($A200="","",CHOOSE('Calc riepilogo'!$B$2,'Calc valanga'!$G223,'Calc palla di neve'!$G223,'Calc personalizzata'!$G223))</f>
        <v/>
      </c>
      <c r="G200" s="72" t="n"/>
      <c r="H200" s="73" t="n"/>
      <c r="I200" s="74" t="str">
        <f>IF($A200="","",TRIM(IF(AND(N(K199)&gt;0,N(K200)&lt;=0.004),"✓ "&amp;'Calc base'!C$6&amp;"   ","")&amp;IF(AND(N(M199)&gt;0,N(M200)&lt;=0.004),"✓ "&amp;'Calc base'!D$6&amp;"   ","")&amp;IF(AND(N(O199)&gt;0,N(O200)&lt;=0.004),"✓ "&amp;'Calc base'!E$6&amp;"   ","")&amp;IF(AND(N(Q199)&gt;0,N(Q200)&lt;=0.004),"✓ "&amp;'Calc base'!F$6&amp;"   ","")&amp;IF(AND(N(S199)&gt;0,N(S200)&lt;=0.004),"✓ "&amp;'Calc base'!G$6&amp;"   ","")&amp;IF(AND(N(U199)&gt;0,N(U200)&lt;=0.004),"✓ "&amp;'Calc base'!H$6&amp;"   ","")&amp;IF(AND(N(W199)&gt;0,N(W200)&lt;=0.004),"✓ "&amp;'Calc base'!I$6&amp;"   ","")&amp;IF(AND(N(Y199)&gt;0,N(Y200)&lt;=0.004),"✓ "&amp;'Calc base'!J$6&amp;"   ","")&amp;IF(AND(N(AA199)&gt;0,N(AA200)&lt;=0.004),"✓ "&amp;'Calc base'!K$6&amp;"   ","")&amp;IF(AND(N(AC199)&gt;0,N(AC200)&lt;=0.004),"✓ "&amp;'Calc base'!L$6&amp;"   ","")&amp;IF(AND(N(AE199)&gt;0,N(AE200)&lt;=0.004),"✓ "&amp;'Calc base'!M$6&amp;"   ","")&amp;IF(AND(N(AG199)&gt;0,N(AG200)&lt;=0.004),"✓ "&amp;'Calc base'!N$6&amp;"   ","")))</f>
        <v/>
      </c>
      <c r="J200" s="70" t="str">
        <f>IF($A200="","",ROUND(N(K199)*(1+'Calc base'!H223),2)-K200)</f>
        <v/>
      </c>
      <c r="K200" s="75" t="str">
        <f>IF($A200="","",CHOOSE('Calc riepilogo'!$B$2,'Calc valanga'!AT223,'Calc palla di neve'!AT223,'Calc personalizzata'!AT223))</f>
        <v/>
      </c>
      <c r="L200" s="70" t="str">
        <f>IF($A200="","",ROUND(N(M199)*(1+'Calc base'!I223),2)-M200)</f>
        <v/>
      </c>
      <c r="M200" s="75" t="str">
        <f>IF($A200="","",CHOOSE('Calc riepilogo'!$B$2,'Calc valanga'!AU223,'Calc palla di neve'!AU223,'Calc personalizzata'!AU223))</f>
        <v/>
      </c>
      <c r="N200" s="70" t="str">
        <f>IF($A200="","",ROUND(N(O199)*(1+'Calc base'!J223),2)-O200)</f>
        <v/>
      </c>
      <c r="O200" s="75" t="str">
        <f>IF($A200="","",CHOOSE('Calc riepilogo'!$B$2,'Calc valanga'!AV223,'Calc palla di neve'!AV223,'Calc personalizzata'!AV223))</f>
        <v/>
      </c>
      <c r="P200" s="70" t="str">
        <f>IF($A200="","",ROUND(N(Q199)*(1+'Calc base'!K223),2)-Q200)</f>
        <v/>
      </c>
      <c r="Q200" s="75" t="str">
        <f>IF($A200="","",CHOOSE('Calc riepilogo'!$B$2,'Calc valanga'!AW223,'Calc palla di neve'!AW223,'Calc personalizzata'!AW223))</f>
        <v/>
      </c>
      <c r="R200" s="70" t="str">
        <f>IF($A200="","",ROUND(N(S199)*(1+'Calc base'!L223),2)-S200)</f>
        <v/>
      </c>
      <c r="S200" s="75" t="str">
        <f>IF($A200="","",CHOOSE('Calc riepilogo'!$B$2,'Calc valanga'!AX223,'Calc palla di neve'!AX223,'Calc personalizzata'!AX223))</f>
        <v/>
      </c>
      <c r="T200" s="70" t="str">
        <f>IF($A200="","",ROUND(N(U199)*(1+'Calc base'!M223),2)-U200)</f>
        <v/>
      </c>
      <c r="U200" s="75" t="str">
        <f>IF($A200="","",CHOOSE('Calc riepilogo'!$B$2,'Calc valanga'!AY223,'Calc palla di neve'!AY223,'Calc personalizzata'!AY223))</f>
        <v/>
      </c>
      <c r="V200" s="70" t="str">
        <f>IF($A200="","",ROUND(N(W199)*(1+'Calc base'!N223),2)-W200)</f>
        <v/>
      </c>
      <c r="W200" s="75" t="str">
        <f>IF($A200="","",CHOOSE('Calc riepilogo'!$B$2,'Calc valanga'!AZ223,'Calc palla di neve'!AZ223,'Calc personalizzata'!AZ223))</f>
        <v/>
      </c>
      <c r="X200" s="70" t="str">
        <f>IF($A200="","",ROUND(N(Y199)*(1+'Calc base'!O223),2)-Y200)</f>
        <v/>
      </c>
      <c r="Y200" s="75" t="str">
        <f>IF($A200="","",CHOOSE('Calc riepilogo'!$B$2,'Calc valanga'!BA223,'Calc palla di neve'!BA223,'Calc personalizzata'!BA223))</f>
        <v/>
      </c>
      <c r="Z200" s="70" t="str">
        <f>IF($A200="","",ROUND(N(AA199)*(1+'Calc base'!P223),2)-AA200)</f>
        <v/>
      </c>
      <c r="AA200" s="75" t="str">
        <f>IF($A200="","",CHOOSE('Calc riepilogo'!$B$2,'Calc valanga'!BB223,'Calc palla di neve'!BB223,'Calc personalizzata'!BB223))</f>
        <v/>
      </c>
      <c r="AB200" s="70" t="str">
        <f>IF($A200="","",ROUND(N(AC199)*(1+'Calc base'!Q223),2)-AC200)</f>
        <v/>
      </c>
      <c r="AC200" s="75" t="str">
        <f>IF($A200="","",CHOOSE('Calc riepilogo'!$B$2,'Calc valanga'!BC223,'Calc palla di neve'!BC223,'Calc personalizzata'!BC223))</f>
        <v/>
      </c>
      <c r="AD200" s="70" t="str">
        <f>IF($A200="","",ROUND(N(AE199)*(1+'Calc base'!R223),2)-AE200)</f>
        <v/>
      </c>
      <c r="AE200" s="75" t="str">
        <f>IF($A200="","",CHOOSE('Calc riepilogo'!$B$2,'Calc valanga'!BD223,'Calc palla di neve'!BD223,'Calc personalizzata'!BD223))</f>
        <v/>
      </c>
      <c r="AF200" s="70" t="str">
        <f>IF($A200="","",ROUND(N(AG199)*(1+'Calc base'!S223),2)-AG200)</f>
        <v/>
      </c>
      <c r="AG200" s="75" t="str">
        <f>IF($A200="","",CHOOSE('Calc riepilogo'!$B$2,'Calc valanga'!BE223,'Calc palla di neve'!BE223,'Calc personalizzata'!BE223))</f>
        <v/>
      </c>
      <c r="AI200" t="n">
        <v>193</v>
      </c>
    </row>
    <row r="201">
      <c r="A201" s="68" t="str">
        <f>IF(194&gt;'Calc riepilogo'!$B$7,"",'Calc base'!$B224)</f>
        <v/>
      </c>
      <c r="B201" s="69" t="str">
        <f>IF($A201="","",'Calc base'!$C224)</f>
        <v/>
      </c>
      <c r="C201" s="69" t="str">
        <f>IF($A201="","",'Calc base'!$E224)</f>
        <v/>
      </c>
      <c r="D201" s="70" t="str">
        <f>IF($A201="","",J201+L201+N201+P201+R201+T201+V201+X201+Z201+AB201+AD201+AF201)</f>
        <v/>
      </c>
      <c r="E201" s="70" t="str">
        <f>IF($A201="","",CHOOSE('Calc riepilogo'!$B$2,'Calc valanga'!$H224,'Calc palla di neve'!$H224,'Calc personalizzata'!$H224))</f>
        <v/>
      </c>
      <c r="F201" s="71" t="str">
        <f>IF($A201="","",CHOOSE('Calc riepilogo'!$B$2,'Calc valanga'!$G224,'Calc palla di neve'!$G224,'Calc personalizzata'!$G224))</f>
        <v/>
      </c>
      <c r="G201" s="72" t="n"/>
      <c r="H201" s="73" t="n"/>
      <c r="I201" s="74" t="str">
        <f>IF($A201="","",TRIM(IF(AND(N(K200)&gt;0,N(K201)&lt;=0.004),"✓ "&amp;'Calc base'!C$6&amp;"   ","")&amp;IF(AND(N(M200)&gt;0,N(M201)&lt;=0.004),"✓ "&amp;'Calc base'!D$6&amp;"   ","")&amp;IF(AND(N(O200)&gt;0,N(O201)&lt;=0.004),"✓ "&amp;'Calc base'!E$6&amp;"   ","")&amp;IF(AND(N(Q200)&gt;0,N(Q201)&lt;=0.004),"✓ "&amp;'Calc base'!F$6&amp;"   ","")&amp;IF(AND(N(S200)&gt;0,N(S201)&lt;=0.004),"✓ "&amp;'Calc base'!G$6&amp;"   ","")&amp;IF(AND(N(U200)&gt;0,N(U201)&lt;=0.004),"✓ "&amp;'Calc base'!H$6&amp;"   ","")&amp;IF(AND(N(W200)&gt;0,N(W201)&lt;=0.004),"✓ "&amp;'Calc base'!I$6&amp;"   ","")&amp;IF(AND(N(Y200)&gt;0,N(Y201)&lt;=0.004),"✓ "&amp;'Calc base'!J$6&amp;"   ","")&amp;IF(AND(N(AA200)&gt;0,N(AA201)&lt;=0.004),"✓ "&amp;'Calc base'!K$6&amp;"   ","")&amp;IF(AND(N(AC200)&gt;0,N(AC201)&lt;=0.004),"✓ "&amp;'Calc base'!L$6&amp;"   ","")&amp;IF(AND(N(AE200)&gt;0,N(AE201)&lt;=0.004),"✓ "&amp;'Calc base'!M$6&amp;"   ","")&amp;IF(AND(N(AG200)&gt;0,N(AG201)&lt;=0.004),"✓ "&amp;'Calc base'!N$6&amp;"   ","")))</f>
        <v/>
      </c>
      <c r="J201" s="70" t="str">
        <f>IF($A201="","",ROUND(N(K200)*(1+'Calc base'!H224),2)-K201)</f>
        <v/>
      </c>
      <c r="K201" s="75" t="str">
        <f>IF($A201="","",CHOOSE('Calc riepilogo'!$B$2,'Calc valanga'!AT224,'Calc palla di neve'!AT224,'Calc personalizzata'!AT224))</f>
        <v/>
      </c>
      <c r="L201" s="70" t="str">
        <f>IF($A201="","",ROUND(N(M200)*(1+'Calc base'!I224),2)-M201)</f>
        <v/>
      </c>
      <c r="M201" s="75" t="str">
        <f>IF($A201="","",CHOOSE('Calc riepilogo'!$B$2,'Calc valanga'!AU224,'Calc palla di neve'!AU224,'Calc personalizzata'!AU224))</f>
        <v/>
      </c>
      <c r="N201" s="70" t="str">
        <f>IF($A201="","",ROUND(N(O200)*(1+'Calc base'!J224),2)-O201)</f>
        <v/>
      </c>
      <c r="O201" s="75" t="str">
        <f>IF($A201="","",CHOOSE('Calc riepilogo'!$B$2,'Calc valanga'!AV224,'Calc palla di neve'!AV224,'Calc personalizzata'!AV224))</f>
        <v/>
      </c>
      <c r="P201" s="70" t="str">
        <f>IF($A201="","",ROUND(N(Q200)*(1+'Calc base'!K224),2)-Q201)</f>
        <v/>
      </c>
      <c r="Q201" s="75" t="str">
        <f>IF($A201="","",CHOOSE('Calc riepilogo'!$B$2,'Calc valanga'!AW224,'Calc palla di neve'!AW224,'Calc personalizzata'!AW224))</f>
        <v/>
      </c>
      <c r="R201" s="70" t="str">
        <f>IF($A201="","",ROUND(N(S200)*(1+'Calc base'!L224),2)-S201)</f>
        <v/>
      </c>
      <c r="S201" s="75" t="str">
        <f>IF($A201="","",CHOOSE('Calc riepilogo'!$B$2,'Calc valanga'!AX224,'Calc palla di neve'!AX224,'Calc personalizzata'!AX224))</f>
        <v/>
      </c>
      <c r="T201" s="70" t="str">
        <f>IF($A201="","",ROUND(N(U200)*(1+'Calc base'!M224),2)-U201)</f>
        <v/>
      </c>
      <c r="U201" s="75" t="str">
        <f>IF($A201="","",CHOOSE('Calc riepilogo'!$B$2,'Calc valanga'!AY224,'Calc palla di neve'!AY224,'Calc personalizzata'!AY224))</f>
        <v/>
      </c>
      <c r="V201" s="70" t="str">
        <f>IF($A201="","",ROUND(N(W200)*(1+'Calc base'!N224),2)-W201)</f>
        <v/>
      </c>
      <c r="W201" s="75" t="str">
        <f>IF($A201="","",CHOOSE('Calc riepilogo'!$B$2,'Calc valanga'!AZ224,'Calc palla di neve'!AZ224,'Calc personalizzata'!AZ224))</f>
        <v/>
      </c>
      <c r="X201" s="70" t="str">
        <f>IF($A201="","",ROUND(N(Y200)*(1+'Calc base'!O224),2)-Y201)</f>
        <v/>
      </c>
      <c r="Y201" s="75" t="str">
        <f>IF($A201="","",CHOOSE('Calc riepilogo'!$B$2,'Calc valanga'!BA224,'Calc palla di neve'!BA224,'Calc personalizzata'!BA224))</f>
        <v/>
      </c>
      <c r="Z201" s="70" t="str">
        <f>IF($A201="","",ROUND(N(AA200)*(1+'Calc base'!P224),2)-AA201)</f>
        <v/>
      </c>
      <c r="AA201" s="75" t="str">
        <f>IF($A201="","",CHOOSE('Calc riepilogo'!$B$2,'Calc valanga'!BB224,'Calc palla di neve'!BB224,'Calc personalizzata'!BB224))</f>
        <v/>
      </c>
      <c r="AB201" s="70" t="str">
        <f>IF($A201="","",ROUND(N(AC200)*(1+'Calc base'!Q224),2)-AC201)</f>
        <v/>
      </c>
      <c r="AC201" s="75" t="str">
        <f>IF($A201="","",CHOOSE('Calc riepilogo'!$B$2,'Calc valanga'!BC224,'Calc palla di neve'!BC224,'Calc personalizzata'!BC224))</f>
        <v/>
      </c>
      <c r="AD201" s="70" t="str">
        <f>IF($A201="","",ROUND(N(AE200)*(1+'Calc base'!R224),2)-AE201)</f>
        <v/>
      </c>
      <c r="AE201" s="75" t="str">
        <f>IF($A201="","",CHOOSE('Calc riepilogo'!$B$2,'Calc valanga'!BD224,'Calc palla di neve'!BD224,'Calc personalizzata'!BD224))</f>
        <v/>
      </c>
      <c r="AF201" s="70" t="str">
        <f>IF($A201="","",ROUND(N(AG200)*(1+'Calc base'!S224),2)-AG201)</f>
        <v/>
      </c>
      <c r="AG201" s="75" t="str">
        <f>IF($A201="","",CHOOSE('Calc riepilogo'!$B$2,'Calc valanga'!BE224,'Calc palla di neve'!BE224,'Calc personalizzata'!BE224))</f>
        <v/>
      </c>
      <c r="AI201" t="n">
        <v>194</v>
      </c>
    </row>
    <row r="202">
      <c r="A202" s="68" t="str">
        <f>IF(195&gt;'Calc riepilogo'!$B$7,"",'Calc base'!$B225)</f>
        <v/>
      </c>
      <c r="B202" s="69" t="str">
        <f>IF($A202="","",'Calc base'!$C225)</f>
        <v/>
      </c>
      <c r="C202" s="69" t="str">
        <f>IF($A202="","",'Calc base'!$E225)</f>
        <v/>
      </c>
      <c r="D202" s="70" t="str">
        <f>IF($A202="","",J202+L202+N202+P202+R202+T202+V202+X202+Z202+AB202+AD202+AF202)</f>
        <v/>
      </c>
      <c r="E202" s="70" t="str">
        <f>IF($A202="","",CHOOSE('Calc riepilogo'!$B$2,'Calc valanga'!$H225,'Calc palla di neve'!$H225,'Calc personalizzata'!$H225))</f>
        <v/>
      </c>
      <c r="F202" s="71" t="str">
        <f>IF($A202="","",CHOOSE('Calc riepilogo'!$B$2,'Calc valanga'!$G225,'Calc palla di neve'!$G225,'Calc personalizzata'!$G225))</f>
        <v/>
      </c>
      <c r="G202" s="72" t="n"/>
      <c r="H202" s="73" t="n"/>
      <c r="I202" s="74" t="str">
        <f>IF($A202="","",TRIM(IF(AND(N(K201)&gt;0,N(K202)&lt;=0.004),"✓ "&amp;'Calc base'!C$6&amp;"   ","")&amp;IF(AND(N(M201)&gt;0,N(M202)&lt;=0.004),"✓ "&amp;'Calc base'!D$6&amp;"   ","")&amp;IF(AND(N(O201)&gt;0,N(O202)&lt;=0.004),"✓ "&amp;'Calc base'!E$6&amp;"   ","")&amp;IF(AND(N(Q201)&gt;0,N(Q202)&lt;=0.004),"✓ "&amp;'Calc base'!F$6&amp;"   ","")&amp;IF(AND(N(S201)&gt;0,N(S202)&lt;=0.004),"✓ "&amp;'Calc base'!G$6&amp;"   ","")&amp;IF(AND(N(U201)&gt;0,N(U202)&lt;=0.004),"✓ "&amp;'Calc base'!H$6&amp;"   ","")&amp;IF(AND(N(W201)&gt;0,N(W202)&lt;=0.004),"✓ "&amp;'Calc base'!I$6&amp;"   ","")&amp;IF(AND(N(Y201)&gt;0,N(Y202)&lt;=0.004),"✓ "&amp;'Calc base'!J$6&amp;"   ","")&amp;IF(AND(N(AA201)&gt;0,N(AA202)&lt;=0.004),"✓ "&amp;'Calc base'!K$6&amp;"   ","")&amp;IF(AND(N(AC201)&gt;0,N(AC202)&lt;=0.004),"✓ "&amp;'Calc base'!L$6&amp;"   ","")&amp;IF(AND(N(AE201)&gt;0,N(AE202)&lt;=0.004),"✓ "&amp;'Calc base'!M$6&amp;"   ","")&amp;IF(AND(N(AG201)&gt;0,N(AG202)&lt;=0.004),"✓ "&amp;'Calc base'!N$6&amp;"   ","")))</f>
        <v/>
      </c>
      <c r="J202" s="70" t="str">
        <f>IF($A202="","",ROUND(N(K201)*(1+'Calc base'!H225),2)-K202)</f>
        <v/>
      </c>
      <c r="K202" s="75" t="str">
        <f>IF($A202="","",CHOOSE('Calc riepilogo'!$B$2,'Calc valanga'!AT225,'Calc palla di neve'!AT225,'Calc personalizzata'!AT225))</f>
        <v/>
      </c>
      <c r="L202" s="70" t="str">
        <f>IF($A202="","",ROUND(N(M201)*(1+'Calc base'!I225),2)-M202)</f>
        <v/>
      </c>
      <c r="M202" s="75" t="str">
        <f>IF($A202="","",CHOOSE('Calc riepilogo'!$B$2,'Calc valanga'!AU225,'Calc palla di neve'!AU225,'Calc personalizzata'!AU225))</f>
        <v/>
      </c>
      <c r="N202" s="70" t="str">
        <f>IF($A202="","",ROUND(N(O201)*(1+'Calc base'!J225),2)-O202)</f>
        <v/>
      </c>
      <c r="O202" s="75" t="str">
        <f>IF($A202="","",CHOOSE('Calc riepilogo'!$B$2,'Calc valanga'!AV225,'Calc palla di neve'!AV225,'Calc personalizzata'!AV225))</f>
        <v/>
      </c>
      <c r="P202" s="70" t="str">
        <f>IF($A202="","",ROUND(N(Q201)*(1+'Calc base'!K225),2)-Q202)</f>
        <v/>
      </c>
      <c r="Q202" s="75" t="str">
        <f>IF($A202="","",CHOOSE('Calc riepilogo'!$B$2,'Calc valanga'!AW225,'Calc palla di neve'!AW225,'Calc personalizzata'!AW225))</f>
        <v/>
      </c>
      <c r="R202" s="70" t="str">
        <f>IF($A202="","",ROUND(N(S201)*(1+'Calc base'!L225),2)-S202)</f>
        <v/>
      </c>
      <c r="S202" s="75" t="str">
        <f>IF($A202="","",CHOOSE('Calc riepilogo'!$B$2,'Calc valanga'!AX225,'Calc palla di neve'!AX225,'Calc personalizzata'!AX225))</f>
        <v/>
      </c>
      <c r="T202" s="70" t="str">
        <f>IF($A202="","",ROUND(N(U201)*(1+'Calc base'!M225),2)-U202)</f>
        <v/>
      </c>
      <c r="U202" s="75" t="str">
        <f>IF($A202="","",CHOOSE('Calc riepilogo'!$B$2,'Calc valanga'!AY225,'Calc palla di neve'!AY225,'Calc personalizzata'!AY225))</f>
        <v/>
      </c>
      <c r="V202" s="70" t="str">
        <f>IF($A202="","",ROUND(N(W201)*(1+'Calc base'!N225),2)-W202)</f>
        <v/>
      </c>
      <c r="W202" s="75" t="str">
        <f>IF($A202="","",CHOOSE('Calc riepilogo'!$B$2,'Calc valanga'!AZ225,'Calc palla di neve'!AZ225,'Calc personalizzata'!AZ225))</f>
        <v/>
      </c>
      <c r="X202" s="70" t="str">
        <f>IF($A202="","",ROUND(N(Y201)*(1+'Calc base'!O225),2)-Y202)</f>
        <v/>
      </c>
      <c r="Y202" s="75" t="str">
        <f>IF($A202="","",CHOOSE('Calc riepilogo'!$B$2,'Calc valanga'!BA225,'Calc palla di neve'!BA225,'Calc personalizzata'!BA225))</f>
        <v/>
      </c>
      <c r="Z202" s="70" t="str">
        <f>IF($A202="","",ROUND(N(AA201)*(1+'Calc base'!P225),2)-AA202)</f>
        <v/>
      </c>
      <c r="AA202" s="75" t="str">
        <f>IF($A202="","",CHOOSE('Calc riepilogo'!$B$2,'Calc valanga'!BB225,'Calc palla di neve'!BB225,'Calc personalizzata'!BB225))</f>
        <v/>
      </c>
      <c r="AB202" s="70" t="str">
        <f>IF($A202="","",ROUND(N(AC201)*(1+'Calc base'!Q225),2)-AC202)</f>
        <v/>
      </c>
      <c r="AC202" s="75" t="str">
        <f>IF($A202="","",CHOOSE('Calc riepilogo'!$B$2,'Calc valanga'!BC225,'Calc palla di neve'!BC225,'Calc personalizzata'!BC225))</f>
        <v/>
      </c>
      <c r="AD202" s="70" t="str">
        <f>IF($A202="","",ROUND(N(AE201)*(1+'Calc base'!R225),2)-AE202)</f>
        <v/>
      </c>
      <c r="AE202" s="75" t="str">
        <f>IF($A202="","",CHOOSE('Calc riepilogo'!$B$2,'Calc valanga'!BD225,'Calc palla di neve'!BD225,'Calc personalizzata'!BD225))</f>
        <v/>
      </c>
      <c r="AF202" s="70" t="str">
        <f>IF($A202="","",ROUND(N(AG201)*(1+'Calc base'!S225),2)-AG202)</f>
        <v/>
      </c>
      <c r="AG202" s="75" t="str">
        <f>IF($A202="","",CHOOSE('Calc riepilogo'!$B$2,'Calc valanga'!BE225,'Calc palla di neve'!BE225,'Calc personalizzata'!BE225))</f>
        <v/>
      </c>
      <c r="AI202" t="n">
        <v>195</v>
      </c>
    </row>
    <row r="203">
      <c r="A203" s="68" t="str">
        <f>IF(196&gt;'Calc riepilogo'!$B$7,"",'Calc base'!$B226)</f>
        <v/>
      </c>
      <c r="B203" s="69" t="str">
        <f>IF($A203="","",'Calc base'!$C226)</f>
        <v/>
      </c>
      <c r="C203" s="69" t="str">
        <f>IF($A203="","",'Calc base'!$E226)</f>
        <v/>
      </c>
      <c r="D203" s="70" t="str">
        <f>IF($A203="","",J203+L203+N203+P203+R203+T203+V203+X203+Z203+AB203+AD203+AF203)</f>
        <v/>
      </c>
      <c r="E203" s="70" t="str">
        <f>IF($A203="","",CHOOSE('Calc riepilogo'!$B$2,'Calc valanga'!$H226,'Calc palla di neve'!$H226,'Calc personalizzata'!$H226))</f>
        <v/>
      </c>
      <c r="F203" s="71" t="str">
        <f>IF($A203="","",CHOOSE('Calc riepilogo'!$B$2,'Calc valanga'!$G226,'Calc palla di neve'!$G226,'Calc personalizzata'!$G226))</f>
        <v/>
      </c>
      <c r="G203" s="72" t="n"/>
      <c r="H203" s="73" t="n"/>
      <c r="I203" s="74" t="str">
        <f>IF($A203="","",TRIM(IF(AND(N(K202)&gt;0,N(K203)&lt;=0.004),"✓ "&amp;'Calc base'!C$6&amp;"   ","")&amp;IF(AND(N(M202)&gt;0,N(M203)&lt;=0.004),"✓ "&amp;'Calc base'!D$6&amp;"   ","")&amp;IF(AND(N(O202)&gt;0,N(O203)&lt;=0.004),"✓ "&amp;'Calc base'!E$6&amp;"   ","")&amp;IF(AND(N(Q202)&gt;0,N(Q203)&lt;=0.004),"✓ "&amp;'Calc base'!F$6&amp;"   ","")&amp;IF(AND(N(S202)&gt;0,N(S203)&lt;=0.004),"✓ "&amp;'Calc base'!G$6&amp;"   ","")&amp;IF(AND(N(U202)&gt;0,N(U203)&lt;=0.004),"✓ "&amp;'Calc base'!H$6&amp;"   ","")&amp;IF(AND(N(W202)&gt;0,N(W203)&lt;=0.004),"✓ "&amp;'Calc base'!I$6&amp;"   ","")&amp;IF(AND(N(Y202)&gt;0,N(Y203)&lt;=0.004),"✓ "&amp;'Calc base'!J$6&amp;"   ","")&amp;IF(AND(N(AA202)&gt;0,N(AA203)&lt;=0.004),"✓ "&amp;'Calc base'!K$6&amp;"   ","")&amp;IF(AND(N(AC202)&gt;0,N(AC203)&lt;=0.004),"✓ "&amp;'Calc base'!L$6&amp;"   ","")&amp;IF(AND(N(AE202)&gt;0,N(AE203)&lt;=0.004),"✓ "&amp;'Calc base'!M$6&amp;"   ","")&amp;IF(AND(N(AG202)&gt;0,N(AG203)&lt;=0.004),"✓ "&amp;'Calc base'!N$6&amp;"   ","")))</f>
        <v/>
      </c>
      <c r="J203" s="70" t="str">
        <f>IF($A203="","",ROUND(N(K202)*(1+'Calc base'!H226),2)-K203)</f>
        <v/>
      </c>
      <c r="K203" s="75" t="str">
        <f>IF($A203="","",CHOOSE('Calc riepilogo'!$B$2,'Calc valanga'!AT226,'Calc palla di neve'!AT226,'Calc personalizzata'!AT226))</f>
        <v/>
      </c>
      <c r="L203" s="70" t="str">
        <f>IF($A203="","",ROUND(N(M202)*(1+'Calc base'!I226),2)-M203)</f>
        <v/>
      </c>
      <c r="M203" s="75" t="str">
        <f>IF($A203="","",CHOOSE('Calc riepilogo'!$B$2,'Calc valanga'!AU226,'Calc palla di neve'!AU226,'Calc personalizzata'!AU226))</f>
        <v/>
      </c>
      <c r="N203" s="70" t="str">
        <f>IF($A203="","",ROUND(N(O202)*(1+'Calc base'!J226),2)-O203)</f>
        <v/>
      </c>
      <c r="O203" s="75" t="str">
        <f>IF($A203="","",CHOOSE('Calc riepilogo'!$B$2,'Calc valanga'!AV226,'Calc palla di neve'!AV226,'Calc personalizzata'!AV226))</f>
        <v/>
      </c>
      <c r="P203" s="70" t="str">
        <f>IF($A203="","",ROUND(N(Q202)*(1+'Calc base'!K226),2)-Q203)</f>
        <v/>
      </c>
      <c r="Q203" s="75" t="str">
        <f>IF($A203="","",CHOOSE('Calc riepilogo'!$B$2,'Calc valanga'!AW226,'Calc palla di neve'!AW226,'Calc personalizzata'!AW226))</f>
        <v/>
      </c>
      <c r="R203" s="70" t="str">
        <f>IF($A203="","",ROUND(N(S202)*(1+'Calc base'!L226),2)-S203)</f>
        <v/>
      </c>
      <c r="S203" s="75" t="str">
        <f>IF($A203="","",CHOOSE('Calc riepilogo'!$B$2,'Calc valanga'!AX226,'Calc palla di neve'!AX226,'Calc personalizzata'!AX226))</f>
        <v/>
      </c>
      <c r="T203" s="70" t="str">
        <f>IF($A203="","",ROUND(N(U202)*(1+'Calc base'!M226),2)-U203)</f>
        <v/>
      </c>
      <c r="U203" s="75" t="str">
        <f>IF($A203="","",CHOOSE('Calc riepilogo'!$B$2,'Calc valanga'!AY226,'Calc palla di neve'!AY226,'Calc personalizzata'!AY226))</f>
        <v/>
      </c>
      <c r="V203" s="70" t="str">
        <f>IF($A203="","",ROUND(N(W202)*(1+'Calc base'!N226),2)-W203)</f>
        <v/>
      </c>
      <c r="W203" s="75" t="str">
        <f>IF($A203="","",CHOOSE('Calc riepilogo'!$B$2,'Calc valanga'!AZ226,'Calc palla di neve'!AZ226,'Calc personalizzata'!AZ226))</f>
        <v/>
      </c>
      <c r="X203" s="70" t="str">
        <f>IF($A203="","",ROUND(N(Y202)*(1+'Calc base'!O226),2)-Y203)</f>
        <v/>
      </c>
      <c r="Y203" s="75" t="str">
        <f>IF($A203="","",CHOOSE('Calc riepilogo'!$B$2,'Calc valanga'!BA226,'Calc palla di neve'!BA226,'Calc personalizzata'!BA226))</f>
        <v/>
      </c>
      <c r="Z203" s="70" t="str">
        <f>IF($A203="","",ROUND(N(AA202)*(1+'Calc base'!P226),2)-AA203)</f>
        <v/>
      </c>
      <c r="AA203" s="75" t="str">
        <f>IF($A203="","",CHOOSE('Calc riepilogo'!$B$2,'Calc valanga'!BB226,'Calc palla di neve'!BB226,'Calc personalizzata'!BB226))</f>
        <v/>
      </c>
      <c r="AB203" s="70" t="str">
        <f>IF($A203="","",ROUND(N(AC202)*(1+'Calc base'!Q226),2)-AC203)</f>
        <v/>
      </c>
      <c r="AC203" s="75" t="str">
        <f>IF($A203="","",CHOOSE('Calc riepilogo'!$B$2,'Calc valanga'!BC226,'Calc palla di neve'!BC226,'Calc personalizzata'!BC226))</f>
        <v/>
      </c>
      <c r="AD203" s="70" t="str">
        <f>IF($A203="","",ROUND(N(AE202)*(1+'Calc base'!R226),2)-AE203)</f>
        <v/>
      </c>
      <c r="AE203" s="75" t="str">
        <f>IF($A203="","",CHOOSE('Calc riepilogo'!$B$2,'Calc valanga'!BD226,'Calc palla di neve'!BD226,'Calc personalizzata'!BD226))</f>
        <v/>
      </c>
      <c r="AF203" s="70" t="str">
        <f>IF($A203="","",ROUND(N(AG202)*(1+'Calc base'!S226),2)-AG203)</f>
        <v/>
      </c>
      <c r="AG203" s="75" t="str">
        <f>IF($A203="","",CHOOSE('Calc riepilogo'!$B$2,'Calc valanga'!BE226,'Calc palla di neve'!BE226,'Calc personalizzata'!BE226))</f>
        <v/>
      </c>
      <c r="AI203" t="n">
        <v>196</v>
      </c>
    </row>
    <row r="204">
      <c r="A204" s="68" t="str">
        <f>IF(197&gt;'Calc riepilogo'!$B$7,"",'Calc base'!$B227)</f>
        <v/>
      </c>
      <c r="B204" s="69" t="str">
        <f>IF($A204="","",'Calc base'!$C227)</f>
        <v/>
      </c>
      <c r="C204" s="69" t="str">
        <f>IF($A204="","",'Calc base'!$E227)</f>
        <v/>
      </c>
      <c r="D204" s="70" t="str">
        <f>IF($A204="","",J204+L204+N204+P204+R204+T204+V204+X204+Z204+AB204+AD204+AF204)</f>
        <v/>
      </c>
      <c r="E204" s="70" t="str">
        <f>IF($A204="","",CHOOSE('Calc riepilogo'!$B$2,'Calc valanga'!$H227,'Calc palla di neve'!$H227,'Calc personalizzata'!$H227))</f>
        <v/>
      </c>
      <c r="F204" s="71" t="str">
        <f>IF($A204="","",CHOOSE('Calc riepilogo'!$B$2,'Calc valanga'!$G227,'Calc palla di neve'!$G227,'Calc personalizzata'!$G227))</f>
        <v/>
      </c>
      <c r="G204" s="72" t="n"/>
      <c r="H204" s="73" t="n"/>
      <c r="I204" s="74" t="str">
        <f>IF($A204="","",TRIM(IF(AND(N(K203)&gt;0,N(K204)&lt;=0.004),"✓ "&amp;'Calc base'!C$6&amp;"   ","")&amp;IF(AND(N(M203)&gt;0,N(M204)&lt;=0.004),"✓ "&amp;'Calc base'!D$6&amp;"   ","")&amp;IF(AND(N(O203)&gt;0,N(O204)&lt;=0.004),"✓ "&amp;'Calc base'!E$6&amp;"   ","")&amp;IF(AND(N(Q203)&gt;0,N(Q204)&lt;=0.004),"✓ "&amp;'Calc base'!F$6&amp;"   ","")&amp;IF(AND(N(S203)&gt;0,N(S204)&lt;=0.004),"✓ "&amp;'Calc base'!G$6&amp;"   ","")&amp;IF(AND(N(U203)&gt;0,N(U204)&lt;=0.004),"✓ "&amp;'Calc base'!H$6&amp;"   ","")&amp;IF(AND(N(W203)&gt;0,N(W204)&lt;=0.004),"✓ "&amp;'Calc base'!I$6&amp;"   ","")&amp;IF(AND(N(Y203)&gt;0,N(Y204)&lt;=0.004),"✓ "&amp;'Calc base'!J$6&amp;"   ","")&amp;IF(AND(N(AA203)&gt;0,N(AA204)&lt;=0.004),"✓ "&amp;'Calc base'!K$6&amp;"   ","")&amp;IF(AND(N(AC203)&gt;0,N(AC204)&lt;=0.004),"✓ "&amp;'Calc base'!L$6&amp;"   ","")&amp;IF(AND(N(AE203)&gt;0,N(AE204)&lt;=0.004),"✓ "&amp;'Calc base'!M$6&amp;"   ","")&amp;IF(AND(N(AG203)&gt;0,N(AG204)&lt;=0.004),"✓ "&amp;'Calc base'!N$6&amp;"   ","")))</f>
        <v/>
      </c>
      <c r="J204" s="70" t="str">
        <f>IF($A204="","",ROUND(N(K203)*(1+'Calc base'!H227),2)-K204)</f>
        <v/>
      </c>
      <c r="K204" s="75" t="str">
        <f>IF($A204="","",CHOOSE('Calc riepilogo'!$B$2,'Calc valanga'!AT227,'Calc palla di neve'!AT227,'Calc personalizzata'!AT227))</f>
        <v/>
      </c>
      <c r="L204" s="70" t="str">
        <f>IF($A204="","",ROUND(N(M203)*(1+'Calc base'!I227),2)-M204)</f>
        <v/>
      </c>
      <c r="M204" s="75" t="str">
        <f>IF($A204="","",CHOOSE('Calc riepilogo'!$B$2,'Calc valanga'!AU227,'Calc palla di neve'!AU227,'Calc personalizzata'!AU227))</f>
        <v/>
      </c>
      <c r="N204" s="70" t="str">
        <f>IF($A204="","",ROUND(N(O203)*(1+'Calc base'!J227),2)-O204)</f>
        <v/>
      </c>
      <c r="O204" s="75" t="str">
        <f>IF($A204="","",CHOOSE('Calc riepilogo'!$B$2,'Calc valanga'!AV227,'Calc palla di neve'!AV227,'Calc personalizzata'!AV227))</f>
        <v/>
      </c>
      <c r="P204" s="70" t="str">
        <f>IF($A204="","",ROUND(N(Q203)*(1+'Calc base'!K227),2)-Q204)</f>
        <v/>
      </c>
      <c r="Q204" s="75" t="str">
        <f>IF($A204="","",CHOOSE('Calc riepilogo'!$B$2,'Calc valanga'!AW227,'Calc palla di neve'!AW227,'Calc personalizzata'!AW227))</f>
        <v/>
      </c>
      <c r="R204" s="70" t="str">
        <f>IF($A204="","",ROUND(N(S203)*(1+'Calc base'!L227),2)-S204)</f>
        <v/>
      </c>
      <c r="S204" s="75" t="str">
        <f>IF($A204="","",CHOOSE('Calc riepilogo'!$B$2,'Calc valanga'!AX227,'Calc palla di neve'!AX227,'Calc personalizzata'!AX227))</f>
        <v/>
      </c>
      <c r="T204" s="70" t="str">
        <f>IF($A204="","",ROUND(N(U203)*(1+'Calc base'!M227),2)-U204)</f>
        <v/>
      </c>
      <c r="U204" s="75" t="str">
        <f>IF($A204="","",CHOOSE('Calc riepilogo'!$B$2,'Calc valanga'!AY227,'Calc palla di neve'!AY227,'Calc personalizzata'!AY227))</f>
        <v/>
      </c>
      <c r="V204" s="70" t="str">
        <f>IF($A204="","",ROUND(N(W203)*(1+'Calc base'!N227),2)-W204)</f>
        <v/>
      </c>
      <c r="W204" s="75" t="str">
        <f>IF($A204="","",CHOOSE('Calc riepilogo'!$B$2,'Calc valanga'!AZ227,'Calc palla di neve'!AZ227,'Calc personalizzata'!AZ227))</f>
        <v/>
      </c>
      <c r="X204" s="70" t="str">
        <f>IF($A204="","",ROUND(N(Y203)*(1+'Calc base'!O227),2)-Y204)</f>
        <v/>
      </c>
      <c r="Y204" s="75" t="str">
        <f>IF($A204="","",CHOOSE('Calc riepilogo'!$B$2,'Calc valanga'!BA227,'Calc palla di neve'!BA227,'Calc personalizzata'!BA227))</f>
        <v/>
      </c>
      <c r="Z204" s="70" t="str">
        <f>IF($A204="","",ROUND(N(AA203)*(1+'Calc base'!P227),2)-AA204)</f>
        <v/>
      </c>
      <c r="AA204" s="75" t="str">
        <f>IF($A204="","",CHOOSE('Calc riepilogo'!$B$2,'Calc valanga'!BB227,'Calc palla di neve'!BB227,'Calc personalizzata'!BB227))</f>
        <v/>
      </c>
      <c r="AB204" s="70" t="str">
        <f>IF($A204="","",ROUND(N(AC203)*(1+'Calc base'!Q227),2)-AC204)</f>
        <v/>
      </c>
      <c r="AC204" s="75" t="str">
        <f>IF($A204="","",CHOOSE('Calc riepilogo'!$B$2,'Calc valanga'!BC227,'Calc palla di neve'!BC227,'Calc personalizzata'!BC227))</f>
        <v/>
      </c>
      <c r="AD204" s="70" t="str">
        <f>IF($A204="","",ROUND(N(AE203)*(1+'Calc base'!R227),2)-AE204)</f>
        <v/>
      </c>
      <c r="AE204" s="75" t="str">
        <f>IF($A204="","",CHOOSE('Calc riepilogo'!$B$2,'Calc valanga'!BD227,'Calc palla di neve'!BD227,'Calc personalizzata'!BD227))</f>
        <v/>
      </c>
      <c r="AF204" s="70" t="str">
        <f>IF($A204="","",ROUND(N(AG203)*(1+'Calc base'!S227),2)-AG204)</f>
        <v/>
      </c>
      <c r="AG204" s="75" t="str">
        <f>IF($A204="","",CHOOSE('Calc riepilogo'!$B$2,'Calc valanga'!BE227,'Calc palla di neve'!BE227,'Calc personalizzata'!BE227))</f>
        <v/>
      </c>
      <c r="AI204" t="n">
        <v>197</v>
      </c>
    </row>
    <row r="205">
      <c r="A205" s="68" t="str">
        <f>IF(198&gt;'Calc riepilogo'!$B$7,"",'Calc base'!$B228)</f>
        <v/>
      </c>
      <c r="B205" s="69" t="str">
        <f>IF($A205="","",'Calc base'!$C228)</f>
        <v/>
      </c>
      <c r="C205" s="69" t="str">
        <f>IF($A205="","",'Calc base'!$E228)</f>
        <v/>
      </c>
      <c r="D205" s="70" t="str">
        <f>IF($A205="","",J205+L205+N205+P205+R205+T205+V205+X205+Z205+AB205+AD205+AF205)</f>
        <v/>
      </c>
      <c r="E205" s="70" t="str">
        <f>IF($A205="","",CHOOSE('Calc riepilogo'!$B$2,'Calc valanga'!$H228,'Calc palla di neve'!$H228,'Calc personalizzata'!$H228))</f>
        <v/>
      </c>
      <c r="F205" s="71" t="str">
        <f>IF($A205="","",CHOOSE('Calc riepilogo'!$B$2,'Calc valanga'!$G228,'Calc palla di neve'!$G228,'Calc personalizzata'!$G228))</f>
        <v/>
      </c>
      <c r="G205" s="72" t="n"/>
      <c r="H205" s="73" t="n"/>
      <c r="I205" s="74" t="str">
        <f>IF($A205="","",TRIM(IF(AND(N(K204)&gt;0,N(K205)&lt;=0.004),"✓ "&amp;'Calc base'!C$6&amp;"   ","")&amp;IF(AND(N(M204)&gt;0,N(M205)&lt;=0.004),"✓ "&amp;'Calc base'!D$6&amp;"   ","")&amp;IF(AND(N(O204)&gt;0,N(O205)&lt;=0.004),"✓ "&amp;'Calc base'!E$6&amp;"   ","")&amp;IF(AND(N(Q204)&gt;0,N(Q205)&lt;=0.004),"✓ "&amp;'Calc base'!F$6&amp;"   ","")&amp;IF(AND(N(S204)&gt;0,N(S205)&lt;=0.004),"✓ "&amp;'Calc base'!G$6&amp;"   ","")&amp;IF(AND(N(U204)&gt;0,N(U205)&lt;=0.004),"✓ "&amp;'Calc base'!H$6&amp;"   ","")&amp;IF(AND(N(W204)&gt;0,N(W205)&lt;=0.004),"✓ "&amp;'Calc base'!I$6&amp;"   ","")&amp;IF(AND(N(Y204)&gt;0,N(Y205)&lt;=0.004),"✓ "&amp;'Calc base'!J$6&amp;"   ","")&amp;IF(AND(N(AA204)&gt;0,N(AA205)&lt;=0.004),"✓ "&amp;'Calc base'!K$6&amp;"   ","")&amp;IF(AND(N(AC204)&gt;0,N(AC205)&lt;=0.004),"✓ "&amp;'Calc base'!L$6&amp;"   ","")&amp;IF(AND(N(AE204)&gt;0,N(AE205)&lt;=0.004),"✓ "&amp;'Calc base'!M$6&amp;"   ","")&amp;IF(AND(N(AG204)&gt;0,N(AG205)&lt;=0.004),"✓ "&amp;'Calc base'!N$6&amp;"   ","")))</f>
        <v/>
      </c>
      <c r="J205" s="70" t="str">
        <f>IF($A205="","",ROUND(N(K204)*(1+'Calc base'!H228),2)-K205)</f>
        <v/>
      </c>
      <c r="K205" s="75" t="str">
        <f>IF($A205="","",CHOOSE('Calc riepilogo'!$B$2,'Calc valanga'!AT228,'Calc palla di neve'!AT228,'Calc personalizzata'!AT228))</f>
        <v/>
      </c>
      <c r="L205" s="70" t="str">
        <f>IF($A205="","",ROUND(N(M204)*(1+'Calc base'!I228),2)-M205)</f>
        <v/>
      </c>
      <c r="M205" s="75" t="str">
        <f>IF($A205="","",CHOOSE('Calc riepilogo'!$B$2,'Calc valanga'!AU228,'Calc palla di neve'!AU228,'Calc personalizzata'!AU228))</f>
        <v/>
      </c>
      <c r="N205" s="70" t="str">
        <f>IF($A205="","",ROUND(N(O204)*(1+'Calc base'!J228),2)-O205)</f>
        <v/>
      </c>
      <c r="O205" s="75" t="str">
        <f>IF($A205="","",CHOOSE('Calc riepilogo'!$B$2,'Calc valanga'!AV228,'Calc palla di neve'!AV228,'Calc personalizzata'!AV228))</f>
        <v/>
      </c>
      <c r="P205" s="70" t="str">
        <f>IF($A205="","",ROUND(N(Q204)*(1+'Calc base'!K228),2)-Q205)</f>
        <v/>
      </c>
      <c r="Q205" s="75" t="str">
        <f>IF($A205="","",CHOOSE('Calc riepilogo'!$B$2,'Calc valanga'!AW228,'Calc palla di neve'!AW228,'Calc personalizzata'!AW228))</f>
        <v/>
      </c>
      <c r="R205" s="70" t="str">
        <f>IF($A205="","",ROUND(N(S204)*(1+'Calc base'!L228),2)-S205)</f>
        <v/>
      </c>
      <c r="S205" s="75" t="str">
        <f>IF($A205="","",CHOOSE('Calc riepilogo'!$B$2,'Calc valanga'!AX228,'Calc palla di neve'!AX228,'Calc personalizzata'!AX228))</f>
        <v/>
      </c>
      <c r="T205" s="70" t="str">
        <f>IF($A205="","",ROUND(N(U204)*(1+'Calc base'!M228),2)-U205)</f>
        <v/>
      </c>
      <c r="U205" s="75" t="str">
        <f>IF($A205="","",CHOOSE('Calc riepilogo'!$B$2,'Calc valanga'!AY228,'Calc palla di neve'!AY228,'Calc personalizzata'!AY228))</f>
        <v/>
      </c>
      <c r="V205" s="70" t="str">
        <f>IF($A205="","",ROUND(N(W204)*(1+'Calc base'!N228),2)-W205)</f>
        <v/>
      </c>
      <c r="W205" s="75" t="str">
        <f>IF($A205="","",CHOOSE('Calc riepilogo'!$B$2,'Calc valanga'!AZ228,'Calc palla di neve'!AZ228,'Calc personalizzata'!AZ228))</f>
        <v/>
      </c>
      <c r="X205" s="70" t="str">
        <f>IF($A205="","",ROUND(N(Y204)*(1+'Calc base'!O228),2)-Y205)</f>
        <v/>
      </c>
      <c r="Y205" s="75" t="str">
        <f>IF($A205="","",CHOOSE('Calc riepilogo'!$B$2,'Calc valanga'!BA228,'Calc palla di neve'!BA228,'Calc personalizzata'!BA228))</f>
        <v/>
      </c>
      <c r="Z205" s="70" t="str">
        <f>IF($A205="","",ROUND(N(AA204)*(1+'Calc base'!P228),2)-AA205)</f>
        <v/>
      </c>
      <c r="AA205" s="75" t="str">
        <f>IF($A205="","",CHOOSE('Calc riepilogo'!$B$2,'Calc valanga'!BB228,'Calc palla di neve'!BB228,'Calc personalizzata'!BB228))</f>
        <v/>
      </c>
      <c r="AB205" s="70" t="str">
        <f>IF($A205="","",ROUND(N(AC204)*(1+'Calc base'!Q228),2)-AC205)</f>
        <v/>
      </c>
      <c r="AC205" s="75" t="str">
        <f>IF($A205="","",CHOOSE('Calc riepilogo'!$B$2,'Calc valanga'!BC228,'Calc palla di neve'!BC228,'Calc personalizzata'!BC228))</f>
        <v/>
      </c>
      <c r="AD205" s="70" t="str">
        <f>IF($A205="","",ROUND(N(AE204)*(1+'Calc base'!R228),2)-AE205)</f>
        <v/>
      </c>
      <c r="AE205" s="75" t="str">
        <f>IF($A205="","",CHOOSE('Calc riepilogo'!$B$2,'Calc valanga'!BD228,'Calc palla di neve'!BD228,'Calc personalizzata'!BD228))</f>
        <v/>
      </c>
      <c r="AF205" s="70" t="str">
        <f>IF($A205="","",ROUND(N(AG204)*(1+'Calc base'!S228),2)-AG205)</f>
        <v/>
      </c>
      <c r="AG205" s="75" t="str">
        <f>IF($A205="","",CHOOSE('Calc riepilogo'!$B$2,'Calc valanga'!BE228,'Calc palla di neve'!BE228,'Calc personalizzata'!BE228))</f>
        <v/>
      </c>
      <c r="AI205" t="n">
        <v>198</v>
      </c>
    </row>
    <row r="206">
      <c r="A206" s="68" t="str">
        <f>IF(199&gt;'Calc riepilogo'!$B$7,"",'Calc base'!$B229)</f>
        <v/>
      </c>
      <c r="B206" s="69" t="str">
        <f>IF($A206="","",'Calc base'!$C229)</f>
        <v/>
      </c>
      <c r="C206" s="69" t="str">
        <f>IF($A206="","",'Calc base'!$E229)</f>
        <v/>
      </c>
      <c r="D206" s="70" t="str">
        <f>IF($A206="","",J206+L206+N206+P206+R206+T206+V206+X206+Z206+AB206+AD206+AF206)</f>
        <v/>
      </c>
      <c r="E206" s="70" t="str">
        <f>IF($A206="","",CHOOSE('Calc riepilogo'!$B$2,'Calc valanga'!$H229,'Calc palla di neve'!$H229,'Calc personalizzata'!$H229))</f>
        <v/>
      </c>
      <c r="F206" s="71" t="str">
        <f>IF($A206="","",CHOOSE('Calc riepilogo'!$B$2,'Calc valanga'!$G229,'Calc palla di neve'!$G229,'Calc personalizzata'!$G229))</f>
        <v/>
      </c>
      <c r="G206" s="72" t="n"/>
      <c r="H206" s="73" t="n"/>
      <c r="I206" s="74" t="str">
        <f>IF($A206="","",TRIM(IF(AND(N(K205)&gt;0,N(K206)&lt;=0.004),"✓ "&amp;'Calc base'!C$6&amp;"   ","")&amp;IF(AND(N(M205)&gt;0,N(M206)&lt;=0.004),"✓ "&amp;'Calc base'!D$6&amp;"   ","")&amp;IF(AND(N(O205)&gt;0,N(O206)&lt;=0.004),"✓ "&amp;'Calc base'!E$6&amp;"   ","")&amp;IF(AND(N(Q205)&gt;0,N(Q206)&lt;=0.004),"✓ "&amp;'Calc base'!F$6&amp;"   ","")&amp;IF(AND(N(S205)&gt;0,N(S206)&lt;=0.004),"✓ "&amp;'Calc base'!G$6&amp;"   ","")&amp;IF(AND(N(U205)&gt;0,N(U206)&lt;=0.004),"✓ "&amp;'Calc base'!H$6&amp;"   ","")&amp;IF(AND(N(W205)&gt;0,N(W206)&lt;=0.004),"✓ "&amp;'Calc base'!I$6&amp;"   ","")&amp;IF(AND(N(Y205)&gt;0,N(Y206)&lt;=0.004),"✓ "&amp;'Calc base'!J$6&amp;"   ","")&amp;IF(AND(N(AA205)&gt;0,N(AA206)&lt;=0.004),"✓ "&amp;'Calc base'!K$6&amp;"   ","")&amp;IF(AND(N(AC205)&gt;0,N(AC206)&lt;=0.004),"✓ "&amp;'Calc base'!L$6&amp;"   ","")&amp;IF(AND(N(AE205)&gt;0,N(AE206)&lt;=0.004),"✓ "&amp;'Calc base'!M$6&amp;"   ","")&amp;IF(AND(N(AG205)&gt;0,N(AG206)&lt;=0.004),"✓ "&amp;'Calc base'!N$6&amp;"   ","")))</f>
        <v/>
      </c>
      <c r="J206" s="70" t="str">
        <f>IF($A206="","",ROUND(N(K205)*(1+'Calc base'!H229),2)-K206)</f>
        <v/>
      </c>
      <c r="K206" s="75" t="str">
        <f>IF($A206="","",CHOOSE('Calc riepilogo'!$B$2,'Calc valanga'!AT229,'Calc palla di neve'!AT229,'Calc personalizzata'!AT229))</f>
        <v/>
      </c>
      <c r="L206" s="70" t="str">
        <f>IF($A206="","",ROUND(N(M205)*(1+'Calc base'!I229),2)-M206)</f>
        <v/>
      </c>
      <c r="M206" s="75" t="str">
        <f>IF($A206="","",CHOOSE('Calc riepilogo'!$B$2,'Calc valanga'!AU229,'Calc palla di neve'!AU229,'Calc personalizzata'!AU229))</f>
        <v/>
      </c>
      <c r="N206" s="70" t="str">
        <f>IF($A206="","",ROUND(N(O205)*(1+'Calc base'!J229),2)-O206)</f>
        <v/>
      </c>
      <c r="O206" s="75" t="str">
        <f>IF($A206="","",CHOOSE('Calc riepilogo'!$B$2,'Calc valanga'!AV229,'Calc palla di neve'!AV229,'Calc personalizzata'!AV229))</f>
        <v/>
      </c>
      <c r="P206" s="70" t="str">
        <f>IF($A206="","",ROUND(N(Q205)*(1+'Calc base'!K229),2)-Q206)</f>
        <v/>
      </c>
      <c r="Q206" s="75" t="str">
        <f>IF($A206="","",CHOOSE('Calc riepilogo'!$B$2,'Calc valanga'!AW229,'Calc palla di neve'!AW229,'Calc personalizzata'!AW229))</f>
        <v/>
      </c>
      <c r="R206" s="70" t="str">
        <f>IF($A206="","",ROUND(N(S205)*(1+'Calc base'!L229),2)-S206)</f>
        <v/>
      </c>
      <c r="S206" s="75" t="str">
        <f>IF($A206="","",CHOOSE('Calc riepilogo'!$B$2,'Calc valanga'!AX229,'Calc palla di neve'!AX229,'Calc personalizzata'!AX229))</f>
        <v/>
      </c>
      <c r="T206" s="70" t="str">
        <f>IF($A206="","",ROUND(N(U205)*(1+'Calc base'!M229),2)-U206)</f>
        <v/>
      </c>
      <c r="U206" s="75" t="str">
        <f>IF($A206="","",CHOOSE('Calc riepilogo'!$B$2,'Calc valanga'!AY229,'Calc palla di neve'!AY229,'Calc personalizzata'!AY229))</f>
        <v/>
      </c>
      <c r="V206" s="70" t="str">
        <f>IF($A206="","",ROUND(N(W205)*(1+'Calc base'!N229),2)-W206)</f>
        <v/>
      </c>
      <c r="W206" s="75" t="str">
        <f>IF($A206="","",CHOOSE('Calc riepilogo'!$B$2,'Calc valanga'!AZ229,'Calc palla di neve'!AZ229,'Calc personalizzata'!AZ229))</f>
        <v/>
      </c>
      <c r="X206" s="70" t="str">
        <f>IF($A206="","",ROUND(N(Y205)*(1+'Calc base'!O229),2)-Y206)</f>
        <v/>
      </c>
      <c r="Y206" s="75" t="str">
        <f>IF($A206="","",CHOOSE('Calc riepilogo'!$B$2,'Calc valanga'!BA229,'Calc palla di neve'!BA229,'Calc personalizzata'!BA229))</f>
        <v/>
      </c>
      <c r="Z206" s="70" t="str">
        <f>IF($A206="","",ROUND(N(AA205)*(1+'Calc base'!P229),2)-AA206)</f>
        <v/>
      </c>
      <c r="AA206" s="75" t="str">
        <f>IF($A206="","",CHOOSE('Calc riepilogo'!$B$2,'Calc valanga'!BB229,'Calc palla di neve'!BB229,'Calc personalizzata'!BB229))</f>
        <v/>
      </c>
      <c r="AB206" s="70" t="str">
        <f>IF($A206="","",ROUND(N(AC205)*(1+'Calc base'!Q229),2)-AC206)</f>
        <v/>
      </c>
      <c r="AC206" s="75" t="str">
        <f>IF($A206="","",CHOOSE('Calc riepilogo'!$B$2,'Calc valanga'!BC229,'Calc palla di neve'!BC229,'Calc personalizzata'!BC229))</f>
        <v/>
      </c>
      <c r="AD206" s="70" t="str">
        <f>IF($A206="","",ROUND(N(AE205)*(1+'Calc base'!R229),2)-AE206)</f>
        <v/>
      </c>
      <c r="AE206" s="75" t="str">
        <f>IF($A206="","",CHOOSE('Calc riepilogo'!$B$2,'Calc valanga'!BD229,'Calc palla di neve'!BD229,'Calc personalizzata'!BD229))</f>
        <v/>
      </c>
      <c r="AF206" s="70" t="str">
        <f>IF($A206="","",ROUND(N(AG205)*(1+'Calc base'!S229),2)-AG206)</f>
        <v/>
      </c>
      <c r="AG206" s="75" t="str">
        <f>IF($A206="","",CHOOSE('Calc riepilogo'!$B$2,'Calc valanga'!BE229,'Calc palla di neve'!BE229,'Calc personalizzata'!BE229))</f>
        <v/>
      </c>
      <c r="AI206" t="n">
        <v>199</v>
      </c>
    </row>
    <row r="207">
      <c r="A207" s="68" t="str">
        <f>IF(200&gt;'Calc riepilogo'!$B$7,"",'Calc base'!$B230)</f>
        <v/>
      </c>
      <c r="B207" s="69" t="str">
        <f>IF($A207="","",'Calc base'!$C230)</f>
        <v/>
      </c>
      <c r="C207" s="69" t="str">
        <f>IF($A207="","",'Calc base'!$E230)</f>
        <v/>
      </c>
      <c r="D207" s="70" t="str">
        <f>IF($A207="","",J207+L207+N207+P207+R207+T207+V207+X207+Z207+AB207+AD207+AF207)</f>
        <v/>
      </c>
      <c r="E207" s="70" t="str">
        <f>IF($A207="","",CHOOSE('Calc riepilogo'!$B$2,'Calc valanga'!$H230,'Calc palla di neve'!$H230,'Calc personalizzata'!$H230))</f>
        <v/>
      </c>
      <c r="F207" s="71" t="str">
        <f>IF($A207="","",CHOOSE('Calc riepilogo'!$B$2,'Calc valanga'!$G230,'Calc palla di neve'!$G230,'Calc personalizzata'!$G230))</f>
        <v/>
      </c>
      <c r="G207" s="72" t="n"/>
      <c r="H207" s="73" t="n"/>
      <c r="I207" s="74" t="str">
        <f>IF($A207="","",TRIM(IF(AND(N(K206)&gt;0,N(K207)&lt;=0.004),"✓ "&amp;'Calc base'!C$6&amp;"   ","")&amp;IF(AND(N(M206)&gt;0,N(M207)&lt;=0.004),"✓ "&amp;'Calc base'!D$6&amp;"   ","")&amp;IF(AND(N(O206)&gt;0,N(O207)&lt;=0.004),"✓ "&amp;'Calc base'!E$6&amp;"   ","")&amp;IF(AND(N(Q206)&gt;0,N(Q207)&lt;=0.004),"✓ "&amp;'Calc base'!F$6&amp;"   ","")&amp;IF(AND(N(S206)&gt;0,N(S207)&lt;=0.004),"✓ "&amp;'Calc base'!G$6&amp;"   ","")&amp;IF(AND(N(U206)&gt;0,N(U207)&lt;=0.004),"✓ "&amp;'Calc base'!H$6&amp;"   ","")&amp;IF(AND(N(W206)&gt;0,N(W207)&lt;=0.004),"✓ "&amp;'Calc base'!I$6&amp;"   ","")&amp;IF(AND(N(Y206)&gt;0,N(Y207)&lt;=0.004),"✓ "&amp;'Calc base'!J$6&amp;"   ","")&amp;IF(AND(N(AA206)&gt;0,N(AA207)&lt;=0.004),"✓ "&amp;'Calc base'!K$6&amp;"   ","")&amp;IF(AND(N(AC206)&gt;0,N(AC207)&lt;=0.004),"✓ "&amp;'Calc base'!L$6&amp;"   ","")&amp;IF(AND(N(AE206)&gt;0,N(AE207)&lt;=0.004),"✓ "&amp;'Calc base'!M$6&amp;"   ","")&amp;IF(AND(N(AG206)&gt;0,N(AG207)&lt;=0.004),"✓ "&amp;'Calc base'!N$6&amp;"   ","")))</f>
        <v/>
      </c>
      <c r="J207" s="70" t="str">
        <f>IF($A207="","",ROUND(N(K206)*(1+'Calc base'!H230),2)-K207)</f>
        <v/>
      </c>
      <c r="K207" s="75" t="str">
        <f>IF($A207="","",CHOOSE('Calc riepilogo'!$B$2,'Calc valanga'!AT230,'Calc palla di neve'!AT230,'Calc personalizzata'!AT230))</f>
        <v/>
      </c>
      <c r="L207" s="70" t="str">
        <f>IF($A207="","",ROUND(N(M206)*(1+'Calc base'!I230),2)-M207)</f>
        <v/>
      </c>
      <c r="M207" s="75" t="str">
        <f>IF($A207="","",CHOOSE('Calc riepilogo'!$B$2,'Calc valanga'!AU230,'Calc palla di neve'!AU230,'Calc personalizzata'!AU230))</f>
        <v/>
      </c>
      <c r="N207" s="70" t="str">
        <f>IF($A207="","",ROUND(N(O206)*(1+'Calc base'!J230),2)-O207)</f>
        <v/>
      </c>
      <c r="O207" s="75" t="str">
        <f>IF($A207="","",CHOOSE('Calc riepilogo'!$B$2,'Calc valanga'!AV230,'Calc palla di neve'!AV230,'Calc personalizzata'!AV230))</f>
        <v/>
      </c>
      <c r="P207" s="70" t="str">
        <f>IF($A207="","",ROUND(N(Q206)*(1+'Calc base'!K230),2)-Q207)</f>
        <v/>
      </c>
      <c r="Q207" s="75" t="str">
        <f>IF($A207="","",CHOOSE('Calc riepilogo'!$B$2,'Calc valanga'!AW230,'Calc palla di neve'!AW230,'Calc personalizzata'!AW230))</f>
        <v/>
      </c>
      <c r="R207" s="70" t="str">
        <f>IF($A207="","",ROUND(N(S206)*(1+'Calc base'!L230),2)-S207)</f>
        <v/>
      </c>
      <c r="S207" s="75" t="str">
        <f>IF($A207="","",CHOOSE('Calc riepilogo'!$B$2,'Calc valanga'!AX230,'Calc palla di neve'!AX230,'Calc personalizzata'!AX230))</f>
        <v/>
      </c>
      <c r="T207" s="70" t="str">
        <f>IF($A207="","",ROUND(N(U206)*(1+'Calc base'!M230),2)-U207)</f>
        <v/>
      </c>
      <c r="U207" s="75" t="str">
        <f>IF($A207="","",CHOOSE('Calc riepilogo'!$B$2,'Calc valanga'!AY230,'Calc palla di neve'!AY230,'Calc personalizzata'!AY230))</f>
        <v/>
      </c>
      <c r="V207" s="70" t="str">
        <f>IF($A207="","",ROUND(N(W206)*(1+'Calc base'!N230),2)-W207)</f>
        <v/>
      </c>
      <c r="W207" s="75" t="str">
        <f>IF($A207="","",CHOOSE('Calc riepilogo'!$B$2,'Calc valanga'!AZ230,'Calc palla di neve'!AZ230,'Calc personalizzata'!AZ230))</f>
        <v/>
      </c>
      <c r="X207" s="70" t="str">
        <f>IF($A207="","",ROUND(N(Y206)*(1+'Calc base'!O230),2)-Y207)</f>
        <v/>
      </c>
      <c r="Y207" s="75" t="str">
        <f>IF($A207="","",CHOOSE('Calc riepilogo'!$B$2,'Calc valanga'!BA230,'Calc palla di neve'!BA230,'Calc personalizzata'!BA230))</f>
        <v/>
      </c>
      <c r="Z207" s="70" t="str">
        <f>IF($A207="","",ROUND(N(AA206)*(1+'Calc base'!P230),2)-AA207)</f>
        <v/>
      </c>
      <c r="AA207" s="75" t="str">
        <f>IF($A207="","",CHOOSE('Calc riepilogo'!$B$2,'Calc valanga'!BB230,'Calc palla di neve'!BB230,'Calc personalizzata'!BB230))</f>
        <v/>
      </c>
      <c r="AB207" s="70" t="str">
        <f>IF($A207="","",ROUND(N(AC206)*(1+'Calc base'!Q230),2)-AC207)</f>
        <v/>
      </c>
      <c r="AC207" s="75" t="str">
        <f>IF($A207="","",CHOOSE('Calc riepilogo'!$B$2,'Calc valanga'!BC230,'Calc palla di neve'!BC230,'Calc personalizzata'!BC230))</f>
        <v/>
      </c>
      <c r="AD207" s="70" t="str">
        <f>IF($A207="","",ROUND(N(AE206)*(1+'Calc base'!R230),2)-AE207)</f>
        <v/>
      </c>
      <c r="AE207" s="75" t="str">
        <f>IF($A207="","",CHOOSE('Calc riepilogo'!$B$2,'Calc valanga'!BD230,'Calc palla di neve'!BD230,'Calc personalizzata'!BD230))</f>
        <v/>
      </c>
      <c r="AF207" s="70" t="str">
        <f>IF($A207="","",ROUND(N(AG206)*(1+'Calc base'!S230),2)-AG207)</f>
        <v/>
      </c>
      <c r="AG207" s="75" t="str">
        <f>IF($A207="","",CHOOSE('Calc riepilogo'!$B$2,'Calc valanga'!BE230,'Calc palla di neve'!BE230,'Calc personalizzata'!BE230))</f>
        <v/>
      </c>
      <c r="AI207" t="n">
        <v>200</v>
      </c>
    </row>
    <row r="208">
      <c r="A208" s="68" t="str">
        <f>IF(201&gt;'Calc riepilogo'!$B$7,"",'Calc base'!$B231)</f>
        <v/>
      </c>
      <c r="B208" s="69" t="str">
        <f>IF($A208="","",'Calc base'!$C231)</f>
        <v/>
      </c>
      <c r="C208" s="69" t="str">
        <f>IF($A208="","",'Calc base'!$E231)</f>
        <v/>
      </c>
      <c r="D208" s="70" t="str">
        <f>IF($A208="","",J208+L208+N208+P208+R208+T208+V208+X208+Z208+AB208+AD208+AF208)</f>
        <v/>
      </c>
      <c r="E208" s="70" t="str">
        <f>IF($A208="","",CHOOSE('Calc riepilogo'!$B$2,'Calc valanga'!$H231,'Calc palla di neve'!$H231,'Calc personalizzata'!$H231))</f>
        <v/>
      </c>
      <c r="F208" s="71" t="str">
        <f>IF($A208="","",CHOOSE('Calc riepilogo'!$B$2,'Calc valanga'!$G231,'Calc palla di neve'!$G231,'Calc personalizzata'!$G231))</f>
        <v/>
      </c>
      <c r="G208" s="72" t="n"/>
      <c r="H208" s="73" t="n"/>
      <c r="I208" s="74" t="str">
        <f>IF($A208="","",TRIM(IF(AND(N(K207)&gt;0,N(K208)&lt;=0.004),"✓ "&amp;'Calc base'!C$6&amp;"   ","")&amp;IF(AND(N(M207)&gt;0,N(M208)&lt;=0.004),"✓ "&amp;'Calc base'!D$6&amp;"   ","")&amp;IF(AND(N(O207)&gt;0,N(O208)&lt;=0.004),"✓ "&amp;'Calc base'!E$6&amp;"   ","")&amp;IF(AND(N(Q207)&gt;0,N(Q208)&lt;=0.004),"✓ "&amp;'Calc base'!F$6&amp;"   ","")&amp;IF(AND(N(S207)&gt;0,N(S208)&lt;=0.004),"✓ "&amp;'Calc base'!G$6&amp;"   ","")&amp;IF(AND(N(U207)&gt;0,N(U208)&lt;=0.004),"✓ "&amp;'Calc base'!H$6&amp;"   ","")&amp;IF(AND(N(W207)&gt;0,N(W208)&lt;=0.004),"✓ "&amp;'Calc base'!I$6&amp;"   ","")&amp;IF(AND(N(Y207)&gt;0,N(Y208)&lt;=0.004),"✓ "&amp;'Calc base'!J$6&amp;"   ","")&amp;IF(AND(N(AA207)&gt;0,N(AA208)&lt;=0.004),"✓ "&amp;'Calc base'!K$6&amp;"   ","")&amp;IF(AND(N(AC207)&gt;0,N(AC208)&lt;=0.004),"✓ "&amp;'Calc base'!L$6&amp;"   ","")&amp;IF(AND(N(AE207)&gt;0,N(AE208)&lt;=0.004),"✓ "&amp;'Calc base'!M$6&amp;"   ","")&amp;IF(AND(N(AG207)&gt;0,N(AG208)&lt;=0.004),"✓ "&amp;'Calc base'!N$6&amp;"   ","")))</f>
        <v/>
      </c>
      <c r="J208" s="70" t="str">
        <f>IF($A208="","",ROUND(N(K207)*(1+'Calc base'!H231),2)-K208)</f>
        <v/>
      </c>
      <c r="K208" s="75" t="str">
        <f>IF($A208="","",CHOOSE('Calc riepilogo'!$B$2,'Calc valanga'!AT231,'Calc palla di neve'!AT231,'Calc personalizzata'!AT231))</f>
        <v/>
      </c>
      <c r="L208" s="70" t="str">
        <f>IF($A208="","",ROUND(N(M207)*(1+'Calc base'!I231),2)-M208)</f>
        <v/>
      </c>
      <c r="M208" s="75" t="str">
        <f>IF($A208="","",CHOOSE('Calc riepilogo'!$B$2,'Calc valanga'!AU231,'Calc palla di neve'!AU231,'Calc personalizzata'!AU231))</f>
        <v/>
      </c>
      <c r="N208" s="70" t="str">
        <f>IF($A208="","",ROUND(N(O207)*(1+'Calc base'!J231),2)-O208)</f>
        <v/>
      </c>
      <c r="O208" s="75" t="str">
        <f>IF($A208="","",CHOOSE('Calc riepilogo'!$B$2,'Calc valanga'!AV231,'Calc palla di neve'!AV231,'Calc personalizzata'!AV231))</f>
        <v/>
      </c>
      <c r="P208" s="70" t="str">
        <f>IF($A208="","",ROUND(N(Q207)*(1+'Calc base'!K231),2)-Q208)</f>
        <v/>
      </c>
      <c r="Q208" s="75" t="str">
        <f>IF($A208="","",CHOOSE('Calc riepilogo'!$B$2,'Calc valanga'!AW231,'Calc palla di neve'!AW231,'Calc personalizzata'!AW231))</f>
        <v/>
      </c>
      <c r="R208" s="70" t="str">
        <f>IF($A208="","",ROUND(N(S207)*(1+'Calc base'!L231),2)-S208)</f>
        <v/>
      </c>
      <c r="S208" s="75" t="str">
        <f>IF($A208="","",CHOOSE('Calc riepilogo'!$B$2,'Calc valanga'!AX231,'Calc palla di neve'!AX231,'Calc personalizzata'!AX231))</f>
        <v/>
      </c>
      <c r="T208" s="70" t="str">
        <f>IF($A208="","",ROUND(N(U207)*(1+'Calc base'!M231),2)-U208)</f>
        <v/>
      </c>
      <c r="U208" s="75" t="str">
        <f>IF($A208="","",CHOOSE('Calc riepilogo'!$B$2,'Calc valanga'!AY231,'Calc palla di neve'!AY231,'Calc personalizzata'!AY231))</f>
        <v/>
      </c>
      <c r="V208" s="70" t="str">
        <f>IF($A208="","",ROUND(N(W207)*(1+'Calc base'!N231),2)-W208)</f>
        <v/>
      </c>
      <c r="W208" s="75" t="str">
        <f>IF($A208="","",CHOOSE('Calc riepilogo'!$B$2,'Calc valanga'!AZ231,'Calc palla di neve'!AZ231,'Calc personalizzata'!AZ231))</f>
        <v/>
      </c>
      <c r="X208" s="70" t="str">
        <f>IF($A208="","",ROUND(N(Y207)*(1+'Calc base'!O231),2)-Y208)</f>
        <v/>
      </c>
      <c r="Y208" s="75" t="str">
        <f>IF($A208="","",CHOOSE('Calc riepilogo'!$B$2,'Calc valanga'!BA231,'Calc palla di neve'!BA231,'Calc personalizzata'!BA231))</f>
        <v/>
      </c>
      <c r="Z208" s="70" t="str">
        <f>IF($A208="","",ROUND(N(AA207)*(1+'Calc base'!P231),2)-AA208)</f>
        <v/>
      </c>
      <c r="AA208" s="75" t="str">
        <f>IF($A208="","",CHOOSE('Calc riepilogo'!$B$2,'Calc valanga'!BB231,'Calc palla di neve'!BB231,'Calc personalizzata'!BB231))</f>
        <v/>
      </c>
      <c r="AB208" s="70" t="str">
        <f>IF($A208="","",ROUND(N(AC207)*(1+'Calc base'!Q231),2)-AC208)</f>
        <v/>
      </c>
      <c r="AC208" s="75" t="str">
        <f>IF($A208="","",CHOOSE('Calc riepilogo'!$B$2,'Calc valanga'!BC231,'Calc palla di neve'!BC231,'Calc personalizzata'!BC231))</f>
        <v/>
      </c>
      <c r="AD208" s="70" t="str">
        <f>IF($A208="","",ROUND(N(AE207)*(1+'Calc base'!R231),2)-AE208)</f>
        <v/>
      </c>
      <c r="AE208" s="75" t="str">
        <f>IF($A208="","",CHOOSE('Calc riepilogo'!$B$2,'Calc valanga'!BD231,'Calc palla di neve'!BD231,'Calc personalizzata'!BD231))</f>
        <v/>
      </c>
      <c r="AF208" s="70" t="str">
        <f>IF($A208="","",ROUND(N(AG207)*(1+'Calc base'!S231),2)-AG208)</f>
        <v/>
      </c>
      <c r="AG208" s="75" t="str">
        <f>IF($A208="","",CHOOSE('Calc riepilogo'!$B$2,'Calc valanga'!BE231,'Calc palla di neve'!BE231,'Calc personalizzata'!BE231))</f>
        <v/>
      </c>
      <c r="AI208" t="n">
        <v>201</v>
      </c>
    </row>
    <row r="209">
      <c r="A209" s="68" t="str">
        <f>IF(202&gt;'Calc riepilogo'!$B$7,"",'Calc base'!$B232)</f>
        <v/>
      </c>
      <c r="B209" s="69" t="str">
        <f>IF($A209="","",'Calc base'!$C232)</f>
        <v/>
      </c>
      <c r="C209" s="69" t="str">
        <f>IF($A209="","",'Calc base'!$E232)</f>
        <v/>
      </c>
      <c r="D209" s="70" t="str">
        <f>IF($A209="","",J209+L209+N209+P209+R209+T209+V209+X209+Z209+AB209+AD209+AF209)</f>
        <v/>
      </c>
      <c r="E209" s="70" t="str">
        <f>IF($A209="","",CHOOSE('Calc riepilogo'!$B$2,'Calc valanga'!$H232,'Calc palla di neve'!$H232,'Calc personalizzata'!$H232))</f>
        <v/>
      </c>
      <c r="F209" s="71" t="str">
        <f>IF($A209="","",CHOOSE('Calc riepilogo'!$B$2,'Calc valanga'!$G232,'Calc palla di neve'!$G232,'Calc personalizzata'!$G232))</f>
        <v/>
      </c>
      <c r="G209" s="72" t="n"/>
      <c r="H209" s="73" t="n"/>
      <c r="I209" s="74" t="str">
        <f>IF($A209="","",TRIM(IF(AND(N(K208)&gt;0,N(K209)&lt;=0.004),"✓ "&amp;'Calc base'!C$6&amp;"   ","")&amp;IF(AND(N(M208)&gt;0,N(M209)&lt;=0.004),"✓ "&amp;'Calc base'!D$6&amp;"   ","")&amp;IF(AND(N(O208)&gt;0,N(O209)&lt;=0.004),"✓ "&amp;'Calc base'!E$6&amp;"   ","")&amp;IF(AND(N(Q208)&gt;0,N(Q209)&lt;=0.004),"✓ "&amp;'Calc base'!F$6&amp;"   ","")&amp;IF(AND(N(S208)&gt;0,N(S209)&lt;=0.004),"✓ "&amp;'Calc base'!G$6&amp;"   ","")&amp;IF(AND(N(U208)&gt;0,N(U209)&lt;=0.004),"✓ "&amp;'Calc base'!H$6&amp;"   ","")&amp;IF(AND(N(W208)&gt;0,N(W209)&lt;=0.004),"✓ "&amp;'Calc base'!I$6&amp;"   ","")&amp;IF(AND(N(Y208)&gt;0,N(Y209)&lt;=0.004),"✓ "&amp;'Calc base'!J$6&amp;"   ","")&amp;IF(AND(N(AA208)&gt;0,N(AA209)&lt;=0.004),"✓ "&amp;'Calc base'!K$6&amp;"   ","")&amp;IF(AND(N(AC208)&gt;0,N(AC209)&lt;=0.004),"✓ "&amp;'Calc base'!L$6&amp;"   ","")&amp;IF(AND(N(AE208)&gt;0,N(AE209)&lt;=0.004),"✓ "&amp;'Calc base'!M$6&amp;"   ","")&amp;IF(AND(N(AG208)&gt;0,N(AG209)&lt;=0.004),"✓ "&amp;'Calc base'!N$6&amp;"   ","")))</f>
        <v/>
      </c>
      <c r="J209" s="70" t="str">
        <f>IF($A209="","",ROUND(N(K208)*(1+'Calc base'!H232),2)-K209)</f>
        <v/>
      </c>
      <c r="K209" s="75" t="str">
        <f>IF($A209="","",CHOOSE('Calc riepilogo'!$B$2,'Calc valanga'!AT232,'Calc palla di neve'!AT232,'Calc personalizzata'!AT232))</f>
        <v/>
      </c>
      <c r="L209" s="70" t="str">
        <f>IF($A209="","",ROUND(N(M208)*(1+'Calc base'!I232),2)-M209)</f>
        <v/>
      </c>
      <c r="M209" s="75" t="str">
        <f>IF($A209="","",CHOOSE('Calc riepilogo'!$B$2,'Calc valanga'!AU232,'Calc palla di neve'!AU232,'Calc personalizzata'!AU232))</f>
        <v/>
      </c>
      <c r="N209" s="70" t="str">
        <f>IF($A209="","",ROUND(N(O208)*(1+'Calc base'!J232),2)-O209)</f>
        <v/>
      </c>
      <c r="O209" s="75" t="str">
        <f>IF($A209="","",CHOOSE('Calc riepilogo'!$B$2,'Calc valanga'!AV232,'Calc palla di neve'!AV232,'Calc personalizzata'!AV232))</f>
        <v/>
      </c>
      <c r="P209" s="70" t="str">
        <f>IF($A209="","",ROUND(N(Q208)*(1+'Calc base'!K232),2)-Q209)</f>
        <v/>
      </c>
      <c r="Q209" s="75" t="str">
        <f>IF($A209="","",CHOOSE('Calc riepilogo'!$B$2,'Calc valanga'!AW232,'Calc palla di neve'!AW232,'Calc personalizzata'!AW232))</f>
        <v/>
      </c>
      <c r="R209" s="70" t="str">
        <f>IF($A209="","",ROUND(N(S208)*(1+'Calc base'!L232),2)-S209)</f>
        <v/>
      </c>
      <c r="S209" s="75" t="str">
        <f>IF($A209="","",CHOOSE('Calc riepilogo'!$B$2,'Calc valanga'!AX232,'Calc palla di neve'!AX232,'Calc personalizzata'!AX232))</f>
        <v/>
      </c>
      <c r="T209" s="70" t="str">
        <f>IF($A209="","",ROUND(N(U208)*(1+'Calc base'!M232),2)-U209)</f>
        <v/>
      </c>
      <c r="U209" s="75" t="str">
        <f>IF($A209="","",CHOOSE('Calc riepilogo'!$B$2,'Calc valanga'!AY232,'Calc palla di neve'!AY232,'Calc personalizzata'!AY232))</f>
        <v/>
      </c>
      <c r="V209" s="70" t="str">
        <f>IF($A209="","",ROUND(N(W208)*(1+'Calc base'!N232),2)-W209)</f>
        <v/>
      </c>
      <c r="W209" s="75" t="str">
        <f>IF($A209="","",CHOOSE('Calc riepilogo'!$B$2,'Calc valanga'!AZ232,'Calc palla di neve'!AZ232,'Calc personalizzata'!AZ232))</f>
        <v/>
      </c>
      <c r="X209" s="70" t="str">
        <f>IF($A209="","",ROUND(N(Y208)*(1+'Calc base'!O232),2)-Y209)</f>
        <v/>
      </c>
      <c r="Y209" s="75" t="str">
        <f>IF($A209="","",CHOOSE('Calc riepilogo'!$B$2,'Calc valanga'!BA232,'Calc palla di neve'!BA232,'Calc personalizzata'!BA232))</f>
        <v/>
      </c>
      <c r="Z209" s="70" t="str">
        <f>IF($A209="","",ROUND(N(AA208)*(1+'Calc base'!P232),2)-AA209)</f>
        <v/>
      </c>
      <c r="AA209" s="75" t="str">
        <f>IF($A209="","",CHOOSE('Calc riepilogo'!$B$2,'Calc valanga'!BB232,'Calc palla di neve'!BB232,'Calc personalizzata'!BB232))</f>
        <v/>
      </c>
      <c r="AB209" s="70" t="str">
        <f>IF($A209="","",ROUND(N(AC208)*(1+'Calc base'!Q232),2)-AC209)</f>
        <v/>
      </c>
      <c r="AC209" s="75" t="str">
        <f>IF($A209="","",CHOOSE('Calc riepilogo'!$B$2,'Calc valanga'!BC232,'Calc palla di neve'!BC232,'Calc personalizzata'!BC232))</f>
        <v/>
      </c>
      <c r="AD209" s="70" t="str">
        <f>IF($A209="","",ROUND(N(AE208)*(1+'Calc base'!R232),2)-AE209)</f>
        <v/>
      </c>
      <c r="AE209" s="75" t="str">
        <f>IF($A209="","",CHOOSE('Calc riepilogo'!$B$2,'Calc valanga'!BD232,'Calc palla di neve'!BD232,'Calc personalizzata'!BD232))</f>
        <v/>
      </c>
      <c r="AF209" s="70" t="str">
        <f>IF($A209="","",ROUND(N(AG208)*(1+'Calc base'!S232),2)-AG209)</f>
        <v/>
      </c>
      <c r="AG209" s="75" t="str">
        <f>IF($A209="","",CHOOSE('Calc riepilogo'!$B$2,'Calc valanga'!BE232,'Calc palla di neve'!BE232,'Calc personalizzata'!BE232))</f>
        <v/>
      </c>
      <c r="AI209" t="n">
        <v>202</v>
      </c>
    </row>
    <row r="210">
      <c r="A210" s="68" t="str">
        <f>IF(203&gt;'Calc riepilogo'!$B$7,"",'Calc base'!$B233)</f>
        <v/>
      </c>
      <c r="B210" s="69" t="str">
        <f>IF($A210="","",'Calc base'!$C233)</f>
        <v/>
      </c>
      <c r="C210" s="69" t="str">
        <f>IF($A210="","",'Calc base'!$E233)</f>
        <v/>
      </c>
      <c r="D210" s="70" t="str">
        <f>IF($A210="","",J210+L210+N210+P210+R210+T210+V210+X210+Z210+AB210+AD210+AF210)</f>
        <v/>
      </c>
      <c r="E210" s="70" t="str">
        <f>IF($A210="","",CHOOSE('Calc riepilogo'!$B$2,'Calc valanga'!$H233,'Calc palla di neve'!$H233,'Calc personalizzata'!$H233))</f>
        <v/>
      </c>
      <c r="F210" s="71" t="str">
        <f>IF($A210="","",CHOOSE('Calc riepilogo'!$B$2,'Calc valanga'!$G233,'Calc palla di neve'!$G233,'Calc personalizzata'!$G233))</f>
        <v/>
      </c>
      <c r="G210" s="72" t="n"/>
      <c r="H210" s="73" t="n"/>
      <c r="I210" s="74" t="str">
        <f>IF($A210="","",TRIM(IF(AND(N(K209)&gt;0,N(K210)&lt;=0.004),"✓ "&amp;'Calc base'!C$6&amp;"   ","")&amp;IF(AND(N(M209)&gt;0,N(M210)&lt;=0.004),"✓ "&amp;'Calc base'!D$6&amp;"   ","")&amp;IF(AND(N(O209)&gt;0,N(O210)&lt;=0.004),"✓ "&amp;'Calc base'!E$6&amp;"   ","")&amp;IF(AND(N(Q209)&gt;0,N(Q210)&lt;=0.004),"✓ "&amp;'Calc base'!F$6&amp;"   ","")&amp;IF(AND(N(S209)&gt;0,N(S210)&lt;=0.004),"✓ "&amp;'Calc base'!G$6&amp;"   ","")&amp;IF(AND(N(U209)&gt;0,N(U210)&lt;=0.004),"✓ "&amp;'Calc base'!H$6&amp;"   ","")&amp;IF(AND(N(W209)&gt;0,N(W210)&lt;=0.004),"✓ "&amp;'Calc base'!I$6&amp;"   ","")&amp;IF(AND(N(Y209)&gt;0,N(Y210)&lt;=0.004),"✓ "&amp;'Calc base'!J$6&amp;"   ","")&amp;IF(AND(N(AA209)&gt;0,N(AA210)&lt;=0.004),"✓ "&amp;'Calc base'!K$6&amp;"   ","")&amp;IF(AND(N(AC209)&gt;0,N(AC210)&lt;=0.004),"✓ "&amp;'Calc base'!L$6&amp;"   ","")&amp;IF(AND(N(AE209)&gt;0,N(AE210)&lt;=0.004),"✓ "&amp;'Calc base'!M$6&amp;"   ","")&amp;IF(AND(N(AG209)&gt;0,N(AG210)&lt;=0.004),"✓ "&amp;'Calc base'!N$6&amp;"   ","")))</f>
        <v/>
      </c>
      <c r="J210" s="70" t="str">
        <f>IF($A210="","",ROUND(N(K209)*(1+'Calc base'!H233),2)-K210)</f>
        <v/>
      </c>
      <c r="K210" s="75" t="str">
        <f>IF($A210="","",CHOOSE('Calc riepilogo'!$B$2,'Calc valanga'!AT233,'Calc palla di neve'!AT233,'Calc personalizzata'!AT233))</f>
        <v/>
      </c>
      <c r="L210" s="70" t="str">
        <f>IF($A210="","",ROUND(N(M209)*(1+'Calc base'!I233),2)-M210)</f>
        <v/>
      </c>
      <c r="M210" s="75" t="str">
        <f>IF($A210="","",CHOOSE('Calc riepilogo'!$B$2,'Calc valanga'!AU233,'Calc palla di neve'!AU233,'Calc personalizzata'!AU233))</f>
        <v/>
      </c>
      <c r="N210" s="70" t="str">
        <f>IF($A210="","",ROUND(N(O209)*(1+'Calc base'!J233),2)-O210)</f>
        <v/>
      </c>
      <c r="O210" s="75" t="str">
        <f>IF($A210="","",CHOOSE('Calc riepilogo'!$B$2,'Calc valanga'!AV233,'Calc palla di neve'!AV233,'Calc personalizzata'!AV233))</f>
        <v/>
      </c>
      <c r="P210" s="70" t="str">
        <f>IF($A210="","",ROUND(N(Q209)*(1+'Calc base'!K233),2)-Q210)</f>
        <v/>
      </c>
      <c r="Q210" s="75" t="str">
        <f>IF($A210="","",CHOOSE('Calc riepilogo'!$B$2,'Calc valanga'!AW233,'Calc palla di neve'!AW233,'Calc personalizzata'!AW233))</f>
        <v/>
      </c>
      <c r="R210" s="70" t="str">
        <f>IF($A210="","",ROUND(N(S209)*(1+'Calc base'!L233),2)-S210)</f>
        <v/>
      </c>
      <c r="S210" s="75" t="str">
        <f>IF($A210="","",CHOOSE('Calc riepilogo'!$B$2,'Calc valanga'!AX233,'Calc palla di neve'!AX233,'Calc personalizzata'!AX233))</f>
        <v/>
      </c>
      <c r="T210" s="70" t="str">
        <f>IF($A210="","",ROUND(N(U209)*(1+'Calc base'!M233),2)-U210)</f>
        <v/>
      </c>
      <c r="U210" s="75" t="str">
        <f>IF($A210="","",CHOOSE('Calc riepilogo'!$B$2,'Calc valanga'!AY233,'Calc palla di neve'!AY233,'Calc personalizzata'!AY233))</f>
        <v/>
      </c>
      <c r="V210" s="70" t="str">
        <f>IF($A210="","",ROUND(N(W209)*(1+'Calc base'!N233),2)-W210)</f>
        <v/>
      </c>
      <c r="W210" s="75" t="str">
        <f>IF($A210="","",CHOOSE('Calc riepilogo'!$B$2,'Calc valanga'!AZ233,'Calc palla di neve'!AZ233,'Calc personalizzata'!AZ233))</f>
        <v/>
      </c>
      <c r="X210" s="70" t="str">
        <f>IF($A210="","",ROUND(N(Y209)*(1+'Calc base'!O233),2)-Y210)</f>
        <v/>
      </c>
      <c r="Y210" s="75" t="str">
        <f>IF($A210="","",CHOOSE('Calc riepilogo'!$B$2,'Calc valanga'!BA233,'Calc palla di neve'!BA233,'Calc personalizzata'!BA233))</f>
        <v/>
      </c>
      <c r="Z210" s="70" t="str">
        <f>IF($A210="","",ROUND(N(AA209)*(1+'Calc base'!P233),2)-AA210)</f>
        <v/>
      </c>
      <c r="AA210" s="75" t="str">
        <f>IF($A210="","",CHOOSE('Calc riepilogo'!$B$2,'Calc valanga'!BB233,'Calc palla di neve'!BB233,'Calc personalizzata'!BB233))</f>
        <v/>
      </c>
      <c r="AB210" s="70" t="str">
        <f>IF($A210="","",ROUND(N(AC209)*(1+'Calc base'!Q233),2)-AC210)</f>
        <v/>
      </c>
      <c r="AC210" s="75" t="str">
        <f>IF($A210="","",CHOOSE('Calc riepilogo'!$B$2,'Calc valanga'!BC233,'Calc palla di neve'!BC233,'Calc personalizzata'!BC233))</f>
        <v/>
      </c>
      <c r="AD210" s="70" t="str">
        <f>IF($A210="","",ROUND(N(AE209)*(1+'Calc base'!R233),2)-AE210)</f>
        <v/>
      </c>
      <c r="AE210" s="75" t="str">
        <f>IF($A210="","",CHOOSE('Calc riepilogo'!$B$2,'Calc valanga'!BD233,'Calc palla di neve'!BD233,'Calc personalizzata'!BD233))</f>
        <v/>
      </c>
      <c r="AF210" s="70" t="str">
        <f>IF($A210="","",ROUND(N(AG209)*(1+'Calc base'!S233),2)-AG210)</f>
        <v/>
      </c>
      <c r="AG210" s="75" t="str">
        <f>IF($A210="","",CHOOSE('Calc riepilogo'!$B$2,'Calc valanga'!BE233,'Calc palla di neve'!BE233,'Calc personalizzata'!BE233))</f>
        <v/>
      </c>
      <c r="AI210" t="n">
        <v>203</v>
      </c>
    </row>
    <row r="211">
      <c r="A211" s="68" t="str">
        <f>IF(204&gt;'Calc riepilogo'!$B$7,"",'Calc base'!$B234)</f>
        <v/>
      </c>
      <c r="B211" s="69" t="str">
        <f>IF($A211="","",'Calc base'!$C234)</f>
        <v/>
      </c>
      <c r="C211" s="69" t="str">
        <f>IF($A211="","",'Calc base'!$E234)</f>
        <v/>
      </c>
      <c r="D211" s="70" t="str">
        <f>IF($A211="","",J211+L211+N211+P211+R211+T211+V211+X211+Z211+AB211+AD211+AF211)</f>
        <v/>
      </c>
      <c r="E211" s="70" t="str">
        <f>IF($A211="","",CHOOSE('Calc riepilogo'!$B$2,'Calc valanga'!$H234,'Calc palla di neve'!$H234,'Calc personalizzata'!$H234))</f>
        <v/>
      </c>
      <c r="F211" s="71" t="str">
        <f>IF($A211="","",CHOOSE('Calc riepilogo'!$B$2,'Calc valanga'!$G234,'Calc palla di neve'!$G234,'Calc personalizzata'!$G234))</f>
        <v/>
      </c>
      <c r="G211" s="72" t="n"/>
      <c r="H211" s="73" t="n"/>
      <c r="I211" s="74" t="str">
        <f>IF($A211="","",TRIM(IF(AND(N(K210)&gt;0,N(K211)&lt;=0.004),"✓ "&amp;'Calc base'!C$6&amp;"   ","")&amp;IF(AND(N(M210)&gt;0,N(M211)&lt;=0.004),"✓ "&amp;'Calc base'!D$6&amp;"   ","")&amp;IF(AND(N(O210)&gt;0,N(O211)&lt;=0.004),"✓ "&amp;'Calc base'!E$6&amp;"   ","")&amp;IF(AND(N(Q210)&gt;0,N(Q211)&lt;=0.004),"✓ "&amp;'Calc base'!F$6&amp;"   ","")&amp;IF(AND(N(S210)&gt;0,N(S211)&lt;=0.004),"✓ "&amp;'Calc base'!G$6&amp;"   ","")&amp;IF(AND(N(U210)&gt;0,N(U211)&lt;=0.004),"✓ "&amp;'Calc base'!H$6&amp;"   ","")&amp;IF(AND(N(W210)&gt;0,N(W211)&lt;=0.004),"✓ "&amp;'Calc base'!I$6&amp;"   ","")&amp;IF(AND(N(Y210)&gt;0,N(Y211)&lt;=0.004),"✓ "&amp;'Calc base'!J$6&amp;"   ","")&amp;IF(AND(N(AA210)&gt;0,N(AA211)&lt;=0.004),"✓ "&amp;'Calc base'!K$6&amp;"   ","")&amp;IF(AND(N(AC210)&gt;0,N(AC211)&lt;=0.004),"✓ "&amp;'Calc base'!L$6&amp;"   ","")&amp;IF(AND(N(AE210)&gt;0,N(AE211)&lt;=0.004),"✓ "&amp;'Calc base'!M$6&amp;"   ","")&amp;IF(AND(N(AG210)&gt;0,N(AG211)&lt;=0.004),"✓ "&amp;'Calc base'!N$6&amp;"   ","")))</f>
        <v/>
      </c>
      <c r="J211" s="70" t="str">
        <f>IF($A211="","",ROUND(N(K210)*(1+'Calc base'!H234),2)-K211)</f>
        <v/>
      </c>
      <c r="K211" s="75" t="str">
        <f>IF($A211="","",CHOOSE('Calc riepilogo'!$B$2,'Calc valanga'!AT234,'Calc palla di neve'!AT234,'Calc personalizzata'!AT234))</f>
        <v/>
      </c>
      <c r="L211" s="70" t="str">
        <f>IF($A211="","",ROUND(N(M210)*(1+'Calc base'!I234),2)-M211)</f>
        <v/>
      </c>
      <c r="M211" s="75" t="str">
        <f>IF($A211="","",CHOOSE('Calc riepilogo'!$B$2,'Calc valanga'!AU234,'Calc palla di neve'!AU234,'Calc personalizzata'!AU234))</f>
        <v/>
      </c>
      <c r="N211" s="70" t="str">
        <f>IF($A211="","",ROUND(N(O210)*(1+'Calc base'!J234),2)-O211)</f>
        <v/>
      </c>
      <c r="O211" s="75" t="str">
        <f>IF($A211="","",CHOOSE('Calc riepilogo'!$B$2,'Calc valanga'!AV234,'Calc palla di neve'!AV234,'Calc personalizzata'!AV234))</f>
        <v/>
      </c>
      <c r="P211" s="70" t="str">
        <f>IF($A211="","",ROUND(N(Q210)*(1+'Calc base'!K234),2)-Q211)</f>
        <v/>
      </c>
      <c r="Q211" s="75" t="str">
        <f>IF($A211="","",CHOOSE('Calc riepilogo'!$B$2,'Calc valanga'!AW234,'Calc palla di neve'!AW234,'Calc personalizzata'!AW234))</f>
        <v/>
      </c>
      <c r="R211" s="70" t="str">
        <f>IF($A211="","",ROUND(N(S210)*(1+'Calc base'!L234),2)-S211)</f>
        <v/>
      </c>
      <c r="S211" s="75" t="str">
        <f>IF($A211="","",CHOOSE('Calc riepilogo'!$B$2,'Calc valanga'!AX234,'Calc palla di neve'!AX234,'Calc personalizzata'!AX234))</f>
        <v/>
      </c>
      <c r="T211" s="70" t="str">
        <f>IF($A211="","",ROUND(N(U210)*(1+'Calc base'!M234),2)-U211)</f>
        <v/>
      </c>
      <c r="U211" s="75" t="str">
        <f>IF($A211="","",CHOOSE('Calc riepilogo'!$B$2,'Calc valanga'!AY234,'Calc palla di neve'!AY234,'Calc personalizzata'!AY234))</f>
        <v/>
      </c>
      <c r="V211" s="70" t="str">
        <f>IF($A211="","",ROUND(N(W210)*(1+'Calc base'!N234),2)-W211)</f>
        <v/>
      </c>
      <c r="W211" s="75" t="str">
        <f>IF($A211="","",CHOOSE('Calc riepilogo'!$B$2,'Calc valanga'!AZ234,'Calc palla di neve'!AZ234,'Calc personalizzata'!AZ234))</f>
        <v/>
      </c>
      <c r="X211" s="70" t="str">
        <f>IF($A211="","",ROUND(N(Y210)*(1+'Calc base'!O234),2)-Y211)</f>
        <v/>
      </c>
      <c r="Y211" s="75" t="str">
        <f>IF($A211="","",CHOOSE('Calc riepilogo'!$B$2,'Calc valanga'!BA234,'Calc palla di neve'!BA234,'Calc personalizzata'!BA234))</f>
        <v/>
      </c>
      <c r="Z211" s="70" t="str">
        <f>IF($A211="","",ROUND(N(AA210)*(1+'Calc base'!P234),2)-AA211)</f>
        <v/>
      </c>
      <c r="AA211" s="75" t="str">
        <f>IF($A211="","",CHOOSE('Calc riepilogo'!$B$2,'Calc valanga'!BB234,'Calc palla di neve'!BB234,'Calc personalizzata'!BB234))</f>
        <v/>
      </c>
      <c r="AB211" s="70" t="str">
        <f>IF($A211="","",ROUND(N(AC210)*(1+'Calc base'!Q234),2)-AC211)</f>
        <v/>
      </c>
      <c r="AC211" s="75" t="str">
        <f>IF($A211="","",CHOOSE('Calc riepilogo'!$B$2,'Calc valanga'!BC234,'Calc palla di neve'!BC234,'Calc personalizzata'!BC234))</f>
        <v/>
      </c>
      <c r="AD211" s="70" t="str">
        <f>IF($A211="","",ROUND(N(AE210)*(1+'Calc base'!R234),2)-AE211)</f>
        <v/>
      </c>
      <c r="AE211" s="75" t="str">
        <f>IF($A211="","",CHOOSE('Calc riepilogo'!$B$2,'Calc valanga'!BD234,'Calc palla di neve'!BD234,'Calc personalizzata'!BD234))</f>
        <v/>
      </c>
      <c r="AF211" s="70" t="str">
        <f>IF($A211="","",ROUND(N(AG210)*(1+'Calc base'!S234),2)-AG211)</f>
        <v/>
      </c>
      <c r="AG211" s="75" t="str">
        <f>IF($A211="","",CHOOSE('Calc riepilogo'!$B$2,'Calc valanga'!BE234,'Calc palla di neve'!BE234,'Calc personalizzata'!BE234))</f>
        <v/>
      </c>
      <c r="AI211" t="n">
        <v>204</v>
      </c>
    </row>
    <row r="212">
      <c r="A212" s="68" t="str">
        <f>IF(205&gt;'Calc riepilogo'!$B$7,"",'Calc base'!$B235)</f>
        <v/>
      </c>
      <c r="B212" s="69" t="str">
        <f>IF($A212="","",'Calc base'!$C235)</f>
        <v/>
      </c>
      <c r="C212" s="69" t="str">
        <f>IF($A212="","",'Calc base'!$E235)</f>
        <v/>
      </c>
      <c r="D212" s="70" t="str">
        <f>IF($A212="","",J212+L212+N212+P212+R212+T212+V212+X212+Z212+AB212+AD212+AF212)</f>
        <v/>
      </c>
      <c r="E212" s="70" t="str">
        <f>IF($A212="","",CHOOSE('Calc riepilogo'!$B$2,'Calc valanga'!$H235,'Calc palla di neve'!$H235,'Calc personalizzata'!$H235))</f>
        <v/>
      </c>
      <c r="F212" s="71" t="str">
        <f>IF($A212="","",CHOOSE('Calc riepilogo'!$B$2,'Calc valanga'!$G235,'Calc palla di neve'!$G235,'Calc personalizzata'!$G235))</f>
        <v/>
      </c>
      <c r="G212" s="72" t="n"/>
      <c r="H212" s="73" t="n"/>
      <c r="I212" s="74" t="str">
        <f>IF($A212="","",TRIM(IF(AND(N(K211)&gt;0,N(K212)&lt;=0.004),"✓ "&amp;'Calc base'!C$6&amp;"   ","")&amp;IF(AND(N(M211)&gt;0,N(M212)&lt;=0.004),"✓ "&amp;'Calc base'!D$6&amp;"   ","")&amp;IF(AND(N(O211)&gt;0,N(O212)&lt;=0.004),"✓ "&amp;'Calc base'!E$6&amp;"   ","")&amp;IF(AND(N(Q211)&gt;0,N(Q212)&lt;=0.004),"✓ "&amp;'Calc base'!F$6&amp;"   ","")&amp;IF(AND(N(S211)&gt;0,N(S212)&lt;=0.004),"✓ "&amp;'Calc base'!G$6&amp;"   ","")&amp;IF(AND(N(U211)&gt;0,N(U212)&lt;=0.004),"✓ "&amp;'Calc base'!H$6&amp;"   ","")&amp;IF(AND(N(W211)&gt;0,N(W212)&lt;=0.004),"✓ "&amp;'Calc base'!I$6&amp;"   ","")&amp;IF(AND(N(Y211)&gt;0,N(Y212)&lt;=0.004),"✓ "&amp;'Calc base'!J$6&amp;"   ","")&amp;IF(AND(N(AA211)&gt;0,N(AA212)&lt;=0.004),"✓ "&amp;'Calc base'!K$6&amp;"   ","")&amp;IF(AND(N(AC211)&gt;0,N(AC212)&lt;=0.004),"✓ "&amp;'Calc base'!L$6&amp;"   ","")&amp;IF(AND(N(AE211)&gt;0,N(AE212)&lt;=0.004),"✓ "&amp;'Calc base'!M$6&amp;"   ","")&amp;IF(AND(N(AG211)&gt;0,N(AG212)&lt;=0.004),"✓ "&amp;'Calc base'!N$6&amp;"   ","")))</f>
        <v/>
      </c>
      <c r="J212" s="70" t="str">
        <f>IF($A212="","",ROUND(N(K211)*(1+'Calc base'!H235),2)-K212)</f>
        <v/>
      </c>
      <c r="K212" s="75" t="str">
        <f>IF($A212="","",CHOOSE('Calc riepilogo'!$B$2,'Calc valanga'!AT235,'Calc palla di neve'!AT235,'Calc personalizzata'!AT235))</f>
        <v/>
      </c>
      <c r="L212" s="70" t="str">
        <f>IF($A212="","",ROUND(N(M211)*(1+'Calc base'!I235),2)-M212)</f>
        <v/>
      </c>
      <c r="M212" s="75" t="str">
        <f>IF($A212="","",CHOOSE('Calc riepilogo'!$B$2,'Calc valanga'!AU235,'Calc palla di neve'!AU235,'Calc personalizzata'!AU235))</f>
        <v/>
      </c>
      <c r="N212" s="70" t="str">
        <f>IF($A212="","",ROUND(N(O211)*(1+'Calc base'!J235),2)-O212)</f>
        <v/>
      </c>
      <c r="O212" s="75" t="str">
        <f>IF($A212="","",CHOOSE('Calc riepilogo'!$B$2,'Calc valanga'!AV235,'Calc palla di neve'!AV235,'Calc personalizzata'!AV235))</f>
        <v/>
      </c>
      <c r="P212" s="70" t="str">
        <f>IF($A212="","",ROUND(N(Q211)*(1+'Calc base'!K235),2)-Q212)</f>
        <v/>
      </c>
      <c r="Q212" s="75" t="str">
        <f>IF($A212="","",CHOOSE('Calc riepilogo'!$B$2,'Calc valanga'!AW235,'Calc palla di neve'!AW235,'Calc personalizzata'!AW235))</f>
        <v/>
      </c>
      <c r="R212" s="70" t="str">
        <f>IF($A212="","",ROUND(N(S211)*(1+'Calc base'!L235),2)-S212)</f>
        <v/>
      </c>
      <c r="S212" s="75" t="str">
        <f>IF($A212="","",CHOOSE('Calc riepilogo'!$B$2,'Calc valanga'!AX235,'Calc palla di neve'!AX235,'Calc personalizzata'!AX235))</f>
        <v/>
      </c>
      <c r="T212" s="70" t="str">
        <f>IF($A212="","",ROUND(N(U211)*(1+'Calc base'!M235),2)-U212)</f>
        <v/>
      </c>
      <c r="U212" s="75" t="str">
        <f>IF($A212="","",CHOOSE('Calc riepilogo'!$B$2,'Calc valanga'!AY235,'Calc palla di neve'!AY235,'Calc personalizzata'!AY235))</f>
        <v/>
      </c>
      <c r="V212" s="70" t="str">
        <f>IF($A212="","",ROUND(N(W211)*(1+'Calc base'!N235),2)-W212)</f>
        <v/>
      </c>
      <c r="W212" s="75" t="str">
        <f>IF($A212="","",CHOOSE('Calc riepilogo'!$B$2,'Calc valanga'!AZ235,'Calc palla di neve'!AZ235,'Calc personalizzata'!AZ235))</f>
        <v/>
      </c>
      <c r="X212" s="70" t="str">
        <f>IF($A212="","",ROUND(N(Y211)*(1+'Calc base'!O235),2)-Y212)</f>
        <v/>
      </c>
      <c r="Y212" s="75" t="str">
        <f>IF($A212="","",CHOOSE('Calc riepilogo'!$B$2,'Calc valanga'!BA235,'Calc palla di neve'!BA235,'Calc personalizzata'!BA235))</f>
        <v/>
      </c>
      <c r="Z212" s="70" t="str">
        <f>IF($A212="","",ROUND(N(AA211)*(1+'Calc base'!P235),2)-AA212)</f>
        <v/>
      </c>
      <c r="AA212" s="75" t="str">
        <f>IF($A212="","",CHOOSE('Calc riepilogo'!$B$2,'Calc valanga'!BB235,'Calc palla di neve'!BB235,'Calc personalizzata'!BB235))</f>
        <v/>
      </c>
      <c r="AB212" s="70" t="str">
        <f>IF($A212="","",ROUND(N(AC211)*(1+'Calc base'!Q235),2)-AC212)</f>
        <v/>
      </c>
      <c r="AC212" s="75" t="str">
        <f>IF($A212="","",CHOOSE('Calc riepilogo'!$B$2,'Calc valanga'!BC235,'Calc palla di neve'!BC235,'Calc personalizzata'!BC235))</f>
        <v/>
      </c>
      <c r="AD212" s="70" t="str">
        <f>IF($A212="","",ROUND(N(AE211)*(1+'Calc base'!R235),2)-AE212)</f>
        <v/>
      </c>
      <c r="AE212" s="75" t="str">
        <f>IF($A212="","",CHOOSE('Calc riepilogo'!$B$2,'Calc valanga'!BD235,'Calc palla di neve'!BD235,'Calc personalizzata'!BD235))</f>
        <v/>
      </c>
      <c r="AF212" s="70" t="str">
        <f>IF($A212="","",ROUND(N(AG211)*(1+'Calc base'!S235),2)-AG212)</f>
        <v/>
      </c>
      <c r="AG212" s="75" t="str">
        <f>IF($A212="","",CHOOSE('Calc riepilogo'!$B$2,'Calc valanga'!BE235,'Calc palla di neve'!BE235,'Calc personalizzata'!BE235))</f>
        <v/>
      </c>
      <c r="AI212" t="n">
        <v>205</v>
      </c>
    </row>
    <row r="213">
      <c r="A213" s="68" t="str">
        <f>IF(206&gt;'Calc riepilogo'!$B$7,"",'Calc base'!$B236)</f>
        <v/>
      </c>
      <c r="B213" s="69" t="str">
        <f>IF($A213="","",'Calc base'!$C236)</f>
        <v/>
      </c>
      <c r="C213" s="69" t="str">
        <f>IF($A213="","",'Calc base'!$E236)</f>
        <v/>
      </c>
      <c r="D213" s="70" t="str">
        <f>IF($A213="","",J213+L213+N213+P213+R213+T213+V213+X213+Z213+AB213+AD213+AF213)</f>
        <v/>
      </c>
      <c r="E213" s="70" t="str">
        <f>IF($A213="","",CHOOSE('Calc riepilogo'!$B$2,'Calc valanga'!$H236,'Calc palla di neve'!$H236,'Calc personalizzata'!$H236))</f>
        <v/>
      </c>
      <c r="F213" s="71" t="str">
        <f>IF($A213="","",CHOOSE('Calc riepilogo'!$B$2,'Calc valanga'!$G236,'Calc palla di neve'!$G236,'Calc personalizzata'!$G236))</f>
        <v/>
      </c>
      <c r="G213" s="72" t="n"/>
      <c r="H213" s="73" t="n"/>
      <c r="I213" s="74" t="str">
        <f>IF($A213="","",TRIM(IF(AND(N(K212)&gt;0,N(K213)&lt;=0.004),"✓ "&amp;'Calc base'!C$6&amp;"   ","")&amp;IF(AND(N(M212)&gt;0,N(M213)&lt;=0.004),"✓ "&amp;'Calc base'!D$6&amp;"   ","")&amp;IF(AND(N(O212)&gt;0,N(O213)&lt;=0.004),"✓ "&amp;'Calc base'!E$6&amp;"   ","")&amp;IF(AND(N(Q212)&gt;0,N(Q213)&lt;=0.004),"✓ "&amp;'Calc base'!F$6&amp;"   ","")&amp;IF(AND(N(S212)&gt;0,N(S213)&lt;=0.004),"✓ "&amp;'Calc base'!G$6&amp;"   ","")&amp;IF(AND(N(U212)&gt;0,N(U213)&lt;=0.004),"✓ "&amp;'Calc base'!H$6&amp;"   ","")&amp;IF(AND(N(W212)&gt;0,N(W213)&lt;=0.004),"✓ "&amp;'Calc base'!I$6&amp;"   ","")&amp;IF(AND(N(Y212)&gt;0,N(Y213)&lt;=0.004),"✓ "&amp;'Calc base'!J$6&amp;"   ","")&amp;IF(AND(N(AA212)&gt;0,N(AA213)&lt;=0.004),"✓ "&amp;'Calc base'!K$6&amp;"   ","")&amp;IF(AND(N(AC212)&gt;0,N(AC213)&lt;=0.004),"✓ "&amp;'Calc base'!L$6&amp;"   ","")&amp;IF(AND(N(AE212)&gt;0,N(AE213)&lt;=0.004),"✓ "&amp;'Calc base'!M$6&amp;"   ","")&amp;IF(AND(N(AG212)&gt;0,N(AG213)&lt;=0.004),"✓ "&amp;'Calc base'!N$6&amp;"   ","")))</f>
        <v/>
      </c>
      <c r="J213" s="70" t="str">
        <f>IF($A213="","",ROUND(N(K212)*(1+'Calc base'!H236),2)-K213)</f>
        <v/>
      </c>
      <c r="K213" s="75" t="str">
        <f>IF($A213="","",CHOOSE('Calc riepilogo'!$B$2,'Calc valanga'!AT236,'Calc palla di neve'!AT236,'Calc personalizzata'!AT236))</f>
        <v/>
      </c>
      <c r="L213" s="70" t="str">
        <f>IF($A213="","",ROUND(N(M212)*(1+'Calc base'!I236),2)-M213)</f>
        <v/>
      </c>
      <c r="M213" s="75" t="str">
        <f>IF($A213="","",CHOOSE('Calc riepilogo'!$B$2,'Calc valanga'!AU236,'Calc palla di neve'!AU236,'Calc personalizzata'!AU236))</f>
        <v/>
      </c>
      <c r="N213" s="70" t="str">
        <f>IF($A213="","",ROUND(N(O212)*(1+'Calc base'!J236),2)-O213)</f>
        <v/>
      </c>
      <c r="O213" s="75" t="str">
        <f>IF($A213="","",CHOOSE('Calc riepilogo'!$B$2,'Calc valanga'!AV236,'Calc palla di neve'!AV236,'Calc personalizzata'!AV236))</f>
        <v/>
      </c>
      <c r="P213" s="70" t="str">
        <f>IF($A213="","",ROUND(N(Q212)*(1+'Calc base'!K236),2)-Q213)</f>
        <v/>
      </c>
      <c r="Q213" s="75" t="str">
        <f>IF($A213="","",CHOOSE('Calc riepilogo'!$B$2,'Calc valanga'!AW236,'Calc palla di neve'!AW236,'Calc personalizzata'!AW236))</f>
        <v/>
      </c>
      <c r="R213" s="70" t="str">
        <f>IF($A213="","",ROUND(N(S212)*(1+'Calc base'!L236),2)-S213)</f>
        <v/>
      </c>
      <c r="S213" s="75" t="str">
        <f>IF($A213="","",CHOOSE('Calc riepilogo'!$B$2,'Calc valanga'!AX236,'Calc palla di neve'!AX236,'Calc personalizzata'!AX236))</f>
        <v/>
      </c>
      <c r="T213" s="70" t="str">
        <f>IF($A213="","",ROUND(N(U212)*(1+'Calc base'!M236),2)-U213)</f>
        <v/>
      </c>
      <c r="U213" s="75" t="str">
        <f>IF($A213="","",CHOOSE('Calc riepilogo'!$B$2,'Calc valanga'!AY236,'Calc palla di neve'!AY236,'Calc personalizzata'!AY236))</f>
        <v/>
      </c>
      <c r="V213" s="70" t="str">
        <f>IF($A213="","",ROUND(N(W212)*(1+'Calc base'!N236),2)-W213)</f>
        <v/>
      </c>
      <c r="W213" s="75" t="str">
        <f>IF($A213="","",CHOOSE('Calc riepilogo'!$B$2,'Calc valanga'!AZ236,'Calc palla di neve'!AZ236,'Calc personalizzata'!AZ236))</f>
        <v/>
      </c>
      <c r="X213" s="70" t="str">
        <f>IF($A213="","",ROUND(N(Y212)*(1+'Calc base'!O236),2)-Y213)</f>
        <v/>
      </c>
      <c r="Y213" s="75" t="str">
        <f>IF($A213="","",CHOOSE('Calc riepilogo'!$B$2,'Calc valanga'!BA236,'Calc palla di neve'!BA236,'Calc personalizzata'!BA236))</f>
        <v/>
      </c>
      <c r="Z213" s="70" t="str">
        <f>IF($A213="","",ROUND(N(AA212)*(1+'Calc base'!P236),2)-AA213)</f>
        <v/>
      </c>
      <c r="AA213" s="75" t="str">
        <f>IF($A213="","",CHOOSE('Calc riepilogo'!$B$2,'Calc valanga'!BB236,'Calc palla di neve'!BB236,'Calc personalizzata'!BB236))</f>
        <v/>
      </c>
      <c r="AB213" s="70" t="str">
        <f>IF($A213="","",ROUND(N(AC212)*(1+'Calc base'!Q236),2)-AC213)</f>
        <v/>
      </c>
      <c r="AC213" s="75" t="str">
        <f>IF($A213="","",CHOOSE('Calc riepilogo'!$B$2,'Calc valanga'!BC236,'Calc palla di neve'!BC236,'Calc personalizzata'!BC236))</f>
        <v/>
      </c>
      <c r="AD213" s="70" t="str">
        <f>IF($A213="","",ROUND(N(AE212)*(1+'Calc base'!R236),2)-AE213)</f>
        <v/>
      </c>
      <c r="AE213" s="75" t="str">
        <f>IF($A213="","",CHOOSE('Calc riepilogo'!$B$2,'Calc valanga'!BD236,'Calc palla di neve'!BD236,'Calc personalizzata'!BD236))</f>
        <v/>
      </c>
      <c r="AF213" s="70" t="str">
        <f>IF($A213="","",ROUND(N(AG212)*(1+'Calc base'!S236),2)-AG213)</f>
        <v/>
      </c>
      <c r="AG213" s="75" t="str">
        <f>IF($A213="","",CHOOSE('Calc riepilogo'!$B$2,'Calc valanga'!BE236,'Calc palla di neve'!BE236,'Calc personalizzata'!BE236))</f>
        <v/>
      </c>
      <c r="AI213" t="n">
        <v>206</v>
      </c>
    </row>
    <row r="214">
      <c r="A214" s="68" t="str">
        <f>IF(207&gt;'Calc riepilogo'!$B$7,"",'Calc base'!$B237)</f>
        <v/>
      </c>
      <c r="B214" s="69" t="str">
        <f>IF($A214="","",'Calc base'!$C237)</f>
        <v/>
      </c>
      <c r="C214" s="69" t="str">
        <f>IF($A214="","",'Calc base'!$E237)</f>
        <v/>
      </c>
      <c r="D214" s="70" t="str">
        <f>IF($A214="","",J214+L214+N214+P214+R214+T214+V214+X214+Z214+AB214+AD214+AF214)</f>
        <v/>
      </c>
      <c r="E214" s="70" t="str">
        <f>IF($A214="","",CHOOSE('Calc riepilogo'!$B$2,'Calc valanga'!$H237,'Calc palla di neve'!$H237,'Calc personalizzata'!$H237))</f>
        <v/>
      </c>
      <c r="F214" s="71" t="str">
        <f>IF($A214="","",CHOOSE('Calc riepilogo'!$B$2,'Calc valanga'!$G237,'Calc palla di neve'!$G237,'Calc personalizzata'!$G237))</f>
        <v/>
      </c>
      <c r="G214" s="72" t="n"/>
      <c r="H214" s="73" t="n"/>
      <c r="I214" s="74" t="str">
        <f>IF($A214="","",TRIM(IF(AND(N(K213)&gt;0,N(K214)&lt;=0.004),"✓ "&amp;'Calc base'!C$6&amp;"   ","")&amp;IF(AND(N(M213)&gt;0,N(M214)&lt;=0.004),"✓ "&amp;'Calc base'!D$6&amp;"   ","")&amp;IF(AND(N(O213)&gt;0,N(O214)&lt;=0.004),"✓ "&amp;'Calc base'!E$6&amp;"   ","")&amp;IF(AND(N(Q213)&gt;0,N(Q214)&lt;=0.004),"✓ "&amp;'Calc base'!F$6&amp;"   ","")&amp;IF(AND(N(S213)&gt;0,N(S214)&lt;=0.004),"✓ "&amp;'Calc base'!G$6&amp;"   ","")&amp;IF(AND(N(U213)&gt;0,N(U214)&lt;=0.004),"✓ "&amp;'Calc base'!H$6&amp;"   ","")&amp;IF(AND(N(W213)&gt;0,N(W214)&lt;=0.004),"✓ "&amp;'Calc base'!I$6&amp;"   ","")&amp;IF(AND(N(Y213)&gt;0,N(Y214)&lt;=0.004),"✓ "&amp;'Calc base'!J$6&amp;"   ","")&amp;IF(AND(N(AA213)&gt;0,N(AA214)&lt;=0.004),"✓ "&amp;'Calc base'!K$6&amp;"   ","")&amp;IF(AND(N(AC213)&gt;0,N(AC214)&lt;=0.004),"✓ "&amp;'Calc base'!L$6&amp;"   ","")&amp;IF(AND(N(AE213)&gt;0,N(AE214)&lt;=0.004),"✓ "&amp;'Calc base'!M$6&amp;"   ","")&amp;IF(AND(N(AG213)&gt;0,N(AG214)&lt;=0.004),"✓ "&amp;'Calc base'!N$6&amp;"   ","")))</f>
        <v/>
      </c>
      <c r="J214" s="70" t="str">
        <f>IF($A214="","",ROUND(N(K213)*(1+'Calc base'!H237),2)-K214)</f>
        <v/>
      </c>
      <c r="K214" s="75" t="str">
        <f>IF($A214="","",CHOOSE('Calc riepilogo'!$B$2,'Calc valanga'!AT237,'Calc palla di neve'!AT237,'Calc personalizzata'!AT237))</f>
        <v/>
      </c>
      <c r="L214" s="70" t="str">
        <f>IF($A214="","",ROUND(N(M213)*(1+'Calc base'!I237),2)-M214)</f>
        <v/>
      </c>
      <c r="M214" s="75" t="str">
        <f>IF($A214="","",CHOOSE('Calc riepilogo'!$B$2,'Calc valanga'!AU237,'Calc palla di neve'!AU237,'Calc personalizzata'!AU237))</f>
        <v/>
      </c>
      <c r="N214" s="70" t="str">
        <f>IF($A214="","",ROUND(N(O213)*(1+'Calc base'!J237),2)-O214)</f>
        <v/>
      </c>
      <c r="O214" s="75" t="str">
        <f>IF($A214="","",CHOOSE('Calc riepilogo'!$B$2,'Calc valanga'!AV237,'Calc palla di neve'!AV237,'Calc personalizzata'!AV237))</f>
        <v/>
      </c>
      <c r="P214" s="70" t="str">
        <f>IF($A214="","",ROUND(N(Q213)*(1+'Calc base'!K237),2)-Q214)</f>
        <v/>
      </c>
      <c r="Q214" s="75" t="str">
        <f>IF($A214="","",CHOOSE('Calc riepilogo'!$B$2,'Calc valanga'!AW237,'Calc palla di neve'!AW237,'Calc personalizzata'!AW237))</f>
        <v/>
      </c>
      <c r="R214" s="70" t="str">
        <f>IF($A214="","",ROUND(N(S213)*(1+'Calc base'!L237),2)-S214)</f>
        <v/>
      </c>
      <c r="S214" s="75" t="str">
        <f>IF($A214="","",CHOOSE('Calc riepilogo'!$B$2,'Calc valanga'!AX237,'Calc palla di neve'!AX237,'Calc personalizzata'!AX237))</f>
        <v/>
      </c>
      <c r="T214" s="70" t="str">
        <f>IF($A214="","",ROUND(N(U213)*(1+'Calc base'!M237),2)-U214)</f>
        <v/>
      </c>
      <c r="U214" s="75" t="str">
        <f>IF($A214="","",CHOOSE('Calc riepilogo'!$B$2,'Calc valanga'!AY237,'Calc palla di neve'!AY237,'Calc personalizzata'!AY237))</f>
        <v/>
      </c>
      <c r="V214" s="70" t="str">
        <f>IF($A214="","",ROUND(N(W213)*(1+'Calc base'!N237),2)-W214)</f>
        <v/>
      </c>
      <c r="W214" s="75" t="str">
        <f>IF($A214="","",CHOOSE('Calc riepilogo'!$B$2,'Calc valanga'!AZ237,'Calc palla di neve'!AZ237,'Calc personalizzata'!AZ237))</f>
        <v/>
      </c>
      <c r="X214" s="70" t="str">
        <f>IF($A214="","",ROUND(N(Y213)*(1+'Calc base'!O237),2)-Y214)</f>
        <v/>
      </c>
      <c r="Y214" s="75" t="str">
        <f>IF($A214="","",CHOOSE('Calc riepilogo'!$B$2,'Calc valanga'!BA237,'Calc palla di neve'!BA237,'Calc personalizzata'!BA237))</f>
        <v/>
      </c>
      <c r="Z214" s="70" t="str">
        <f>IF($A214="","",ROUND(N(AA213)*(1+'Calc base'!P237),2)-AA214)</f>
        <v/>
      </c>
      <c r="AA214" s="75" t="str">
        <f>IF($A214="","",CHOOSE('Calc riepilogo'!$B$2,'Calc valanga'!BB237,'Calc palla di neve'!BB237,'Calc personalizzata'!BB237))</f>
        <v/>
      </c>
      <c r="AB214" s="70" t="str">
        <f>IF($A214="","",ROUND(N(AC213)*(1+'Calc base'!Q237),2)-AC214)</f>
        <v/>
      </c>
      <c r="AC214" s="75" t="str">
        <f>IF($A214="","",CHOOSE('Calc riepilogo'!$B$2,'Calc valanga'!BC237,'Calc palla di neve'!BC237,'Calc personalizzata'!BC237))</f>
        <v/>
      </c>
      <c r="AD214" s="70" t="str">
        <f>IF($A214="","",ROUND(N(AE213)*(1+'Calc base'!R237),2)-AE214)</f>
        <v/>
      </c>
      <c r="AE214" s="75" t="str">
        <f>IF($A214="","",CHOOSE('Calc riepilogo'!$B$2,'Calc valanga'!BD237,'Calc palla di neve'!BD237,'Calc personalizzata'!BD237))</f>
        <v/>
      </c>
      <c r="AF214" s="70" t="str">
        <f>IF($A214="","",ROUND(N(AG213)*(1+'Calc base'!S237),2)-AG214)</f>
        <v/>
      </c>
      <c r="AG214" s="75" t="str">
        <f>IF($A214="","",CHOOSE('Calc riepilogo'!$B$2,'Calc valanga'!BE237,'Calc palla di neve'!BE237,'Calc personalizzata'!BE237))</f>
        <v/>
      </c>
      <c r="AI214" t="n">
        <v>207</v>
      </c>
    </row>
    <row r="215">
      <c r="A215" s="68" t="str">
        <f>IF(208&gt;'Calc riepilogo'!$B$7,"",'Calc base'!$B238)</f>
        <v/>
      </c>
      <c r="B215" s="69" t="str">
        <f>IF($A215="","",'Calc base'!$C238)</f>
        <v/>
      </c>
      <c r="C215" s="69" t="str">
        <f>IF($A215="","",'Calc base'!$E238)</f>
        <v/>
      </c>
      <c r="D215" s="70" t="str">
        <f>IF($A215="","",J215+L215+N215+P215+R215+T215+V215+X215+Z215+AB215+AD215+AF215)</f>
        <v/>
      </c>
      <c r="E215" s="70" t="str">
        <f>IF($A215="","",CHOOSE('Calc riepilogo'!$B$2,'Calc valanga'!$H238,'Calc palla di neve'!$H238,'Calc personalizzata'!$H238))</f>
        <v/>
      </c>
      <c r="F215" s="71" t="str">
        <f>IF($A215="","",CHOOSE('Calc riepilogo'!$B$2,'Calc valanga'!$G238,'Calc palla di neve'!$G238,'Calc personalizzata'!$G238))</f>
        <v/>
      </c>
      <c r="G215" s="72" t="n"/>
      <c r="H215" s="73" t="n"/>
      <c r="I215" s="74" t="str">
        <f>IF($A215="","",TRIM(IF(AND(N(K214)&gt;0,N(K215)&lt;=0.004),"✓ "&amp;'Calc base'!C$6&amp;"   ","")&amp;IF(AND(N(M214)&gt;0,N(M215)&lt;=0.004),"✓ "&amp;'Calc base'!D$6&amp;"   ","")&amp;IF(AND(N(O214)&gt;0,N(O215)&lt;=0.004),"✓ "&amp;'Calc base'!E$6&amp;"   ","")&amp;IF(AND(N(Q214)&gt;0,N(Q215)&lt;=0.004),"✓ "&amp;'Calc base'!F$6&amp;"   ","")&amp;IF(AND(N(S214)&gt;0,N(S215)&lt;=0.004),"✓ "&amp;'Calc base'!G$6&amp;"   ","")&amp;IF(AND(N(U214)&gt;0,N(U215)&lt;=0.004),"✓ "&amp;'Calc base'!H$6&amp;"   ","")&amp;IF(AND(N(W214)&gt;0,N(W215)&lt;=0.004),"✓ "&amp;'Calc base'!I$6&amp;"   ","")&amp;IF(AND(N(Y214)&gt;0,N(Y215)&lt;=0.004),"✓ "&amp;'Calc base'!J$6&amp;"   ","")&amp;IF(AND(N(AA214)&gt;0,N(AA215)&lt;=0.004),"✓ "&amp;'Calc base'!K$6&amp;"   ","")&amp;IF(AND(N(AC214)&gt;0,N(AC215)&lt;=0.004),"✓ "&amp;'Calc base'!L$6&amp;"   ","")&amp;IF(AND(N(AE214)&gt;0,N(AE215)&lt;=0.004),"✓ "&amp;'Calc base'!M$6&amp;"   ","")&amp;IF(AND(N(AG214)&gt;0,N(AG215)&lt;=0.004),"✓ "&amp;'Calc base'!N$6&amp;"   ","")))</f>
        <v/>
      </c>
      <c r="J215" s="70" t="str">
        <f>IF($A215="","",ROUND(N(K214)*(1+'Calc base'!H238),2)-K215)</f>
        <v/>
      </c>
      <c r="K215" s="75" t="str">
        <f>IF($A215="","",CHOOSE('Calc riepilogo'!$B$2,'Calc valanga'!AT238,'Calc palla di neve'!AT238,'Calc personalizzata'!AT238))</f>
        <v/>
      </c>
      <c r="L215" s="70" t="str">
        <f>IF($A215="","",ROUND(N(M214)*(1+'Calc base'!I238),2)-M215)</f>
        <v/>
      </c>
      <c r="M215" s="75" t="str">
        <f>IF($A215="","",CHOOSE('Calc riepilogo'!$B$2,'Calc valanga'!AU238,'Calc palla di neve'!AU238,'Calc personalizzata'!AU238))</f>
        <v/>
      </c>
      <c r="N215" s="70" t="str">
        <f>IF($A215="","",ROUND(N(O214)*(1+'Calc base'!J238),2)-O215)</f>
        <v/>
      </c>
      <c r="O215" s="75" t="str">
        <f>IF($A215="","",CHOOSE('Calc riepilogo'!$B$2,'Calc valanga'!AV238,'Calc palla di neve'!AV238,'Calc personalizzata'!AV238))</f>
        <v/>
      </c>
      <c r="P215" s="70" t="str">
        <f>IF($A215="","",ROUND(N(Q214)*(1+'Calc base'!K238),2)-Q215)</f>
        <v/>
      </c>
      <c r="Q215" s="75" t="str">
        <f>IF($A215="","",CHOOSE('Calc riepilogo'!$B$2,'Calc valanga'!AW238,'Calc palla di neve'!AW238,'Calc personalizzata'!AW238))</f>
        <v/>
      </c>
      <c r="R215" s="70" t="str">
        <f>IF($A215="","",ROUND(N(S214)*(1+'Calc base'!L238),2)-S215)</f>
        <v/>
      </c>
      <c r="S215" s="75" t="str">
        <f>IF($A215="","",CHOOSE('Calc riepilogo'!$B$2,'Calc valanga'!AX238,'Calc palla di neve'!AX238,'Calc personalizzata'!AX238))</f>
        <v/>
      </c>
      <c r="T215" s="70" t="str">
        <f>IF($A215="","",ROUND(N(U214)*(1+'Calc base'!M238),2)-U215)</f>
        <v/>
      </c>
      <c r="U215" s="75" t="str">
        <f>IF($A215="","",CHOOSE('Calc riepilogo'!$B$2,'Calc valanga'!AY238,'Calc palla di neve'!AY238,'Calc personalizzata'!AY238))</f>
        <v/>
      </c>
      <c r="V215" s="70" t="str">
        <f>IF($A215="","",ROUND(N(W214)*(1+'Calc base'!N238),2)-W215)</f>
        <v/>
      </c>
      <c r="W215" s="75" t="str">
        <f>IF($A215="","",CHOOSE('Calc riepilogo'!$B$2,'Calc valanga'!AZ238,'Calc palla di neve'!AZ238,'Calc personalizzata'!AZ238))</f>
        <v/>
      </c>
      <c r="X215" s="70" t="str">
        <f>IF($A215="","",ROUND(N(Y214)*(1+'Calc base'!O238),2)-Y215)</f>
        <v/>
      </c>
      <c r="Y215" s="75" t="str">
        <f>IF($A215="","",CHOOSE('Calc riepilogo'!$B$2,'Calc valanga'!BA238,'Calc palla di neve'!BA238,'Calc personalizzata'!BA238))</f>
        <v/>
      </c>
      <c r="Z215" s="70" t="str">
        <f>IF($A215="","",ROUND(N(AA214)*(1+'Calc base'!P238),2)-AA215)</f>
        <v/>
      </c>
      <c r="AA215" s="75" t="str">
        <f>IF($A215="","",CHOOSE('Calc riepilogo'!$B$2,'Calc valanga'!BB238,'Calc palla di neve'!BB238,'Calc personalizzata'!BB238))</f>
        <v/>
      </c>
      <c r="AB215" s="70" t="str">
        <f>IF($A215="","",ROUND(N(AC214)*(1+'Calc base'!Q238),2)-AC215)</f>
        <v/>
      </c>
      <c r="AC215" s="75" t="str">
        <f>IF($A215="","",CHOOSE('Calc riepilogo'!$B$2,'Calc valanga'!BC238,'Calc palla di neve'!BC238,'Calc personalizzata'!BC238))</f>
        <v/>
      </c>
      <c r="AD215" s="70" t="str">
        <f>IF($A215="","",ROUND(N(AE214)*(1+'Calc base'!R238),2)-AE215)</f>
        <v/>
      </c>
      <c r="AE215" s="75" t="str">
        <f>IF($A215="","",CHOOSE('Calc riepilogo'!$B$2,'Calc valanga'!BD238,'Calc palla di neve'!BD238,'Calc personalizzata'!BD238))</f>
        <v/>
      </c>
      <c r="AF215" s="70" t="str">
        <f>IF($A215="","",ROUND(N(AG214)*(1+'Calc base'!S238),2)-AG215)</f>
        <v/>
      </c>
      <c r="AG215" s="75" t="str">
        <f>IF($A215="","",CHOOSE('Calc riepilogo'!$B$2,'Calc valanga'!BE238,'Calc palla di neve'!BE238,'Calc personalizzata'!BE238))</f>
        <v/>
      </c>
      <c r="AI215" t="n">
        <v>208</v>
      </c>
    </row>
    <row r="216">
      <c r="A216" s="68" t="str">
        <f>IF(209&gt;'Calc riepilogo'!$B$7,"",'Calc base'!$B239)</f>
        <v/>
      </c>
      <c r="B216" s="69" t="str">
        <f>IF($A216="","",'Calc base'!$C239)</f>
        <v/>
      </c>
      <c r="C216" s="69" t="str">
        <f>IF($A216="","",'Calc base'!$E239)</f>
        <v/>
      </c>
      <c r="D216" s="70" t="str">
        <f>IF($A216="","",J216+L216+N216+P216+R216+T216+V216+X216+Z216+AB216+AD216+AF216)</f>
        <v/>
      </c>
      <c r="E216" s="70" t="str">
        <f>IF($A216="","",CHOOSE('Calc riepilogo'!$B$2,'Calc valanga'!$H239,'Calc palla di neve'!$H239,'Calc personalizzata'!$H239))</f>
        <v/>
      </c>
      <c r="F216" s="71" t="str">
        <f>IF($A216="","",CHOOSE('Calc riepilogo'!$B$2,'Calc valanga'!$G239,'Calc palla di neve'!$G239,'Calc personalizzata'!$G239))</f>
        <v/>
      </c>
      <c r="G216" s="72" t="n"/>
      <c r="H216" s="73" t="n"/>
      <c r="I216" s="74" t="str">
        <f>IF($A216="","",TRIM(IF(AND(N(K215)&gt;0,N(K216)&lt;=0.004),"✓ "&amp;'Calc base'!C$6&amp;"   ","")&amp;IF(AND(N(M215)&gt;0,N(M216)&lt;=0.004),"✓ "&amp;'Calc base'!D$6&amp;"   ","")&amp;IF(AND(N(O215)&gt;0,N(O216)&lt;=0.004),"✓ "&amp;'Calc base'!E$6&amp;"   ","")&amp;IF(AND(N(Q215)&gt;0,N(Q216)&lt;=0.004),"✓ "&amp;'Calc base'!F$6&amp;"   ","")&amp;IF(AND(N(S215)&gt;0,N(S216)&lt;=0.004),"✓ "&amp;'Calc base'!G$6&amp;"   ","")&amp;IF(AND(N(U215)&gt;0,N(U216)&lt;=0.004),"✓ "&amp;'Calc base'!H$6&amp;"   ","")&amp;IF(AND(N(W215)&gt;0,N(W216)&lt;=0.004),"✓ "&amp;'Calc base'!I$6&amp;"   ","")&amp;IF(AND(N(Y215)&gt;0,N(Y216)&lt;=0.004),"✓ "&amp;'Calc base'!J$6&amp;"   ","")&amp;IF(AND(N(AA215)&gt;0,N(AA216)&lt;=0.004),"✓ "&amp;'Calc base'!K$6&amp;"   ","")&amp;IF(AND(N(AC215)&gt;0,N(AC216)&lt;=0.004),"✓ "&amp;'Calc base'!L$6&amp;"   ","")&amp;IF(AND(N(AE215)&gt;0,N(AE216)&lt;=0.004),"✓ "&amp;'Calc base'!M$6&amp;"   ","")&amp;IF(AND(N(AG215)&gt;0,N(AG216)&lt;=0.004),"✓ "&amp;'Calc base'!N$6&amp;"   ","")))</f>
        <v/>
      </c>
      <c r="J216" s="70" t="str">
        <f>IF($A216="","",ROUND(N(K215)*(1+'Calc base'!H239),2)-K216)</f>
        <v/>
      </c>
      <c r="K216" s="75" t="str">
        <f>IF($A216="","",CHOOSE('Calc riepilogo'!$B$2,'Calc valanga'!AT239,'Calc palla di neve'!AT239,'Calc personalizzata'!AT239))</f>
        <v/>
      </c>
      <c r="L216" s="70" t="str">
        <f>IF($A216="","",ROUND(N(M215)*(1+'Calc base'!I239),2)-M216)</f>
        <v/>
      </c>
      <c r="M216" s="75" t="str">
        <f>IF($A216="","",CHOOSE('Calc riepilogo'!$B$2,'Calc valanga'!AU239,'Calc palla di neve'!AU239,'Calc personalizzata'!AU239))</f>
        <v/>
      </c>
      <c r="N216" s="70" t="str">
        <f>IF($A216="","",ROUND(N(O215)*(1+'Calc base'!J239),2)-O216)</f>
        <v/>
      </c>
      <c r="O216" s="75" t="str">
        <f>IF($A216="","",CHOOSE('Calc riepilogo'!$B$2,'Calc valanga'!AV239,'Calc palla di neve'!AV239,'Calc personalizzata'!AV239))</f>
        <v/>
      </c>
      <c r="P216" s="70" t="str">
        <f>IF($A216="","",ROUND(N(Q215)*(1+'Calc base'!K239),2)-Q216)</f>
        <v/>
      </c>
      <c r="Q216" s="75" t="str">
        <f>IF($A216="","",CHOOSE('Calc riepilogo'!$B$2,'Calc valanga'!AW239,'Calc palla di neve'!AW239,'Calc personalizzata'!AW239))</f>
        <v/>
      </c>
      <c r="R216" s="70" t="str">
        <f>IF($A216="","",ROUND(N(S215)*(1+'Calc base'!L239),2)-S216)</f>
        <v/>
      </c>
      <c r="S216" s="75" t="str">
        <f>IF($A216="","",CHOOSE('Calc riepilogo'!$B$2,'Calc valanga'!AX239,'Calc palla di neve'!AX239,'Calc personalizzata'!AX239))</f>
        <v/>
      </c>
      <c r="T216" s="70" t="str">
        <f>IF($A216="","",ROUND(N(U215)*(1+'Calc base'!M239),2)-U216)</f>
        <v/>
      </c>
      <c r="U216" s="75" t="str">
        <f>IF($A216="","",CHOOSE('Calc riepilogo'!$B$2,'Calc valanga'!AY239,'Calc palla di neve'!AY239,'Calc personalizzata'!AY239))</f>
        <v/>
      </c>
      <c r="V216" s="70" t="str">
        <f>IF($A216="","",ROUND(N(W215)*(1+'Calc base'!N239),2)-W216)</f>
        <v/>
      </c>
      <c r="W216" s="75" t="str">
        <f>IF($A216="","",CHOOSE('Calc riepilogo'!$B$2,'Calc valanga'!AZ239,'Calc palla di neve'!AZ239,'Calc personalizzata'!AZ239))</f>
        <v/>
      </c>
      <c r="X216" s="70" t="str">
        <f>IF($A216="","",ROUND(N(Y215)*(1+'Calc base'!O239),2)-Y216)</f>
        <v/>
      </c>
      <c r="Y216" s="75" t="str">
        <f>IF($A216="","",CHOOSE('Calc riepilogo'!$B$2,'Calc valanga'!BA239,'Calc palla di neve'!BA239,'Calc personalizzata'!BA239))</f>
        <v/>
      </c>
      <c r="Z216" s="70" t="str">
        <f>IF($A216="","",ROUND(N(AA215)*(1+'Calc base'!P239),2)-AA216)</f>
        <v/>
      </c>
      <c r="AA216" s="75" t="str">
        <f>IF($A216="","",CHOOSE('Calc riepilogo'!$B$2,'Calc valanga'!BB239,'Calc palla di neve'!BB239,'Calc personalizzata'!BB239))</f>
        <v/>
      </c>
      <c r="AB216" s="70" t="str">
        <f>IF($A216="","",ROUND(N(AC215)*(1+'Calc base'!Q239),2)-AC216)</f>
        <v/>
      </c>
      <c r="AC216" s="75" t="str">
        <f>IF($A216="","",CHOOSE('Calc riepilogo'!$B$2,'Calc valanga'!BC239,'Calc palla di neve'!BC239,'Calc personalizzata'!BC239))</f>
        <v/>
      </c>
      <c r="AD216" s="70" t="str">
        <f>IF($A216="","",ROUND(N(AE215)*(1+'Calc base'!R239),2)-AE216)</f>
        <v/>
      </c>
      <c r="AE216" s="75" t="str">
        <f>IF($A216="","",CHOOSE('Calc riepilogo'!$B$2,'Calc valanga'!BD239,'Calc palla di neve'!BD239,'Calc personalizzata'!BD239))</f>
        <v/>
      </c>
      <c r="AF216" s="70" t="str">
        <f>IF($A216="","",ROUND(N(AG215)*(1+'Calc base'!S239),2)-AG216)</f>
        <v/>
      </c>
      <c r="AG216" s="75" t="str">
        <f>IF($A216="","",CHOOSE('Calc riepilogo'!$B$2,'Calc valanga'!BE239,'Calc palla di neve'!BE239,'Calc personalizzata'!BE239))</f>
        <v/>
      </c>
      <c r="AI216" t="n">
        <v>209</v>
      </c>
    </row>
    <row r="217">
      <c r="A217" s="68" t="str">
        <f>IF(210&gt;'Calc riepilogo'!$B$7,"",'Calc base'!$B240)</f>
        <v/>
      </c>
      <c r="B217" s="69" t="str">
        <f>IF($A217="","",'Calc base'!$C240)</f>
        <v/>
      </c>
      <c r="C217" s="69" t="str">
        <f>IF($A217="","",'Calc base'!$E240)</f>
        <v/>
      </c>
      <c r="D217" s="70" t="str">
        <f>IF($A217="","",J217+L217+N217+P217+R217+T217+V217+X217+Z217+AB217+AD217+AF217)</f>
        <v/>
      </c>
      <c r="E217" s="70" t="str">
        <f>IF($A217="","",CHOOSE('Calc riepilogo'!$B$2,'Calc valanga'!$H240,'Calc palla di neve'!$H240,'Calc personalizzata'!$H240))</f>
        <v/>
      </c>
      <c r="F217" s="71" t="str">
        <f>IF($A217="","",CHOOSE('Calc riepilogo'!$B$2,'Calc valanga'!$G240,'Calc palla di neve'!$G240,'Calc personalizzata'!$G240))</f>
        <v/>
      </c>
      <c r="G217" s="72" t="n"/>
      <c r="H217" s="73" t="n"/>
      <c r="I217" s="74" t="str">
        <f>IF($A217="","",TRIM(IF(AND(N(K216)&gt;0,N(K217)&lt;=0.004),"✓ "&amp;'Calc base'!C$6&amp;"   ","")&amp;IF(AND(N(M216)&gt;0,N(M217)&lt;=0.004),"✓ "&amp;'Calc base'!D$6&amp;"   ","")&amp;IF(AND(N(O216)&gt;0,N(O217)&lt;=0.004),"✓ "&amp;'Calc base'!E$6&amp;"   ","")&amp;IF(AND(N(Q216)&gt;0,N(Q217)&lt;=0.004),"✓ "&amp;'Calc base'!F$6&amp;"   ","")&amp;IF(AND(N(S216)&gt;0,N(S217)&lt;=0.004),"✓ "&amp;'Calc base'!G$6&amp;"   ","")&amp;IF(AND(N(U216)&gt;0,N(U217)&lt;=0.004),"✓ "&amp;'Calc base'!H$6&amp;"   ","")&amp;IF(AND(N(W216)&gt;0,N(W217)&lt;=0.004),"✓ "&amp;'Calc base'!I$6&amp;"   ","")&amp;IF(AND(N(Y216)&gt;0,N(Y217)&lt;=0.004),"✓ "&amp;'Calc base'!J$6&amp;"   ","")&amp;IF(AND(N(AA216)&gt;0,N(AA217)&lt;=0.004),"✓ "&amp;'Calc base'!K$6&amp;"   ","")&amp;IF(AND(N(AC216)&gt;0,N(AC217)&lt;=0.004),"✓ "&amp;'Calc base'!L$6&amp;"   ","")&amp;IF(AND(N(AE216)&gt;0,N(AE217)&lt;=0.004),"✓ "&amp;'Calc base'!M$6&amp;"   ","")&amp;IF(AND(N(AG216)&gt;0,N(AG217)&lt;=0.004),"✓ "&amp;'Calc base'!N$6&amp;"   ","")))</f>
        <v/>
      </c>
      <c r="J217" s="70" t="str">
        <f>IF($A217="","",ROUND(N(K216)*(1+'Calc base'!H240),2)-K217)</f>
        <v/>
      </c>
      <c r="K217" s="75" t="str">
        <f>IF($A217="","",CHOOSE('Calc riepilogo'!$B$2,'Calc valanga'!AT240,'Calc palla di neve'!AT240,'Calc personalizzata'!AT240))</f>
        <v/>
      </c>
      <c r="L217" s="70" t="str">
        <f>IF($A217="","",ROUND(N(M216)*(1+'Calc base'!I240),2)-M217)</f>
        <v/>
      </c>
      <c r="M217" s="75" t="str">
        <f>IF($A217="","",CHOOSE('Calc riepilogo'!$B$2,'Calc valanga'!AU240,'Calc palla di neve'!AU240,'Calc personalizzata'!AU240))</f>
        <v/>
      </c>
      <c r="N217" s="70" t="str">
        <f>IF($A217="","",ROUND(N(O216)*(1+'Calc base'!J240),2)-O217)</f>
        <v/>
      </c>
      <c r="O217" s="75" t="str">
        <f>IF($A217="","",CHOOSE('Calc riepilogo'!$B$2,'Calc valanga'!AV240,'Calc palla di neve'!AV240,'Calc personalizzata'!AV240))</f>
        <v/>
      </c>
      <c r="P217" s="70" t="str">
        <f>IF($A217="","",ROUND(N(Q216)*(1+'Calc base'!K240),2)-Q217)</f>
        <v/>
      </c>
      <c r="Q217" s="75" t="str">
        <f>IF($A217="","",CHOOSE('Calc riepilogo'!$B$2,'Calc valanga'!AW240,'Calc palla di neve'!AW240,'Calc personalizzata'!AW240))</f>
        <v/>
      </c>
      <c r="R217" s="70" t="str">
        <f>IF($A217="","",ROUND(N(S216)*(1+'Calc base'!L240),2)-S217)</f>
        <v/>
      </c>
      <c r="S217" s="75" t="str">
        <f>IF($A217="","",CHOOSE('Calc riepilogo'!$B$2,'Calc valanga'!AX240,'Calc palla di neve'!AX240,'Calc personalizzata'!AX240))</f>
        <v/>
      </c>
      <c r="T217" s="70" t="str">
        <f>IF($A217="","",ROUND(N(U216)*(1+'Calc base'!M240),2)-U217)</f>
        <v/>
      </c>
      <c r="U217" s="75" t="str">
        <f>IF($A217="","",CHOOSE('Calc riepilogo'!$B$2,'Calc valanga'!AY240,'Calc palla di neve'!AY240,'Calc personalizzata'!AY240))</f>
        <v/>
      </c>
      <c r="V217" s="70" t="str">
        <f>IF($A217="","",ROUND(N(W216)*(1+'Calc base'!N240),2)-W217)</f>
        <v/>
      </c>
      <c r="W217" s="75" t="str">
        <f>IF($A217="","",CHOOSE('Calc riepilogo'!$B$2,'Calc valanga'!AZ240,'Calc palla di neve'!AZ240,'Calc personalizzata'!AZ240))</f>
        <v/>
      </c>
      <c r="X217" s="70" t="str">
        <f>IF($A217="","",ROUND(N(Y216)*(1+'Calc base'!O240),2)-Y217)</f>
        <v/>
      </c>
      <c r="Y217" s="75" t="str">
        <f>IF($A217="","",CHOOSE('Calc riepilogo'!$B$2,'Calc valanga'!BA240,'Calc palla di neve'!BA240,'Calc personalizzata'!BA240))</f>
        <v/>
      </c>
      <c r="Z217" s="70" t="str">
        <f>IF($A217="","",ROUND(N(AA216)*(1+'Calc base'!P240),2)-AA217)</f>
        <v/>
      </c>
      <c r="AA217" s="75" t="str">
        <f>IF($A217="","",CHOOSE('Calc riepilogo'!$B$2,'Calc valanga'!BB240,'Calc palla di neve'!BB240,'Calc personalizzata'!BB240))</f>
        <v/>
      </c>
      <c r="AB217" s="70" t="str">
        <f>IF($A217="","",ROUND(N(AC216)*(1+'Calc base'!Q240),2)-AC217)</f>
        <v/>
      </c>
      <c r="AC217" s="75" t="str">
        <f>IF($A217="","",CHOOSE('Calc riepilogo'!$B$2,'Calc valanga'!BC240,'Calc palla di neve'!BC240,'Calc personalizzata'!BC240))</f>
        <v/>
      </c>
      <c r="AD217" s="70" t="str">
        <f>IF($A217="","",ROUND(N(AE216)*(1+'Calc base'!R240),2)-AE217)</f>
        <v/>
      </c>
      <c r="AE217" s="75" t="str">
        <f>IF($A217="","",CHOOSE('Calc riepilogo'!$B$2,'Calc valanga'!BD240,'Calc palla di neve'!BD240,'Calc personalizzata'!BD240))</f>
        <v/>
      </c>
      <c r="AF217" s="70" t="str">
        <f>IF($A217="","",ROUND(N(AG216)*(1+'Calc base'!S240),2)-AG217)</f>
        <v/>
      </c>
      <c r="AG217" s="75" t="str">
        <f>IF($A217="","",CHOOSE('Calc riepilogo'!$B$2,'Calc valanga'!BE240,'Calc palla di neve'!BE240,'Calc personalizzata'!BE240))</f>
        <v/>
      </c>
      <c r="AI217" t="n">
        <v>210</v>
      </c>
    </row>
    <row r="218">
      <c r="A218" s="68" t="str">
        <f>IF(211&gt;'Calc riepilogo'!$B$7,"",'Calc base'!$B241)</f>
        <v/>
      </c>
      <c r="B218" s="69" t="str">
        <f>IF($A218="","",'Calc base'!$C241)</f>
        <v/>
      </c>
      <c r="C218" s="69" t="str">
        <f>IF($A218="","",'Calc base'!$E241)</f>
        <v/>
      </c>
      <c r="D218" s="70" t="str">
        <f>IF($A218="","",J218+L218+N218+P218+R218+T218+V218+X218+Z218+AB218+AD218+AF218)</f>
        <v/>
      </c>
      <c r="E218" s="70" t="str">
        <f>IF($A218="","",CHOOSE('Calc riepilogo'!$B$2,'Calc valanga'!$H241,'Calc palla di neve'!$H241,'Calc personalizzata'!$H241))</f>
        <v/>
      </c>
      <c r="F218" s="71" t="str">
        <f>IF($A218="","",CHOOSE('Calc riepilogo'!$B$2,'Calc valanga'!$G241,'Calc palla di neve'!$G241,'Calc personalizzata'!$G241))</f>
        <v/>
      </c>
      <c r="G218" s="72" t="n"/>
      <c r="H218" s="73" t="n"/>
      <c r="I218" s="74" t="str">
        <f>IF($A218="","",TRIM(IF(AND(N(K217)&gt;0,N(K218)&lt;=0.004),"✓ "&amp;'Calc base'!C$6&amp;"   ","")&amp;IF(AND(N(M217)&gt;0,N(M218)&lt;=0.004),"✓ "&amp;'Calc base'!D$6&amp;"   ","")&amp;IF(AND(N(O217)&gt;0,N(O218)&lt;=0.004),"✓ "&amp;'Calc base'!E$6&amp;"   ","")&amp;IF(AND(N(Q217)&gt;0,N(Q218)&lt;=0.004),"✓ "&amp;'Calc base'!F$6&amp;"   ","")&amp;IF(AND(N(S217)&gt;0,N(S218)&lt;=0.004),"✓ "&amp;'Calc base'!G$6&amp;"   ","")&amp;IF(AND(N(U217)&gt;0,N(U218)&lt;=0.004),"✓ "&amp;'Calc base'!H$6&amp;"   ","")&amp;IF(AND(N(W217)&gt;0,N(W218)&lt;=0.004),"✓ "&amp;'Calc base'!I$6&amp;"   ","")&amp;IF(AND(N(Y217)&gt;0,N(Y218)&lt;=0.004),"✓ "&amp;'Calc base'!J$6&amp;"   ","")&amp;IF(AND(N(AA217)&gt;0,N(AA218)&lt;=0.004),"✓ "&amp;'Calc base'!K$6&amp;"   ","")&amp;IF(AND(N(AC217)&gt;0,N(AC218)&lt;=0.004),"✓ "&amp;'Calc base'!L$6&amp;"   ","")&amp;IF(AND(N(AE217)&gt;0,N(AE218)&lt;=0.004),"✓ "&amp;'Calc base'!M$6&amp;"   ","")&amp;IF(AND(N(AG217)&gt;0,N(AG218)&lt;=0.004),"✓ "&amp;'Calc base'!N$6&amp;"   ","")))</f>
        <v/>
      </c>
      <c r="J218" s="70" t="str">
        <f>IF($A218="","",ROUND(N(K217)*(1+'Calc base'!H241),2)-K218)</f>
        <v/>
      </c>
      <c r="K218" s="75" t="str">
        <f>IF($A218="","",CHOOSE('Calc riepilogo'!$B$2,'Calc valanga'!AT241,'Calc palla di neve'!AT241,'Calc personalizzata'!AT241))</f>
        <v/>
      </c>
      <c r="L218" s="70" t="str">
        <f>IF($A218="","",ROUND(N(M217)*(1+'Calc base'!I241),2)-M218)</f>
        <v/>
      </c>
      <c r="M218" s="75" t="str">
        <f>IF($A218="","",CHOOSE('Calc riepilogo'!$B$2,'Calc valanga'!AU241,'Calc palla di neve'!AU241,'Calc personalizzata'!AU241))</f>
        <v/>
      </c>
      <c r="N218" s="70" t="str">
        <f>IF($A218="","",ROUND(N(O217)*(1+'Calc base'!J241),2)-O218)</f>
        <v/>
      </c>
      <c r="O218" s="75" t="str">
        <f>IF($A218="","",CHOOSE('Calc riepilogo'!$B$2,'Calc valanga'!AV241,'Calc palla di neve'!AV241,'Calc personalizzata'!AV241))</f>
        <v/>
      </c>
      <c r="P218" s="70" t="str">
        <f>IF($A218="","",ROUND(N(Q217)*(1+'Calc base'!K241),2)-Q218)</f>
        <v/>
      </c>
      <c r="Q218" s="75" t="str">
        <f>IF($A218="","",CHOOSE('Calc riepilogo'!$B$2,'Calc valanga'!AW241,'Calc palla di neve'!AW241,'Calc personalizzata'!AW241))</f>
        <v/>
      </c>
      <c r="R218" s="70" t="str">
        <f>IF($A218="","",ROUND(N(S217)*(1+'Calc base'!L241),2)-S218)</f>
        <v/>
      </c>
      <c r="S218" s="75" t="str">
        <f>IF($A218="","",CHOOSE('Calc riepilogo'!$B$2,'Calc valanga'!AX241,'Calc palla di neve'!AX241,'Calc personalizzata'!AX241))</f>
        <v/>
      </c>
      <c r="T218" s="70" t="str">
        <f>IF($A218="","",ROUND(N(U217)*(1+'Calc base'!M241),2)-U218)</f>
        <v/>
      </c>
      <c r="U218" s="75" t="str">
        <f>IF($A218="","",CHOOSE('Calc riepilogo'!$B$2,'Calc valanga'!AY241,'Calc palla di neve'!AY241,'Calc personalizzata'!AY241))</f>
        <v/>
      </c>
      <c r="V218" s="70" t="str">
        <f>IF($A218="","",ROUND(N(W217)*(1+'Calc base'!N241),2)-W218)</f>
        <v/>
      </c>
      <c r="W218" s="75" t="str">
        <f>IF($A218="","",CHOOSE('Calc riepilogo'!$B$2,'Calc valanga'!AZ241,'Calc palla di neve'!AZ241,'Calc personalizzata'!AZ241))</f>
        <v/>
      </c>
      <c r="X218" s="70" t="str">
        <f>IF($A218="","",ROUND(N(Y217)*(1+'Calc base'!O241),2)-Y218)</f>
        <v/>
      </c>
      <c r="Y218" s="75" t="str">
        <f>IF($A218="","",CHOOSE('Calc riepilogo'!$B$2,'Calc valanga'!BA241,'Calc palla di neve'!BA241,'Calc personalizzata'!BA241))</f>
        <v/>
      </c>
      <c r="Z218" s="70" t="str">
        <f>IF($A218="","",ROUND(N(AA217)*(1+'Calc base'!P241),2)-AA218)</f>
        <v/>
      </c>
      <c r="AA218" s="75" t="str">
        <f>IF($A218="","",CHOOSE('Calc riepilogo'!$B$2,'Calc valanga'!BB241,'Calc palla di neve'!BB241,'Calc personalizzata'!BB241))</f>
        <v/>
      </c>
      <c r="AB218" s="70" t="str">
        <f>IF($A218="","",ROUND(N(AC217)*(1+'Calc base'!Q241),2)-AC218)</f>
        <v/>
      </c>
      <c r="AC218" s="75" t="str">
        <f>IF($A218="","",CHOOSE('Calc riepilogo'!$B$2,'Calc valanga'!BC241,'Calc palla di neve'!BC241,'Calc personalizzata'!BC241))</f>
        <v/>
      </c>
      <c r="AD218" s="70" t="str">
        <f>IF($A218="","",ROUND(N(AE217)*(1+'Calc base'!R241),2)-AE218)</f>
        <v/>
      </c>
      <c r="AE218" s="75" t="str">
        <f>IF($A218="","",CHOOSE('Calc riepilogo'!$B$2,'Calc valanga'!BD241,'Calc palla di neve'!BD241,'Calc personalizzata'!BD241))</f>
        <v/>
      </c>
      <c r="AF218" s="70" t="str">
        <f>IF($A218="","",ROUND(N(AG217)*(1+'Calc base'!S241),2)-AG218)</f>
        <v/>
      </c>
      <c r="AG218" s="75" t="str">
        <f>IF($A218="","",CHOOSE('Calc riepilogo'!$B$2,'Calc valanga'!BE241,'Calc palla di neve'!BE241,'Calc personalizzata'!BE241))</f>
        <v/>
      </c>
      <c r="AI218" t="n">
        <v>211</v>
      </c>
    </row>
    <row r="219">
      <c r="A219" s="68" t="str">
        <f>IF(212&gt;'Calc riepilogo'!$B$7,"",'Calc base'!$B242)</f>
        <v/>
      </c>
      <c r="B219" s="69" t="str">
        <f>IF($A219="","",'Calc base'!$C242)</f>
        <v/>
      </c>
      <c r="C219" s="69" t="str">
        <f>IF($A219="","",'Calc base'!$E242)</f>
        <v/>
      </c>
      <c r="D219" s="70" t="str">
        <f>IF($A219="","",J219+L219+N219+P219+R219+T219+V219+X219+Z219+AB219+AD219+AF219)</f>
        <v/>
      </c>
      <c r="E219" s="70" t="str">
        <f>IF($A219="","",CHOOSE('Calc riepilogo'!$B$2,'Calc valanga'!$H242,'Calc palla di neve'!$H242,'Calc personalizzata'!$H242))</f>
        <v/>
      </c>
      <c r="F219" s="71" t="str">
        <f>IF($A219="","",CHOOSE('Calc riepilogo'!$B$2,'Calc valanga'!$G242,'Calc palla di neve'!$G242,'Calc personalizzata'!$G242))</f>
        <v/>
      </c>
      <c r="G219" s="72" t="n"/>
      <c r="H219" s="73" t="n"/>
      <c r="I219" s="74" t="str">
        <f>IF($A219="","",TRIM(IF(AND(N(K218)&gt;0,N(K219)&lt;=0.004),"✓ "&amp;'Calc base'!C$6&amp;"   ","")&amp;IF(AND(N(M218)&gt;0,N(M219)&lt;=0.004),"✓ "&amp;'Calc base'!D$6&amp;"   ","")&amp;IF(AND(N(O218)&gt;0,N(O219)&lt;=0.004),"✓ "&amp;'Calc base'!E$6&amp;"   ","")&amp;IF(AND(N(Q218)&gt;0,N(Q219)&lt;=0.004),"✓ "&amp;'Calc base'!F$6&amp;"   ","")&amp;IF(AND(N(S218)&gt;0,N(S219)&lt;=0.004),"✓ "&amp;'Calc base'!G$6&amp;"   ","")&amp;IF(AND(N(U218)&gt;0,N(U219)&lt;=0.004),"✓ "&amp;'Calc base'!H$6&amp;"   ","")&amp;IF(AND(N(W218)&gt;0,N(W219)&lt;=0.004),"✓ "&amp;'Calc base'!I$6&amp;"   ","")&amp;IF(AND(N(Y218)&gt;0,N(Y219)&lt;=0.004),"✓ "&amp;'Calc base'!J$6&amp;"   ","")&amp;IF(AND(N(AA218)&gt;0,N(AA219)&lt;=0.004),"✓ "&amp;'Calc base'!K$6&amp;"   ","")&amp;IF(AND(N(AC218)&gt;0,N(AC219)&lt;=0.004),"✓ "&amp;'Calc base'!L$6&amp;"   ","")&amp;IF(AND(N(AE218)&gt;0,N(AE219)&lt;=0.004),"✓ "&amp;'Calc base'!M$6&amp;"   ","")&amp;IF(AND(N(AG218)&gt;0,N(AG219)&lt;=0.004),"✓ "&amp;'Calc base'!N$6&amp;"   ","")))</f>
        <v/>
      </c>
      <c r="J219" s="70" t="str">
        <f>IF($A219="","",ROUND(N(K218)*(1+'Calc base'!H242),2)-K219)</f>
        <v/>
      </c>
      <c r="K219" s="75" t="str">
        <f>IF($A219="","",CHOOSE('Calc riepilogo'!$B$2,'Calc valanga'!AT242,'Calc palla di neve'!AT242,'Calc personalizzata'!AT242))</f>
        <v/>
      </c>
      <c r="L219" s="70" t="str">
        <f>IF($A219="","",ROUND(N(M218)*(1+'Calc base'!I242),2)-M219)</f>
        <v/>
      </c>
      <c r="M219" s="75" t="str">
        <f>IF($A219="","",CHOOSE('Calc riepilogo'!$B$2,'Calc valanga'!AU242,'Calc palla di neve'!AU242,'Calc personalizzata'!AU242))</f>
        <v/>
      </c>
      <c r="N219" s="70" t="str">
        <f>IF($A219="","",ROUND(N(O218)*(1+'Calc base'!J242),2)-O219)</f>
        <v/>
      </c>
      <c r="O219" s="75" t="str">
        <f>IF($A219="","",CHOOSE('Calc riepilogo'!$B$2,'Calc valanga'!AV242,'Calc palla di neve'!AV242,'Calc personalizzata'!AV242))</f>
        <v/>
      </c>
      <c r="P219" s="70" t="str">
        <f>IF($A219="","",ROUND(N(Q218)*(1+'Calc base'!K242),2)-Q219)</f>
        <v/>
      </c>
      <c r="Q219" s="75" t="str">
        <f>IF($A219="","",CHOOSE('Calc riepilogo'!$B$2,'Calc valanga'!AW242,'Calc palla di neve'!AW242,'Calc personalizzata'!AW242))</f>
        <v/>
      </c>
      <c r="R219" s="70" t="str">
        <f>IF($A219="","",ROUND(N(S218)*(1+'Calc base'!L242),2)-S219)</f>
        <v/>
      </c>
      <c r="S219" s="75" t="str">
        <f>IF($A219="","",CHOOSE('Calc riepilogo'!$B$2,'Calc valanga'!AX242,'Calc palla di neve'!AX242,'Calc personalizzata'!AX242))</f>
        <v/>
      </c>
      <c r="T219" s="70" t="str">
        <f>IF($A219="","",ROUND(N(U218)*(1+'Calc base'!M242),2)-U219)</f>
        <v/>
      </c>
      <c r="U219" s="75" t="str">
        <f>IF($A219="","",CHOOSE('Calc riepilogo'!$B$2,'Calc valanga'!AY242,'Calc palla di neve'!AY242,'Calc personalizzata'!AY242))</f>
        <v/>
      </c>
      <c r="V219" s="70" t="str">
        <f>IF($A219="","",ROUND(N(W218)*(1+'Calc base'!N242),2)-W219)</f>
        <v/>
      </c>
      <c r="W219" s="75" t="str">
        <f>IF($A219="","",CHOOSE('Calc riepilogo'!$B$2,'Calc valanga'!AZ242,'Calc palla di neve'!AZ242,'Calc personalizzata'!AZ242))</f>
        <v/>
      </c>
      <c r="X219" s="70" t="str">
        <f>IF($A219="","",ROUND(N(Y218)*(1+'Calc base'!O242),2)-Y219)</f>
        <v/>
      </c>
      <c r="Y219" s="75" t="str">
        <f>IF($A219="","",CHOOSE('Calc riepilogo'!$B$2,'Calc valanga'!BA242,'Calc palla di neve'!BA242,'Calc personalizzata'!BA242))</f>
        <v/>
      </c>
      <c r="Z219" s="70" t="str">
        <f>IF($A219="","",ROUND(N(AA218)*(1+'Calc base'!P242),2)-AA219)</f>
        <v/>
      </c>
      <c r="AA219" s="75" t="str">
        <f>IF($A219="","",CHOOSE('Calc riepilogo'!$B$2,'Calc valanga'!BB242,'Calc palla di neve'!BB242,'Calc personalizzata'!BB242))</f>
        <v/>
      </c>
      <c r="AB219" s="70" t="str">
        <f>IF($A219="","",ROUND(N(AC218)*(1+'Calc base'!Q242),2)-AC219)</f>
        <v/>
      </c>
      <c r="AC219" s="75" t="str">
        <f>IF($A219="","",CHOOSE('Calc riepilogo'!$B$2,'Calc valanga'!BC242,'Calc palla di neve'!BC242,'Calc personalizzata'!BC242))</f>
        <v/>
      </c>
      <c r="AD219" s="70" t="str">
        <f>IF($A219="","",ROUND(N(AE218)*(1+'Calc base'!R242),2)-AE219)</f>
        <v/>
      </c>
      <c r="AE219" s="75" t="str">
        <f>IF($A219="","",CHOOSE('Calc riepilogo'!$B$2,'Calc valanga'!BD242,'Calc palla di neve'!BD242,'Calc personalizzata'!BD242))</f>
        <v/>
      </c>
      <c r="AF219" s="70" t="str">
        <f>IF($A219="","",ROUND(N(AG218)*(1+'Calc base'!S242),2)-AG219)</f>
        <v/>
      </c>
      <c r="AG219" s="75" t="str">
        <f>IF($A219="","",CHOOSE('Calc riepilogo'!$B$2,'Calc valanga'!BE242,'Calc palla di neve'!BE242,'Calc personalizzata'!BE242))</f>
        <v/>
      </c>
      <c r="AI219" t="n">
        <v>212</v>
      </c>
    </row>
    <row r="220">
      <c r="A220" s="68" t="str">
        <f>IF(213&gt;'Calc riepilogo'!$B$7,"",'Calc base'!$B243)</f>
        <v/>
      </c>
      <c r="B220" s="69" t="str">
        <f>IF($A220="","",'Calc base'!$C243)</f>
        <v/>
      </c>
      <c r="C220" s="69" t="str">
        <f>IF($A220="","",'Calc base'!$E243)</f>
        <v/>
      </c>
      <c r="D220" s="70" t="str">
        <f>IF($A220="","",J220+L220+N220+P220+R220+T220+V220+X220+Z220+AB220+AD220+AF220)</f>
        <v/>
      </c>
      <c r="E220" s="70" t="str">
        <f>IF($A220="","",CHOOSE('Calc riepilogo'!$B$2,'Calc valanga'!$H243,'Calc palla di neve'!$H243,'Calc personalizzata'!$H243))</f>
        <v/>
      </c>
      <c r="F220" s="71" t="str">
        <f>IF($A220="","",CHOOSE('Calc riepilogo'!$B$2,'Calc valanga'!$G243,'Calc palla di neve'!$G243,'Calc personalizzata'!$G243))</f>
        <v/>
      </c>
      <c r="G220" s="72" t="n"/>
      <c r="H220" s="73" t="n"/>
      <c r="I220" s="74" t="str">
        <f>IF($A220="","",TRIM(IF(AND(N(K219)&gt;0,N(K220)&lt;=0.004),"✓ "&amp;'Calc base'!C$6&amp;"   ","")&amp;IF(AND(N(M219)&gt;0,N(M220)&lt;=0.004),"✓ "&amp;'Calc base'!D$6&amp;"   ","")&amp;IF(AND(N(O219)&gt;0,N(O220)&lt;=0.004),"✓ "&amp;'Calc base'!E$6&amp;"   ","")&amp;IF(AND(N(Q219)&gt;0,N(Q220)&lt;=0.004),"✓ "&amp;'Calc base'!F$6&amp;"   ","")&amp;IF(AND(N(S219)&gt;0,N(S220)&lt;=0.004),"✓ "&amp;'Calc base'!G$6&amp;"   ","")&amp;IF(AND(N(U219)&gt;0,N(U220)&lt;=0.004),"✓ "&amp;'Calc base'!H$6&amp;"   ","")&amp;IF(AND(N(W219)&gt;0,N(W220)&lt;=0.004),"✓ "&amp;'Calc base'!I$6&amp;"   ","")&amp;IF(AND(N(Y219)&gt;0,N(Y220)&lt;=0.004),"✓ "&amp;'Calc base'!J$6&amp;"   ","")&amp;IF(AND(N(AA219)&gt;0,N(AA220)&lt;=0.004),"✓ "&amp;'Calc base'!K$6&amp;"   ","")&amp;IF(AND(N(AC219)&gt;0,N(AC220)&lt;=0.004),"✓ "&amp;'Calc base'!L$6&amp;"   ","")&amp;IF(AND(N(AE219)&gt;0,N(AE220)&lt;=0.004),"✓ "&amp;'Calc base'!M$6&amp;"   ","")&amp;IF(AND(N(AG219)&gt;0,N(AG220)&lt;=0.004),"✓ "&amp;'Calc base'!N$6&amp;"   ","")))</f>
        <v/>
      </c>
      <c r="J220" s="70" t="str">
        <f>IF($A220="","",ROUND(N(K219)*(1+'Calc base'!H243),2)-K220)</f>
        <v/>
      </c>
      <c r="K220" s="75" t="str">
        <f>IF($A220="","",CHOOSE('Calc riepilogo'!$B$2,'Calc valanga'!AT243,'Calc palla di neve'!AT243,'Calc personalizzata'!AT243))</f>
        <v/>
      </c>
      <c r="L220" s="70" t="str">
        <f>IF($A220="","",ROUND(N(M219)*(1+'Calc base'!I243),2)-M220)</f>
        <v/>
      </c>
      <c r="M220" s="75" t="str">
        <f>IF($A220="","",CHOOSE('Calc riepilogo'!$B$2,'Calc valanga'!AU243,'Calc palla di neve'!AU243,'Calc personalizzata'!AU243))</f>
        <v/>
      </c>
      <c r="N220" s="70" t="str">
        <f>IF($A220="","",ROUND(N(O219)*(1+'Calc base'!J243),2)-O220)</f>
        <v/>
      </c>
      <c r="O220" s="75" t="str">
        <f>IF($A220="","",CHOOSE('Calc riepilogo'!$B$2,'Calc valanga'!AV243,'Calc palla di neve'!AV243,'Calc personalizzata'!AV243))</f>
        <v/>
      </c>
      <c r="P220" s="70" t="str">
        <f>IF($A220="","",ROUND(N(Q219)*(1+'Calc base'!K243),2)-Q220)</f>
        <v/>
      </c>
      <c r="Q220" s="75" t="str">
        <f>IF($A220="","",CHOOSE('Calc riepilogo'!$B$2,'Calc valanga'!AW243,'Calc palla di neve'!AW243,'Calc personalizzata'!AW243))</f>
        <v/>
      </c>
      <c r="R220" s="70" t="str">
        <f>IF($A220="","",ROUND(N(S219)*(1+'Calc base'!L243),2)-S220)</f>
        <v/>
      </c>
      <c r="S220" s="75" t="str">
        <f>IF($A220="","",CHOOSE('Calc riepilogo'!$B$2,'Calc valanga'!AX243,'Calc palla di neve'!AX243,'Calc personalizzata'!AX243))</f>
        <v/>
      </c>
      <c r="T220" s="70" t="str">
        <f>IF($A220="","",ROUND(N(U219)*(1+'Calc base'!M243),2)-U220)</f>
        <v/>
      </c>
      <c r="U220" s="75" t="str">
        <f>IF($A220="","",CHOOSE('Calc riepilogo'!$B$2,'Calc valanga'!AY243,'Calc palla di neve'!AY243,'Calc personalizzata'!AY243))</f>
        <v/>
      </c>
      <c r="V220" s="70" t="str">
        <f>IF($A220="","",ROUND(N(W219)*(1+'Calc base'!N243),2)-W220)</f>
        <v/>
      </c>
      <c r="W220" s="75" t="str">
        <f>IF($A220="","",CHOOSE('Calc riepilogo'!$B$2,'Calc valanga'!AZ243,'Calc palla di neve'!AZ243,'Calc personalizzata'!AZ243))</f>
        <v/>
      </c>
      <c r="X220" s="70" t="str">
        <f>IF($A220="","",ROUND(N(Y219)*(1+'Calc base'!O243),2)-Y220)</f>
        <v/>
      </c>
      <c r="Y220" s="75" t="str">
        <f>IF($A220="","",CHOOSE('Calc riepilogo'!$B$2,'Calc valanga'!BA243,'Calc palla di neve'!BA243,'Calc personalizzata'!BA243))</f>
        <v/>
      </c>
      <c r="Z220" s="70" t="str">
        <f>IF($A220="","",ROUND(N(AA219)*(1+'Calc base'!P243),2)-AA220)</f>
        <v/>
      </c>
      <c r="AA220" s="75" t="str">
        <f>IF($A220="","",CHOOSE('Calc riepilogo'!$B$2,'Calc valanga'!BB243,'Calc palla di neve'!BB243,'Calc personalizzata'!BB243))</f>
        <v/>
      </c>
      <c r="AB220" s="70" t="str">
        <f>IF($A220="","",ROUND(N(AC219)*(1+'Calc base'!Q243),2)-AC220)</f>
        <v/>
      </c>
      <c r="AC220" s="75" t="str">
        <f>IF($A220="","",CHOOSE('Calc riepilogo'!$B$2,'Calc valanga'!BC243,'Calc palla di neve'!BC243,'Calc personalizzata'!BC243))</f>
        <v/>
      </c>
      <c r="AD220" s="70" t="str">
        <f>IF($A220="","",ROUND(N(AE219)*(1+'Calc base'!R243),2)-AE220)</f>
        <v/>
      </c>
      <c r="AE220" s="75" t="str">
        <f>IF($A220="","",CHOOSE('Calc riepilogo'!$B$2,'Calc valanga'!BD243,'Calc palla di neve'!BD243,'Calc personalizzata'!BD243))</f>
        <v/>
      </c>
      <c r="AF220" s="70" t="str">
        <f>IF($A220="","",ROUND(N(AG219)*(1+'Calc base'!S243),2)-AG220)</f>
        <v/>
      </c>
      <c r="AG220" s="75" t="str">
        <f>IF($A220="","",CHOOSE('Calc riepilogo'!$B$2,'Calc valanga'!BE243,'Calc palla di neve'!BE243,'Calc personalizzata'!BE243))</f>
        <v/>
      </c>
      <c r="AI220" t="n">
        <v>213</v>
      </c>
    </row>
    <row r="221">
      <c r="A221" s="68" t="str">
        <f>IF(214&gt;'Calc riepilogo'!$B$7,"",'Calc base'!$B244)</f>
        <v/>
      </c>
      <c r="B221" s="69" t="str">
        <f>IF($A221="","",'Calc base'!$C244)</f>
        <v/>
      </c>
      <c r="C221" s="69" t="str">
        <f>IF($A221="","",'Calc base'!$E244)</f>
        <v/>
      </c>
      <c r="D221" s="70" t="str">
        <f>IF($A221="","",J221+L221+N221+P221+R221+T221+V221+X221+Z221+AB221+AD221+AF221)</f>
        <v/>
      </c>
      <c r="E221" s="70" t="str">
        <f>IF($A221="","",CHOOSE('Calc riepilogo'!$B$2,'Calc valanga'!$H244,'Calc palla di neve'!$H244,'Calc personalizzata'!$H244))</f>
        <v/>
      </c>
      <c r="F221" s="71" t="str">
        <f>IF($A221="","",CHOOSE('Calc riepilogo'!$B$2,'Calc valanga'!$G244,'Calc palla di neve'!$G244,'Calc personalizzata'!$G244))</f>
        <v/>
      </c>
      <c r="G221" s="72" t="n"/>
      <c r="H221" s="73" t="n"/>
      <c r="I221" s="74" t="str">
        <f>IF($A221="","",TRIM(IF(AND(N(K220)&gt;0,N(K221)&lt;=0.004),"✓ "&amp;'Calc base'!C$6&amp;"   ","")&amp;IF(AND(N(M220)&gt;0,N(M221)&lt;=0.004),"✓ "&amp;'Calc base'!D$6&amp;"   ","")&amp;IF(AND(N(O220)&gt;0,N(O221)&lt;=0.004),"✓ "&amp;'Calc base'!E$6&amp;"   ","")&amp;IF(AND(N(Q220)&gt;0,N(Q221)&lt;=0.004),"✓ "&amp;'Calc base'!F$6&amp;"   ","")&amp;IF(AND(N(S220)&gt;0,N(S221)&lt;=0.004),"✓ "&amp;'Calc base'!G$6&amp;"   ","")&amp;IF(AND(N(U220)&gt;0,N(U221)&lt;=0.004),"✓ "&amp;'Calc base'!H$6&amp;"   ","")&amp;IF(AND(N(W220)&gt;0,N(W221)&lt;=0.004),"✓ "&amp;'Calc base'!I$6&amp;"   ","")&amp;IF(AND(N(Y220)&gt;0,N(Y221)&lt;=0.004),"✓ "&amp;'Calc base'!J$6&amp;"   ","")&amp;IF(AND(N(AA220)&gt;0,N(AA221)&lt;=0.004),"✓ "&amp;'Calc base'!K$6&amp;"   ","")&amp;IF(AND(N(AC220)&gt;0,N(AC221)&lt;=0.004),"✓ "&amp;'Calc base'!L$6&amp;"   ","")&amp;IF(AND(N(AE220)&gt;0,N(AE221)&lt;=0.004),"✓ "&amp;'Calc base'!M$6&amp;"   ","")&amp;IF(AND(N(AG220)&gt;0,N(AG221)&lt;=0.004),"✓ "&amp;'Calc base'!N$6&amp;"   ","")))</f>
        <v/>
      </c>
      <c r="J221" s="70" t="str">
        <f>IF($A221="","",ROUND(N(K220)*(1+'Calc base'!H244),2)-K221)</f>
        <v/>
      </c>
      <c r="K221" s="75" t="str">
        <f>IF($A221="","",CHOOSE('Calc riepilogo'!$B$2,'Calc valanga'!AT244,'Calc palla di neve'!AT244,'Calc personalizzata'!AT244))</f>
        <v/>
      </c>
      <c r="L221" s="70" t="str">
        <f>IF($A221="","",ROUND(N(M220)*(1+'Calc base'!I244),2)-M221)</f>
        <v/>
      </c>
      <c r="M221" s="75" t="str">
        <f>IF($A221="","",CHOOSE('Calc riepilogo'!$B$2,'Calc valanga'!AU244,'Calc palla di neve'!AU244,'Calc personalizzata'!AU244))</f>
        <v/>
      </c>
      <c r="N221" s="70" t="str">
        <f>IF($A221="","",ROUND(N(O220)*(1+'Calc base'!J244),2)-O221)</f>
        <v/>
      </c>
      <c r="O221" s="75" t="str">
        <f>IF($A221="","",CHOOSE('Calc riepilogo'!$B$2,'Calc valanga'!AV244,'Calc palla di neve'!AV244,'Calc personalizzata'!AV244))</f>
        <v/>
      </c>
      <c r="P221" s="70" t="str">
        <f>IF($A221="","",ROUND(N(Q220)*(1+'Calc base'!K244),2)-Q221)</f>
        <v/>
      </c>
      <c r="Q221" s="75" t="str">
        <f>IF($A221="","",CHOOSE('Calc riepilogo'!$B$2,'Calc valanga'!AW244,'Calc palla di neve'!AW244,'Calc personalizzata'!AW244))</f>
        <v/>
      </c>
      <c r="R221" s="70" t="str">
        <f>IF($A221="","",ROUND(N(S220)*(1+'Calc base'!L244),2)-S221)</f>
        <v/>
      </c>
      <c r="S221" s="75" t="str">
        <f>IF($A221="","",CHOOSE('Calc riepilogo'!$B$2,'Calc valanga'!AX244,'Calc palla di neve'!AX244,'Calc personalizzata'!AX244))</f>
        <v/>
      </c>
      <c r="T221" s="70" t="str">
        <f>IF($A221="","",ROUND(N(U220)*(1+'Calc base'!M244),2)-U221)</f>
        <v/>
      </c>
      <c r="U221" s="75" t="str">
        <f>IF($A221="","",CHOOSE('Calc riepilogo'!$B$2,'Calc valanga'!AY244,'Calc palla di neve'!AY244,'Calc personalizzata'!AY244))</f>
        <v/>
      </c>
      <c r="V221" s="70" t="str">
        <f>IF($A221="","",ROUND(N(W220)*(1+'Calc base'!N244),2)-W221)</f>
        <v/>
      </c>
      <c r="W221" s="75" t="str">
        <f>IF($A221="","",CHOOSE('Calc riepilogo'!$B$2,'Calc valanga'!AZ244,'Calc palla di neve'!AZ244,'Calc personalizzata'!AZ244))</f>
        <v/>
      </c>
      <c r="X221" s="70" t="str">
        <f>IF($A221="","",ROUND(N(Y220)*(1+'Calc base'!O244),2)-Y221)</f>
        <v/>
      </c>
      <c r="Y221" s="75" t="str">
        <f>IF($A221="","",CHOOSE('Calc riepilogo'!$B$2,'Calc valanga'!BA244,'Calc palla di neve'!BA244,'Calc personalizzata'!BA244))</f>
        <v/>
      </c>
      <c r="Z221" s="70" t="str">
        <f>IF($A221="","",ROUND(N(AA220)*(1+'Calc base'!P244),2)-AA221)</f>
        <v/>
      </c>
      <c r="AA221" s="75" t="str">
        <f>IF($A221="","",CHOOSE('Calc riepilogo'!$B$2,'Calc valanga'!BB244,'Calc palla di neve'!BB244,'Calc personalizzata'!BB244))</f>
        <v/>
      </c>
      <c r="AB221" s="70" t="str">
        <f>IF($A221="","",ROUND(N(AC220)*(1+'Calc base'!Q244),2)-AC221)</f>
        <v/>
      </c>
      <c r="AC221" s="75" t="str">
        <f>IF($A221="","",CHOOSE('Calc riepilogo'!$B$2,'Calc valanga'!BC244,'Calc palla di neve'!BC244,'Calc personalizzata'!BC244))</f>
        <v/>
      </c>
      <c r="AD221" s="70" t="str">
        <f>IF($A221="","",ROUND(N(AE220)*(1+'Calc base'!R244),2)-AE221)</f>
        <v/>
      </c>
      <c r="AE221" s="75" t="str">
        <f>IF($A221="","",CHOOSE('Calc riepilogo'!$B$2,'Calc valanga'!BD244,'Calc palla di neve'!BD244,'Calc personalizzata'!BD244))</f>
        <v/>
      </c>
      <c r="AF221" s="70" t="str">
        <f>IF($A221="","",ROUND(N(AG220)*(1+'Calc base'!S244),2)-AG221)</f>
        <v/>
      </c>
      <c r="AG221" s="75" t="str">
        <f>IF($A221="","",CHOOSE('Calc riepilogo'!$B$2,'Calc valanga'!BE244,'Calc palla di neve'!BE244,'Calc personalizzata'!BE244))</f>
        <v/>
      </c>
      <c r="AI221" t="n">
        <v>214</v>
      </c>
    </row>
    <row r="222">
      <c r="A222" s="68" t="str">
        <f>IF(215&gt;'Calc riepilogo'!$B$7,"",'Calc base'!$B245)</f>
        <v/>
      </c>
      <c r="B222" s="69" t="str">
        <f>IF($A222="","",'Calc base'!$C245)</f>
        <v/>
      </c>
      <c r="C222" s="69" t="str">
        <f>IF($A222="","",'Calc base'!$E245)</f>
        <v/>
      </c>
      <c r="D222" s="70" t="str">
        <f>IF($A222="","",J222+L222+N222+P222+R222+T222+V222+X222+Z222+AB222+AD222+AF222)</f>
        <v/>
      </c>
      <c r="E222" s="70" t="str">
        <f>IF($A222="","",CHOOSE('Calc riepilogo'!$B$2,'Calc valanga'!$H245,'Calc palla di neve'!$H245,'Calc personalizzata'!$H245))</f>
        <v/>
      </c>
      <c r="F222" s="71" t="str">
        <f>IF($A222="","",CHOOSE('Calc riepilogo'!$B$2,'Calc valanga'!$G245,'Calc palla di neve'!$G245,'Calc personalizzata'!$G245))</f>
        <v/>
      </c>
      <c r="G222" s="72" t="n"/>
      <c r="H222" s="73" t="n"/>
      <c r="I222" s="74" t="str">
        <f>IF($A222="","",TRIM(IF(AND(N(K221)&gt;0,N(K222)&lt;=0.004),"✓ "&amp;'Calc base'!C$6&amp;"   ","")&amp;IF(AND(N(M221)&gt;0,N(M222)&lt;=0.004),"✓ "&amp;'Calc base'!D$6&amp;"   ","")&amp;IF(AND(N(O221)&gt;0,N(O222)&lt;=0.004),"✓ "&amp;'Calc base'!E$6&amp;"   ","")&amp;IF(AND(N(Q221)&gt;0,N(Q222)&lt;=0.004),"✓ "&amp;'Calc base'!F$6&amp;"   ","")&amp;IF(AND(N(S221)&gt;0,N(S222)&lt;=0.004),"✓ "&amp;'Calc base'!G$6&amp;"   ","")&amp;IF(AND(N(U221)&gt;0,N(U222)&lt;=0.004),"✓ "&amp;'Calc base'!H$6&amp;"   ","")&amp;IF(AND(N(W221)&gt;0,N(W222)&lt;=0.004),"✓ "&amp;'Calc base'!I$6&amp;"   ","")&amp;IF(AND(N(Y221)&gt;0,N(Y222)&lt;=0.004),"✓ "&amp;'Calc base'!J$6&amp;"   ","")&amp;IF(AND(N(AA221)&gt;0,N(AA222)&lt;=0.004),"✓ "&amp;'Calc base'!K$6&amp;"   ","")&amp;IF(AND(N(AC221)&gt;0,N(AC222)&lt;=0.004),"✓ "&amp;'Calc base'!L$6&amp;"   ","")&amp;IF(AND(N(AE221)&gt;0,N(AE222)&lt;=0.004),"✓ "&amp;'Calc base'!M$6&amp;"   ","")&amp;IF(AND(N(AG221)&gt;0,N(AG222)&lt;=0.004),"✓ "&amp;'Calc base'!N$6&amp;"   ","")))</f>
        <v/>
      </c>
      <c r="J222" s="70" t="str">
        <f>IF($A222="","",ROUND(N(K221)*(1+'Calc base'!H245),2)-K222)</f>
        <v/>
      </c>
      <c r="K222" s="75" t="str">
        <f>IF($A222="","",CHOOSE('Calc riepilogo'!$B$2,'Calc valanga'!AT245,'Calc palla di neve'!AT245,'Calc personalizzata'!AT245))</f>
        <v/>
      </c>
      <c r="L222" s="70" t="str">
        <f>IF($A222="","",ROUND(N(M221)*(1+'Calc base'!I245),2)-M222)</f>
        <v/>
      </c>
      <c r="M222" s="75" t="str">
        <f>IF($A222="","",CHOOSE('Calc riepilogo'!$B$2,'Calc valanga'!AU245,'Calc palla di neve'!AU245,'Calc personalizzata'!AU245))</f>
        <v/>
      </c>
      <c r="N222" s="70" t="str">
        <f>IF($A222="","",ROUND(N(O221)*(1+'Calc base'!J245),2)-O222)</f>
        <v/>
      </c>
      <c r="O222" s="75" t="str">
        <f>IF($A222="","",CHOOSE('Calc riepilogo'!$B$2,'Calc valanga'!AV245,'Calc palla di neve'!AV245,'Calc personalizzata'!AV245))</f>
        <v/>
      </c>
      <c r="P222" s="70" t="str">
        <f>IF($A222="","",ROUND(N(Q221)*(1+'Calc base'!K245),2)-Q222)</f>
        <v/>
      </c>
      <c r="Q222" s="75" t="str">
        <f>IF($A222="","",CHOOSE('Calc riepilogo'!$B$2,'Calc valanga'!AW245,'Calc palla di neve'!AW245,'Calc personalizzata'!AW245))</f>
        <v/>
      </c>
      <c r="R222" s="70" t="str">
        <f>IF($A222="","",ROUND(N(S221)*(1+'Calc base'!L245),2)-S222)</f>
        <v/>
      </c>
      <c r="S222" s="75" t="str">
        <f>IF($A222="","",CHOOSE('Calc riepilogo'!$B$2,'Calc valanga'!AX245,'Calc palla di neve'!AX245,'Calc personalizzata'!AX245))</f>
        <v/>
      </c>
      <c r="T222" s="70" t="str">
        <f>IF($A222="","",ROUND(N(U221)*(1+'Calc base'!M245),2)-U222)</f>
        <v/>
      </c>
      <c r="U222" s="75" t="str">
        <f>IF($A222="","",CHOOSE('Calc riepilogo'!$B$2,'Calc valanga'!AY245,'Calc palla di neve'!AY245,'Calc personalizzata'!AY245))</f>
        <v/>
      </c>
      <c r="V222" s="70" t="str">
        <f>IF($A222="","",ROUND(N(W221)*(1+'Calc base'!N245),2)-W222)</f>
        <v/>
      </c>
      <c r="W222" s="75" t="str">
        <f>IF($A222="","",CHOOSE('Calc riepilogo'!$B$2,'Calc valanga'!AZ245,'Calc palla di neve'!AZ245,'Calc personalizzata'!AZ245))</f>
        <v/>
      </c>
      <c r="X222" s="70" t="str">
        <f>IF($A222="","",ROUND(N(Y221)*(1+'Calc base'!O245),2)-Y222)</f>
        <v/>
      </c>
      <c r="Y222" s="75" t="str">
        <f>IF($A222="","",CHOOSE('Calc riepilogo'!$B$2,'Calc valanga'!BA245,'Calc palla di neve'!BA245,'Calc personalizzata'!BA245))</f>
        <v/>
      </c>
      <c r="Z222" s="70" t="str">
        <f>IF($A222="","",ROUND(N(AA221)*(1+'Calc base'!P245),2)-AA222)</f>
        <v/>
      </c>
      <c r="AA222" s="75" t="str">
        <f>IF($A222="","",CHOOSE('Calc riepilogo'!$B$2,'Calc valanga'!BB245,'Calc palla di neve'!BB245,'Calc personalizzata'!BB245))</f>
        <v/>
      </c>
      <c r="AB222" s="70" t="str">
        <f>IF($A222="","",ROUND(N(AC221)*(1+'Calc base'!Q245),2)-AC222)</f>
        <v/>
      </c>
      <c r="AC222" s="75" t="str">
        <f>IF($A222="","",CHOOSE('Calc riepilogo'!$B$2,'Calc valanga'!BC245,'Calc palla di neve'!BC245,'Calc personalizzata'!BC245))</f>
        <v/>
      </c>
      <c r="AD222" s="70" t="str">
        <f>IF($A222="","",ROUND(N(AE221)*(1+'Calc base'!R245),2)-AE222)</f>
        <v/>
      </c>
      <c r="AE222" s="75" t="str">
        <f>IF($A222="","",CHOOSE('Calc riepilogo'!$B$2,'Calc valanga'!BD245,'Calc palla di neve'!BD245,'Calc personalizzata'!BD245))</f>
        <v/>
      </c>
      <c r="AF222" s="70" t="str">
        <f>IF($A222="","",ROUND(N(AG221)*(1+'Calc base'!S245),2)-AG222)</f>
        <v/>
      </c>
      <c r="AG222" s="75" t="str">
        <f>IF($A222="","",CHOOSE('Calc riepilogo'!$B$2,'Calc valanga'!BE245,'Calc palla di neve'!BE245,'Calc personalizzata'!BE245))</f>
        <v/>
      </c>
      <c r="AI222" t="n">
        <v>215</v>
      </c>
    </row>
    <row r="223">
      <c r="A223" s="68" t="str">
        <f>IF(216&gt;'Calc riepilogo'!$B$7,"",'Calc base'!$B246)</f>
        <v/>
      </c>
      <c r="B223" s="69" t="str">
        <f>IF($A223="","",'Calc base'!$C246)</f>
        <v/>
      </c>
      <c r="C223" s="69" t="str">
        <f>IF($A223="","",'Calc base'!$E246)</f>
        <v/>
      </c>
      <c r="D223" s="70" t="str">
        <f>IF($A223="","",J223+L223+N223+P223+R223+T223+V223+X223+Z223+AB223+AD223+AF223)</f>
        <v/>
      </c>
      <c r="E223" s="70" t="str">
        <f>IF($A223="","",CHOOSE('Calc riepilogo'!$B$2,'Calc valanga'!$H246,'Calc palla di neve'!$H246,'Calc personalizzata'!$H246))</f>
        <v/>
      </c>
      <c r="F223" s="71" t="str">
        <f>IF($A223="","",CHOOSE('Calc riepilogo'!$B$2,'Calc valanga'!$G246,'Calc palla di neve'!$G246,'Calc personalizzata'!$G246))</f>
        <v/>
      </c>
      <c r="G223" s="72" t="n"/>
      <c r="H223" s="73" t="n"/>
      <c r="I223" s="74" t="str">
        <f>IF($A223="","",TRIM(IF(AND(N(K222)&gt;0,N(K223)&lt;=0.004),"✓ "&amp;'Calc base'!C$6&amp;"   ","")&amp;IF(AND(N(M222)&gt;0,N(M223)&lt;=0.004),"✓ "&amp;'Calc base'!D$6&amp;"   ","")&amp;IF(AND(N(O222)&gt;0,N(O223)&lt;=0.004),"✓ "&amp;'Calc base'!E$6&amp;"   ","")&amp;IF(AND(N(Q222)&gt;0,N(Q223)&lt;=0.004),"✓ "&amp;'Calc base'!F$6&amp;"   ","")&amp;IF(AND(N(S222)&gt;0,N(S223)&lt;=0.004),"✓ "&amp;'Calc base'!G$6&amp;"   ","")&amp;IF(AND(N(U222)&gt;0,N(U223)&lt;=0.004),"✓ "&amp;'Calc base'!H$6&amp;"   ","")&amp;IF(AND(N(W222)&gt;0,N(W223)&lt;=0.004),"✓ "&amp;'Calc base'!I$6&amp;"   ","")&amp;IF(AND(N(Y222)&gt;0,N(Y223)&lt;=0.004),"✓ "&amp;'Calc base'!J$6&amp;"   ","")&amp;IF(AND(N(AA222)&gt;0,N(AA223)&lt;=0.004),"✓ "&amp;'Calc base'!K$6&amp;"   ","")&amp;IF(AND(N(AC222)&gt;0,N(AC223)&lt;=0.004),"✓ "&amp;'Calc base'!L$6&amp;"   ","")&amp;IF(AND(N(AE222)&gt;0,N(AE223)&lt;=0.004),"✓ "&amp;'Calc base'!M$6&amp;"   ","")&amp;IF(AND(N(AG222)&gt;0,N(AG223)&lt;=0.004),"✓ "&amp;'Calc base'!N$6&amp;"   ","")))</f>
        <v/>
      </c>
      <c r="J223" s="70" t="str">
        <f>IF($A223="","",ROUND(N(K222)*(1+'Calc base'!H246),2)-K223)</f>
        <v/>
      </c>
      <c r="K223" s="75" t="str">
        <f>IF($A223="","",CHOOSE('Calc riepilogo'!$B$2,'Calc valanga'!AT246,'Calc palla di neve'!AT246,'Calc personalizzata'!AT246))</f>
        <v/>
      </c>
      <c r="L223" s="70" t="str">
        <f>IF($A223="","",ROUND(N(M222)*(1+'Calc base'!I246),2)-M223)</f>
        <v/>
      </c>
      <c r="M223" s="75" t="str">
        <f>IF($A223="","",CHOOSE('Calc riepilogo'!$B$2,'Calc valanga'!AU246,'Calc palla di neve'!AU246,'Calc personalizzata'!AU246))</f>
        <v/>
      </c>
      <c r="N223" s="70" t="str">
        <f>IF($A223="","",ROUND(N(O222)*(1+'Calc base'!J246),2)-O223)</f>
        <v/>
      </c>
      <c r="O223" s="75" t="str">
        <f>IF($A223="","",CHOOSE('Calc riepilogo'!$B$2,'Calc valanga'!AV246,'Calc palla di neve'!AV246,'Calc personalizzata'!AV246))</f>
        <v/>
      </c>
      <c r="P223" s="70" t="str">
        <f>IF($A223="","",ROUND(N(Q222)*(1+'Calc base'!K246),2)-Q223)</f>
        <v/>
      </c>
      <c r="Q223" s="75" t="str">
        <f>IF($A223="","",CHOOSE('Calc riepilogo'!$B$2,'Calc valanga'!AW246,'Calc palla di neve'!AW246,'Calc personalizzata'!AW246))</f>
        <v/>
      </c>
      <c r="R223" s="70" t="str">
        <f>IF($A223="","",ROUND(N(S222)*(1+'Calc base'!L246),2)-S223)</f>
        <v/>
      </c>
      <c r="S223" s="75" t="str">
        <f>IF($A223="","",CHOOSE('Calc riepilogo'!$B$2,'Calc valanga'!AX246,'Calc palla di neve'!AX246,'Calc personalizzata'!AX246))</f>
        <v/>
      </c>
      <c r="T223" s="70" t="str">
        <f>IF($A223="","",ROUND(N(U222)*(1+'Calc base'!M246),2)-U223)</f>
        <v/>
      </c>
      <c r="U223" s="75" t="str">
        <f>IF($A223="","",CHOOSE('Calc riepilogo'!$B$2,'Calc valanga'!AY246,'Calc palla di neve'!AY246,'Calc personalizzata'!AY246))</f>
        <v/>
      </c>
      <c r="V223" s="70" t="str">
        <f>IF($A223="","",ROUND(N(W222)*(1+'Calc base'!N246),2)-W223)</f>
        <v/>
      </c>
      <c r="W223" s="75" t="str">
        <f>IF($A223="","",CHOOSE('Calc riepilogo'!$B$2,'Calc valanga'!AZ246,'Calc palla di neve'!AZ246,'Calc personalizzata'!AZ246))</f>
        <v/>
      </c>
      <c r="X223" s="70" t="str">
        <f>IF($A223="","",ROUND(N(Y222)*(1+'Calc base'!O246),2)-Y223)</f>
        <v/>
      </c>
      <c r="Y223" s="75" t="str">
        <f>IF($A223="","",CHOOSE('Calc riepilogo'!$B$2,'Calc valanga'!BA246,'Calc palla di neve'!BA246,'Calc personalizzata'!BA246))</f>
        <v/>
      </c>
      <c r="Z223" s="70" t="str">
        <f>IF($A223="","",ROUND(N(AA222)*(1+'Calc base'!P246),2)-AA223)</f>
        <v/>
      </c>
      <c r="AA223" s="75" t="str">
        <f>IF($A223="","",CHOOSE('Calc riepilogo'!$B$2,'Calc valanga'!BB246,'Calc palla di neve'!BB246,'Calc personalizzata'!BB246))</f>
        <v/>
      </c>
      <c r="AB223" s="70" t="str">
        <f>IF($A223="","",ROUND(N(AC222)*(1+'Calc base'!Q246),2)-AC223)</f>
        <v/>
      </c>
      <c r="AC223" s="75" t="str">
        <f>IF($A223="","",CHOOSE('Calc riepilogo'!$B$2,'Calc valanga'!BC246,'Calc palla di neve'!BC246,'Calc personalizzata'!BC246))</f>
        <v/>
      </c>
      <c r="AD223" s="70" t="str">
        <f>IF($A223="","",ROUND(N(AE222)*(1+'Calc base'!R246),2)-AE223)</f>
        <v/>
      </c>
      <c r="AE223" s="75" t="str">
        <f>IF($A223="","",CHOOSE('Calc riepilogo'!$B$2,'Calc valanga'!BD246,'Calc palla di neve'!BD246,'Calc personalizzata'!BD246))</f>
        <v/>
      </c>
      <c r="AF223" s="70" t="str">
        <f>IF($A223="","",ROUND(N(AG222)*(1+'Calc base'!S246),2)-AG223)</f>
        <v/>
      </c>
      <c r="AG223" s="75" t="str">
        <f>IF($A223="","",CHOOSE('Calc riepilogo'!$B$2,'Calc valanga'!BE246,'Calc palla di neve'!BE246,'Calc personalizzata'!BE246))</f>
        <v/>
      </c>
      <c r="AI223" t="n">
        <v>216</v>
      </c>
    </row>
    <row r="224">
      <c r="A224" s="68" t="str">
        <f>IF(217&gt;'Calc riepilogo'!$B$7,"",'Calc base'!$B247)</f>
        <v/>
      </c>
      <c r="B224" s="69" t="str">
        <f>IF($A224="","",'Calc base'!$C247)</f>
        <v/>
      </c>
      <c r="C224" s="69" t="str">
        <f>IF($A224="","",'Calc base'!$E247)</f>
        <v/>
      </c>
      <c r="D224" s="70" t="str">
        <f>IF($A224="","",J224+L224+N224+P224+R224+T224+V224+X224+Z224+AB224+AD224+AF224)</f>
        <v/>
      </c>
      <c r="E224" s="70" t="str">
        <f>IF($A224="","",CHOOSE('Calc riepilogo'!$B$2,'Calc valanga'!$H247,'Calc palla di neve'!$H247,'Calc personalizzata'!$H247))</f>
        <v/>
      </c>
      <c r="F224" s="71" t="str">
        <f>IF($A224="","",CHOOSE('Calc riepilogo'!$B$2,'Calc valanga'!$G247,'Calc palla di neve'!$G247,'Calc personalizzata'!$G247))</f>
        <v/>
      </c>
      <c r="G224" s="72" t="n"/>
      <c r="H224" s="73" t="n"/>
      <c r="I224" s="74" t="str">
        <f>IF($A224="","",TRIM(IF(AND(N(K223)&gt;0,N(K224)&lt;=0.004),"✓ "&amp;'Calc base'!C$6&amp;"   ","")&amp;IF(AND(N(M223)&gt;0,N(M224)&lt;=0.004),"✓ "&amp;'Calc base'!D$6&amp;"   ","")&amp;IF(AND(N(O223)&gt;0,N(O224)&lt;=0.004),"✓ "&amp;'Calc base'!E$6&amp;"   ","")&amp;IF(AND(N(Q223)&gt;0,N(Q224)&lt;=0.004),"✓ "&amp;'Calc base'!F$6&amp;"   ","")&amp;IF(AND(N(S223)&gt;0,N(S224)&lt;=0.004),"✓ "&amp;'Calc base'!G$6&amp;"   ","")&amp;IF(AND(N(U223)&gt;0,N(U224)&lt;=0.004),"✓ "&amp;'Calc base'!H$6&amp;"   ","")&amp;IF(AND(N(W223)&gt;0,N(W224)&lt;=0.004),"✓ "&amp;'Calc base'!I$6&amp;"   ","")&amp;IF(AND(N(Y223)&gt;0,N(Y224)&lt;=0.004),"✓ "&amp;'Calc base'!J$6&amp;"   ","")&amp;IF(AND(N(AA223)&gt;0,N(AA224)&lt;=0.004),"✓ "&amp;'Calc base'!K$6&amp;"   ","")&amp;IF(AND(N(AC223)&gt;0,N(AC224)&lt;=0.004),"✓ "&amp;'Calc base'!L$6&amp;"   ","")&amp;IF(AND(N(AE223)&gt;0,N(AE224)&lt;=0.004),"✓ "&amp;'Calc base'!M$6&amp;"   ","")&amp;IF(AND(N(AG223)&gt;0,N(AG224)&lt;=0.004),"✓ "&amp;'Calc base'!N$6&amp;"   ","")))</f>
        <v/>
      </c>
      <c r="J224" s="70" t="str">
        <f>IF($A224="","",ROUND(N(K223)*(1+'Calc base'!H247),2)-K224)</f>
        <v/>
      </c>
      <c r="K224" s="75" t="str">
        <f>IF($A224="","",CHOOSE('Calc riepilogo'!$B$2,'Calc valanga'!AT247,'Calc palla di neve'!AT247,'Calc personalizzata'!AT247))</f>
        <v/>
      </c>
      <c r="L224" s="70" t="str">
        <f>IF($A224="","",ROUND(N(M223)*(1+'Calc base'!I247),2)-M224)</f>
        <v/>
      </c>
      <c r="M224" s="75" t="str">
        <f>IF($A224="","",CHOOSE('Calc riepilogo'!$B$2,'Calc valanga'!AU247,'Calc palla di neve'!AU247,'Calc personalizzata'!AU247))</f>
        <v/>
      </c>
      <c r="N224" s="70" t="str">
        <f>IF($A224="","",ROUND(N(O223)*(1+'Calc base'!J247),2)-O224)</f>
        <v/>
      </c>
      <c r="O224" s="75" t="str">
        <f>IF($A224="","",CHOOSE('Calc riepilogo'!$B$2,'Calc valanga'!AV247,'Calc palla di neve'!AV247,'Calc personalizzata'!AV247))</f>
        <v/>
      </c>
      <c r="P224" s="70" t="str">
        <f>IF($A224="","",ROUND(N(Q223)*(1+'Calc base'!K247),2)-Q224)</f>
        <v/>
      </c>
      <c r="Q224" s="75" t="str">
        <f>IF($A224="","",CHOOSE('Calc riepilogo'!$B$2,'Calc valanga'!AW247,'Calc palla di neve'!AW247,'Calc personalizzata'!AW247))</f>
        <v/>
      </c>
      <c r="R224" s="70" t="str">
        <f>IF($A224="","",ROUND(N(S223)*(1+'Calc base'!L247),2)-S224)</f>
        <v/>
      </c>
      <c r="S224" s="75" t="str">
        <f>IF($A224="","",CHOOSE('Calc riepilogo'!$B$2,'Calc valanga'!AX247,'Calc palla di neve'!AX247,'Calc personalizzata'!AX247))</f>
        <v/>
      </c>
      <c r="T224" s="70" t="str">
        <f>IF($A224="","",ROUND(N(U223)*(1+'Calc base'!M247),2)-U224)</f>
        <v/>
      </c>
      <c r="U224" s="75" t="str">
        <f>IF($A224="","",CHOOSE('Calc riepilogo'!$B$2,'Calc valanga'!AY247,'Calc palla di neve'!AY247,'Calc personalizzata'!AY247))</f>
        <v/>
      </c>
      <c r="V224" s="70" t="str">
        <f>IF($A224="","",ROUND(N(W223)*(1+'Calc base'!N247),2)-W224)</f>
        <v/>
      </c>
      <c r="W224" s="75" t="str">
        <f>IF($A224="","",CHOOSE('Calc riepilogo'!$B$2,'Calc valanga'!AZ247,'Calc palla di neve'!AZ247,'Calc personalizzata'!AZ247))</f>
        <v/>
      </c>
      <c r="X224" s="70" t="str">
        <f>IF($A224="","",ROUND(N(Y223)*(1+'Calc base'!O247),2)-Y224)</f>
        <v/>
      </c>
      <c r="Y224" s="75" t="str">
        <f>IF($A224="","",CHOOSE('Calc riepilogo'!$B$2,'Calc valanga'!BA247,'Calc palla di neve'!BA247,'Calc personalizzata'!BA247))</f>
        <v/>
      </c>
      <c r="Z224" s="70" t="str">
        <f>IF($A224="","",ROUND(N(AA223)*(1+'Calc base'!P247),2)-AA224)</f>
        <v/>
      </c>
      <c r="AA224" s="75" t="str">
        <f>IF($A224="","",CHOOSE('Calc riepilogo'!$B$2,'Calc valanga'!BB247,'Calc palla di neve'!BB247,'Calc personalizzata'!BB247))</f>
        <v/>
      </c>
      <c r="AB224" s="70" t="str">
        <f>IF($A224="","",ROUND(N(AC223)*(1+'Calc base'!Q247),2)-AC224)</f>
        <v/>
      </c>
      <c r="AC224" s="75" t="str">
        <f>IF($A224="","",CHOOSE('Calc riepilogo'!$B$2,'Calc valanga'!BC247,'Calc palla di neve'!BC247,'Calc personalizzata'!BC247))</f>
        <v/>
      </c>
      <c r="AD224" s="70" t="str">
        <f>IF($A224="","",ROUND(N(AE223)*(1+'Calc base'!R247),2)-AE224)</f>
        <v/>
      </c>
      <c r="AE224" s="75" t="str">
        <f>IF($A224="","",CHOOSE('Calc riepilogo'!$B$2,'Calc valanga'!BD247,'Calc palla di neve'!BD247,'Calc personalizzata'!BD247))</f>
        <v/>
      </c>
      <c r="AF224" s="70" t="str">
        <f>IF($A224="","",ROUND(N(AG223)*(1+'Calc base'!S247),2)-AG224)</f>
        <v/>
      </c>
      <c r="AG224" s="75" t="str">
        <f>IF($A224="","",CHOOSE('Calc riepilogo'!$B$2,'Calc valanga'!BE247,'Calc palla di neve'!BE247,'Calc personalizzata'!BE247))</f>
        <v/>
      </c>
      <c r="AI224" t="n">
        <v>217</v>
      </c>
    </row>
    <row r="225">
      <c r="A225" s="68" t="str">
        <f>IF(218&gt;'Calc riepilogo'!$B$7,"",'Calc base'!$B248)</f>
        <v/>
      </c>
      <c r="B225" s="69" t="str">
        <f>IF($A225="","",'Calc base'!$C248)</f>
        <v/>
      </c>
      <c r="C225" s="69" t="str">
        <f>IF($A225="","",'Calc base'!$E248)</f>
        <v/>
      </c>
      <c r="D225" s="70" t="str">
        <f>IF($A225="","",J225+L225+N225+P225+R225+T225+V225+X225+Z225+AB225+AD225+AF225)</f>
        <v/>
      </c>
      <c r="E225" s="70" t="str">
        <f>IF($A225="","",CHOOSE('Calc riepilogo'!$B$2,'Calc valanga'!$H248,'Calc palla di neve'!$H248,'Calc personalizzata'!$H248))</f>
        <v/>
      </c>
      <c r="F225" s="71" t="str">
        <f>IF($A225="","",CHOOSE('Calc riepilogo'!$B$2,'Calc valanga'!$G248,'Calc palla di neve'!$G248,'Calc personalizzata'!$G248))</f>
        <v/>
      </c>
      <c r="G225" s="72" t="n"/>
      <c r="H225" s="73" t="n"/>
      <c r="I225" s="74" t="str">
        <f>IF($A225="","",TRIM(IF(AND(N(K224)&gt;0,N(K225)&lt;=0.004),"✓ "&amp;'Calc base'!C$6&amp;"   ","")&amp;IF(AND(N(M224)&gt;0,N(M225)&lt;=0.004),"✓ "&amp;'Calc base'!D$6&amp;"   ","")&amp;IF(AND(N(O224)&gt;0,N(O225)&lt;=0.004),"✓ "&amp;'Calc base'!E$6&amp;"   ","")&amp;IF(AND(N(Q224)&gt;0,N(Q225)&lt;=0.004),"✓ "&amp;'Calc base'!F$6&amp;"   ","")&amp;IF(AND(N(S224)&gt;0,N(S225)&lt;=0.004),"✓ "&amp;'Calc base'!G$6&amp;"   ","")&amp;IF(AND(N(U224)&gt;0,N(U225)&lt;=0.004),"✓ "&amp;'Calc base'!H$6&amp;"   ","")&amp;IF(AND(N(W224)&gt;0,N(W225)&lt;=0.004),"✓ "&amp;'Calc base'!I$6&amp;"   ","")&amp;IF(AND(N(Y224)&gt;0,N(Y225)&lt;=0.004),"✓ "&amp;'Calc base'!J$6&amp;"   ","")&amp;IF(AND(N(AA224)&gt;0,N(AA225)&lt;=0.004),"✓ "&amp;'Calc base'!K$6&amp;"   ","")&amp;IF(AND(N(AC224)&gt;0,N(AC225)&lt;=0.004),"✓ "&amp;'Calc base'!L$6&amp;"   ","")&amp;IF(AND(N(AE224)&gt;0,N(AE225)&lt;=0.004),"✓ "&amp;'Calc base'!M$6&amp;"   ","")&amp;IF(AND(N(AG224)&gt;0,N(AG225)&lt;=0.004),"✓ "&amp;'Calc base'!N$6&amp;"   ","")))</f>
        <v/>
      </c>
      <c r="J225" s="70" t="str">
        <f>IF($A225="","",ROUND(N(K224)*(1+'Calc base'!H248),2)-K225)</f>
        <v/>
      </c>
      <c r="K225" s="75" t="str">
        <f>IF($A225="","",CHOOSE('Calc riepilogo'!$B$2,'Calc valanga'!AT248,'Calc palla di neve'!AT248,'Calc personalizzata'!AT248))</f>
        <v/>
      </c>
      <c r="L225" s="70" t="str">
        <f>IF($A225="","",ROUND(N(M224)*(1+'Calc base'!I248),2)-M225)</f>
        <v/>
      </c>
      <c r="M225" s="75" t="str">
        <f>IF($A225="","",CHOOSE('Calc riepilogo'!$B$2,'Calc valanga'!AU248,'Calc palla di neve'!AU248,'Calc personalizzata'!AU248))</f>
        <v/>
      </c>
      <c r="N225" s="70" t="str">
        <f>IF($A225="","",ROUND(N(O224)*(1+'Calc base'!J248),2)-O225)</f>
        <v/>
      </c>
      <c r="O225" s="75" t="str">
        <f>IF($A225="","",CHOOSE('Calc riepilogo'!$B$2,'Calc valanga'!AV248,'Calc palla di neve'!AV248,'Calc personalizzata'!AV248))</f>
        <v/>
      </c>
      <c r="P225" s="70" t="str">
        <f>IF($A225="","",ROUND(N(Q224)*(1+'Calc base'!K248),2)-Q225)</f>
        <v/>
      </c>
      <c r="Q225" s="75" t="str">
        <f>IF($A225="","",CHOOSE('Calc riepilogo'!$B$2,'Calc valanga'!AW248,'Calc palla di neve'!AW248,'Calc personalizzata'!AW248))</f>
        <v/>
      </c>
      <c r="R225" s="70" t="str">
        <f>IF($A225="","",ROUND(N(S224)*(1+'Calc base'!L248),2)-S225)</f>
        <v/>
      </c>
      <c r="S225" s="75" t="str">
        <f>IF($A225="","",CHOOSE('Calc riepilogo'!$B$2,'Calc valanga'!AX248,'Calc palla di neve'!AX248,'Calc personalizzata'!AX248))</f>
        <v/>
      </c>
      <c r="T225" s="70" t="str">
        <f>IF($A225="","",ROUND(N(U224)*(1+'Calc base'!M248),2)-U225)</f>
        <v/>
      </c>
      <c r="U225" s="75" t="str">
        <f>IF($A225="","",CHOOSE('Calc riepilogo'!$B$2,'Calc valanga'!AY248,'Calc palla di neve'!AY248,'Calc personalizzata'!AY248))</f>
        <v/>
      </c>
      <c r="V225" s="70" t="str">
        <f>IF($A225="","",ROUND(N(W224)*(1+'Calc base'!N248),2)-W225)</f>
        <v/>
      </c>
      <c r="W225" s="75" t="str">
        <f>IF($A225="","",CHOOSE('Calc riepilogo'!$B$2,'Calc valanga'!AZ248,'Calc palla di neve'!AZ248,'Calc personalizzata'!AZ248))</f>
        <v/>
      </c>
      <c r="X225" s="70" t="str">
        <f>IF($A225="","",ROUND(N(Y224)*(1+'Calc base'!O248),2)-Y225)</f>
        <v/>
      </c>
      <c r="Y225" s="75" t="str">
        <f>IF($A225="","",CHOOSE('Calc riepilogo'!$B$2,'Calc valanga'!BA248,'Calc palla di neve'!BA248,'Calc personalizzata'!BA248))</f>
        <v/>
      </c>
      <c r="Z225" s="70" t="str">
        <f>IF($A225="","",ROUND(N(AA224)*(1+'Calc base'!P248),2)-AA225)</f>
        <v/>
      </c>
      <c r="AA225" s="75" t="str">
        <f>IF($A225="","",CHOOSE('Calc riepilogo'!$B$2,'Calc valanga'!BB248,'Calc palla di neve'!BB248,'Calc personalizzata'!BB248))</f>
        <v/>
      </c>
      <c r="AB225" s="70" t="str">
        <f>IF($A225="","",ROUND(N(AC224)*(1+'Calc base'!Q248),2)-AC225)</f>
        <v/>
      </c>
      <c r="AC225" s="75" t="str">
        <f>IF($A225="","",CHOOSE('Calc riepilogo'!$B$2,'Calc valanga'!BC248,'Calc palla di neve'!BC248,'Calc personalizzata'!BC248))</f>
        <v/>
      </c>
      <c r="AD225" s="70" t="str">
        <f>IF($A225="","",ROUND(N(AE224)*(1+'Calc base'!R248),2)-AE225)</f>
        <v/>
      </c>
      <c r="AE225" s="75" t="str">
        <f>IF($A225="","",CHOOSE('Calc riepilogo'!$B$2,'Calc valanga'!BD248,'Calc palla di neve'!BD248,'Calc personalizzata'!BD248))</f>
        <v/>
      </c>
      <c r="AF225" s="70" t="str">
        <f>IF($A225="","",ROUND(N(AG224)*(1+'Calc base'!S248),2)-AG225)</f>
        <v/>
      </c>
      <c r="AG225" s="75" t="str">
        <f>IF($A225="","",CHOOSE('Calc riepilogo'!$B$2,'Calc valanga'!BE248,'Calc palla di neve'!BE248,'Calc personalizzata'!BE248))</f>
        <v/>
      </c>
      <c r="AI225" t="n">
        <v>218</v>
      </c>
    </row>
    <row r="226">
      <c r="A226" s="68" t="str">
        <f>IF(219&gt;'Calc riepilogo'!$B$7,"",'Calc base'!$B249)</f>
        <v/>
      </c>
      <c r="B226" s="69" t="str">
        <f>IF($A226="","",'Calc base'!$C249)</f>
        <v/>
      </c>
      <c r="C226" s="69" t="str">
        <f>IF($A226="","",'Calc base'!$E249)</f>
        <v/>
      </c>
      <c r="D226" s="70" t="str">
        <f>IF($A226="","",J226+L226+N226+P226+R226+T226+V226+X226+Z226+AB226+AD226+AF226)</f>
        <v/>
      </c>
      <c r="E226" s="70" t="str">
        <f>IF($A226="","",CHOOSE('Calc riepilogo'!$B$2,'Calc valanga'!$H249,'Calc palla di neve'!$H249,'Calc personalizzata'!$H249))</f>
        <v/>
      </c>
      <c r="F226" s="71" t="str">
        <f>IF($A226="","",CHOOSE('Calc riepilogo'!$B$2,'Calc valanga'!$G249,'Calc palla di neve'!$G249,'Calc personalizzata'!$G249))</f>
        <v/>
      </c>
      <c r="G226" s="72" t="n"/>
      <c r="H226" s="73" t="n"/>
      <c r="I226" s="74" t="str">
        <f>IF($A226="","",TRIM(IF(AND(N(K225)&gt;0,N(K226)&lt;=0.004),"✓ "&amp;'Calc base'!C$6&amp;"   ","")&amp;IF(AND(N(M225)&gt;0,N(M226)&lt;=0.004),"✓ "&amp;'Calc base'!D$6&amp;"   ","")&amp;IF(AND(N(O225)&gt;0,N(O226)&lt;=0.004),"✓ "&amp;'Calc base'!E$6&amp;"   ","")&amp;IF(AND(N(Q225)&gt;0,N(Q226)&lt;=0.004),"✓ "&amp;'Calc base'!F$6&amp;"   ","")&amp;IF(AND(N(S225)&gt;0,N(S226)&lt;=0.004),"✓ "&amp;'Calc base'!G$6&amp;"   ","")&amp;IF(AND(N(U225)&gt;0,N(U226)&lt;=0.004),"✓ "&amp;'Calc base'!H$6&amp;"   ","")&amp;IF(AND(N(W225)&gt;0,N(W226)&lt;=0.004),"✓ "&amp;'Calc base'!I$6&amp;"   ","")&amp;IF(AND(N(Y225)&gt;0,N(Y226)&lt;=0.004),"✓ "&amp;'Calc base'!J$6&amp;"   ","")&amp;IF(AND(N(AA225)&gt;0,N(AA226)&lt;=0.004),"✓ "&amp;'Calc base'!K$6&amp;"   ","")&amp;IF(AND(N(AC225)&gt;0,N(AC226)&lt;=0.004),"✓ "&amp;'Calc base'!L$6&amp;"   ","")&amp;IF(AND(N(AE225)&gt;0,N(AE226)&lt;=0.004),"✓ "&amp;'Calc base'!M$6&amp;"   ","")&amp;IF(AND(N(AG225)&gt;0,N(AG226)&lt;=0.004),"✓ "&amp;'Calc base'!N$6&amp;"   ","")))</f>
        <v/>
      </c>
      <c r="J226" s="70" t="str">
        <f>IF($A226="","",ROUND(N(K225)*(1+'Calc base'!H249),2)-K226)</f>
        <v/>
      </c>
      <c r="K226" s="75" t="str">
        <f>IF($A226="","",CHOOSE('Calc riepilogo'!$B$2,'Calc valanga'!AT249,'Calc palla di neve'!AT249,'Calc personalizzata'!AT249))</f>
        <v/>
      </c>
      <c r="L226" s="70" t="str">
        <f>IF($A226="","",ROUND(N(M225)*(1+'Calc base'!I249),2)-M226)</f>
        <v/>
      </c>
      <c r="M226" s="75" t="str">
        <f>IF($A226="","",CHOOSE('Calc riepilogo'!$B$2,'Calc valanga'!AU249,'Calc palla di neve'!AU249,'Calc personalizzata'!AU249))</f>
        <v/>
      </c>
      <c r="N226" s="70" t="str">
        <f>IF($A226="","",ROUND(N(O225)*(1+'Calc base'!J249),2)-O226)</f>
        <v/>
      </c>
      <c r="O226" s="75" t="str">
        <f>IF($A226="","",CHOOSE('Calc riepilogo'!$B$2,'Calc valanga'!AV249,'Calc palla di neve'!AV249,'Calc personalizzata'!AV249))</f>
        <v/>
      </c>
      <c r="P226" s="70" t="str">
        <f>IF($A226="","",ROUND(N(Q225)*(1+'Calc base'!K249),2)-Q226)</f>
        <v/>
      </c>
      <c r="Q226" s="75" t="str">
        <f>IF($A226="","",CHOOSE('Calc riepilogo'!$B$2,'Calc valanga'!AW249,'Calc palla di neve'!AW249,'Calc personalizzata'!AW249))</f>
        <v/>
      </c>
      <c r="R226" s="70" t="str">
        <f>IF($A226="","",ROUND(N(S225)*(1+'Calc base'!L249),2)-S226)</f>
        <v/>
      </c>
      <c r="S226" s="75" t="str">
        <f>IF($A226="","",CHOOSE('Calc riepilogo'!$B$2,'Calc valanga'!AX249,'Calc palla di neve'!AX249,'Calc personalizzata'!AX249))</f>
        <v/>
      </c>
      <c r="T226" s="70" t="str">
        <f>IF($A226="","",ROUND(N(U225)*(1+'Calc base'!M249),2)-U226)</f>
        <v/>
      </c>
      <c r="U226" s="75" t="str">
        <f>IF($A226="","",CHOOSE('Calc riepilogo'!$B$2,'Calc valanga'!AY249,'Calc palla di neve'!AY249,'Calc personalizzata'!AY249))</f>
        <v/>
      </c>
      <c r="V226" s="70" t="str">
        <f>IF($A226="","",ROUND(N(W225)*(1+'Calc base'!N249),2)-W226)</f>
        <v/>
      </c>
      <c r="W226" s="75" t="str">
        <f>IF($A226="","",CHOOSE('Calc riepilogo'!$B$2,'Calc valanga'!AZ249,'Calc palla di neve'!AZ249,'Calc personalizzata'!AZ249))</f>
        <v/>
      </c>
      <c r="X226" s="70" t="str">
        <f>IF($A226="","",ROUND(N(Y225)*(1+'Calc base'!O249),2)-Y226)</f>
        <v/>
      </c>
      <c r="Y226" s="75" t="str">
        <f>IF($A226="","",CHOOSE('Calc riepilogo'!$B$2,'Calc valanga'!BA249,'Calc palla di neve'!BA249,'Calc personalizzata'!BA249))</f>
        <v/>
      </c>
      <c r="Z226" s="70" t="str">
        <f>IF($A226="","",ROUND(N(AA225)*(1+'Calc base'!P249),2)-AA226)</f>
        <v/>
      </c>
      <c r="AA226" s="75" t="str">
        <f>IF($A226="","",CHOOSE('Calc riepilogo'!$B$2,'Calc valanga'!BB249,'Calc palla di neve'!BB249,'Calc personalizzata'!BB249))</f>
        <v/>
      </c>
      <c r="AB226" s="70" t="str">
        <f>IF($A226="","",ROUND(N(AC225)*(1+'Calc base'!Q249),2)-AC226)</f>
        <v/>
      </c>
      <c r="AC226" s="75" t="str">
        <f>IF($A226="","",CHOOSE('Calc riepilogo'!$B$2,'Calc valanga'!BC249,'Calc palla di neve'!BC249,'Calc personalizzata'!BC249))</f>
        <v/>
      </c>
      <c r="AD226" s="70" t="str">
        <f>IF($A226="","",ROUND(N(AE225)*(1+'Calc base'!R249),2)-AE226)</f>
        <v/>
      </c>
      <c r="AE226" s="75" t="str">
        <f>IF($A226="","",CHOOSE('Calc riepilogo'!$B$2,'Calc valanga'!BD249,'Calc palla di neve'!BD249,'Calc personalizzata'!BD249))</f>
        <v/>
      </c>
      <c r="AF226" s="70" t="str">
        <f>IF($A226="","",ROUND(N(AG225)*(1+'Calc base'!S249),2)-AG226)</f>
        <v/>
      </c>
      <c r="AG226" s="75" t="str">
        <f>IF($A226="","",CHOOSE('Calc riepilogo'!$B$2,'Calc valanga'!BE249,'Calc palla di neve'!BE249,'Calc personalizzata'!BE249))</f>
        <v/>
      </c>
      <c r="AI226" t="n">
        <v>219</v>
      </c>
    </row>
    <row r="227">
      <c r="A227" s="68" t="str">
        <f>IF(220&gt;'Calc riepilogo'!$B$7,"",'Calc base'!$B250)</f>
        <v/>
      </c>
      <c r="B227" s="69" t="str">
        <f>IF($A227="","",'Calc base'!$C250)</f>
        <v/>
      </c>
      <c r="C227" s="69" t="str">
        <f>IF($A227="","",'Calc base'!$E250)</f>
        <v/>
      </c>
      <c r="D227" s="70" t="str">
        <f>IF($A227="","",J227+L227+N227+P227+R227+T227+V227+X227+Z227+AB227+AD227+AF227)</f>
        <v/>
      </c>
      <c r="E227" s="70" t="str">
        <f>IF($A227="","",CHOOSE('Calc riepilogo'!$B$2,'Calc valanga'!$H250,'Calc palla di neve'!$H250,'Calc personalizzata'!$H250))</f>
        <v/>
      </c>
      <c r="F227" s="71" t="str">
        <f>IF($A227="","",CHOOSE('Calc riepilogo'!$B$2,'Calc valanga'!$G250,'Calc palla di neve'!$G250,'Calc personalizzata'!$G250))</f>
        <v/>
      </c>
      <c r="G227" s="72" t="n"/>
      <c r="H227" s="73" t="n"/>
      <c r="I227" s="74" t="str">
        <f>IF($A227="","",TRIM(IF(AND(N(K226)&gt;0,N(K227)&lt;=0.004),"✓ "&amp;'Calc base'!C$6&amp;"   ","")&amp;IF(AND(N(M226)&gt;0,N(M227)&lt;=0.004),"✓ "&amp;'Calc base'!D$6&amp;"   ","")&amp;IF(AND(N(O226)&gt;0,N(O227)&lt;=0.004),"✓ "&amp;'Calc base'!E$6&amp;"   ","")&amp;IF(AND(N(Q226)&gt;0,N(Q227)&lt;=0.004),"✓ "&amp;'Calc base'!F$6&amp;"   ","")&amp;IF(AND(N(S226)&gt;0,N(S227)&lt;=0.004),"✓ "&amp;'Calc base'!G$6&amp;"   ","")&amp;IF(AND(N(U226)&gt;0,N(U227)&lt;=0.004),"✓ "&amp;'Calc base'!H$6&amp;"   ","")&amp;IF(AND(N(W226)&gt;0,N(W227)&lt;=0.004),"✓ "&amp;'Calc base'!I$6&amp;"   ","")&amp;IF(AND(N(Y226)&gt;0,N(Y227)&lt;=0.004),"✓ "&amp;'Calc base'!J$6&amp;"   ","")&amp;IF(AND(N(AA226)&gt;0,N(AA227)&lt;=0.004),"✓ "&amp;'Calc base'!K$6&amp;"   ","")&amp;IF(AND(N(AC226)&gt;0,N(AC227)&lt;=0.004),"✓ "&amp;'Calc base'!L$6&amp;"   ","")&amp;IF(AND(N(AE226)&gt;0,N(AE227)&lt;=0.004),"✓ "&amp;'Calc base'!M$6&amp;"   ","")&amp;IF(AND(N(AG226)&gt;0,N(AG227)&lt;=0.004),"✓ "&amp;'Calc base'!N$6&amp;"   ","")))</f>
        <v/>
      </c>
      <c r="J227" s="70" t="str">
        <f>IF($A227="","",ROUND(N(K226)*(1+'Calc base'!H250),2)-K227)</f>
        <v/>
      </c>
      <c r="K227" s="75" t="str">
        <f>IF($A227="","",CHOOSE('Calc riepilogo'!$B$2,'Calc valanga'!AT250,'Calc palla di neve'!AT250,'Calc personalizzata'!AT250))</f>
        <v/>
      </c>
      <c r="L227" s="70" t="str">
        <f>IF($A227="","",ROUND(N(M226)*(1+'Calc base'!I250),2)-M227)</f>
        <v/>
      </c>
      <c r="M227" s="75" t="str">
        <f>IF($A227="","",CHOOSE('Calc riepilogo'!$B$2,'Calc valanga'!AU250,'Calc palla di neve'!AU250,'Calc personalizzata'!AU250))</f>
        <v/>
      </c>
      <c r="N227" s="70" t="str">
        <f>IF($A227="","",ROUND(N(O226)*(1+'Calc base'!J250),2)-O227)</f>
        <v/>
      </c>
      <c r="O227" s="75" t="str">
        <f>IF($A227="","",CHOOSE('Calc riepilogo'!$B$2,'Calc valanga'!AV250,'Calc palla di neve'!AV250,'Calc personalizzata'!AV250))</f>
        <v/>
      </c>
      <c r="P227" s="70" t="str">
        <f>IF($A227="","",ROUND(N(Q226)*(1+'Calc base'!K250),2)-Q227)</f>
        <v/>
      </c>
      <c r="Q227" s="75" t="str">
        <f>IF($A227="","",CHOOSE('Calc riepilogo'!$B$2,'Calc valanga'!AW250,'Calc palla di neve'!AW250,'Calc personalizzata'!AW250))</f>
        <v/>
      </c>
      <c r="R227" s="70" t="str">
        <f>IF($A227="","",ROUND(N(S226)*(1+'Calc base'!L250),2)-S227)</f>
        <v/>
      </c>
      <c r="S227" s="75" t="str">
        <f>IF($A227="","",CHOOSE('Calc riepilogo'!$B$2,'Calc valanga'!AX250,'Calc palla di neve'!AX250,'Calc personalizzata'!AX250))</f>
        <v/>
      </c>
      <c r="T227" s="70" t="str">
        <f>IF($A227="","",ROUND(N(U226)*(1+'Calc base'!M250),2)-U227)</f>
        <v/>
      </c>
      <c r="U227" s="75" t="str">
        <f>IF($A227="","",CHOOSE('Calc riepilogo'!$B$2,'Calc valanga'!AY250,'Calc palla di neve'!AY250,'Calc personalizzata'!AY250))</f>
        <v/>
      </c>
      <c r="V227" s="70" t="str">
        <f>IF($A227="","",ROUND(N(W226)*(1+'Calc base'!N250),2)-W227)</f>
        <v/>
      </c>
      <c r="W227" s="75" t="str">
        <f>IF($A227="","",CHOOSE('Calc riepilogo'!$B$2,'Calc valanga'!AZ250,'Calc palla di neve'!AZ250,'Calc personalizzata'!AZ250))</f>
        <v/>
      </c>
      <c r="X227" s="70" t="str">
        <f>IF($A227="","",ROUND(N(Y226)*(1+'Calc base'!O250),2)-Y227)</f>
        <v/>
      </c>
      <c r="Y227" s="75" t="str">
        <f>IF($A227="","",CHOOSE('Calc riepilogo'!$B$2,'Calc valanga'!BA250,'Calc palla di neve'!BA250,'Calc personalizzata'!BA250))</f>
        <v/>
      </c>
      <c r="Z227" s="70" t="str">
        <f>IF($A227="","",ROUND(N(AA226)*(1+'Calc base'!P250),2)-AA227)</f>
        <v/>
      </c>
      <c r="AA227" s="75" t="str">
        <f>IF($A227="","",CHOOSE('Calc riepilogo'!$B$2,'Calc valanga'!BB250,'Calc palla di neve'!BB250,'Calc personalizzata'!BB250))</f>
        <v/>
      </c>
      <c r="AB227" s="70" t="str">
        <f>IF($A227="","",ROUND(N(AC226)*(1+'Calc base'!Q250),2)-AC227)</f>
        <v/>
      </c>
      <c r="AC227" s="75" t="str">
        <f>IF($A227="","",CHOOSE('Calc riepilogo'!$B$2,'Calc valanga'!BC250,'Calc palla di neve'!BC250,'Calc personalizzata'!BC250))</f>
        <v/>
      </c>
      <c r="AD227" s="70" t="str">
        <f>IF($A227="","",ROUND(N(AE226)*(1+'Calc base'!R250),2)-AE227)</f>
        <v/>
      </c>
      <c r="AE227" s="75" t="str">
        <f>IF($A227="","",CHOOSE('Calc riepilogo'!$B$2,'Calc valanga'!BD250,'Calc palla di neve'!BD250,'Calc personalizzata'!BD250))</f>
        <v/>
      </c>
      <c r="AF227" s="70" t="str">
        <f>IF($A227="","",ROUND(N(AG226)*(1+'Calc base'!S250),2)-AG227)</f>
        <v/>
      </c>
      <c r="AG227" s="75" t="str">
        <f>IF($A227="","",CHOOSE('Calc riepilogo'!$B$2,'Calc valanga'!BE250,'Calc palla di neve'!BE250,'Calc personalizzata'!BE250))</f>
        <v/>
      </c>
      <c r="AI227" t="n">
        <v>220</v>
      </c>
    </row>
    <row r="228">
      <c r="A228" s="68" t="str">
        <f>IF(221&gt;'Calc riepilogo'!$B$7,"",'Calc base'!$B251)</f>
        <v/>
      </c>
      <c r="B228" s="69" t="str">
        <f>IF($A228="","",'Calc base'!$C251)</f>
        <v/>
      </c>
      <c r="C228" s="69" t="str">
        <f>IF($A228="","",'Calc base'!$E251)</f>
        <v/>
      </c>
      <c r="D228" s="70" t="str">
        <f>IF($A228="","",J228+L228+N228+P228+R228+T228+V228+X228+Z228+AB228+AD228+AF228)</f>
        <v/>
      </c>
      <c r="E228" s="70" t="str">
        <f>IF($A228="","",CHOOSE('Calc riepilogo'!$B$2,'Calc valanga'!$H251,'Calc palla di neve'!$H251,'Calc personalizzata'!$H251))</f>
        <v/>
      </c>
      <c r="F228" s="71" t="str">
        <f>IF($A228="","",CHOOSE('Calc riepilogo'!$B$2,'Calc valanga'!$G251,'Calc palla di neve'!$G251,'Calc personalizzata'!$G251))</f>
        <v/>
      </c>
      <c r="G228" s="72" t="n"/>
      <c r="H228" s="73" t="n"/>
      <c r="I228" s="74" t="str">
        <f>IF($A228="","",TRIM(IF(AND(N(K227)&gt;0,N(K228)&lt;=0.004),"✓ "&amp;'Calc base'!C$6&amp;"   ","")&amp;IF(AND(N(M227)&gt;0,N(M228)&lt;=0.004),"✓ "&amp;'Calc base'!D$6&amp;"   ","")&amp;IF(AND(N(O227)&gt;0,N(O228)&lt;=0.004),"✓ "&amp;'Calc base'!E$6&amp;"   ","")&amp;IF(AND(N(Q227)&gt;0,N(Q228)&lt;=0.004),"✓ "&amp;'Calc base'!F$6&amp;"   ","")&amp;IF(AND(N(S227)&gt;0,N(S228)&lt;=0.004),"✓ "&amp;'Calc base'!G$6&amp;"   ","")&amp;IF(AND(N(U227)&gt;0,N(U228)&lt;=0.004),"✓ "&amp;'Calc base'!H$6&amp;"   ","")&amp;IF(AND(N(W227)&gt;0,N(W228)&lt;=0.004),"✓ "&amp;'Calc base'!I$6&amp;"   ","")&amp;IF(AND(N(Y227)&gt;0,N(Y228)&lt;=0.004),"✓ "&amp;'Calc base'!J$6&amp;"   ","")&amp;IF(AND(N(AA227)&gt;0,N(AA228)&lt;=0.004),"✓ "&amp;'Calc base'!K$6&amp;"   ","")&amp;IF(AND(N(AC227)&gt;0,N(AC228)&lt;=0.004),"✓ "&amp;'Calc base'!L$6&amp;"   ","")&amp;IF(AND(N(AE227)&gt;0,N(AE228)&lt;=0.004),"✓ "&amp;'Calc base'!M$6&amp;"   ","")&amp;IF(AND(N(AG227)&gt;0,N(AG228)&lt;=0.004),"✓ "&amp;'Calc base'!N$6&amp;"   ","")))</f>
        <v/>
      </c>
      <c r="J228" s="70" t="str">
        <f>IF($A228="","",ROUND(N(K227)*(1+'Calc base'!H251),2)-K228)</f>
        <v/>
      </c>
      <c r="K228" s="75" t="str">
        <f>IF($A228="","",CHOOSE('Calc riepilogo'!$B$2,'Calc valanga'!AT251,'Calc palla di neve'!AT251,'Calc personalizzata'!AT251))</f>
        <v/>
      </c>
      <c r="L228" s="70" t="str">
        <f>IF($A228="","",ROUND(N(M227)*(1+'Calc base'!I251),2)-M228)</f>
        <v/>
      </c>
      <c r="M228" s="75" t="str">
        <f>IF($A228="","",CHOOSE('Calc riepilogo'!$B$2,'Calc valanga'!AU251,'Calc palla di neve'!AU251,'Calc personalizzata'!AU251))</f>
        <v/>
      </c>
      <c r="N228" s="70" t="str">
        <f>IF($A228="","",ROUND(N(O227)*(1+'Calc base'!J251),2)-O228)</f>
        <v/>
      </c>
      <c r="O228" s="75" t="str">
        <f>IF($A228="","",CHOOSE('Calc riepilogo'!$B$2,'Calc valanga'!AV251,'Calc palla di neve'!AV251,'Calc personalizzata'!AV251))</f>
        <v/>
      </c>
      <c r="P228" s="70" t="str">
        <f>IF($A228="","",ROUND(N(Q227)*(1+'Calc base'!K251),2)-Q228)</f>
        <v/>
      </c>
      <c r="Q228" s="75" t="str">
        <f>IF($A228="","",CHOOSE('Calc riepilogo'!$B$2,'Calc valanga'!AW251,'Calc palla di neve'!AW251,'Calc personalizzata'!AW251))</f>
        <v/>
      </c>
      <c r="R228" s="70" t="str">
        <f>IF($A228="","",ROUND(N(S227)*(1+'Calc base'!L251),2)-S228)</f>
        <v/>
      </c>
      <c r="S228" s="75" t="str">
        <f>IF($A228="","",CHOOSE('Calc riepilogo'!$B$2,'Calc valanga'!AX251,'Calc palla di neve'!AX251,'Calc personalizzata'!AX251))</f>
        <v/>
      </c>
      <c r="T228" s="70" t="str">
        <f>IF($A228="","",ROUND(N(U227)*(1+'Calc base'!M251),2)-U228)</f>
        <v/>
      </c>
      <c r="U228" s="75" t="str">
        <f>IF($A228="","",CHOOSE('Calc riepilogo'!$B$2,'Calc valanga'!AY251,'Calc palla di neve'!AY251,'Calc personalizzata'!AY251))</f>
        <v/>
      </c>
      <c r="V228" s="70" t="str">
        <f>IF($A228="","",ROUND(N(W227)*(1+'Calc base'!N251),2)-W228)</f>
        <v/>
      </c>
      <c r="W228" s="75" t="str">
        <f>IF($A228="","",CHOOSE('Calc riepilogo'!$B$2,'Calc valanga'!AZ251,'Calc palla di neve'!AZ251,'Calc personalizzata'!AZ251))</f>
        <v/>
      </c>
      <c r="X228" s="70" t="str">
        <f>IF($A228="","",ROUND(N(Y227)*(1+'Calc base'!O251),2)-Y228)</f>
        <v/>
      </c>
      <c r="Y228" s="75" t="str">
        <f>IF($A228="","",CHOOSE('Calc riepilogo'!$B$2,'Calc valanga'!BA251,'Calc palla di neve'!BA251,'Calc personalizzata'!BA251))</f>
        <v/>
      </c>
      <c r="Z228" s="70" t="str">
        <f>IF($A228="","",ROUND(N(AA227)*(1+'Calc base'!P251),2)-AA228)</f>
        <v/>
      </c>
      <c r="AA228" s="75" t="str">
        <f>IF($A228="","",CHOOSE('Calc riepilogo'!$B$2,'Calc valanga'!BB251,'Calc palla di neve'!BB251,'Calc personalizzata'!BB251))</f>
        <v/>
      </c>
      <c r="AB228" s="70" t="str">
        <f>IF($A228="","",ROUND(N(AC227)*(1+'Calc base'!Q251),2)-AC228)</f>
        <v/>
      </c>
      <c r="AC228" s="75" t="str">
        <f>IF($A228="","",CHOOSE('Calc riepilogo'!$B$2,'Calc valanga'!BC251,'Calc palla di neve'!BC251,'Calc personalizzata'!BC251))</f>
        <v/>
      </c>
      <c r="AD228" s="70" t="str">
        <f>IF($A228="","",ROUND(N(AE227)*(1+'Calc base'!R251),2)-AE228)</f>
        <v/>
      </c>
      <c r="AE228" s="75" t="str">
        <f>IF($A228="","",CHOOSE('Calc riepilogo'!$B$2,'Calc valanga'!BD251,'Calc palla di neve'!BD251,'Calc personalizzata'!BD251))</f>
        <v/>
      </c>
      <c r="AF228" s="70" t="str">
        <f>IF($A228="","",ROUND(N(AG227)*(1+'Calc base'!S251),2)-AG228)</f>
        <v/>
      </c>
      <c r="AG228" s="75" t="str">
        <f>IF($A228="","",CHOOSE('Calc riepilogo'!$B$2,'Calc valanga'!BE251,'Calc palla di neve'!BE251,'Calc personalizzata'!BE251))</f>
        <v/>
      </c>
      <c r="AI228" t="n">
        <v>221</v>
      </c>
    </row>
    <row r="229">
      <c r="A229" s="68" t="str">
        <f>IF(222&gt;'Calc riepilogo'!$B$7,"",'Calc base'!$B252)</f>
        <v/>
      </c>
      <c r="B229" s="69" t="str">
        <f>IF($A229="","",'Calc base'!$C252)</f>
        <v/>
      </c>
      <c r="C229" s="69" t="str">
        <f>IF($A229="","",'Calc base'!$E252)</f>
        <v/>
      </c>
      <c r="D229" s="70" t="str">
        <f>IF($A229="","",J229+L229+N229+P229+R229+T229+V229+X229+Z229+AB229+AD229+AF229)</f>
        <v/>
      </c>
      <c r="E229" s="70" t="str">
        <f>IF($A229="","",CHOOSE('Calc riepilogo'!$B$2,'Calc valanga'!$H252,'Calc palla di neve'!$H252,'Calc personalizzata'!$H252))</f>
        <v/>
      </c>
      <c r="F229" s="71" t="str">
        <f>IF($A229="","",CHOOSE('Calc riepilogo'!$B$2,'Calc valanga'!$G252,'Calc palla di neve'!$G252,'Calc personalizzata'!$G252))</f>
        <v/>
      </c>
      <c r="G229" s="72" t="n"/>
      <c r="H229" s="73" t="n"/>
      <c r="I229" s="74" t="str">
        <f>IF($A229="","",TRIM(IF(AND(N(K228)&gt;0,N(K229)&lt;=0.004),"✓ "&amp;'Calc base'!C$6&amp;"   ","")&amp;IF(AND(N(M228)&gt;0,N(M229)&lt;=0.004),"✓ "&amp;'Calc base'!D$6&amp;"   ","")&amp;IF(AND(N(O228)&gt;0,N(O229)&lt;=0.004),"✓ "&amp;'Calc base'!E$6&amp;"   ","")&amp;IF(AND(N(Q228)&gt;0,N(Q229)&lt;=0.004),"✓ "&amp;'Calc base'!F$6&amp;"   ","")&amp;IF(AND(N(S228)&gt;0,N(S229)&lt;=0.004),"✓ "&amp;'Calc base'!G$6&amp;"   ","")&amp;IF(AND(N(U228)&gt;0,N(U229)&lt;=0.004),"✓ "&amp;'Calc base'!H$6&amp;"   ","")&amp;IF(AND(N(W228)&gt;0,N(W229)&lt;=0.004),"✓ "&amp;'Calc base'!I$6&amp;"   ","")&amp;IF(AND(N(Y228)&gt;0,N(Y229)&lt;=0.004),"✓ "&amp;'Calc base'!J$6&amp;"   ","")&amp;IF(AND(N(AA228)&gt;0,N(AA229)&lt;=0.004),"✓ "&amp;'Calc base'!K$6&amp;"   ","")&amp;IF(AND(N(AC228)&gt;0,N(AC229)&lt;=0.004),"✓ "&amp;'Calc base'!L$6&amp;"   ","")&amp;IF(AND(N(AE228)&gt;0,N(AE229)&lt;=0.004),"✓ "&amp;'Calc base'!M$6&amp;"   ","")&amp;IF(AND(N(AG228)&gt;0,N(AG229)&lt;=0.004),"✓ "&amp;'Calc base'!N$6&amp;"   ","")))</f>
        <v/>
      </c>
      <c r="J229" s="70" t="str">
        <f>IF($A229="","",ROUND(N(K228)*(1+'Calc base'!H252),2)-K229)</f>
        <v/>
      </c>
      <c r="K229" s="75" t="str">
        <f>IF($A229="","",CHOOSE('Calc riepilogo'!$B$2,'Calc valanga'!AT252,'Calc palla di neve'!AT252,'Calc personalizzata'!AT252))</f>
        <v/>
      </c>
      <c r="L229" s="70" t="str">
        <f>IF($A229="","",ROUND(N(M228)*(1+'Calc base'!I252),2)-M229)</f>
        <v/>
      </c>
      <c r="M229" s="75" t="str">
        <f>IF($A229="","",CHOOSE('Calc riepilogo'!$B$2,'Calc valanga'!AU252,'Calc palla di neve'!AU252,'Calc personalizzata'!AU252))</f>
        <v/>
      </c>
      <c r="N229" s="70" t="str">
        <f>IF($A229="","",ROUND(N(O228)*(1+'Calc base'!J252),2)-O229)</f>
        <v/>
      </c>
      <c r="O229" s="75" t="str">
        <f>IF($A229="","",CHOOSE('Calc riepilogo'!$B$2,'Calc valanga'!AV252,'Calc palla di neve'!AV252,'Calc personalizzata'!AV252))</f>
        <v/>
      </c>
      <c r="P229" s="70" t="str">
        <f>IF($A229="","",ROUND(N(Q228)*(1+'Calc base'!K252),2)-Q229)</f>
        <v/>
      </c>
      <c r="Q229" s="75" t="str">
        <f>IF($A229="","",CHOOSE('Calc riepilogo'!$B$2,'Calc valanga'!AW252,'Calc palla di neve'!AW252,'Calc personalizzata'!AW252))</f>
        <v/>
      </c>
      <c r="R229" s="70" t="str">
        <f>IF($A229="","",ROUND(N(S228)*(1+'Calc base'!L252),2)-S229)</f>
        <v/>
      </c>
      <c r="S229" s="75" t="str">
        <f>IF($A229="","",CHOOSE('Calc riepilogo'!$B$2,'Calc valanga'!AX252,'Calc palla di neve'!AX252,'Calc personalizzata'!AX252))</f>
        <v/>
      </c>
      <c r="T229" s="70" t="str">
        <f>IF($A229="","",ROUND(N(U228)*(1+'Calc base'!M252),2)-U229)</f>
        <v/>
      </c>
      <c r="U229" s="75" t="str">
        <f>IF($A229="","",CHOOSE('Calc riepilogo'!$B$2,'Calc valanga'!AY252,'Calc palla di neve'!AY252,'Calc personalizzata'!AY252))</f>
        <v/>
      </c>
      <c r="V229" s="70" t="str">
        <f>IF($A229="","",ROUND(N(W228)*(1+'Calc base'!N252),2)-W229)</f>
        <v/>
      </c>
      <c r="W229" s="75" t="str">
        <f>IF($A229="","",CHOOSE('Calc riepilogo'!$B$2,'Calc valanga'!AZ252,'Calc palla di neve'!AZ252,'Calc personalizzata'!AZ252))</f>
        <v/>
      </c>
      <c r="X229" s="70" t="str">
        <f>IF($A229="","",ROUND(N(Y228)*(1+'Calc base'!O252),2)-Y229)</f>
        <v/>
      </c>
      <c r="Y229" s="75" t="str">
        <f>IF($A229="","",CHOOSE('Calc riepilogo'!$B$2,'Calc valanga'!BA252,'Calc palla di neve'!BA252,'Calc personalizzata'!BA252))</f>
        <v/>
      </c>
      <c r="Z229" s="70" t="str">
        <f>IF($A229="","",ROUND(N(AA228)*(1+'Calc base'!P252),2)-AA229)</f>
        <v/>
      </c>
      <c r="AA229" s="75" t="str">
        <f>IF($A229="","",CHOOSE('Calc riepilogo'!$B$2,'Calc valanga'!BB252,'Calc palla di neve'!BB252,'Calc personalizzata'!BB252))</f>
        <v/>
      </c>
      <c r="AB229" s="70" t="str">
        <f>IF($A229="","",ROUND(N(AC228)*(1+'Calc base'!Q252),2)-AC229)</f>
        <v/>
      </c>
      <c r="AC229" s="75" t="str">
        <f>IF($A229="","",CHOOSE('Calc riepilogo'!$B$2,'Calc valanga'!BC252,'Calc palla di neve'!BC252,'Calc personalizzata'!BC252))</f>
        <v/>
      </c>
      <c r="AD229" s="70" t="str">
        <f>IF($A229="","",ROUND(N(AE228)*(1+'Calc base'!R252),2)-AE229)</f>
        <v/>
      </c>
      <c r="AE229" s="75" t="str">
        <f>IF($A229="","",CHOOSE('Calc riepilogo'!$B$2,'Calc valanga'!BD252,'Calc palla di neve'!BD252,'Calc personalizzata'!BD252))</f>
        <v/>
      </c>
      <c r="AF229" s="70" t="str">
        <f>IF($A229="","",ROUND(N(AG228)*(1+'Calc base'!S252),2)-AG229)</f>
        <v/>
      </c>
      <c r="AG229" s="75" t="str">
        <f>IF($A229="","",CHOOSE('Calc riepilogo'!$B$2,'Calc valanga'!BE252,'Calc palla di neve'!BE252,'Calc personalizzata'!BE252))</f>
        <v/>
      </c>
      <c r="AI229" t="n">
        <v>222</v>
      </c>
    </row>
    <row r="230">
      <c r="A230" s="68" t="str">
        <f>IF(223&gt;'Calc riepilogo'!$B$7,"",'Calc base'!$B253)</f>
        <v/>
      </c>
      <c r="B230" s="69" t="str">
        <f>IF($A230="","",'Calc base'!$C253)</f>
        <v/>
      </c>
      <c r="C230" s="69" t="str">
        <f>IF($A230="","",'Calc base'!$E253)</f>
        <v/>
      </c>
      <c r="D230" s="70" t="str">
        <f>IF($A230="","",J230+L230+N230+P230+R230+T230+V230+X230+Z230+AB230+AD230+AF230)</f>
        <v/>
      </c>
      <c r="E230" s="70" t="str">
        <f>IF($A230="","",CHOOSE('Calc riepilogo'!$B$2,'Calc valanga'!$H253,'Calc palla di neve'!$H253,'Calc personalizzata'!$H253))</f>
        <v/>
      </c>
      <c r="F230" s="71" t="str">
        <f>IF($A230="","",CHOOSE('Calc riepilogo'!$B$2,'Calc valanga'!$G253,'Calc palla di neve'!$G253,'Calc personalizzata'!$G253))</f>
        <v/>
      </c>
      <c r="G230" s="72" t="n"/>
      <c r="H230" s="73" t="n"/>
      <c r="I230" s="74" t="str">
        <f>IF($A230="","",TRIM(IF(AND(N(K229)&gt;0,N(K230)&lt;=0.004),"✓ "&amp;'Calc base'!C$6&amp;"   ","")&amp;IF(AND(N(M229)&gt;0,N(M230)&lt;=0.004),"✓ "&amp;'Calc base'!D$6&amp;"   ","")&amp;IF(AND(N(O229)&gt;0,N(O230)&lt;=0.004),"✓ "&amp;'Calc base'!E$6&amp;"   ","")&amp;IF(AND(N(Q229)&gt;0,N(Q230)&lt;=0.004),"✓ "&amp;'Calc base'!F$6&amp;"   ","")&amp;IF(AND(N(S229)&gt;0,N(S230)&lt;=0.004),"✓ "&amp;'Calc base'!G$6&amp;"   ","")&amp;IF(AND(N(U229)&gt;0,N(U230)&lt;=0.004),"✓ "&amp;'Calc base'!H$6&amp;"   ","")&amp;IF(AND(N(W229)&gt;0,N(W230)&lt;=0.004),"✓ "&amp;'Calc base'!I$6&amp;"   ","")&amp;IF(AND(N(Y229)&gt;0,N(Y230)&lt;=0.004),"✓ "&amp;'Calc base'!J$6&amp;"   ","")&amp;IF(AND(N(AA229)&gt;0,N(AA230)&lt;=0.004),"✓ "&amp;'Calc base'!K$6&amp;"   ","")&amp;IF(AND(N(AC229)&gt;0,N(AC230)&lt;=0.004),"✓ "&amp;'Calc base'!L$6&amp;"   ","")&amp;IF(AND(N(AE229)&gt;0,N(AE230)&lt;=0.004),"✓ "&amp;'Calc base'!M$6&amp;"   ","")&amp;IF(AND(N(AG229)&gt;0,N(AG230)&lt;=0.004),"✓ "&amp;'Calc base'!N$6&amp;"   ","")))</f>
        <v/>
      </c>
      <c r="J230" s="70" t="str">
        <f>IF($A230="","",ROUND(N(K229)*(1+'Calc base'!H253),2)-K230)</f>
        <v/>
      </c>
      <c r="K230" s="75" t="str">
        <f>IF($A230="","",CHOOSE('Calc riepilogo'!$B$2,'Calc valanga'!AT253,'Calc palla di neve'!AT253,'Calc personalizzata'!AT253))</f>
        <v/>
      </c>
      <c r="L230" s="70" t="str">
        <f>IF($A230="","",ROUND(N(M229)*(1+'Calc base'!I253),2)-M230)</f>
        <v/>
      </c>
      <c r="M230" s="75" t="str">
        <f>IF($A230="","",CHOOSE('Calc riepilogo'!$B$2,'Calc valanga'!AU253,'Calc palla di neve'!AU253,'Calc personalizzata'!AU253))</f>
        <v/>
      </c>
      <c r="N230" s="70" t="str">
        <f>IF($A230="","",ROUND(N(O229)*(1+'Calc base'!J253),2)-O230)</f>
        <v/>
      </c>
      <c r="O230" s="75" t="str">
        <f>IF($A230="","",CHOOSE('Calc riepilogo'!$B$2,'Calc valanga'!AV253,'Calc palla di neve'!AV253,'Calc personalizzata'!AV253))</f>
        <v/>
      </c>
      <c r="P230" s="70" t="str">
        <f>IF($A230="","",ROUND(N(Q229)*(1+'Calc base'!K253),2)-Q230)</f>
        <v/>
      </c>
      <c r="Q230" s="75" t="str">
        <f>IF($A230="","",CHOOSE('Calc riepilogo'!$B$2,'Calc valanga'!AW253,'Calc palla di neve'!AW253,'Calc personalizzata'!AW253))</f>
        <v/>
      </c>
      <c r="R230" s="70" t="str">
        <f>IF($A230="","",ROUND(N(S229)*(1+'Calc base'!L253),2)-S230)</f>
        <v/>
      </c>
      <c r="S230" s="75" t="str">
        <f>IF($A230="","",CHOOSE('Calc riepilogo'!$B$2,'Calc valanga'!AX253,'Calc palla di neve'!AX253,'Calc personalizzata'!AX253))</f>
        <v/>
      </c>
      <c r="T230" s="70" t="str">
        <f>IF($A230="","",ROUND(N(U229)*(1+'Calc base'!M253),2)-U230)</f>
        <v/>
      </c>
      <c r="U230" s="75" t="str">
        <f>IF($A230="","",CHOOSE('Calc riepilogo'!$B$2,'Calc valanga'!AY253,'Calc palla di neve'!AY253,'Calc personalizzata'!AY253))</f>
        <v/>
      </c>
      <c r="V230" s="70" t="str">
        <f>IF($A230="","",ROUND(N(W229)*(1+'Calc base'!N253),2)-W230)</f>
        <v/>
      </c>
      <c r="W230" s="75" t="str">
        <f>IF($A230="","",CHOOSE('Calc riepilogo'!$B$2,'Calc valanga'!AZ253,'Calc palla di neve'!AZ253,'Calc personalizzata'!AZ253))</f>
        <v/>
      </c>
      <c r="X230" s="70" t="str">
        <f>IF($A230="","",ROUND(N(Y229)*(1+'Calc base'!O253),2)-Y230)</f>
        <v/>
      </c>
      <c r="Y230" s="75" t="str">
        <f>IF($A230="","",CHOOSE('Calc riepilogo'!$B$2,'Calc valanga'!BA253,'Calc palla di neve'!BA253,'Calc personalizzata'!BA253))</f>
        <v/>
      </c>
      <c r="Z230" s="70" t="str">
        <f>IF($A230="","",ROUND(N(AA229)*(1+'Calc base'!P253),2)-AA230)</f>
        <v/>
      </c>
      <c r="AA230" s="75" t="str">
        <f>IF($A230="","",CHOOSE('Calc riepilogo'!$B$2,'Calc valanga'!BB253,'Calc palla di neve'!BB253,'Calc personalizzata'!BB253))</f>
        <v/>
      </c>
      <c r="AB230" s="70" t="str">
        <f>IF($A230="","",ROUND(N(AC229)*(1+'Calc base'!Q253),2)-AC230)</f>
        <v/>
      </c>
      <c r="AC230" s="75" t="str">
        <f>IF($A230="","",CHOOSE('Calc riepilogo'!$B$2,'Calc valanga'!BC253,'Calc palla di neve'!BC253,'Calc personalizzata'!BC253))</f>
        <v/>
      </c>
      <c r="AD230" s="70" t="str">
        <f>IF($A230="","",ROUND(N(AE229)*(1+'Calc base'!R253),2)-AE230)</f>
        <v/>
      </c>
      <c r="AE230" s="75" t="str">
        <f>IF($A230="","",CHOOSE('Calc riepilogo'!$B$2,'Calc valanga'!BD253,'Calc palla di neve'!BD253,'Calc personalizzata'!BD253))</f>
        <v/>
      </c>
      <c r="AF230" s="70" t="str">
        <f>IF($A230="","",ROUND(N(AG229)*(1+'Calc base'!S253),2)-AG230)</f>
        <v/>
      </c>
      <c r="AG230" s="75" t="str">
        <f>IF($A230="","",CHOOSE('Calc riepilogo'!$B$2,'Calc valanga'!BE253,'Calc palla di neve'!BE253,'Calc personalizzata'!BE253))</f>
        <v/>
      </c>
      <c r="AI230" t="n">
        <v>223</v>
      </c>
    </row>
    <row r="231">
      <c r="A231" s="68" t="str">
        <f>IF(224&gt;'Calc riepilogo'!$B$7,"",'Calc base'!$B254)</f>
        <v/>
      </c>
      <c r="B231" s="69" t="str">
        <f>IF($A231="","",'Calc base'!$C254)</f>
        <v/>
      </c>
      <c r="C231" s="69" t="str">
        <f>IF($A231="","",'Calc base'!$E254)</f>
        <v/>
      </c>
      <c r="D231" s="70" t="str">
        <f>IF($A231="","",J231+L231+N231+P231+R231+T231+V231+X231+Z231+AB231+AD231+AF231)</f>
        <v/>
      </c>
      <c r="E231" s="70" t="str">
        <f>IF($A231="","",CHOOSE('Calc riepilogo'!$B$2,'Calc valanga'!$H254,'Calc palla di neve'!$H254,'Calc personalizzata'!$H254))</f>
        <v/>
      </c>
      <c r="F231" s="71" t="str">
        <f>IF($A231="","",CHOOSE('Calc riepilogo'!$B$2,'Calc valanga'!$G254,'Calc palla di neve'!$G254,'Calc personalizzata'!$G254))</f>
        <v/>
      </c>
      <c r="G231" s="72" t="n"/>
      <c r="H231" s="73" t="n"/>
      <c r="I231" s="74" t="str">
        <f>IF($A231="","",TRIM(IF(AND(N(K230)&gt;0,N(K231)&lt;=0.004),"✓ "&amp;'Calc base'!C$6&amp;"   ","")&amp;IF(AND(N(M230)&gt;0,N(M231)&lt;=0.004),"✓ "&amp;'Calc base'!D$6&amp;"   ","")&amp;IF(AND(N(O230)&gt;0,N(O231)&lt;=0.004),"✓ "&amp;'Calc base'!E$6&amp;"   ","")&amp;IF(AND(N(Q230)&gt;0,N(Q231)&lt;=0.004),"✓ "&amp;'Calc base'!F$6&amp;"   ","")&amp;IF(AND(N(S230)&gt;0,N(S231)&lt;=0.004),"✓ "&amp;'Calc base'!G$6&amp;"   ","")&amp;IF(AND(N(U230)&gt;0,N(U231)&lt;=0.004),"✓ "&amp;'Calc base'!H$6&amp;"   ","")&amp;IF(AND(N(W230)&gt;0,N(W231)&lt;=0.004),"✓ "&amp;'Calc base'!I$6&amp;"   ","")&amp;IF(AND(N(Y230)&gt;0,N(Y231)&lt;=0.004),"✓ "&amp;'Calc base'!J$6&amp;"   ","")&amp;IF(AND(N(AA230)&gt;0,N(AA231)&lt;=0.004),"✓ "&amp;'Calc base'!K$6&amp;"   ","")&amp;IF(AND(N(AC230)&gt;0,N(AC231)&lt;=0.004),"✓ "&amp;'Calc base'!L$6&amp;"   ","")&amp;IF(AND(N(AE230)&gt;0,N(AE231)&lt;=0.004),"✓ "&amp;'Calc base'!M$6&amp;"   ","")&amp;IF(AND(N(AG230)&gt;0,N(AG231)&lt;=0.004),"✓ "&amp;'Calc base'!N$6&amp;"   ","")))</f>
        <v/>
      </c>
      <c r="J231" s="70" t="str">
        <f>IF($A231="","",ROUND(N(K230)*(1+'Calc base'!H254),2)-K231)</f>
        <v/>
      </c>
      <c r="K231" s="75" t="str">
        <f>IF($A231="","",CHOOSE('Calc riepilogo'!$B$2,'Calc valanga'!AT254,'Calc palla di neve'!AT254,'Calc personalizzata'!AT254))</f>
        <v/>
      </c>
      <c r="L231" s="70" t="str">
        <f>IF($A231="","",ROUND(N(M230)*(1+'Calc base'!I254),2)-M231)</f>
        <v/>
      </c>
      <c r="M231" s="75" t="str">
        <f>IF($A231="","",CHOOSE('Calc riepilogo'!$B$2,'Calc valanga'!AU254,'Calc palla di neve'!AU254,'Calc personalizzata'!AU254))</f>
        <v/>
      </c>
      <c r="N231" s="70" t="str">
        <f>IF($A231="","",ROUND(N(O230)*(1+'Calc base'!J254),2)-O231)</f>
        <v/>
      </c>
      <c r="O231" s="75" t="str">
        <f>IF($A231="","",CHOOSE('Calc riepilogo'!$B$2,'Calc valanga'!AV254,'Calc palla di neve'!AV254,'Calc personalizzata'!AV254))</f>
        <v/>
      </c>
      <c r="P231" s="70" t="str">
        <f>IF($A231="","",ROUND(N(Q230)*(1+'Calc base'!K254),2)-Q231)</f>
        <v/>
      </c>
      <c r="Q231" s="75" t="str">
        <f>IF($A231="","",CHOOSE('Calc riepilogo'!$B$2,'Calc valanga'!AW254,'Calc palla di neve'!AW254,'Calc personalizzata'!AW254))</f>
        <v/>
      </c>
      <c r="R231" s="70" t="str">
        <f>IF($A231="","",ROUND(N(S230)*(1+'Calc base'!L254),2)-S231)</f>
        <v/>
      </c>
      <c r="S231" s="75" t="str">
        <f>IF($A231="","",CHOOSE('Calc riepilogo'!$B$2,'Calc valanga'!AX254,'Calc palla di neve'!AX254,'Calc personalizzata'!AX254))</f>
        <v/>
      </c>
      <c r="T231" s="70" t="str">
        <f>IF($A231="","",ROUND(N(U230)*(1+'Calc base'!M254),2)-U231)</f>
        <v/>
      </c>
      <c r="U231" s="75" t="str">
        <f>IF($A231="","",CHOOSE('Calc riepilogo'!$B$2,'Calc valanga'!AY254,'Calc palla di neve'!AY254,'Calc personalizzata'!AY254))</f>
        <v/>
      </c>
      <c r="V231" s="70" t="str">
        <f>IF($A231="","",ROUND(N(W230)*(1+'Calc base'!N254),2)-W231)</f>
        <v/>
      </c>
      <c r="W231" s="75" t="str">
        <f>IF($A231="","",CHOOSE('Calc riepilogo'!$B$2,'Calc valanga'!AZ254,'Calc palla di neve'!AZ254,'Calc personalizzata'!AZ254))</f>
        <v/>
      </c>
      <c r="X231" s="70" t="str">
        <f>IF($A231="","",ROUND(N(Y230)*(1+'Calc base'!O254),2)-Y231)</f>
        <v/>
      </c>
      <c r="Y231" s="75" t="str">
        <f>IF($A231="","",CHOOSE('Calc riepilogo'!$B$2,'Calc valanga'!BA254,'Calc palla di neve'!BA254,'Calc personalizzata'!BA254))</f>
        <v/>
      </c>
      <c r="Z231" s="70" t="str">
        <f>IF($A231="","",ROUND(N(AA230)*(1+'Calc base'!P254),2)-AA231)</f>
        <v/>
      </c>
      <c r="AA231" s="75" t="str">
        <f>IF($A231="","",CHOOSE('Calc riepilogo'!$B$2,'Calc valanga'!BB254,'Calc palla di neve'!BB254,'Calc personalizzata'!BB254))</f>
        <v/>
      </c>
      <c r="AB231" s="70" t="str">
        <f>IF($A231="","",ROUND(N(AC230)*(1+'Calc base'!Q254),2)-AC231)</f>
        <v/>
      </c>
      <c r="AC231" s="75" t="str">
        <f>IF($A231="","",CHOOSE('Calc riepilogo'!$B$2,'Calc valanga'!BC254,'Calc palla di neve'!BC254,'Calc personalizzata'!BC254))</f>
        <v/>
      </c>
      <c r="AD231" s="70" t="str">
        <f>IF($A231="","",ROUND(N(AE230)*(1+'Calc base'!R254),2)-AE231)</f>
        <v/>
      </c>
      <c r="AE231" s="75" t="str">
        <f>IF($A231="","",CHOOSE('Calc riepilogo'!$B$2,'Calc valanga'!BD254,'Calc palla di neve'!BD254,'Calc personalizzata'!BD254))</f>
        <v/>
      </c>
      <c r="AF231" s="70" t="str">
        <f>IF($A231="","",ROUND(N(AG230)*(1+'Calc base'!S254),2)-AG231)</f>
        <v/>
      </c>
      <c r="AG231" s="75" t="str">
        <f>IF($A231="","",CHOOSE('Calc riepilogo'!$B$2,'Calc valanga'!BE254,'Calc palla di neve'!BE254,'Calc personalizzata'!BE254))</f>
        <v/>
      </c>
      <c r="AI231" t="n">
        <v>224</v>
      </c>
    </row>
    <row r="232">
      <c r="A232" s="68" t="str">
        <f>IF(225&gt;'Calc riepilogo'!$B$7,"",'Calc base'!$B255)</f>
        <v/>
      </c>
      <c r="B232" s="69" t="str">
        <f>IF($A232="","",'Calc base'!$C255)</f>
        <v/>
      </c>
      <c r="C232" s="69" t="str">
        <f>IF($A232="","",'Calc base'!$E255)</f>
        <v/>
      </c>
      <c r="D232" s="70" t="str">
        <f>IF($A232="","",J232+L232+N232+P232+R232+T232+V232+X232+Z232+AB232+AD232+AF232)</f>
        <v/>
      </c>
      <c r="E232" s="70" t="str">
        <f>IF($A232="","",CHOOSE('Calc riepilogo'!$B$2,'Calc valanga'!$H255,'Calc palla di neve'!$H255,'Calc personalizzata'!$H255))</f>
        <v/>
      </c>
      <c r="F232" s="71" t="str">
        <f>IF($A232="","",CHOOSE('Calc riepilogo'!$B$2,'Calc valanga'!$G255,'Calc palla di neve'!$G255,'Calc personalizzata'!$G255))</f>
        <v/>
      </c>
      <c r="G232" s="72" t="n"/>
      <c r="H232" s="73" t="n"/>
      <c r="I232" s="74" t="str">
        <f>IF($A232="","",TRIM(IF(AND(N(K231)&gt;0,N(K232)&lt;=0.004),"✓ "&amp;'Calc base'!C$6&amp;"   ","")&amp;IF(AND(N(M231)&gt;0,N(M232)&lt;=0.004),"✓ "&amp;'Calc base'!D$6&amp;"   ","")&amp;IF(AND(N(O231)&gt;0,N(O232)&lt;=0.004),"✓ "&amp;'Calc base'!E$6&amp;"   ","")&amp;IF(AND(N(Q231)&gt;0,N(Q232)&lt;=0.004),"✓ "&amp;'Calc base'!F$6&amp;"   ","")&amp;IF(AND(N(S231)&gt;0,N(S232)&lt;=0.004),"✓ "&amp;'Calc base'!G$6&amp;"   ","")&amp;IF(AND(N(U231)&gt;0,N(U232)&lt;=0.004),"✓ "&amp;'Calc base'!H$6&amp;"   ","")&amp;IF(AND(N(W231)&gt;0,N(W232)&lt;=0.004),"✓ "&amp;'Calc base'!I$6&amp;"   ","")&amp;IF(AND(N(Y231)&gt;0,N(Y232)&lt;=0.004),"✓ "&amp;'Calc base'!J$6&amp;"   ","")&amp;IF(AND(N(AA231)&gt;0,N(AA232)&lt;=0.004),"✓ "&amp;'Calc base'!K$6&amp;"   ","")&amp;IF(AND(N(AC231)&gt;0,N(AC232)&lt;=0.004),"✓ "&amp;'Calc base'!L$6&amp;"   ","")&amp;IF(AND(N(AE231)&gt;0,N(AE232)&lt;=0.004),"✓ "&amp;'Calc base'!M$6&amp;"   ","")&amp;IF(AND(N(AG231)&gt;0,N(AG232)&lt;=0.004),"✓ "&amp;'Calc base'!N$6&amp;"   ","")))</f>
        <v/>
      </c>
      <c r="J232" s="70" t="str">
        <f>IF($A232="","",ROUND(N(K231)*(1+'Calc base'!H255),2)-K232)</f>
        <v/>
      </c>
      <c r="K232" s="75" t="str">
        <f>IF($A232="","",CHOOSE('Calc riepilogo'!$B$2,'Calc valanga'!AT255,'Calc palla di neve'!AT255,'Calc personalizzata'!AT255))</f>
        <v/>
      </c>
      <c r="L232" s="70" t="str">
        <f>IF($A232="","",ROUND(N(M231)*(1+'Calc base'!I255),2)-M232)</f>
        <v/>
      </c>
      <c r="M232" s="75" t="str">
        <f>IF($A232="","",CHOOSE('Calc riepilogo'!$B$2,'Calc valanga'!AU255,'Calc palla di neve'!AU255,'Calc personalizzata'!AU255))</f>
        <v/>
      </c>
      <c r="N232" s="70" t="str">
        <f>IF($A232="","",ROUND(N(O231)*(1+'Calc base'!J255),2)-O232)</f>
        <v/>
      </c>
      <c r="O232" s="75" t="str">
        <f>IF($A232="","",CHOOSE('Calc riepilogo'!$B$2,'Calc valanga'!AV255,'Calc palla di neve'!AV255,'Calc personalizzata'!AV255))</f>
        <v/>
      </c>
      <c r="P232" s="70" t="str">
        <f>IF($A232="","",ROUND(N(Q231)*(1+'Calc base'!K255),2)-Q232)</f>
        <v/>
      </c>
      <c r="Q232" s="75" t="str">
        <f>IF($A232="","",CHOOSE('Calc riepilogo'!$B$2,'Calc valanga'!AW255,'Calc palla di neve'!AW255,'Calc personalizzata'!AW255))</f>
        <v/>
      </c>
      <c r="R232" s="70" t="str">
        <f>IF($A232="","",ROUND(N(S231)*(1+'Calc base'!L255),2)-S232)</f>
        <v/>
      </c>
      <c r="S232" s="75" t="str">
        <f>IF($A232="","",CHOOSE('Calc riepilogo'!$B$2,'Calc valanga'!AX255,'Calc palla di neve'!AX255,'Calc personalizzata'!AX255))</f>
        <v/>
      </c>
      <c r="T232" s="70" t="str">
        <f>IF($A232="","",ROUND(N(U231)*(1+'Calc base'!M255),2)-U232)</f>
        <v/>
      </c>
      <c r="U232" s="75" t="str">
        <f>IF($A232="","",CHOOSE('Calc riepilogo'!$B$2,'Calc valanga'!AY255,'Calc palla di neve'!AY255,'Calc personalizzata'!AY255))</f>
        <v/>
      </c>
      <c r="V232" s="70" t="str">
        <f>IF($A232="","",ROUND(N(W231)*(1+'Calc base'!N255),2)-W232)</f>
        <v/>
      </c>
      <c r="W232" s="75" t="str">
        <f>IF($A232="","",CHOOSE('Calc riepilogo'!$B$2,'Calc valanga'!AZ255,'Calc palla di neve'!AZ255,'Calc personalizzata'!AZ255))</f>
        <v/>
      </c>
      <c r="X232" s="70" t="str">
        <f>IF($A232="","",ROUND(N(Y231)*(1+'Calc base'!O255),2)-Y232)</f>
        <v/>
      </c>
      <c r="Y232" s="75" t="str">
        <f>IF($A232="","",CHOOSE('Calc riepilogo'!$B$2,'Calc valanga'!BA255,'Calc palla di neve'!BA255,'Calc personalizzata'!BA255))</f>
        <v/>
      </c>
      <c r="Z232" s="70" t="str">
        <f>IF($A232="","",ROUND(N(AA231)*(1+'Calc base'!P255),2)-AA232)</f>
        <v/>
      </c>
      <c r="AA232" s="75" t="str">
        <f>IF($A232="","",CHOOSE('Calc riepilogo'!$B$2,'Calc valanga'!BB255,'Calc palla di neve'!BB255,'Calc personalizzata'!BB255))</f>
        <v/>
      </c>
      <c r="AB232" s="70" t="str">
        <f>IF($A232="","",ROUND(N(AC231)*(1+'Calc base'!Q255),2)-AC232)</f>
        <v/>
      </c>
      <c r="AC232" s="75" t="str">
        <f>IF($A232="","",CHOOSE('Calc riepilogo'!$B$2,'Calc valanga'!BC255,'Calc palla di neve'!BC255,'Calc personalizzata'!BC255))</f>
        <v/>
      </c>
      <c r="AD232" s="70" t="str">
        <f>IF($A232="","",ROUND(N(AE231)*(1+'Calc base'!R255),2)-AE232)</f>
        <v/>
      </c>
      <c r="AE232" s="75" t="str">
        <f>IF($A232="","",CHOOSE('Calc riepilogo'!$B$2,'Calc valanga'!BD255,'Calc palla di neve'!BD255,'Calc personalizzata'!BD255))</f>
        <v/>
      </c>
      <c r="AF232" s="70" t="str">
        <f>IF($A232="","",ROUND(N(AG231)*(1+'Calc base'!S255),2)-AG232)</f>
        <v/>
      </c>
      <c r="AG232" s="75" t="str">
        <f>IF($A232="","",CHOOSE('Calc riepilogo'!$B$2,'Calc valanga'!BE255,'Calc palla di neve'!BE255,'Calc personalizzata'!BE255))</f>
        <v/>
      </c>
      <c r="AI232" t="n">
        <v>225</v>
      </c>
    </row>
    <row r="233">
      <c r="A233" s="68" t="str">
        <f>IF(226&gt;'Calc riepilogo'!$B$7,"",'Calc base'!$B256)</f>
        <v/>
      </c>
      <c r="B233" s="69" t="str">
        <f>IF($A233="","",'Calc base'!$C256)</f>
        <v/>
      </c>
      <c r="C233" s="69" t="str">
        <f>IF($A233="","",'Calc base'!$E256)</f>
        <v/>
      </c>
      <c r="D233" s="70" t="str">
        <f>IF($A233="","",J233+L233+N233+P233+R233+T233+V233+X233+Z233+AB233+AD233+AF233)</f>
        <v/>
      </c>
      <c r="E233" s="70" t="str">
        <f>IF($A233="","",CHOOSE('Calc riepilogo'!$B$2,'Calc valanga'!$H256,'Calc palla di neve'!$H256,'Calc personalizzata'!$H256))</f>
        <v/>
      </c>
      <c r="F233" s="71" t="str">
        <f>IF($A233="","",CHOOSE('Calc riepilogo'!$B$2,'Calc valanga'!$G256,'Calc palla di neve'!$G256,'Calc personalizzata'!$G256))</f>
        <v/>
      </c>
      <c r="G233" s="72" t="n"/>
      <c r="H233" s="73" t="n"/>
      <c r="I233" s="74" t="str">
        <f>IF($A233="","",TRIM(IF(AND(N(K232)&gt;0,N(K233)&lt;=0.004),"✓ "&amp;'Calc base'!C$6&amp;"   ","")&amp;IF(AND(N(M232)&gt;0,N(M233)&lt;=0.004),"✓ "&amp;'Calc base'!D$6&amp;"   ","")&amp;IF(AND(N(O232)&gt;0,N(O233)&lt;=0.004),"✓ "&amp;'Calc base'!E$6&amp;"   ","")&amp;IF(AND(N(Q232)&gt;0,N(Q233)&lt;=0.004),"✓ "&amp;'Calc base'!F$6&amp;"   ","")&amp;IF(AND(N(S232)&gt;0,N(S233)&lt;=0.004),"✓ "&amp;'Calc base'!G$6&amp;"   ","")&amp;IF(AND(N(U232)&gt;0,N(U233)&lt;=0.004),"✓ "&amp;'Calc base'!H$6&amp;"   ","")&amp;IF(AND(N(W232)&gt;0,N(W233)&lt;=0.004),"✓ "&amp;'Calc base'!I$6&amp;"   ","")&amp;IF(AND(N(Y232)&gt;0,N(Y233)&lt;=0.004),"✓ "&amp;'Calc base'!J$6&amp;"   ","")&amp;IF(AND(N(AA232)&gt;0,N(AA233)&lt;=0.004),"✓ "&amp;'Calc base'!K$6&amp;"   ","")&amp;IF(AND(N(AC232)&gt;0,N(AC233)&lt;=0.004),"✓ "&amp;'Calc base'!L$6&amp;"   ","")&amp;IF(AND(N(AE232)&gt;0,N(AE233)&lt;=0.004),"✓ "&amp;'Calc base'!M$6&amp;"   ","")&amp;IF(AND(N(AG232)&gt;0,N(AG233)&lt;=0.004),"✓ "&amp;'Calc base'!N$6&amp;"   ","")))</f>
        <v/>
      </c>
      <c r="J233" s="70" t="str">
        <f>IF($A233="","",ROUND(N(K232)*(1+'Calc base'!H256),2)-K233)</f>
        <v/>
      </c>
      <c r="K233" s="75" t="str">
        <f>IF($A233="","",CHOOSE('Calc riepilogo'!$B$2,'Calc valanga'!AT256,'Calc palla di neve'!AT256,'Calc personalizzata'!AT256))</f>
        <v/>
      </c>
      <c r="L233" s="70" t="str">
        <f>IF($A233="","",ROUND(N(M232)*(1+'Calc base'!I256),2)-M233)</f>
        <v/>
      </c>
      <c r="M233" s="75" t="str">
        <f>IF($A233="","",CHOOSE('Calc riepilogo'!$B$2,'Calc valanga'!AU256,'Calc palla di neve'!AU256,'Calc personalizzata'!AU256))</f>
        <v/>
      </c>
      <c r="N233" s="70" t="str">
        <f>IF($A233="","",ROUND(N(O232)*(1+'Calc base'!J256),2)-O233)</f>
        <v/>
      </c>
      <c r="O233" s="75" t="str">
        <f>IF($A233="","",CHOOSE('Calc riepilogo'!$B$2,'Calc valanga'!AV256,'Calc palla di neve'!AV256,'Calc personalizzata'!AV256))</f>
        <v/>
      </c>
      <c r="P233" s="70" t="str">
        <f>IF($A233="","",ROUND(N(Q232)*(1+'Calc base'!K256),2)-Q233)</f>
        <v/>
      </c>
      <c r="Q233" s="75" t="str">
        <f>IF($A233="","",CHOOSE('Calc riepilogo'!$B$2,'Calc valanga'!AW256,'Calc palla di neve'!AW256,'Calc personalizzata'!AW256))</f>
        <v/>
      </c>
      <c r="R233" s="70" t="str">
        <f>IF($A233="","",ROUND(N(S232)*(1+'Calc base'!L256),2)-S233)</f>
        <v/>
      </c>
      <c r="S233" s="75" t="str">
        <f>IF($A233="","",CHOOSE('Calc riepilogo'!$B$2,'Calc valanga'!AX256,'Calc palla di neve'!AX256,'Calc personalizzata'!AX256))</f>
        <v/>
      </c>
      <c r="T233" s="70" t="str">
        <f>IF($A233="","",ROUND(N(U232)*(1+'Calc base'!M256),2)-U233)</f>
        <v/>
      </c>
      <c r="U233" s="75" t="str">
        <f>IF($A233="","",CHOOSE('Calc riepilogo'!$B$2,'Calc valanga'!AY256,'Calc palla di neve'!AY256,'Calc personalizzata'!AY256))</f>
        <v/>
      </c>
      <c r="V233" s="70" t="str">
        <f>IF($A233="","",ROUND(N(W232)*(1+'Calc base'!N256),2)-W233)</f>
        <v/>
      </c>
      <c r="W233" s="75" t="str">
        <f>IF($A233="","",CHOOSE('Calc riepilogo'!$B$2,'Calc valanga'!AZ256,'Calc palla di neve'!AZ256,'Calc personalizzata'!AZ256))</f>
        <v/>
      </c>
      <c r="X233" s="70" t="str">
        <f>IF($A233="","",ROUND(N(Y232)*(1+'Calc base'!O256),2)-Y233)</f>
        <v/>
      </c>
      <c r="Y233" s="75" t="str">
        <f>IF($A233="","",CHOOSE('Calc riepilogo'!$B$2,'Calc valanga'!BA256,'Calc palla di neve'!BA256,'Calc personalizzata'!BA256))</f>
        <v/>
      </c>
      <c r="Z233" s="70" t="str">
        <f>IF($A233="","",ROUND(N(AA232)*(1+'Calc base'!P256),2)-AA233)</f>
        <v/>
      </c>
      <c r="AA233" s="75" t="str">
        <f>IF($A233="","",CHOOSE('Calc riepilogo'!$B$2,'Calc valanga'!BB256,'Calc palla di neve'!BB256,'Calc personalizzata'!BB256))</f>
        <v/>
      </c>
      <c r="AB233" s="70" t="str">
        <f>IF($A233="","",ROUND(N(AC232)*(1+'Calc base'!Q256),2)-AC233)</f>
        <v/>
      </c>
      <c r="AC233" s="75" t="str">
        <f>IF($A233="","",CHOOSE('Calc riepilogo'!$B$2,'Calc valanga'!BC256,'Calc palla di neve'!BC256,'Calc personalizzata'!BC256))</f>
        <v/>
      </c>
      <c r="AD233" s="70" t="str">
        <f>IF($A233="","",ROUND(N(AE232)*(1+'Calc base'!R256),2)-AE233)</f>
        <v/>
      </c>
      <c r="AE233" s="75" t="str">
        <f>IF($A233="","",CHOOSE('Calc riepilogo'!$B$2,'Calc valanga'!BD256,'Calc palla di neve'!BD256,'Calc personalizzata'!BD256))</f>
        <v/>
      </c>
      <c r="AF233" s="70" t="str">
        <f>IF($A233="","",ROUND(N(AG232)*(1+'Calc base'!S256),2)-AG233)</f>
        <v/>
      </c>
      <c r="AG233" s="75" t="str">
        <f>IF($A233="","",CHOOSE('Calc riepilogo'!$B$2,'Calc valanga'!BE256,'Calc palla di neve'!BE256,'Calc personalizzata'!BE256))</f>
        <v/>
      </c>
      <c r="AI233" t="n">
        <v>226</v>
      </c>
    </row>
    <row r="234">
      <c r="A234" s="68" t="str">
        <f>IF(227&gt;'Calc riepilogo'!$B$7,"",'Calc base'!$B257)</f>
        <v/>
      </c>
      <c r="B234" s="69" t="str">
        <f>IF($A234="","",'Calc base'!$C257)</f>
        <v/>
      </c>
      <c r="C234" s="69" t="str">
        <f>IF($A234="","",'Calc base'!$E257)</f>
        <v/>
      </c>
      <c r="D234" s="70" t="str">
        <f>IF($A234="","",J234+L234+N234+P234+R234+T234+V234+X234+Z234+AB234+AD234+AF234)</f>
        <v/>
      </c>
      <c r="E234" s="70" t="str">
        <f>IF($A234="","",CHOOSE('Calc riepilogo'!$B$2,'Calc valanga'!$H257,'Calc palla di neve'!$H257,'Calc personalizzata'!$H257))</f>
        <v/>
      </c>
      <c r="F234" s="71" t="str">
        <f>IF($A234="","",CHOOSE('Calc riepilogo'!$B$2,'Calc valanga'!$G257,'Calc palla di neve'!$G257,'Calc personalizzata'!$G257))</f>
        <v/>
      </c>
      <c r="G234" s="72" t="n"/>
      <c r="H234" s="73" t="n"/>
      <c r="I234" s="74" t="str">
        <f>IF($A234="","",TRIM(IF(AND(N(K233)&gt;0,N(K234)&lt;=0.004),"✓ "&amp;'Calc base'!C$6&amp;"   ","")&amp;IF(AND(N(M233)&gt;0,N(M234)&lt;=0.004),"✓ "&amp;'Calc base'!D$6&amp;"   ","")&amp;IF(AND(N(O233)&gt;0,N(O234)&lt;=0.004),"✓ "&amp;'Calc base'!E$6&amp;"   ","")&amp;IF(AND(N(Q233)&gt;0,N(Q234)&lt;=0.004),"✓ "&amp;'Calc base'!F$6&amp;"   ","")&amp;IF(AND(N(S233)&gt;0,N(S234)&lt;=0.004),"✓ "&amp;'Calc base'!G$6&amp;"   ","")&amp;IF(AND(N(U233)&gt;0,N(U234)&lt;=0.004),"✓ "&amp;'Calc base'!H$6&amp;"   ","")&amp;IF(AND(N(W233)&gt;0,N(W234)&lt;=0.004),"✓ "&amp;'Calc base'!I$6&amp;"   ","")&amp;IF(AND(N(Y233)&gt;0,N(Y234)&lt;=0.004),"✓ "&amp;'Calc base'!J$6&amp;"   ","")&amp;IF(AND(N(AA233)&gt;0,N(AA234)&lt;=0.004),"✓ "&amp;'Calc base'!K$6&amp;"   ","")&amp;IF(AND(N(AC233)&gt;0,N(AC234)&lt;=0.004),"✓ "&amp;'Calc base'!L$6&amp;"   ","")&amp;IF(AND(N(AE233)&gt;0,N(AE234)&lt;=0.004),"✓ "&amp;'Calc base'!M$6&amp;"   ","")&amp;IF(AND(N(AG233)&gt;0,N(AG234)&lt;=0.004),"✓ "&amp;'Calc base'!N$6&amp;"   ","")))</f>
        <v/>
      </c>
      <c r="J234" s="70" t="str">
        <f>IF($A234="","",ROUND(N(K233)*(1+'Calc base'!H257),2)-K234)</f>
        <v/>
      </c>
      <c r="K234" s="75" t="str">
        <f>IF($A234="","",CHOOSE('Calc riepilogo'!$B$2,'Calc valanga'!AT257,'Calc palla di neve'!AT257,'Calc personalizzata'!AT257))</f>
        <v/>
      </c>
      <c r="L234" s="70" t="str">
        <f>IF($A234="","",ROUND(N(M233)*(1+'Calc base'!I257),2)-M234)</f>
        <v/>
      </c>
      <c r="M234" s="75" t="str">
        <f>IF($A234="","",CHOOSE('Calc riepilogo'!$B$2,'Calc valanga'!AU257,'Calc palla di neve'!AU257,'Calc personalizzata'!AU257))</f>
        <v/>
      </c>
      <c r="N234" s="70" t="str">
        <f>IF($A234="","",ROUND(N(O233)*(1+'Calc base'!J257),2)-O234)</f>
        <v/>
      </c>
      <c r="O234" s="75" t="str">
        <f>IF($A234="","",CHOOSE('Calc riepilogo'!$B$2,'Calc valanga'!AV257,'Calc palla di neve'!AV257,'Calc personalizzata'!AV257))</f>
        <v/>
      </c>
      <c r="P234" s="70" t="str">
        <f>IF($A234="","",ROUND(N(Q233)*(1+'Calc base'!K257),2)-Q234)</f>
        <v/>
      </c>
      <c r="Q234" s="75" t="str">
        <f>IF($A234="","",CHOOSE('Calc riepilogo'!$B$2,'Calc valanga'!AW257,'Calc palla di neve'!AW257,'Calc personalizzata'!AW257))</f>
        <v/>
      </c>
      <c r="R234" s="70" t="str">
        <f>IF($A234="","",ROUND(N(S233)*(1+'Calc base'!L257),2)-S234)</f>
        <v/>
      </c>
      <c r="S234" s="75" t="str">
        <f>IF($A234="","",CHOOSE('Calc riepilogo'!$B$2,'Calc valanga'!AX257,'Calc palla di neve'!AX257,'Calc personalizzata'!AX257))</f>
        <v/>
      </c>
      <c r="T234" s="70" t="str">
        <f>IF($A234="","",ROUND(N(U233)*(1+'Calc base'!M257),2)-U234)</f>
        <v/>
      </c>
      <c r="U234" s="75" t="str">
        <f>IF($A234="","",CHOOSE('Calc riepilogo'!$B$2,'Calc valanga'!AY257,'Calc palla di neve'!AY257,'Calc personalizzata'!AY257))</f>
        <v/>
      </c>
      <c r="V234" s="70" t="str">
        <f>IF($A234="","",ROUND(N(W233)*(1+'Calc base'!N257),2)-W234)</f>
        <v/>
      </c>
      <c r="W234" s="75" t="str">
        <f>IF($A234="","",CHOOSE('Calc riepilogo'!$B$2,'Calc valanga'!AZ257,'Calc palla di neve'!AZ257,'Calc personalizzata'!AZ257))</f>
        <v/>
      </c>
      <c r="X234" s="70" t="str">
        <f>IF($A234="","",ROUND(N(Y233)*(1+'Calc base'!O257),2)-Y234)</f>
        <v/>
      </c>
      <c r="Y234" s="75" t="str">
        <f>IF($A234="","",CHOOSE('Calc riepilogo'!$B$2,'Calc valanga'!BA257,'Calc palla di neve'!BA257,'Calc personalizzata'!BA257))</f>
        <v/>
      </c>
      <c r="Z234" s="70" t="str">
        <f>IF($A234="","",ROUND(N(AA233)*(1+'Calc base'!P257),2)-AA234)</f>
        <v/>
      </c>
      <c r="AA234" s="75" t="str">
        <f>IF($A234="","",CHOOSE('Calc riepilogo'!$B$2,'Calc valanga'!BB257,'Calc palla di neve'!BB257,'Calc personalizzata'!BB257))</f>
        <v/>
      </c>
      <c r="AB234" s="70" t="str">
        <f>IF($A234="","",ROUND(N(AC233)*(1+'Calc base'!Q257),2)-AC234)</f>
        <v/>
      </c>
      <c r="AC234" s="75" t="str">
        <f>IF($A234="","",CHOOSE('Calc riepilogo'!$B$2,'Calc valanga'!BC257,'Calc palla di neve'!BC257,'Calc personalizzata'!BC257))</f>
        <v/>
      </c>
      <c r="AD234" s="70" t="str">
        <f>IF($A234="","",ROUND(N(AE233)*(1+'Calc base'!R257),2)-AE234)</f>
        <v/>
      </c>
      <c r="AE234" s="75" t="str">
        <f>IF($A234="","",CHOOSE('Calc riepilogo'!$B$2,'Calc valanga'!BD257,'Calc palla di neve'!BD257,'Calc personalizzata'!BD257))</f>
        <v/>
      </c>
      <c r="AF234" s="70" t="str">
        <f>IF($A234="","",ROUND(N(AG233)*(1+'Calc base'!S257),2)-AG234)</f>
        <v/>
      </c>
      <c r="AG234" s="75" t="str">
        <f>IF($A234="","",CHOOSE('Calc riepilogo'!$B$2,'Calc valanga'!BE257,'Calc palla di neve'!BE257,'Calc personalizzata'!BE257))</f>
        <v/>
      </c>
      <c r="AI234" t="n">
        <v>227</v>
      </c>
    </row>
    <row r="235">
      <c r="A235" s="68" t="str">
        <f>IF(228&gt;'Calc riepilogo'!$B$7,"",'Calc base'!$B258)</f>
        <v/>
      </c>
      <c r="B235" s="69" t="str">
        <f>IF($A235="","",'Calc base'!$C258)</f>
        <v/>
      </c>
      <c r="C235" s="69" t="str">
        <f>IF($A235="","",'Calc base'!$E258)</f>
        <v/>
      </c>
      <c r="D235" s="70" t="str">
        <f>IF($A235="","",J235+L235+N235+P235+R235+T235+V235+X235+Z235+AB235+AD235+AF235)</f>
        <v/>
      </c>
      <c r="E235" s="70" t="str">
        <f>IF($A235="","",CHOOSE('Calc riepilogo'!$B$2,'Calc valanga'!$H258,'Calc palla di neve'!$H258,'Calc personalizzata'!$H258))</f>
        <v/>
      </c>
      <c r="F235" s="71" t="str">
        <f>IF($A235="","",CHOOSE('Calc riepilogo'!$B$2,'Calc valanga'!$G258,'Calc palla di neve'!$G258,'Calc personalizzata'!$G258))</f>
        <v/>
      </c>
      <c r="G235" s="72" t="n"/>
      <c r="H235" s="73" t="n"/>
      <c r="I235" s="74" t="str">
        <f>IF($A235="","",TRIM(IF(AND(N(K234)&gt;0,N(K235)&lt;=0.004),"✓ "&amp;'Calc base'!C$6&amp;"   ","")&amp;IF(AND(N(M234)&gt;0,N(M235)&lt;=0.004),"✓ "&amp;'Calc base'!D$6&amp;"   ","")&amp;IF(AND(N(O234)&gt;0,N(O235)&lt;=0.004),"✓ "&amp;'Calc base'!E$6&amp;"   ","")&amp;IF(AND(N(Q234)&gt;0,N(Q235)&lt;=0.004),"✓ "&amp;'Calc base'!F$6&amp;"   ","")&amp;IF(AND(N(S234)&gt;0,N(S235)&lt;=0.004),"✓ "&amp;'Calc base'!G$6&amp;"   ","")&amp;IF(AND(N(U234)&gt;0,N(U235)&lt;=0.004),"✓ "&amp;'Calc base'!H$6&amp;"   ","")&amp;IF(AND(N(W234)&gt;0,N(W235)&lt;=0.004),"✓ "&amp;'Calc base'!I$6&amp;"   ","")&amp;IF(AND(N(Y234)&gt;0,N(Y235)&lt;=0.004),"✓ "&amp;'Calc base'!J$6&amp;"   ","")&amp;IF(AND(N(AA234)&gt;0,N(AA235)&lt;=0.004),"✓ "&amp;'Calc base'!K$6&amp;"   ","")&amp;IF(AND(N(AC234)&gt;0,N(AC235)&lt;=0.004),"✓ "&amp;'Calc base'!L$6&amp;"   ","")&amp;IF(AND(N(AE234)&gt;0,N(AE235)&lt;=0.004),"✓ "&amp;'Calc base'!M$6&amp;"   ","")&amp;IF(AND(N(AG234)&gt;0,N(AG235)&lt;=0.004),"✓ "&amp;'Calc base'!N$6&amp;"   ","")))</f>
        <v/>
      </c>
      <c r="J235" s="70" t="str">
        <f>IF($A235="","",ROUND(N(K234)*(1+'Calc base'!H258),2)-K235)</f>
        <v/>
      </c>
      <c r="K235" s="75" t="str">
        <f>IF($A235="","",CHOOSE('Calc riepilogo'!$B$2,'Calc valanga'!AT258,'Calc palla di neve'!AT258,'Calc personalizzata'!AT258))</f>
        <v/>
      </c>
      <c r="L235" s="70" t="str">
        <f>IF($A235="","",ROUND(N(M234)*(1+'Calc base'!I258),2)-M235)</f>
        <v/>
      </c>
      <c r="M235" s="75" t="str">
        <f>IF($A235="","",CHOOSE('Calc riepilogo'!$B$2,'Calc valanga'!AU258,'Calc palla di neve'!AU258,'Calc personalizzata'!AU258))</f>
        <v/>
      </c>
      <c r="N235" s="70" t="str">
        <f>IF($A235="","",ROUND(N(O234)*(1+'Calc base'!J258),2)-O235)</f>
        <v/>
      </c>
      <c r="O235" s="75" t="str">
        <f>IF($A235="","",CHOOSE('Calc riepilogo'!$B$2,'Calc valanga'!AV258,'Calc palla di neve'!AV258,'Calc personalizzata'!AV258))</f>
        <v/>
      </c>
      <c r="P235" s="70" t="str">
        <f>IF($A235="","",ROUND(N(Q234)*(1+'Calc base'!K258),2)-Q235)</f>
        <v/>
      </c>
      <c r="Q235" s="75" t="str">
        <f>IF($A235="","",CHOOSE('Calc riepilogo'!$B$2,'Calc valanga'!AW258,'Calc palla di neve'!AW258,'Calc personalizzata'!AW258))</f>
        <v/>
      </c>
      <c r="R235" s="70" t="str">
        <f>IF($A235="","",ROUND(N(S234)*(1+'Calc base'!L258),2)-S235)</f>
        <v/>
      </c>
      <c r="S235" s="75" t="str">
        <f>IF($A235="","",CHOOSE('Calc riepilogo'!$B$2,'Calc valanga'!AX258,'Calc palla di neve'!AX258,'Calc personalizzata'!AX258))</f>
        <v/>
      </c>
      <c r="T235" s="70" t="str">
        <f>IF($A235="","",ROUND(N(U234)*(1+'Calc base'!M258),2)-U235)</f>
        <v/>
      </c>
      <c r="U235" s="75" t="str">
        <f>IF($A235="","",CHOOSE('Calc riepilogo'!$B$2,'Calc valanga'!AY258,'Calc palla di neve'!AY258,'Calc personalizzata'!AY258))</f>
        <v/>
      </c>
      <c r="V235" s="70" t="str">
        <f>IF($A235="","",ROUND(N(W234)*(1+'Calc base'!N258),2)-W235)</f>
        <v/>
      </c>
      <c r="W235" s="75" t="str">
        <f>IF($A235="","",CHOOSE('Calc riepilogo'!$B$2,'Calc valanga'!AZ258,'Calc palla di neve'!AZ258,'Calc personalizzata'!AZ258))</f>
        <v/>
      </c>
      <c r="X235" s="70" t="str">
        <f>IF($A235="","",ROUND(N(Y234)*(1+'Calc base'!O258),2)-Y235)</f>
        <v/>
      </c>
      <c r="Y235" s="75" t="str">
        <f>IF($A235="","",CHOOSE('Calc riepilogo'!$B$2,'Calc valanga'!BA258,'Calc palla di neve'!BA258,'Calc personalizzata'!BA258))</f>
        <v/>
      </c>
      <c r="Z235" s="70" t="str">
        <f>IF($A235="","",ROUND(N(AA234)*(1+'Calc base'!P258),2)-AA235)</f>
        <v/>
      </c>
      <c r="AA235" s="75" t="str">
        <f>IF($A235="","",CHOOSE('Calc riepilogo'!$B$2,'Calc valanga'!BB258,'Calc palla di neve'!BB258,'Calc personalizzata'!BB258))</f>
        <v/>
      </c>
      <c r="AB235" s="70" t="str">
        <f>IF($A235="","",ROUND(N(AC234)*(1+'Calc base'!Q258),2)-AC235)</f>
        <v/>
      </c>
      <c r="AC235" s="75" t="str">
        <f>IF($A235="","",CHOOSE('Calc riepilogo'!$B$2,'Calc valanga'!BC258,'Calc palla di neve'!BC258,'Calc personalizzata'!BC258))</f>
        <v/>
      </c>
      <c r="AD235" s="70" t="str">
        <f>IF($A235="","",ROUND(N(AE234)*(1+'Calc base'!R258),2)-AE235)</f>
        <v/>
      </c>
      <c r="AE235" s="75" t="str">
        <f>IF($A235="","",CHOOSE('Calc riepilogo'!$B$2,'Calc valanga'!BD258,'Calc palla di neve'!BD258,'Calc personalizzata'!BD258))</f>
        <v/>
      </c>
      <c r="AF235" s="70" t="str">
        <f>IF($A235="","",ROUND(N(AG234)*(1+'Calc base'!S258),2)-AG235)</f>
        <v/>
      </c>
      <c r="AG235" s="75" t="str">
        <f>IF($A235="","",CHOOSE('Calc riepilogo'!$B$2,'Calc valanga'!BE258,'Calc palla di neve'!BE258,'Calc personalizzata'!BE258))</f>
        <v/>
      </c>
      <c r="AI235" t="n">
        <v>228</v>
      </c>
    </row>
    <row r="236">
      <c r="A236" s="68" t="str">
        <f>IF(229&gt;'Calc riepilogo'!$B$7,"",'Calc base'!$B259)</f>
        <v/>
      </c>
      <c r="B236" s="69" t="str">
        <f>IF($A236="","",'Calc base'!$C259)</f>
        <v/>
      </c>
      <c r="C236" s="69" t="str">
        <f>IF($A236="","",'Calc base'!$E259)</f>
        <v/>
      </c>
      <c r="D236" s="70" t="str">
        <f>IF($A236="","",J236+L236+N236+P236+R236+T236+V236+X236+Z236+AB236+AD236+AF236)</f>
        <v/>
      </c>
      <c r="E236" s="70" t="str">
        <f>IF($A236="","",CHOOSE('Calc riepilogo'!$B$2,'Calc valanga'!$H259,'Calc palla di neve'!$H259,'Calc personalizzata'!$H259))</f>
        <v/>
      </c>
      <c r="F236" s="71" t="str">
        <f>IF($A236="","",CHOOSE('Calc riepilogo'!$B$2,'Calc valanga'!$G259,'Calc palla di neve'!$G259,'Calc personalizzata'!$G259))</f>
        <v/>
      </c>
      <c r="G236" s="72" t="n"/>
      <c r="H236" s="73" t="n"/>
      <c r="I236" s="74" t="str">
        <f>IF($A236="","",TRIM(IF(AND(N(K235)&gt;0,N(K236)&lt;=0.004),"✓ "&amp;'Calc base'!C$6&amp;"   ","")&amp;IF(AND(N(M235)&gt;0,N(M236)&lt;=0.004),"✓ "&amp;'Calc base'!D$6&amp;"   ","")&amp;IF(AND(N(O235)&gt;0,N(O236)&lt;=0.004),"✓ "&amp;'Calc base'!E$6&amp;"   ","")&amp;IF(AND(N(Q235)&gt;0,N(Q236)&lt;=0.004),"✓ "&amp;'Calc base'!F$6&amp;"   ","")&amp;IF(AND(N(S235)&gt;0,N(S236)&lt;=0.004),"✓ "&amp;'Calc base'!G$6&amp;"   ","")&amp;IF(AND(N(U235)&gt;0,N(U236)&lt;=0.004),"✓ "&amp;'Calc base'!H$6&amp;"   ","")&amp;IF(AND(N(W235)&gt;0,N(W236)&lt;=0.004),"✓ "&amp;'Calc base'!I$6&amp;"   ","")&amp;IF(AND(N(Y235)&gt;0,N(Y236)&lt;=0.004),"✓ "&amp;'Calc base'!J$6&amp;"   ","")&amp;IF(AND(N(AA235)&gt;0,N(AA236)&lt;=0.004),"✓ "&amp;'Calc base'!K$6&amp;"   ","")&amp;IF(AND(N(AC235)&gt;0,N(AC236)&lt;=0.004),"✓ "&amp;'Calc base'!L$6&amp;"   ","")&amp;IF(AND(N(AE235)&gt;0,N(AE236)&lt;=0.004),"✓ "&amp;'Calc base'!M$6&amp;"   ","")&amp;IF(AND(N(AG235)&gt;0,N(AG236)&lt;=0.004),"✓ "&amp;'Calc base'!N$6&amp;"   ","")))</f>
        <v/>
      </c>
      <c r="J236" s="70" t="str">
        <f>IF($A236="","",ROUND(N(K235)*(1+'Calc base'!H259),2)-K236)</f>
        <v/>
      </c>
      <c r="K236" s="75" t="str">
        <f>IF($A236="","",CHOOSE('Calc riepilogo'!$B$2,'Calc valanga'!AT259,'Calc palla di neve'!AT259,'Calc personalizzata'!AT259))</f>
        <v/>
      </c>
      <c r="L236" s="70" t="str">
        <f>IF($A236="","",ROUND(N(M235)*(1+'Calc base'!I259),2)-M236)</f>
        <v/>
      </c>
      <c r="M236" s="75" t="str">
        <f>IF($A236="","",CHOOSE('Calc riepilogo'!$B$2,'Calc valanga'!AU259,'Calc palla di neve'!AU259,'Calc personalizzata'!AU259))</f>
        <v/>
      </c>
      <c r="N236" s="70" t="str">
        <f>IF($A236="","",ROUND(N(O235)*(1+'Calc base'!J259),2)-O236)</f>
        <v/>
      </c>
      <c r="O236" s="75" t="str">
        <f>IF($A236="","",CHOOSE('Calc riepilogo'!$B$2,'Calc valanga'!AV259,'Calc palla di neve'!AV259,'Calc personalizzata'!AV259))</f>
        <v/>
      </c>
      <c r="P236" s="70" t="str">
        <f>IF($A236="","",ROUND(N(Q235)*(1+'Calc base'!K259),2)-Q236)</f>
        <v/>
      </c>
      <c r="Q236" s="75" t="str">
        <f>IF($A236="","",CHOOSE('Calc riepilogo'!$B$2,'Calc valanga'!AW259,'Calc palla di neve'!AW259,'Calc personalizzata'!AW259))</f>
        <v/>
      </c>
      <c r="R236" s="70" t="str">
        <f>IF($A236="","",ROUND(N(S235)*(1+'Calc base'!L259),2)-S236)</f>
        <v/>
      </c>
      <c r="S236" s="75" t="str">
        <f>IF($A236="","",CHOOSE('Calc riepilogo'!$B$2,'Calc valanga'!AX259,'Calc palla di neve'!AX259,'Calc personalizzata'!AX259))</f>
        <v/>
      </c>
      <c r="T236" s="70" t="str">
        <f>IF($A236="","",ROUND(N(U235)*(1+'Calc base'!M259),2)-U236)</f>
        <v/>
      </c>
      <c r="U236" s="75" t="str">
        <f>IF($A236="","",CHOOSE('Calc riepilogo'!$B$2,'Calc valanga'!AY259,'Calc palla di neve'!AY259,'Calc personalizzata'!AY259))</f>
        <v/>
      </c>
      <c r="V236" s="70" t="str">
        <f>IF($A236="","",ROUND(N(W235)*(1+'Calc base'!N259),2)-W236)</f>
        <v/>
      </c>
      <c r="W236" s="75" t="str">
        <f>IF($A236="","",CHOOSE('Calc riepilogo'!$B$2,'Calc valanga'!AZ259,'Calc palla di neve'!AZ259,'Calc personalizzata'!AZ259))</f>
        <v/>
      </c>
      <c r="X236" s="70" t="str">
        <f>IF($A236="","",ROUND(N(Y235)*(1+'Calc base'!O259),2)-Y236)</f>
        <v/>
      </c>
      <c r="Y236" s="75" t="str">
        <f>IF($A236="","",CHOOSE('Calc riepilogo'!$B$2,'Calc valanga'!BA259,'Calc palla di neve'!BA259,'Calc personalizzata'!BA259))</f>
        <v/>
      </c>
      <c r="Z236" s="70" t="str">
        <f>IF($A236="","",ROUND(N(AA235)*(1+'Calc base'!P259),2)-AA236)</f>
        <v/>
      </c>
      <c r="AA236" s="75" t="str">
        <f>IF($A236="","",CHOOSE('Calc riepilogo'!$B$2,'Calc valanga'!BB259,'Calc palla di neve'!BB259,'Calc personalizzata'!BB259))</f>
        <v/>
      </c>
      <c r="AB236" s="70" t="str">
        <f>IF($A236="","",ROUND(N(AC235)*(1+'Calc base'!Q259),2)-AC236)</f>
        <v/>
      </c>
      <c r="AC236" s="75" t="str">
        <f>IF($A236="","",CHOOSE('Calc riepilogo'!$B$2,'Calc valanga'!BC259,'Calc palla di neve'!BC259,'Calc personalizzata'!BC259))</f>
        <v/>
      </c>
      <c r="AD236" s="70" t="str">
        <f>IF($A236="","",ROUND(N(AE235)*(1+'Calc base'!R259),2)-AE236)</f>
        <v/>
      </c>
      <c r="AE236" s="75" t="str">
        <f>IF($A236="","",CHOOSE('Calc riepilogo'!$B$2,'Calc valanga'!BD259,'Calc palla di neve'!BD259,'Calc personalizzata'!BD259))</f>
        <v/>
      </c>
      <c r="AF236" s="70" t="str">
        <f>IF($A236="","",ROUND(N(AG235)*(1+'Calc base'!S259),2)-AG236)</f>
        <v/>
      </c>
      <c r="AG236" s="75" t="str">
        <f>IF($A236="","",CHOOSE('Calc riepilogo'!$B$2,'Calc valanga'!BE259,'Calc palla di neve'!BE259,'Calc personalizzata'!BE259))</f>
        <v/>
      </c>
      <c r="AI236" t="n">
        <v>229</v>
      </c>
    </row>
    <row r="237">
      <c r="A237" s="68" t="str">
        <f>IF(230&gt;'Calc riepilogo'!$B$7,"",'Calc base'!$B260)</f>
        <v/>
      </c>
      <c r="B237" s="69" t="str">
        <f>IF($A237="","",'Calc base'!$C260)</f>
        <v/>
      </c>
      <c r="C237" s="69" t="str">
        <f>IF($A237="","",'Calc base'!$E260)</f>
        <v/>
      </c>
      <c r="D237" s="70" t="str">
        <f>IF($A237="","",J237+L237+N237+P237+R237+T237+V237+X237+Z237+AB237+AD237+AF237)</f>
        <v/>
      </c>
      <c r="E237" s="70" t="str">
        <f>IF($A237="","",CHOOSE('Calc riepilogo'!$B$2,'Calc valanga'!$H260,'Calc palla di neve'!$H260,'Calc personalizzata'!$H260))</f>
        <v/>
      </c>
      <c r="F237" s="71" t="str">
        <f>IF($A237="","",CHOOSE('Calc riepilogo'!$B$2,'Calc valanga'!$G260,'Calc palla di neve'!$G260,'Calc personalizzata'!$G260))</f>
        <v/>
      </c>
      <c r="G237" s="72" t="n"/>
      <c r="H237" s="73" t="n"/>
      <c r="I237" s="74" t="str">
        <f>IF($A237="","",TRIM(IF(AND(N(K236)&gt;0,N(K237)&lt;=0.004),"✓ "&amp;'Calc base'!C$6&amp;"   ","")&amp;IF(AND(N(M236)&gt;0,N(M237)&lt;=0.004),"✓ "&amp;'Calc base'!D$6&amp;"   ","")&amp;IF(AND(N(O236)&gt;0,N(O237)&lt;=0.004),"✓ "&amp;'Calc base'!E$6&amp;"   ","")&amp;IF(AND(N(Q236)&gt;0,N(Q237)&lt;=0.004),"✓ "&amp;'Calc base'!F$6&amp;"   ","")&amp;IF(AND(N(S236)&gt;0,N(S237)&lt;=0.004),"✓ "&amp;'Calc base'!G$6&amp;"   ","")&amp;IF(AND(N(U236)&gt;0,N(U237)&lt;=0.004),"✓ "&amp;'Calc base'!H$6&amp;"   ","")&amp;IF(AND(N(W236)&gt;0,N(W237)&lt;=0.004),"✓ "&amp;'Calc base'!I$6&amp;"   ","")&amp;IF(AND(N(Y236)&gt;0,N(Y237)&lt;=0.004),"✓ "&amp;'Calc base'!J$6&amp;"   ","")&amp;IF(AND(N(AA236)&gt;0,N(AA237)&lt;=0.004),"✓ "&amp;'Calc base'!K$6&amp;"   ","")&amp;IF(AND(N(AC236)&gt;0,N(AC237)&lt;=0.004),"✓ "&amp;'Calc base'!L$6&amp;"   ","")&amp;IF(AND(N(AE236)&gt;0,N(AE237)&lt;=0.004),"✓ "&amp;'Calc base'!M$6&amp;"   ","")&amp;IF(AND(N(AG236)&gt;0,N(AG237)&lt;=0.004),"✓ "&amp;'Calc base'!N$6&amp;"   ","")))</f>
        <v/>
      </c>
      <c r="J237" s="70" t="str">
        <f>IF($A237="","",ROUND(N(K236)*(1+'Calc base'!H260),2)-K237)</f>
        <v/>
      </c>
      <c r="K237" s="75" t="str">
        <f>IF($A237="","",CHOOSE('Calc riepilogo'!$B$2,'Calc valanga'!AT260,'Calc palla di neve'!AT260,'Calc personalizzata'!AT260))</f>
        <v/>
      </c>
      <c r="L237" s="70" t="str">
        <f>IF($A237="","",ROUND(N(M236)*(1+'Calc base'!I260),2)-M237)</f>
        <v/>
      </c>
      <c r="M237" s="75" t="str">
        <f>IF($A237="","",CHOOSE('Calc riepilogo'!$B$2,'Calc valanga'!AU260,'Calc palla di neve'!AU260,'Calc personalizzata'!AU260))</f>
        <v/>
      </c>
      <c r="N237" s="70" t="str">
        <f>IF($A237="","",ROUND(N(O236)*(1+'Calc base'!J260),2)-O237)</f>
        <v/>
      </c>
      <c r="O237" s="75" t="str">
        <f>IF($A237="","",CHOOSE('Calc riepilogo'!$B$2,'Calc valanga'!AV260,'Calc palla di neve'!AV260,'Calc personalizzata'!AV260))</f>
        <v/>
      </c>
      <c r="P237" s="70" t="str">
        <f>IF($A237="","",ROUND(N(Q236)*(1+'Calc base'!K260),2)-Q237)</f>
        <v/>
      </c>
      <c r="Q237" s="75" t="str">
        <f>IF($A237="","",CHOOSE('Calc riepilogo'!$B$2,'Calc valanga'!AW260,'Calc palla di neve'!AW260,'Calc personalizzata'!AW260))</f>
        <v/>
      </c>
      <c r="R237" s="70" t="str">
        <f>IF($A237="","",ROUND(N(S236)*(1+'Calc base'!L260),2)-S237)</f>
        <v/>
      </c>
      <c r="S237" s="75" t="str">
        <f>IF($A237="","",CHOOSE('Calc riepilogo'!$B$2,'Calc valanga'!AX260,'Calc palla di neve'!AX260,'Calc personalizzata'!AX260))</f>
        <v/>
      </c>
      <c r="T237" s="70" t="str">
        <f>IF($A237="","",ROUND(N(U236)*(1+'Calc base'!M260),2)-U237)</f>
        <v/>
      </c>
      <c r="U237" s="75" t="str">
        <f>IF($A237="","",CHOOSE('Calc riepilogo'!$B$2,'Calc valanga'!AY260,'Calc palla di neve'!AY260,'Calc personalizzata'!AY260))</f>
        <v/>
      </c>
      <c r="V237" s="70" t="str">
        <f>IF($A237="","",ROUND(N(W236)*(1+'Calc base'!N260),2)-W237)</f>
        <v/>
      </c>
      <c r="W237" s="75" t="str">
        <f>IF($A237="","",CHOOSE('Calc riepilogo'!$B$2,'Calc valanga'!AZ260,'Calc palla di neve'!AZ260,'Calc personalizzata'!AZ260))</f>
        <v/>
      </c>
      <c r="X237" s="70" t="str">
        <f>IF($A237="","",ROUND(N(Y236)*(1+'Calc base'!O260),2)-Y237)</f>
        <v/>
      </c>
      <c r="Y237" s="75" t="str">
        <f>IF($A237="","",CHOOSE('Calc riepilogo'!$B$2,'Calc valanga'!BA260,'Calc palla di neve'!BA260,'Calc personalizzata'!BA260))</f>
        <v/>
      </c>
      <c r="Z237" s="70" t="str">
        <f>IF($A237="","",ROUND(N(AA236)*(1+'Calc base'!P260),2)-AA237)</f>
        <v/>
      </c>
      <c r="AA237" s="75" t="str">
        <f>IF($A237="","",CHOOSE('Calc riepilogo'!$B$2,'Calc valanga'!BB260,'Calc palla di neve'!BB260,'Calc personalizzata'!BB260))</f>
        <v/>
      </c>
      <c r="AB237" s="70" t="str">
        <f>IF($A237="","",ROUND(N(AC236)*(1+'Calc base'!Q260),2)-AC237)</f>
        <v/>
      </c>
      <c r="AC237" s="75" t="str">
        <f>IF($A237="","",CHOOSE('Calc riepilogo'!$B$2,'Calc valanga'!BC260,'Calc palla di neve'!BC260,'Calc personalizzata'!BC260))</f>
        <v/>
      </c>
      <c r="AD237" s="70" t="str">
        <f>IF($A237="","",ROUND(N(AE236)*(1+'Calc base'!R260),2)-AE237)</f>
        <v/>
      </c>
      <c r="AE237" s="75" t="str">
        <f>IF($A237="","",CHOOSE('Calc riepilogo'!$B$2,'Calc valanga'!BD260,'Calc palla di neve'!BD260,'Calc personalizzata'!BD260))</f>
        <v/>
      </c>
      <c r="AF237" s="70" t="str">
        <f>IF($A237="","",ROUND(N(AG236)*(1+'Calc base'!S260),2)-AG237)</f>
        <v/>
      </c>
      <c r="AG237" s="75" t="str">
        <f>IF($A237="","",CHOOSE('Calc riepilogo'!$B$2,'Calc valanga'!BE260,'Calc palla di neve'!BE260,'Calc personalizzata'!BE260))</f>
        <v/>
      </c>
      <c r="AI237" t="n">
        <v>230</v>
      </c>
    </row>
    <row r="238">
      <c r="A238" s="68" t="str">
        <f>IF(231&gt;'Calc riepilogo'!$B$7,"",'Calc base'!$B261)</f>
        <v/>
      </c>
      <c r="B238" s="69" t="str">
        <f>IF($A238="","",'Calc base'!$C261)</f>
        <v/>
      </c>
      <c r="C238" s="69" t="str">
        <f>IF($A238="","",'Calc base'!$E261)</f>
        <v/>
      </c>
      <c r="D238" s="70" t="str">
        <f>IF($A238="","",J238+L238+N238+P238+R238+T238+V238+X238+Z238+AB238+AD238+AF238)</f>
        <v/>
      </c>
      <c r="E238" s="70" t="str">
        <f>IF($A238="","",CHOOSE('Calc riepilogo'!$B$2,'Calc valanga'!$H261,'Calc palla di neve'!$H261,'Calc personalizzata'!$H261))</f>
        <v/>
      </c>
      <c r="F238" s="71" t="str">
        <f>IF($A238="","",CHOOSE('Calc riepilogo'!$B$2,'Calc valanga'!$G261,'Calc palla di neve'!$G261,'Calc personalizzata'!$G261))</f>
        <v/>
      </c>
      <c r="G238" s="72" t="n"/>
      <c r="H238" s="73" t="n"/>
      <c r="I238" s="74" t="str">
        <f>IF($A238="","",TRIM(IF(AND(N(K237)&gt;0,N(K238)&lt;=0.004),"✓ "&amp;'Calc base'!C$6&amp;"   ","")&amp;IF(AND(N(M237)&gt;0,N(M238)&lt;=0.004),"✓ "&amp;'Calc base'!D$6&amp;"   ","")&amp;IF(AND(N(O237)&gt;0,N(O238)&lt;=0.004),"✓ "&amp;'Calc base'!E$6&amp;"   ","")&amp;IF(AND(N(Q237)&gt;0,N(Q238)&lt;=0.004),"✓ "&amp;'Calc base'!F$6&amp;"   ","")&amp;IF(AND(N(S237)&gt;0,N(S238)&lt;=0.004),"✓ "&amp;'Calc base'!G$6&amp;"   ","")&amp;IF(AND(N(U237)&gt;0,N(U238)&lt;=0.004),"✓ "&amp;'Calc base'!H$6&amp;"   ","")&amp;IF(AND(N(W237)&gt;0,N(W238)&lt;=0.004),"✓ "&amp;'Calc base'!I$6&amp;"   ","")&amp;IF(AND(N(Y237)&gt;0,N(Y238)&lt;=0.004),"✓ "&amp;'Calc base'!J$6&amp;"   ","")&amp;IF(AND(N(AA237)&gt;0,N(AA238)&lt;=0.004),"✓ "&amp;'Calc base'!K$6&amp;"   ","")&amp;IF(AND(N(AC237)&gt;0,N(AC238)&lt;=0.004),"✓ "&amp;'Calc base'!L$6&amp;"   ","")&amp;IF(AND(N(AE237)&gt;0,N(AE238)&lt;=0.004),"✓ "&amp;'Calc base'!M$6&amp;"   ","")&amp;IF(AND(N(AG237)&gt;0,N(AG238)&lt;=0.004),"✓ "&amp;'Calc base'!N$6&amp;"   ","")))</f>
        <v/>
      </c>
      <c r="J238" s="70" t="str">
        <f>IF($A238="","",ROUND(N(K237)*(1+'Calc base'!H261),2)-K238)</f>
        <v/>
      </c>
      <c r="K238" s="75" t="str">
        <f>IF($A238="","",CHOOSE('Calc riepilogo'!$B$2,'Calc valanga'!AT261,'Calc palla di neve'!AT261,'Calc personalizzata'!AT261))</f>
        <v/>
      </c>
      <c r="L238" s="70" t="str">
        <f>IF($A238="","",ROUND(N(M237)*(1+'Calc base'!I261),2)-M238)</f>
        <v/>
      </c>
      <c r="M238" s="75" t="str">
        <f>IF($A238="","",CHOOSE('Calc riepilogo'!$B$2,'Calc valanga'!AU261,'Calc palla di neve'!AU261,'Calc personalizzata'!AU261))</f>
        <v/>
      </c>
      <c r="N238" s="70" t="str">
        <f>IF($A238="","",ROUND(N(O237)*(1+'Calc base'!J261),2)-O238)</f>
        <v/>
      </c>
      <c r="O238" s="75" t="str">
        <f>IF($A238="","",CHOOSE('Calc riepilogo'!$B$2,'Calc valanga'!AV261,'Calc palla di neve'!AV261,'Calc personalizzata'!AV261))</f>
        <v/>
      </c>
      <c r="P238" s="70" t="str">
        <f>IF($A238="","",ROUND(N(Q237)*(1+'Calc base'!K261),2)-Q238)</f>
        <v/>
      </c>
      <c r="Q238" s="75" t="str">
        <f>IF($A238="","",CHOOSE('Calc riepilogo'!$B$2,'Calc valanga'!AW261,'Calc palla di neve'!AW261,'Calc personalizzata'!AW261))</f>
        <v/>
      </c>
      <c r="R238" s="70" t="str">
        <f>IF($A238="","",ROUND(N(S237)*(1+'Calc base'!L261),2)-S238)</f>
        <v/>
      </c>
      <c r="S238" s="75" t="str">
        <f>IF($A238="","",CHOOSE('Calc riepilogo'!$B$2,'Calc valanga'!AX261,'Calc palla di neve'!AX261,'Calc personalizzata'!AX261))</f>
        <v/>
      </c>
      <c r="T238" s="70" t="str">
        <f>IF($A238="","",ROUND(N(U237)*(1+'Calc base'!M261),2)-U238)</f>
        <v/>
      </c>
      <c r="U238" s="75" t="str">
        <f>IF($A238="","",CHOOSE('Calc riepilogo'!$B$2,'Calc valanga'!AY261,'Calc palla di neve'!AY261,'Calc personalizzata'!AY261))</f>
        <v/>
      </c>
      <c r="V238" s="70" t="str">
        <f>IF($A238="","",ROUND(N(W237)*(1+'Calc base'!N261),2)-W238)</f>
        <v/>
      </c>
      <c r="W238" s="75" t="str">
        <f>IF($A238="","",CHOOSE('Calc riepilogo'!$B$2,'Calc valanga'!AZ261,'Calc palla di neve'!AZ261,'Calc personalizzata'!AZ261))</f>
        <v/>
      </c>
      <c r="X238" s="70" t="str">
        <f>IF($A238="","",ROUND(N(Y237)*(1+'Calc base'!O261),2)-Y238)</f>
        <v/>
      </c>
      <c r="Y238" s="75" t="str">
        <f>IF($A238="","",CHOOSE('Calc riepilogo'!$B$2,'Calc valanga'!BA261,'Calc palla di neve'!BA261,'Calc personalizzata'!BA261))</f>
        <v/>
      </c>
      <c r="Z238" s="70" t="str">
        <f>IF($A238="","",ROUND(N(AA237)*(1+'Calc base'!P261),2)-AA238)</f>
        <v/>
      </c>
      <c r="AA238" s="75" t="str">
        <f>IF($A238="","",CHOOSE('Calc riepilogo'!$B$2,'Calc valanga'!BB261,'Calc palla di neve'!BB261,'Calc personalizzata'!BB261))</f>
        <v/>
      </c>
      <c r="AB238" s="70" t="str">
        <f>IF($A238="","",ROUND(N(AC237)*(1+'Calc base'!Q261),2)-AC238)</f>
        <v/>
      </c>
      <c r="AC238" s="75" t="str">
        <f>IF($A238="","",CHOOSE('Calc riepilogo'!$B$2,'Calc valanga'!BC261,'Calc palla di neve'!BC261,'Calc personalizzata'!BC261))</f>
        <v/>
      </c>
      <c r="AD238" s="70" t="str">
        <f>IF($A238="","",ROUND(N(AE237)*(1+'Calc base'!R261),2)-AE238)</f>
        <v/>
      </c>
      <c r="AE238" s="75" t="str">
        <f>IF($A238="","",CHOOSE('Calc riepilogo'!$B$2,'Calc valanga'!BD261,'Calc palla di neve'!BD261,'Calc personalizzata'!BD261))</f>
        <v/>
      </c>
      <c r="AF238" s="70" t="str">
        <f>IF($A238="","",ROUND(N(AG237)*(1+'Calc base'!S261),2)-AG238)</f>
        <v/>
      </c>
      <c r="AG238" s="75" t="str">
        <f>IF($A238="","",CHOOSE('Calc riepilogo'!$B$2,'Calc valanga'!BE261,'Calc palla di neve'!BE261,'Calc personalizzata'!BE261))</f>
        <v/>
      </c>
      <c r="AI238" t="n">
        <v>231</v>
      </c>
    </row>
    <row r="239">
      <c r="A239" s="68" t="str">
        <f>IF(232&gt;'Calc riepilogo'!$B$7,"",'Calc base'!$B262)</f>
        <v/>
      </c>
      <c r="B239" s="69" t="str">
        <f>IF($A239="","",'Calc base'!$C262)</f>
        <v/>
      </c>
      <c r="C239" s="69" t="str">
        <f>IF($A239="","",'Calc base'!$E262)</f>
        <v/>
      </c>
      <c r="D239" s="70" t="str">
        <f>IF($A239="","",J239+L239+N239+P239+R239+T239+V239+X239+Z239+AB239+AD239+AF239)</f>
        <v/>
      </c>
      <c r="E239" s="70" t="str">
        <f>IF($A239="","",CHOOSE('Calc riepilogo'!$B$2,'Calc valanga'!$H262,'Calc palla di neve'!$H262,'Calc personalizzata'!$H262))</f>
        <v/>
      </c>
      <c r="F239" s="71" t="str">
        <f>IF($A239="","",CHOOSE('Calc riepilogo'!$B$2,'Calc valanga'!$G262,'Calc palla di neve'!$G262,'Calc personalizzata'!$G262))</f>
        <v/>
      </c>
      <c r="G239" s="72" t="n"/>
      <c r="H239" s="73" t="n"/>
      <c r="I239" s="74" t="str">
        <f>IF($A239="","",TRIM(IF(AND(N(K238)&gt;0,N(K239)&lt;=0.004),"✓ "&amp;'Calc base'!C$6&amp;"   ","")&amp;IF(AND(N(M238)&gt;0,N(M239)&lt;=0.004),"✓ "&amp;'Calc base'!D$6&amp;"   ","")&amp;IF(AND(N(O238)&gt;0,N(O239)&lt;=0.004),"✓ "&amp;'Calc base'!E$6&amp;"   ","")&amp;IF(AND(N(Q238)&gt;0,N(Q239)&lt;=0.004),"✓ "&amp;'Calc base'!F$6&amp;"   ","")&amp;IF(AND(N(S238)&gt;0,N(S239)&lt;=0.004),"✓ "&amp;'Calc base'!G$6&amp;"   ","")&amp;IF(AND(N(U238)&gt;0,N(U239)&lt;=0.004),"✓ "&amp;'Calc base'!H$6&amp;"   ","")&amp;IF(AND(N(W238)&gt;0,N(W239)&lt;=0.004),"✓ "&amp;'Calc base'!I$6&amp;"   ","")&amp;IF(AND(N(Y238)&gt;0,N(Y239)&lt;=0.004),"✓ "&amp;'Calc base'!J$6&amp;"   ","")&amp;IF(AND(N(AA238)&gt;0,N(AA239)&lt;=0.004),"✓ "&amp;'Calc base'!K$6&amp;"   ","")&amp;IF(AND(N(AC238)&gt;0,N(AC239)&lt;=0.004),"✓ "&amp;'Calc base'!L$6&amp;"   ","")&amp;IF(AND(N(AE238)&gt;0,N(AE239)&lt;=0.004),"✓ "&amp;'Calc base'!M$6&amp;"   ","")&amp;IF(AND(N(AG238)&gt;0,N(AG239)&lt;=0.004),"✓ "&amp;'Calc base'!N$6&amp;"   ","")))</f>
        <v/>
      </c>
      <c r="J239" s="70" t="str">
        <f>IF($A239="","",ROUND(N(K238)*(1+'Calc base'!H262),2)-K239)</f>
        <v/>
      </c>
      <c r="K239" s="75" t="str">
        <f>IF($A239="","",CHOOSE('Calc riepilogo'!$B$2,'Calc valanga'!AT262,'Calc palla di neve'!AT262,'Calc personalizzata'!AT262))</f>
        <v/>
      </c>
      <c r="L239" s="70" t="str">
        <f>IF($A239="","",ROUND(N(M238)*(1+'Calc base'!I262),2)-M239)</f>
        <v/>
      </c>
      <c r="M239" s="75" t="str">
        <f>IF($A239="","",CHOOSE('Calc riepilogo'!$B$2,'Calc valanga'!AU262,'Calc palla di neve'!AU262,'Calc personalizzata'!AU262))</f>
        <v/>
      </c>
      <c r="N239" s="70" t="str">
        <f>IF($A239="","",ROUND(N(O238)*(1+'Calc base'!J262),2)-O239)</f>
        <v/>
      </c>
      <c r="O239" s="75" t="str">
        <f>IF($A239="","",CHOOSE('Calc riepilogo'!$B$2,'Calc valanga'!AV262,'Calc palla di neve'!AV262,'Calc personalizzata'!AV262))</f>
        <v/>
      </c>
      <c r="P239" s="70" t="str">
        <f>IF($A239="","",ROUND(N(Q238)*(1+'Calc base'!K262),2)-Q239)</f>
        <v/>
      </c>
      <c r="Q239" s="75" t="str">
        <f>IF($A239="","",CHOOSE('Calc riepilogo'!$B$2,'Calc valanga'!AW262,'Calc palla di neve'!AW262,'Calc personalizzata'!AW262))</f>
        <v/>
      </c>
      <c r="R239" s="70" t="str">
        <f>IF($A239="","",ROUND(N(S238)*(1+'Calc base'!L262),2)-S239)</f>
        <v/>
      </c>
      <c r="S239" s="75" t="str">
        <f>IF($A239="","",CHOOSE('Calc riepilogo'!$B$2,'Calc valanga'!AX262,'Calc palla di neve'!AX262,'Calc personalizzata'!AX262))</f>
        <v/>
      </c>
      <c r="T239" s="70" t="str">
        <f>IF($A239="","",ROUND(N(U238)*(1+'Calc base'!M262),2)-U239)</f>
        <v/>
      </c>
      <c r="U239" s="75" t="str">
        <f>IF($A239="","",CHOOSE('Calc riepilogo'!$B$2,'Calc valanga'!AY262,'Calc palla di neve'!AY262,'Calc personalizzata'!AY262))</f>
        <v/>
      </c>
      <c r="V239" s="70" t="str">
        <f>IF($A239="","",ROUND(N(W238)*(1+'Calc base'!N262),2)-W239)</f>
        <v/>
      </c>
      <c r="W239" s="75" t="str">
        <f>IF($A239="","",CHOOSE('Calc riepilogo'!$B$2,'Calc valanga'!AZ262,'Calc palla di neve'!AZ262,'Calc personalizzata'!AZ262))</f>
        <v/>
      </c>
      <c r="X239" s="70" t="str">
        <f>IF($A239="","",ROUND(N(Y238)*(1+'Calc base'!O262),2)-Y239)</f>
        <v/>
      </c>
      <c r="Y239" s="75" t="str">
        <f>IF($A239="","",CHOOSE('Calc riepilogo'!$B$2,'Calc valanga'!BA262,'Calc palla di neve'!BA262,'Calc personalizzata'!BA262))</f>
        <v/>
      </c>
      <c r="Z239" s="70" t="str">
        <f>IF($A239="","",ROUND(N(AA238)*(1+'Calc base'!P262),2)-AA239)</f>
        <v/>
      </c>
      <c r="AA239" s="75" t="str">
        <f>IF($A239="","",CHOOSE('Calc riepilogo'!$B$2,'Calc valanga'!BB262,'Calc palla di neve'!BB262,'Calc personalizzata'!BB262))</f>
        <v/>
      </c>
      <c r="AB239" s="70" t="str">
        <f>IF($A239="","",ROUND(N(AC238)*(1+'Calc base'!Q262),2)-AC239)</f>
        <v/>
      </c>
      <c r="AC239" s="75" t="str">
        <f>IF($A239="","",CHOOSE('Calc riepilogo'!$B$2,'Calc valanga'!BC262,'Calc palla di neve'!BC262,'Calc personalizzata'!BC262))</f>
        <v/>
      </c>
      <c r="AD239" s="70" t="str">
        <f>IF($A239="","",ROUND(N(AE238)*(1+'Calc base'!R262),2)-AE239)</f>
        <v/>
      </c>
      <c r="AE239" s="75" t="str">
        <f>IF($A239="","",CHOOSE('Calc riepilogo'!$B$2,'Calc valanga'!BD262,'Calc palla di neve'!BD262,'Calc personalizzata'!BD262))</f>
        <v/>
      </c>
      <c r="AF239" s="70" t="str">
        <f>IF($A239="","",ROUND(N(AG238)*(1+'Calc base'!S262),2)-AG239)</f>
        <v/>
      </c>
      <c r="AG239" s="75" t="str">
        <f>IF($A239="","",CHOOSE('Calc riepilogo'!$B$2,'Calc valanga'!BE262,'Calc palla di neve'!BE262,'Calc personalizzata'!BE262))</f>
        <v/>
      </c>
      <c r="AI239" t="n">
        <v>232</v>
      </c>
    </row>
    <row r="240">
      <c r="A240" s="68" t="str">
        <f>IF(233&gt;'Calc riepilogo'!$B$7,"",'Calc base'!$B263)</f>
        <v/>
      </c>
      <c r="B240" s="69" t="str">
        <f>IF($A240="","",'Calc base'!$C263)</f>
        <v/>
      </c>
      <c r="C240" s="69" t="str">
        <f>IF($A240="","",'Calc base'!$E263)</f>
        <v/>
      </c>
      <c r="D240" s="70" t="str">
        <f>IF($A240="","",J240+L240+N240+P240+R240+T240+V240+X240+Z240+AB240+AD240+AF240)</f>
        <v/>
      </c>
      <c r="E240" s="70" t="str">
        <f>IF($A240="","",CHOOSE('Calc riepilogo'!$B$2,'Calc valanga'!$H263,'Calc palla di neve'!$H263,'Calc personalizzata'!$H263))</f>
        <v/>
      </c>
      <c r="F240" s="71" t="str">
        <f>IF($A240="","",CHOOSE('Calc riepilogo'!$B$2,'Calc valanga'!$G263,'Calc palla di neve'!$G263,'Calc personalizzata'!$G263))</f>
        <v/>
      </c>
      <c r="G240" s="72" t="n"/>
      <c r="H240" s="73" t="n"/>
      <c r="I240" s="74" t="str">
        <f>IF($A240="","",TRIM(IF(AND(N(K239)&gt;0,N(K240)&lt;=0.004),"✓ "&amp;'Calc base'!C$6&amp;"   ","")&amp;IF(AND(N(M239)&gt;0,N(M240)&lt;=0.004),"✓ "&amp;'Calc base'!D$6&amp;"   ","")&amp;IF(AND(N(O239)&gt;0,N(O240)&lt;=0.004),"✓ "&amp;'Calc base'!E$6&amp;"   ","")&amp;IF(AND(N(Q239)&gt;0,N(Q240)&lt;=0.004),"✓ "&amp;'Calc base'!F$6&amp;"   ","")&amp;IF(AND(N(S239)&gt;0,N(S240)&lt;=0.004),"✓ "&amp;'Calc base'!G$6&amp;"   ","")&amp;IF(AND(N(U239)&gt;0,N(U240)&lt;=0.004),"✓ "&amp;'Calc base'!H$6&amp;"   ","")&amp;IF(AND(N(W239)&gt;0,N(W240)&lt;=0.004),"✓ "&amp;'Calc base'!I$6&amp;"   ","")&amp;IF(AND(N(Y239)&gt;0,N(Y240)&lt;=0.004),"✓ "&amp;'Calc base'!J$6&amp;"   ","")&amp;IF(AND(N(AA239)&gt;0,N(AA240)&lt;=0.004),"✓ "&amp;'Calc base'!K$6&amp;"   ","")&amp;IF(AND(N(AC239)&gt;0,N(AC240)&lt;=0.004),"✓ "&amp;'Calc base'!L$6&amp;"   ","")&amp;IF(AND(N(AE239)&gt;0,N(AE240)&lt;=0.004),"✓ "&amp;'Calc base'!M$6&amp;"   ","")&amp;IF(AND(N(AG239)&gt;0,N(AG240)&lt;=0.004),"✓ "&amp;'Calc base'!N$6&amp;"   ","")))</f>
        <v/>
      </c>
      <c r="J240" s="70" t="str">
        <f>IF($A240="","",ROUND(N(K239)*(1+'Calc base'!H263),2)-K240)</f>
        <v/>
      </c>
      <c r="K240" s="75" t="str">
        <f>IF($A240="","",CHOOSE('Calc riepilogo'!$B$2,'Calc valanga'!AT263,'Calc palla di neve'!AT263,'Calc personalizzata'!AT263))</f>
        <v/>
      </c>
      <c r="L240" s="70" t="str">
        <f>IF($A240="","",ROUND(N(M239)*(1+'Calc base'!I263),2)-M240)</f>
        <v/>
      </c>
      <c r="M240" s="75" t="str">
        <f>IF($A240="","",CHOOSE('Calc riepilogo'!$B$2,'Calc valanga'!AU263,'Calc palla di neve'!AU263,'Calc personalizzata'!AU263))</f>
        <v/>
      </c>
      <c r="N240" s="70" t="str">
        <f>IF($A240="","",ROUND(N(O239)*(1+'Calc base'!J263),2)-O240)</f>
        <v/>
      </c>
      <c r="O240" s="75" t="str">
        <f>IF($A240="","",CHOOSE('Calc riepilogo'!$B$2,'Calc valanga'!AV263,'Calc palla di neve'!AV263,'Calc personalizzata'!AV263))</f>
        <v/>
      </c>
      <c r="P240" s="70" t="str">
        <f>IF($A240="","",ROUND(N(Q239)*(1+'Calc base'!K263),2)-Q240)</f>
        <v/>
      </c>
      <c r="Q240" s="75" t="str">
        <f>IF($A240="","",CHOOSE('Calc riepilogo'!$B$2,'Calc valanga'!AW263,'Calc palla di neve'!AW263,'Calc personalizzata'!AW263))</f>
        <v/>
      </c>
      <c r="R240" s="70" t="str">
        <f>IF($A240="","",ROUND(N(S239)*(1+'Calc base'!L263),2)-S240)</f>
        <v/>
      </c>
      <c r="S240" s="75" t="str">
        <f>IF($A240="","",CHOOSE('Calc riepilogo'!$B$2,'Calc valanga'!AX263,'Calc palla di neve'!AX263,'Calc personalizzata'!AX263))</f>
        <v/>
      </c>
      <c r="T240" s="70" t="str">
        <f>IF($A240="","",ROUND(N(U239)*(1+'Calc base'!M263),2)-U240)</f>
        <v/>
      </c>
      <c r="U240" s="75" t="str">
        <f>IF($A240="","",CHOOSE('Calc riepilogo'!$B$2,'Calc valanga'!AY263,'Calc palla di neve'!AY263,'Calc personalizzata'!AY263))</f>
        <v/>
      </c>
      <c r="V240" s="70" t="str">
        <f>IF($A240="","",ROUND(N(W239)*(1+'Calc base'!N263),2)-W240)</f>
        <v/>
      </c>
      <c r="W240" s="75" t="str">
        <f>IF($A240="","",CHOOSE('Calc riepilogo'!$B$2,'Calc valanga'!AZ263,'Calc palla di neve'!AZ263,'Calc personalizzata'!AZ263))</f>
        <v/>
      </c>
      <c r="X240" s="70" t="str">
        <f>IF($A240="","",ROUND(N(Y239)*(1+'Calc base'!O263),2)-Y240)</f>
        <v/>
      </c>
      <c r="Y240" s="75" t="str">
        <f>IF($A240="","",CHOOSE('Calc riepilogo'!$B$2,'Calc valanga'!BA263,'Calc palla di neve'!BA263,'Calc personalizzata'!BA263))</f>
        <v/>
      </c>
      <c r="Z240" s="70" t="str">
        <f>IF($A240="","",ROUND(N(AA239)*(1+'Calc base'!P263),2)-AA240)</f>
        <v/>
      </c>
      <c r="AA240" s="75" t="str">
        <f>IF($A240="","",CHOOSE('Calc riepilogo'!$B$2,'Calc valanga'!BB263,'Calc palla di neve'!BB263,'Calc personalizzata'!BB263))</f>
        <v/>
      </c>
      <c r="AB240" s="70" t="str">
        <f>IF($A240="","",ROUND(N(AC239)*(1+'Calc base'!Q263),2)-AC240)</f>
        <v/>
      </c>
      <c r="AC240" s="75" t="str">
        <f>IF($A240="","",CHOOSE('Calc riepilogo'!$B$2,'Calc valanga'!BC263,'Calc palla di neve'!BC263,'Calc personalizzata'!BC263))</f>
        <v/>
      </c>
      <c r="AD240" s="70" t="str">
        <f>IF($A240="","",ROUND(N(AE239)*(1+'Calc base'!R263),2)-AE240)</f>
        <v/>
      </c>
      <c r="AE240" s="75" t="str">
        <f>IF($A240="","",CHOOSE('Calc riepilogo'!$B$2,'Calc valanga'!BD263,'Calc palla di neve'!BD263,'Calc personalizzata'!BD263))</f>
        <v/>
      </c>
      <c r="AF240" s="70" t="str">
        <f>IF($A240="","",ROUND(N(AG239)*(1+'Calc base'!S263),2)-AG240)</f>
        <v/>
      </c>
      <c r="AG240" s="75" t="str">
        <f>IF($A240="","",CHOOSE('Calc riepilogo'!$B$2,'Calc valanga'!BE263,'Calc palla di neve'!BE263,'Calc personalizzata'!BE263))</f>
        <v/>
      </c>
      <c r="AI240" t="n">
        <v>233</v>
      </c>
    </row>
    <row r="241">
      <c r="A241" s="68" t="str">
        <f>IF(234&gt;'Calc riepilogo'!$B$7,"",'Calc base'!$B264)</f>
        <v/>
      </c>
      <c r="B241" s="69" t="str">
        <f>IF($A241="","",'Calc base'!$C264)</f>
        <v/>
      </c>
      <c r="C241" s="69" t="str">
        <f>IF($A241="","",'Calc base'!$E264)</f>
        <v/>
      </c>
      <c r="D241" s="70" t="str">
        <f>IF($A241="","",J241+L241+N241+P241+R241+T241+V241+X241+Z241+AB241+AD241+AF241)</f>
        <v/>
      </c>
      <c r="E241" s="70" t="str">
        <f>IF($A241="","",CHOOSE('Calc riepilogo'!$B$2,'Calc valanga'!$H264,'Calc palla di neve'!$H264,'Calc personalizzata'!$H264))</f>
        <v/>
      </c>
      <c r="F241" s="71" t="str">
        <f>IF($A241="","",CHOOSE('Calc riepilogo'!$B$2,'Calc valanga'!$G264,'Calc palla di neve'!$G264,'Calc personalizzata'!$G264))</f>
        <v/>
      </c>
      <c r="G241" s="72" t="n"/>
      <c r="H241" s="73" t="n"/>
      <c r="I241" s="74" t="str">
        <f>IF($A241="","",TRIM(IF(AND(N(K240)&gt;0,N(K241)&lt;=0.004),"✓ "&amp;'Calc base'!C$6&amp;"   ","")&amp;IF(AND(N(M240)&gt;0,N(M241)&lt;=0.004),"✓ "&amp;'Calc base'!D$6&amp;"   ","")&amp;IF(AND(N(O240)&gt;0,N(O241)&lt;=0.004),"✓ "&amp;'Calc base'!E$6&amp;"   ","")&amp;IF(AND(N(Q240)&gt;0,N(Q241)&lt;=0.004),"✓ "&amp;'Calc base'!F$6&amp;"   ","")&amp;IF(AND(N(S240)&gt;0,N(S241)&lt;=0.004),"✓ "&amp;'Calc base'!G$6&amp;"   ","")&amp;IF(AND(N(U240)&gt;0,N(U241)&lt;=0.004),"✓ "&amp;'Calc base'!H$6&amp;"   ","")&amp;IF(AND(N(W240)&gt;0,N(W241)&lt;=0.004),"✓ "&amp;'Calc base'!I$6&amp;"   ","")&amp;IF(AND(N(Y240)&gt;0,N(Y241)&lt;=0.004),"✓ "&amp;'Calc base'!J$6&amp;"   ","")&amp;IF(AND(N(AA240)&gt;0,N(AA241)&lt;=0.004),"✓ "&amp;'Calc base'!K$6&amp;"   ","")&amp;IF(AND(N(AC240)&gt;0,N(AC241)&lt;=0.004),"✓ "&amp;'Calc base'!L$6&amp;"   ","")&amp;IF(AND(N(AE240)&gt;0,N(AE241)&lt;=0.004),"✓ "&amp;'Calc base'!M$6&amp;"   ","")&amp;IF(AND(N(AG240)&gt;0,N(AG241)&lt;=0.004),"✓ "&amp;'Calc base'!N$6&amp;"   ","")))</f>
        <v/>
      </c>
      <c r="J241" s="70" t="str">
        <f>IF($A241="","",ROUND(N(K240)*(1+'Calc base'!H264),2)-K241)</f>
        <v/>
      </c>
      <c r="K241" s="75" t="str">
        <f>IF($A241="","",CHOOSE('Calc riepilogo'!$B$2,'Calc valanga'!AT264,'Calc palla di neve'!AT264,'Calc personalizzata'!AT264))</f>
        <v/>
      </c>
      <c r="L241" s="70" t="str">
        <f>IF($A241="","",ROUND(N(M240)*(1+'Calc base'!I264),2)-M241)</f>
        <v/>
      </c>
      <c r="M241" s="75" t="str">
        <f>IF($A241="","",CHOOSE('Calc riepilogo'!$B$2,'Calc valanga'!AU264,'Calc palla di neve'!AU264,'Calc personalizzata'!AU264))</f>
        <v/>
      </c>
      <c r="N241" s="70" t="str">
        <f>IF($A241="","",ROUND(N(O240)*(1+'Calc base'!J264),2)-O241)</f>
        <v/>
      </c>
      <c r="O241" s="75" t="str">
        <f>IF($A241="","",CHOOSE('Calc riepilogo'!$B$2,'Calc valanga'!AV264,'Calc palla di neve'!AV264,'Calc personalizzata'!AV264))</f>
        <v/>
      </c>
      <c r="P241" s="70" t="str">
        <f>IF($A241="","",ROUND(N(Q240)*(1+'Calc base'!K264),2)-Q241)</f>
        <v/>
      </c>
      <c r="Q241" s="75" t="str">
        <f>IF($A241="","",CHOOSE('Calc riepilogo'!$B$2,'Calc valanga'!AW264,'Calc palla di neve'!AW264,'Calc personalizzata'!AW264))</f>
        <v/>
      </c>
      <c r="R241" s="70" t="str">
        <f>IF($A241="","",ROUND(N(S240)*(1+'Calc base'!L264),2)-S241)</f>
        <v/>
      </c>
      <c r="S241" s="75" t="str">
        <f>IF($A241="","",CHOOSE('Calc riepilogo'!$B$2,'Calc valanga'!AX264,'Calc palla di neve'!AX264,'Calc personalizzata'!AX264))</f>
        <v/>
      </c>
      <c r="T241" s="70" t="str">
        <f>IF($A241="","",ROUND(N(U240)*(1+'Calc base'!M264),2)-U241)</f>
        <v/>
      </c>
      <c r="U241" s="75" t="str">
        <f>IF($A241="","",CHOOSE('Calc riepilogo'!$B$2,'Calc valanga'!AY264,'Calc palla di neve'!AY264,'Calc personalizzata'!AY264))</f>
        <v/>
      </c>
      <c r="V241" s="70" t="str">
        <f>IF($A241="","",ROUND(N(W240)*(1+'Calc base'!N264),2)-W241)</f>
        <v/>
      </c>
      <c r="W241" s="75" t="str">
        <f>IF($A241="","",CHOOSE('Calc riepilogo'!$B$2,'Calc valanga'!AZ264,'Calc palla di neve'!AZ264,'Calc personalizzata'!AZ264))</f>
        <v/>
      </c>
      <c r="X241" s="70" t="str">
        <f>IF($A241="","",ROUND(N(Y240)*(1+'Calc base'!O264),2)-Y241)</f>
        <v/>
      </c>
      <c r="Y241" s="75" t="str">
        <f>IF($A241="","",CHOOSE('Calc riepilogo'!$B$2,'Calc valanga'!BA264,'Calc palla di neve'!BA264,'Calc personalizzata'!BA264))</f>
        <v/>
      </c>
      <c r="Z241" s="70" t="str">
        <f>IF($A241="","",ROUND(N(AA240)*(1+'Calc base'!P264),2)-AA241)</f>
        <v/>
      </c>
      <c r="AA241" s="75" t="str">
        <f>IF($A241="","",CHOOSE('Calc riepilogo'!$B$2,'Calc valanga'!BB264,'Calc palla di neve'!BB264,'Calc personalizzata'!BB264))</f>
        <v/>
      </c>
      <c r="AB241" s="70" t="str">
        <f>IF($A241="","",ROUND(N(AC240)*(1+'Calc base'!Q264),2)-AC241)</f>
        <v/>
      </c>
      <c r="AC241" s="75" t="str">
        <f>IF($A241="","",CHOOSE('Calc riepilogo'!$B$2,'Calc valanga'!BC264,'Calc palla di neve'!BC264,'Calc personalizzata'!BC264))</f>
        <v/>
      </c>
      <c r="AD241" s="70" t="str">
        <f>IF($A241="","",ROUND(N(AE240)*(1+'Calc base'!R264),2)-AE241)</f>
        <v/>
      </c>
      <c r="AE241" s="75" t="str">
        <f>IF($A241="","",CHOOSE('Calc riepilogo'!$B$2,'Calc valanga'!BD264,'Calc palla di neve'!BD264,'Calc personalizzata'!BD264))</f>
        <v/>
      </c>
      <c r="AF241" s="70" t="str">
        <f>IF($A241="","",ROUND(N(AG240)*(1+'Calc base'!S264),2)-AG241)</f>
        <v/>
      </c>
      <c r="AG241" s="75" t="str">
        <f>IF($A241="","",CHOOSE('Calc riepilogo'!$B$2,'Calc valanga'!BE264,'Calc palla di neve'!BE264,'Calc personalizzata'!BE264))</f>
        <v/>
      </c>
      <c r="AI241" t="n">
        <v>234</v>
      </c>
    </row>
    <row r="242">
      <c r="A242" s="68" t="str">
        <f>IF(235&gt;'Calc riepilogo'!$B$7,"",'Calc base'!$B265)</f>
        <v/>
      </c>
      <c r="B242" s="69" t="str">
        <f>IF($A242="","",'Calc base'!$C265)</f>
        <v/>
      </c>
      <c r="C242" s="69" t="str">
        <f>IF($A242="","",'Calc base'!$E265)</f>
        <v/>
      </c>
      <c r="D242" s="70" t="str">
        <f>IF($A242="","",J242+L242+N242+P242+R242+T242+V242+X242+Z242+AB242+AD242+AF242)</f>
        <v/>
      </c>
      <c r="E242" s="70" t="str">
        <f>IF($A242="","",CHOOSE('Calc riepilogo'!$B$2,'Calc valanga'!$H265,'Calc palla di neve'!$H265,'Calc personalizzata'!$H265))</f>
        <v/>
      </c>
      <c r="F242" s="71" t="str">
        <f>IF($A242="","",CHOOSE('Calc riepilogo'!$B$2,'Calc valanga'!$G265,'Calc palla di neve'!$G265,'Calc personalizzata'!$G265))</f>
        <v/>
      </c>
      <c r="G242" s="72" t="n"/>
      <c r="H242" s="73" t="n"/>
      <c r="I242" s="74" t="str">
        <f>IF($A242="","",TRIM(IF(AND(N(K241)&gt;0,N(K242)&lt;=0.004),"✓ "&amp;'Calc base'!C$6&amp;"   ","")&amp;IF(AND(N(M241)&gt;0,N(M242)&lt;=0.004),"✓ "&amp;'Calc base'!D$6&amp;"   ","")&amp;IF(AND(N(O241)&gt;0,N(O242)&lt;=0.004),"✓ "&amp;'Calc base'!E$6&amp;"   ","")&amp;IF(AND(N(Q241)&gt;0,N(Q242)&lt;=0.004),"✓ "&amp;'Calc base'!F$6&amp;"   ","")&amp;IF(AND(N(S241)&gt;0,N(S242)&lt;=0.004),"✓ "&amp;'Calc base'!G$6&amp;"   ","")&amp;IF(AND(N(U241)&gt;0,N(U242)&lt;=0.004),"✓ "&amp;'Calc base'!H$6&amp;"   ","")&amp;IF(AND(N(W241)&gt;0,N(W242)&lt;=0.004),"✓ "&amp;'Calc base'!I$6&amp;"   ","")&amp;IF(AND(N(Y241)&gt;0,N(Y242)&lt;=0.004),"✓ "&amp;'Calc base'!J$6&amp;"   ","")&amp;IF(AND(N(AA241)&gt;0,N(AA242)&lt;=0.004),"✓ "&amp;'Calc base'!K$6&amp;"   ","")&amp;IF(AND(N(AC241)&gt;0,N(AC242)&lt;=0.004),"✓ "&amp;'Calc base'!L$6&amp;"   ","")&amp;IF(AND(N(AE241)&gt;0,N(AE242)&lt;=0.004),"✓ "&amp;'Calc base'!M$6&amp;"   ","")&amp;IF(AND(N(AG241)&gt;0,N(AG242)&lt;=0.004),"✓ "&amp;'Calc base'!N$6&amp;"   ","")))</f>
        <v/>
      </c>
      <c r="J242" s="70" t="str">
        <f>IF($A242="","",ROUND(N(K241)*(1+'Calc base'!H265),2)-K242)</f>
        <v/>
      </c>
      <c r="K242" s="75" t="str">
        <f>IF($A242="","",CHOOSE('Calc riepilogo'!$B$2,'Calc valanga'!AT265,'Calc palla di neve'!AT265,'Calc personalizzata'!AT265))</f>
        <v/>
      </c>
      <c r="L242" s="70" t="str">
        <f>IF($A242="","",ROUND(N(M241)*(1+'Calc base'!I265),2)-M242)</f>
        <v/>
      </c>
      <c r="M242" s="75" t="str">
        <f>IF($A242="","",CHOOSE('Calc riepilogo'!$B$2,'Calc valanga'!AU265,'Calc palla di neve'!AU265,'Calc personalizzata'!AU265))</f>
        <v/>
      </c>
      <c r="N242" s="70" t="str">
        <f>IF($A242="","",ROUND(N(O241)*(1+'Calc base'!J265),2)-O242)</f>
        <v/>
      </c>
      <c r="O242" s="75" t="str">
        <f>IF($A242="","",CHOOSE('Calc riepilogo'!$B$2,'Calc valanga'!AV265,'Calc palla di neve'!AV265,'Calc personalizzata'!AV265))</f>
        <v/>
      </c>
      <c r="P242" s="70" t="str">
        <f>IF($A242="","",ROUND(N(Q241)*(1+'Calc base'!K265),2)-Q242)</f>
        <v/>
      </c>
      <c r="Q242" s="75" t="str">
        <f>IF($A242="","",CHOOSE('Calc riepilogo'!$B$2,'Calc valanga'!AW265,'Calc palla di neve'!AW265,'Calc personalizzata'!AW265))</f>
        <v/>
      </c>
      <c r="R242" s="70" t="str">
        <f>IF($A242="","",ROUND(N(S241)*(1+'Calc base'!L265),2)-S242)</f>
        <v/>
      </c>
      <c r="S242" s="75" t="str">
        <f>IF($A242="","",CHOOSE('Calc riepilogo'!$B$2,'Calc valanga'!AX265,'Calc palla di neve'!AX265,'Calc personalizzata'!AX265))</f>
        <v/>
      </c>
      <c r="T242" s="70" t="str">
        <f>IF($A242="","",ROUND(N(U241)*(1+'Calc base'!M265),2)-U242)</f>
        <v/>
      </c>
      <c r="U242" s="75" t="str">
        <f>IF($A242="","",CHOOSE('Calc riepilogo'!$B$2,'Calc valanga'!AY265,'Calc palla di neve'!AY265,'Calc personalizzata'!AY265))</f>
        <v/>
      </c>
      <c r="V242" s="70" t="str">
        <f>IF($A242="","",ROUND(N(W241)*(1+'Calc base'!N265),2)-W242)</f>
        <v/>
      </c>
      <c r="W242" s="75" t="str">
        <f>IF($A242="","",CHOOSE('Calc riepilogo'!$B$2,'Calc valanga'!AZ265,'Calc palla di neve'!AZ265,'Calc personalizzata'!AZ265))</f>
        <v/>
      </c>
      <c r="X242" s="70" t="str">
        <f>IF($A242="","",ROUND(N(Y241)*(1+'Calc base'!O265),2)-Y242)</f>
        <v/>
      </c>
      <c r="Y242" s="75" t="str">
        <f>IF($A242="","",CHOOSE('Calc riepilogo'!$B$2,'Calc valanga'!BA265,'Calc palla di neve'!BA265,'Calc personalizzata'!BA265))</f>
        <v/>
      </c>
      <c r="Z242" s="70" t="str">
        <f>IF($A242="","",ROUND(N(AA241)*(1+'Calc base'!P265),2)-AA242)</f>
        <v/>
      </c>
      <c r="AA242" s="75" t="str">
        <f>IF($A242="","",CHOOSE('Calc riepilogo'!$B$2,'Calc valanga'!BB265,'Calc palla di neve'!BB265,'Calc personalizzata'!BB265))</f>
        <v/>
      </c>
      <c r="AB242" s="70" t="str">
        <f>IF($A242="","",ROUND(N(AC241)*(1+'Calc base'!Q265),2)-AC242)</f>
        <v/>
      </c>
      <c r="AC242" s="75" t="str">
        <f>IF($A242="","",CHOOSE('Calc riepilogo'!$B$2,'Calc valanga'!BC265,'Calc palla di neve'!BC265,'Calc personalizzata'!BC265))</f>
        <v/>
      </c>
      <c r="AD242" s="70" t="str">
        <f>IF($A242="","",ROUND(N(AE241)*(1+'Calc base'!R265),2)-AE242)</f>
        <v/>
      </c>
      <c r="AE242" s="75" t="str">
        <f>IF($A242="","",CHOOSE('Calc riepilogo'!$B$2,'Calc valanga'!BD265,'Calc palla di neve'!BD265,'Calc personalizzata'!BD265))</f>
        <v/>
      </c>
      <c r="AF242" s="70" t="str">
        <f>IF($A242="","",ROUND(N(AG241)*(1+'Calc base'!S265),2)-AG242)</f>
        <v/>
      </c>
      <c r="AG242" s="75" t="str">
        <f>IF($A242="","",CHOOSE('Calc riepilogo'!$B$2,'Calc valanga'!BE265,'Calc palla di neve'!BE265,'Calc personalizzata'!BE265))</f>
        <v/>
      </c>
      <c r="AI242" t="n">
        <v>235</v>
      </c>
    </row>
    <row r="243">
      <c r="A243" s="68" t="str">
        <f>IF(236&gt;'Calc riepilogo'!$B$7,"",'Calc base'!$B266)</f>
        <v/>
      </c>
      <c r="B243" s="69" t="str">
        <f>IF($A243="","",'Calc base'!$C266)</f>
        <v/>
      </c>
      <c r="C243" s="69" t="str">
        <f>IF($A243="","",'Calc base'!$E266)</f>
        <v/>
      </c>
      <c r="D243" s="70" t="str">
        <f>IF($A243="","",J243+L243+N243+P243+R243+T243+V243+X243+Z243+AB243+AD243+AF243)</f>
        <v/>
      </c>
      <c r="E243" s="70" t="str">
        <f>IF($A243="","",CHOOSE('Calc riepilogo'!$B$2,'Calc valanga'!$H266,'Calc palla di neve'!$H266,'Calc personalizzata'!$H266))</f>
        <v/>
      </c>
      <c r="F243" s="71" t="str">
        <f>IF($A243="","",CHOOSE('Calc riepilogo'!$B$2,'Calc valanga'!$G266,'Calc palla di neve'!$G266,'Calc personalizzata'!$G266))</f>
        <v/>
      </c>
      <c r="G243" s="72" t="n"/>
      <c r="H243" s="73" t="n"/>
      <c r="I243" s="74" t="str">
        <f>IF($A243="","",TRIM(IF(AND(N(K242)&gt;0,N(K243)&lt;=0.004),"✓ "&amp;'Calc base'!C$6&amp;"   ","")&amp;IF(AND(N(M242)&gt;0,N(M243)&lt;=0.004),"✓ "&amp;'Calc base'!D$6&amp;"   ","")&amp;IF(AND(N(O242)&gt;0,N(O243)&lt;=0.004),"✓ "&amp;'Calc base'!E$6&amp;"   ","")&amp;IF(AND(N(Q242)&gt;0,N(Q243)&lt;=0.004),"✓ "&amp;'Calc base'!F$6&amp;"   ","")&amp;IF(AND(N(S242)&gt;0,N(S243)&lt;=0.004),"✓ "&amp;'Calc base'!G$6&amp;"   ","")&amp;IF(AND(N(U242)&gt;0,N(U243)&lt;=0.004),"✓ "&amp;'Calc base'!H$6&amp;"   ","")&amp;IF(AND(N(W242)&gt;0,N(W243)&lt;=0.004),"✓ "&amp;'Calc base'!I$6&amp;"   ","")&amp;IF(AND(N(Y242)&gt;0,N(Y243)&lt;=0.004),"✓ "&amp;'Calc base'!J$6&amp;"   ","")&amp;IF(AND(N(AA242)&gt;0,N(AA243)&lt;=0.004),"✓ "&amp;'Calc base'!K$6&amp;"   ","")&amp;IF(AND(N(AC242)&gt;0,N(AC243)&lt;=0.004),"✓ "&amp;'Calc base'!L$6&amp;"   ","")&amp;IF(AND(N(AE242)&gt;0,N(AE243)&lt;=0.004),"✓ "&amp;'Calc base'!M$6&amp;"   ","")&amp;IF(AND(N(AG242)&gt;0,N(AG243)&lt;=0.004),"✓ "&amp;'Calc base'!N$6&amp;"   ","")))</f>
        <v/>
      </c>
      <c r="J243" s="70" t="str">
        <f>IF($A243="","",ROUND(N(K242)*(1+'Calc base'!H266),2)-K243)</f>
        <v/>
      </c>
      <c r="K243" s="75" t="str">
        <f>IF($A243="","",CHOOSE('Calc riepilogo'!$B$2,'Calc valanga'!AT266,'Calc palla di neve'!AT266,'Calc personalizzata'!AT266))</f>
        <v/>
      </c>
      <c r="L243" s="70" t="str">
        <f>IF($A243="","",ROUND(N(M242)*(1+'Calc base'!I266),2)-M243)</f>
        <v/>
      </c>
      <c r="M243" s="75" t="str">
        <f>IF($A243="","",CHOOSE('Calc riepilogo'!$B$2,'Calc valanga'!AU266,'Calc palla di neve'!AU266,'Calc personalizzata'!AU266))</f>
        <v/>
      </c>
      <c r="N243" s="70" t="str">
        <f>IF($A243="","",ROUND(N(O242)*(1+'Calc base'!J266),2)-O243)</f>
        <v/>
      </c>
      <c r="O243" s="75" t="str">
        <f>IF($A243="","",CHOOSE('Calc riepilogo'!$B$2,'Calc valanga'!AV266,'Calc palla di neve'!AV266,'Calc personalizzata'!AV266))</f>
        <v/>
      </c>
      <c r="P243" s="70" t="str">
        <f>IF($A243="","",ROUND(N(Q242)*(1+'Calc base'!K266),2)-Q243)</f>
        <v/>
      </c>
      <c r="Q243" s="75" t="str">
        <f>IF($A243="","",CHOOSE('Calc riepilogo'!$B$2,'Calc valanga'!AW266,'Calc palla di neve'!AW266,'Calc personalizzata'!AW266))</f>
        <v/>
      </c>
      <c r="R243" s="70" t="str">
        <f>IF($A243="","",ROUND(N(S242)*(1+'Calc base'!L266),2)-S243)</f>
        <v/>
      </c>
      <c r="S243" s="75" t="str">
        <f>IF($A243="","",CHOOSE('Calc riepilogo'!$B$2,'Calc valanga'!AX266,'Calc palla di neve'!AX266,'Calc personalizzata'!AX266))</f>
        <v/>
      </c>
      <c r="T243" s="70" t="str">
        <f>IF($A243="","",ROUND(N(U242)*(1+'Calc base'!M266),2)-U243)</f>
        <v/>
      </c>
      <c r="U243" s="75" t="str">
        <f>IF($A243="","",CHOOSE('Calc riepilogo'!$B$2,'Calc valanga'!AY266,'Calc palla di neve'!AY266,'Calc personalizzata'!AY266))</f>
        <v/>
      </c>
      <c r="V243" s="70" t="str">
        <f>IF($A243="","",ROUND(N(W242)*(1+'Calc base'!N266),2)-W243)</f>
        <v/>
      </c>
      <c r="W243" s="75" t="str">
        <f>IF($A243="","",CHOOSE('Calc riepilogo'!$B$2,'Calc valanga'!AZ266,'Calc palla di neve'!AZ266,'Calc personalizzata'!AZ266))</f>
        <v/>
      </c>
      <c r="X243" s="70" t="str">
        <f>IF($A243="","",ROUND(N(Y242)*(1+'Calc base'!O266),2)-Y243)</f>
        <v/>
      </c>
      <c r="Y243" s="75" t="str">
        <f>IF($A243="","",CHOOSE('Calc riepilogo'!$B$2,'Calc valanga'!BA266,'Calc palla di neve'!BA266,'Calc personalizzata'!BA266))</f>
        <v/>
      </c>
      <c r="Z243" s="70" t="str">
        <f>IF($A243="","",ROUND(N(AA242)*(1+'Calc base'!P266),2)-AA243)</f>
        <v/>
      </c>
      <c r="AA243" s="75" t="str">
        <f>IF($A243="","",CHOOSE('Calc riepilogo'!$B$2,'Calc valanga'!BB266,'Calc palla di neve'!BB266,'Calc personalizzata'!BB266))</f>
        <v/>
      </c>
      <c r="AB243" s="70" t="str">
        <f>IF($A243="","",ROUND(N(AC242)*(1+'Calc base'!Q266),2)-AC243)</f>
        <v/>
      </c>
      <c r="AC243" s="75" t="str">
        <f>IF($A243="","",CHOOSE('Calc riepilogo'!$B$2,'Calc valanga'!BC266,'Calc palla di neve'!BC266,'Calc personalizzata'!BC266))</f>
        <v/>
      </c>
      <c r="AD243" s="70" t="str">
        <f>IF($A243="","",ROUND(N(AE242)*(1+'Calc base'!R266),2)-AE243)</f>
        <v/>
      </c>
      <c r="AE243" s="75" t="str">
        <f>IF($A243="","",CHOOSE('Calc riepilogo'!$B$2,'Calc valanga'!BD266,'Calc palla di neve'!BD266,'Calc personalizzata'!BD266))</f>
        <v/>
      </c>
      <c r="AF243" s="70" t="str">
        <f>IF($A243="","",ROUND(N(AG242)*(1+'Calc base'!S266),2)-AG243)</f>
        <v/>
      </c>
      <c r="AG243" s="75" t="str">
        <f>IF($A243="","",CHOOSE('Calc riepilogo'!$B$2,'Calc valanga'!BE266,'Calc palla di neve'!BE266,'Calc personalizzata'!BE266))</f>
        <v/>
      </c>
      <c r="AI243" t="n">
        <v>236</v>
      </c>
    </row>
    <row r="244">
      <c r="A244" s="68" t="str">
        <f>IF(237&gt;'Calc riepilogo'!$B$7,"",'Calc base'!$B267)</f>
        <v/>
      </c>
      <c r="B244" s="69" t="str">
        <f>IF($A244="","",'Calc base'!$C267)</f>
        <v/>
      </c>
      <c r="C244" s="69" t="str">
        <f>IF($A244="","",'Calc base'!$E267)</f>
        <v/>
      </c>
      <c r="D244" s="70" t="str">
        <f>IF($A244="","",J244+L244+N244+P244+R244+T244+V244+X244+Z244+AB244+AD244+AF244)</f>
        <v/>
      </c>
      <c r="E244" s="70" t="str">
        <f>IF($A244="","",CHOOSE('Calc riepilogo'!$B$2,'Calc valanga'!$H267,'Calc palla di neve'!$H267,'Calc personalizzata'!$H267))</f>
        <v/>
      </c>
      <c r="F244" s="71" t="str">
        <f>IF($A244="","",CHOOSE('Calc riepilogo'!$B$2,'Calc valanga'!$G267,'Calc palla di neve'!$G267,'Calc personalizzata'!$G267))</f>
        <v/>
      </c>
      <c r="G244" s="72" t="n"/>
      <c r="H244" s="73" t="n"/>
      <c r="I244" s="74" t="str">
        <f>IF($A244="","",TRIM(IF(AND(N(K243)&gt;0,N(K244)&lt;=0.004),"✓ "&amp;'Calc base'!C$6&amp;"   ","")&amp;IF(AND(N(M243)&gt;0,N(M244)&lt;=0.004),"✓ "&amp;'Calc base'!D$6&amp;"   ","")&amp;IF(AND(N(O243)&gt;0,N(O244)&lt;=0.004),"✓ "&amp;'Calc base'!E$6&amp;"   ","")&amp;IF(AND(N(Q243)&gt;0,N(Q244)&lt;=0.004),"✓ "&amp;'Calc base'!F$6&amp;"   ","")&amp;IF(AND(N(S243)&gt;0,N(S244)&lt;=0.004),"✓ "&amp;'Calc base'!G$6&amp;"   ","")&amp;IF(AND(N(U243)&gt;0,N(U244)&lt;=0.004),"✓ "&amp;'Calc base'!H$6&amp;"   ","")&amp;IF(AND(N(W243)&gt;0,N(W244)&lt;=0.004),"✓ "&amp;'Calc base'!I$6&amp;"   ","")&amp;IF(AND(N(Y243)&gt;0,N(Y244)&lt;=0.004),"✓ "&amp;'Calc base'!J$6&amp;"   ","")&amp;IF(AND(N(AA243)&gt;0,N(AA244)&lt;=0.004),"✓ "&amp;'Calc base'!K$6&amp;"   ","")&amp;IF(AND(N(AC243)&gt;0,N(AC244)&lt;=0.004),"✓ "&amp;'Calc base'!L$6&amp;"   ","")&amp;IF(AND(N(AE243)&gt;0,N(AE244)&lt;=0.004),"✓ "&amp;'Calc base'!M$6&amp;"   ","")&amp;IF(AND(N(AG243)&gt;0,N(AG244)&lt;=0.004),"✓ "&amp;'Calc base'!N$6&amp;"   ","")))</f>
        <v/>
      </c>
      <c r="J244" s="70" t="str">
        <f>IF($A244="","",ROUND(N(K243)*(1+'Calc base'!H267),2)-K244)</f>
        <v/>
      </c>
      <c r="K244" s="75" t="str">
        <f>IF($A244="","",CHOOSE('Calc riepilogo'!$B$2,'Calc valanga'!AT267,'Calc palla di neve'!AT267,'Calc personalizzata'!AT267))</f>
        <v/>
      </c>
      <c r="L244" s="70" t="str">
        <f>IF($A244="","",ROUND(N(M243)*(1+'Calc base'!I267),2)-M244)</f>
        <v/>
      </c>
      <c r="M244" s="75" t="str">
        <f>IF($A244="","",CHOOSE('Calc riepilogo'!$B$2,'Calc valanga'!AU267,'Calc palla di neve'!AU267,'Calc personalizzata'!AU267))</f>
        <v/>
      </c>
      <c r="N244" s="70" t="str">
        <f>IF($A244="","",ROUND(N(O243)*(1+'Calc base'!J267),2)-O244)</f>
        <v/>
      </c>
      <c r="O244" s="75" t="str">
        <f>IF($A244="","",CHOOSE('Calc riepilogo'!$B$2,'Calc valanga'!AV267,'Calc palla di neve'!AV267,'Calc personalizzata'!AV267))</f>
        <v/>
      </c>
      <c r="P244" s="70" t="str">
        <f>IF($A244="","",ROUND(N(Q243)*(1+'Calc base'!K267),2)-Q244)</f>
        <v/>
      </c>
      <c r="Q244" s="75" t="str">
        <f>IF($A244="","",CHOOSE('Calc riepilogo'!$B$2,'Calc valanga'!AW267,'Calc palla di neve'!AW267,'Calc personalizzata'!AW267))</f>
        <v/>
      </c>
      <c r="R244" s="70" t="str">
        <f>IF($A244="","",ROUND(N(S243)*(1+'Calc base'!L267),2)-S244)</f>
        <v/>
      </c>
      <c r="S244" s="75" t="str">
        <f>IF($A244="","",CHOOSE('Calc riepilogo'!$B$2,'Calc valanga'!AX267,'Calc palla di neve'!AX267,'Calc personalizzata'!AX267))</f>
        <v/>
      </c>
      <c r="T244" s="70" t="str">
        <f>IF($A244="","",ROUND(N(U243)*(1+'Calc base'!M267),2)-U244)</f>
        <v/>
      </c>
      <c r="U244" s="75" t="str">
        <f>IF($A244="","",CHOOSE('Calc riepilogo'!$B$2,'Calc valanga'!AY267,'Calc palla di neve'!AY267,'Calc personalizzata'!AY267))</f>
        <v/>
      </c>
      <c r="V244" s="70" t="str">
        <f>IF($A244="","",ROUND(N(W243)*(1+'Calc base'!N267),2)-W244)</f>
        <v/>
      </c>
      <c r="W244" s="75" t="str">
        <f>IF($A244="","",CHOOSE('Calc riepilogo'!$B$2,'Calc valanga'!AZ267,'Calc palla di neve'!AZ267,'Calc personalizzata'!AZ267))</f>
        <v/>
      </c>
      <c r="X244" s="70" t="str">
        <f>IF($A244="","",ROUND(N(Y243)*(1+'Calc base'!O267),2)-Y244)</f>
        <v/>
      </c>
      <c r="Y244" s="75" t="str">
        <f>IF($A244="","",CHOOSE('Calc riepilogo'!$B$2,'Calc valanga'!BA267,'Calc palla di neve'!BA267,'Calc personalizzata'!BA267))</f>
        <v/>
      </c>
      <c r="Z244" s="70" t="str">
        <f>IF($A244="","",ROUND(N(AA243)*(1+'Calc base'!P267),2)-AA244)</f>
        <v/>
      </c>
      <c r="AA244" s="75" t="str">
        <f>IF($A244="","",CHOOSE('Calc riepilogo'!$B$2,'Calc valanga'!BB267,'Calc palla di neve'!BB267,'Calc personalizzata'!BB267))</f>
        <v/>
      </c>
      <c r="AB244" s="70" t="str">
        <f>IF($A244="","",ROUND(N(AC243)*(1+'Calc base'!Q267),2)-AC244)</f>
        <v/>
      </c>
      <c r="AC244" s="75" t="str">
        <f>IF($A244="","",CHOOSE('Calc riepilogo'!$B$2,'Calc valanga'!BC267,'Calc palla di neve'!BC267,'Calc personalizzata'!BC267))</f>
        <v/>
      </c>
      <c r="AD244" s="70" t="str">
        <f>IF($A244="","",ROUND(N(AE243)*(1+'Calc base'!R267),2)-AE244)</f>
        <v/>
      </c>
      <c r="AE244" s="75" t="str">
        <f>IF($A244="","",CHOOSE('Calc riepilogo'!$B$2,'Calc valanga'!BD267,'Calc palla di neve'!BD267,'Calc personalizzata'!BD267))</f>
        <v/>
      </c>
      <c r="AF244" s="70" t="str">
        <f>IF($A244="","",ROUND(N(AG243)*(1+'Calc base'!S267),2)-AG244)</f>
        <v/>
      </c>
      <c r="AG244" s="75" t="str">
        <f>IF($A244="","",CHOOSE('Calc riepilogo'!$B$2,'Calc valanga'!BE267,'Calc palla di neve'!BE267,'Calc personalizzata'!BE267))</f>
        <v/>
      </c>
      <c r="AI244" t="n">
        <v>237</v>
      </c>
    </row>
    <row r="245">
      <c r="A245" s="68" t="str">
        <f>IF(238&gt;'Calc riepilogo'!$B$7,"",'Calc base'!$B268)</f>
        <v/>
      </c>
      <c r="B245" s="69" t="str">
        <f>IF($A245="","",'Calc base'!$C268)</f>
        <v/>
      </c>
      <c r="C245" s="69" t="str">
        <f>IF($A245="","",'Calc base'!$E268)</f>
        <v/>
      </c>
      <c r="D245" s="70" t="str">
        <f>IF($A245="","",J245+L245+N245+P245+R245+T245+V245+X245+Z245+AB245+AD245+AF245)</f>
        <v/>
      </c>
      <c r="E245" s="70" t="str">
        <f>IF($A245="","",CHOOSE('Calc riepilogo'!$B$2,'Calc valanga'!$H268,'Calc palla di neve'!$H268,'Calc personalizzata'!$H268))</f>
        <v/>
      </c>
      <c r="F245" s="71" t="str">
        <f>IF($A245="","",CHOOSE('Calc riepilogo'!$B$2,'Calc valanga'!$G268,'Calc palla di neve'!$G268,'Calc personalizzata'!$G268))</f>
        <v/>
      </c>
      <c r="G245" s="72" t="n"/>
      <c r="H245" s="73" t="n"/>
      <c r="I245" s="74" t="str">
        <f>IF($A245="","",TRIM(IF(AND(N(K244)&gt;0,N(K245)&lt;=0.004),"✓ "&amp;'Calc base'!C$6&amp;"   ","")&amp;IF(AND(N(M244)&gt;0,N(M245)&lt;=0.004),"✓ "&amp;'Calc base'!D$6&amp;"   ","")&amp;IF(AND(N(O244)&gt;0,N(O245)&lt;=0.004),"✓ "&amp;'Calc base'!E$6&amp;"   ","")&amp;IF(AND(N(Q244)&gt;0,N(Q245)&lt;=0.004),"✓ "&amp;'Calc base'!F$6&amp;"   ","")&amp;IF(AND(N(S244)&gt;0,N(S245)&lt;=0.004),"✓ "&amp;'Calc base'!G$6&amp;"   ","")&amp;IF(AND(N(U244)&gt;0,N(U245)&lt;=0.004),"✓ "&amp;'Calc base'!H$6&amp;"   ","")&amp;IF(AND(N(W244)&gt;0,N(W245)&lt;=0.004),"✓ "&amp;'Calc base'!I$6&amp;"   ","")&amp;IF(AND(N(Y244)&gt;0,N(Y245)&lt;=0.004),"✓ "&amp;'Calc base'!J$6&amp;"   ","")&amp;IF(AND(N(AA244)&gt;0,N(AA245)&lt;=0.004),"✓ "&amp;'Calc base'!K$6&amp;"   ","")&amp;IF(AND(N(AC244)&gt;0,N(AC245)&lt;=0.004),"✓ "&amp;'Calc base'!L$6&amp;"   ","")&amp;IF(AND(N(AE244)&gt;0,N(AE245)&lt;=0.004),"✓ "&amp;'Calc base'!M$6&amp;"   ","")&amp;IF(AND(N(AG244)&gt;0,N(AG245)&lt;=0.004),"✓ "&amp;'Calc base'!N$6&amp;"   ","")))</f>
        <v/>
      </c>
      <c r="J245" s="70" t="str">
        <f>IF($A245="","",ROUND(N(K244)*(1+'Calc base'!H268),2)-K245)</f>
        <v/>
      </c>
      <c r="K245" s="75" t="str">
        <f>IF($A245="","",CHOOSE('Calc riepilogo'!$B$2,'Calc valanga'!AT268,'Calc palla di neve'!AT268,'Calc personalizzata'!AT268))</f>
        <v/>
      </c>
      <c r="L245" s="70" t="str">
        <f>IF($A245="","",ROUND(N(M244)*(1+'Calc base'!I268),2)-M245)</f>
        <v/>
      </c>
      <c r="M245" s="75" t="str">
        <f>IF($A245="","",CHOOSE('Calc riepilogo'!$B$2,'Calc valanga'!AU268,'Calc palla di neve'!AU268,'Calc personalizzata'!AU268))</f>
        <v/>
      </c>
      <c r="N245" s="70" t="str">
        <f>IF($A245="","",ROUND(N(O244)*(1+'Calc base'!J268),2)-O245)</f>
        <v/>
      </c>
      <c r="O245" s="75" t="str">
        <f>IF($A245="","",CHOOSE('Calc riepilogo'!$B$2,'Calc valanga'!AV268,'Calc palla di neve'!AV268,'Calc personalizzata'!AV268))</f>
        <v/>
      </c>
      <c r="P245" s="70" t="str">
        <f>IF($A245="","",ROUND(N(Q244)*(1+'Calc base'!K268),2)-Q245)</f>
        <v/>
      </c>
      <c r="Q245" s="75" t="str">
        <f>IF($A245="","",CHOOSE('Calc riepilogo'!$B$2,'Calc valanga'!AW268,'Calc palla di neve'!AW268,'Calc personalizzata'!AW268))</f>
        <v/>
      </c>
      <c r="R245" s="70" t="str">
        <f>IF($A245="","",ROUND(N(S244)*(1+'Calc base'!L268),2)-S245)</f>
        <v/>
      </c>
      <c r="S245" s="75" t="str">
        <f>IF($A245="","",CHOOSE('Calc riepilogo'!$B$2,'Calc valanga'!AX268,'Calc palla di neve'!AX268,'Calc personalizzata'!AX268))</f>
        <v/>
      </c>
      <c r="T245" s="70" t="str">
        <f>IF($A245="","",ROUND(N(U244)*(1+'Calc base'!M268),2)-U245)</f>
        <v/>
      </c>
      <c r="U245" s="75" t="str">
        <f>IF($A245="","",CHOOSE('Calc riepilogo'!$B$2,'Calc valanga'!AY268,'Calc palla di neve'!AY268,'Calc personalizzata'!AY268))</f>
        <v/>
      </c>
      <c r="V245" s="70" t="str">
        <f>IF($A245="","",ROUND(N(W244)*(1+'Calc base'!N268),2)-W245)</f>
        <v/>
      </c>
      <c r="W245" s="75" t="str">
        <f>IF($A245="","",CHOOSE('Calc riepilogo'!$B$2,'Calc valanga'!AZ268,'Calc palla di neve'!AZ268,'Calc personalizzata'!AZ268))</f>
        <v/>
      </c>
      <c r="X245" s="70" t="str">
        <f>IF($A245="","",ROUND(N(Y244)*(1+'Calc base'!O268),2)-Y245)</f>
        <v/>
      </c>
      <c r="Y245" s="75" t="str">
        <f>IF($A245="","",CHOOSE('Calc riepilogo'!$B$2,'Calc valanga'!BA268,'Calc palla di neve'!BA268,'Calc personalizzata'!BA268))</f>
        <v/>
      </c>
      <c r="Z245" s="70" t="str">
        <f>IF($A245="","",ROUND(N(AA244)*(1+'Calc base'!P268),2)-AA245)</f>
        <v/>
      </c>
      <c r="AA245" s="75" t="str">
        <f>IF($A245="","",CHOOSE('Calc riepilogo'!$B$2,'Calc valanga'!BB268,'Calc palla di neve'!BB268,'Calc personalizzata'!BB268))</f>
        <v/>
      </c>
      <c r="AB245" s="70" t="str">
        <f>IF($A245="","",ROUND(N(AC244)*(1+'Calc base'!Q268),2)-AC245)</f>
        <v/>
      </c>
      <c r="AC245" s="75" t="str">
        <f>IF($A245="","",CHOOSE('Calc riepilogo'!$B$2,'Calc valanga'!BC268,'Calc palla di neve'!BC268,'Calc personalizzata'!BC268))</f>
        <v/>
      </c>
      <c r="AD245" s="70" t="str">
        <f>IF($A245="","",ROUND(N(AE244)*(1+'Calc base'!R268),2)-AE245)</f>
        <v/>
      </c>
      <c r="AE245" s="75" t="str">
        <f>IF($A245="","",CHOOSE('Calc riepilogo'!$B$2,'Calc valanga'!BD268,'Calc palla di neve'!BD268,'Calc personalizzata'!BD268))</f>
        <v/>
      </c>
      <c r="AF245" s="70" t="str">
        <f>IF($A245="","",ROUND(N(AG244)*(1+'Calc base'!S268),2)-AG245)</f>
        <v/>
      </c>
      <c r="AG245" s="75" t="str">
        <f>IF($A245="","",CHOOSE('Calc riepilogo'!$B$2,'Calc valanga'!BE268,'Calc palla di neve'!BE268,'Calc personalizzata'!BE268))</f>
        <v/>
      </c>
      <c r="AI245" t="n">
        <v>238</v>
      </c>
    </row>
    <row r="246">
      <c r="A246" s="68" t="str">
        <f>IF(239&gt;'Calc riepilogo'!$B$7,"",'Calc base'!$B269)</f>
        <v/>
      </c>
      <c r="B246" s="69" t="str">
        <f>IF($A246="","",'Calc base'!$C269)</f>
        <v/>
      </c>
      <c r="C246" s="69" t="str">
        <f>IF($A246="","",'Calc base'!$E269)</f>
        <v/>
      </c>
      <c r="D246" s="70" t="str">
        <f>IF($A246="","",J246+L246+N246+P246+R246+T246+V246+X246+Z246+AB246+AD246+AF246)</f>
        <v/>
      </c>
      <c r="E246" s="70" t="str">
        <f>IF($A246="","",CHOOSE('Calc riepilogo'!$B$2,'Calc valanga'!$H269,'Calc palla di neve'!$H269,'Calc personalizzata'!$H269))</f>
        <v/>
      </c>
      <c r="F246" s="71" t="str">
        <f>IF($A246="","",CHOOSE('Calc riepilogo'!$B$2,'Calc valanga'!$G269,'Calc palla di neve'!$G269,'Calc personalizzata'!$G269))</f>
        <v/>
      </c>
      <c r="G246" s="72" t="n"/>
      <c r="H246" s="73" t="n"/>
      <c r="I246" s="74" t="str">
        <f>IF($A246="","",TRIM(IF(AND(N(K245)&gt;0,N(K246)&lt;=0.004),"✓ "&amp;'Calc base'!C$6&amp;"   ","")&amp;IF(AND(N(M245)&gt;0,N(M246)&lt;=0.004),"✓ "&amp;'Calc base'!D$6&amp;"   ","")&amp;IF(AND(N(O245)&gt;0,N(O246)&lt;=0.004),"✓ "&amp;'Calc base'!E$6&amp;"   ","")&amp;IF(AND(N(Q245)&gt;0,N(Q246)&lt;=0.004),"✓ "&amp;'Calc base'!F$6&amp;"   ","")&amp;IF(AND(N(S245)&gt;0,N(S246)&lt;=0.004),"✓ "&amp;'Calc base'!G$6&amp;"   ","")&amp;IF(AND(N(U245)&gt;0,N(U246)&lt;=0.004),"✓ "&amp;'Calc base'!H$6&amp;"   ","")&amp;IF(AND(N(W245)&gt;0,N(W246)&lt;=0.004),"✓ "&amp;'Calc base'!I$6&amp;"   ","")&amp;IF(AND(N(Y245)&gt;0,N(Y246)&lt;=0.004),"✓ "&amp;'Calc base'!J$6&amp;"   ","")&amp;IF(AND(N(AA245)&gt;0,N(AA246)&lt;=0.004),"✓ "&amp;'Calc base'!K$6&amp;"   ","")&amp;IF(AND(N(AC245)&gt;0,N(AC246)&lt;=0.004),"✓ "&amp;'Calc base'!L$6&amp;"   ","")&amp;IF(AND(N(AE245)&gt;0,N(AE246)&lt;=0.004),"✓ "&amp;'Calc base'!M$6&amp;"   ","")&amp;IF(AND(N(AG245)&gt;0,N(AG246)&lt;=0.004),"✓ "&amp;'Calc base'!N$6&amp;"   ","")))</f>
        <v/>
      </c>
      <c r="J246" s="70" t="str">
        <f>IF($A246="","",ROUND(N(K245)*(1+'Calc base'!H269),2)-K246)</f>
        <v/>
      </c>
      <c r="K246" s="75" t="str">
        <f>IF($A246="","",CHOOSE('Calc riepilogo'!$B$2,'Calc valanga'!AT269,'Calc palla di neve'!AT269,'Calc personalizzata'!AT269))</f>
        <v/>
      </c>
      <c r="L246" s="70" t="str">
        <f>IF($A246="","",ROUND(N(M245)*(1+'Calc base'!I269),2)-M246)</f>
        <v/>
      </c>
      <c r="M246" s="75" t="str">
        <f>IF($A246="","",CHOOSE('Calc riepilogo'!$B$2,'Calc valanga'!AU269,'Calc palla di neve'!AU269,'Calc personalizzata'!AU269))</f>
        <v/>
      </c>
      <c r="N246" s="70" t="str">
        <f>IF($A246="","",ROUND(N(O245)*(1+'Calc base'!J269),2)-O246)</f>
        <v/>
      </c>
      <c r="O246" s="75" t="str">
        <f>IF($A246="","",CHOOSE('Calc riepilogo'!$B$2,'Calc valanga'!AV269,'Calc palla di neve'!AV269,'Calc personalizzata'!AV269))</f>
        <v/>
      </c>
      <c r="P246" s="70" t="str">
        <f>IF($A246="","",ROUND(N(Q245)*(1+'Calc base'!K269),2)-Q246)</f>
        <v/>
      </c>
      <c r="Q246" s="75" t="str">
        <f>IF($A246="","",CHOOSE('Calc riepilogo'!$B$2,'Calc valanga'!AW269,'Calc palla di neve'!AW269,'Calc personalizzata'!AW269))</f>
        <v/>
      </c>
      <c r="R246" s="70" t="str">
        <f>IF($A246="","",ROUND(N(S245)*(1+'Calc base'!L269),2)-S246)</f>
        <v/>
      </c>
      <c r="S246" s="75" t="str">
        <f>IF($A246="","",CHOOSE('Calc riepilogo'!$B$2,'Calc valanga'!AX269,'Calc palla di neve'!AX269,'Calc personalizzata'!AX269))</f>
        <v/>
      </c>
      <c r="T246" s="70" t="str">
        <f>IF($A246="","",ROUND(N(U245)*(1+'Calc base'!M269),2)-U246)</f>
        <v/>
      </c>
      <c r="U246" s="75" t="str">
        <f>IF($A246="","",CHOOSE('Calc riepilogo'!$B$2,'Calc valanga'!AY269,'Calc palla di neve'!AY269,'Calc personalizzata'!AY269))</f>
        <v/>
      </c>
      <c r="V246" s="70" t="str">
        <f>IF($A246="","",ROUND(N(W245)*(1+'Calc base'!N269),2)-W246)</f>
        <v/>
      </c>
      <c r="W246" s="75" t="str">
        <f>IF($A246="","",CHOOSE('Calc riepilogo'!$B$2,'Calc valanga'!AZ269,'Calc palla di neve'!AZ269,'Calc personalizzata'!AZ269))</f>
        <v/>
      </c>
      <c r="X246" s="70" t="str">
        <f>IF($A246="","",ROUND(N(Y245)*(1+'Calc base'!O269),2)-Y246)</f>
        <v/>
      </c>
      <c r="Y246" s="75" t="str">
        <f>IF($A246="","",CHOOSE('Calc riepilogo'!$B$2,'Calc valanga'!BA269,'Calc palla di neve'!BA269,'Calc personalizzata'!BA269))</f>
        <v/>
      </c>
      <c r="Z246" s="70" t="str">
        <f>IF($A246="","",ROUND(N(AA245)*(1+'Calc base'!P269),2)-AA246)</f>
        <v/>
      </c>
      <c r="AA246" s="75" t="str">
        <f>IF($A246="","",CHOOSE('Calc riepilogo'!$B$2,'Calc valanga'!BB269,'Calc palla di neve'!BB269,'Calc personalizzata'!BB269))</f>
        <v/>
      </c>
      <c r="AB246" s="70" t="str">
        <f>IF($A246="","",ROUND(N(AC245)*(1+'Calc base'!Q269),2)-AC246)</f>
        <v/>
      </c>
      <c r="AC246" s="75" t="str">
        <f>IF($A246="","",CHOOSE('Calc riepilogo'!$B$2,'Calc valanga'!BC269,'Calc palla di neve'!BC269,'Calc personalizzata'!BC269))</f>
        <v/>
      </c>
      <c r="AD246" s="70" t="str">
        <f>IF($A246="","",ROUND(N(AE245)*(1+'Calc base'!R269),2)-AE246)</f>
        <v/>
      </c>
      <c r="AE246" s="75" t="str">
        <f>IF($A246="","",CHOOSE('Calc riepilogo'!$B$2,'Calc valanga'!BD269,'Calc palla di neve'!BD269,'Calc personalizzata'!BD269))</f>
        <v/>
      </c>
      <c r="AF246" s="70" t="str">
        <f>IF($A246="","",ROUND(N(AG245)*(1+'Calc base'!S269),2)-AG246)</f>
        <v/>
      </c>
      <c r="AG246" s="75" t="str">
        <f>IF($A246="","",CHOOSE('Calc riepilogo'!$B$2,'Calc valanga'!BE269,'Calc palla di neve'!BE269,'Calc personalizzata'!BE269))</f>
        <v/>
      </c>
      <c r="AI246" t="n">
        <v>239</v>
      </c>
    </row>
    <row r="247">
      <c r="A247" s="68" t="str">
        <f>IF(240&gt;'Calc riepilogo'!$B$7,"",'Calc base'!$B270)</f>
        <v/>
      </c>
      <c r="B247" s="69" t="str">
        <f>IF($A247="","",'Calc base'!$C270)</f>
        <v/>
      </c>
      <c r="C247" s="69" t="str">
        <f>IF($A247="","",'Calc base'!$E270)</f>
        <v/>
      </c>
      <c r="D247" s="70" t="str">
        <f>IF($A247="","",J247+L247+N247+P247+R247+T247+V247+X247+Z247+AB247+AD247+AF247)</f>
        <v/>
      </c>
      <c r="E247" s="70" t="str">
        <f>IF($A247="","",CHOOSE('Calc riepilogo'!$B$2,'Calc valanga'!$H270,'Calc palla di neve'!$H270,'Calc personalizzata'!$H270))</f>
        <v/>
      </c>
      <c r="F247" s="71" t="str">
        <f>IF($A247="","",CHOOSE('Calc riepilogo'!$B$2,'Calc valanga'!$G270,'Calc palla di neve'!$G270,'Calc personalizzata'!$G270))</f>
        <v/>
      </c>
      <c r="G247" s="72" t="n"/>
      <c r="H247" s="73" t="n"/>
      <c r="I247" s="74" t="str">
        <f>IF($A247="","",TRIM(IF(AND(N(K246)&gt;0,N(K247)&lt;=0.004),"✓ "&amp;'Calc base'!C$6&amp;"   ","")&amp;IF(AND(N(M246)&gt;0,N(M247)&lt;=0.004),"✓ "&amp;'Calc base'!D$6&amp;"   ","")&amp;IF(AND(N(O246)&gt;0,N(O247)&lt;=0.004),"✓ "&amp;'Calc base'!E$6&amp;"   ","")&amp;IF(AND(N(Q246)&gt;0,N(Q247)&lt;=0.004),"✓ "&amp;'Calc base'!F$6&amp;"   ","")&amp;IF(AND(N(S246)&gt;0,N(S247)&lt;=0.004),"✓ "&amp;'Calc base'!G$6&amp;"   ","")&amp;IF(AND(N(U246)&gt;0,N(U247)&lt;=0.004),"✓ "&amp;'Calc base'!H$6&amp;"   ","")&amp;IF(AND(N(W246)&gt;0,N(W247)&lt;=0.004),"✓ "&amp;'Calc base'!I$6&amp;"   ","")&amp;IF(AND(N(Y246)&gt;0,N(Y247)&lt;=0.004),"✓ "&amp;'Calc base'!J$6&amp;"   ","")&amp;IF(AND(N(AA246)&gt;0,N(AA247)&lt;=0.004),"✓ "&amp;'Calc base'!K$6&amp;"   ","")&amp;IF(AND(N(AC246)&gt;0,N(AC247)&lt;=0.004),"✓ "&amp;'Calc base'!L$6&amp;"   ","")&amp;IF(AND(N(AE246)&gt;0,N(AE247)&lt;=0.004),"✓ "&amp;'Calc base'!M$6&amp;"   ","")&amp;IF(AND(N(AG246)&gt;0,N(AG247)&lt;=0.004),"✓ "&amp;'Calc base'!N$6&amp;"   ","")))</f>
        <v/>
      </c>
      <c r="J247" s="70" t="str">
        <f>IF($A247="","",ROUND(N(K246)*(1+'Calc base'!H270),2)-K247)</f>
        <v/>
      </c>
      <c r="K247" s="75" t="str">
        <f>IF($A247="","",CHOOSE('Calc riepilogo'!$B$2,'Calc valanga'!AT270,'Calc palla di neve'!AT270,'Calc personalizzata'!AT270))</f>
        <v/>
      </c>
      <c r="L247" s="70" t="str">
        <f>IF($A247="","",ROUND(N(M246)*(1+'Calc base'!I270),2)-M247)</f>
        <v/>
      </c>
      <c r="M247" s="75" t="str">
        <f>IF($A247="","",CHOOSE('Calc riepilogo'!$B$2,'Calc valanga'!AU270,'Calc palla di neve'!AU270,'Calc personalizzata'!AU270))</f>
        <v/>
      </c>
      <c r="N247" s="70" t="str">
        <f>IF($A247="","",ROUND(N(O246)*(1+'Calc base'!J270),2)-O247)</f>
        <v/>
      </c>
      <c r="O247" s="75" t="str">
        <f>IF($A247="","",CHOOSE('Calc riepilogo'!$B$2,'Calc valanga'!AV270,'Calc palla di neve'!AV270,'Calc personalizzata'!AV270))</f>
        <v/>
      </c>
      <c r="P247" s="70" t="str">
        <f>IF($A247="","",ROUND(N(Q246)*(1+'Calc base'!K270),2)-Q247)</f>
        <v/>
      </c>
      <c r="Q247" s="75" t="str">
        <f>IF($A247="","",CHOOSE('Calc riepilogo'!$B$2,'Calc valanga'!AW270,'Calc palla di neve'!AW270,'Calc personalizzata'!AW270))</f>
        <v/>
      </c>
      <c r="R247" s="70" t="str">
        <f>IF($A247="","",ROUND(N(S246)*(1+'Calc base'!L270),2)-S247)</f>
        <v/>
      </c>
      <c r="S247" s="75" t="str">
        <f>IF($A247="","",CHOOSE('Calc riepilogo'!$B$2,'Calc valanga'!AX270,'Calc palla di neve'!AX270,'Calc personalizzata'!AX270))</f>
        <v/>
      </c>
      <c r="T247" s="70" t="str">
        <f>IF($A247="","",ROUND(N(U246)*(1+'Calc base'!M270),2)-U247)</f>
        <v/>
      </c>
      <c r="U247" s="75" t="str">
        <f>IF($A247="","",CHOOSE('Calc riepilogo'!$B$2,'Calc valanga'!AY270,'Calc palla di neve'!AY270,'Calc personalizzata'!AY270))</f>
        <v/>
      </c>
      <c r="V247" s="70" t="str">
        <f>IF($A247="","",ROUND(N(W246)*(1+'Calc base'!N270),2)-W247)</f>
        <v/>
      </c>
      <c r="W247" s="75" t="str">
        <f>IF($A247="","",CHOOSE('Calc riepilogo'!$B$2,'Calc valanga'!AZ270,'Calc palla di neve'!AZ270,'Calc personalizzata'!AZ270))</f>
        <v/>
      </c>
      <c r="X247" s="70" t="str">
        <f>IF($A247="","",ROUND(N(Y246)*(1+'Calc base'!O270),2)-Y247)</f>
        <v/>
      </c>
      <c r="Y247" s="75" t="str">
        <f>IF($A247="","",CHOOSE('Calc riepilogo'!$B$2,'Calc valanga'!BA270,'Calc palla di neve'!BA270,'Calc personalizzata'!BA270))</f>
        <v/>
      </c>
      <c r="Z247" s="70" t="str">
        <f>IF($A247="","",ROUND(N(AA246)*(1+'Calc base'!P270),2)-AA247)</f>
        <v/>
      </c>
      <c r="AA247" s="75" t="str">
        <f>IF($A247="","",CHOOSE('Calc riepilogo'!$B$2,'Calc valanga'!BB270,'Calc palla di neve'!BB270,'Calc personalizzata'!BB270))</f>
        <v/>
      </c>
      <c r="AB247" s="70" t="str">
        <f>IF($A247="","",ROUND(N(AC246)*(1+'Calc base'!Q270),2)-AC247)</f>
        <v/>
      </c>
      <c r="AC247" s="75" t="str">
        <f>IF($A247="","",CHOOSE('Calc riepilogo'!$B$2,'Calc valanga'!BC270,'Calc palla di neve'!BC270,'Calc personalizzata'!BC270))</f>
        <v/>
      </c>
      <c r="AD247" s="70" t="str">
        <f>IF($A247="","",ROUND(N(AE246)*(1+'Calc base'!R270),2)-AE247)</f>
        <v/>
      </c>
      <c r="AE247" s="75" t="str">
        <f>IF($A247="","",CHOOSE('Calc riepilogo'!$B$2,'Calc valanga'!BD270,'Calc palla di neve'!BD270,'Calc personalizzata'!BD270))</f>
        <v/>
      </c>
      <c r="AF247" s="70" t="str">
        <f>IF($A247="","",ROUND(N(AG246)*(1+'Calc base'!S270),2)-AG247)</f>
        <v/>
      </c>
      <c r="AG247" s="75" t="str">
        <f>IF($A247="","",CHOOSE('Calc riepilogo'!$B$2,'Calc valanga'!BE270,'Calc palla di neve'!BE270,'Calc personalizzata'!BE270))</f>
        <v/>
      </c>
      <c r="AI247" t="n">
        <v>240</v>
      </c>
    </row>
    <row r="248">
      <c r="A248" s="68" t="str">
        <f>IF(241&gt;'Calc riepilogo'!$B$7,"",'Calc base'!$B271)</f>
        <v/>
      </c>
      <c r="B248" s="69" t="str">
        <f>IF($A248="","",'Calc base'!$C271)</f>
        <v/>
      </c>
      <c r="C248" s="69" t="str">
        <f>IF($A248="","",'Calc base'!$E271)</f>
        <v/>
      </c>
      <c r="D248" s="70" t="str">
        <f>IF($A248="","",J248+L248+N248+P248+R248+T248+V248+X248+Z248+AB248+AD248+AF248)</f>
        <v/>
      </c>
      <c r="E248" s="70" t="str">
        <f>IF($A248="","",CHOOSE('Calc riepilogo'!$B$2,'Calc valanga'!$H271,'Calc palla di neve'!$H271,'Calc personalizzata'!$H271))</f>
        <v/>
      </c>
      <c r="F248" s="71" t="str">
        <f>IF($A248="","",CHOOSE('Calc riepilogo'!$B$2,'Calc valanga'!$G271,'Calc palla di neve'!$G271,'Calc personalizzata'!$G271))</f>
        <v/>
      </c>
      <c r="G248" s="72" t="n"/>
      <c r="H248" s="73" t="n"/>
      <c r="I248" s="74" t="str">
        <f>IF($A248="","",TRIM(IF(AND(N(K247)&gt;0,N(K248)&lt;=0.004),"✓ "&amp;'Calc base'!C$6&amp;"   ","")&amp;IF(AND(N(M247)&gt;0,N(M248)&lt;=0.004),"✓ "&amp;'Calc base'!D$6&amp;"   ","")&amp;IF(AND(N(O247)&gt;0,N(O248)&lt;=0.004),"✓ "&amp;'Calc base'!E$6&amp;"   ","")&amp;IF(AND(N(Q247)&gt;0,N(Q248)&lt;=0.004),"✓ "&amp;'Calc base'!F$6&amp;"   ","")&amp;IF(AND(N(S247)&gt;0,N(S248)&lt;=0.004),"✓ "&amp;'Calc base'!G$6&amp;"   ","")&amp;IF(AND(N(U247)&gt;0,N(U248)&lt;=0.004),"✓ "&amp;'Calc base'!H$6&amp;"   ","")&amp;IF(AND(N(W247)&gt;0,N(W248)&lt;=0.004),"✓ "&amp;'Calc base'!I$6&amp;"   ","")&amp;IF(AND(N(Y247)&gt;0,N(Y248)&lt;=0.004),"✓ "&amp;'Calc base'!J$6&amp;"   ","")&amp;IF(AND(N(AA247)&gt;0,N(AA248)&lt;=0.004),"✓ "&amp;'Calc base'!K$6&amp;"   ","")&amp;IF(AND(N(AC247)&gt;0,N(AC248)&lt;=0.004),"✓ "&amp;'Calc base'!L$6&amp;"   ","")&amp;IF(AND(N(AE247)&gt;0,N(AE248)&lt;=0.004),"✓ "&amp;'Calc base'!M$6&amp;"   ","")&amp;IF(AND(N(AG247)&gt;0,N(AG248)&lt;=0.004),"✓ "&amp;'Calc base'!N$6&amp;"   ","")))</f>
        <v/>
      </c>
      <c r="J248" s="70" t="str">
        <f>IF($A248="","",ROUND(N(K247)*(1+'Calc base'!H271),2)-K248)</f>
        <v/>
      </c>
      <c r="K248" s="75" t="str">
        <f>IF($A248="","",CHOOSE('Calc riepilogo'!$B$2,'Calc valanga'!AT271,'Calc palla di neve'!AT271,'Calc personalizzata'!AT271))</f>
        <v/>
      </c>
      <c r="L248" s="70" t="str">
        <f>IF($A248="","",ROUND(N(M247)*(1+'Calc base'!I271),2)-M248)</f>
        <v/>
      </c>
      <c r="M248" s="75" t="str">
        <f>IF($A248="","",CHOOSE('Calc riepilogo'!$B$2,'Calc valanga'!AU271,'Calc palla di neve'!AU271,'Calc personalizzata'!AU271))</f>
        <v/>
      </c>
      <c r="N248" s="70" t="str">
        <f>IF($A248="","",ROUND(N(O247)*(1+'Calc base'!J271),2)-O248)</f>
        <v/>
      </c>
      <c r="O248" s="75" t="str">
        <f>IF($A248="","",CHOOSE('Calc riepilogo'!$B$2,'Calc valanga'!AV271,'Calc palla di neve'!AV271,'Calc personalizzata'!AV271))</f>
        <v/>
      </c>
      <c r="P248" s="70" t="str">
        <f>IF($A248="","",ROUND(N(Q247)*(1+'Calc base'!K271),2)-Q248)</f>
        <v/>
      </c>
      <c r="Q248" s="75" t="str">
        <f>IF($A248="","",CHOOSE('Calc riepilogo'!$B$2,'Calc valanga'!AW271,'Calc palla di neve'!AW271,'Calc personalizzata'!AW271))</f>
        <v/>
      </c>
      <c r="R248" s="70" t="str">
        <f>IF($A248="","",ROUND(N(S247)*(1+'Calc base'!L271),2)-S248)</f>
        <v/>
      </c>
      <c r="S248" s="75" t="str">
        <f>IF($A248="","",CHOOSE('Calc riepilogo'!$B$2,'Calc valanga'!AX271,'Calc palla di neve'!AX271,'Calc personalizzata'!AX271))</f>
        <v/>
      </c>
      <c r="T248" s="70" t="str">
        <f>IF($A248="","",ROUND(N(U247)*(1+'Calc base'!M271),2)-U248)</f>
        <v/>
      </c>
      <c r="U248" s="75" t="str">
        <f>IF($A248="","",CHOOSE('Calc riepilogo'!$B$2,'Calc valanga'!AY271,'Calc palla di neve'!AY271,'Calc personalizzata'!AY271))</f>
        <v/>
      </c>
      <c r="V248" s="70" t="str">
        <f>IF($A248="","",ROUND(N(W247)*(1+'Calc base'!N271),2)-W248)</f>
        <v/>
      </c>
      <c r="W248" s="75" t="str">
        <f>IF($A248="","",CHOOSE('Calc riepilogo'!$B$2,'Calc valanga'!AZ271,'Calc palla di neve'!AZ271,'Calc personalizzata'!AZ271))</f>
        <v/>
      </c>
      <c r="X248" s="70" t="str">
        <f>IF($A248="","",ROUND(N(Y247)*(1+'Calc base'!O271),2)-Y248)</f>
        <v/>
      </c>
      <c r="Y248" s="75" t="str">
        <f>IF($A248="","",CHOOSE('Calc riepilogo'!$B$2,'Calc valanga'!BA271,'Calc palla di neve'!BA271,'Calc personalizzata'!BA271))</f>
        <v/>
      </c>
      <c r="Z248" s="70" t="str">
        <f>IF($A248="","",ROUND(N(AA247)*(1+'Calc base'!P271),2)-AA248)</f>
        <v/>
      </c>
      <c r="AA248" s="75" t="str">
        <f>IF($A248="","",CHOOSE('Calc riepilogo'!$B$2,'Calc valanga'!BB271,'Calc palla di neve'!BB271,'Calc personalizzata'!BB271))</f>
        <v/>
      </c>
      <c r="AB248" s="70" t="str">
        <f>IF($A248="","",ROUND(N(AC247)*(1+'Calc base'!Q271),2)-AC248)</f>
        <v/>
      </c>
      <c r="AC248" s="75" t="str">
        <f>IF($A248="","",CHOOSE('Calc riepilogo'!$B$2,'Calc valanga'!BC271,'Calc palla di neve'!BC271,'Calc personalizzata'!BC271))</f>
        <v/>
      </c>
      <c r="AD248" s="70" t="str">
        <f>IF($A248="","",ROUND(N(AE247)*(1+'Calc base'!R271),2)-AE248)</f>
        <v/>
      </c>
      <c r="AE248" s="75" t="str">
        <f>IF($A248="","",CHOOSE('Calc riepilogo'!$B$2,'Calc valanga'!BD271,'Calc palla di neve'!BD271,'Calc personalizzata'!BD271))</f>
        <v/>
      </c>
      <c r="AF248" s="70" t="str">
        <f>IF($A248="","",ROUND(N(AG247)*(1+'Calc base'!S271),2)-AG248)</f>
        <v/>
      </c>
      <c r="AG248" s="75" t="str">
        <f>IF($A248="","",CHOOSE('Calc riepilogo'!$B$2,'Calc valanga'!BE271,'Calc palla di neve'!BE271,'Calc personalizzata'!BE271))</f>
        <v/>
      </c>
      <c r="AI248" t="n">
        <v>241</v>
      </c>
    </row>
    <row r="249">
      <c r="A249" s="68" t="str">
        <f>IF(242&gt;'Calc riepilogo'!$B$7,"",'Calc base'!$B272)</f>
        <v/>
      </c>
      <c r="B249" s="69" t="str">
        <f>IF($A249="","",'Calc base'!$C272)</f>
        <v/>
      </c>
      <c r="C249" s="69" t="str">
        <f>IF($A249="","",'Calc base'!$E272)</f>
        <v/>
      </c>
      <c r="D249" s="70" t="str">
        <f>IF($A249="","",J249+L249+N249+P249+R249+T249+V249+X249+Z249+AB249+AD249+AF249)</f>
        <v/>
      </c>
      <c r="E249" s="70" t="str">
        <f>IF($A249="","",CHOOSE('Calc riepilogo'!$B$2,'Calc valanga'!$H272,'Calc palla di neve'!$H272,'Calc personalizzata'!$H272))</f>
        <v/>
      </c>
      <c r="F249" s="71" t="str">
        <f>IF($A249="","",CHOOSE('Calc riepilogo'!$B$2,'Calc valanga'!$G272,'Calc palla di neve'!$G272,'Calc personalizzata'!$G272))</f>
        <v/>
      </c>
      <c r="G249" s="72" t="n"/>
      <c r="H249" s="73" t="n"/>
      <c r="I249" s="74" t="str">
        <f>IF($A249="","",TRIM(IF(AND(N(K248)&gt;0,N(K249)&lt;=0.004),"✓ "&amp;'Calc base'!C$6&amp;"   ","")&amp;IF(AND(N(M248)&gt;0,N(M249)&lt;=0.004),"✓ "&amp;'Calc base'!D$6&amp;"   ","")&amp;IF(AND(N(O248)&gt;0,N(O249)&lt;=0.004),"✓ "&amp;'Calc base'!E$6&amp;"   ","")&amp;IF(AND(N(Q248)&gt;0,N(Q249)&lt;=0.004),"✓ "&amp;'Calc base'!F$6&amp;"   ","")&amp;IF(AND(N(S248)&gt;0,N(S249)&lt;=0.004),"✓ "&amp;'Calc base'!G$6&amp;"   ","")&amp;IF(AND(N(U248)&gt;0,N(U249)&lt;=0.004),"✓ "&amp;'Calc base'!H$6&amp;"   ","")&amp;IF(AND(N(W248)&gt;0,N(W249)&lt;=0.004),"✓ "&amp;'Calc base'!I$6&amp;"   ","")&amp;IF(AND(N(Y248)&gt;0,N(Y249)&lt;=0.004),"✓ "&amp;'Calc base'!J$6&amp;"   ","")&amp;IF(AND(N(AA248)&gt;0,N(AA249)&lt;=0.004),"✓ "&amp;'Calc base'!K$6&amp;"   ","")&amp;IF(AND(N(AC248)&gt;0,N(AC249)&lt;=0.004),"✓ "&amp;'Calc base'!L$6&amp;"   ","")&amp;IF(AND(N(AE248)&gt;0,N(AE249)&lt;=0.004),"✓ "&amp;'Calc base'!M$6&amp;"   ","")&amp;IF(AND(N(AG248)&gt;0,N(AG249)&lt;=0.004),"✓ "&amp;'Calc base'!N$6&amp;"   ","")))</f>
        <v/>
      </c>
      <c r="J249" s="70" t="str">
        <f>IF($A249="","",ROUND(N(K248)*(1+'Calc base'!H272),2)-K249)</f>
        <v/>
      </c>
      <c r="K249" s="75" t="str">
        <f>IF($A249="","",CHOOSE('Calc riepilogo'!$B$2,'Calc valanga'!AT272,'Calc palla di neve'!AT272,'Calc personalizzata'!AT272))</f>
        <v/>
      </c>
      <c r="L249" s="70" t="str">
        <f>IF($A249="","",ROUND(N(M248)*(1+'Calc base'!I272),2)-M249)</f>
        <v/>
      </c>
      <c r="M249" s="75" t="str">
        <f>IF($A249="","",CHOOSE('Calc riepilogo'!$B$2,'Calc valanga'!AU272,'Calc palla di neve'!AU272,'Calc personalizzata'!AU272))</f>
        <v/>
      </c>
      <c r="N249" s="70" t="str">
        <f>IF($A249="","",ROUND(N(O248)*(1+'Calc base'!J272),2)-O249)</f>
        <v/>
      </c>
      <c r="O249" s="75" t="str">
        <f>IF($A249="","",CHOOSE('Calc riepilogo'!$B$2,'Calc valanga'!AV272,'Calc palla di neve'!AV272,'Calc personalizzata'!AV272))</f>
        <v/>
      </c>
      <c r="P249" s="70" t="str">
        <f>IF($A249="","",ROUND(N(Q248)*(1+'Calc base'!K272),2)-Q249)</f>
        <v/>
      </c>
      <c r="Q249" s="75" t="str">
        <f>IF($A249="","",CHOOSE('Calc riepilogo'!$B$2,'Calc valanga'!AW272,'Calc palla di neve'!AW272,'Calc personalizzata'!AW272))</f>
        <v/>
      </c>
      <c r="R249" s="70" t="str">
        <f>IF($A249="","",ROUND(N(S248)*(1+'Calc base'!L272),2)-S249)</f>
        <v/>
      </c>
      <c r="S249" s="75" t="str">
        <f>IF($A249="","",CHOOSE('Calc riepilogo'!$B$2,'Calc valanga'!AX272,'Calc palla di neve'!AX272,'Calc personalizzata'!AX272))</f>
        <v/>
      </c>
      <c r="T249" s="70" t="str">
        <f>IF($A249="","",ROUND(N(U248)*(1+'Calc base'!M272),2)-U249)</f>
        <v/>
      </c>
      <c r="U249" s="75" t="str">
        <f>IF($A249="","",CHOOSE('Calc riepilogo'!$B$2,'Calc valanga'!AY272,'Calc palla di neve'!AY272,'Calc personalizzata'!AY272))</f>
        <v/>
      </c>
      <c r="V249" s="70" t="str">
        <f>IF($A249="","",ROUND(N(W248)*(1+'Calc base'!N272),2)-W249)</f>
        <v/>
      </c>
      <c r="W249" s="75" t="str">
        <f>IF($A249="","",CHOOSE('Calc riepilogo'!$B$2,'Calc valanga'!AZ272,'Calc palla di neve'!AZ272,'Calc personalizzata'!AZ272))</f>
        <v/>
      </c>
      <c r="X249" s="70" t="str">
        <f>IF($A249="","",ROUND(N(Y248)*(1+'Calc base'!O272),2)-Y249)</f>
        <v/>
      </c>
      <c r="Y249" s="75" t="str">
        <f>IF($A249="","",CHOOSE('Calc riepilogo'!$B$2,'Calc valanga'!BA272,'Calc palla di neve'!BA272,'Calc personalizzata'!BA272))</f>
        <v/>
      </c>
      <c r="Z249" s="70" t="str">
        <f>IF($A249="","",ROUND(N(AA248)*(1+'Calc base'!P272),2)-AA249)</f>
        <v/>
      </c>
      <c r="AA249" s="75" t="str">
        <f>IF($A249="","",CHOOSE('Calc riepilogo'!$B$2,'Calc valanga'!BB272,'Calc palla di neve'!BB272,'Calc personalizzata'!BB272))</f>
        <v/>
      </c>
      <c r="AB249" s="70" t="str">
        <f>IF($A249="","",ROUND(N(AC248)*(1+'Calc base'!Q272),2)-AC249)</f>
        <v/>
      </c>
      <c r="AC249" s="75" t="str">
        <f>IF($A249="","",CHOOSE('Calc riepilogo'!$B$2,'Calc valanga'!BC272,'Calc palla di neve'!BC272,'Calc personalizzata'!BC272))</f>
        <v/>
      </c>
      <c r="AD249" s="70" t="str">
        <f>IF($A249="","",ROUND(N(AE248)*(1+'Calc base'!R272),2)-AE249)</f>
        <v/>
      </c>
      <c r="AE249" s="75" t="str">
        <f>IF($A249="","",CHOOSE('Calc riepilogo'!$B$2,'Calc valanga'!BD272,'Calc palla di neve'!BD272,'Calc personalizzata'!BD272))</f>
        <v/>
      </c>
      <c r="AF249" s="70" t="str">
        <f>IF($A249="","",ROUND(N(AG248)*(1+'Calc base'!S272),2)-AG249)</f>
        <v/>
      </c>
      <c r="AG249" s="75" t="str">
        <f>IF($A249="","",CHOOSE('Calc riepilogo'!$B$2,'Calc valanga'!BE272,'Calc palla di neve'!BE272,'Calc personalizzata'!BE272))</f>
        <v/>
      </c>
      <c r="AI249" t="n">
        <v>242</v>
      </c>
    </row>
    <row r="250">
      <c r="A250" s="68" t="str">
        <f>IF(243&gt;'Calc riepilogo'!$B$7,"",'Calc base'!$B273)</f>
        <v/>
      </c>
      <c r="B250" s="69" t="str">
        <f>IF($A250="","",'Calc base'!$C273)</f>
        <v/>
      </c>
      <c r="C250" s="69" t="str">
        <f>IF($A250="","",'Calc base'!$E273)</f>
        <v/>
      </c>
      <c r="D250" s="70" t="str">
        <f>IF($A250="","",J250+L250+N250+P250+R250+T250+V250+X250+Z250+AB250+AD250+AF250)</f>
        <v/>
      </c>
      <c r="E250" s="70" t="str">
        <f>IF($A250="","",CHOOSE('Calc riepilogo'!$B$2,'Calc valanga'!$H273,'Calc palla di neve'!$H273,'Calc personalizzata'!$H273))</f>
        <v/>
      </c>
      <c r="F250" s="71" t="str">
        <f>IF($A250="","",CHOOSE('Calc riepilogo'!$B$2,'Calc valanga'!$G273,'Calc palla di neve'!$G273,'Calc personalizzata'!$G273))</f>
        <v/>
      </c>
      <c r="G250" s="72" t="n"/>
      <c r="H250" s="73" t="n"/>
      <c r="I250" s="74" t="str">
        <f>IF($A250="","",TRIM(IF(AND(N(K249)&gt;0,N(K250)&lt;=0.004),"✓ "&amp;'Calc base'!C$6&amp;"   ","")&amp;IF(AND(N(M249)&gt;0,N(M250)&lt;=0.004),"✓ "&amp;'Calc base'!D$6&amp;"   ","")&amp;IF(AND(N(O249)&gt;0,N(O250)&lt;=0.004),"✓ "&amp;'Calc base'!E$6&amp;"   ","")&amp;IF(AND(N(Q249)&gt;0,N(Q250)&lt;=0.004),"✓ "&amp;'Calc base'!F$6&amp;"   ","")&amp;IF(AND(N(S249)&gt;0,N(S250)&lt;=0.004),"✓ "&amp;'Calc base'!G$6&amp;"   ","")&amp;IF(AND(N(U249)&gt;0,N(U250)&lt;=0.004),"✓ "&amp;'Calc base'!H$6&amp;"   ","")&amp;IF(AND(N(W249)&gt;0,N(W250)&lt;=0.004),"✓ "&amp;'Calc base'!I$6&amp;"   ","")&amp;IF(AND(N(Y249)&gt;0,N(Y250)&lt;=0.004),"✓ "&amp;'Calc base'!J$6&amp;"   ","")&amp;IF(AND(N(AA249)&gt;0,N(AA250)&lt;=0.004),"✓ "&amp;'Calc base'!K$6&amp;"   ","")&amp;IF(AND(N(AC249)&gt;0,N(AC250)&lt;=0.004),"✓ "&amp;'Calc base'!L$6&amp;"   ","")&amp;IF(AND(N(AE249)&gt;0,N(AE250)&lt;=0.004),"✓ "&amp;'Calc base'!M$6&amp;"   ","")&amp;IF(AND(N(AG249)&gt;0,N(AG250)&lt;=0.004),"✓ "&amp;'Calc base'!N$6&amp;"   ","")))</f>
        <v/>
      </c>
      <c r="J250" s="70" t="str">
        <f>IF($A250="","",ROUND(N(K249)*(1+'Calc base'!H273),2)-K250)</f>
        <v/>
      </c>
      <c r="K250" s="75" t="str">
        <f>IF($A250="","",CHOOSE('Calc riepilogo'!$B$2,'Calc valanga'!AT273,'Calc palla di neve'!AT273,'Calc personalizzata'!AT273))</f>
        <v/>
      </c>
      <c r="L250" s="70" t="str">
        <f>IF($A250="","",ROUND(N(M249)*(1+'Calc base'!I273),2)-M250)</f>
        <v/>
      </c>
      <c r="M250" s="75" t="str">
        <f>IF($A250="","",CHOOSE('Calc riepilogo'!$B$2,'Calc valanga'!AU273,'Calc palla di neve'!AU273,'Calc personalizzata'!AU273))</f>
        <v/>
      </c>
      <c r="N250" s="70" t="str">
        <f>IF($A250="","",ROUND(N(O249)*(1+'Calc base'!J273),2)-O250)</f>
        <v/>
      </c>
      <c r="O250" s="75" t="str">
        <f>IF($A250="","",CHOOSE('Calc riepilogo'!$B$2,'Calc valanga'!AV273,'Calc palla di neve'!AV273,'Calc personalizzata'!AV273))</f>
        <v/>
      </c>
      <c r="P250" s="70" t="str">
        <f>IF($A250="","",ROUND(N(Q249)*(1+'Calc base'!K273),2)-Q250)</f>
        <v/>
      </c>
      <c r="Q250" s="75" t="str">
        <f>IF($A250="","",CHOOSE('Calc riepilogo'!$B$2,'Calc valanga'!AW273,'Calc palla di neve'!AW273,'Calc personalizzata'!AW273))</f>
        <v/>
      </c>
      <c r="R250" s="70" t="str">
        <f>IF($A250="","",ROUND(N(S249)*(1+'Calc base'!L273),2)-S250)</f>
        <v/>
      </c>
      <c r="S250" s="75" t="str">
        <f>IF($A250="","",CHOOSE('Calc riepilogo'!$B$2,'Calc valanga'!AX273,'Calc palla di neve'!AX273,'Calc personalizzata'!AX273))</f>
        <v/>
      </c>
      <c r="T250" s="70" t="str">
        <f>IF($A250="","",ROUND(N(U249)*(1+'Calc base'!M273),2)-U250)</f>
        <v/>
      </c>
      <c r="U250" s="75" t="str">
        <f>IF($A250="","",CHOOSE('Calc riepilogo'!$B$2,'Calc valanga'!AY273,'Calc palla di neve'!AY273,'Calc personalizzata'!AY273))</f>
        <v/>
      </c>
      <c r="V250" s="70" t="str">
        <f>IF($A250="","",ROUND(N(W249)*(1+'Calc base'!N273),2)-W250)</f>
        <v/>
      </c>
      <c r="W250" s="75" t="str">
        <f>IF($A250="","",CHOOSE('Calc riepilogo'!$B$2,'Calc valanga'!AZ273,'Calc palla di neve'!AZ273,'Calc personalizzata'!AZ273))</f>
        <v/>
      </c>
      <c r="X250" s="70" t="str">
        <f>IF($A250="","",ROUND(N(Y249)*(1+'Calc base'!O273),2)-Y250)</f>
        <v/>
      </c>
      <c r="Y250" s="75" t="str">
        <f>IF($A250="","",CHOOSE('Calc riepilogo'!$B$2,'Calc valanga'!BA273,'Calc palla di neve'!BA273,'Calc personalizzata'!BA273))</f>
        <v/>
      </c>
      <c r="Z250" s="70" t="str">
        <f>IF($A250="","",ROUND(N(AA249)*(1+'Calc base'!P273),2)-AA250)</f>
        <v/>
      </c>
      <c r="AA250" s="75" t="str">
        <f>IF($A250="","",CHOOSE('Calc riepilogo'!$B$2,'Calc valanga'!BB273,'Calc palla di neve'!BB273,'Calc personalizzata'!BB273))</f>
        <v/>
      </c>
      <c r="AB250" s="70" t="str">
        <f>IF($A250="","",ROUND(N(AC249)*(1+'Calc base'!Q273),2)-AC250)</f>
        <v/>
      </c>
      <c r="AC250" s="75" t="str">
        <f>IF($A250="","",CHOOSE('Calc riepilogo'!$B$2,'Calc valanga'!BC273,'Calc palla di neve'!BC273,'Calc personalizzata'!BC273))</f>
        <v/>
      </c>
      <c r="AD250" s="70" t="str">
        <f>IF($A250="","",ROUND(N(AE249)*(1+'Calc base'!R273),2)-AE250)</f>
        <v/>
      </c>
      <c r="AE250" s="75" t="str">
        <f>IF($A250="","",CHOOSE('Calc riepilogo'!$B$2,'Calc valanga'!BD273,'Calc palla di neve'!BD273,'Calc personalizzata'!BD273))</f>
        <v/>
      </c>
      <c r="AF250" s="70" t="str">
        <f>IF($A250="","",ROUND(N(AG249)*(1+'Calc base'!S273),2)-AG250)</f>
        <v/>
      </c>
      <c r="AG250" s="75" t="str">
        <f>IF($A250="","",CHOOSE('Calc riepilogo'!$B$2,'Calc valanga'!BE273,'Calc palla di neve'!BE273,'Calc personalizzata'!BE273))</f>
        <v/>
      </c>
      <c r="AI250" t="n">
        <v>243</v>
      </c>
    </row>
    <row r="251">
      <c r="A251" s="68" t="str">
        <f>IF(244&gt;'Calc riepilogo'!$B$7,"",'Calc base'!$B274)</f>
        <v/>
      </c>
      <c r="B251" s="69" t="str">
        <f>IF($A251="","",'Calc base'!$C274)</f>
        <v/>
      </c>
      <c r="C251" s="69" t="str">
        <f>IF($A251="","",'Calc base'!$E274)</f>
        <v/>
      </c>
      <c r="D251" s="70" t="str">
        <f>IF($A251="","",J251+L251+N251+P251+R251+T251+V251+X251+Z251+AB251+AD251+AF251)</f>
        <v/>
      </c>
      <c r="E251" s="70" t="str">
        <f>IF($A251="","",CHOOSE('Calc riepilogo'!$B$2,'Calc valanga'!$H274,'Calc palla di neve'!$H274,'Calc personalizzata'!$H274))</f>
        <v/>
      </c>
      <c r="F251" s="71" t="str">
        <f>IF($A251="","",CHOOSE('Calc riepilogo'!$B$2,'Calc valanga'!$G274,'Calc palla di neve'!$G274,'Calc personalizzata'!$G274))</f>
        <v/>
      </c>
      <c r="G251" s="72" t="n"/>
      <c r="H251" s="73" t="n"/>
      <c r="I251" s="74" t="str">
        <f>IF($A251="","",TRIM(IF(AND(N(K250)&gt;0,N(K251)&lt;=0.004),"✓ "&amp;'Calc base'!C$6&amp;"   ","")&amp;IF(AND(N(M250)&gt;0,N(M251)&lt;=0.004),"✓ "&amp;'Calc base'!D$6&amp;"   ","")&amp;IF(AND(N(O250)&gt;0,N(O251)&lt;=0.004),"✓ "&amp;'Calc base'!E$6&amp;"   ","")&amp;IF(AND(N(Q250)&gt;0,N(Q251)&lt;=0.004),"✓ "&amp;'Calc base'!F$6&amp;"   ","")&amp;IF(AND(N(S250)&gt;0,N(S251)&lt;=0.004),"✓ "&amp;'Calc base'!G$6&amp;"   ","")&amp;IF(AND(N(U250)&gt;0,N(U251)&lt;=0.004),"✓ "&amp;'Calc base'!H$6&amp;"   ","")&amp;IF(AND(N(W250)&gt;0,N(W251)&lt;=0.004),"✓ "&amp;'Calc base'!I$6&amp;"   ","")&amp;IF(AND(N(Y250)&gt;0,N(Y251)&lt;=0.004),"✓ "&amp;'Calc base'!J$6&amp;"   ","")&amp;IF(AND(N(AA250)&gt;0,N(AA251)&lt;=0.004),"✓ "&amp;'Calc base'!K$6&amp;"   ","")&amp;IF(AND(N(AC250)&gt;0,N(AC251)&lt;=0.004),"✓ "&amp;'Calc base'!L$6&amp;"   ","")&amp;IF(AND(N(AE250)&gt;0,N(AE251)&lt;=0.004),"✓ "&amp;'Calc base'!M$6&amp;"   ","")&amp;IF(AND(N(AG250)&gt;0,N(AG251)&lt;=0.004),"✓ "&amp;'Calc base'!N$6&amp;"   ","")))</f>
        <v/>
      </c>
      <c r="J251" s="70" t="str">
        <f>IF($A251="","",ROUND(N(K250)*(1+'Calc base'!H274),2)-K251)</f>
        <v/>
      </c>
      <c r="K251" s="75" t="str">
        <f>IF($A251="","",CHOOSE('Calc riepilogo'!$B$2,'Calc valanga'!AT274,'Calc palla di neve'!AT274,'Calc personalizzata'!AT274))</f>
        <v/>
      </c>
      <c r="L251" s="70" t="str">
        <f>IF($A251="","",ROUND(N(M250)*(1+'Calc base'!I274),2)-M251)</f>
        <v/>
      </c>
      <c r="M251" s="75" t="str">
        <f>IF($A251="","",CHOOSE('Calc riepilogo'!$B$2,'Calc valanga'!AU274,'Calc palla di neve'!AU274,'Calc personalizzata'!AU274))</f>
        <v/>
      </c>
      <c r="N251" s="70" t="str">
        <f>IF($A251="","",ROUND(N(O250)*(1+'Calc base'!J274),2)-O251)</f>
        <v/>
      </c>
      <c r="O251" s="75" t="str">
        <f>IF($A251="","",CHOOSE('Calc riepilogo'!$B$2,'Calc valanga'!AV274,'Calc palla di neve'!AV274,'Calc personalizzata'!AV274))</f>
        <v/>
      </c>
      <c r="P251" s="70" t="str">
        <f>IF($A251="","",ROUND(N(Q250)*(1+'Calc base'!K274),2)-Q251)</f>
        <v/>
      </c>
      <c r="Q251" s="75" t="str">
        <f>IF($A251="","",CHOOSE('Calc riepilogo'!$B$2,'Calc valanga'!AW274,'Calc palla di neve'!AW274,'Calc personalizzata'!AW274))</f>
        <v/>
      </c>
      <c r="R251" s="70" t="str">
        <f>IF($A251="","",ROUND(N(S250)*(1+'Calc base'!L274),2)-S251)</f>
        <v/>
      </c>
      <c r="S251" s="75" t="str">
        <f>IF($A251="","",CHOOSE('Calc riepilogo'!$B$2,'Calc valanga'!AX274,'Calc palla di neve'!AX274,'Calc personalizzata'!AX274))</f>
        <v/>
      </c>
      <c r="T251" s="70" t="str">
        <f>IF($A251="","",ROUND(N(U250)*(1+'Calc base'!M274),2)-U251)</f>
        <v/>
      </c>
      <c r="U251" s="75" t="str">
        <f>IF($A251="","",CHOOSE('Calc riepilogo'!$B$2,'Calc valanga'!AY274,'Calc palla di neve'!AY274,'Calc personalizzata'!AY274))</f>
        <v/>
      </c>
      <c r="V251" s="70" t="str">
        <f>IF($A251="","",ROUND(N(W250)*(1+'Calc base'!N274),2)-W251)</f>
        <v/>
      </c>
      <c r="W251" s="75" t="str">
        <f>IF($A251="","",CHOOSE('Calc riepilogo'!$B$2,'Calc valanga'!AZ274,'Calc palla di neve'!AZ274,'Calc personalizzata'!AZ274))</f>
        <v/>
      </c>
      <c r="X251" s="70" t="str">
        <f>IF($A251="","",ROUND(N(Y250)*(1+'Calc base'!O274),2)-Y251)</f>
        <v/>
      </c>
      <c r="Y251" s="75" t="str">
        <f>IF($A251="","",CHOOSE('Calc riepilogo'!$B$2,'Calc valanga'!BA274,'Calc palla di neve'!BA274,'Calc personalizzata'!BA274))</f>
        <v/>
      </c>
      <c r="Z251" s="70" t="str">
        <f>IF($A251="","",ROUND(N(AA250)*(1+'Calc base'!P274),2)-AA251)</f>
        <v/>
      </c>
      <c r="AA251" s="75" t="str">
        <f>IF($A251="","",CHOOSE('Calc riepilogo'!$B$2,'Calc valanga'!BB274,'Calc palla di neve'!BB274,'Calc personalizzata'!BB274))</f>
        <v/>
      </c>
      <c r="AB251" s="70" t="str">
        <f>IF($A251="","",ROUND(N(AC250)*(1+'Calc base'!Q274),2)-AC251)</f>
        <v/>
      </c>
      <c r="AC251" s="75" t="str">
        <f>IF($A251="","",CHOOSE('Calc riepilogo'!$B$2,'Calc valanga'!BC274,'Calc palla di neve'!BC274,'Calc personalizzata'!BC274))</f>
        <v/>
      </c>
      <c r="AD251" s="70" t="str">
        <f>IF($A251="","",ROUND(N(AE250)*(1+'Calc base'!R274),2)-AE251)</f>
        <v/>
      </c>
      <c r="AE251" s="75" t="str">
        <f>IF($A251="","",CHOOSE('Calc riepilogo'!$B$2,'Calc valanga'!BD274,'Calc palla di neve'!BD274,'Calc personalizzata'!BD274))</f>
        <v/>
      </c>
      <c r="AF251" s="70" t="str">
        <f>IF($A251="","",ROUND(N(AG250)*(1+'Calc base'!S274),2)-AG251)</f>
        <v/>
      </c>
      <c r="AG251" s="75" t="str">
        <f>IF($A251="","",CHOOSE('Calc riepilogo'!$B$2,'Calc valanga'!BE274,'Calc palla di neve'!BE274,'Calc personalizzata'!BE274))</f>
        <v/>
      </c>
      <c r="AI251" t="n">
        <v>244</v>
      </c>
    </row>
    <row r="252">
      <c r="A252" s="68" t="str">
        <f>IF(245&gt;'Calc riepilogo'!$B$7,"",'Calc base'!$B275)</f>
        <v/>
      </c>
      <c r="B252" s="69" t="str">
        <f>IF($A252="","",'Calc base'!$C275)</f>
        <v/>
      </c>
      <c r="C252" s="69" t="str">
        <f>IF($A252="","",'Calc base'!$E275)</f>
        <v/>
      </c>
      <c r="D252" s="70" t="str">
        <f>IF($A252="","",J252+L252+N252+P252+R252+T252+V252+X252+Z252+AB252+AD252+AF252)</f>
        <v/>
      </c>
      <c r="E252" s="70" t="str">
        <f>IF($A252="","",CHOOSE('Calc riepilogo'!$B$2,'Calc valanga'!$H275,'Calc palla di neve'!$H275,'Calc personalizzata'!$H275))</f>
        <v/>
      </c>
      <c r="F252" s="71" t="str">
        <f>IF($A252="","",CHOOSE('Calc riepilogo'!$B$2,'Calc valanga'!$G275,'Calc palla di neve'!$G275,'Calc personalizzata'!$G275))</f>
        <v/>
      </c>
      <c r="G252" s="72" t="n"/>
      <c r="H252" s="73" t="n"/>
      <c r="I252" s="74" t="str">
        <f>IF($A252="","",TRIM(IF(AND(N(K251)&gt;0,N(K252)&lt;=0.004),"✓ "&amp;'Calc base'!C$6&amp;"   ","")&amp;IF(AND(N(M251)&gt;0,N(M252)&lt;=0.004),"✓ "&amp;'Calc base'!D$6&amp;"   ","")&amp;IF(AND(N(O251)&gt;0,N(O252)&lt;=0.004),"✓ "&amp;'Calc base'!E$6&amp;"   ","")&amp;IF(AND(N(Q251)&gt;0,N(Q252)&lt;=0.004),"✓ "&amp;'Calc base'!F$6&amp;"   ","")&amp;IF(AND(N(S251)&gt;0,N(S252)&lt;=0.004),"✓ "&amp;'Calc base'!G$6&amp;"   ","")&amp;IF(AND(N(U251)&gt;0,N(U252)&lt;=0.004),"✓ "&amp;'Calc base'!H$6&amp;"   ","")&amp;IF(AND(N(W251)&gt;0,N(W252)&lt;=0.004),"✓ "&amp;'Calc base'!I$6&amp;"   ","")&amp;IF(AND(N(Y251)&gt;0,N(Y252)&lt;=0.004),"✓ "&amp;'Calc base'!J$6&amp;"   ","")&amp;IF(AND(N(AA251)&gt;0,N(AA252)&lt;=0.004),"✓ "&amp;'Calc base'!K$6&amp;"   ","")&amp;IF(AND(N(AC251)&gt;0,N(AC252)&lt;=0.004),"✓ "&amp;'Calc base'!L$6&amp;"   ","")&amp;IF(AND(N(AE251)&gt;0,N(AE252)&lt;=0.004),"✓ "&amp;'Calc base'!M$6&amp;"   ","")&amp;IF(AND(N(AG251)&gt;0,N(AG252)&lt;=0.004),"✓ "&amp;'Calc base'!N$6&amp;"   ","")))</f>
        <v/>
      </c>
      <c r="J252" s="70" t="str">
        <f>IF($A252="","",ROUND(N(K251)*(1+'Calc base'!H275),2)-K252)</f>
        <v/>
      </c>
      <c r="K252" s="75" t="str">
        <f>IF($A252="","",CHOOSE('Calc riepilogo'!$B$2,'Calc valanga'!AT275,'Calc palla di neve'!AT275,'Calc personalizzata'!AT275))</f>
        <v/>
      </c>
      <c r="L252" s="70" t="str">
        <f>IF($A252="","",ROUND(N(M251)*(1+'Calc base'!I275),2)-M252)</f>
        <v/>
      </c>
      <c r="M252" s="75" t="str">
        <f>IF($A252="","",CHOOSE('Calc riepilogo'!$B$2,'Calc valanga'!AU275,'Calc palla di neve'!AU275,'Calc personalizzata'!AU275))</f>
        <v/>
      </c>
      <c r="N252" s="70" t="str">
        <f>IF($A252="","",ROUND(N(O251)*(1+'Calc base'!J275),2)-O252)</f>
        <v/>
      </c>
      <c r="O252" s="75" t="str">
        <f>IF($A252="","",CHOOSE('Calc riepilogo'!$B$2,'Calc valanga'!AV275,'Calc palla di neve'!AV275,'Calc personalizzata'!AV275))</f>
        <v/>
      </c>
      <c r="P252" s="70" t="str">
        <f>IF($A252="","",ROUND(N(Q251)*(1+'Calc base'!K275),2)-Q252)</f>
        <v/>
      </c>
      <c r="Q252" s="75" t="str">
        <f>IF($A252="","",CHOOSE('Calc riepilogo'!$B$2,'Calc valanga'!AW275,'Calc palla di neve'!AW275,'Calc personalizzata'!AW275))</f>
        <v/>
      </c>
      <c r="R252" s="70" t="str">
        <f>IF($A252="","",ROUND(N(S251)*(1+'Calc base'!L275),2)-S252)</f>
        <v/>
      </c>
      <c r="S252" s="75" t="str">
        <f>IF($A252="","",CHOOSE('Calc riepilogo'!$B$2,'Calc valanga'!AX275,'Calc palla di neve'!AX275,'Calc personalizzata'!AX275))</f>
        <v/>
      </c>
      <c r="T252" s="70" t="str">
        <f>IF($A252="","",ROUND(N(U251)*(1+'Calc base'!M275),2)-U252)</f>
        <v/>
      </c>
      <c r="U252" s="75" t="str">
        <f>IF($A252="","",CHOOSE('Calc riepilogo'!$B$2,'Calc valanga'!AY275,'Calc palla di neve'!AY275,'Calc personalizzata'!AY275))</f>
        <v/>
      </c>
      <c r="V252" s="70" t="str">
        <f>IF($A252="","",ROUND(N(W251)*(1+'Calc base'!N275),2)-W252)</f>
        <v/>
      </c>
      <c r="W252" s="75" t="str">
        <f>IF($A252="","",CHOOSE('Calc riepilogo'!$B$2,'Calc valanga'!AZ275,'Calc palla di neve'!AZ275,'Calc personalizzata'!AZ275))</f>
        <v/>
      </c>
      <c r="X252" s="70" t="str">
        <f>IF($A252="","",ROUND(N(Y251)*(1+'Calc base'!O275),2)-Y252)</f>
        <v/>
      </c>
      <c r="Y252" s="75" t="str">
        <f>IF($A252="","",CHOOSE('Calc riepilogo'!$B$2,'Calc valanga'!BA275,'Calc palla di neve'!BA275,'Calc personalizzata'!BA275))</f>
        <v/>
      </c>
      <c r="Z252" s="70" t="str">
        <f>IF($A252="","",ROUND(N(AA251)*(1+'Calc base'!P275),2)-AA252)</f>
        <v/>
      </c>
      <c r="AA252" s="75" t="str">
        <f>IF($A252="","",CHOOSE('Calc riepilogo'!$B$2,'Calc valanga'!BB275,'Calc palla di neve'!BB275,'Calc personalizzata'!BB275))</f>
        <v/>
      </c>
      <c r="AB252" s="70" t="str">
        <f>IF($A252="","",ROUND(N(AC251)*(1+'Calc base'!Q275),2)-AC252)</f>
        <v/>
      </c>
      <c r="AC252" s="75" t="str">
        <f>IF($A252="","",CHOOSE('Calc riepilogo'!$B$2,'Calc valanga'!BC275,'Calc palla di neve'!BC275,'Calc personalizzata'!BC275))</f>
        <v/>
      </c>
      <c r="AD252" s="70" t="str">
        <f>IF($A252="","",ROUND(N(AE251)*(1+'Calc base'!R275),2)-AE252)</f>
        <v/>
      </c>
      <c r="AE252" s="75" t="str">
        <f>IF($A252="","",CHOOSE('Calc riepilogo'!$B$2,'Calc valanga'!BD275,'Calc palla di neve'!BD275,'Calc personalizzata'!BD275))</f>
        <v/>
      </c>
      <c r="AF252" s="70" t="str">
        <f>IF($A252="","",ROUND(N(AG251)*(1+'Calc base'!S275),2)-AG252)</f>
        <v/>
      </c>
      <c r="AG252" s="75" t="str">
        <f>IF($A252="","",CHOOSE('Calc riepilogo'!$B$2,'Calc valanga'!BE275,'Calc palla di neve'!BE275,'Calc personalizzata'!BE275))</f>
        <v/>
      </c>
      <c r="AI252" t="n">
        <v>245</v>
      </c>
    </row>
    <row r="253">
      <c r="A253" s="68" t="str">
        <f>IF(246&gt;'Calc riepilogo'!$B$7,"",'Calc base'!$B276)</f>
        <v/>
      </c>
      <c r="B253" s="69" t="str">
        <f>IF($A253="","",'Calc base'!$C276)</f>
        <v/>
      </c>
      <c r="C253" s="69" t="str">
        <f>IF($A253="","",'Calc base'!$E276)</f>
        <v/>
      </c>
      <c r="D253" s="70" t="str">
        <f>IF($A253="","",J253+L253+N253+P253+R253+T253+V253+X253+Z253+AB253+AD253+AF253)</f>
        <v/>
      </c>
      <c r="E253" s="70" t="str">
        <f>IF($A253="","",CHOOSE('Calc riepilogo'!$B$2,'Calc valanga'!$H276,'Calc palla di neve'!$H276,'Calc personalizzata'!$H276))</f>
        <v/>
      </c>
      <c r="F253" s="71" t="str">
        <f>IF($A253="","",CHOOSE('Calc riepilogo'!$B$2,'Calc valanga'!$G276,'Calc palla di neve'!$G276,'Calc personalizzata'!$G276))</f>
        <v/>
      </c>
      <c r="G253" s="72" t="n"/>
      <c r="H253" s="73" t="n"/>
      <c r="I253" s="74" t="str">
        <f>IF($A253="","",TRIM(IF(AND(N(K252)&gt;0,N(K253)&lt;=0.004),"✓ "&amp;'Calc base'!C$6&amp;"   ","")&amp;IF(AND(N(M252)&gt;0,N(M253)&lt;=0.004),"✓ "&amp;'Calc base'!D$6&amp;"   ","")&amp;IF(AND(N(O252)&gt;0,N(O253)&lt;=0.004),"✓ "&amp;'Calc base'!E$6&amp;"   ","")&amp;IF(AND(N(Q252)&gt;0,N(Q253)&lt;=0.004),"✓ "&amp;'Calc base'!F$6&amp;"   ","")&amp;IF(AND(N(S252)&gt;0,N(S253)&lt;=0.004),"✓ "&amp;'Calc base'!G$6&amp;"   ","")&amp;IF(AND(N(U252)&gt;0,N(U253)&lt;=0.004),"✓ "&amp;'Calc base'!H$6&amp;"   ","")&amp;IF(AND(N(W252)&gt;0,N(W253)&lt;=0.004),"✓ "&amp;'Calc base'!I$6&amp;"   ","")&amp;IF(AND(N(Y252)&gt;0,N(Y253)&lt;=0.004),"✓ "&amp;'Calc base'!J$6&amp;"   ","")&amp;IF(AND(N(AA252)&gt;0,N(AA253)&lt;=0.004),"✓ "&amp;'Calc base'!K$6&amp;"   ","")&amp;IF(AND(N(AC252)&gt;0,N(AC253)&lt;=0.004),"✓ "&amp;'Calc base'!L$6&amp;"   ","")&amp;IF(AND(N(AE252)&gt;0,N(AE253)&lt;=0.004),"✓ "&amp;'Calc base'!M$6&amp;"   ","")&amp;IF(AND(N(AG252)&gt;0,N(AG253)&lt;=0.004),"✓ "&amp;'Calc base'!N$6&amp;"   ","")))</f>
        <v/>
      </c>
      <c r="J253" s="70" t="str">
        <f>IF($A253="","",ROUND(N(K252)*(1+'Calc base'!H276),2)-K253)</f>
        <v/>
      </c>
      <c r="K253" s="75" t="str">
        <f>IF($A253="","",CHOOSE('Calc riepilogo'!$B$2,'Calc valanga'!AT276,'Calc palla di neve'!AT276,'Calc personalizzata'!AT276))</f>
        <v/>
      </c>
      <c r="L253" s="70" t="str">
        <f>IF($A253="","",ROUND(N(M252)*(1+'Calc base'!I276),2)-M253)</f>
        <v/>
      </c>
      <c r="M253" s="75" t="str">
        <f>IF($A253="","",CHOOSE('Calc riepilogo'!$B$2,'Calc valanga'!AU276,'Calc palla di neve'!AU276,'Calc personalizzata'!AU276))</f>
        <v/>
      </c>
      <c r="N253" s="70" t="str">
        <f>IF($A253="","",ROUND(N(O252)*(1+'Calc base'!J276),2)-O253)</f>
        <v/>
      </c>
      <c r="O253" s="75" t="str">
        <f>IF($A253="","",CHOOSE('Calc riepilogo'!$B$2,'Calc valanga'!AV276,'Calc palla di neve'!AV276,'Calc personalizzata'!AV276))</f>
        <v/>
      </c>
      <c r="P253" s="70" t="str">
        <f>IF($A253="","",ROUND(N(Q252)*(1+'Calc base'!K276),2)-Q253)</f>
        <v/>
      </c>
      <c r="Q253" s="75" t="str">
        <f>IF($A253="","",CHOOSE('Calc riepilogo'!$B$2,'Calc valanga'!AW276,'Calc palla di neve'!AW276,'Calc personalizzata'!AW276))</f>
        <v/>
      </c>
      <c r="R253" s="70" t="str">
        <f>IF($A253="","",ROUND(N(S252)*(1+'Calc base'!L276),2)-S253)</f>
        <v/>
      </c>
      <c r="S253" s="75" t="str">
        <f>IF($A253="","",CHOOSE('Calc riepilogo'!$B$2,'Calc valanga'!AX276,'Calc palla di neve'!AX276,'Calc personalizzata'!AX276))</f>
        <v/>
      </c>
      <c r="T253" s="70" t="str">
        <f>IF($A253="","",ROUND(N(U252)*(1+'Calc base'!M276),2)-U253)</f>
        <v/>
      </c>
      <c r="U253" s="75" t="str">
        <f>IF($A253="","",CHOOSE('Calc riepilogo'!$B$2,'Calc valanga'!AY276,'Calc palla di neve'!AY276,'Calc personalizzata'!AY276))</f>
        <v/>
      </c>
      <c r="V253" s="70" t="str">
        <f>IF($A253="","",ROUND(N(W252)*(1+'Calc base'!N276),2)-W253)</f>
        <v/>
      </c>
      <c r="W253" s="75" t="str">
        <f>IF($A253="","",CHOOSE('Calc riepilogo'!$B$2,'Calc valanga'!AZ276,'Calc palla di neve'!AZ276,'Calc personalizzata'!AZ276))</f>
        <v/>
      </c>
      <c r="X253" s="70" t="str">
        <f>IF($A253="","",ROUND(N(Y252)*(1+'Calc base'!O276),2)-Y253)</f>
        <v/>
      </c>
      <c r="Y253" s="75" t="str">
        <f>IF($A253="","",CHOOSE('Calc riepilogo'!$B$2,'Calc valanga'!BA276,'Calc palla di neve'!BA276,'Calc personalizzata'!BA276))</f>
        <v/>
      </c>
      <c r="Z253" s="70" t="str">
        <f>IF($A253="","",ROUND(N(AA252)*(1+'Calc base'!P276),2)-AA253)</f>
        <v/>
      </c>
      <c r="AA253" s="75" t="str">
        <f>IF($A253="","",CHOOSE('Calc riepilogo'!$B$2,'Calc valanga'!BB276,'Calc palla di neve'!BB276,'Calc personalizzata'!BB276))</f>
        <v/>
      </c>
      <c r="AB253" s="70" t="str">
        <f>IF($A253="","",ROUND(N(AC252)*(1+'Calc base'!Q276),2)-AC253)</f>
        <v/>
      </c>
      <c r="AC253" s="75" t="str">
        <f>IF($A253="","",CHOOSE('Calc riepilogo'!$B$2,'Calc valanga'!BC276,'Calc palla di neve'!BC276,'Calc personalizzata'!BC276))</f>
        <v/>
      </c>
      <c r="AD253" s="70" t="str">
        <f>IF($A253="","",ROUND(N(AE252)*(1+'Calc base'!R276),2)-AE253)</f>
        <v/>
      </c>
      <c r="AE253" s="75" t="str">
        <f>IF($A253="","",CHOOSE('Calc riepilogo'!$B$2,'Calc valanga'!BD276,'Calc palla di neve'!BD276,'Calc personalizzata'!BD276))</f>
        <v/>
      </c>
      <c r="AF253" s="70" t="str">
        <f>IF($A253="","",ROUND(N(AG252)*(1+'Calc base'!S276),2)-AG253)</f>
        <v/>
      </c>
      <c r="AG253" s="75" t="str">
        <f>IF($A253="","",CHOOSE('Calc riepilogo'!$B$2,'Calc valanga'!BE276,'Calc palla di neve'!BE276,'Calc personalizzata'!BE276))</f>
        <v/>
      </c>
      <c r="AI253" t="n">
        <v>246</v>
      </c>
    </row>
    <row r="254">
      <c r="A254" s="68" t="str">
        <f>IF(247&gt;'Calc riepilogo'!$B$7,"",'Calc base'!$B277)</f>
        <v/>
      </c>
      <c r="B254" s="69" t="str">
        <f>IF($A254="","",'Calc base'!$C277)</f>
        <v/>
      </c>
      <c r="C254" s="69" t="str">
        <f>IF($A254="","",'Calc base'!$E277)</f>
        <v/>
      </c>
      <c r="D254" s="70" t="str">
        <f>IF($A254="","",J254+L254+N254+P254+R254+T254+V254+X254+Z254+AB254+AD254+AF254)</f>
        <v/>
      </c>
      <c r="E254" s="70" t="str">
        <f>IF($A254="","",CHOOSE('Calc riepilogo'!$B$2,'Calc valanga'!$H277,'Calc palla di neve'!$H277,'Calc personalizzata'!$H277))</f>
        <v/>
      </c>
      <c r="F254" s="71" t="str">
        <f>IF($A254="","",CHOOSE('Calc riepilogo'!$B$2,'Calc valanga'!$G277,'Calc palla di neve'!$G277,'Calc personalizzata'!$G277))</f>
        <v/>
      </c>
      <c r="G254" s="72" t="n"/>
      <c r="H254" s="73" t="n"/>
      <c r="I254" s="74" t="str">
        <f>IF($A254="","",TRIM(IF(AND(N(K253)&gt;0,N(K254)&lt;=0.004),"✓ "&amp;'Calc base'!C$6&amp;"   ","")&amp;IF(AND(N(M253)&gt;0,N(M254)&lt;=0.004),"✓ "&amp;'Calc base'!D$6&amp;"   ","")&amp;IF(AND(N(O253)&gt;0,N(O254)&lt;=0.004),"✓ "&amp;'Calc base'!E$6&amp;"   ","")&amp;IF(AND(N(Q253)&gt;0,N(Q254)&lt;=0.004),"✓ "&amp;'Calc base'!F$6&amp;"   ","")&amp;IF(AND(N(S253)&gt;0,N(S254)&lt;=0.004),"✓ "&amp;'Calc base'!G$6&amp;"   ","")&amp;IF(AND(N(U253)&gt;0,N(U254)&lt;=0.004),"✓ "&amp;'Calc base'!H$6&amp;"   ","")&amp;IF(AND(N(W253)&gt;0,N(W254)&lt;=0.004),"✓ "&amp;'Calc base'!I$6&amp;"   ","")&amp;IF(AND(N(Y253)&gt;0,N(Y254)&lt;=0.004),"✓ "&amp;'Calc base'!J$6&amp;"   ","")&amp;IF(AND(N(AA253)&gt;0,N(AA254)&lt;=0.004),"✓ "&amp;'Calc base'!K$6&amp;"   ","")&amp;IF(AND(N(AC253)&gt;0,N(AC254)&lt;=0.004),"✓ "&amp;'Calc base'!L$6&amp;"   ","")&amp;IF(AND(N(AE253)&gt;0,N(AE254)&lt;=0.004),"✓ "&amp;'Calc base'!M$6&amp;"   ","")&amp;IF(AND(N(AG253)&gt;0,N(AG254)&lt;=0.004),"✓ "&amp;'Calc base'!N$6&amp;"   ","")))</f>
        <v/>
      </c>
      <c r="J254" s="70" t="str">
        <f>IF($A254="","",ROUND(N(K253)*(1+'Calc base'!H277),2)-K254)</f>
        <v/>
      </c>
      <c r="K254" s="75" t="str">
        <f>IF($A254="","",CHOOSE('Calc riepilogo'!$B$2,'Calc valanga'!AT277,'Calc palla di neve'!AT277,'Calc personalizzata'!AT277))</f>
        <v/>
      </c>
      <c r="L254" s="70" t="str">
        <f>IF($A254="","",ROUND(N(M253)*(1+'Calc base'!I277),2)-M254)</f>
        <v/>
      </c>
      <c r="M254" s="75" t="str">
        <f>IF($A254="","",CHOOSE('Calc riepilogo'!$B$2,'Calc valanga'!AU277,'Calc palla di neve'!AU277,'Calc personalizzata'!AU277))</f>
        <v/>
      </c>
      <c r="N254" s="70" t="str">
        <f>IF($A254="","",ROUND(N(O253)*(1+'Calc base'!J277),2)-O254)</f>
        <v/>
      </c>
      <c r="O254" s="75" t="str">
        <f>IF($A254="","",CHOOSE('Calc riepilogo'!$B$2,'Calc valanga'!AV277,'Calc palla di neve'!AV277,'Calc personalizzata'!AV277))</f>
        <v/>
      </c>
      <c r="P254" s="70" t="str">
        <f>IF($A254="","",ROUND(N(Q253)*(1+'Calc base'!K277),2)-Q254)</f>
        <v/>
      </c>
      <c r="Q254" s="75" t="str">
        <f>IF($A254="","",CHOOSE('Calc riepilogo'!$B$2,'Calc valanga'!AW277,'Calc palla di neve'!AW277,'Calc personalizzata'!AW277))</f>
        <v/>
      </c>
      <c r="R254" s="70" t="str">
        <f>IF($A254="","",ROUND(N(S253)*(1+'Calc base'!L277),2)-S254)</f>
        <v/>
      </c>
      <c r="S254" s="75" t="str">
        <f>IF($A254="","",CHOOSE('Calc riepilogo'!$B$2,'Calc valanga'!AX277,'Calc palla di neve'!AX277,'Calc personalizzata'!AX277))</f>
        <v/>
      </c>
      <c r="T254" s="70" t="str">
        <f>IF($A254="","",ROUND(N(U253)*(1+'Calc base'!M277),2)-U254)</f>
        <v/>
      </c>
      <c r="U254" s="75" t="str">
        <f>IF($A254="","",CHOOSE('Calc riepilogo'!$B$2,'Calc valanga'!AY277,'Calc palla di neve'!AY277,'Calc personalizzata'!AY277))</f>
        <v/>
      </c>
      <c r="V254" s="70" t="str">
        <f>IF($A254="","",ROUND(N(W253)*(1+'Calc base'!N277),2)-W254)</f>
        <v/>
      </c>
      <c r="W254" s="75" t="str">
        <f>IF($A254="","",CHOOSE('Calc riepilogo'!$B$2,'Calc valanga'!AZ277,'Calc palla di neve'!AZ277,'Calc personalizzata'!AZ277))</f>
        <v/>
      </c>
      <c r="X254" s="70" t="str">
        <f>IF($A254="","",ROUND(N(Y253)*(1+'Calc base'!O277),2)-Y254)</f>
        <v/>
      </c>
      <c r="Y254" s="75" t="str">
        <f>IF($A254="","",CHOOSE('Calc riepilogo'!$B$2,'Calc valanga'!BA277,'Calc palla di neve'!BA277,'Calc personalizzata'!BA277))</f>
        <v/>
      </c>
      <c r="Z254" s="70" t="str">
        <f>IF($A254="","",ROUND(N(AA253)*(1+'Calc base'!P277),2)-AA254)</f>
        <v/>
      </c>
      <c r="AA254" s="75" t="str">
        <f>IF($A254="","",CHOOSE('Calc riepilogo'!$B$2,'Calc valanga'!BB277,'Calc palla di neve'!BB277,'Calc personalizzata'!BB277))</f>
        <v/>
      </c>
      <c r="AB254" s="70" t="str">
        <f>IF($A254="","",ROUND(N(AC253)*(1+'Calc base'!Q277),2)-AC254)</f>
        <v/>
      </c>
      <c r="AC254" s="75" t="str">
        <f>IF($A254="","",CHOOSE('Calc riepilogo'!$B$2,'Calc valanga'!BC277,'Calc palla di neve'!BC277,'Calc personalizzata'!BC277))</f>
        <v/>
      </c>
      <c r="AD254" s="70" t="str">
        <f>IF($A254="","",ROUND(N(AE253)*(1+'Calc base'!R277),2)-AE254)</f>
        <v/>
      </c>
      <c r="AE254" s="75" t="str">
        <f>IF($A254="","",CHOOSE('Calc riepilogo'!$B$2,'Calc valanga'!BD277,'Calc palla di neve'!BD277,'Calc personalizzata'!BD277))</f>
        <v/>
      </c>
      <c r="AF254" s="70" t="str">
        <f>IF($A254="","",ROUND(N(AG253)*(1+'Calc base'!S277),2)-AG254)</f>
        <v/>
      </c>
      <c r="AG254" s="75" t="str">
        <f>IF($A254="","",CHOOSE('Calc riepilogo'!$B$2,'Calc valanga'!BE277,'Calc palla di neve'!BE277,'Calc personalizzata'!BE277))</f>
        <v/>
      </c>
      <c r="AI254" t="n">
        <v>247</v>
      </c>
    </row>
    <row r="255">
      <c r="A255" s="68" t="str">
        <f>IF(248&gt;'Calc riepilogo'!$B$7,"",'Calc base'!$B278)</f>
        <v/>
      </c>
      <c r="B255" s="69" t="str">
        <f>IF($A255="","",'Calc base'!$C278)</f>
        <v/>
      </c>
      <c r="C255" s="69" t="str">
        <f>IF($A255="","",'Calc base'!$E278)</f>
        <v/>
      </c>
      <c r="D255" s="70" t="str">
        <f>IF($A255="","",J255+L255+N255+P255+R255+T255+V255+X255+Z255+AB255+AD255+AF255)</f>
        <v/>
      </c>
      <c r="E255" s="70" t="str">
        <f>IF($A255="","",CHOOSE('Calc riepilogo'!$B$2,'Calc valanga'!$H278,'Calc palla di neve'!$H278,'Calc personalizzata'!$H278))</f>
        <v/>
      </c>
      <c r="F255" s="71" t="str">
        <f>IF($A255="","",CHOOSE('Calc riepilogo'!$B$2,'Calc valanga'!$G278,'Calc palla di neve'!$G278,'Calc personalizzata'!$G278))</f>
        <v/>
      </c>
      <c r="G255" s="72" t="n"/>
      <c r="H255" s="73" t="n"/>
      <c r="I255" s="74" t="str">
        <f>IF($A255="","",TRIM(IF(AND(N(K254)&gt;0,N(K255)&lt;=0.004),"✓ "&amp;'Calc base'!C$6&amp;"   ","")&amp;IF(AND(N(M254)&gt;0,N(M255)&lt;=0.004),"✓ "&amp;'Calc base'!D$6&amp;"   ","")&amp;IF(AND(N(O254)&gt;0,N(O255)&lt;=0.004),"✓ "&amp;'Calc base'!E$6&amp;"   ","")&amp;IF(AND(N(Q254)&gt;0,N(Q255)&lt;=0.004),"✓ "&amp;'Calc base'!F$6&amp;"   ","")&amp;IF(AND(N(S254)&gt;0,N(S255)&lt;=0.004),"✓ "&amp;'Calc base'!G$6&amp;"   ","")&amp;IF(AND(N(U254)&gt;0,N(U255)&lt;=0.004),"✓ "&amp;'Calc base'!H$6&amp;"   ","")&amp;IF(AND(N(W254)&gt;0,N(W255)&lt;=0.004),"✓ "&amp;'Calc base'!I$6&amp;"   ","")&amp;IF(AND(N(Y254)&gt;0,N(Y255)&lt;=0.004),"✓ "&amp;'Calc base'!J$6&amp;"   ","")&amp;IF(AND(N(AA254)&gt;0,N(AA255)&lt;=0.004),"✓ "&amp;'Calc base'!K$6&amp;"   ","")&amp;IF(AND(N(AC254)&gt;0,N(AC255)&lt;=0.004),"✓ "&amp;'Calc base'!L$6&amp;"   ","")&amp;IF(AND(N(AE254)&gt;0,N(AE255)&lt;=0.004),"✓ "&amp;'Calc base'!M$6&amp;"   ","")&amp;IF(AND(N(AG254)&gt;0,N(AG255)&lt;=0.004),"✓ "&amp;'Calc base'!N$6&amp;"   ","")))</f>
        <v/>
      </c>
      <c r="J255" s="70" t="str">
        <f>IF($A255="","",ROUND(N(K254)*(1+'Calc base'!H278),2)-K255)</f>
        <v/>
      </c>
      <c r="K255" s="75" t="str">
        <f>IF($A255="","",CHOOSE('Calc riepilogo'!$B$2,'Calc valanga'!AT278,'Calc palla di neve'!AT278,'Calc personalizzata'!AT278))</f>
        <v/>
      </c>
      <c r="L255" s="70" t="str">
        <f>IF($A255="","",ROUND(N(M254)*(1+'Calc base'!I278),2)-M255)</f>
        <v/>
      </c>
      <c r="M255" s="75" t="str">
        <f>IF($A255="","",CHOOSE('Calc riepilogo'!$B$2,'Calc valanga'!AU278,'Calc palla di neve'!AU278,'Calc personalizzata'!AU278))</f>
        <v/>
      </c>
      <c r="N255" s="70" t="str">
        <f>IF($A255="","",ROUND(N(O254)*(1+'Calc base'!J278),2)-O255)</f>
        <v/>
      </c>
      <c r="O255" s="75" t="str">
        <f>IF($A255="","",CHOOSE('Calc riepilogo'!$B$2,'Calc valanga'!AV278,'Calc palla di neve'!AV278,'Calc personalizzata'!AV278))</f>
        <v/>
      </c>
      <c r="P255" s="70" t="str">
        <f>IF($A255="","",ROUND(N(Q254)*(1+'Calc base'!K278),2)-Q255)</f>
        <v/>
      </c>
      <c r="Q255" s="75" t="str">
        <f>IF($A255="","",CHOOSE('Calc riepilogo'!$B$2,'Calc valanga'!AW278,'Calc palla di neve'!AW278,'Calc personalizzata'!AW278))</f>
        <v/>
      </c>
      <c r="R255" s="70" t="str">
        <f>IF($A255="","",ROUND(N(S254)*(1+'Calc base'!L278),2)-S255)</f>
        <v/>
      </c>
      <c r="S255" s="75" t="str">
        <f>IF($A255="","",CHOOSE('Calc riepilogo'!$B$2,'Calc valanga'!AX278,'Calc palla di neve'!AX278,'Calc personalizzata'!AX278))</f>
        <v/>
      </c>
      <c r="T255" s="70" t="str">
        <f>IF($A255="","",ROUND(N(U254)*(1+'Calc base'!M278),2)-U255)</f>
        <v/>
      </c>
      <c r="U255" s="75" t="str">
        <f>IF($A255="","",CHOOSE('Calc riepilogo'!$B$2,'Calc valanga'!AY278,'Calc palla di neve'!AY278,'Calc personalizzata'!AY278))</f>
        <v/>
      </c>
      <c r="V255" s="70" t="str">
        <f>IF($A255="","",ROUND(N(W254)*(1+'Calc base'!N278),2)-W255)</f>
        <v/>
      </c>
      <c r="W255" s="75" t="str">
        <f>IF($A255="","",CHOOSE('Calc riepilogo'!$B$2,'Calc valanga'!AZ278,'Calc palla di neve'!AZ278,'Calc personalizzata'!AZ278))</f>
        <v/>
      </c>
      <c r="X255" s="70" t="str">
        <f>IF($A255="","",ROUND(N(Y254)*(1+'Calc base'!O278),2)-Y255)</f>
        <v/>
      </c>
      <c r="Y255" s="75" t="str">
        <f>IF($A255="","",CHOOSE('Calc riepilogo'!$B$2,'Calc valanga'!BA278,'Calc palla di neve'!BA278,'Calc personalizzata'!BA278))</f>
        <v/>
      </c>
      <c r="Z255" s="70" t="str">
        <f>IF($A255="","",ROUND(N(AA254)*(1+'Calc base'!P278),2)-AA255)</f>
        <v/>
      </c>
      <c r="AA255" s="75" t="str">
        <f>IF($A255="","",CHOOSE('Calc riepilogo'!$B$2,'Calc valanga'!BB278,'Calc palla di neve'!BB278,'Calc personalizzata'!BB278))</f>
        <v/>
      </c>
      <c r="AB255" s="70" t="str">
        <f>IF($A255="","",ROUND(N(AC254)*(1+'Calc base'!Q278),2)-AC255)</f>
        <v/>
      </c>
      <c r="AC255" s="75" t="str">
        <f>IF($A255="","",CHOOSE('Calc riepilogo'!$B$2,'Calc valanga'!BC278,'Calc palla di neve'!BC278,'Calc personalizzata'!BC278))</f>
        <v/>
      </c>
      <c r="AD255" s="70" t="str">
        <f>IF($A255="","",ROUND(N(AE254)*(1+'Calc base'!R278),2)-AE255)</f>
        <v/>
      </c>
      <c r="AE255" s="75" t="str">
        <f>IF($A255="","",CHOOSE('Calc riepilogo'!$B$2,'Calc valanga'!BD278,'Calc palla di neve'!BD278,'Calc personalizzata'!BD278))</f>
        <v/>
      </c>
      <c r="AF255" s="70" t="str">
        <f>IF($A255="","",ROUND(N(AG254)*(1+'Calc base'!S278),2)-AG255)</f>
        <v/>
      </c>
      <c r="AG255" s="75" t="str">
        <f>IF($A255="","",CHOOSE('Calc riepilogo'!$B$2,'Calc valanga'!BE278,'Calc palla di neve'!BE278,'Calc personalizzata'!BE278))</f>
        <v/>
      </c>
      <c r="AI255" t="n">
        <v>248</v>
      </c>
    </row>
    <row r="256">
      <c r="A256" s="68" t="str">
        <f>IF(249&gt;'Calc riepilogo'!$B$7,"",'Calc base'!$B279)</f>
        <v/>
      </c>
      <c r="B256" s="69" t="str">
        <f>IF($A256="","",'Calc base'!$C279)</f>
        <v/>
      </c>
      <c r="C256" s="69" t="str">
        <f>IF($A256="","",'Calc base'!$E279)</f>
        <v/>
      </c>
      <c r="D256" s="70" t="str">
        <f>IF($A256="","",J256+L256+N256+P256+R256+T256+V256+X256+Z256+AB256+AD256+AF256)</f>
        <v/>
      </c>
      <c r="E256" s="70" t="str">
        <f>IF($A256="","",CHOOSE('Calc riepilogo'!$B$2,'Calc valanga'!$H279,'Calc palla di neve'!$H279,'Calc personalizzata'!$H279))</f>
        <v/>
      </c>
      <c r="F256" s="71" t="str">
        <f>IF($A256="","",CHOOSE('Calc riepilogo'!$B$2,'Calc valanga'!$G279,'Calc palla di neve'!$G279,'Calc personalizzata'!$G279))</f>
        <v/>
      </c>
      <c r="G256" s="72" t="n"/>
      <c r="H256" s="73" t="n"/>
      <c r="I256" s="74" t="str">
        <f>IF($A256="","",TRIM(IF(AND(N(K255)&gt;0,N(K256)&lt;=0.004),"✓ "&amp;'Calc base'!C$6&amp;"   ","")&amp;IF(AND(N(M255)&gt;0,N(M256)&lt;=0.004),"✓ "&amp;'Calc base'!D$6&amp;"   ","")&amp;IF(AND(N(O255)&gt;0,N(O256)&lt;=0.004),"✓ "&amp;'Calc base'!E$6&amp;"   ","")&amp;IF(AND(N(Q255)&gt;0,N(Q256)&lt;=0.004),"✓ "&amp;'Calc base'!F$6&amp;"   ","")&amp;IF(AND(N(S255)&gt;0,N(S256)&lt;=0.004),"✓ "&amp;'Calc base'!G$6&amp;"   ","")&amp;IF(AND(N(U255)&gt;0,N(U256)&lt;=0.004),"✓ "&amp;'Calc base'!H$6&amp;"   ","")&amp;IF(AND(N(W255)&gt;0,N(W256)&lt;=0.004),"✓ "&amp;'Calc base'!I$6&amp;"   ","")&amp;IF(AND(N(Y255)&gt;0,N(Y256)&lt;=0.004),"✓ "&amp;'Calc base'!J$6&amp;"   ","")&amp;IF(AND(N(AA255)&gt;0,N(AA256)&lt;=0.004),"✓ "&amp;'Calc base'!K$6&amp;"   ","")&amp;IF(AND(N(AC255)&gt;0,N(AC256)&lt;=0.004),"✓ "&amp;'Calc base'!L$6&amp;"   ","")&amp;IF(AND(N(AE255)&gt;0,N(AE256)&lt;=0.004),"✓ "&amp;'Calc base'!M$6&amp;"   ","")&amp;IF(AND(N(AG255)&gt;0,N(AG256)&lt;=0.004),"✓ "&amp;'Calc base'!N$6&amp;"   ","")))</f>
        <v/>
      </c>
      <c r="J256" s="70" t="str">
        <f>IF($A256="","",ROUND(N(K255)*(1+'Calc base'!H279),2)-K256)</f>
        <v/>
      </c>
      <c r="K256" s="75" t="str">
        <f>IF($A256="","",CHOOSE('Calc riepilogo'!$B$2,'Calc valanga'!AT279,'Calc palla di neve'!AT279,'Calc personalizzata'!AT279))</f>
        <v/>
      </c>
      <c r="L256" s="70" t="str">
        <f>IF($A256="","",ROUND(N(M255)*(1+'Calc base'!I279),2)-M256)</f>
        <v/>
      </c>
      <c r="M256" s="75" t="str">
        <f>IF($A256="","",CHOOSE('Calc riepilogo'!$B$2,'Calc valanga'!AU279,'Calc palla di neve'!AU279,'Calc personalizzata'!AU279))</f>
        <v/>
      </c>
      <c r="N256" s="70" t="str">
        <f>IF($A256="","",ROUND(N(O255)*(1+'Calc base'!J279),2)-O256)</f>
        <v/>
      </c>
      <c r="O256" s="75" t="str">
        <f>IF($A256="","",CHOOSE('Calc riepilogo'!$B$2,'Calc valanga'!AV279,'Calc palla di neve'!AV279,'Calc personalizzata'!AV279))</f>
        <v/>
      </c>
      <c r="P256" s="70" t="str">
        <f>IF($A256="","",ROUND(N(Q255)*(1+'Calc base'!K279),2)-Q256)</f>
        <v/>
      </c>
      <c r="Q256" s="75" t="str">
        <f>IF($A256="","",CHOOSE('Calc riepilogo'!$B$2,'Calc valanga'!AW279,'Calc palla di neve'!AW279,'Calc personalizzata'!AW279))</f>
        <v/>
      </c>
      <c r="R256" s="70" t="str">
        <f>IF($A256="","",ROUND(N(S255)*(1+'Calc base'!L279),2)-S256)</f>
        <v/>
      </c>
      <c r="S256" s="75" t="str">
        <f>IF($A256="","",CHOOSE('Calc riepilogo'!$B$2,'Calc valanga'!AX279,'Calc palla di neve'!AX279,'Calc personalizzata'!AX279))</f>
        <v/>
      </c>
      <c r="T256" s="70" t="str">
        <f>IF($A256="","",ROUND(N(U255)*(1+'Calc base'!M279),2)-U256)</f>
        <v/>
      </c>
      <c r="U256" s="75" t="str">
        <f>IF($A256="","",CHOOSE('Calc riepilogo'!$B$2,'Calc valanga'!AY279,'Calc palla di neve'!AY279,'Calc personalizzata'!AY279))</f>
        <v/>
      </c>
      <c r="V256" s="70" t="str">
        <f>IF($A256="","",ROUND(N(W255)*(1+'Calc base'!N279),2)-W256)</f>
        <v/>
      </c>
      <c r="W256" s="75" t="str">
        <f>IF($A256="","",CHOOSE('Calc riepilogo'!$B$2,'Calc valanga'!AZ279,'Calc palla di neve'!AZ279,'Calc personalizzata'!AZ279))</f>
        <v/>
      </c>
      <c r="X256" s="70" t="str">
        <f>IF($A256="","",ROUND(N(Y255)*(1+'Calc base'!O279),2)-Y256)</f>
        <v/>
      </c>
      <c r="Y256" s="75" t="str">
        <f>IF($A256="","",CHOOSE('Calc riepilogo'!$B$2,'Calc valanga'!BA279,'Calc palla di neve'!BA279,'Calc personalizzata'!BA279))</f>
        <v/>
      </c>
      <c r="Z256" s="70" t="str">
        <f>IF($A256="","",ROUND(N(AA255)*(1+'Calc base'!P279),2)-AA256)</f>
        <v/>
      </c>
      <c r="AA256" s="75" t="str">
        <f>IF($A256="","",CHOOSE('Calc riepilogo'!$B$2,'Calc valanga'!BB279,'Calc palla di neve'!BB279,'Calc personalizzata'!BB279))</f>
        <v/>
      </c>
      <c r="AB256" s="70" t="str">
        <f>IF($A256="","",ROUND(N(AC255)*(1+'Calc base'!Q279),2)-AC256)</f>
        <v/>
      </c>
      <c r="AC256" s="75" t="str">
        <f>IF($A256="","",CHOOSE('Calc riepilogo'!$B$2,'Calc valanga'!BC279,'Calc palla di neve'!BC279,'Calc personalizzata'!BC279))</f>
        <v/>
      </c>
      <c r="AD256" s="70" t="str">
        <f>IF($A256="","",ROUND(N(AE255)*(1+'Calc base'!R279),2)-AE256)</f>
        <v/>
      </c>
      <c r="AE256" s="75" t="str">
        <f>IF($A256="","",CHOOSE('Calc riepilogo'!$B$2,'Calc valanga'!BD279,'Calc palla di neve'!BD279,'Calc personalizzata'!BD279))</f>
        <v/>
      </c>
      <c r="AF256" s="70" t="str">
        <f>IF($A256="","",ROUND(N(AG255)*(1+'Calc base'!S279),2)-AG256)</f>
        <v/>
      </c>
      <c r="AG256" s="75" t="str">
        <f>IF($A256="","",CHOOSE('Calc riepilogo'!$B$2,'Calc valanga'!BE279,'Calc palla di neve'!BE279,'Calc personalizzata'!BE279))</f>
        <v/>
      </c>
      <c r="AI256" t="n">
        <v>249</v>
      </c>
    </row>
    <row r="257">
      <c r="A257" s="68" t="str">
        <f>IF(250&gt;'Calc riepilogo'!$B$7,"",'Calc base'!$B280)</f>
        <v/>
      </c>
      <c r="B257" s="69" t="str">
        <f>IF($A257="","",'Calc base'!$C280)</f>
        <v/>
      </c>
      <c r="C257" s="69" t="str">
        <f>IF($A257="","",'Calc base'!$E280)</f>
        <v/>
      </c>
      <c r="D257" s="70" t="str">
        <f>IF($A257="","",J257+L257+N257+P257+R257+T257+V257+X257+Z257+AB257+AD257+AF257)</f>
        <v/>
      </c>
      <c r="E257" s="70" t="str">
        <f>IF($A257="","",CHOOSE('Calc riepilogo'!$B$2,'Calc valanga'!$H280,'Calc palla di neve'!$H280,'Calc personalizzata'!$H280))</f>
        <v/>
      </c>
      <c r="F257" s="71" t="str">
        <f>IF($A257="","",CHOOSE('Calc riepilogo'!$B$2,'Calc valanga'!$G280,'Calc palla di neve'!$G280,'Calc personalizzata'!$G280))</f>
        <v/>
      </c>
      <c r="G257" s="72" t="n"/>
      <c r="H257" s="73" t="n"/>
      <c r="I257" s="74" t="str">
        <f>IF($A257="","",TRIM(IF(AND(N(K256)&gt;0,N(K257)&lt;=0.004),"✓ "&amp;'Calc base'!C$6&amp;"   ","")&amp;IF(AND(N(M256)&gt;0,N(M257)&lt;=0.004),"✓ "&amp;'Calc base'!D$6&amp;"   ","")&amp;IF(AND(N(O256)&gt;0,N(O257)&lt;=0.004),"✓ "&amp;'Calc base'!E$6&amp;"   ","")&amp;IF(AND(N(Q256)&gt;0,N(Q257)&lt;=0.004),"✓ "&amp;'Calc base'!F$6&amp;"   ","")&amp;IF(AND(N(S256)&gt;0,N(S257)&lt;=0.004),"✓ "&amp;'Calc base'!G$6&amp;"   ","")&amp;IF(AND(N(U256)&gt;0,N(U257)&lt;=0.004),"✓ "&amp;'Calc base'!H$6&amp;"   ","")&amp;IF(AND(N(W256)&gt;0,N(W257)&lt;=0.004),"✓ "&amp;'Calc base'!I$6&amp;"   ","")&amp;IF(AND(N(Y256)&gt;0,N(Y257)&lt;=0.004),"✓ "&amp;'Calc base'!J$6&amp;"   ","")&amp;IF(AND(N(AA256)&gt;0,N(AA257)&lt;=0.004),"✓ "&amp;'Calc base'!K$6&amp;"   ","")&amp;IF(AND(N(AC256)&gt;0,N(AC257)&lt;=0.004),"✓ "&amp;'Calc base'!L$6&amp;"   ","")&amp;IF(AND(N(AE256)&gt;0,N(AE257)&lt;=0.004),"✓ "&amp;'Calc base'!M$6&amp;"   ","")&amp;IF(AND(N(AG256)&gt;0,N(AG257)&lt;=0.004),"✓ "&amp;'Calc base'!N$6&amp;"   ","")))</f>
        <v/>
      </c>
      <c r="J257" s="70" t="str">
        <f>IF($A257="","",ROUND(N(K256)*(1+'Calc base'!H280),2)-K257)</f>
        <v/>
      </c>
      <c r="K257" s="75" t="str">
        <f>IF($A257="","",CHOOSE('Calc riepilogo'!$B$2,'Calc valanga'!AT280,'Calc palla di neve'!AT280,'Calc personalizzata'!AT280))</f>
        <v/>
      </c>
      <c r="L257" s="70" t="str">
        <f>IF($A257="","",ROUND(N(M256)*(1+'Calc base'!I280),2)-M257)</f>
        <v/>
      </c>
      <c r="M257" s="75" t="str">
        <f>IF($A257="","",CHOOSE('Calc riepilogo'!$B$2,'Calc valanga'!AU280,'Calc palla di neve'!AU280,'Calc personalizzata'!AU280))</f>
        <v/>
      </c>
      <c r="N257" s="70" t="str">
        <f>IF($A257="","",ROUND(N(O256)*(1+'Calc base'!J280),2)-O257)</f>
        <v/>
      </c>
      <c r="O257" s="75" t="str">
        <f>IF($A257="","",CHOOSE('Calc riepilogo'!$B$2,'Calc valanga'!AV280,'Calc palla di neve'!AV280,'Calc personalizzata'!AV280))</f>
        <v/>
      </c>
      <c r="P257" s="70" t="str">
        <f>IF($A257="","",ROUND(N(Q256)*(1+'Calc base'!K280),2)-Q257)</f>
        <v/>
      </c>
      <c r="Q257" s="75" t="str">
        <f>IF($A257="","",CHOOSE('Calc riepilogo'!$B$2,'Calc valanga'!AW280,'Calc palla di neve'!AW280,'Calc personalizzata'!AW280))</f>
        <v/>
      </c>
      <c r="R257" s="70" t="str">
        <f>IF($A257="","",ROUND(N(S256)*(1+'Calc base'!L280),2)-S257)</f>
        <v/>
      </c>
      <c r="S257" s="75" t="str">
        <f>IF($A257="","",CHOOSE('Calc riepilogo'!$B$2,'Calc valanga'!AX280,'Calc palla di neve'!AX280,'Calc personalizzata'!AX280))</f>
        <v/>
      </c>
      <c r="T257" s="70" t="str">
        <f>IF($A257="","",ROUND(N(U256)*(1+'Calc base'!M280),2)-U257)</f>
        <v/>
      </c>
      <c r="U257" s="75" t="str">
        <f>IF($A257="","",CHOOSE('Calc riepilogo'!$B$2,'Calc valanga'!AY280,'Calc palla di neve'!AY280,'Calc personalizzata'!AY280))</f>
        <v/>
      </c>
      <c r="V257" s="70" t="str">
        <f>IF($A257="","",ROUND(N(W256)*(1+'Calc base'!N280),2)-W257)</f>
        <v/>
      </c>
      <c r="W257" s="75" t="str">
        <f>IF($A257="","",CHOOSE('Calc riepilogo'!$B$2,'Calc valanga'!AZ280,'Calc palla di neve'!AZ280,'Calc personalizzata'!AZ280))</f>
        <v/>
      </c>
      <c r="X257" s="70" t="str">
        <f>IF($A257="","",ROUND(N(Y256)*(1+'Calc base'!O280),2)-Y257)</f>
        <v/>
      </c>
      <c r="Y257" s="75" t="str">
        <f>IF($A257="","",CHOOSE('Calc riepilogo'!$B$2,'Calc valanga'!BA280,'Calc palla di neve'!BA280,'Calc personalizzata'!BA280))</f>
        <v/>
      </c>
      <c r="Z257" s="70" t="str">
        <f>IF($A257="","",ROUND(N(AA256)*(1+'Calc base'!P280),2)-AA257)</f>
        <v/>
      </c>
      <c r="AA257" s="75" t="str">
        <f>IF($A257="","",CHOOSE('Calc riepilogo'!$B$2,'Calc valanga'!BB280,'Calc palla di neve'!BB280,'Calc personalizzata'!BB280))</f>
        <v/>
      </c>
      <c r="AB257" s="70" t="str">
        <f>IF($A257="","",ROUND(N(AC256)*(1+'Calc base'!Q280),2)-AC257)</f>
        <v/>
      </c>
      <c r="AC257" s="75" t="str">
        <f>IF($A257="","",CHOOSE('Calc riepilogo'!$B$2,'Calc valanga'!BC280,'Calc palla di neve'!BC280,'Calc personalizzata'!BC280))</f>
        <v/>
      </c>
      <c r="AD257" s="70" t="str">
        <f>IF($A257="","",ROUND(N(AE256)*(1+'Calc base'!R280),2)-AE257)</f>
        <v/>
      </c>
      <c r="AE257" s="75" t="str">
        <f>IF($A257="","",CHOOSE('Calc riepilogo'!$B$2,'Calc valanga'!BD280,'Calc palla di neve'!BD280,'Calc personalizzata'!BD280))</f>
        <v/>
      </c>
      <c r="AF257" s="70" t="str">
        <f>IF($A257="","",ROUND(N(AG256)*(1+'Calc base'!S280),2)-AG257)</f>
        <v/>
      </c>
      <c r="AG257" s="75" t="str">
        <f>IF($A257="","",CHOOSE('Calc riepilogo'!$B$2,'Calc valanga'!BE280,'Calc palla di neve'!BE280,'Calc personalizzata'!BE280))</f>
        <v/>
      </c>
      <c r="AI257" t="n">
        <v>250</v>
      </c>
    </row>
    <row r="258">
      <c r="A258" s="68" t="str">
        <f>IF(251&gt;'Calc riepilogo'!$B$7,"",'Calc base'!$B281)</f>
        <v/>
      </c>
      <c r="B258" s="69" t="str">
        <f>IF($A258="","",'Calc base'!$C281)</f>
        <v/>
      </c>
      <c r="C258" s="69" t="str">
        <f>IF($A258="","",'Calc base'!$E281)</f>
        <v/>
      </c>
      <c r="D258" s="70" t="str">
        <f>IF($A258="","",J258+L258+N258+P258+R258+T258+V258+X258+Z258+AB258+AD258+AF258)</f>
        <v/>
      </c>
      <c r="E258" s="70" t="str">
        <f>IF($A258="","",CHOOSE('Calc riepilogo'!$B$2,'Calc valanga'!$H281,'Calc palla di neve'!$H281,'Calc personalizzata'!$H281))</f>
        <v/>
      </c>
      <c r="F258" s="71" t="str">
        <f>IF($A258="","",CHOOSE('Calc riepilogo'!$B$2,'Calc valanga'!$G281,'Calc palla di neve'!$G281,'Calc personalizzata'!$G281))</f>
        <v/>
      </c>
      <c r="G258" s="72" t="n"/>
      <c r="H258" s="73" t="n"/>
      <c r="I258" s="74" t="str">
        <f>IF($A258="","",TRIM(IF(AND(N(K257)&gt;0,N(K258)&lt;=0.004),"✓ "&amp;'Calc base'!C$6&amp;"   ","")&amp;IF(AND(N(M257)&gt;0,N(M258)&lt;=0.004),"✓ "&amp;'Calc base'!D$6&amp;"   ","")&amp;IF(AND(N(O257)&gt;0,N(O258)&lt;=0.004),"✓ "&amp;'Calc base'!E$6&amp;"   ","")&amp;IF(AND(N(Q257)&gt;0,N(Q258)&lt;=0.004),"✓ "&amp;'Calc base'!F$6&amp;"   ","")&amp;IF(AND(N(S257)&gt;0,N(S258)&lt;=0.004),"✓ "&amp;'Calc base'!G$6&amp;"   ","")&amp;IF(AND(N(U257)&gt;0,N(U258)&lt;=0.004),"✓ "&amp;'Calc base'!H$6&amp;"   ","")&amp;IF(AND(N(W257)&gt;0,N(W258)&lt;=0.004),"✓ "&amp;'Calc base'!I$6&amp;"   ","")&amp;IF(AND(N(Y257)&gt;0,N(Y258)&lt;=0.004),"✓ "&amp;'Calc base'!J$6&amp;"   ","")&amp;IF(AND(N(AA257)&gt;0,N(AA258)&lt;=0.004),"✓ "&amp;'Calc base'!K$6&amp;"   ","")&amp;IF(AND(N(AC257)&gt;0,N(AC258)&lt;=0.004),"✓ "&amp;'Calc base'!L$6&amp;"   ","")&amp;IF(AND(N(AE257)&gt;0,N(AE258)&lt;=0.004),"✓ "&amp;'Calc base'!M$6&amp;"   ","")&amp;IF(AND(N(AG257)&gt;0,N(AG258)&lt;=0.004),"✓ "&amp;'Calc base'!N$6&amp;"   ","")))</f>
        <v/>
      </c>
      <c r="J258" s="70" t="str">
        <f>IF($A258="","",ROUND(N(K257)*(1+'Calc base'!H281),2)-K258)</f>
        <v/>
      </c>
      <c r="K258" s="75" t="str">
        <f>IF($A258="","",CHOOSE('Calc riepilogo'!$B$2,'Calc valanga'!AT281,'Calc palla di neve'!AT281,'Calc personalizzata'!AT281))</f>
        <v/>
      </c>
      <c r="L258" s="70" t="str">
        <f>IF($A258="","",ROUND(N(M257)*(1+'Calc base'!I281),2)-M258)</f>
        <v/>
      </c>
      <c r="M258" s="75" t="str">
        <f>IF($A258="","",CHOOSE('Calc riepilogo'!$B$2,'Calc valanga'!AU281,'Calc palla di neve'!AU281,'Calc personalizzata'!AU281))</f>
        <v/>
      </c>
      <c r="N258" s="70" t="str">
        <f>IF($A258="","",ROUND(N(O257)*(1+'Calc base'!J281),2)-O258)</f>
        <v/>
      </c>
      <c r="O258" s="75" t="str">
        <f>IF($A258="","",CHOOSE('Calc riepilogo'!$B$2,'Calc valanga'!AV281,'Calc palla di neve'!AV281,'Calc personalizzata'!AV281))</f>
        <v/>
      </c>
      <c r="P258" s="70" t="str">
        <f>IF($A258="","",ROUND(N(Q257)*(1+'Calc base'!K281),2)-Q258)</f>
        <v/>
      </c>
      <c r="Q258" s="75" t="str">
        <f>IF($A258="","",CHOOSE('Calc riepilogo'!$B$2,'Calc valanga'!AW281,'Calc palla di neve'!AW281,'Calc personalizzata'!AW281))</f>
        <v/>
      </c>
      <c r="R258" s="70" t="str">
        <f>IF($A258="","",ROUND(N(S257)*(1+'Calc base'!L281),2)-S258)</f>
        <v/>
      </c>
      <c r="S258" s="75" t="str">
        <f>IF($A258="","",CHOOSE('Calc riepilogo'!$B$2,'Calc valanga'!AX281,'Calc palla di neve'!AX281,'Calc personalizzata'!AX281))</f>
        <v/>
      </c>
      <c r="T258" s="70" t="str">
        <f>IF($A258="","",ROUND(N(U257)*(1+'Calc base'!M281),2)-U258)</f>
        <v/>
      </c>
      <c r="U258" s="75" t="str">
        <f>IF($A258="","",CHOOSE('Calc riepilogo'!$B$2,'Calc valanga'!AY281,'Calc palla di neve'!AY281,'Calc personalizzata'!AY281))</f>
        <v/>
      </c>
      <c r="V258" s="70" t="str">
        <f>IF($A258="","",ROUND(N(W257)*(1+'Calc base'!N281),2)-W258)</f>
        <v/>
      </c>
      <c r="W258" s="75" t="str">
        <f>IF($A258="","",CHOOSE('Calc riepilogo'!$B$2,'Calc valanga'!AZ281,'Calc palla di neve'!AZ281,'Calc personalizzata'!AZ281))</f>
        <v/>
      </c>
      <c r="X258" s="70" t="str">
        <f>IF($A258="","",ROUND(N(Y257)*(1+'Calc base'!O281),2)-Y258)</f>
        <v/>
      </c>
      <c r="Y258" s="75" t="str">
        <f>IF($A258="","",CHOOSE('Calc riepilogo'!$B$2,'Calc valanga'!BA281,'Calc palla di neve'!BA281,'Calc personalizzata'!BA281))</f>
        <v/>
      </c>
      <c r="Z258" s="70" t="str">
        <f>IF($A258="","",ROUND(N(AA257)*(1+'Calc base'!P281),2)-AA258)</f>
        <v/>
      </c>
      <c r="AA258" s="75" t="str">
        <f>IF($A258="","",CHOOSE('Calc riepilogo'!$B$2,'Calc valanga'!BB281,'Calc palla di neve'!BB281,'Calc personalizzata'!BB281))</f>
        <v/>
      </c>
      <c r="AB258" s="70" t="str">
        <f>IF($A258="","",ROUND(N(AC257)*(1+'Calc base'!Q281),2)-AC258)</f>
        <v/>
      </c>
      <c r="AC258" s="75" t="str">
        <f>IF($A258="","",CHOOSE('Calc riepilogo'!$B$2,'Calc valanga'!BC281,'Calc palla di neve'!BC281,'Calc personalizzata'!BC281))</f>
        <v/>
      </c>
      <c r="AD258" s="70" t="str">
        <f>IF($A258="","",ROUND(N(AE257)*(1+'Calc base'!R281),2)-AE258)</f>
        <v/>
      </c>
      <c r="AE258" s="75" t="str">
        <f>IF($A258="","",CHOOSE('Calc riepilogo'!$B$2,'Calc valanga'!BD281,'Calc palla di neve'!BD281,'Calc personalizzata'!BD281))</f>
        <v/>
      </c>
      <c r="AF258" s="70" t="str">
        <f>IF($A258="","",ROUND(N(AG257)*(1+'Calc base'!S281),2)-AG258)</f>
        <v/>
      </c>
      <c r="AG258" s="75" t="str">
        <f>IF($A258="","",CHOOSE('Calc riepilogo'!$B$2,'Calc valanga'!BE281,'Calc palla di neve'!BE281,'Calc personalizzata'!BE281))</f>
        <v/>
      </c>
      <c r="AI258" t="n">
        <v>251</v>
      </c>
    </row>
    <row r="259">
      <c r="A259" s="68" t="str">
        <f>IF(252&gt;'Calc riepilogo'!$B$7,"",'Calc base'!$B282)</f>
        <v/>
      </c>
      <c r="B259" s="69" t="str">
        <f>IF($A259="","",'Calc base'!$C282)</f>
        <v/>
      </c>
      <c r="C259" s="69" t="str">
        <f>IF($A259="","",'Calc base'!$E282)</f>
        <v/>
      </c>
      <c r="D259" s="70" t="str">
        <f>IF($A259="","",J259+L259+N259+P259+R259+T259+V259+X259+Z259+AB259+AD259+AF259)</f>
        <v/>
      </c>
      <c r="E259" s="70" t="str">
        <f>IF($A259="","",CHOOSE('Calc riepilogo'!$B$2,'Calc valanga'!$H282,'Calc palla di neve'!$H282,'Calc personalizzata'!$H282))</f>
        <v/>
      </c>
      <c r="F259" s="71" t="str">
        <f>IF($A259="","",CHOOSE('Calc riepilogo'!$B$2,'Calc valanga'!$G282,'Calc palla di neve'!$G282,'Calc personalizzata'!$G282))</f>
        <v/>
      </c>
      <c r="G259" s="72" t="n"/>
      <c r="H259" s="73" t="n"/>
      <c r="I259" s="74" t="str">
        <f>IF($A259="","",TRIM(IF(AND(N(K258)&gt;0,N(K259)&lt;=0.004),"✓ "&amp;'Calc base'!C$6&amp;"   ","")&amp;IF(AND(N(M258)&gt;0,N(M259)&lt;=0.004),"✓ "&amp;'Calc base'!D$6&amp;"   ","")&amp;IF(AND(N(O258)&gt;0,N(O259)&lt;=0.004),"✓ "&amp;'Calc base'!E$6&amp;"   ","")&amp;IF(AND(N(Q258)&gt;0,N(Q259)&lt;=0.004),"✓ "&amp;'Calc base'!F$6&amp;"   ","")&amp;IF(AND(N(S258)&gt;0,N(S259)&lt;=0.004),"✓ "&amp;'Calc base'!G$6&amp;"   ","")&amp;IF(AND(N(U258)&gt;0,N(U259)&lt;=0.004),"✓ "&amp;'Calc base'!H$6&amp;"   ","")&amp;IF(AND(N(W258)&gt;0,N(W259)&lt;=0.004),"✓ "&amp;'Calc base'!I$6&amp;"   ","")&amp;IF(AND(N(Y258)&gt;0,N(Y259)&lt;=0.004),"✓ "&amp;'Calc base'!J$6&amp;"   ","")&amp;IF(AND(N(AA258)&gt;0,N(AA259)&lt;=0.004),"✓ "&amp;'Calc base'!K$6&amp;"   ","")&amp;IF(AND(N(AC258)&gt;0,N(AC259)&lt;=0.004),"✓ "&amp;'Calc base'!L$6&amp;"   ","")&amp;IF(AND(N(AE258)&gt;0,N(AE259)&lt;=0.004),"✓ "&amp;'Calc base'!M$6&amp;"   ","")&amp;IF(AND(N(AG258)&gt;0,N(AG259)&lt;=0.004),"✓ "&amp;'Calc base'!N$6&amp;"   ","")))</f>
        <v/>
      </c>
      <c r="J259" s="70" t="str">
        <f>IF($A259="","",ROUND(N(K258)*(1+'Calc base'!H282),2)-K259)</f>
        <v/>
      </c>
      <c r="K259" s="75" t="str">
        <f>IF($A259="","",CHOOSE('Calc riepilogo'!$B$2,'Calc valanga'!AT282,'Calc palla di neve'!AT282,'Calc personalizzata'!AT282))</f>
        <v/>
      </c>
      <c r="L259" s="70" t="str">
        <f>IF($A259="","",ROUND(N(M258)*(1+'Calc base'!I282),2)-M259)</f>
        <v/>
      </c>
      <c r="M259" s="75" t="str">
        <f>IF($A259="","",CHOOSE('Calc riepilogo'!$B$2,'Calc valanga'!AU282,'Calc palla di neve'!AU282,'Calc personalizzata'!AU282))</f>
        <v/>
      </c>
      <c r="N259" s="70" t="str">
        <f>IF($A259="","",ROUND(N(O258)*(1+'Calc base'!J282),2)-O259)</f>
        <v/>
      </c>
      <c r="O259" s="75" t="str">
        <f>IF($A259="","",CHOOSE('Calc riepilogo'!$B$2,'Calc valanga'!AV282,'Calc palla di neve'!AV282,'Calc personalizzata'!AV282))</f>
        <v/>
      </c>
      <c r="P259" s="70" t="str">
        <f>IF($A259="","",ROUND(N(Q258)*(1+'Calc base'!K282),2)-Q259)</f>
        <v/>
      </c>
      <c r="Q259" s="75" t="str">
        <f>IF($A259="","",CHOOSE('Calc riepilogo'!$B$2,'Calc valanga'!AW282,'Calc palla di neve'!AW282,'Calc personalizzata'!AW282))</f>
        <v/>
      </c>
      <c r="R259" s="70" t="str">
        <f>IF($A259="","",ROUND(N(S258)*(1+'Calc base'!L282),2)-S259)</f>
        <v/>
      </c>
      <c r="S259" s="75" t="str">
        <f>IF($A259="","",CHOOSE('Calc riepilogo'!$B$2,'Calc valanga'!AX282,'Calc palla di neve'!AX282,'Calc personalizzata'!AX282))</f>
        <v/>
      </c>
      <c r="T259" s="70" t="str">
        <f>IF($A259="","",ROUND(N(U258)*(1+'Calc base'!M282),2)-U259)</f>
        <v/>
      </c>
      <c r="U259" s="75" t="str">
        <f>IF($A259="","",CHOOSE('Calc riepilogo'!$B$2,'Calc valanga'!AY282,'Calc palla di neve'!AY282,'Calc personalizzata'!AY282))</f>
        <v/>
      </c>
      <c r="V259" s="70" t="str">
        <f>IF($A259="","",ROUND(N(W258)*(1+'Calc base'!N282),2)-W259)</f>
        <v/>
      </c>
      <c r="W259" s="75" t="str">
        <f>IF($A259="","",CHOOSE('Calc riepilogo'!$B$2,'Calc valanga'!AZ282,'Calc palla di neve'!AZ282,'Calc personalizzata'!AZ282))</f>
        <v/>
      </c>
      <c r="X259" s="70" t="str">
        <f>IF($A259="","",ROUND(N(Y258)*(1+'Calc base'!O282),2)-Y259)</f>
        <v/>
      </c>
      <c r="Y259" s="75" t="str">
        <f>IF($A259="","",CHOOSE('Calc riepilogo'!$B$2,'Calc valanga'!BA282,'Calc palla di neve'!BA282,'Calc personalizzata'!BA282))</f>
        <v/>
      </c>
      <c r="Z259" s="70" t="str">
        <f>IF($A259="","",ROUND(N(AA258)*(1+'Calc base'!P282),2)-AA259)</f>
        <v/>
      </c>
      <c r="AA259" s="75" t="str">
        <f>IF($A259="","",CHOOSE('Calc riepilogo'!$B$2,'Calc valanga'!BB282,'Calc palla di neve'!BB282,'Calc personalizzata'!BB282))</f>
        <v/>
      </c>
      <c r="AB259" s="70" t="str">
        <f>IF($A259="","",ROUND(N(AC258)*(1+'Calc base'!Q282),2)-AC259)</f>
        <v/>
      </c>
      <c r="AC259" s="75" t="str">
        <f>IF($A259="","",CHOOSE('Calc riepilogo'!$B$2,'Calc valanga'!BC282,'Calc palla di neve'!BC282,'Calc personalizzata'!BC282))</f>
        <v/>
      </c>
      <c r="AD259" s="70" t="str">
        <f>IF($A259="","",ROUND(N(AE258)*(1+'Calc base'!R282),2)-AE259)</f>
        <v/>
      </c>
      <c r="AE259" s="75" t="str">
        <f>IF($A259="","",CHOOSE('Calc riepilogo'!$B$2,'Calc valanga'!BD282,'Calc palla di neve'!BD282,'Calc personalizzata'!BD282))</f>
        <v/>
      </c>
      <c r="AF259" s="70" t="str">
        <f>IF($A259="","",ROUND(N(AG258)*(1+'Calc base'!S282),2)-AG259)</f>
        <v/>
      </c>
      <c r="AG259" s="75" t="str">
        <f>IF($A259="","",CHOOSE('Calc riepilogo'!$B$2,'Calc valanga'!BE282,'Calc palla di neve'!BE282,'Calc personalizzata'!BE282))</f>
        <v/>
      </c>
      <c r="AI259" t="n">
        <v>252</v>
      </c>
    </row>
    <row r="260">
      <c r="A260" s="68" t="str">
        <f>IF(253&gt;'Calc riepilogo'!$B$7,"",'Calc base'!$B283)</f>
        <v/>
      </c>
      <c r="B260" s="69" t="str">
        <f>IF($A260="","",'Calc base'!$C283)</f>
        <v/>
      </c>
      <c r="C260" s="69" t="str">
        <f>IF($A260="","",'Calc base'!$E283)</f>
        <v/>
      </c>
      <c r="D260" s="70" t="str">
        <f>IF($A260="","",J260+L260+N260+P260+R260+T260+V260+X260+Z260+AB260+AD260+AF260)</f>
        <v/>
      </c>
      <c r="E260" s="70" t="str">
        <f>IF($A260="","",CHOOSE('Calc riepilogo'!$B$2,'Calc valanga'!$H283,'Calc palla di neve'!$H283,'Calc personalizzata'!$H283))</f>
        <v/>
      </c>
      <c r="F260" s="71" t="str">
        <f>IF($A260="","",CHOOSE('Calc riepilogo'!$B$2,'Calc valanga'!$G283,'Calc palla di neve'!$G283,'Calc personalizzata'!$G283))</f>
        <v/>
      </c>
      <c r="G260" s="72" t="n"/>
      <c r="H260" s="73" t="n"/>
      <c r="I260" s="74" t="str">
        <f>IF($A260="","",TRIM(IF(AND(N(K259)&gt;0,N(K260)&lt;=0.004),"✓ "&amp;'Calc base'!C$6&amp;"   ","")&amp;IF(AND(N(M259)&gt;0,N(M260)&lt;=0.004),"✓ "&amp;'Calc base'!D$6&amp;"   ","")&amp;IF(AND(N(O259)&gt;0,N(O260)&lt;=0.004),"✓ "&amp;'Calc base'!E$6&amp;"   ","")&amp;IF(AND(N(Q259)&gt;0,N(Q260)&lt;=0.004),"✓ "&amp;'Calc base'!F$6&amp;"   ","")&amp;IF(AND(N(S259)&gt;0,N(S260)&lt;=0.004),"✓ "&amp;'Calc base'!G$6&amp;"   ","")&amp;IF(AND(N(U259)&gt;0,N(U260)&lt;=0.004),"✓ "&amp;'Calc base'!H$6&amp;"   ","")&amp;IF(AND(N(W259)&gt;0,N(W260)&lt;=0.004),"✓ "&amp;'Calc base'!I$6&amp;"   ","")&amp;IF(AND(N(Y259)&gt;0,N(Y260)&lt;=0.004),"✓ "&amp;'Calc base'!J$6&amp;"   ","")&amp;IF(AND(N(AA259)&gt;0,N(AA260)&lt;=0.004),"✓ "&amp;'Calc base'!K$6&amp;"   ","")&amp;IF(AND(N(AC259)&gt;0,N(AC260)&lt;=0.004),"✓ "&amp;'Calc base'!L$6&amp;"   ","")&amp;IF(AND(N(AE259)&gt;0,N(AE260)&lt;=0.004),"✓ "&amp;'Calc base'!M$6&amp;"   ","")&amp;IF(AND(N(AG259)&gt;0,N(AG260)&lt;=0.004),"✓ "&amp;'Calc base'!N$6&amp;"   ","")))</f>
        <v/>
      </c>
      <c r="J260" s="70" t="str">
        <f>IF($A260="","",ROUND(N(K259)*(1+'Calc base'!H283),2)-K260)</f>
        <v/>
      </c>
      <c r="K260" s="75" t="str">
        <f>IF($A260="","",CHOOSE('Calc riepilogo'!$B$2,'Calc valanga'!AT283,'Calc palla di neve'!AT283,'Calc personalizzata'!AT283))</f>
        <v/>
      </c>
      <c r="L260" s="70" t="str">
        <f>IF($A260="","",ROUND(N(M259)*(1+'Calc base'!I283),2)-M260)</f>
        <v/>
      </c>
      <c r="M260" s="75" t="str">
        <f>IF($A260="","",CHOOSE('Calc riepilogo'!$B$2,'Calc valanga'!AU283,'Calc palla di neve'!AU283,'Calc personalizzata'!AU283))</f>
        <v/>
      </c>
      <c r="N260" s="70" t="str">
        <f>IF($A260="","",ROUND(N(O259)*(1+'Calc base'!J283),2)-O260)</f>
        <v/>
      </c>
      <c r="O260" s="75" t="str">
        <f>IF($A260="","",CHOOSE('Calc riepilogo'!$B$2,'Calc valanga'!AV283,'Calc palla di neve'!AV283,'Calc personalizzata'!AV283))</f>
        <v/>
      </c>
      <c r="P260" s="70" t="str">
        <f>IF($A260="","",ROUND(N(Q259)*(1+'Calc base'!K283),2)-Q260)</f>
        <v/>
      </c>
      <c r="Q260" s="75" t="str">
        <f>IF($A260="","",CHOOSE('Calc riepilogo'!$B$2,'Calc valanga'!AW283,'Calc palla di neve'!AW283,'Calc personalizzata'!AW283))</f>
        <v/>
      </c>
      <c r="R260" s="70" t="str">
        <f>IF($A260="","",ROUND(N(S259)*(1+'Calc base'!L283),2)-S260)</f>
        <v/>
      </c>
      <c r="S260" s="75" t="str">
        <f>IF($A260="","",CHOOSE('Calc riepilogo'!$B$2,'Calc valanga'!AX283,'Calc palla di neve'!AX283,'Calc personalizzata'!AX283))</f>
        <v/>
      </c>
      <c r="T260" s="70" t="str">
        <f>IF($A260="","",ROUND(N(U259)*(1+'Calc base'!M283),2)-U260)</f>
        <v/>
      </c>
      <c r="U260" s="75" t="str">
        <f>IF($A260="","",CHOOSE('Calc riepilogo'!$B$2,'Calc valanga'!AY283,'Calc palla di neve'!AY283,'Calc personalizzata'!AY283))</f>
        <v/>
      </c>
      <c r="V260" s="70" t="str">
        <f>IF($A260="","",ROUND(N(W259)*(1+'Calc base'!N283),2)-W260)</f>
        <v/>
      </c>
      <c r="W260" s="75" t="str">
        <f>IF($A260="","",CHOOSE('Calc riepilogo'!$B$2,'Calc valanga'!AZ283,'Calc palla di neve'!AZ283,'Calc personalizzata'!AZ283))</f>
        <v/>
      </c>
      <c r="X260" s="70" t="str">
        <f>IF($A260="","",ROUND(N(Y259)*(1+'Calc base'!O283),2)-Y260)</f>
        <v/>
      </c>
      <c r="Y260" s="75" t="str">
        <f>IF($A260="","",CHOOSE('Calc riepilogo'!$B$2,'Calc valanga'!BA283,'Calc palla di neve'!BA283,'Calc personalizzata'!BA283))</f>
        <v/>
      </c>
      <c r="Z260" s="70" t="str">
        <f>IF($A260="","",ROUND(N(AA259)*(1+'Calc base'!P283),2)-AA260)</f>
        <v/>
      </c>
      <c r="AA260" s="75" t="str">
        <f>IF($A260="","",CHOOSE('Calc riepilogo'!$B$2,'Calc valanga'!BB283,'Calc palla di neve'!BB283,'Calc personalizzata'!BB283))</f>
        <v/>
      </c>
      <c r="AB260" s="70" t="str">
        <f>IF($A260="","",ROUND(N(AC259)*(1+'Calc base'!Q283),2)-AC260)</f>
        <v/>
      </c>
      <c r="AC260" s="75" t="str">
        <f>IF($A260="","",CHOOSE('Calc riepilogo'!$B$2,'Calc valanga'!BC283,'Calc palla di neve'!BC283,'Calc personalizzata'!BC283))</f>
        <v/>
      </c>
      <c r="AD260" s="70" t="str">
        <f>IF($A260="","",ROUND(N(AE259)*(1+'Calc base'!R283),2)-AE260)</f>
        <v/>
      </c>
      <c r="AE260" s="75" t="str">
        <f>IF($A260="","",CHOOSE('Calc riepilogo'!$B$2,'Calc valanga'!BD283,'Calc palla di neve'!BD283,'Calc personalizzata'!BD283))</f>
        <v/>
      </c>
      <c r="AF260" s="70" t="str">
        <f>IF($A260="","",ROUND(N(AG259)*(1+'Calc base'!S283),2)-AG260)</f>
        <v/>
      </c>
      <c r="AG260" s="75" t="str">
        <f>IF($A260="","",CHOOSE('Calc riepilogo'!$B$2,'Calc valanga'!BE283,'Calc palla di neve'!BE283,'Calc personalizzata'!BE283))</f>
        <v/>
      </c>
      <c r="AI260" t="n">
        <v>253</v>
      </c>
    </row>
    <row r="261">
      <c r="A261" s="68" t="str">
        <f>IF(254&gt;'Calc riepilogo'!$B$7,"",'Calc base'!$B284)</f>
        <v/>
      </c>
      <c r="B261" s="69" t="str">
        <f>IF($A261="","",'Calc base'!$C284)</f>
        <v/>
      </c>
      <c r="C261" s="69" t="str">
        <f>IF($A261="","",'Calc base'!$E284)</f>
        <v/>
      </c>
      <c r="D261" s="70" t="str">
        <f>IF($A261="","",J261+L261+N261+P261+R261+T261+V261+X261+Z261+AB261+AD261+AF261)</f>
        <v/>
      </c>
      <c r="E261" s="70" t="str">
        <f>IF($A261="","",CHOOSE('Calc riepilogo'!$B$2,'Calc valanga'!$H284,'Calc palla di neve'!$H284,'Calc personalizzata'!$H284))</f>
        <v/>
      </c>
      <c r="F261" s="71" t="str">
        <f>IF($A261="","",CHOOSE('Calc riepilogo'!$B$2,'Calc valanga'!$G284,'Calc palla di neve'!$G284,'Calc personalizzata'!$G284))</f>
        <v/>
      </c>
      <c r="G261" s="72" t="n"/>
      <c r="H261" s="73" t="n"/>
      <c r="I261" s="74" t="str">
        <f>IF($A261="","",TRIM(IF(AND(N(K260)&gt;0,N(K261)&lt;=0.004),"✓ "&amp;'Calc base'!C$6&amp;"   ","")&amp;IF(AND(N(M260)&gt;0,N(M261)&lt;=0.004),"✓ "&amp;'Calc base'!D$6&amp;"   ","")&amp;IF(AND(N(O260)&gt;0,N(O261)&lt;=0.004),"✓ "&amp;'Calc base'!E$6&amp;"   ","")&amp;IF(AND(N(Q260)&gt;0,N(Q261)&lt;=0.004),"✓ "&amp;'Calc base'!F$6&amp;"   ","")&amp;IF(AND(N(S260)&gt;0,N(S261)&lt;=0.004),"✓ "&amp;'Calc base'!G$6&amp;"   ","")&amp;IF(AND(N(U260)&gt;0,N(U261)&lt;=0.004),"✓ "&amp;'Calc base'!H$6&amp;"   ","")&amp;IF(AND(N(W260)&gt;0,N(W261)&lt;=0.004),"✓ "&amp;'Calc base'!I$6&amp;"   ","")&amp;IF(AND(N(Y260)&gt;0,N(Y261)&lt;=0.004),"✓ "&amp;'Calc base'!J$6&amp;"   ","")&amp;IF(AND(N(AA260)&gt;0,N(AA261)&lt;=0.004),"✓ "&amp;'Calc base'!K$6&amp;"   ","")&amp;IF(AND(N(AC260)&gt;0,N(AC261)&lt;=0.004),"✓ "&amp;'Calc base'!L$6&amp;"   ","")&amp;IF(AND(N(AE260)&gt;0,N(AE261)&lt;=0.004),"✓ "&amp;'Calc base'!M$6&amp;"   ","")&amp;IF(AND(N(AG260)&gt;0,N(AG261)&lt;=0.004),"✓ "&amp;'Calc base'!N$6&amp;"   ","")))</f>
        <v/>
      </c>
      <c r="J261" s="70" t="str">
        <f>IF($A261="","",ROUND(N(K260)*(1+'Calc base'!H284),2)-K261)</f>
        <v/>
      </c>
      <c r="K261" s="75" t="str">
        <f>IF($A261="","",CHOOSE('Calc riepilogo'!$B$2,'Calc valanga'!AT284,'Calc palla di neve'!AT284,'Calc personalizzata'!AT284))</f>
        <v/>
      </c>
      <c r="L261" s="70" t="str">
        <f>IF($A261="","",ROUND(N(M260)*(1+'Calc base'!I284),2)-M261)</f>
        <v/>
      </c>
      <c r="M261" s="75" t="str">
        <f>IF($A261="","",CHOOSE('Calc riepilogo'!$B$2,'Calc valanga'!AU284,'Calc palla di neve'!AU284,'Calc personalizzata'!AU284))</f>
        <v/>
      </c>
      <c r="N261" s="70" t="str">
        <f>IF($A261="","",ROUND(N(O260)*(1+'Calc base'!J284),2)-O261)</f>
        <v/>
      </c>
      <c r="O261" s="75" t="str">
        <f>IF($A261="","",CHOOSE('Calc riepilogo'!$B$2,'Calc valanga'!AV284,'Calc palla di neve'!AV284,'Calc personalizzata'!AV284))</f>
        <v/>
      </c>
      <c r="P261" s="70" t="str">
        <f>IF($A261="","",ROUND(N(Q260)*(1+'Calc base'!K284),2)-Q261)</f>
        <v/>
      </c>
      <c r="Q261" s="75" t="str">
        <f>IF($A261="","",CHOOSE('Calc riepilogo'!$B$2,'Calc valanga'!AW284,'Calc palla di neve'!AW284,'Calc personalizzata'!AW284))</f>
        <v/>
      </c>
      <c r="R261" s="70" t="str">
        <f>IF($A261="","",ROUND(N(S260)*(1+'Calc base'!L284),2)-S261)</f>
        <v/>
      </c>
      <c r="S261" s="75" t="str">
        <f>IF($A261="","",CHOOSE('Calc riepilogo'!$B$2,'Calc valanga'!AX284,'Calc palla di neve'!AX284,'Calc personalizzata'!AX284))</f>
        <v/>
      </c>
      <c r="T261" s="70" t="str">
        <f>IF($A261="","",ROUND(N(U260)*(1+'Calc base'!M284),2)-U261)</f>
        <v/>
      </c>
      <c r="U261" s="75" t="str">
        <f>IF($A261="","",CHOOSE('Calc riepilogo'!$B$2,'Calc valanga'!AY284,'Calc palla di neve'!AY284,'Calc personalizzata'!AY284))</f>
        <v/>
      </c>
      <c r="V261" s="70" t="str">
        <f>IF($A261="","",ROUND(N(W260)*(1+'Calc base'!N284),2)-W261)</f>
        <v/>
      </c>
      <c r="W261" s="75" t="str">
        <f>IF($A261="","",CHOOSE('Calc riepilogo'!$B$2,'Calc valanga'!AZ284,'Calc palla di neve'!AZ284,'Calc personalizzata'!AZ284))</f>
        <v/>
      </c>
      <c r="X261" s="70" t="str">
        <f>IF($A261="","",ROUND(N(Y260)*(1+'Calc base'!O284),2)-Y261)</f>
        <v/>
      </c>
      <c r="Y261" s="75" t="str">
        <f>IF($A261="","",CHOOSE('Calc riepilogo'!$B$2,'Calc valanga'!BA284,'Calc palla di neve'!BA284,'Calc personalizzata'!BA284))</f>
        <v/>
      </c>
      <c r="Z261" s="70" t="str">
        <f>IF($A261="","",ROUND(N(AA260)*(1+'Calc base'!P284),2)-AA261)</f>
        <v/>
      </c>
      <c r="AA261" s="75" t="str">
        <f>IF($A261="","",CHOOSE('Calc riepilogo'!$B$2,'Calc valanga'!BB284,'Calc palla di neve'!BB284,'Calc personalizzata'!BB284))</f>
        <v/>
      </c>
      <c r="AB261" s="70" t="str">
        <f>IF($A261="","",ROUND(N(AC260)*(1+'Calc base'!Q284),2)-AC261)</f>
        <v/>
      </c>
      <c r="AC261" s="75" t="str">
        <f>IF($A261="","",CHOOSE('Calc riepilogo'!$B$2,'Calc valanga'!BC284,'Calc palla di neve'!BC284,'Calc personalizzata'!BC284))</f>
        <v/>
      </c>
      <c r="AD261" s="70" t="str">
        <f>IF($A261="","",ROUND(N(AE260)*(1+'Calc base'!R284),2)-AE261)</f>
        <v/>
      </c>
      <c r="AE261" s="75" t="str">
        <f>IF($A261="","",CHOOSE('Calc riepilogo'!$B$2,'Calc valanga'!BD284,'Calc palla di neve'!BD284,'Calc personalizzata'!BD284))</f>
        <v/>
      </c>
      <c r="AF261" s="70" t="str">
        <f>IF($A261="","",ROUND(N(AG260)*(1+'Calc base'!S284),2)-AG261)</f>
        <v/>
      </c>
      <c r="AG261" s="75" t="str">
        <f>IF($A261="","",CHOOSE('Calc riepilogo'!$B$2,'Calc valanga'!BE284,'Calc palla di neve'!BE284,'Calc personalizzata'!BE284))</f>
        <v/>
      </c>
      <c r="AI261" t="n">
        <v>254</v>
      </c>
    </row>
    <row r="262">
      <c r="A262" s="68" t="str">
        <f>IF(255&gt;'Calc riepilogo'!$B$7,"",'Calc base'!$B285)</f>
        <v/>
      </c>
      <c r="B262" s="69" t="str">
        <f>IF($A262="","",'Calc base'!$C285)</f>
        <v/>
      </c>
      <c r="C262" s="69" t="str">
        <f>IF($A262="","",'Calc base'!$E285)</f>
        <v/>
      </c>
      <c r="D262" s="70" t="str">
        <f>IF($A262="","",J262+L262+N262+P262+R262+T262+V262+X262+Z262+AB262+AD262+AF262)</f>
        <v/>
      </c>
      <c r="E262" s="70" t="str">
        <f>IF($A262="","",CHOOSE('Calc riepilogo'!$B$2,'Calc valanga'!$H285,'Calc palla di neve'!$H285,'Calc personalizzata'!$H285))</f>
        <v/>
      </c>
      <c r="F262" s="71" t="str">
        <f>IF($A262="","",CHOOSE('Calc riepilogo'!$B$2,'Calc valanga'!$G285,'Calc palla di neve'!$G285,'Calc personalizzata'!$G285))</f>
        <v/>
      </c>
      <c r="G262" s="72" t="n"/>
      <c r="H262" s="73" t="n"/>
      <c r="I262" s="74" t="str">
        <f>IF($A262="","",TRIM(IF(AND(N(K261)&gt;0,N(K262)&lt;=0.004),"✓ "&amp;'Calc base'!C$6&amp;"   ","")&amp;IF(AND(N(M261)&gt;0,N(M262)&lt;=0.004),"✓ "&amp;'Calc base'!D$6&amp;"   ","")&amp;IF(AND(N(O261)&gt;0,N(O262)&lt;=0.004),"✓ "&amp;'Calc base'!E$6&amp;"   ","")&amp;IF(AND(N(Q261)&gt;0,N(Q262)&lt;=0.004),"✓ "&amp;'Calc base'!F$6&amp;"   ","")&amp;IF(AND(N(S261)&gt;0,N(S262)&lt;=0.004),"✓ "&amp;'Calc base'!G$6&amp;"   ","")&amp;IF(AND(N(U261)&gt;0,N(U262)&lt;=0.004),"✓ "&amp;'Calc base'!H$6&amp;"   ","")&amp;IF(AND(N(W261)&gt;0,N(W262)&lt;=0.004),"✓ "&amp;'Calc base'!I$6&amp;"   ","")&amp;IF(AND(N(Y261)&gt;0,N(Y262)&lt;=0.004),"✓ "&amp;'Calc base'!J$6&amp;"   ","")&amp;IF(AND(N(AA261)&gt;0,N(AA262)&lt;=0.004),"✓ "&amp;'Calc base'!K$6&amp;"   ","")&amp;IF(AND(N(AC261)&gt;0,N(AC262)&lt;=0.004),"✓ "&amp;'Calc base'!L$6&amp;"   ","")&amp;IF(AND(N(AE261)&gt;0,N(AE262)&lt;=0.004),"✓ "&amp;'Calc base'!M$6&amp;"   ","")&amp;IF(AND(N(AG261)&gt;0,N(AG262)&lt;=0.004),"✓ "&amp;'Calc base'!N$6&amp;"   ","")))</f>
        <v/>
      </c>
      <c r="J262" s="70" t="str">
        <f>IF($A262="","",ROUND(N(K261)*(1+'Calc base'!H285),2)-K262)</f>
        <v/>
      </c>
      <c r="K262" s="75" t="str">
        <f>IF($A262="","",CHOOSE('Calc riepilogo'!$B$2,'Calc valanga'!AT285,'Calc palla di neve'!AT285,'Calc personalizzata'!AT285))</f>
        <v/>
      </c>
      <c r="L262" s="70" t="str">
        <f>IF($A262="","",ROUND(N(M261)*(1+'Calc base'!I285),2)-M262)</f>
        <v/>
      </c>
      <c r="M262" s="75" t="str">
        <f>IF($A262="","",CHOOSE('Calc riepilogo'!$B$2,'Calc valanga'!AU285,'Calc palla di neve'!AU285,'Calc personalizzata'!AU285))</f>
        <v/>
      </c>
      <c r="N262" s="70" t="str">
        <f>IF($A262="","",ROUND(N(O261)*(1+'Calc base'!J285),2)-O262)</f>
        <v/>
      </c>
      <c r="O262" s="75" t="str">
        <f>IF($A262="","",CHOOSE('Calc riepilogo'!$B$2,'Calc valanga'!AV285,'Calc palla di neve'!AV285,'Calc personalizzata'!AV285))</f>
        <v/>
      </c>
      <c r="P262" s="70" t="str">
        <f>IF($A262="","",ROUND(N(Q261)*(1+'Calc base'!K285),2)-Q262)</f>
        <v/>
      </c>
      <c r="Q262" s="75" t="str">
        <f>IF($A262="","",CHOOSE('Calc riepilogo'!$B$2,'Calc valanga'!AW285,'Calc palla di neve'!AW285,'Calc personalizzata'!AW285))</f>
        <v/>
      </c>
      <c r="R262" s="70" t="str">
        <f>IF($A262="","",ROUND(N(S261)*(1+'Calc base'!L285),2)-S262)</f>
        <v/>
      </c>
      <c r="S262" s="75" t="str">
        <f>IF($A262="","",CHOOSE('Calc riepilogo'!$B$2,'Calc valanga'!AX285,'Calc palla di neve'!AX285,'Calc personalizzata'!AX285))</f>
        <v/>
      </c>
      <c r="T262" s="70" t="str">
        <f>IF($A262="","",ROUND(N(U261)*(1+'Calc base'!M285),2)-U262)</f>
        <v/>
      </c>
      <c r="U262" s="75" t="str">
        <f>IF($A262="","",CHOOSE('Calc riepilogo'!$B$2,'Calc valanga'!AY285,'Calc palla di neve'!AY285,'Calc personalizzata'!AY285))</f>
        <v/>
      </c>
      <c r="V262" s="70" t="str">
        <f>IF($A262="","",ROUND(N(W261)*(1+'Calc base'!N285),2)-W262)</f>
        <v/>
      </c>
      <c r="W262" s="75" t="str">
        <f>IF($A262="","",CHOOSE('Calc riepilogo'!$B$2,'Calc valanga'!AZ285,'Calc palla di neve'!AZ285,'Calc personalizzata'!AZ285))</f>
        <v/>
      </c>
      <c r="X262" s="70" t="str">
        <f>IF($A262="","",ROUND(N(Y261)*(1+'Calc base'!O285),2)-Y262)</f>
        <v/>
      </c>
      <c r="Y262" s="75" t="str">
        <f>IF($A262="","",CHOOSE('Calc riepilogo'!$B$2,'Calc valanga'!BA285,'Calc palla di neve'!BA285,'Calc personalizzata'!BA285))</f>
        <v/>
      </c>
      <c r="Z262" s="70" t="str">
        <f>IF($A262="","",ROUND(N(AA261)*(1+'Calc base'!P285),2)-AA262)</f>
        <v/>
      </c>
      <c r="AA262" s="75" t="str">
        <f>IF($A262="","",CHOOSE('Calc riepilogo'!$B$2,'Calc valanga'!BB285,'Calc palla di neve'!BB285,'Calc personalizzata'!BB285))</f>
        <v/>
      </c>
      <c r="AB262" s="70" t="str">
        <f>IF($A262="","",ROUND(N(AC261)*(1+'Calc base'!Q285),2)-AC262)</f>
        <v/>
      </c>
      <c r="AC262" s="75" t="str">
        <f>IF($A262="","",CHOOSE('Calc riepilogo'!$B$2,'Calc valanga'!BC285,'Calc palla di neve'!BC285,'Calc personalizzata'!BC285))</f>
        <v/>
      </c>
      <c r="AD262" s="70" t="str">
        <f>IF($A262="","",ROUND(N(AE261)*(1+'Calc base'!R285),2)-AE262)</f>
        <v/>
      </c>
      <c r="AE262" s="75" t="str">
        <f>IF($A262="","",CHOOSE('Calc riepilogo'!$B$2,'Calc valanga'!BD285,'Calc palla di neve'!BD285,'Calc personalizzata'!BD285))</f>
        <v/>
      </c>
      <c r="AF262" s="70" t="str">
        <f>IF($A262="","",ROUND(N(AG261)*(1+'Calc base'!S285),2)-AG262)</f>
        <v/>
      </c>
      <c r="AG262" s="75" t="str">
        <f>IF($A262="","",CHOOSE('Calc riepilogo'!$B$2,'Calc valanga'!BE285,'Calc palla di neve'!BE285,'Calc personalizzata'!BE285))</f>
        <v/>
      </c>
      <c r="AI262" t="n">
        <v>255</v>
      </c>
    </row>
    <row r="263">
      <c r="A263" s="68" t="str">
        <f>IF(256&gt;'Calc riepilogo'!$B$7,"",'Calc base'!$B286)</f>
        <v/>
      </c>
      <c r="B263" s="69" t="str">
        <f>IF($A263="","",'Calc base'!$C286)</f>
        <v/>
      </c>
      <c r="C263" s="69" t="str">
        <f>IF($A263="","",'Calc base'!$E286)</f>
        <v/>
      </c>
      <c r="D263" s="70" t="str">
        <f>IF($A263="","",J263+L263+N263+P263+R263+T263+V263+X263+Z263+AB263+AD263+AF263)</f>
        <v/>
      </c>
      <c r="E263" s="70" t="str">
        <f>IF($A263="","",CHOOSE('Calc riepilogo'!$B$2,'Calc valanga'!$H286,'Calc palla di neve'!$H286,'Calc personalizzata'!$H286))</f>
        <v/>
      </c>
      <c r="F263" s="71" t="str">
        <f>IF($A263="","",CHOOSE('Calc riepilogo'!$B$2,'Calc valanga'!$G286,'Calc palla di neve'!$G286,'Calc personalizzata'!$G286))</f>
        <v/>
      </c>
      <c r="G263" s="72" t="n"/>
      <c r="H263" s="73" t="n"/>
      <c r="I263" s="74" t="str">
        <f>IF($A263="","",TRIM(IF(AND(N(K262)&gt;0,N(K263)&lt;=0.004),"✓ "&amp;'Calc base'!C$6&amp;"   ","")&amp;IF(AND(N(M262)&gt;0,N(M263)&lt;=0.004),"✓ "&amp;'Calc base'!D$6&amp;"   ","")&amp;IF(AND(N(O262)&gt;0,N(O263)&lt;=0.004),"✓ "&amp;'Calc base'!E$6&amp;"   ","")&amp;IF(AND(N(Q262)&gt;0,N(Q263)&lt;=0.004),"✓ "&amp;'Calc base'!F$6&amp;"   ","")&amp;IF(AND(N(S262)&gt;0,N(S263)&lt;=0.004),"✓ "&amp;'Calc base'!G$6&amp;"   ","")&amp;IF(AND(N(U262)&gt;0,N(U263)&lt;=0.004),"✓ "&amp;'Calc base'!H$6&amp;"   ","")&amp;IF(AND(N(W262)&gt;0,N(W263)&lt;=0.004),"✓ "&amp;'Calc base'!I$6&amp;"   ","")&amp;IF(AND(N(Y262)&gt;0,N(Y263)&lt;=0.004),"✓ "&amp;'Calc base'!J$6&amp;"   ","")&amp;IF(AND(N(AA262)&gt;0,N(AA263)&lt;=0.004),"✓ "&amp;'Calc base'!K$6&amp;"   ","")&amp;IF(AND(N(AC262)&gt;0,N(AC263)&lt;=0.004),"✓ "&amp;'Calc base'!L$6&amp;"   ","")&amp;IF(AND(N(AE262)&gt;0,N(AE263)&lt;=0.004),"✓ "&amp;'Calc base'!M$6&amp;"   ","")&amp;IF(AND(N(AG262)&gt;0,N(AG263)&lt;=0.004),"✓ "&amp;'Calc base'!N$6&amp;"   ","")))</f>
        <v/>
      </c>
      <c r="J263" s="70" t="str">
        <f>IF($A263="","",ROUND(N(K262)*(1+'Calc base'!H286),2)-K263)</f>
        <v/>
      </c>
      <c r="K263" s="75" t="str">
        <f>IF($A263="","",CHOOSE('Calc riepilogo'!$B$2,'Calc valanga'!AT286,'Calc palla di neve'!AT286,'Calc personalizzata'!AT286))</f>
        <v/>
      </c>
      <c r="L263" s="70" t="str">
        <f>IF($A263="","",ROUND(N(M262)*(1+'Calc base'!I286),2)-M263)</f>
        <v/>
      </c>
      <c r="M263" s="75" t="str">
        <f>IF($A263="","",CHOOSE('Calc riepilogo'!$B$2,'Calc valanga'!AU286,'Calc palla di neve'!AU286,'Calc personalizzata'!AU286))</f>
        <v/>
      </c>
      <c r="N263" s="70" t="str">
        <f>IF($A263="","",ROUND(N(O262)*(1+'Calc base'!J286),2)-O263)</f>
        <v/>
      </c>
      <c r="O263" s="75" t="str">
        <f>IF($A263="","",CHOOSE('Calc riepilogo'!$B$2,'Calc valanga'!AV286,'Calc palla di neve'!AV286,'Calc personalizzata'!AV286))</f>
        <v/>
      </c>
      <c r="P263" s="70" t="str">
        <f>IF($A263="","",ROUND(N(Q262)*(1+'Calc base'!K286),2)-Q263)</f>
        <v/>
      </c>
      <c r="Q263" s="75" t="str">
        <f>IF($A263="","",CHOOSE('Calc riepilogo'!$B$2,'Calc valanga'!AW286,'Calc palla di neve'!AW286,'Calc personalizzata'!AW286))</f>
        <v/>
      </c>
      <c r="R263" s="70" t="str">
        <f>IF($A263="","",ROUND(N(S262)*(1+'Calc base'!L286),2)-S263)</f>
        <v/>
      </c>
      <c r="S263" s="75" t="str">
        <f>IF($A263="","",CHOOSE('Calc riepilogo'!$B$2,'Calc valanga'!AX286,'Calc palla di neve'!AX286,'Calc personalizzata'!AX286))</f>
        <v/>
      </c>
      <c r="T263" s="70" t="str">
        <f>IF($A263="","",ROUND(N(U262)*(1+'Calc base'!M286),2)-U263)</f>
        <v/>
      </c>
      <c r="U263" s="75" t="str">
        <f>IF($A263="","",CHOOSE('Calc riepilogo'!$B$2,'Calc valanga'!AY286,'Calc palla di neve'!AY286,'Calc personalizzata'!AY286))</f>
        <v/>
      </c>
      <c r="V263" s="70" t="str">
        <f>IF($A263="","",ROUND(N(W262)*(1+'Calc base'!N286),2)-W263)</f>
        <v/>
      </c>
      <c r="W263" s="75" t="str">
        <f>IF($A263="","",CHOOSE('Calc riepilogo'!$B$2,'Calc valanga'!AZ286,'Calc palla di neve'!AZ286,'Calc personalizzata'!AZ286))</f>
        <v/>
      </c>
      <c r="X263" s="70" t="str">
        <f>IF($A263="","",ROUND(N(Y262)*(1+'Calc base'!O286),2)-Y263)</f>
        <v/>
      </c>
      <c r="Y263" s="75" t="str">
        <f>IF($A263="","",CHOOSE('Calc riepilogo'!$B$2,'Calc valanga'!BA286,'Calc palla di neve'!BA286,'Calc personalizzata'!BA286))</f>
        <v/>
      </c>
      <c r="Z263" s="70" t="str">
        <f>IF($A263="","",ROUND(N(AA262)*(1+'Calc base'!P286),2)-AA263)</f>
        <v/>
      </c>
      <c r="AA263" s="75" t="str">
        <f>IF($A263="","",CHOOSE('Calc riepilogo'!$B$2,'Calc valanga'!BB286,'Calc palla di neve'!BB286,'Calc personalizzata'!BB286))</f>
        <v/>
      </c>
      <c r="AB263" s="70" t="str">
        <f>IF($A263="","",ROUND(N(AC262)*(1+'Calc base'!Q286),2)-AC263)</f>
        <v/>
      </c>
      <c r="AC263" s="75" t="str">
        <f>IF($A263="","",CHOOSE('Calc riepilogo'!$B$2,'Calc valanga'!BC286,'Calc palla di neve'!BC286,'Calc personalizzata'!BC286))</f>
        <v/>
      </c>
      <c r="AD263" s="70" t="str">
        <f>IF($A263="","",ROUND(N(AE262)*(1+'Calc base'!R286),2)-AE263)</f>
        <v/>
      </c>
      <c r="AE263" s="75" t="str">
        <f>IF($A263="","",CHOOSE('Calc riepilogo'!$B$2,'Calc valanga'!BD286,'Calc palla di neve'!BD286,'Calc personalizzata'!BD286))</f>
        <v/>
      </c>
      <c r="AF263" s="70" t="str">
        <f>IF($A263="","",ROUND(N(AG262)*(1+'Calc base'!S286),2)-AG263)</f>
        <v/>
      </c>
      <c r="AG263" s="75" t="str">
        <f>IF($A263="","",CHOOSE('Calc riepilogo'!$B$2,'Calc valanga'!BE286,'Calc palla di neve'!BE286,'Calc personalizzata'!BE286))</f>
        <v/>
      </c>
      <c r="AI263" t="n">
        <v>256</v>
      </c>
    </row>
    <row r="264">
      <c r="A264" s="68" t="str">
        <f>IF(257&gt;'Calc riepilogo'!$B$7,"",'Calc base'!$B287)</f>
        <v/>
      </c>
      <c r="B264" s="69" t="str">
        <f>IF($A264="","",'Calc base'!$C287)</f>
        <v/>
      </c>
      <c r="C264" s="69" t="str">
        <f>IF($A264="","",'Calc base'!$E287)</f>
        <v/>
      </c>
      <c r="D264" s="70" t="str">
        <f>IF($A264="","",J264+L264+N264+P264+R264+T264+V264+X264+Z264+AB264+AD264+AF264)</f>
        <v/>
      </c>
      <c r="E264" s="70" t="str">
        <f>IF($A264="","",CHOOSE('Calc riepilogo'!$B$2,'Calc valanga'!$H287,'Calc palla di neve'!$H287,'Calc personalizzata'!$H287))</f>
        <v/>
      </c>
      <c r="F264" s="71" t="str">
        <f>IF($A264="","",CHOOSE('Calc riepilogo'!$B$2,'Calc valanga'!$G287,'Calc palla di neve'!$G287,'Calc personalizzata'!$G287))</f>
        <v/>
      </c>
      <c r="G264" s="72" t="n"/>
      <c r="H264" s="73" t="n"/>
      <c r="I264" s="74" t="str">
        <f>IF($A264="","",TRIM(IF(AND(N(K263)&gt;0,N(K264)&lt;=0.004),"✓ "&amp;'Calc base'!C$6&amp;"   ","")&amp;IF(AND(N(M263)&gt;0,N(M264)&lt;=0.004),"✓ "&amp;'Calc base'!D$6&amp;"   ","")&amp;IF(AND(N(O263)&gt;0,N(O264)&lt;=0.004),"✓ "&amp;'Calc base'!E$6&amp;"   ","")&amp;IF(AND(N(Q263)&gt;0,N(Q264)&lt;=0.004),"✓ "&amp;'Calc base'!F$6&amp;"   ","")&amp;IF(AND(N(S263)&gt;0,N(S264)&lt;=0.004),"✓ "&amp;'Calc base'!G$6&amp;"   ","")&amp;IF(AND(N(U263)&gt;0,N(U264)&lt;=0.004),"✓ "&amp;'Calc base'!H$6&amp;"   ","")&amp;IF(AND(N(W263)&gt;0,N(W264)&lt;=0.004),"✓ "&amp;'Calc base'!I$6&amp;"   ","")&amp;IF(AND(N(Y263)&gt;0,N(Y264)&lt;=0.004),"✓ "&amp;'Calc base'!J$6&amp;"   ","")&amp;IF(AND(N(AA263)&gt;0,N(AA264)&lt;=0.004),"✓ "&amp;'Calc base'!K$6&amp;"   ","")&amp;IF(AND(N(AC263)&gt;0,N(AC264)&lt;=0.004),"✓ "&amp;'Calc base'!L$6&amp;"   ","")&amp;IF(AND(N(AE263)&gt;0,N(AE264)&lt;=0.004),"✓ "&amp;'Calc base'!M$6&amp;"   ","")&amp;IF(AND(N(AG263)&gt;0,N(AG264)&lt;=0.004),"✓ "&amp;'Calc base'!N$6&amp;"   ","")))</f>
        <v/>
      </c>
      <c r="J264" s="70" t="str">
        <f>IF($A264="","",ROUND(N(K263)*(1+'Calc base'!H287),2)-K264)</f>
        <v/>
      </c>
      <c r="K264" s="75" t="str">
        <f>IF($A264="","",CHOOSE('Calc riepilogo'!$B$2,'Calc valanga'!AT287,'Calc palla di neve'!AT287,'Calc personalizzata'!AT287))</f>
        <v/>
      </c>
      <c r="L264" s="70" t="str">
        <f>IF($A264="","",ROUND(N(M263)*(1+'Calc base'!I287),2)-M264)</f>
        <v/>
      </c>
      <c r="M264" s="75" t="str">
        <f>IF($A264="","",CHOOSE('Calc riepilogo'!$B$2,'Calc valanga'!AU287,'Calc palla di neve'!AU287,'Calc personalizzata'!AU287))</f>
        <v/>
      </c>
      <c r="N264" s="70" t="str">
        <f>IF($A264="","",ROUND(N(O263)*(1+'Calc base'!J287),2)-O264)</f>
        <v/>
      </c>
      <c r="O264" s="75" t="str">
        <f>IF($A264="","",CHOOSE('Calc riepilogo'!$B$2,'Calc valanga'!AV287,'Calc palla di neve'!AV287,'Calc personalizzata'!AV287))</f>
        <v/>
      </c>
      <c r="P264" s="70" t="str">
        <f>IF($A264="","",ROUND(N(Q263)*(1+'Calc base'!K287),2)-Q264)</f>
        <v/>
      </c>
      <c r="Q264" s="75" t="str">
        <f>IF($A264="","",CHOOSE('Calc riepilogo'!$B$2,'Calc valanga'!AW287,'Calc palla di neve'!AW287,'Calc personalizzata'!AW287))</f>
        <v/>
      </c>
      <c r="R264" s="70" t="str">
        <f>IF($A264="","",ROUND(N(S263)*(1+'Calc base'!L287),2)-S264)</f>
        <v/>
      </c>
      <c r="S264" s="75" t="str">
        <f>IF($A264="","",CHOOSE('Calc riepilogo'!$B$2,'Calc valanga'!AX287,'Calc palla di neve'!AX287,'Calc personalizzata'!AX287))</f>
        <v/>
      </c>
      <c r="T264" s="70" t="str">
        <f>IF($A264="","",ROUND(N(U263)*(1+'Calc base'!M287),2)-U264)</f>
        <v/>
      </c>
      <c r="U264" s="75" t="str">
        <f>IF($A264="","",CHOOSE('Calc riepilogo'!$B$2,'Calc valanga'!AY287,'Calc palla di neve'!AY287,'Calc personalizzata'!AY287))</f>
        <v/>
      </c>
      <c r="V264" s="70" t="str">
        <f>IF($A264="","",ROUND(N(W263)*(1+'Calc base'!N287),2)-W264)</f>
        <v/>
      </c>
      <c r="W264" s="75" t="str">
        <f>IF($A264="","",CHOOSE('Calc riepilogo'!$B$2,'Calc valanga'!AZ287,'Calc palla di neve'!AZ287,'Calc personalizzata'!AZ287))</f>
        <v/>
      </c>
      <c r="X264" s="70" t="str">
        <f>IF($A264="","",ROUND(N(Y263)*(1+'Calc base'!O287),2)-Y264)</f>
        <v/>
      </c>
      <c r="Y264" s="75" t="str">
        <f>IF($A264="","",CHOOSE('Calc riepilogo'!$B$2,'Calc valanga'!BA287,'Calc palla di neve'!BA287,'Calc personalizzata'!BA287))</f>
        <v/>
      </c>
      <c r="Z264" s="70" t="str">
        <f>IF($A264="","",ROUND(N(AA263)*(1+'Calc base'!P287),2)-AA264)</f>
        <v/>
      </c>
      <c r="AA264" s="75" t="str">
        <f>IF($A264="","",CHOOSE('Calc riepilogo'!$B$2,'Calc valanga'!BB287,'Calc palla di neve'!BB287,'Calc personalizzata'!BB287))</f>
        <v/>
      </c>
      <c r="AB264" s="70" t="str">
        <f>IF($A264="","",ROUND(N(AC263)*(1+'Calc base'!Q287),2)-AC264)</f>
        <v/>
      </c>
      <c r="AC264" s="75" t="str">
        <f>IF($A264="","",CHOOSE('Calc riepilogo'!$B$2,'Calc valanga'!BC287,'Calc palla di neve'!BC287,'Calc personalizzata'!BC287))</f>
        <v/>
      </c>
      <c r="AD264" s="70" t="str">
        <f>IF($A264="","",ROUND(N(AE263)*(1+'Calc base'!R287),2)-AE264)</f>
        <v/>
      </c>
      <c r="AE264" s="75" t="str">
        <f>IF($A264="","",CHOOSE('Calc riepilogo'!$B$2,'Calc valanga'!BD287,'Calc palla di neve'!BD287,'Calc personalizzata'!BD287))</f>
        <v/>
      </c>
      <c r="AF264" s="70" t="str">
        <f>IF($A264="","",ROUND(N(AG263)*(1+'Calc base'!S287),2)-AG264)</f>
        <v/>
      </c>
      <c r="AG264" s="75" t="str">
        <f>IF($A264="","",CHOOSE('Calc riepilogo'!$B$2,'Calc valanga'!BE287,'Calc palla di neve'!BE287,'Calc personalizzata'!BE287))</f>
        <v/>
      </c>
      <c r="AI264" t="n">
        <v>257</v>
      </c>
    </row>
    <row r="265">
      <c r="A265" s="68" t="str">
        <f>IF(258&gt;'Calc riepilogo'!$B$7,"",'Calc base'!$B288)</f>
        <v/>
      </c>
      <c r="B265" s="69" t="str">
        <f>IF($A265="","",'Calc base'!$C288)</f>
        <v/>
      </c>
      <c r="C265" s="69" t="str">
        <f>IF($A265="","",'Calc base'!$E288)</f>
        <v/>
      </c>
      <c r="D265" s="70" t="str">
        <f>IF($A265="","",J265+L265+N265+P265+R265+T265+V265+X265+Z265+AB265+AD265+AF265)</f>
        <v/>
      </c>
      <c r="E265" s="70" t="str">
        <f>IF($A265="","",CHOOSE('Calc riepilogo'!$B$2,'Calc valanga'!$H288,'Calc palla di neve'!$H288,'Calc personalizzata'!$H288))</f>
        <v/>
      </c>
      <c r="F265" s="71" t="str">
        <f>IF($A265="","",CHOOSE('Calc riepilogo'!$B$2,'Calc valanga'!$G288,'Calc palla di neve'!$G288,'Calc personalizzata'!$G288))</f>
        <v/>
      </c>
      <c r="G265" s="72" t="n"/>
      <c r="H265" s="73" t="n"/>
      <c r="I265" s="74" t="str">
        <f>IF($A265="","",TRIM(IF(AND(N(K264)&gt;0,N(K265)&lt;=0.004),"✓ "&amp;'Calc base'!C$6&amp;"   ","")&amp;IF(AND(N(M264)&gt;0,N(M265)&lt;=0.004),"✓ "&amp;'Calc base'!D$6&amp;"   ","")&amp;IF(AND(N(O264)&gt;0,N(O265)&lt;=0.004),"✓ "&amp;'Calc base'!E$6&amp;"   ","")&amp;IF(AND(N(Q264)&gt;0,N(Q265)&lt;=0.004),"✓ "&amp;'Calc base'!F$6&amp;"   ","")&amp;IF(AND(N(S264)&gt;0,N(S265)&lt;=0.004),"✓ "&amp;'Calc base'!G$6&amp;"   ","")&amp;IF(AND(N(U264)&gt;0,N(U265)&lt;=0.004),"✓ "&amp;'Calc base'!H$6&amp;"   ","")&amp;IF(AND(N(W264)&gt;0,N(W265)&lt;=0.004),"✓ "&amp;'Calc base'!I$6&amp;"   ","")&amp;IF(AND(N(Y264)&gt;0,N(Y265)&lt;=0.004),"✓ "&amp;'Calc base'!J$6&amp;"   ","")&amp;IF(AND(N(AA264)&gt;0,N(AA265)&lt;=0.004),"✓ "&amp;'Calc base'!K$6&amp;"   ","")&amp;IF(AND(N(AC264)&gt;0,N(AC265)&lt;=0.004),"✓ "&amp;'Calc base'!L$6&amp;"   ","")&amp;IF(AND(N(AE264)&gt;0,N(AE265)&lt;=0.004),"✓ "&amp;'Calc base'!M$6&amp;"   ","")&amp;IF(AND(N(AG264)&gt;0,N(AG265)&lt;=0.004),"✓ "&amp;'Calc base'!N$6&amp;"   ","")))</f>
        <v/>
      </c>
      <c r="J265" s="70" t="str">
        <f>IF($A265="","",ROUND(N(K264)*(1+'Calc base'!H288),2)-K265)</f>
        <v/>
      </c>
      <c r="K265" s="75" t="str">
        <f>IF($A265="","",CHOOSE('Calc riepilogo'!$B$2,'Calc valanga'!AT288,'Calc palla di neve'!AT288,'Calc personalizzata'!AT288))</f>
        <v/>
      </c>
      <c r="L265" s="70" t="str">
        <f>IF($A265="","",ROUND(N(M264)*(1+'Calc base'!I288),2)-M265)</f>
        <v/>
      </c>
      <c r="M265" s="75" t="str">
        <f>IF($A265="","",CHOOSE('Calc riepilogo'!$B$2,'Calc valanga'!AU288,'Calc palla di neve'!AU288,'Calc personalizzata'!AU288))</f>
        <v/>
      </c>
      <c r="N265" s="70" t="str">
        <f>IF($A265="","",ROUND(N(O264)*(1+'Calc base'!J288),2)-O265)</f>
        <v/>
      </c>
      <c r="O265" s="75" t="str">
        <f>IF($A265="","",CHOOSE('Calc riepilogo'!$B$2,'Calc valanga'!AV288,'Calc palla di neve'!AV288,'Calc personalizzata'!AV288))</f>
        <v/>
      </c>
      <c r="P265" s="70" t="str">
        <f>IF($A265="","",ROUND(N(Q264)*(1+'Calc base'!K288),2)-Q265)</f>
        <v/>
      </c>
      <c r="Q265" s="75" t="str">
        <f>IF($A265="","",CHOOSE('Calc riepilogo'!$B$2,'Calc valanga'!AW288,'Calc palla di neve'!AW288,'Calc personalizzata'!AW288))</f>
        <v/>
      </c>
      <c r="R265" s="70" t="str">
        <f>IF($A265="","",ROUND(N(S264)*(1+'Calc base'!L288),2)-S265)</f>
        <v/>
      </c>
      <c r="S265" s="75" t="str">
        <f>IF($A265="","",CHOOSE('Calc riepilogo'!$B$2,'Calc valanga'!AX288,'Calc palla di neve'!AX288,'Calc personalizzata'!AX288))</f>
        <v/>
      </c>
      <c r="T265" s="70" t="str">
        <f>IF($A265="","",ROUND(N(U264)*(1+'Calc base'!M288),2)-U265)</f>
        <v/>
      </c>
      <c r="U265" s="75" t="str">
        <f>IF($A265="","",CHOOSE('Calc riepilogo'!$B$2,'Calc valanga'!AY288,'Calc palla di neve'!AY288,'Calc personalizzata'!AY288))</f>
        <v/>
      </c>
      <c r="V265" s="70" t="str">
        <f>IF($A265="","",ROUND(N(W264)*(1+'Calc base'!N288),2)-W265)</f>
        <v/>
      </c>
      <c r="W265" s="75" t="str">
        <f>IF($A265="","",CHOOSE('Calc riepilogo'!$B$2,'Calc valanga'!AZ288,'Calc palla di neve'!AZ288,'Calc personalizzata'!AZ288))</f>
        <v/>
      </c>
      <c r="X265" s="70" t="str">
        <f>IF($A265="","",ROUND(N(Y264)*(1+'Calc base'!O288),2)-Y265)</f>
        <v/>
      </c>
      <c r="Y265" s="75" t="str">
        <f>IF($A265="","",CHOOSE('Calc riepilogo'!$B$2,'Calc valanga'!BA288,'Calc palla di neve'!BA288,'Calc personalizzata'!BA288))</f>
        <v/>
      </c>
      <c r="Z265" s="70" t="str">
        <f>IF($A265="","",ROUND(N(AA264)*(1+'Calc base'!P288),2)-AA265)</f>
        <v/>
      </c>
      <c r="AA265" s="75" t="str">
        <f>IF($A265="","",CHOOSE('Calc riepilogo'!$B$2,'Calc valanga'!BB288,'Calc palla di neve'!BB288,'Calc personalizzata'!BB288))</f>
        <v/>
      </c>
      <c r="AB265" s="70" t="str">
        <f>IF($A265="","",ROUND(N(AC264)*(1+'Calc base'!Q288),2)-AC265)</f>
        <v/>
      </c>
      <c r="AC265" s="75" t="str">
        <f>IF($A265="","",CHOOSE('Calc riepilogo'!$B$2,'Calc valanga'!BC288,'Calc palla di neve'!BC288,'Calc personalizzata'!BC288))</f>
        <v/>
      </c>
      <c r="AD265" s="70" t="str">
        <f>IF($A265="","",ROUND(N(AE264)*(1+'Calc base'!R288),2)-AE265)</f>
        <v/>
      </c>
      <c r="AE265" s="75" t="str">
        <f>IF($A265="","",CHOOSE('Calc riepilogo'!$B$2,'Calc valanga'!BD288,'Calc palla di neve'!BD288,'Calc personalizzata'!BD288))</f>
        <v/>
      </c>
      <c r="AF265" s="70" t="str">
        <f>IF($A265="","",ROUND(N(AG264)*(1+'Calc base'!S288),2)-AG265)</f>
        <v/>
      </c>
      <c r="AG265" s="75" t="str">
        <f>IF($A265="","",CHOOSE('Calc riepilogo'!$B$2,'Calc valanga'!BE288,'Calc palla di neve'!BE288,'Calc personalizzata'!BE288))</f>
        <v/>
      </c>
      <c r="AI265" t="n">
        <v>258</v>
      </c>
    </row>
    <row r="266">
      <c r="A266" s="68" t="str">
        <f>IF(259&gt;'Calc riepilogo'!$B$7,"",'Calc base'!$B289)</f>
        <v/>
      </c>
      <c r="B266" s="69" t="str">
        <f>IF($A266="","",'Calc base'!$C289)</f>
        <v/>
      </c>
      <c r="C266" s="69" t="str">
        <f>IF($A266="","",'Calc base'!$E289)</f>
        <v/>
      </c>
      <c r="D266" s="70" t="str">
        <f>IF($A266="","",J266+L266+N266+P266+R266+T266+V266+X266+Z266+AB266+AD266+AF266)</f>
        <v/>
      </c>
      <c r="E266" s="70" t="str">
        <f>IF($A266="","",CHOOSE('Calc riepilogo'!$B$2,'Calc valanga'!$H289,'Calc palla di neve'!$H289,'Calc personalizzata'!$H289))</f>
        <v/>
      </c>
      <c r="F266" s="71" t="str">
        <f>IF($A266="","",CHOOSE('Calc riepilogo'!$B$2,'Calc valanga'!$G289,'Calc palla di neve'!$G289,'Calc personalizzata'!$G289))</f>
        <v/>
      </c>
      <c r="G266" s="72" t="n"/>
      <c r="H266" s="73" t="n"/>
      <c r="I266" s="74" t="str">
        <f>IF($A266="","",TRIM(IF(AND(N(K265)&gt;0,N(K266)&lt;=0.004),"✓ "&amp;'Calc base'!C$6&amp;"   ","")&amp;IF(AND(N(M265)&gt;0,N(M266)&lt;=0.004),"✓ "&amp;'Calc base'!D$6&amp;"   ","")&amp;IF(AND(N(O265)&gt;0,N(O266)&lt;=0.004),"✓ "&amp;'Calc base'!E$6&amp;"   ","")&amp;IF(AND(N(Q265)&gt;0,N(Q266)&lt;=0.004),"✓ "&amp;'Calc base'!F$6&amp;"   ","")&amp;IF(AND(N(S265)&gt;0,N(S266)&lt;=0.004),"✓ "&amp;'Calc base'!G$6&amp;"   ","")&amp;IF(AND(N(U265)&gt;0,N(U266)&lt;=0.004),"✓ "&amp;'Calc base'!H$6&amp;"   ","")&amp;IF(AND(N(W265)&gt;0,N(W266)&lt;=0.004),"✓ "&amp;'Calc base'!I$6&amp;"   ","")&amp;IF(AND(N(Y265)&gt;0,N(Y266)&lt;=0.004),"✓ "&amp;'Calc base'!J$6&amp;"   ","")&amp;IF(AND(N(AA265)&gt;0,N(AA266)&lt;=0.004),"✓ "&amp;'Calc base'!K$6&amp;"   ","")&amp;IF(AND(N(AC265)&gt;0,N(AC266)&lt;=0.004),"✓ "&amp;'Calc base'!L$6&amp;"   ","")&amp;IF(AND(N(AE265)&gt;0,N(AE266)&lt;=0.004),"✓ "&amp;'Calc base'!M$6&amp;"   ","")&amp;IF(AND(N(AG265)&gt;0,N(AG266)&lt;=0.004),"✓ "&amp;'Calc base'!N$6&amp;"   ","")))</f>
        <v/>
      </c>
      <c r="J266" s="70" t="str">
        <f>IF($A266="","",ROUND(N(K265)*(1+'Calc base'!H289),2)-K266)</f>
        <v/>
      </c>
      <c r="K266" s="75" t="str">
        <f>IF($A266="","",CHOOSE('Calc riepilogo'!$B$2,'Calc valanga'!AT289,'Calc palla di neve'!AT289,'Calc personalizzata'!AT289))</f>
        <v/>
      </c>
      <c r="L266" s="70" t="str">
        <f>IF($A266="","",ROUND(N(M265)*(1+'Calc base'!I289),2)-M266)</f>
        <v/>
      </c>
      <c r="M266" s="75" t="str">
        <f>IF($A266="","",CHOOSE('Calc riepilogo'!$B$2,'Calc valanga'!AU289,'Calc palla di neve'!AU289,'Calc personalizzata'!AU289))</f>
        <v/>
      </c>
      <c r="N266" s="70" t="str">
        <f>IF($A266="","",ROUND(N(O265)*(1+'Calc base'!J289),2)-O266)</f>
        <v/>
      </c>
      <c r="O266" s="75" t="str">
        <f>IF($A266="","",CHOOSE('Calc riepilogo'!$B$2,'Calc valanga'!AV289,'Calc palla di neve'!AV289,'Calc personalizzata'!AV289))</f>
        <v/>
      </c>
      <c r="P266" s="70" t="str">
        <f>IF($A266="","",ROUND(N(Q265)*(1+'Calc base'!K289),2)-Q266)</f>
        <v/>
      </c>
      <c r="Q266" s="75" t="str">
        <f>IF($A266="","",CHOOSE('Calc riepilogo'!$B$2,'Calc valanga'!AW289,'Calc palla di neve'!AW289,'Calc personalizzata'!AW289))</f>
        <v/>
      </c>
      <c r="R266" s="70" t="str">
        <f>IF($A266="","",ROUND(N(S265)*(1+'Calc base'!L289),2)-S266)</f>
        <v/>
      </c>
      <c r="S266" s="75" t="str">
        <f>IF($A266="","",CHOOSE('Calc riepilogo'!$B$2,'Calc valanga'!AX289,'Calc palla di neve'!AX289,'Calc personalizzata'!AX289))</f>
        <v/>
      </c>
      <c r="T266" s="70" t="str">
        <f>IF($A266="","",ROUND(N(U265)*(1+'Calc base'!M289),2)-U266)</f>
        <v/>
      </c>
      <c r="U266" s="75" t="str">
        <f>IF($A266="","",CHOOSE('Calc riepilogo'!$B$2,'Calc valanga'!AY289,'Calc palla di neve'!AY289,'Calc personalizzata'!AY289))</f>
        <v/>
      </c>
      <c r="V266" s="70" t="str">
        <f>IF($A266="","",ROUND(N(W265)*(1+'Calc base'!N289),2)-W266)</f>
        <v/>
      </c>
      <c r="W266" s="75" t="str">
        <f>IF($A266="","",CHOOSE('Calc riepilogo'!$B$2,'Calc valanga'!AZ289,'Calc palla di neve'!AZ289,'Calc personalizzata'!AZ289))</f>
        <v/>
      </c>
      <c r="X266" s="70" t="str">
        <f>IF($A266="","",ROUND(N(Y265)*(1+'Calc base'!O289),2)-Y266)</f>
        <v/>
      </c>
      <c r="Y266" s="75" t="str">
        <f>IF($A266="","",CHOOSE('Calc riepilogo'!$B$2,'Calc valanga'!BA289,'Calc palla di neve'!BA289,'Calc personalizzata'!BA289))</f>
        <v/>
      </c>
      <c r="Z266" s="70" t="str">
        <f>IF($A266="","",ROUND(N(AA265)*(1+'Calc base'!P289),2)-AA266)</f>
        <v/>
      </c>
      <c r="AA266" s="75" t="str">
        <f>IF($A266="","",CHOOSE('Calc riepilogo'!$B$2,'Calc valanga'!BB289,'Calc palla di neve'!BB289,'Calc personalizzata'!BB289))</f>
        <v/>
      </c>
      <c r="AB266" s="70" t="str">
        <f>IF($A266="","",ROUND(N(AC265)*(1+'Calc base'!Q289),2)-AC266)</f>
        <v/>
      </c>
      <c r="AC266" s="75" t="str">
        <f>IF($A266="","",CHOOSE('Calc riepilogo'!$B$2,'Calc valanga'!BC289,'Calc palla di neve'!BC289,'Calc personalizzata'!BC289))</f>
        <v/>
      </c>
      <c r="AD266" s="70" t="str">
        <f>IF($A266="","",ROUND(N(AE265)*(1+'Calc base'!R289),2)-AE266)</f>
        <v/>
      </c>
      <c r="AE266" s="75" t="str">
        <f>IF($A266="","",CHOOSE('Calc riepilogo'!$B$2,'Calc valanga'!BD289,'Calc palla di neve'!BD289,'Calc personalizzata'!BD289))</f>
        <v/>
      </c>
      <c r="AF266" s="70" t="str">
        <f>IF($A266="","",ROUND(N(AG265)*(1+'Calc base'!S289),2)-AG266)</f>
        <v/>
      </c>
      <c r="AG266" s="75" t="str">
        <f>IF($A266="","",CHOOSE('Calc riepilogo'!$B$2,'Calc valanga'!BE289,'Calc palla di neve'!BE289,'Calc personalizzata'!BE289))</f>
        <v/>
      </c>
      <c r="AI266" t="n">
        <v>259</v>
      </c>
    </row>
    <row r="267">
      <c r="A267" s="68" t="str">
        <f>IF(260&gt;'Calc riepilogo'!$B$7,"",'Calc base'!$B290)</f>
        <v/>
      </c>
      <c r="B267" s="69" t="str">
        <f>IF($A267="","",'Calc base'!$C290)</f>
        <v/>
      </c>
      <c r="C267" s="69" t="str">
        <f>IF($A267="","",'Calc base'!$E290)</f>
        <v/>
      </c>
      <c r="D267" s="70" t="str">
        <f>IF($A267="","",J267+L267+N267+P267+R267+T267+V267+X267+Z267+AB267+AD267+AF267)</f>
        <v/>
      </c>
      <c r="E267" s="70" t="str">
        <f>IF($A267="","",CHOOSE('Calc riepilogo'!$B$2,'Calc valanga'!$H290,'Calc palla di neve'!$H290,'Calc personalizzata'!$H290))</f>
        <v/>
      </c>
      <c r="F267" s="71" t="str">
        <f>IF($A267="","",CHOOSE('Calc riepilogo'!$B$2,'Calc valanga'!$G290,'Calc palla di neve'!$G290,'Calc personalizzata'!$G290))</f>
        <v/>
      </c>
      <c r="G267" s="72" t="n"/>
      <c r="H267" s="73" t="n"/>
      <c r="I267" s="74" t="str">
        <f>IF($A267="","",TRIM(IF(AND(N(K266)&gt;0,N(K267)&lt;=0.004),"✓ "&amp;'Calc base'!C$6&amp;"   ","")&amp;IF(AND(N(M266)&gt;0,N(M267)&lt;=0.004),"✓ "&amp;'Calc base'!D$6&amp;"   ","")&amp;IF(AND(N(O266)&gt;0,N(O267)&lt;=0.004),"✓ "&amp;'Calc base'!E$6&amp;"   ","")&amp;IF(AND(N(Q266)&gt;0,N(Q267)&lt;=0.004),"✓ "&amp;'Calc base'!F$6&amp;"   ","")&amp;IF(AND(N(S266)&gt;0,N(S267)&lt;=0.004),"✓ "&amp;'Calc base'!G$6&amp;"   ","")&amp;IF(AND(N(U266)&gt;0,N(U267)&lt;=0.004),"✓ "&amp;'Calc base'!H$6&amp;"   ","")&amp;IF(AND(N(W266)&gt;0,N(W267)&lt;=0.004),"✓ "&amp;'Calc base'!I$6&amp;"   ","")&amp;IF(AND(N(Y266)&gt;0,N(Y267)&lt;=0.004),"✓ "&amp;'Calc base'!J$6&amp;"   ","")&amp;IF(AND(N(AA266)&gt;0,N(AA267)&lt;=0.004),"✓ "&amp;'Calc base'!K$6&amp;"   ","")&amp;IF(AND(N(AC266)&gt;0,N(AC267)&lt;=0.004),"✓ "&amp;'Calc base'!L$6&amp;"   ","")&amp;IF(AND(N(AE266)&gt;0,N(AE267)&lt;=0.004),"✓ "&amp;'Calc base'!M$6&amp;"   ","")&amp;IF(AND(N(AG266)&gt;0,N(AG267)&lt;=0.004),"✓ "&amp;'Calc base'!N$6&amp;"   ","")))</f>
        <v/>
      </c>
      <c r="J267" s="70" t="str">
        <f>IF($A267="","",ROUND(N(K266)*(1+'Calc base'!H290),2)-K267)</f>
        <v/>
      </c>
      <c r="K267" s="75" t="str">
        <f>IF($A267="","",CHOOSE('Calc riepilogo'!$B$2,'Calc valanga'!AT290,'Calc palla di neve'!AT290,'Calc personalizzata'!AT290))</f>
        <v/>
      </c>
      <c r="L267" s="70" t="str">
        <f>IF($A267="","",ROUND(N(M266)*(1+'Calc base'!I290),2)-M267)</f>
        <v/>
      </c>
      <c r="M267" s="75" t="str">
        <f>IF($A267="","",CHOOSE('Calc riepilogo'!$B$2,'Calc valanga'!AU290,'Calc palla di neve'!AU290,'Calc personalizzata'!AU290))</f>
        <v/>
      </c>
      <c r="N267" s="70" t="str">
        <f>IF($A267="","",ROUND(N(O266)*(1+'Calc base'!J290),2)-O267)</f>
        <v/>
      </c>
      <c r="O267" s="75" t="str">
        <f>IF($A267="","",CHOOSE('Calc riepilogo'!$B$2,'Calc valanga'!AV290,'Calc palla di neve'!AV290,'Calc personalizzata'!AV290))</f>
        <v/>
      </c>
      <c r="P267" s="70" t="str">
        <f>IF($A267="","",ROUND(N(Q266)*(1+'Calc base'!K290),2)-Q267)</f>
        <v/>
      </c>
      <c r="Q267" s="75" t="str">
        <f>IF($A267="","",CHOOSE('Calc riepilogo'!$B$2,'Calc valanga'!AW290,'Calc palla di neve'!AW290,'Calc personalizzata'!AW290))</f>
        <v/>
      </c>
      <c r="R267" s="70" t="str">
        <f>IF($A267="","",ROUND(N(S266)*(1+'Calc base'!L290),2)-S267)</f>
        <v/>
      </c>
      <c r="S267" s="75" t="str">
        <f>IF($A267="","",CHOOSE('Calc riepilogo'!$B$2,'Calc valanga'!AX290,'Calc palla di neve'!AX290,'Calc personalizzata'!AX290))</f>
        <v/>
      </c>
      <c r="T267" s="70" t="str">
        <f>IF($A267="","",ROUND(N(U266)*(1+'Calc base'!M290),2)-U267)</f>
        <v/>
      </c>
      <c r="U267" s="75" t="str">
        <f>IF($A267="","",CHOOSE('Calc riepilogo'!$B$2,'Calc valanga'!AY290,'Calc palla di neve'!AY290,'Calc personalizzata'!AY290))</f>
        <v/>
      </c>
      <c r="V267" s="70" t="str">
        <f>IF($A267="","",ROUND(N(W266)*(1+'Calc base'!N290),2)-W267)</f>
        <v/>
      </c>
      <c r="W267" s="75" t="str">
        <f>IF($A267="","",CHOOSE('Calc riepilogo'!$B$2,'Calc valanga'!AZ290,'Calc palla di neve'!AZ290,'Calc personalizzata'!AZ290))</f>
        <v/>
      </c>
      <c r="X267" s="70" t="str">
        <f>IF($A267="","",ROUND(N(Y266)*(1+'Calc base'!O290),2)-Y267)</f>
        <v/>
      </c>
      <c r="Y267" s="75" t="str">
        <f>IF($A267="","",CHOOSE('Calc riepilogo'!$B$2,'Calc valanga'!BA290,'Calc palla di neve'!BA290,'Calc personalizzata'!BA290))</f>
        <v/>
      </c>
      <c r="Z267" s="70" t="str">
        <f>IF($A267="","",ROUND(N(AA266)*(1+'Calc base'!P290),2)-AA267)</f>
        <v/>
      </c>
      <c r="AA267" s="75" t="str">
        <f>IF($A267="","",CHOOSE('Calc riepilogo'!$B$2,'Calc valanga'!BB290,'Calc palla di neve'!BB290,'Calc personalizzata'!BB290))</f>
        <v/>
      </c>
      <c r="AB267" s="70" t="str">
        <f>IF($A267="","",ROUND(N(AC266)*(1+'Calc base'!Q290),2)-AC267)</f>
        <v/>
      </c>
      <c r="AC267" s="75" t="str">
        <f>IF($A267="","",CHOOSE('Calc riepilogo'!$B$2,'Calc valanga'!BC290,'Calc palla di neve'!BC290,'Calc personalizzata'!BC290))</f>
        <v/>
      </c>
      <c r="AD267" s="70" t="str">
        <f>IF($A267="","",ROUND(N(AE266)*(1+'Calc base'!R290),2)-AE267)</f>
        <v/>
      </c>
      <c r="AE267" s="75" t="str">
        <f>IF($A267="","",CHOOSE('Calc riepilogo'!$B$2,'Calc valanga'!BD290,'Calc palla di neve'!BD290,'Calc personalizzata'!BD290))</f>
        <v/>
      </c>
      <c r="AF267" s="70" t="str">
        <f>IF($A267="","",ROUND(N(AG266)*(1+'Calc base'!S290),2)-AG267)</f>
        <v/>
      </c>
      <c r="AG267" s="75" t="str">
        <f>IF($A267="","",CHOOSE('Calc riepilogo'!$B$2,'Calc valanga'!BE290,'Calc palla di neve'!BE290,'Calc personalizzata'!BE290))</f>
        <v/>
      </c>
      <c r="AI267" t="n">
        <v>260</v>
      </c>
    </row>
    <row r="268">
      <c r="A268" s="68" t="str">
        <f>IF(261&gt;'Calc riepilogo'!$B$7,"",'Calc base'!$B291)</f>
        <v/>
      </c>
      <c r="B268" s="69" t="str">
        <f>IF($A268="","",'Calc base'!$C291)</f>
        <v/>
      </c>
      <c r="C268" s="69" t="str">
        <f>IF($A268="","",'Calc base'!$E291)</f>
        <v/>
      </c>
      <c r="D268" s="70" t="str">
        <f>IF($A268="","",J268+L268+N268+P268+R268+T268+V268+X268+Z268+AB268+AD268+AF268)</f>
        <v/>
      </c>
      <c r="E268" s="70" t="str">
        <f>IF($A268="","",CHOOSE('Calc riepilogo'!$B$2,'Calc valanga'!$H291,'Calc palla di neve'!$H291,'Calc personalizzata'!$H291))</f>
        <v/>
      </c>
      <c r="F268" s="71" t="str">
        <f>IF($A268="","",CHOOSE('Calc riepilogo'!$B$2,'Calc valanga'!$G291,'Calc palla di neve'!$G291,'Calc personalizzata'!$G291))</f>
        <v/>
      </c>
      <c r="G268" s="72" t="n"/>
      <c r="H268" s="73" t="n"/>
      <c r="I268" s="74" t="str">
        <f>IF($A268="","",TRIM(IF(AND(N(K267)&gt;0,N(K268)&lt;=0.004),"✓ "&amp;'Calc base'!C$6&amp;"   ","")&amp;IF(AND(N(M267)&gt;0,N(M268)&lt;=0.004),"✓ "&amp;'Calc base'!D$6&amp;"   ","")&amp;IF(AND(N(O267)&gt;0,N(O268)&lt;=0.004),"✓ "&amp;'Calc base'!E$6&amp;"   ","")&amp;IF(AND(N(Q267)&gt;0,N(Q268)&lt;=0.004),"✓ "&amp;'Calc base'!F$6&amp;"   ","")&amp;IF(AND(N(S267)&gt;0,N(S268)&lt;=0.004),"✓ "&amp;'Calc base'!G$6&amp;"   ","")&amp;IF(AND(N(U267)&gt;0,N(U268)&lt;=0.004),"✓ "&amp;'Calc base'!H$6&amp;"   ","")&amp;IF(AND(N(W267)&gt;0,N(W268)&lt;=0.004),"✓ "&amp;'Calc base'!I$6&amp;"   ","")&amp;IF(AND(N(Y267)&gt;0,N(Y268)&lt;=0.004),"✓ "&amp;'Calc base'!J$6&amp;"   ","")&amp;IF(AND(N(AA267)&gt;0,N(AA268)&lt;=0.004),"✓ "&amp;'Calc base'!K$6&amp;"   ","")&amp;IF(AND(N(AC267)&gt;0,N(AC268)&lt;=0.004),"✓ "&amp;'Calc base'!L$6&amp;"   ","")&amp;IF(AND(N(AE267)&gt;0,N(AE268)&lt;=0.004),"✓ "&amp;'Calc base'!M$6&amp;"   ","")&amp;IF(AND(N(AG267)&gt;0,N(AG268)&lt;=0.004),"✓ "&amp;'Calc base'!N$6&amp;"   ","")))</f>
        <v/>
      </c>
      <c r="J268" s="70" t="str">
        <f>IF($A268="","",ROUND(N(K267)*(1+'Calc base'!H291),2)-K268)</f>
        <v/>
      </c>
      <c r="K268" s="75" t="str">
        <f>IF($A268="","",CHOOSE('Calc riepilogo'!$B$2,'Calc valanga'!AT291,'Calc palla di neve'!AT291,'Calc personalizzata'!AT291))</f>
        <v/>
      </c>
      <c r="L268" s="70" t="str">
        <f>IF($A268="","",ROUND(N(M267)*(1+'Calc base'!I291),2)-M268)</f>
        <v/>
      </c>
      <c r="M268" s="75" t="str">
        <f>IF($A268="","",CHOOSE('Calc riepilogo'!$B$2,'Calc valanga'!AU291,'Calc palla di neve'!AU291,'Calc personalizzata'!AU291))</f>
        <v/>
      </c>
      <c r="N268" s="70" t="str">
        <f>IF($A268="","",ROUND(N(O267)*(1+'Calc base'!J291),2)-O268)</f>
        <v/>
      </c>
      <c r="O268" s="75" t="str">
        <f>IF($A268="","",CHOOSE('Calc riepilogo'!$B$2,'Calc valanga'!AV291,'Calc palla di neve'!AV291,'Calc personalizzata'!AV291))</f>
        <v/>
      </c>
      <c r="P268" s="70" t="str">
        <f>IF($A268="","",ROUND(N(Q267)*(1+'Calc base'!K291),2)-Q268)</f>
        <v/>
      </c>
      <c r="Q268" s="75" t="str">
        <f>IF($A268="","",CHOOSE('Calc riepilogo'!$B$2,'Calc valanga'!AW291,'Calc palla di neve'!AW291,'Calc personalizzata'!AW291))</f>
        <v/>
      </c>
      <c r="R268" s="70" t="str">
        <f>IF($A268="","",ROUND(N(S267)*(1+'Calc base'!L291),2)-S268)</f>
        <v/>
      </c>
      <c r="S268" s="75" t="str">
        <f>IF($A268="","",CHOOSE('Calc riepilogo'!$B$2,'Calc valanga'!AX291,'Calc palla di neve'!AX291,'Calc personalizzata'!AX291))</f>
        <v/>
      </c>
      <c r="T268" s="70" t="str">
        <f>IF($A268="","",ROUND(N(U267)*(1+'Calc base'!M291),2)-U268)</f>
        <v/>
      </c>
      <c r="U268" s="75" t="str">
        <f>IF($A268="","",CHOOSE('Calc riepilogo'!$B$2,'Calc valanga'!AY291,'Calc palla di neve'!AY291,'Calc personalizzata'!AY291))</f>
        <v/>
      </c>
      <c r="V268" s="70" t="str">
        <f>IF($A268="","",ROUND(N(W267)*(1+'Calc base'!N291),2)-W268)</f>
        <v/>
      </c>
      <c r="W268" s="75" t="str">
        <f>IF($A268="","",CHOOSE('Calc riepilogo'!$B$2,'Calc valanga'!AZ291,'Calc palla di neve'!AZ291,'Calc personalizzata'!AZ291))</f>
        <v/>
      </c>
      <c r="X268" s="70" t="str">
        <f>IF($A268="","",ROUND(N(Y267)*(1+'Calc base'!O291),2)-Y268)</f>
        <v/>
      </c>
      <c r="Y268" s="75" t="str">
        <f>IF($A268="","",CHOOSE('Calc riepilogo'!$B$2,'Calc valanga'!BA291,'Calc palla di neve'!BA291,'Calc personalizzata'!BA291))</f>
        <v/>
      </c>
      <c r="Z268" s="70" t="str">
        <f>IF($A268="","",ROUND(N(AA267)*(1+'Calc base'!P291),2)-AA268)</f>
        <v/>
      </c>
      <c r="AA268" s="75" t="str">
        <f>IF($A268="","",CHOOSE('Calc riepilogo'!$B$2,'Calc valanga'!BB291,'Calc palla di neve'!BB291,'Calc personalizzata'!BB291))</f>
        <v/>
      </c>
      <c r="AB268" s="70" t="str">
        <f>IF($A268="","",ROUND(N(AC267)*(1+'Calc base'!Q291),2)-AC268)</f>
        <v/>
      </c>
      <c r="AC268" s="75" t="str">
        <f>IF($A268="","",CHOOSE('Calc riepilogo'!$B$2,'Calc valanga'!BC291,'Calc palla di neve'!BC291,'Calc personalizzata'!BC291))</f>
        <v/>
      </c>
      <c r="AD268" s="70" t="str">
        <f>IF($A268="","",ROUND(N(AE267)*(1+'Calc base'!R291),2)-AE268)</f>
        <v/>
      </c>
      <c r="AE268" s="75" t="str">
        <f>IF($A268="","",CHOOSE('Calc riepilogo'!$B$2,'Calc valanga'!BD291,'Calc palla di neve'!BD291,'Calc personalizzata'!BD291))</f>
        <v/>
      </c>
      <c r="AF268" s="70" t="str">
        <f>IF($A268="","",ROUND(N(AG267)*(1+'Calc base'!S291),2)-AG268)</f>
        <v/>
      </c>
      <c r="AG268" s="75" t="str">
        <f>IF($A268="","",CHOOSE('Calc riepilogo'!$B$2,'Calc valanga'!BE291,'Calc palla di neve'!BE291,'Calc personalizzata'!BE291))</f>
        <v/>
      </c>
      <c r="AI268" t="n">
        <v>261</v>
      </c>
    </row>
    <row r="269">
      <c r="A269" s="68" t="str">
        <f>IF(262&gt;'Calc riepilogo'!$B$7,"",'Calc base'!$B292)</f>
        <v/>
      </c>
      <c r="B269" s="69" t="str">
        <f>IF($A269="","",'Calc base'!$C292)</f>
        <v/>
      </c>
      <c r="C269" s="69" t="str">
        <f>IF($A269="","",'Calc base'!$E292)</f>
        <v/>
      </c>
      <c r="D269" s="70" t="str">
        <f>IF($A269="","",J269+L269+N269+P269+R269+T269+V269+X269+Z269+AB269+AD269+AF269)</f>
        <v/>
      </c>
      <c r="E269" s="70" t="str">
        <f>IF($A269="","",CHOOSE('Calc riepilogo'!$B$2,'Calc valanga'!$H292,'Calc palla di neve'!$H292,'Calc personalizzata'!$H292))</f>
        <v/>
      </c>
      <c r="F269" s="71" t="str">
        <f>IF($A269="","",CHOOSE('Calc riepilogo'!$B$2,'Calc valanga'!$G292,'Calc palla di neve'!$G292,'Calc personalizzata'!$G292))</f>
        <v/>
      </c>
      <c r="G269" s="72" t="n"/>
      <c r="H269" s="73" t="n"/>
      <c r="I269" s="74" t="str">
        <f>IF($A269="","",TRIM(IF(AND(N(K268)&gt;0,N(K269)&lt;=0.004),"✓ "&amp;'Calc base'!C$6&amp;"   ","")&amp;IF(AND(N(M268)&gt;0,N(M269)&lt;=0.004),"✓ "&amp;'Calc base'!D$6&amp;"   ","")&amp;IF(AND(N(O268)&gt;0,N(O269)&lt;=0.004),"✓ "&amp;'Calc base'!E$6&amp;"   ","")&amp;IF(AND(N(Q268)&gt;0,N(Q269)&lt;=0.004),"✓ "&amp;'Calc base'!F$6&amp;"   ","")&amp;IF(AND(N(S268)&gt;0,N(S269)&lt;=0.004),"✓ "&amp;'Calc base'!G$6&amp;"   ","")&amp;IF(AND(N(U268)&gt;0,N(U269)&lt;=0.004),"✓ "&amp;'Calc base'!H$6&amp;"   ","")&amp;IF(AND(N(W268)&gt;0,N(W269)&lt;=0.004),"✓ "&amp;'Calc base'!I$6&amp;"   ","")&amp;IF(AND(N(Y268)&gt;0,N(Y269)&lt;=0.004),"✓ "&amp;'Calc base'!J$6&amp;"   ","")&amp;IF(AND(N(AA268)&gt;0,N(AA269)&lt;=0.004),"✓ "&amp;'Calc base'!K$6&amp;"   ","")&amp;IF(AND(N(AC268)&gt;0,N(AC269)&lt;=0.004),"✓ "&amp;'Calc base'!L$6&amp;"   ","")&amp;IF(AND(N(AE268)&gt;0,N(AE269)&lt;=0.004),"✓ "&amp;'Calc base'!M$6&amp;"   ","")&amp;IF(AND(N(AG268)&gt;0,N(AG269)&lt;=0.004),"✓ "&amp;'Calc base'!N$6&amp;"   ","")))</f>
        <v/>
      </c>
      <c r="J269" s="70" t="str">
        <f>IF($A269="","",ROUND(N(K268)*(1+'Calc base'!H292),2)-K269)</f>
        <v/>
      </c>
      <c r="K269" s="75" t="str">
        <f>IF($A269="","",CHOOSE('Calc riepilogo'!$B$2,'Calc valanga'!AT292,'Calc palla di neve'!AT292,'Calc personalizzata'!AT292))</f>
        <v/>
      </c>
      <c r="L269" s="70" t="str">
        <f>IF($A269="","",ROUND(N(M268)*(1+'Calc base'!I292),2)-M269)</f>
        <v/>
      </c>
      <c r="M269" s="75" t="str">
        <f>IF($A269="","",CHOOSE('Calc riepilogo'!$B$2,'Calc valanga'!AU292,'Calc palla di neve'!AU292,'Calc personalizzata'!AU292))</f>
        <v/>
      </c>
      <c r="N269" s="70" t="str">
        <f>IF($A269="","",ROUND(N(O268)*(1+'Calc base'!J292),2)-O269)</f>
        <v/>
      </c>
      <c r="O269" s="75" t="str">
        <f>IF($A269="","",CHOOSE('Calc riepilogo'!$B$2,'Calc valanga'!AV292,'Calc palla di neve'!AV292,'Calc personalizzata'!AV292))</f>
        <v/>
      </c>
      <c r="P269" s="70" t="str">
        <f>IF($A269="","",ROUND(N(Q268)*(1+'Calc base'!K292),2)-Q269)</f>
        <v/>
      </c>
      <c r="Q269" s="75" t="str">
        <f>IF($A269="","",CHOOSE('Calc riepilogo'!$B$2,'Calc valanga'!AW292,'Calc palla di neve'!AW292,'Calc personalizzata'!AW292))</f>
        <v/>
      </c>
      <c r="R269" s="70" t="str">
        <f>IF($A269="","",ROUND(N(S268)*(1+'Calc base'!L292),2)-S269)</f>
        <v/>
      </c>
      <c r="S269" s="75" t="str">
        <f>IF($A269="","",CHOOSE('Calc riepilogo'!$B$2,'Calc valanga'!AX292,'Calc palla di neve'!AX292,'Calc personalizzata'!AX292))</f>
        <v/>
      </c>
      <c r="T269" s="70" t="str">
        <f>IF($A269="","",ROUND(N(U268)*(1+'Calc base'!M292),2)-U269)</f>
        <v/>
      </c>
      <c r="U269" s="75" t="str">
        <f>IF($A269="","",CHOOSE('Calc riepilogo'!$B$2,'Calc valanga'!AY292,'Calc palla di neve'!AY292,'Calc personalizzata'!AY292))</f>
        <v/>
      </c>
      <c r="V269" s="70" t="str">
        <f>IF($A269="","",ROUND(N(W268)*(1+'Calc base'!N292),2)-W269)</f>
        <v/>
      </c>
      <c r="W269" s="75" t="str">
        <f>IF($A269="","",CHOOSE('Calc riepilogo'!$B$2,'Calc valanga'!AZ292,'Calc palla di neve'!AZ292,'Calc personalizzata'!AZ292))</f>
        <v/>
      </c>
      <c r="X269" s="70" t="str">
        <f>IF($A269="","",ROUND(N(Y268)*(1+'Calc base'!O292),2)-Y269)</f>
        <v/>
      </c>
      <c r="Y269" s="75" t="str">
        <f>IF($A269="","",CHOOSE('Calc riepilogo'!$B$2,'Calc valanga'!BA292,'Calc palla di neve'!BA292,'Calc personalizzata'!BA292))</f>
        <v/>
      </c>
      <c r="Z269" s="70" t="str">
        <f>IF($A269="","",ROUND(N(AA268)*(1+'Calc base'!P292),2)-AA269)</f>
        <v/>
      </c>
      <c r="AA269" s="75" t="str">
        <f>IF($A269="","",CHOOSE('Calc riepilogo'!$B$2,'Calc valanga'!BB292,'Calc palla di neve'!BB292,'Calc personalizzata'!BB292))</f>
        <v/>
      </c>
      <c r="AB269" s="70" t="str">
        <f>IF($A269="","",ROUND(N(AC268)*(1+'Calc base'!Q292),2)-AC269)</f>
        <v/>
      </c>
      <c r="AC269" s="75" t="str">
        <f>IF($A269="","",CHOOSE('Calc riepilogo'!$B$2,'Calc valanga'!BC292,'Calc palla di neve'!BC292,'Calc personalizzata'!BC292))</f>
        <v/>
      </c>
      <c r="AD269" s="70" t="str">
        <f>IF($A269="","",ROUND(N(AE268)*(1+'Calc base'!R292),2)-AE269)</f>
        <v/>
      </c>
      <c r="AE269" s="75" t="str">
        <f>IF($A269="","",CHOOSE('Calc riepilogo'!$B$2,'Calc valanga'!BD292,'Calc palla di neve'!BD292,'Calc personalizzata'!BD292))</f>
        <v/>
      </c>
      <c r="AF269" s="70" t="str">
        <f>IF($A269="","",ROUND(N(AG268)*(1+'Calc base'!S292),2)-AG269)</f>
        <v/>
      </c>
      <c r="AG269" s="75" t="str">
        <f>IF($A269="","",CHOOSE('Calc riepilogo'!$B$2,'Calc valanga'!BE292,'Calc palla di neve'!BE292,'Calc personalizzata'!BE292))</f>
        <v/>
      </c>
      <c r="AI269" t="n">
        <v>262</v>
      </c>
    </row>
    <row r="270">
      <c r="A270" s="68" t="str">
        <f>IF(263&gt;'Calc riepilogo'!$B$7,"",'Calc base'!$B293)</f>
        <v/>
      </c>
      <c r="B270" s="69" t="str">
        <f>IF($A270="","",'Calc base'!$C293)</f>
        <v/>
      </c>
      <c r="C270" s="69" t="str">
        <f>IF($A270="","",'Calc base'!$E293)</f>
        <v/>
      </c>
      <c r="D270" s="70" t="str">
        <f>IF($A270="","",J270+L270+N270+P270+R270+T270+V270+X270+Z270+AB270+AD270+AF270)</f>
        <v/>
      </c>
      <c r="E270" s="70" t="str">
        <f>IF($A270="","",CHOOSE('Calc riepilogo'!$B$2,'Calc valanga'!$H293,'Calc palla di neve'!$H293,'Calc personalizzata'!$H293))</f>
        <v/>
      </c>
      <c r="F270" s="71" t="str">
        <f>IF($A270="","",CHOOSE('Calc riepilogo'!$B$2,'Calc valanga'!$G293,'Calc palla di neve'!$G293,'Calc personalizzata'!$G293))</f>
        <v/>
      </c>
      <c r="G270" s="72" t="n"/>
      <c r="H270" s="73" t="n"/>
      <c r="I270" s="74" t="str">
        <f>IF($A270="","",TRIM(IF(AND(N(K269)&gt;0,N(K270)&lt;=0.004),"✓ "&amp;'Calc base'!C$6&amp;"   ","")&amp;IF(AND(N(M269)&gt;0,N(M270)&lt;=0.004),"✓ "&amp;'Calc base'!D$6&amp;"   ","")&amp;IF(AND(N(O269)&gt;0,N(O270)&lt;=0.004),"✓ "&amp;'Calc base'!E$6&amp;"   ","")&amp;IF(AND(N(Q269)&gt;0,N(Q270)&lt;=0.004),"✓ "&amp;'Calc base'!F$6&amp;"   ","")&amp;IF(AND(N(S269)&gt;0,N(S270)&lt;=0.004),"✓ "&amp;'Calc base'!G$6&amp;"   ","")&amp;IF(AND(N(U269)&gt;0,N(U270)&lt;=0.004),"✓ "&amp;'Calc base'!H$6&amp;"   ","")&amp;IF(AND(N(W269)&gt;0,N(W270)&lt;=0.004),"✓ "&amp;'Calc base'!I$6&amp;"   ","")&amp;IF(AND(N(Y269)&gt;0,N(Y270)&lt;=0.004),"✓ "&amp;'Calc base'!J$6&amp;"   ","")&amp;IF(AND(N(AA269)&gt;0,N(AA270)&lt;=0.004),"✓ "&amp;'Calc base'!K$6&amp;"   ","")&amp;IF(AND(N(AC269)&gt;0,N(AC270)&lt;=0.004),"✓ "&amp;'Calc base'!L$6&amp;"   ","")&amp;IF(AND(N(AE269)&gt;0,N(AE270)&lt;=0.004),"✓ "&amp;'Calc base'!M$6&amp;"   ","")&amp;IF(AND(N(AG269)&gt;0,N(AG270)&lt;=0.004),"✓ "&amp;'Calc base'!N$6&amp;"   ","")))</f>
        <v/>
      </c>
      <c r="J270" s="70" t="str">
        <f>IF($A270="","",ROUND(N(K269)*(1+'Calc base'!H293),2)-K270)</f>
        <v/>
      </c>
      <c r="K270" s="75" t="str">
        <f>IF($A270="","",CHOOSE('Calc riepilogo'!$B$2,'Calc valanga'!AT293,'Calc palla di neve'!AT293,'Calc personalizzata'!AT293))</f>
        <v/>
      </c>
      <c r="L270" s="70" t="str">
        <f>IF($A270="","",ROUND(N(M269)*(1+'Calc base'!I293),2)-M270)</f>
        <v/>
      </c>
      <c r="M270" s="75" t="str">
        <f>IF($A270="","",CHOOSE('Calc riepilogo'!$B$2,'Calc valanga'!AU293,'Calc palla di neve'!AU293,'Calc personalizzata'!AU293))</f>
        <v/>
      </c>
      <c r="N270" s="70" t="str">
        <f>IF($A270="","",ROUND(N(O269)*(1+'Calc base'!J293),2)-O270)</f>
        <v/>
      </c>
      <c r="O270" s="75" t="str">
        <f>IF($A270="","",CHOOSE('Calc riepilogo'!$B$2,'Calc valanga'!AV293,'Calc palla di neve'!AV293,'Calc personalizzata'!AV293))</f>
        <v/>
      </c>
      <c r="P270" s="70" t="str">
        <f>IF($A270="","",ROUND(N(Q269)*(1+'Calc base'!K293),2)-Q270)</f>
        <v/>
      </c>
      <c r="Q270" s="75" t="str">
        <f>IF($A270="","",CHOOSE('Calc riepilogo'!$B$2,'Calc valanga'!AW293,'Calc palla di neve'!AW293,'Calc personalizzata'!AW293))</f>
        <v/>
      </c>
      <c r="R270" s="70" t="str">
        <f>IF($A270="","",ROUND(N(S269)*(1+'Calc base'!L293),2)-S270)</f>
        <v/>
      </c>
      <c r="S270" s="75" t="str">
        <f>IF($A270="","",CHOOSE('Calc riepilogo'!$B$2,'Calc valanga'!AX293,'Calc palla di neve'!AX293,'Calc personalizzata'!AX293))</f>
        <v/>
      </c>
      <c r="T270" s="70" t="str">
        <f>IF($A270="","",ROUND(N(U269)*(1+'Calc base'!M293),2)-U270)</f>
        <v/>
      </c>
      <c r="U270" s="75" t="str">
        <f>IF($A270="","",CHOOSE('Calc riepilogo'!$B$2,'Calc valanga'!AY293,'Calc palla di neve'!AY293,'Calc personalizzata'!AY293))</f>
        <v/>
      </c>
      <c r="V270" s="70" t="str">
        <f>IF($A270="","",ROUND(N(W269)*(1+'Calc base'!N293),2)-W270)</f>
        <v/>
      </c>
      <c r="W270" s="75" t="str">
        <f>IF($A270="","",CHOOSE('Calc riepilogo'!$B$2,'Calc valanga'!AZ293,'Calc palla di neve'!AZ293,'Calc personalizzata'!AZ293))</f>
        <v/>
      </c>
      <c r="X270" s="70" t="str">
        <f>IF($A270="","",ROUND(N(Y269)*(1+'Calc base'!O293),2)-Y270)</f>
        <v/>
      </c>
      <c r="Y270" s="75" t="str">
        <f>IF($A270="","",CHOOSE('Calc riepilogo'!$B$2,'Calc valanga'!BA293,'Calc palla di neve'!BA293,'Calc personalizzata'!BA293))</f>
        <v/>
      </c>
      <c r="Z270" s="70" t="str">
        <f>IF($A270="","",ROUND(N(AA269)*(1+'Calc base'!P293),2)-AA270)</f>
        <v/>
      </c>
      <c r="AA270" s="75" t="str">
        <f>IF($A270="","",CHOOSE('Calc riepilogo'!$B$2,'Calc valanga'!BB293,'Calc palla di neve'!BB293,'Calc personalizzata'!BB293))</f>
        <v/>
      </c>
      <c r="AB270" s="70" t="str">
        <f>IF($A270="","",ROUND(N(AC269)*(1+'Calc base'!Q293),2)-AC270)</f>
        <v/>
      </c>
      <c r="AC270" s="75" t="str">
        <f>IF($A270="","",CHOOSE('Calc riepilogo'!$B$2,'Calc valanga'!BC293,'Calc palla di neve'!BC293,'Calc personalizzata'!BC293))</f>
        <v/>
      </c>
      <c r="AD270" s="70" t="str">
        <f>IF($A270="","",ROUND(N(AE269)*(1+'Calc base'!R293),2)-AE270)</f>
        <v/>
      </c>
      <c r="AE270" s="75" t="str">
        <f>IF($A270="","",CHOOSE('Calc riepilogo'!$B$2,'Calc valanga'!BD293,'Calc palla di neve'!BD293,'Calc personalizzata'!BD293))</f>
        <v/>
      </c>
      <c r="AF270" s="70" t="str">
        <f>IF($A270="","",ROUND(N(AG269)*(1+'Calc base'!S293),2)-AG270)</f>
        <v/>
      </c>
      <c r="AG270" s="75" t="str">
        <f>IF($A270="","",CHOOSE('Calc riepilogo'!$B$2,'Calc valanga'!BE293,'Calc palla di neve'!BE293,'Calc personalizzata'!BE293))</f>
        <v/>
      </c>
      <c r="AI270" t="n">
        <v>263</v>
      </c>
    </row>
    <row r="271">
      <c r="A271" s="68" t="str">
        <f>IF(264&gt;'Calc riepilogo'!$B$7,"",'Calc base'!$B294)</f>
        <v/>
      </c>
      <c r="B271" s="69" t="str">
        <f>IF($A271="","",'Calc base'!$C294)</f>
        <v/>
      </c>
      <c r="C271" s="69" t="str">
        <f>IF($A271="","",'Calc base'!$E294)</f>
        <v/>
      </c>
      <c r="D271" s="70" t="str">
        <f>IF($A271="","",J271+L271+N271+P271+R271+T271+V271+X271+Z271+AB271+AD271+AF271)</f>
        <v/>
      </c>
      <c r="E271" s="70" t="str">
        <f>IF($A271="","",CHOOSE('Calc riepilogo'!$B$2,'Calc valanga'!$H294,'Calc palla di neve'!$H294,'Calc personalizzata'!$H294))</f>
        <v/>
      </c>
      <c r="F271" s="71" t="str">
        <f>IF($A271="","",CHOOSE('Calc riepilogo'!$B$2,'Calc valanga'!$G294,'Calc palla di neve'!$G294,'Calc personalizzata'!$G294))</f>
        <v/>
      </c>
      <c r="G271" s="72" t="n"/>
      <c r="H271" s="73" t="n"/>
      <c r="I271" s="74" t="str">
        <f>IF($A271="","",TRIM(IF(AND(N(K270)&gt;0,N(K271)&lt;=0.004),"✓ "&amp;'Calc base'!C$6&amp;"   ","")&amp;IF(AND(N(M270)&gt;0,N(M271)&lt;=0.004),"✓ "&amp;'Calc base'!D$6&amp;"   ","")&amp;IF(AND(N(O270)&gt;0,N(O271)&lt;=0.004),"✓ "&amp;'Calc base'!E$6&amp;"   ","")&amp;IF(AND(N(Q270)&gt;0,N(Q271)&lt;=0.004),"✓ "&amp;'Calc base'!F$6&amp;"   ","")&amp;IF(AND(N(S270)&gt;0,N(S271)&lt;=0.004),"✓ "&amp;'Calc base'!G$6&amp;"   ","")&amp;IF(AND(N(U270)&gt;0,N(U271)&lt;=0.004),"✓ "&amp;'Calc base'!H$6&amp;"   ","")&amp;IF(AND(N(W270)&gt;0,N(W271)&lt;=0.004),"✓ "&amp;'Calc base'!I$6&amp;"   ","")&amp;IF(AND(N(Y270)&gt;0,N(Y271)&lt;=0.004),"✓ "&amp;'Calc base'!J$6&amp;"   ","")&amp;IF(AND(N(AA270)&gt;0,N(AA271)&lt;=0.004),"✓ "&amp;'Calc base'!K$6&amp;"   ","")&amp;IF(AND(N(AC270)&gt;0,N(AC271)&lt;=0.004),"✓ "&amp;'Calc base'!L$6&amp;"   ","")&amp;IF(AND(N(AE270)&gt;0,N(AE271)&lt;=0.004),"✓ "&amp;'Calc base'!M$6&amp;"   ","")&amp;IF(AND(N(AG270)&gt;0,N(AG271)&lt;=0.004),"✓ "&amp;'Calc base'!N$6&amp;"   ","")))</f>
        <v/>
      </c>
      <c r="J271" s="70" t="str">
        <f>IF($A271="","",ROUND(N(K270)*(1+'Calc base'!H294),2)-K271)</f>
        <v/>
      </c>
      <c r="K271" s="75" t="str">
        <f>IF($A271="","",CHOOSE('Calc riepilogo'!$B$2,'Calc valanga'!AT294,'Calc palla di neve'!AT294,'Calc personalizzata'!AT294))</f>
        <v/>
      </c>
      <c r="L271" s="70" t="str">
        <f>IF($A271="","",ROUND(N(M270)*(1+'Calc base'!I294),2)-M271)</f>
        <v/>
      </c>
      <c r="M271" s="75" t="str">
        <f>IF($A271="","",CHOOSE('Calc riepilogo'!$B$2,'Calc valanga'!AU294,'Calc palla di neve'!AU294,'Calc personalizzata'!AU294))</f>
        <v/>
      </c>
      <c r="N271" s="70" t="str">
        <f>IF($A271="","",ROUND(N(O270)*(1+'Calc base'!J294),2)-O271)</f>
        <v/>
      </c>
      <c r="O271" s="75" t="str">
        <f>IF($A271="","",CHOOSE('Calc riepilogo'!$B$2,'Calc valanga'!AV294,'Calc palla di neve'!AV294,'Calc personalizzata'!AV294))</f>
        <v/>
      </c>
      <c r="P271" s="70" t="str">
        <f>IF($A271="","",ROUND(N(Q270)*(1+'Calc base'!K294),2)-Q271)</f>
        <v/>
      </c>
      <c r="Q271" s="75" t="str">
        <f>IF($A271="","",CHOOSE('Calc riepilogo'!$B$2,'Calc valanga'!AW294,'Calc palla di neve'!AW294,'Calc personalizzata'!AW294))</f>
        <v/>
      </c>
      <c r="R271" s="70" t="str">
        <f>IF($A271="","",ROUND(N(S270)*(1+'Calc base'!L294),2)-S271)</f>
        <v/>
      </c>
      <c r="S271" s="75" t="str">
        <f>IF($A271="","",CHOOSE('Calc riepilogo'!$B$2,'Calc valanga'!AX294,'Calc palla di neve'!AX294,'Calc personalizzata'!AX294))</f>
        <v/>
      </c>
      <c r="T271" s="70" t="str">
        <f>IF($A271="","",ROUND(N(U270)*(1+'Calc base'!M294),2)-U271)</f>
        <v/>
      </c>
      <c r="U271" s="75" t="str">
        <f>IF($A271="","",CHOOSE('Calc riepilogo'!$B$2,'Calc valanga'!AY294,'Calc palla di neve'!AY294,'Calc personalizzata'!AY294))</f>
        <v/>
      </c>
      <c r="V271" s="70" t="str">
        <f>IF($A271="","",ROUND(N(W270)*(1+'Calc base'!N294),2)-W271)</f>
        <v/>
      </c>
      <c r="W271" s="75" t="str">
        <f>IF($A271="","",CHOOSE('Calc riepilogo'!$B$2,'Calc valanga'!AZ294,'Calc palla di neve'!AZ294,'Calc personalizzata'!AZ294))</f>
        <v/>
      </c>
      <c r="X271" s="70" t="str">
        <f>IF($A271="","",ROUND(N(Y270)*(1+'Calc base'!O294),2)-Y271)</f>
        <v/>
      </c>
      <c r="Y271" s="75" t="str">
        <f>IF($A271="","",CHOOSE('Calc riepilogo'!$B$2,'Calc valanga'!BA294,'Calc palla di neve'!BA294,'Calc personalizzata'!BA294))</f>
        <v/>
      </c>
      <c r="Z271" s="70" t="str">
        <f>IF($A271="","",ROUND(N(AA270)*(1+'Calc base'!P294),2)-AA271)</f>
        <v/>
      </c>
      <c r="AA271" s="75" t="str">
        <f>IF($A271="","",CHOOSE('Calc riepilogo'!$B$2,'Calc valanga'!BB294,'Calc palla di neve'!BB294,'Calc personalizzata'!BB294))</f>
        <v/>
      </c>
      <c r="AB271" s="70" t="str">
        <f>IF($A271="","",ROUND(N(AC270)*(1+'Calc base'!Q294),2)-AC271)</f>
        <v/>
      </c>
      <c r="AC271" s="75" t="str">
        <f>IF($A271="","",CHOOSE('Calc riepilogo'!$B$2,'Calc valanga'!BC294,'Calc palla di neve'!BC294,'Calc personalizzata'!BC294))</f>
        <v/>
      </c>
      <c r="AD271" s="70" t="str">
        <f>IF($A271="","",ROUND(N(AE270)*(1+'Calc base'!R294),2)-AE271)</f>
        <v/>
      </c>
      <c r="AE271" s="75" t="str">
        <f>IF($A271="","",CHOOSE('Calc riepilogo'!$B$2,'Calc valanga'!BD294,'Calc palla di neve'!BD294,'Calc personalizzata'!BD294))</f>
        <v/>
      </c>
      <c r="AF271" s="70" t="str">
        <f>IF($A271="","",ROUND(N(AG270)*(1+'Calc base'!S294),2)-AG271)</f>
        <v/>
      </c>
      <c r="AG271" s="75" t="str">
        <f>IF($A271="","",CHOOSE('Calc riepilogo'!$B$2,'Calc valanga'!BE294,'Calc palla di neve'!BE294,'Calc personalizzata'!BE294))</f>
        <v/>
      </c>
      <c r="AI271" t="n">
        <v>264</v>
      </c>
    </row>
    <row r="272">
      <c r="A272" s="68" t="str">
        <f>IF(265&gt;'Calc riepilogo'!$B$7,"",'Calc base'!$B295)</f>
        <v/>
      </c>
      <c r="B272" s="69" t="str">
        <f>IF($A272="","",'Calc base'!$C295)</f>
        <v/>
      </c>
      <c r="C272" s="69" t="str">
        <f>IF($A272="","",'Calc base'!$E295)</f>
        <v/>
      </c>
      <c r="D272" s="70" t="str">
        <f>IF($A272="","",J272+L272+N272+P272+R272+T272+V272+X272+Z272+AB272+AD272+AF272)</f>
        <v/>
      </c>
      <c r="E272" s="70" t="str">
        <f>IF($A272="","",CHOOSE('Calc riepilogo'!$B$2,'Calc valanga'!$H295,'Calc palla di neve'!$H295,'Calc personalizzata'!$H295))</f>
        <v/>
      </c>
      <c r="F272" s="71" t="str">
        <f>IF($A272="","",CHOOSE('Calc riepilogo'!$B$2,'Calc valanga'!$G295,'Calc palla di neve'!$G295,'Calc personalizzata'!$G295))</f>
        <v/>
      </c>
      <c r="G272" s="72" t="n"/>
      <c r="H272" s="73" t="n"/>
      <c r="I272" s="74" t="str">
        <f>IF($A272="","",TRIM(IF(AND(N(K271)&gt;0,N(K272)&lt;=0.004),"✓ "&amp;'Calc base'!C$6&amp;"   ","")&amp;IF(AND(N(M271)&gt;0,N(M272)&lt;=0.004),"✓ "&amp;'Calc base'!D$6&amp;"   ","")&amp;IF(AND(N(O271)&gt;0,N(O272)&lt;=0.004),"✓ "&amp;'Calc base'!E$6&amp;"   ","")&amp;IF(AND(N(Q271)&gt;0,N(Q272)&lt;=0.004),"✓ "&amp;'Calc base'!F$6&amp;"   ","")&amp;IF(AND(N(S271)&gt;0,N(S272)&lt;=0.004),"✓ "&amp;'Calc base'!G$6&amp;"   ","")&amp;IF(AND(N(U271)&gt;0,N(U272)&lt;=0.004),"✓ "&amp;'Calc base'!H$6&amp;"   ","")&amp;IF(AND(N(W271)&gt;0,N(W272)&lt;=0.004),"✓ "&amp;'Calc base'!I$6&amp;"   ","")&amp;IF(AND(N(Y271)&gt;0,N(Y272)&lt;=0.004),"✓ "&amp;'Calc base'!J$6&amp;"   ","")&amp;IF(AND(N(AA271)&gt;0,N(AA272)&lt;=0.004),"✓ "&amp;'Calc base'!K$6&amp;"   ","")&amp;IF(AND(N(AC271)&gt;0,N(AC272)&lt;=0.004),"✓ "&amp;'Calc base'!L$6&amp;"   ","")&amp;IF(AND(N(AE271)&gt;0,N(AE272)&lt;=0.004),"✓ "&amp;'Calc base'!M$6&amp;"   ","")&amp;IF(AND(N(AG271)&gt;0,N(AG272)&lt;=0.004),"✓ "&amp;'Calc base'!N$6&amp;"   ","")))</f>
        <v/>
      </c>
      <c r="J272" s="70" t="str">
        <f>IF($A272="","",ROUND(N(K271)*(1+'Calc base'!H295),2)-K272)</f>
        <v/>
      </c>
      <c r="K272" s="75" t="str">
        <f>IF($A272="","",CHOOSE('Calc riepilogo'!$B$2,'Calc valanga'!AT295,'Calc palla di neve'!AT295,'Calc personalizzata'!AT295))</f>
        <v/>
      </c>
      <c r="L272" s="70" t="str">
        <f>IF($A272="","",ROUND(N(M271)*(1+'Calc base'!I295),2)-M272)</f>
        <v/>
      </c>
      <c r="M272" s="75" t="str">
        <f>IF($A272="","",CHOOSE('Calc riepilogo'!$B$2,'Calc valanga'!AU295,'Calc palla di neve'!AU295,'Calc personalizzata'!AU295))</f>
        <v/>
      </c>
      <c r="N272" s="70" t="str">
        <f>IF($A272="","",ROUND(N(O271)*(1+'Calc base'!J295),2)-O272)</f>
        <v/>
      </c>
      <c r="O272" s="75" t="str">
        <f>IF($A272="","",CHOOSE('Calc riepilogo'!$B$2,'Calc valanga'!AV295,'Calc palla di neve'!AV295,'Calc personalizzata'!AV295))</f>
        <v/>
      </c>
      <c r="P272" s="70" t="str">
        <f>IF($A272="","",ROUND(N(Q271)*(1+'Calc base'!K295),2)-Q272)</f>
        <v/>
      </c>
      <c r="Q272" s="75" t="str">
        <f>IF($A272="","",CHOOSE('Calc riepilogo'!$B$2,'Calc valanga'!AW295,'Calc palla di neve'!AW295,'Calc personalizzata'!AW295))</f>
        <v/>
      </c>
      <c r="R272" s="70" t="str">
        <f>IF($A272="","",ROUND(N(S271)*(1+'Calc base'!L295),2)-S272)</f>
        <v/>
      </c>
      <c r="S272" s="75" t="str">
        <f>IF($A272="","",CHOOSE('Calc riepilogo'!$B$2,'Calc valanga'!AX295,'Calc palla di neve'!AX295,'Calc personalizzata'!AX295))</f>
        <v/>
      </c>
      <c r="T272" s="70" t="str">
        <f>IF($A272="","",ROUND(N(U271)*(1+'Calc base'!M295),2)-U272)</f>
        <v/>
      </c>
      <c r="U272" s="75" t="str">
        <f>IF($A272="","",CHOOSE('Calc riepilogo'!$B$2,'Calc valanga'!AY295,'Calc palla di neve'!AY295,'Calc personalizzata'!AY295))</f>
        <v/>
      </c>
      <c r="V272" s="70" t="str">
        <f>IF($A272="","",ROUND(N(W271)*(1+'Calc base'!N295),2)-W272)</f>
        <v/>
      </c>
      <c r="W272" s="75" t="str">
        <f>IF($A272="","",CHOOSE('Calc riepilogo'!$B$2,'Calc valanga'!AZ295,'Calc palla di neve'!AZ295,'Calc personalizzata'!AZ295))</f>
        <v/>
      </c>
      <c r="X272" s="70" t="str">
        <f>IF($A272="","",ROUND(N(Y271)*(1+'Calc base'!O295),2)-Y272)</f>
        <v/>
      </c>
      <c r="Y272" s="75" t="str">
        <f>IF($A272="","",CHOOSE('Calc riepilogo'!$B$2,'Calc valanga'!BA295,'Calc palla di neve'!BA295,'Calc personalizzata'!BA295))</f>
        <v/>
      </c>
      <c r="Z272" s="70" t="str">
        <f>IF($A272="","",ROUND(N(AA271)*(1+'Calc base'!P295),2)-AA272)</f>
        <v/>
      </c>
      <c r="AA272" s="75" t="str">
        <f>IF($A272="","",CHOOSE('Calc riepilogo'!$B$2,'Calc valanga'!BB295,'Calc palla di neve'!BB295,'Calc personalizzata'!BB295))</f>
        <v/>
      </c>
      <c r="AB272" s="70" t="str">
        <f>IF($A272="","",ROUND(N(AC271)*(1+'Calc base'!Q295),2)-AC272)</f>
        <v/>
      </c>
      <c r="AC272" s="75" t="str">
        <f>IF($A272="","",CHOOSE('Calc riepilogo'!$B$2,'Calc valanga'!BC295,'Calc palla di neve'!BC295,'Calc personalizzata'!BC295))</f>
        <v/>
      </c>
      <c r="AD272" s="70" t="str">
        <f>IF($A272="","",ROUND(N(AE271)*(1+'Calc base'!R295),2)-AE272)</f>
        <v/>
      </c>
      <c r="AE272" s="75" t="str">
        <f>IF($A272="","",CHOOSE('Calc riepilogo'!$B$2,'Calc valanga'!BD295,'Calc palla di neve'!BD295,'Calc personalizzata'!BD295))</f>
        <v/>
      </c>
      <c r="AF272" s="70" t="str">
        <f>IF($A272="","",ROUND(N(AG271)*(1+'Calc base'!S295),2)-AG272)</f>
        <v/>
      </c>
      <c r="AG272" s="75" t="str">
        <f>IF($A272="","",CHOOSE('Calc riepilogo'!$B$2,'Calc valanga'!BE295,'Calc palla di neve'!BE295,'Calc personalizzata'!BE295))</f>
        <v/>
      </c>
      <c r="AI272" t="n">
        <v>265</v>
      </c>
    </row>
    <row r="273">
      <c r="A273" s="68" t="str">
        <f>IF(266&gt;'Calc riepilogo'!$B$7,"",'Calc base'!$B296)</f>
        <v/>
      </c>
      <c r="B273" s="69" t="str">
        <f>IF($A273="","",'Calc base'!$C296)</f>
        <v/>
      </c>
      <c r="C273" s="69" t="str">
        <f>IF($A273="","",'Calc base'!$E296)</f>
        <v/>
      </c>
      <c r="D273" s="70" t="str">
        <f>IF($A273="","",J273+L273+N273+P273+R273+T273+V273+X273+Z273+AB273+AD273+AF273)</f>
        <v/>
      </c>
      <c r="E273" s="70" t="str">
        <f>IF($A273="","",CHOOSE('Calc riepilogo'!$B$2,'Calc valanga'!$H296,'Calc palla di neve'!$H296,'Calc personalizzata'!$H296))</f>
        <v/>
      </c>
      <c r="F273" s="71" t="str">
        <f>IF($A273="","",CHOOSE('Calc riepilogo'!$B$2,'Calc valanga'!$G296,'Calc palla di neve'!$G296,'Calc personalizzata'!$G296))</f>
        <v/>
      </c>
      <c r="G273" s="72" t="n"/>
      <c r="H273" s="73" t="n"/>
      <c r="I273" s="74" t="str">
        <f>IF($A273="","",TRIM(IF(AND(N(K272)&gt;0,N(K273)&lt;=0.004),"✓ "&amp;'Calc base'!C$6&amp;"   ","")&amp;IF(AND(N(M272)&gt;0,N(M273)&lt;=0.004),"✓ "&amp;'Calc base'!D$6&amp;"   ","")&amp;IF(AND(N(O272)&gt;0,N(O273)&lt;=0.004),"✓ "&amp;'Calc base'!E$6&amp;"   ","")&amp;IF(AND(N(Q272)&gt;0,N(Q273)&lt;=0.004),"✓ "&amp;'Calc base'!F$6&amp;"   ","")&amp;IF(AND(N(S272)&gt;0,N(S273)&lt;=0.004),"✓ "&amp;'Calc base'!G$6&amp;"   ","")&amp;IF(AND(N(U272)&gt;0,N(U273)&lt;=0.004),"✓ "&amp;'Calc base'!H$6&amp;"   ","")&amp;IF(AND(N(W272)&gt;0,N(W273)&lt;=0.004),"✓ "&amp;'Calc base'!I$6&amp;"   ","")&amp;IF(AND(N(Y272)&gt;0,N(Y273)&lt;=0.004),"✓ "&amp;'Calc base'!J$6&amp;"   ","")&amp;IF(AND(N(AA272)&gt;0,N(AA273)&lt;=0.004),"✓ "&amp;'Calc base'!K$6&amp;"   ","")&amp;IF(AND(N(AC272)&gt;0,N(AC273)&lt;=0.004),"✓ "&amp;'Calc base'!L$6&amp;"   ","")&amp;IF(AND(N(AE272)&gt;0,N(AE273)&lt;=0.004),"✓ "&amp;'Calc base'!M$6&amp;"   ","")&amp;IF(AND(N(AG272)&gt;0,N(AG273)&lt;=0.004),"✓ "&amp;'Calc base'!N$6&amp;"   ","")))</f>
        <v/>
      </c>
      <c r="J273" s="70" t="str">
        <f>IF($A273="","",ROUND(N(K272)*(1+'Calc base'!H296),2)-K273)</f>
        <v/>
      </c>
      <c r="K273" s="75" t="str">
        <f>IF($A273="","",CHOOSE('Calc riepilogo'!$B$2,'Calc valanga'!AT296,'Calc palla di neve'!AT296,'Calc personalizzata'!AT296))</f>
        <v/>
      </c>
      <c r="L273" s="70" t="str">
        <f>IF($A273="","",ROUND(N(M272)*(1+'Calc base'!I296),2)-M273)</f>
        <v/>
      </c>
      <c r="M273" s="75" t="str">
        <f>IF($A273="","",CHOOSE('Calc riepilogo'!$B$2,'Calc valanga'!AU296,'Calc palla di neve'!AU296,'Calc personalizzata'!AU296))</f>
        <v/>
      </c>
      <c r="N273" s="70" t="str">
        <f>IF($A273="","",ROUND(N(O272)*(1+'Calc base'!J296),2)-O273)</f>
        <v/>
      </c>
      <c r="O273" s="75" t="str">
        <f>IF($A273="","",CHOOSE('Calc riepilogo'!$B$2,'Calc valanga'!AV296,'Calc palla di neve'!AV296,'Calc personalizzata'!AV296))</f>
        <v/>
      </c>
      <c r="P273" s="70" t="str">
        <f>IF($A273="","",ROUND(N(Q272)*(1+'Calc base'!K296),2)-Q273)</f>
        <v/>
      </c>
      <c r="Q273" s="75" t="str">
        <f>IF($A273="","",CHOOSE('Calc riepilogo'!$B$2,'Calc valanga'!AW296,'Calc palla di neve'!AW296,'Calc personalizzata'!AW296))</f>
        <v/>
      </c>
      <c r="R273" s="70" t="str">
        <f>IF($A273="","",ROUND(N(S272)*(1+'Calc base'!L296),2)-S273)</f>
        <v/>
      </c>
      <c r="S273" s="75" t="str">
        <f>IF($A273="","",CHOOSE('Calc riepilogo'!$B$2,'Calc valanga'!AX296,'Calc palla di neve'!AX296,'Calc personalizzata'!AX296))</f>
        <v/>
      </c>
      <c r="T273" s="70" t="str">
        <f>IF($A273="","",ROUND(N(U272)*(1+'Calc base'!M296),2)-U273)</f>
        <v/>
      </c>
      <c r="U273" s="75" t="str">
        <f>IF($A273="","",CHOOSE('Calc riepilogo'!$B$2,'Calc valanga'!AY296,'Calc palla di neve'!AY296,'Calc personalizzata'!AY296))</f>
        <v/>
      </c>
      <c r="V273" s="70" t="str">
        <f>IF($A273="","",ROUND(N(W272)*(1+'Calc base'!N296),2)-W273)</f>
        <v/>
      </c>
      <c r="W273" s="75" t="str">
        <f>IF($A273="","",CHOOSE('Calc riepilogo'!$B$2,'Calc valanga'!AZ296,'Calc palla di neve'!AZ296,'Calc personalizzata'!AZ296))</f>
        <v/>
      </c>
      <c r="X273" s="70" t="str">
        <f>IF($A273="","",ROUND(N(Y272)*(1+'Calc base'!O296),2)-Y273)</f>
        <v/>
      </c>
      <c r="Y273" s="75" t="str">
        <f>IF($A273="","",CHOOSE('Calc riepilogo'!$B$2,'Calc valanga'!BA296,'Calc palla di neve'!BA296,'Calc personalizzata'!BA296))</f>
        <v/>
      </c>
      <c r="Z273" s="70" t="str">
        <f>IF($A273="","",ROUND(N(AA272)*(1+'Calc base'!P296),2)-AA273)</f>
        <v/>
      </c>
      <c r="AA273" s="75" t="str">
        <f>IF($A273="","",CHOOSE('Calc riepilogo'!$B$2,'Calc valanga'!BB296,'Calc palla di neve'!BB296,'Calc personalizzata'!BB296))</f>
        <v/>
      </c>
      <c r="AB273" s="70" t="str">
        <f>IF($A273="","",ROUND(N(AC272)*(1+'Calc base'!Q296),2)-AC273)</f>
        <v/>
      </c>
      <c r="AC273" s="75" t="str">
        <f>IF($A273="","",CHOOSE('Calc riepilogo'!$B$2,'Calc valanga'!BC296,'Calc palla di neve'!BC296,'Calc personalizzata'!BC296))</f>
        <v/>
      </c>
      <c r="AD273" s="70" t="str">
        <f>IF($A273="","",ROUND(N(AE272)*(1+'Calc base'!R296),2)-AE273)</f>
        <v/>
      </c>
      <c r="AE273" s="75" t="str">
        <f>IF($A273="","",CHOOSE('Calc riepilogo'!$B$2,'Calc valanga'!BD296,'Calc palla di neve'!BD296,'Calc personalizzata'!BD296))</f>
        <v/>
      </c>
      <c r="AF273" s="70" t="str">
        <f>IF($A273="","",ROUND(N(AG272)*(1+'Calc base'!S296),2)-AG273)</f>
        <v/>
      </c>
      <c r="AG273" s="75" t="str">
        <f>IF($A273="","",CHOOSE('Calc riepilogo'!$B$2,'Calc valanga'!BE296,'Calc palla di neve'!BE296,'Calc personalizzata'!BE296))</f>
        <v/>
      </c>
      <c r="AI273" t="n">
        <v>266</v>
      </c>
    </row>
    <row r="274">
      <c r="A274" s="68" t="str">
        <f>IF(267&gt;'Calc riepilogo'!$B$7,"",'Calc base'!$B297)</f>
        <v/>
      </c>
      <c r="B274" s="69" t="str">
        <f>IF($A274="","",'Calc base'!$C297)</f>
        <v/>
      </c>
      <c r="C274" s="69" t="str">
        <f>IF($A274="","",'Calc base'!$E297)</f>
        <v/>
      </c>
      <c r="D274" s="70" t="str">
        <f>IF($A274="","",J274+L274+N274+P274+R274+T274+V274+X274+Z274+AB274+AD274+AF274)</f>
        <v/>
      </c>
      <c r="E274" s="70" t="str">
        <f>IF($A274="","",CHOOSE('Calc riepilogo'!$B$2,'Calc valanga'!$H297,'Calc palla di neve'!$H297,'Calc personalizzata'!$H297))</f>
        <v/>
      </c>
      <c r="F274" s="71" t="str">
        <f>IF($A274="","",CHOOSE('Calc riepilogo'!$B$2,'Calc valanga'!$G297,'Calc palla di neve'!$G297,'Calc personalizzata'!$G297))</f>
        <v/>
      </c>
      <c r="G274" s="72" t="n"/>
      <c r="H274" s="73" t="n"/>
      <c r="I274" s="74" t="str">
        <f>IF($A274="","",TRIM(IF(AND(N(K273)&gt;0,N(K274)&lt;=0.004),"✓ "&amp;'Calc base'!C$6&amp;"   ","")&amp;IF(AND(N(M273)&gt;0,N(M274)&lt;=0.004),"✓ "&amp;'Calc base'!D$6&amp;"   ","")&amp;IF(AND(N(O273)&gt;0,N(O274)&lt;=0.004),"✓ "&amp;'Calc base'!E$6&amp;"   ","")&amp;IF(AND(N(Q273)&gt;0,N(Q274)&lt;=0.004),"✓ "&amp;'Calc base'!F$6&amp;"   ","")&amp;IF(AND(N(S273)&gt;0,N(S274)&lt;=0.004),"✓ "&amp;'Calc base'!G$6&amp;"   ","")&amp;IF(AND(N(U273)&gt;0,N(U274)&lt;=0.004),"✓ "&amp;'Calc base'!H$6&amp;"   ","")&amp;IF(AND(N(W273)&gt;0,N(W274)&lt;=0.004),"✓ "&amp;'Calc base'!I$6&amp;"   ","")&amp;IF(AND(N(Y273)&gt;0,N(Y274)&lt;=0.004),"✓ "&amp;'Calc base'!J$6&amp;"   ","")&amp;IF(AND(N(AA273)&gt;0,N(AA274)&lt;=0.004),"✓ "&amp;'Calc base'!K$6&amp;"   ","")&amp;IF(AND(N(AC273)&gt;0,N(AC274)&lt;=0.004),"✓ "&amp;'Calc base'!L$6&amp;"   ","")&amp;IF(AND(N(AE273)&gt;0,N(AE274)&lt;=0.004),"✓ "&amp;'Calc base'!M$6&amp;"   ","")&amp;IF(AND(N(AG273)&gt;0,N(AG274)&lt;=0.004),"✓ "&amp;'Calc base'!N$6&amp;"   ","")))</f>
        <v/>
      </c>
      <c r="J274" s="70" t="str">
        <f>IF($A274="","",ROUND(N(K273)*(1+'Calc base'!H297),2)-K274)</f>
        <v/>
      </c>
      <c r="K274" s="75" t="str">
        <f>IF($A274="","",CHOOSE('Calc riepilogo'!$B$2,'Calc valanga'!AT297,'Calc palla di neve'!AT297,'Calc personalizzata'!AT297))</f>
        <v/>
      </c>
      <c r="L274" s="70" t="str">
        <f>IF($A274="","",ROUND(N(M273)*(1+'Calc base'!I297),2)-M274)</f>
        <v/>
      </c>
      <c r="M274" s="75" t="str">
        <f>IF($A274="","",CHOOSE('Calc riepilogo'!$B$2,'Calc valanga'!AU297,'Calc palla di neve'!AU297,'Calc personalizzata'!AU297))</f>
        <v/>
      </c>
      <c r="N274" s="70" t="str">
        <f>IF($A274="","",ROUND(N(O273)*(1+'Calc base'!J297),2)-O274)</f>
        <v/>
      </c>
      <c r="O274" s="75" t="str">
        <f>IF($A274="","",CHOOSE('Calc riepilogo'!$B$2,'Calc valanga'!AV297,'Calc palla di neve'!AV297,'Calc personalizzata'!AV297))</f>
        <v/>
      </c>
      <c r="P274" s="70" t="str">
        <f>IF($A274="","",ROUND(N(Q273)*(1+'Calc base'!K297),2)-Q274)</f>
        <v/>
      </c>
      <c r="Q274" s="75" t="str">
        <f>IF($A274="","",CHOOSE('Calc riepilogo'!$B$2,'Calc valanga'!AW297,'Calc palla di neve'!AW297,'Calc personalizzata'!AW297))</f>
        <v/>
      </c>
      <c r="R274" s="70" t="str">
        <f>IF($A274="","",ROUND(N(S273)*(1+'Calc base'!L297),2)-S274)</f>
        <v/>
      </c>
      <c r="S274" s="75" t="str">
        <f>IF($A274="","",CHOOSE('Calc riepilogo'!$B$2,'Calc valanga'!AX297,'Calc palla di neve'!AX297,'Calc personalizzata'!AX297))</f>
        <v/>
      </c>
      <c r="T274" s="70" t="str">
        <f>IF($A274="","",ROUND(N(U273)*(1+'Calc base'!M297),2)-U274)</f>
        <v/>
      </c>
      <c r="U274" s="75" t="str">
        <f>IF($A274="","",CHOOSE('Calc riepilogo'!$B$2,'Calc valanga'!AY297,'Calc palla di neve'!AY297,'Calc personalizzata'!AY297))</f>
        <v/>
      </c>
      <c r="V274" s="70" t="str">
        <f>IF($A274="","",ROUND(N(W273)*(1+'Calc base'!N297),2)-W274)</f>
        <v/>
      </c>
      <c r="W274" s="75" t="str">
        <f>IF($A274="","",CHOOSE('Calc riepilogo'!$B$2,'Calc valanga'!AZ297,'Calc palla di neve'!AZ297,'Calc personalizzata'!AZ297))</f>
        <v/>
      </c>
      <c r="X274" s="70" t="str">
        <f>IF($A274="","",ROUND(N(Y273)*(1+'Calc base'!O297),2)-Y274)</f>
        <v/>
      </c>
      <c r="Y274" s="75" t="str">
        <f>IF($A274="","",CHOOSE('Calc riepilogo'!$B$2,'Calc valanga'!BA297,'Calc palla di neve'!BA297,'Calc personalizzata'!BA297))</f>
        <v/>
      </c>
      <c r="Z274" s="70" t="str">
        <f>IF($A274="","",ROUND(N(AA273)*(1+'Calc base'!P297),2)-AA274)</f>
        <v/>
      </c>
      <c r="AA274" s="75" t="str">
        <f>IF($A274="","",CHOOSE('Calc riepilogo'!$B$2,'Calc valanga'!BB297,'Calc palla di neve'!BB297,'Calc personalizzata'!BB297))</f>
        <v/>
      </c>
      <c r="AB274" s="70" t="str">
        <f>IF($A274="","",ROUND(N(AC273)*(1+'Calc base'!Q297),2)-AC274)</f>
        <v/>
      </c>
      <c r="AC274" s="75" t="str">
        <f>IF($A274="","",CHOOSE('Calc riepilogo'!$B$2,'Calc valanga'!BC297,'Calc palla di neve'!BC297,'Calc personalizzata'!BC297))</f>
        <v/>
      </c>
      <c r="AD274" s="70" t="str">
        <f>IF($A274="","",ROUND(N(AE273)*(1+'Calc base'!R297),2)-AE274)</f>
        <v/>
      </c>
      <c r="AE274" s="75" t="str">
        <f>IF($A274="","",CHOOSE('Calc riepilogo'!$B$2,'Calc valanga'!BD297,'Calc palla di neve'!BD297,'Calc personalizzata'!BD297))</f>
        <v/>
      </c>
      <c r="AF274" s="70" t="str">
        <f>IF($A274="","",ROUND(N(AG273)*(1+'Calc base'!S297),2)-AG274)</f>
        <v/>
      </c>
      <c r="AG274" s="75" t="str">
        <f>IF($A274="","",CHOOSE('Calc riepilogo'!$B$2,'Calc valanga'!BE297,'Calc palla di neve'!BE297,'Calc personalizzata'!BE297))</f>
        <v/>
      </c>
      <c r="AI274" t="n">
        <v>267</v>
      </c>
    </row>
    <row r="275">
      <c r="A275" s="68" t="str">
        <f>IF(268&gt;'Calc riepilogo'!$B$7,"",'Calc base'!$B298)</f>
        <v/>
      </c>
      <c r="B275" s="69" t="str">
        <f>IF($A275="","",'Calc base'!$C298)</f>
        <v/>
      </c>
      <c r="C275" s="69" t="str">
        <f>IF($A275="","",'Calc base'!$E298)</f>
        <v/>
      </c>
      <c r="D275" s="70" t="str">
        <f>IF($A275="","",J275+L275+N275+P275+R275+T275+V275+X275+Z275+AB275+AD275+AF275)</f>
        <v/>
      </c>
      <c r="E275" s="70" t="str">
        <f>IF($A275="","",CHOOSE('Calc riepilogo'!$B$2,'Calc valanga'!$H298,'Calc palla di neve'!$H298,'Calc personalizzata'!$H298))</f>
        <v/>
      </c>
      <c r="F275" s="71" t="str">
        <f>IF($A275="","",CHOOSE('Calc riepilogo'!$B$2,'Calc valanga'!$G298,'Calc palla di neve'!$G298,'Calc personalizzata'!$G298))</f>
        <v/>
      </c>
      <c r="G275" s="72" t="n"/>
      <c r="H275" s="73" t="n"/>
      <c r="I275" s="74" t="str">
        <f>IF($A275="","",TRIM(IF(AND(N(K274)&gt;0,N(K275)&lt;=0.004),"✓ "&amp;'Calc base'!C$6&amp;"   ","")&amp;IF(AND(N(M274)&gt;0,N(M275)&lt;=0.004),"✓ "&amp;'Calc base'!D$6&amp;"   ","")&amp;IF(AND(N(O274)&gt;0,N(O275)&lt;=0.004),"✓ "&amp;'Calc base'!E$6&amp;"   ","")&amp;IF(AND(N(Q274)&gt;0,N(Q275)&lt;=0.004),"✓ "&amp;'Calc base'!F$6&amp;"   ","")&amp;IF(AND(N(S274)&gt;0,N(S275)&lt;=0.004),"✓ "&amp;'Calc base'!G$6&amp;"   ","")&amp;IF(AND(N(U274)&gt;0,N(U275)&lt;=0.004),"✓ "&amp;'Calc base'!H$6&amp;"   ","")&amp;IF(AND(N(W274)&gt;0,N(W275)&lt;=0.004),"✓ "&amp;'Calc base'!I$6&amp;"   ","")&amp;IF(AND(N(Y274)&gt;0,N(Y275)&lt;=0.004),"✓ "&amp;'Calc base'!J$6&amp;"   ","")&amp;IF(AND(N(AA274)&gt;0,N(AA275)&lt;=0.004),"✓ "&amp;'Calc base'!K$6&amp;"   ","")&amp;IF(AND(N(AC274)&gt;0,N(AC275)&lt;=0.004),"✓ "&amp;'Calc base'!L$6&amp;"   ","")&amp;IF(AND(N(AE274)&gt;0,N(AE275)&lt;=0.004),"✓ "&amp;'Calc base'!M$6&amp;"   ","")&amp;IF(AND(N(AG274)&gt;0,N(AG275)&lt;=0.004),"✓ "&amp;'Calc base'!N$6&amp;"   ","")))</f>
        <v/>
      </c>
      <c r="J275" s="70" t="str">
        <f>IF($A275="","",ROUND(N(K274)*(1+'Calc base'!H298),2)-K275)</f>
        <v/>
      </c>
      <c r="K275" s="75" t="str">
        <f>IF($A275="","",CHOOSE('Calc riepilogo'!$B$2,'Calc valanga'!AT298,'Calc palla di neve'!AT298,'Calc personalizzata'!AT298))</f>
        <v/>
      </c>
      <c r="L275" s="70" t="str">
        <f>IF($A275="","",ROUND(N(M274)*(1+'Calc base'!I298),2)-M275)</f>
        <v/>
      </c>
      <c r="M275" s="75" t="str">
        <f>IF($A275="","",CHOOSE('Calc riepilogo'!$B$2,'Calc valanga'!AU298,'Calc palla di neve'!AU298,'Calc personalizzata'!AU298))</f>
        <v/>
      </c>
      <c r="N275" s="70" t="str">
        <f>IF($A275="","",ROUND(N(O274)*(1+'Calc base'!J298),2)-O275)</f>
        <v/>
      </c>
      <c r="O275" s="75" t="str">
        <f>IF($A275="","",CHOOSE('Calc riepilogo'!$B$2,'Calc valanga'!AV298,'Calc palla di neve'!AV298,'Calc personalizzata'!AV298))</f>
        <v/>
      </c>
      <c r="P275" s="70" t="str">
        <f>IF($A275="","",ROUND(N(Q274)*(1+'Calc base'!K298),2)-Q275)</f>
        <v/>
      </c>
      <c r="Q275" s="75" t="str">
        <f>IF($A275="","",CHOOSE('Calc riepilogo'!$B$2,'Calc valanga'!AW298,'Calc palla di neve'!AW298,'Calc personalizzata'!AW298))</f>
        <v/>
      </c>
      <c r="R275" s="70" t="str">
        <f>IF($A275="","",ROUND(N(S274)*(1+'Calc base'!L298),2)-S275)</f>
        <v/>
      </c>
      <c r="S275" s="75" t="str">
        <f>IF($A275="","",CHOOSE('Calc riepilogo'!$B$2,'Calc valanga'!AX298,'Calc palla di neve'!AX298,'Calc personalizzata'!AX298))</f>
        <v/>
      </c>
      <c r="T275" s="70" t="str">
        <f>IF($A275="","",ROUND(N(U274)*(1+'Calc base'!M298),2)-U275)</f>
        <v/>
      </c>
      <c r="U275" s="75" t="str">
        <f>IF($A275="","",CHOOSE('Calc riepilogo'!$B$2,'Calc valanga'!AY298,'Calc palla di neve'!AY298,'Calc personalizzata'!AY298))</f>
        <v/>
      </c>
      <c r="V275" s="70" t="str">
        <f>IF($A275="","",ROUND(N(W274)*(1+'Calc base'!N298),2)-W275)</f>
        <v/>
      </c>
      <c r="W275" s="75" t="str">
        <f>IF($A275="","",CHOOSE('Calc riepilogo'!$B$2,'Calc valanga'!AZ298,'Calc palla di neve'!AZ298,'Calc personalizzata'!AZ298))</f>
        <v/>
      </c>
      <c r="X275" s="70" t="str">
        <f>IF($A275="","",ROUND(N(Y274)*(1+'Calc base'!O298),2)-Y275)</f>
        <v/>
      </c>
      <c r="Y275" s="75" t="str">
        <f>IF($A275="","",CHOOSE('Calc riepilogo'!$B$2,'Calc valanga'!BA298,'Calc palla di neve'!BA298,'Calc personalizzata'!BA298))</f>
        <v/>
      </c>
      <c r="Z275" s="70" t="str">
        <f>IF($A275="","",ROUND(N(AA274)*(1+'Calc base'!P298),2)-AA275)</f>
        <v/>
      </c>
      <c r="AA275" s="75" t="str">
        <f>IF($A275="","",CHOOSE('Calc riepilogo'!$B$2,'Calc valanga'!BB298,'Calc palla di neve'!BB298,'Calc personalizzata'!BB298))</f>
        <v/>
      </c>
      <c r="AB275" s="70" t="str">
        <f>IF($A275="","",ROUND(N(AC274)*(1+'Calc base'!Q298),2)-AC275)</f>
        <v/>
      </c>
      <c r="AC275" s="75" t="str">
        <f>IF($A275="","",CHOOSE('Calc riepilogo'!$B$2,'Calc valanga'!BC298,'Calc palla di neve'!BC298,'Calc personalizzata'!BC298))</f>
        <v/>
      </c>
      <c r="AD275" s="70" t="str">
        <f>IF($A275="","",ROUND(N(AE274)*(1+'Calc base'!R298),2)-AE275)</f>
        <v/>
      </c>
      <c r="AE275" s="75" t="str">
        <f>IF($A275="","",CHOOSE('Calc riepilogo'!$B$2,'Calc valanga'!BD298,'Calc palla di neve'!BD298,'Calc personalizzata'!BD298))</f>
        <v/>
      </c>
      <c r="AF275" s="70" t="str">
        <f>IF($A275="","",ROUND(N(AG274)*(1+'Calc base'!S298),2)-AG275)</f>
        <v/>
      </c>
      <c r="AG275" s="75" t="str">
        <f>IF($A275="","",CHOOSE('Calc riepilogo'!$B$2,'Calc valanga'!BE298,'Calc palla di neve'!BE298,'Calc personalizzata'!BE298))</f>
        <v/>
      </c>
      <c r="AI275" t="n">
        <v>268</v>
      </c>
    </row>
    <row r="276">
      <c r="A276" s="68" t="str">
        <f>IF(269&gt;'Calc riepilogo'!$B$7,"",'Calc base'!$B299)</f>
        <v/>
      </c>
      <c r="B276" s="69" t="str">
        <f>IF($A276="","",'Calc base'!$C299)</f>
        <v/>
      </c>
      <c r="C276" s="69" t="str">
        <f>IF($A276="","",'Calc base'!$E299)</f>
        <v/>
      </c>
      <c r="D276" s="70" t="str">
        <f>IF($A276="","",J276+L276+N276+P276+R276+T276+V276+X276+Z276+AB276+AD276+AF276)</f>
        <v/>
      </c>
      <c r="E276" s="70" t="str">
        <f>IF($A276="","",CHOOSE('Calc riepilogo'!$B$2,'Calc valanga'!$H299,'Calc palla di neve'!$H299,'Calc personalizzata'!$H299))</f>
        <v/>
      </c>
      <c r="F276" s="71" t="str">
        <f>IF($A276="","",CHOOSE('Calc riepilogo'!$B$2,'Calc valanga'!$G299,'Calc palla di neve'!$G299,'Calc personalizzata'!$G299))</f>
        <v/>
      </c>
      <c r="G276" s="72" t="n"/>
      <c r="H276" s="73" t="n"/>
      <c r="I276" s="74" t="str">
        <f>IF($A276="","",TRIM(IF(AND(N(K275)&gt;0,N(K276)&lt;=0.004),"✓ "&amp;'Calc base'!C$6&amp;"   ","")&amp;IF(AND(N(M275)&gt;0,N(M276)&lt;=0.004),"✓ "&amp;'Calc base'!D$6&amp;"   ","")&amp;IF(AND(N(O275)&gt;0,N(O276)&lt;=0.004),"✓ "&amp;'Calc base'!E$6&amp;"   ","")&amp;IF(AND(N(Q275)&gt;0,N(Q276)&lt;=0.004),"✓ "&amp;'Calc base'!F$6&amp;"   ","")&amp;IF(AND(N(S275)&gt;0,N(S276)&lt;=0.004),"✓ "&amp;'Calc base'!G$6&amp;"   ","")&amp;IF(AND(N(U275)&gt;0,N(U276)&lt;=0.004),"✓ "&amp;'Calc base'!H$6&amp;"   ","")&amp;IF(AND(N(W275)&gt;0,N(W276)&lt;=0.004),"✓ "&amp;'Calc base'!I$6&amp;"   ","")&amp;IF(AND(N(Y275)&gt;0,N(Y276)&lt;=0.004),"✓ "&amp;'Calc base'!J$6&amp;"   ","")&amp;IF(AND(N(AA275)&gt;0,N(AA276)&lt;=0.004),"✓ "&amp;'Calc base'!K$6&amp;"   ","")&amp;IF(AND(N(AC275)&gt;0,N(AC276)&lt;=0.004),"✓ "&amp;'Calc base'!L$6&amp;"   ","")&amp;IF(AND(N(AE275)&gt;0,N(AE276)&lt;=0.004),"✓ "&amp;'Calc base'!M$6&amp;"   ","")&amp;IF(AND(N(AG275)&gt;0,N(AG276)&lt;=0.004),"✓ "&amp;'Calc base'!N$6&amp;"   ","")))</f>
        <v/>
      </c>
      <c r="J276" s="70" t="str">
        <f>IF($A276="","",ROUND(N(K275)*(1+'Calc base'!H299),2)-K276)</f>
        <v/>
      </c>
      <c r="K276" s="75" t="str">
        <f>IF($A276="","",CHOOSE('Calc riepilogo'!$B$2,'Calc valanga'!AT299,'Calc palla di neve'!AT299,'Calc personalizzata'!AT299))</f>
        <v/>
      </c>
      <c r="L276" s="70" t="str">
        <f>IF($A276="","",ROUND(N(M275)*(1+'Calc base'!I299),2)-M276)</f>
        <v/>
      </c>
      <c r="M276" s="75" t="str">
        <f>IF($A276="","",CHOOSE('Calc riepilogo'!$B$2,'Calc valanga'!AU299,'Calc palla di neve'!AU299,'Calc personalizzata'!AU299))</f>
        <v/>
      </c>
      <c r="N276" s="70" t="str">
        <f>IF($A276="","",ROUND(N(O275)*(1+'Calc base'!J299),2)-O276)</f>
        <v/>
      </c>
      <c r="O276" s="75" t="str">
        <f>IF($A276="","",CHOOSE('Calc riepilogo'!$B$2,'Calc valanga'!AV299,'Calc palla di neve'!AV299,'Calc personalizzata'!AV299))</f>
        <v/>
      </c>
      <c r="P276" s="70" t="str">
        <f>IF($A276="","",ROUND(N(Q275)*(1+'Calc base'!K299),2)-Q276)</f>
        <v/>
      </c>
      <c r="Q276" s="75" t="str">
        <f>IF($A276="","",CHOOSE('Calc riepilogo'!$B$2,'Calc valanga'!AW299,'Calc palla di neve'!AW299,'Calc personalizzata'!AW299))</f>
        <v/>
      </c>
      <c r="R276" s="70" t="str">
        <f>IF($A276="","",ROUND(N(S275)*(1+'Calc base'!L299),2)-S276)</f>
        <v/>
      </c>
      <c r="S276" s="75" t="str">
        <f>IF($A276="","",CHOOSE('Calc riepilogo'!$B$2,'Calc valanga'!AX299,'Calc palla di neve'!AX299,'Calc personalizzata'!AX299))</f>
        <v/>
      </c>
      <c r="T276" s="70" t="str">
        <f>IF($A276="","",ROUND(N(U275)*(1+'Calc base'!M299),2)-U276)</f>
        <v/>
      </c>
      <c r="U276" s="75" t="str">
        <f>IF($A276="","",CHOOSE('Calc riepilogo'!$B$2,'Calc valanga'!AY299,'Calc palla di neve'!AY299,'Calc personalizzata'!AY299))</f>
        <v/>
      </c>
      <c r="V276" s="70" t="str">
        <f>IF($A276="","",ROUND(N(W275)*(1+'Calc base'!N299),2)-W276)</f>
        <v/>
      </c>
      <c r="W276" s="75" t="str">
        <f>IF($A276="","",CHOOSE('Calc riepilogo'!$B$2,'Calc valanga'!AZ299,'Calc palla di neve'!AZ299,'Calc personalizzata'!AZ299))</f>
        <v/>
      </c>
      <c r="X276" s="70" t="str">
        <f>IF($A276="","",ROUND(N(Y275)*(1+'Calc base'!O299),2)-Y276)</f>
        <v/>
      </c>
      <c r="Y276" s="75" t="str">
        <f>IF($A276="","",CHOOSE('Calc riepilogo'!$B$2,'Calc valanga'!BA299,'Calc palla di neve'!BA299,'Calc personalizzata'!BA299))</f>
        <v/>
      </c>
      <c r="Z276" s="70" t="str">
        <f>IF($A276="","",ROUND(N(AA275)*(1+'Calc base'!P299),2)-AA276)</f>
        <v/>
      </c>
      <c r="AA276" s="75" t="str">
        <f>IF($A276="","",CHOOSE('Calc riepilogo'!$B$2,'Calc valanga'!BB299,'Calc palla di neve'!BB299,'Calc personalizzata'!BB299))</f>
        <v/>
      </c>
      <c r="AB276" s="70" t="str">
        <f>IF($A276="","",ROUND(N(AC275)*(1+'Calc base'!Q299),2)-AC276)</f>
        <v/>
      </c>
      <c r="AC276" s="75" t="str">
        <f>IF($A276="","",CHOOSE('Calc riepilogo'!$B$2,'Calc valanga'!BC299,'Calc palla di neve'!BC299,'Calc personalizzata'!BC299))</f>
        <v/>
      </c>
      <c r="AD276" s="70" t="str">
        <f>IF($A276="","",ROUND(N(AE275)*(1+'Calc base'!R299),2)-AE276)</f>
        <v/>
      </c>
      <c r="AE276" s="75" t="str">
        <f>IF($A276="","",CHOOSE('Calc riepilogo'!$B$2,'Calc valanga'!BD299,'Calc palla di neve'!BD299,'Calc personalizzata'!BD299))</f>
        <v/>
      </c>
      <c r="AF276" s="70" t="str">
        <f>IF($A276="","",ROUND(N(AG275)*(1+'Calc base'!S299),2)-AG276)</f>
        <v/>
      </c>
      <c r="AG276" s="75" t="str">
        <f>IF($A276="","",CHOOSE('Calc riepilogo'!$B$2,'Calc valanga'!BE299,'Calc palla di neve'!BE299,'Calc personalizzata'!BE299))</f>
        <v/>
      </c>
      <c r="AI276" t="n">
        <v>269</v>
      </c>
    </row>
    <row r="277">
      <c r="A277" s="68" t="str">
        <f>IF(270&gt;'Calc riepilogo'!$B$7,"",'Calc base'!$B300)</f>
        <v/>
      </c>
      <c r="B277" s="69" t="str">
        <f>IF($A277="","",'Calc base'!$C300)</f>
        <v/>
      </c>
      <c r="C277" s="69" t="str">
        <f>IF($A277="","",'Calc base'!$E300)</f>
        <v/>
      </c>
      <c r="D277" s="70" t="str">
        <f>IF($A277="","",J277+L277+N277+P277+R277+T277+V277+X277+Z277+AB277+AD277+AF277)</f>
        <v/>
      </c>
      <c r="E277" s="70" t="str">
        <f>IF($A277="","",CHOOSE('Calc riepilogo'!$B$2,'Calc valanga'!$H300,'Calc palla di neve'!$H300,'Calc personalizzata'!$H300))</f>
        <v/>
      </c>
      <c r="F277" s="71" t="str">
        <f>IF($A277="","",CHOOSE('Calc riepilogo'!$B$2,'Calc valanga'!$G300,'Calc palla di neve'!$G300,'Calc personalizzata'!$G300))</f>
        <v/>
      </c>
      <c r="G277" s="72" t="n"/>
      <c r="H277" s="73" t="n"/>
      <c r="I277" s="74" t="str">
        <f>IF($A277="","",TRIM(IF(AND(N(K276)&gt;0,N(K277)&lt;=0.004),"✓ "&amp;'Calc base'!C$6&amp;"   ","")&amp;IF(AND(N(M276)&gt;0,N(M277)&lt;=0.004),"✓ "&amp;'Calc base'!D$6&amp;"   ","")&amp;IF(AND(N(O276)&gt;0,N(O277)&lt;=0.004),"✓ "&amp;'Calc base'!E$6&amp;"   ","")&amp;IF(AND(N(Q276)&gt;0,N(Q277)&lt;=0.004),"✓ "&amp;'Calc base'!F$6&amp;"   ","")&amp;IF(AND(N(S276)&gt;0,N(S277)&lt;=0.004),"✓ "&amp;'Calc base'!G$6&amp;"   ","")&amp;IF(AND(N(U276)&gt;0,N(U277)&lt;=0.004),"✓ "&amp;'Calc base'!H$6&amp;"   ","")&amp;IF(AND(N(W276)&gt;0,N(W277)&lt;=0.004),"✓ "&amp;'Calc base'!I$6&amp;"   ","")&amp;IF(AND(N(Y276)&gt;0,N(Y277)&lt;=0.004),"✓ "&amp;'Calc base'!J$6&amp;"   ","")&amp;IF(AND(N(AA276)&gt;0,N(AA277)&lt;=0.004),"✓ "&amp;'Calc base'!K$6&amp;"   ","")&amp;IF(AND(N(AC276)&gt;0,N(AC277)&lt;=0.004),"✓ "&amp;'Calc base'!L$6&amp;"   ","")&amp;IF(AND(N(AE276)&gt;0,N(AE277)&lt;=0.004),"✓ "&amp;'Calc base'!M$6&amp;"   ","")&amp;IF(AND(N(AG276)&gt;0,N(AG277)&lt;=0.004),"✓ "&amp;'Calc base'!N$6&amp;"   ","")))</f>
        <v/>
      </c>
      <c r="J277" s="70" t="str">
        <f>IF($A277="","",ROUND(N(K276)*(1+'Calc base'!H300),2)-K277)</f>
        <v/>
      </c>
      <c r="K277" s="75" t="str">
        <f>IF($A277="","",CHOOSE('Calc riepilogo'!$B$2,'Calc valanga'!AT300,'Calc palla di neve'!AT300,'Calc personalizzata'!AT300))</f>
        <v/>
      </c>
      <c r="L277" s="70" t="str">
        <f>IF($A277="","",ROUND(N(M276)*(1+'Calc base'!I300),2)-M277)</f>
        <v/>
      </c>
      <c r="M277" s="75" t="str">
        <f>IF($A277="","",CHOOSE('Calc riepilogo'!$B$2,'Calc valanga'!AU300,'Calc palla di neve'!AU300,'Calc personalizzata'!AU300))</f>
        <v/>
      </c>
      <c r="N277" s="70" t="str">
        <f>IF($A277="","",ROUND(N(O276)*(1+'Calc base'!J300),2)-O277)</f>
        <v/>
      </c>
      <c r="O277" s="75" t="str">
        <f>IF($A277="","",CHOOSE('Calc riepilogo'!$B$2,'Calc valanga'!AV300,'Calc palla di neve'!AV300,'Calc personalizzata'!AV300))</f>
        <v/>
      </c>
      <c r="P277" s="70" t="str">
        <f>IF($A277="","",ROUND(N(Q276)*(1+'Calc base'!K300),2)-Q277)</f>
        <v/>
      </c>
      <c r="Q277" s="75" t="str">
        <f>IF($A277="","",CHOOSE('Calc riepilogo'!$B$2,'Calc valanga'!AW300,'Calc palla di neve'!AW300,'Calc personalizzata'!AW300))</f>
        <v/>
      </c>
      <c r="R277" s="70" t="str">
        <f>IF($A277="","",ROUND(N(S276)*(1+'Calc base'!L300),2)-S277)</f>
        <v/>
      </c>
      <c r="S277" s="75" t="str">
        <f>IF($A277="","",CHOOSE('Calc riepilogo'!$B$2,'Calc valanga'!AX300,'Calc palla di neve'!AX300,'Calc personalizzata'!AX300))</f>
        <v/>
      </c>
      <c r="T277" s="70" t="str">
        <f>IF($A277="","",ROUND(N(U276)*(1+'Calc base'!M300),2)-U277)</f>
        <v/>
      </c>
      <c r="U277" s="75" t="str">
        <f>IF($A277="","",CHOOSE('Calc riepilogo'!$B$2,'Calc valanga'!AY300,'Calc palla di neve'!AY300,'Calc personalizzata'!AY300))</f>
        <v/>
      </c>
      <c r="V277" s="70" t="str">
        <f>IF($A277="","",ROUND(N(W276)*(1+'Calc base'!N300),2)-W277)</f>
        <v/>
      </c>
      <c r="W277" s="75" t="str">
        <f>IF($A277="","",CHOOSE('Calc riepilogo'!$B$2,'Calc valanga'!AZ300,'Calc palla di neve'!AZ300,'Calc personalizzata'!AZ300))</f>
        <v/>
      </c>
      <c r="X277" s="70" t="str">
        <f>IF($A277="","",ROUND(N(Y276)*(1+'Calc base'!O300),2)-Y277)</f>
        <v/>
      </c>
      <c r="Y277" s="75" t="str">
        <f>IF($A277="","",CHOOSE('Calc riepilogo'!$B$2,'Calc valanga'!BA300,'Calc palla di neve'!BA300,'Calc personalizzata'!BA300))</f>
        <v/>
      </c>
      <c r="Z277" s="70" t="str">
        <f>IF($A277="","",ROUND(N(AA276)*(1+'Calc base'!P300),2)-AA277)</f>
        <v/>
      </c>
      <c r="AA277" s="75" t="str">
        <f>IF($A277="","",CHOOSE('Calc riepilogo'!$B$2,'Calc valanga'!BB300,'Calc palla di neve'!BB300,'Calc personalizzata'!BB300))</f>
        <v/>
      </c>
      <c r="AB277" s="70" t="str">
        <f>IF($A277="","",ROUND(N(AC276)*(1+'Calc base'!Q300),2)-AC277)</f>
        <v/>
      </c>
      <c r="AC277" s="75" t="str">
        <f>IF($A277="","",CHOOSE('Calc riepilogo'!$B$2,'Calc valanga'!BC300,'Calc palla di neve'!BC300,'Calc personalizzata'!BC300))</f>
        <v/>
      </c>
      <c r="AD277" s="70" t="str">
        <f>IF($A277="","",ROUND(N(AE276)*(1+'Calc base'!R300),2)-AE277)</f>
        <v/>
      </c>
      <c r="AE277" s="75" t="str">
        <f>IF($A277="","",CHOOSE('Calc riepilogo'!$B$2,'Calc valanga'!BD300,'Calc palla di neve'!BD300,'Calc personalizzata'!BD300))</f>
        <v/>
      </c>
      <c r="AF277" s="70" t="str">
        <f>IF($A277="","",ROUND(N(AG276)*(1+'Calc base'!S300),2)-AG277)</f>
        <v/>
      </c>
      <c r="AG277" s="75" t="str">
        <f>IF($A277="","",CHOOSE('Calc riepilogo'!$B$2,'Calc valanga'!BE300,'Calc palla di neve'!BE300,'Calc personalizzata'!BE300))</f>
        <v/>
      </c>
      <c r="AI277" t="n">
        <v>270</v>
      </c>
    </row>
    <row r="278">
      <c r="A278" s="68" t="str">
        <f>IF(271&gt;'Calc riepilogo'!$B$7,"",'Calc base'!$B301)</f>
        <v/>
      </c>
      <c r="B278" s="69" t="str">
        <f>IF($A278="","",'Calc base'!$C301)</f>
        <v/>
      </c>
      <c r="C278" s="69" t="str">
        <f>IF($A278="","",'Calc base'!$E301)</f>
        <v/>
      </c>
      <c r="D278" s="70" t="str">
        <f>IF($A278="","",J278+L278+N278+P278+R278+T278+V278+X278+Z278+AB278+AD278+AF278)</f>
        <v/>
      </c>
      <c r="E278" s="70" t="str">
        <f>IF($A278="","",CHOOSE('Calc riepilogo'!$B$2,'Calc valanga'!$H301,'Calc palla di neve'!$H301,'Calc personalizzata'!$H301))</f>
        <v/>
      </c>
      <c r="F278" s="71" t="str">
        <f>IF($A278="","",CHOOSE('Calc riepilogo'!$B$2,'Calc valanga'!$G301,'Calc palla di neve'!$G301,'Calc personalizzata'!$G301))</f>
        <v/>
      </c>
      <c r="G278" s="72" t="n"/>
      <c r="H278" s="73" t="n"/>
      <c r="I278" s="74" t="str">
        <f>IF($A278="","",TRIM(IF(AND(N(K277)&gt;0,N(K278)&lt;=0.004),"✓ "&amp;'Calc base'!C$6&amp;"   ","")&amp;IF(AND(N(M277)&gt;0,N(M278)&lt;=0.004),"✓ "&amp;'Calc base'!D$6&amp;"   ","")&amp;IF(AND(N(O277)&gt;0,N(O278)&lt;=0.004),"✓ "&amp;'Calc base'!E$6&amp;"   ","")&amp;IF(AND(N(Q277)&gt;0,N(Q278)&lt;=0.004),"✓ "&amp;'Calc base'!F$6&amp;"   ","")&amp;IF(AND(N(S277)&gt;0,N(S278)&lt;=0.004),"✓ "&amp;'Calc base'!G$6&amp;"   ","")&amp;IF(AND(N(U277)&gt;0,N(U278)&lt;=0.004),"✓ "&amp;'Calc base'!H$6&amp;"   ","")&amp;IF(AND(N(W277)&gt;0,N(W278)&lt;=0.004),"✓ "&amp;'Calc base'!I$6&amp;"   ","")&amp;IF(AND(N(Y277)&gt;0,N(Y278)&lt;=0.004),"✓ "&amp;'Calc base'!J$6&amp;"   ","")&amp;IF(AND(N(AA277)&gt;0,N(AA278)&lt;=0.004),"✓ "&amp;'Calc base'!K$6&amp;"   ","")&amp;IF(AND(N(AC277)&gt;0,N(AC278)&lt;=0.004),"✓ "&amp;'Calc base'!L$6&amp;"   ","")&amp;IF(AND(N(AE277)&gt;0,N(AE278)&lt;=0.004),"✓ "&amp;'Calc base'!M$6&amp;"   ","")&amp;IF(AND(N(AG277)&gt;0,N(AG278)&lt;=0.004),"✓ "&amp;'Calc base'!N$6&amp;"   ","")))</f>
        <v/>
      </c>
      <c r="J278" s="70" t="str">
        <f>IF($A278="","",ROUND(N(K277)*(1+'Calc base'!H301),2)-K278)</f>
        <v/>
      </c>
      <c r="K278" s="75" t="str">
        <f>IF($A278="","",CHOOSE('Calc riepilogo'!$B$2,'Calc valanga'!AT301,'Calc palla di neve'!AT301,'Calc personalizzata'!AT301))</f>
        <v/>
      </c>
      <c r="L278" s="70" t="str">
        <f>IF($A278="","",ROUND(N(M277)*(1+'Calc base'!I301),2)-M278)</f>
        <v/>
      </c>
      <c r="M278" s="75" t="str">
        <f>IF($A278="","",CHOOSE('Calc riepilogo'!$B$2,'Calc valanga'!AU301,'Calc palla di neve'!AU301,'Calc personalizzata'!AU301))</f>
        <v/>
      </c>
      <c r="N278" s="70" t="str">
        <f>IF($A278="","",ROUND(N(O277)*(1+'Calc base'!J301),2)-O278)</f>
        <v/>
      </c>
      <c r="O278" s="75" t="str">
        <f>IF($A278="","",CHOOSE('Calc riepilogo'!$B$2,'Calc valanga'!AV301,'Calc palla di neve'!AV301,'Calc personalizzata'!AV301))</f>
        <v/>
      </c>
      <c r="P278" s="70" t="str">
        <f>IF($A278="","",ROUND(N(Q277)*(1+'Calc base'!K301),2)-Q278)</f>
        <v/>
      </c>
      <c r="Q278" s="75" t="str">
        <f>IF($A278="","",CHOOSE('Calc riepilogo'!$B$2,'Calc valanga'!AW301,'Calc palla di neve'!AW301,'Calc personalizzata'!AW301))</f>
        <v/>
      </c>
      <c r="R278" s="70" t="str">
        <f>IF($A278="","",ROUND(N(S277)*(1+'Calc base'!L301),2)-S278)</f>
        <v/>
      </c>
      <c r="S278" s="75" t="str">
        <f>IF($A278="","",CHOOSE('Calc riepilogo'!$B$2,'Calc valanga'!AX301,'Calc palla di neve'!AX301,'Calc personalizzata'!AX301))</f>
        <v/>
      </c>
      <c r="T278" s="70" t="str">
        <f>IF($A278="","",ROUND(N(U277)*(1+'Calc base'!M301),2)-U278)</f>
        <v/>
      </c>
      <c r="U278" s="75" t="str">
        <f>IF($A278="","",CHOOSE('Calc riepilogo'!$B$2,'Calc valanga'!AY301,'Calc palla di neve'!AY301,'Calc personalizzata'!AY301))</f>
        <v/>
      </c>
      <c r="V278" s="70" t="str">
        <f>IF($A278="","",ROUND(N(W277)*(1+'Calc base'!N301),2)-W278)</f>
        <v/>
      </c>
      <c r="W278" s="75" t="str">
        <f>IF($A278="","",CHOOSE('Calc riepilogo'!$B$2,'Calc valanga'!AZ301,'Calc palla di neve'!AZ301,'Calc personalizzata'!AZ301))</f>
        <v/>
      </c>
      <c r="X278" s="70" t="str">
        <f>IF($A278="","",ROUND(N(Y277)*(1+'Calc base'!O301),2)-Y278)</f>
        <v/>
      </c>
      <c r="Y278" s="75" t="str">
        <f>IF($A278="","",CHOOSE('Calc riepilogo'!$B$2,'Calc valanga'!BA301,'Calc palla di neve'!BA301,'Calc personalizzata'!BA301))</f>
        <v/>
      </c>
      <c r="Z278" s="70" t="str">
        <f>IF($A278="","",ROUND(N(AA277)*(1+'Calc base'!P301),2)-AA278)</f>
        <v/>
      </c>
      <c r="AA278" s="75" t="str">
        <f>IF($A278="","",CHOOSE('Calc riepilogo'!$B$2,'Calc valanga'!BB301,'Calc palla di neve'!BB301,'Calc personalizzata'!BB301))</f>
        <v/>
      </c>
      <c r="AB278" s="70" t="str">
        <f>IF($A278="","",ROUND(N(AC277)*(1+'Calc base'!Q301),2)-AC278)</f>
        <v/>
      </c>
      <c r="AC278" s="75" t="str">
        <f>IF($A278="","",CHOOSE('Calc riepilogo'!$B$2,'Calc valanga'!BC301,'Calc palla di neve'!BC301,'Calc personalizzata'!BC301))</f>
        <v/>
      </c>
      <c r="AD278" s="70" t="str">
        <f>IF($A278="","",ROUND(N(AE277)*(1+'Calc base'!R301),2)-AE278)</f>
        <v/>
      </c>
      <c r="AE278" s="75" t="str">
        <f>IF($A278="","",CHOOSE('Calc riepilogo'!$B$2,'Calc valanga'!BD301,'Calc palla di neve'!BD301,'Calc personalizzata'!BD301))</f>
        <v/>
      </c>
      <c r="AF278" s="70" t="str">
        <f>IF($A278="","",ROUND(N(AG277)*(1+'Calc base'!S301),2)-AG278)</f>
        <v/>
      </c>
      <c r="AG278" s="75" t="str">
        <f>IF($A278="","",CHOOSE('Calc riepilogo'!$B$2,'Calc valanga'!BE301,'Calc palla di neve'!BE301,'Calc personalizzata'!BE301))</f>
        <v/>
      </c>
      <c r="AI278" t="n">
        <v>271</v>
      </c>
    </row>
    <row r="279">
      <c r="A279" s="68" t="str">
        <f>IF(272&gt;'Calc riepilogo'!$B$7,"",'Calc base'!$B302)</f>
        <v/>
      </c>
      <c r="B279" s="69" t="str">
        <f>IF($A279="","",'Calc base'!$C302)</f>
        <v/>
      </c>
      <c r="C279" s="69" t="str">
        <f>IF($A279="","",'Calc base'!$E302)</f>
        <v/>
      </c>
      <c r="D279" s="70" t="str">
        <f>IF($A279="","",J279+L279+N279+P279+R279+T279+V279+X279+Z279+AB279+AD279+AF279)</f>
        <v/>
      </c>
      <c r="E279" s="70" t="str">
        <f>IF($A279="","",CHOOSE('Calc riepilogo'!$B$2,'Calc valanga'!$H302,'Calc palla di neve'!$H302,'Calc personalizzata'!$H302))</f>
        <v/>
      </c>
      <c r="F279" s="71" t="str">
        <f>IF($A279="","",CHOOSE('Calc riepilogo'!$B$2,'Calc valanga'!$G302,'Calc palla di neve'!$G302,'Calc personalizzata'!$G302))</f>
        <v/>
      </c>
      <c r="G279" s="72" t="n"/>
      <c r="H279" s="73" t="n"/>
      <c r="I279" s="74" t="str">
        <f>IF($A279="","",TRIM(IF(AND(N(K278)&gt;0,N(K279)&lt;=0.004),"✓ "&amp;'Calc base'!C$6&amp;"   ","")&amp;IF(AND(N(M278)&gt;0,N(M279)&lt;=0.004),"✓ "&amp;'Calc base'!D$6&amp;"   ","")&amp;IF(AND(N(O278)&gt;0,N(O279)&lt;=0.004),"✓ "&amp;'Calc base'!E$6&amp;"   ","")&amp;IF(AND(N(Q278)&gt;0,N(Q279)&lt;=0.004),"✓ "&amp;'Calc base'!F$6&amp;"   ","")&amp;IF(AND(N(S278)&gt;0,N(S279)&lt;=0.004),"✓ "&amp;'Calc base'!G$6&amp;"   ","")&amp;IF(AND(N(U278)&gt;0,N(U279)&lt;=0.004),"✓ "&amp;'Calc base'!H$6&amp;"   ","")&amp;IF(AND(N(W278)&gt;0,N(W279)&lt;=0.004),"✓ "&amp;'Calc base'!I$6&amp;"   ","")&amp;IF(AND(N(Y278)&gt;0,N(Y279)&lt;=0.004),"✓ "&amp;'Calc base'!J$6&amp;"   ","")&amp;IF(AND(N(AA278)&gt;0,N(AA279)&lt;=0.004),"✓ "&amp;'Calc base'!K$6&amp;"   ","")&amp;IF(AND(N(AC278)&gt;0,N(AC279)&lt;=0.004),"✓ "&amp;'Calc base'!L$6&amp;"   ","")&amp;IF(AND(N(AE278)&gt;0,N(AE279)&lt;=0.004),"✓ "&amp;'Calc base'!M$6&amp;"   ","")&amp;IF(AND(N(AG278)&gt;0,N(AG279)&lt;=0.004),"✓ "&amp;'Calc base'!N$6&amp;"   ","")))</f>
        <v/>
      </c>
      <c r="J279" s="70" t="str">
        <f>IF($A279="","",ROUND(N(K278)*(1+'Calc base'!H302),2)-K279)</f>
        <v/>
      </c>
      <c r="K279" s="75" t="str">
        <f>IF($A279="","",CHOOSE('Calc riepilogo'!$B$2,'Calc valanga'!AT302,'Calc palla di neve'!AT302,'Calc personalizzata'!AT302))</f>
        <v/>
      </c>
      <c r="L279" s="70" t="str">
        <f>IF($A279="","",ROUND(N(M278)*(1+'Calc base'!I302),2)-M279)</f>
        <v/>
      </c>
      <c r="M279" s="75" t="str">
        <f>IF($A279="","",CHOOSE('Calc riepilogo'!$B$2,'Calc valanga'!AU302,'Calc palla di neve'!AU302,'Calc personalizzata'!AU302))</f>
        <v/>
      </c>
      <c r="N279" s="70" t="str">
        <f>IF($A279="","",ROUND(N(O278)*(1+'Calc base'!J302),2)-O279)</f>
        <v/>
      </c>
      <c r="O279" s="75" t="str">
        <f>IF($A279="","",CHOOSE('Calc riepilogo'!$B$2,'Calc valanga'!AV302,'Calc palla di neve'!AV302,'Calc personalizzata'!AV302))</f>
        <v/>
      </c>
      <c r="P279" s="70" t="str">
        <f>IF($A279="","",ROUND(N(Q278)*(1+'Calc base'!K302),2)-Q279)</f>
        <v/>
      </c>
      <c r="Q279" s="75" t="str">
        <f>IF($A279="","",CHOOSE('Calc riepilogo'!$B$2,'Calc valanga'!AW302,'Calc palla di neve'!AW302,'Calc personalizzata'!AW302))</f>
        <v/>
      </c>
      <c r="R279" s="70" t="str">
        <f>IF($A279="","",ROUND(N(S278)*(1+'Calc base'!L302),2)-S279)</f>
        <v/>
      </c>
      <c r="S279" s="75" t="str">
        <f>IF($A279="","",CHOOSE('Calc riepilogo'!$B$2,'Calc valanga'!AX302,'Calc palla di neve'!AX302,'Calc personalizzata'!AX302))</f>
        <v/>
      </c>
      <c r="T279" s="70" t="str">
        <f>IF($A279="","",ROUND(N(U278)*(1+'Calc base'!M302),2)-U279)</f>
        <v/>
      </c>
      <c r="U279" s="75" t="str">
        <f>IF($A279="","",CHOOSE('Calc riepilogo'!$B$2,'Calc valanga'!AY302,'Calc palla di neve'!AY302,'Calc personalizzata'!AY302))</f>
        <v/>
      </c>
      <c r="V279" s="70" t="str">
        <f>IF($A279="","",ROUND(N(W278)*(1+'Calc base'!N302),2)-W279)</f>
        <v/>
      </c>
      <c r="W279" s="75" t="str">
        <f>IF($A279="","",CHOOSE('Calc riepilogo'!$B$2,'Calc valanga'!AZ302,'Calc palla di neve'!AZ302,'Calc personalizzata'!AZ302))</f>
        <v/>
      </c>
      <c r="X279" s="70" t="str">
        <f>IF($A279="","",ROUND(N(Y278)*(1+'Calc base'!O302),2)-Y279)</f>
        <v/>
      </c>
      <c r="Y279" s="75" t="str">
        <f>IF($A279="","",CHOOSE('Calc riepilogo'!$B$2,'Calc valanga'!BA302,'Calc palla di neve'!BA302,'Calc personalizzata'!BA302))</f>
        <v/>
      </c>
      <c r="Z279" s="70" t="str">
        <f>IF($A279="","",ROUND(N(AA278)*(1+'Calc base'!P302),2)-AA279)</f>
        <v/>
      </c>
      <c r="AA279" s="75" t="str">
        <f>IF($A279="","",CHOOSE('Calc riepilogo'!$B$2,'Calc valanga'!BB302,'Calc palla di neve'!BB302,'Calc personalizzata'!BB302))</f>
        <v/>
      </c>
      <c r="AB279" s="70" t="str">
        <f>IF($A279="","",ROUND(N(AC278)*(1+'Calc base'!Q302),2)-AC279)</f>
        <v/>
      </c>
      <c r="AC279" s="75" t="str">
        <f>IF($A279="","",CHOOSE('Calc riepilogo'!$B$2,'Calc valanga'!BC302,'Calc palla di neve'!BC302,'Calc personalizzata'!BC302))</f>
        <v/>
      </c>
      <c r="AD279" s="70" t="str">
        <f>IF($A279="","",ROUND(N(AE278)*(1+'Calc base'!R302),2)-AE279)</f>
        <v/>
      </c>
      <c r="AE279" s="75" t="str">
        <f>IF($A279="","",CHOOSE('Calc riepilogo'!$B$2,'Calc valanga'!BD302,'Calc palla di neve'!BD302,'Calc personalizzata'!BD302))</f>
        <v/>
      </c>
      <c r="AF279" s="70" t="str">
        <f>IF($A279="","",ROUND(N(AG278)*(1+'Calc base'!S302),2)-AG279)</f>
        <v/>
      </c>
      <c r="AG279" s="75" t="str">
        <f>IF($A279="","",CHOOSE('Calc riepilogo'!$B$2,'Calc valanga'!BE302,'Calc palla di neve'!BE302,'Calc personalizzata'!BE302))</f>
        <v/>
      </c>
      <c r="AI279" t="n">
        <v>272</v>
      </c>
    </row>
    <row r="280">
      <c r="A280" s="68" t="str">
        <f>IF(273&gt;'Calc riepilogo'!$B$7,"",'Calc base'!$B303)</f>
        <v/>
      </c>
      <c r="B280" s="69" t="str">
        <f>IF($A280="","",'Calc base'!$C303)</f>
        <v/>
      </c>
      <c r="C280" s="69" t="str">
        <f>IF($A280="","",'Calc base'!$E303)</f>
        <v/>
      </c>
      <c r="D280" s="70" t="str">
        <f>IF($A280="","",J280+L280+N280+P280+R280+T280+V280+X280+Z280+AB280+AD280+AF280)</f>
        <v/>
      </c>
      <c r="E280" s="70" t="str">
        <f>IF($A280="","",CHOOSE('Calc riepilogo'!$B$2,'Calc valanga'!$H303,'Calc palla di neve'!$H303,'Calc personalizzata'!$H303))</f>
        <v/>
      </c>
      <c r="F280" s="71" t="str">
        <f>IF($A280="","",CHOOSE('Calc riepilogo'!$B$2,'Calc valanga'!$G303,'Calc palla di neve'!$G303,'Calc personalizzata'!$G303))</f>
        <v/>
      </c>
      <c r="G280" s="72" t="n"/>
      <c r="H280" s="73" t="n"/>
      <c r="I280" s="74" t="str">
        <f>IF($A280="","",TRIM(IF(AND(N(K279)&gt;0,N(K280)&lt;=0.004),"✓ "&amp;'Calc base'!C$6&amp;"   ","")&amp;IF(AND(N(M279)&gt;0,N(M280)&lt;=0.004),"✓ "&amp;'Calc base'!D$6&amp;"   ","")&amp;IF(AND(N(O279)&gt;0,N(O280)&lt;=0.004),"✓ "&amp;'Calc base'!E$6&amp;"   ","")&amp;IF(AND(N(Q279)&gt;0,N(Q280)&lt;=0.004),"✓ "&amp;'Calc base'!F$6&amp;"   ","")&amp;IF(AND(N(S279)&gt;0,N(S280)&lt;=0.004),"✓ "&amp;'Calc base'!G$6&amp;"   ","")&amp;IF(AND(N(U279)&gt;0,N(U280)&lt;=0.004),"✓ "&amp;'Calc base'!H$6&amp;"   ","")&amp;IF(AND(N(W279)&gt;0,N(W280)&lt;=0.004),"✓ "&amp;'Calc base'!I$6&amp;"   ","")&amp;IF(AND(N(Y279)&gt;0,N(Y280)&lt;=0.004),"✓ "&amp;'Calc base'!J$6&amp;"   ","")&amp;IF(AND(N(AA279)&gt;0,N(AA280)&lt;=0.004),"✓ "&amp;'Calc base'!K$6&amp;"   ","")&amp;IF(AND(N(AC279)&gt;0,N(AC280)&lt;=0.004),"✓ "&amp;'Calc base'!L$6&amp;"   ","")&amp;IF(AND(N(AE279)&gt;0,N(AE280)&lt;=0.004),"✓ "&amp;'Calc base'!M$6&amp;"   ","")&amp;IF(AND(N(AG279)&gt;0,N(AG280)&lt;=0.004),"✓ "&amp;'Calc base'!N$6&amp;"   ","")))</f>
        <v/>
      </c>
      <c r="J280" s="70" t="str">
        <f>IF($A280="","",ROUND(N(K279)*(1+'Calc base'!H303),2)-K280)</f>
        <v/>
      </c>
      <c r="K280" s="75" t="str">
        <f>IF($A280="","",CHOOSE('Calc riepilogo'!$B$2,'Calc valanga'!AT303,'Calc palla di neve'!AT303,'Calc personalizzata'!AT303))</f>
        <v/>
      </c>
      <c r="L280" s="70" t="str">
        <f>IF($A280="","",ROUND(N(M279)*(1+'Calc base'!I303),2)-M280)</f>
        <v/>
      </c>
      <c r="M280" s="75" t="str">
        <f>IF($A280="","",CHOOSE('Calc riepilogo'!$B$2,'Calc valanga'!AU303,'Calc palla di neve'!AU303,'Calc personalizzata'!AU303))</f>
        <v/>
      </c>
      <c r="N280" s="70" t="str">
        <f>IF($A280="","",ROUND(N(O279)*(1+'Calc base'!J303),2)-O280)</f>
        <v/>
      </c>
      <c r="O280" s="75" t="str">
        <f>IF($A280="","",CHOOSE('Calc riepilogo'!$B$2,'Calc valanga'!AV303,'Calc palla di neve'!AV303,'Calc personalizzata'!AV303))</f>
        <v/>
      </c>
      <c r="P280" s="70" t="str">
        <f>IF($A280="","",ROUND(N(Q279)*(1+'Calc base'!K303),2)-Q280)</f>
        <v/>
      </c>
      <c r="Q280" s="75" t="str">
        <f>IF($A280="","",CHOOSE('Calc riepilogo'!$B$2,'Calc valanga'!AW303,'Calc palla di neve'!AW303,'Calc personalizzata'!AW303))</f>
        <v/>
      </c>
      <c r="R280" s="70" t="str">
        <f>IF($A280="","",ROUND(N(S279)*(1+'Calc base'!L303),2)-S280)</f>
        <v/>
      </c>
      <c r="S280" s="75" t="str">
        <f>IF($A280="","",CHOOSE('Calc riepilogo'!$B$2,'Calc valanga'!AX303,'Calc palla di neve'!AX303,'Calc personalizzata'!AX303))</f>
        <v/>
      </c>
      <c r="T280" s="70" t="str">
        <f>IF($A280="","",ROUND(N(U279)*(1+'Calc base'!M303),2)-U280)</f>
        <v/>
      </c>
      <c r="U280" s="75" t="str">
        <f>IF($A280="","",CHOOSE('Calc riepilogo'!$B$2,'Calc valanga'!AY303,'Calc palla di neve'!AY303,'Calc personalizzata'!AY303))</f>
        <v/>
      </c>
      <c r="V280" s="70" t="str">
        <f>IF($A280="","",ROUND(N(W279)*(1+'Calc base'!N303),2)-W280)</f>
        <v/>
      </c>
      <c r="W280" s="75" t="str">
        <f>IF($A280="","",CHOOSE('Calc riepilogo'!$B$2,'Calc valanga'!AZ303,'Calc palla di neve'!AZ303,'Calc personalizzata'!AZ303))</f>
        <v/>
      </c>
      <c r="X280" s="70" t="str">
        <f>IF($A280="","",ROUND(N(Y279)*(1+'Calc base'!O303),2)-Y280)</f>
        <v/>
      </c>
      <c r="Y280" s="75" t="str">
        <f>IF($A280="","",CHOOSE('Calc riepilogo'!$B$2,'Calc valanga'!BA303,'Calc palla di neve'!BA303,'Calc personalizzata'!BA303))</f>
        <v/>
      </c>
      <c r="Z280" s="70" t="str">
        <f>IF($A280="","",ROUND(N(AA279)*(1+'Calc base'!P303),2)-AA280)</f>
        <v/>
      </c>
      <c r="AA280" s="75" t="str">
        <f>IF($A280="","",CHOOSE('Calc riepilogo'!$B$2,'Calc valanga'!BB303,'Calc palla di neve'!BB303,'Calc personalizzata'!BB303))</f>
        <v/>
      </c>
      <c r="AB280" s="70" t="str">
        <f>IF($A280="","",ROUND(N(AC279)*(1+'Calc base'!Q303),2)-AC280)</f>
        <v/>
      </c>
      <c r="AC280" s="75" t="str">
        <f>IF($A280="","",CHOOSE('Calc riepilogo'!$B$2,'Calc valanga'!BC303,'Calc palla di neve'!BC303,'Calc personalizzata'!BC303))</f>
        <v/>
      </c>
      <c r="AD280" s="70" t="str">
        <f>IF($A280="","",ROUND(N(AE279)*(1+'Calc base'!R303),2)-AE280)</f>
        <v/>
      </c>
      <c r="AE280" s="75" t="str">
        <f>IF($A280="","",CHOOSE('Calc riepilogo'!$B$2,'Calc valanga'!BD303,'Calc palla di neve'!BD303,'Calc personalizzata'!BD303))</f>
        <v/>
      </c>
      <c r="AF280" s="70" t="str">
        <f>IF($A280="","",ROUND(N(AG279)*(1+'Calc base'!S303),2)-AG280)</f>
        <v/>
      </c>
      <c r="AG280" s="75" t="str">
        <f>IF($A280="","",CHOOSE('Calc riepilogo'!$B$2,'Calc valanga'!BE303,'Calc palla di neve'!BE303,'Calc personalizzata'!BE303))</f>
        <v/>
      </c>
      <c r="AI280" t="n">
        <v>273</v>
      </c>
    </row>
    <row r="281">
      <c r="A281" s="68" t="str">
        <f>IF(274&gt;'Calc riepilogo'!$B$7,"",'Calc base'!$B304)</f>
        <v/>
      </c>
      <c r="B281" s="69" t="str">
        <f>IF($A281="","",'Calc base'!$C304)</f>
        <v/>
      </c>
      <c r="C281" s="69" t="str">
        <f>IF($A281="","",'Calc base'!$E304)</f>
        <v/>
      </c>
      <c r="D281" s="70" t="str">
        <f>IF($A281="","",J281+L281+N281+P281+R281+T281+V281+X281+Z281+AB281+AD281+AF281)</f>
        <v/>
      </c>
      <c r="E281" s="70" t="str">
        <f>IF($A281="","",CHOOSE('Calc riepilogo'!$B$2,'Calc valanga'!$H304,'Calc palla di neve'!$H304,'Calc personalizzata'!$H304))</f>
        <v/>
      </c>
      <c r="F281" s="71" t="str">
        <f>IF($A281="","",CHOOSE('Calc riepilogo'!$B$2,'Calc valanga'!$G304,'Calc palla di neve'!$G304,'Calc personalizzata'!$G304))</f>
        <v/>
      </c>
      <c r="G281" s="72" t="n"/>
      <c r="H281" s="73" t="n"/>
      <c r="I281" s="74" t="str">
        <f>IF($A281="","",TRIM(IF(AND(N(K280)&gt;0,N(K281)&lt;=0.004),"✓ "&amp;'Calc base'!C$6&amp;"   ","")&amp;IF(AND(N(M280)&gt;0,N(M281)&lt;=0.004),"✓ "&amp;'Calc base'!D$6&amp;"   ","")&amp;IF(AND(N(O280)&gt;0,N(O281)&lt;=0.004),"✓ "&amp;'Calc base'!E$6&amp;"   ","")&amp;IF(AND(N(Q280)&gt;0,N(Q281)&lt;=0.004),"✓ "&amp;'Calc base'!F$6&amp;"   ","")&amp;IF(AND(N(S280)&gt;0,N(S281)&lt;=0.004),"✓ "&amp;'Calc base'!G$6&amp;"   ","")&amp;IF(AND(N(U280)&gt;0,N(U281)&lt;=0.004),"✓ "&amp;'Calc base'!H$6&amp;"   ","")&amp;IF(AND(N(W280)&gt;0,N(W281)&lt;=0.004),"✓ "&amp;'Calc base'!I$6&amp;"   ","")&amp;IF(AND(N(Y280)&gt;0,N(Y281)&lt;=0.004),"✓ "&amp;'Calc base'!J$6&amp;"   ","")&amp;IF(AND(N(AA280)&gt;0,N(AA281)&lt;=0.004),"✓ "&amp;'Calc base'!K$6&amp;"   ","")&amp;IF(AND(N(AC280)&gt;0,N(AC281)&lt;=0.004),"✓ "&amp;'Calc base'!L$6&amp;"   ","")&amp;IF(AND(N(AE280)&gt;0,N(AE281)&lt;=0.004),"✓ "&amp;'Calc base'!M$6&amp;"   ","")&amp;IF(AND(N(AG280)&gt;0,N(AG281)&lt;=0.004),"✓ "&amp;'Calc base'!N$6&amp;"   ","")))</f>
        <v/>
      </c>
      <c r="J281" s="70" t="str">
        <f>IF($A281="","",ROUND(N(K280)*(1+'Calc base'!H304),2)-K281)</f>
        <v/>
      </c>
      <c r="K281" s="75" t="str">
        <f>IF($A281="","",CHOOSE('Calc riepilogo'!$B$2,'Calc valanga'!AT304,'Calc palla di neve'!AT304,'Calc personalizzata'!AT304))</f>
        <v/>
      </c>
      <c r="L281" s="70" t="str">
        <f>IF($A281="","",ROUND(N(M280)*(1+'Calc base'!I304),2)-M281)</f>
        <v/>
      </c>
      <c r="M281" s="75" t="str">
        <f>IF($A281="","",CHOOSE('Calc riepilogo'!$B$2,'Calc valanga'!AU304,'Calc palla di neve'!AU304,'Calc personalizzata'!AU304))</f>
        <v/>
      </c>
      <c r="N281" s="70" t="str">
        <f>IF($A281="","",ROUND(N(O280)*(1+'Calc base'!J304),2)-O281)</f>
        <v/>
      </c>
      <c r="O281" s="75" t="str">
        <f>IF($A281="","",CHOOSE('Calc riepilogo'!$B$2,'Calc valanga'!AV304,'Calc palla di neve'!AV304,'Calc personalizzata'!AV304))</f>
        <v/>
      </c>
      <c r="P281" s="70" t="str">
        <f>IF($A281="","",ROUND(N(Q280)*(1+'Calc base'!K304),2)-Q281)</f>
        <v/>
      </c>
      <c r="Q281" s="75" t="str">
        <f>IF($A281="","",CHOOSE('Calc riepilogo'!$B$2,'Calc valanga'!AW304,'Calc palla di neve'!AW304,'Calc personalizzata'!AW304))</f>
        <v/>
      </c>
      <c r="R281" s="70" t="str">
        <f>IF($A281="","",ROUND(N(S280)*(1+'Calc base'!L304),2)-S281)</f>
        <v/>
      </c>
      <c r="S281" s="75" t="str">
        <f>IF($A281="","",CHOOSE('Calc riepilogo'!$B$2,'Calc valanga'!AX304,'Calc palla di neve'!AX304,'Calc personalizzata'!AX304))</f>
        <v/>
      </c>
      <c r="T281" s="70" t="str">
        <f>IF($A281="","",ROUND(N(U280)*(1+'Calc base'!M304),2)-U281)</f>
        <v/>
      </c>
      <c r="U281" s="75" t="str">
        <f>IF($A281="","",CHOOSE('Calc riepilogo'!$B$2,'Calc valanga'!AY304,'Calc palla di neve'!AY304,'Calc personalizzata'!AY304))</f>
        <v/>
      </c>
      <c r="V281" s="70" t="str">
        <f>IF($A281="","",ROUND(N(W280)*(1+'Calc base'!N304),2)-W281)</f>
        <v/>
      </c>
      <c r="W281" s="75" t="str">
        <f>IF($A281="","",CHOOSE('Calc riepilogo'!$B$2,'Calc valanga'!AZ304,'Calc palla di neve'!AZ304,'Calc personalizzata'!AZ304))</f>
        <v/>
      </c>
      <c r="X281" s="70" t="str">
        <f>IF($A281="","",ROUND(N(Y280)*(1+'Calc base'!O304),2)-Y281)</f>
        <v/>
      </c>
      <c r="Y281" s="75" t="str">
        <f>IF($A281="","",CHOOSE('Calc riepilogo'!$B$2,'Calc valanga'!BA304,'Calc palla di neve'!BA304,'Calc personalizzata'!BA304))</f>
        <v/>
      </c>
      <c r="Z281" s="70" t="str">
        <f>IF($A281="","",ROUND(N(AA280)*(1+'Calc base'!P304),2)-AA281)</f>
        <v/>
      </c>
      <c r="AA281" s="75" t="str">
        <f>IF($A281="","",CHOOSE('Calc riepilogo'!$B$2,'Calc valanga'!BB304,'Calc palla di neve'!BB304,'Calc personalizzata'!BB304))</f>
        <v/>
      </c>
      <c r="AB281" s="70" t="str">
        <f>IF($A281="","",ROUND(N(AC280)*(1+'Calc base'!Q304),2)-AC281)</f>
        <v/>
      </c>
      <c r="AC281" s="75" t="str">
        <f>IF($A281="","",CHOOSE('Calc riepilogo'!$B$2,'Calc valanga'!BC304,'Calc palla di neve'!BC304,'Calc personalizzata'!BC304))</f>
        <v/>
      </c>
      <c r="AD281" s="70" t="str">
        <f>IF($A281="","",ROUND(N(AE280)*(1+'Calc base'!R304),2)-AE281)</f>
        <v/>
      </c>
      <c r="AE281" s="75" t="str">
        <f>IF($A281="","",CHOOSE('Calc riepilogo'!$B$2,'Calc valanga'!BD304,'Calc palla di neve'!BD304,'Calc personalizzata'!BD304))</f>
        <v/>
      </c>
      <c r="AF281" s="70" t="str">
        <f>IF($A281="","",ROUND(N(AG280)*(1+'Calc base'!S304),2)-AG281)</f>
        <v/>
      </c>
      <c r="AG281" s="75" t="str">
        <f>IF($A281="","",CHOOSE('Calc riepilogo'!$B$2,'Calc valanga'!BE304,'Calc palla di neve'!BE304,'Calc personalizzata'!BE304))</f>
        <v/>
      </c>
      <c r="AI281" t="n">
        <v>274</v>
      </c>
    </row>
    <row r="282">
      <c r="A282" s="68" t="str">
        <f>IF(275&gt;'Calc riepilogo'!$B$7,"",'Calc base'!$B305)</f>
        <v/>
      </c>
      <c r="B282" s="69" t="str">
        <f>IF($A282="","",'Calc base'!$C305)</f>
        <v/>
      </c>
      <c r="C282" s="69" t="str">
        <f>IF($A282="","",'Calc base'!$E305)</f>
        <v/>
      </c>
      <c r="D282" s="70" t="str">
        <f>IF($A282="","",J282+L282+N282+P282+R282+T282+V282+X282+Z282+AB282+AD282+AF282)</f>
        <v/>
      </c>
      <c r="E282" s="70" t="str">
        <f>IF($A282="","",CHOOSE('Calc riepilogo'!$B$2,'Calc valanga'!$H305,'Calc palla di neve'!$H305,'Calc personalizzata'!$H305))</f>
        <v/>
      </c>
      <c r="F282" s="71" t="str">
        <f>IF($A282="","",CHOOSE('Calc riepilogo'!$B$2,'Calc valanga'!$G305,'Calc palla di neve'!$G305,'Calc personalizzata'!$G305))</f>
        <v/>
      </c>
      <c r="G282" s="72" t="n"/>
      <c r="H282" s="73" t="n"/>
      <c r="I282" s="74" t="str">
        <f>IF($A282="","",TRIM(IF(AND(N(K281)&gt;0,N(K282)&lt;=0.004),"✓ "&amp;'Calc base'!C$6&amp;"   ","")&amp;IF(AND(N(M281)&gt;0,N(M282)&lt;=0.004),"✓ "&amp;'Calc base'!D$6&amp;"   ","")&amp;IF(AND(N(O281)&gt;0,N(O282)&lt;=0.004),"✓ "&amp;'Calc base'!E$6&amp;"   ","")&amp;IF(AND(N(Q281)&gt;0,N(Q282)&lt;=0.004),"✓ "&amp;'Calc base'!F$6&amp;"   ","")&amp;IF(AND(N(S281)&gt;0,N(S282)&lt;=0.004),"✓ "&amp;'Calc base'!G$6&amp;"   ","")&amp;IF(AND(N(U281)&gt;0,N(U282)&lt;=0.004),"✓ "&amp;'Calc base'!H$6&amp;"   ","")&amp;IF(AND(N(W281)&gt;0,N(W282)&lt;=0.004),"✓ "&amp;'Calc base'!I$6&amp;"   ","")&amp;IF(AND(N(Y281)&gt;0,N(Y282)&lt;=0.004),"✓ "&amp;'Calc base'!J$6&amp;"   ","")&amp;IF(AND(N(AA281)&gt;0,N(AA282)&lt;=0.004),"✓ "&amp;'Calc base'!K$6&amp;"   ","")&amp;IF(AND(N(AC281)&gt;0,N(AC282)&lt;=0.004),"✓ "&amp;'Calc base'!L$6&amp;"   ","")&amp;IF(AND(N(AE281)&gt;0,N(AE282)&lt;=0.004),"✓ "&amp;'Calc base'!M$6&amp;"   ","")&amp;IF(AND(N(AG281)&gt;0,N(AG282)&lt;=0.004),"✓ "&amp;'Calc base'!N$6&amp;"   ","")))</f>
        <v/>
      </c>
      <c r="J282" s="70" t="str">
        <f>IF($A282="","",ROUND(N(K281)*(1+'Calc base'!H305),2)-K282)</f>
        <v/>
      </c>
      <c r="K282" s="75" t="str">
        <f>IF($A282="","",CHOOSE('Calc riepilogo'!$B$2,'Calc valanga'!AT305,'Calc palla di neve'!AT305,'Calc personalizzata'!AT305))</f>
        <v/>
      </c>
      <c r="L282" s="70" t="str">
        <f>IF($A282="","",ROUND(N(M281)*(1+'Calc base'!I305),2)-M282)</f>
        <v/>
      </c>
      <c r="M282" s="75" t="str">
        <f>IF($A282="","",CHOOSE('Calc riepilogo'!$B$2,'Calc valanga'!AU305,'Calc palla di neve'!AU305,'Calc personalizzata'!AU305))</f>
        <v/>
      </c>
      <c r="N282" s="70" t="str">
        <f>IF($A282="","",ROUND(N(O281)*(1+'Calc base'!J305),2)-O282)</f>
        <v/>
      </c>
      <c r="O282" s="75" t="str">
        <f>IF($A282="","",CHOOSE('Calc riepilogo'!$B$2,'Calc valanga'!AV305,'Calc palla di neve'!AV305,'Calc personalizzata'!AV305))</f>
        <v/>
      </c>
      <c r="P282" s="70" t="str">
        <f>IF($A282="","",ROUND(N(Q281)*(1+'Calc base'!K305),2)-Q282)</f>
        <v/>
      </c>
      <c r="Q282" s="75" t="str">
        <f>IF($A282="","",CHOOSE('Calc riepilogo'!$B$2,'Calc valanga'!AW305,'Calc palla di neve'!AW305,'Calc personalizzata'!AW305))</f>
        <v/>
      </c>
      <c r="R282" s="70" t="str">
        <f>IF($A282="","",ROUND(N(S281)*(1+'Calc base'!L305),2)-S282)</f>
        <v/>
      </c>
      <c r="S282" s="75" t="str">
        <f>IF($A282="","",CHOOSE('Calc riepilogo'!$B$2,'Calc valanga'!AX305,'Calc palla di neve'!AX305,'Calc personalizzata'!AX305))</f>
        <v/>
      </c>
      <c r="T282" s="70" t="str">
        <f>IF($A282="","",ROUND(N(U281)*(1+'Calc base'!M305),2)-U282)</f>
        <v/>
      </c>
      <c r="U282" s="75" t="str">
        <f>IF($A282="","",CHOOSE('Calc riepilogo'!$B$2,'Calc valanga'!AY305,'Calc palla di neve'!AY305,'Calc personalizzata'!AY305))</f>
        <v/>
      </c>
      <c r="V282" s="70" t="str">
        <f>IF($A282="","",ROUND(N(W281)*(1+'Calc base'!N305),2)-W282)</f>
        <v/>
      </c>
      <c r="W282" s="75" t="str">
        <f>IF($A282="","",CHOOSE('Calc riepilogo'!$B$2,'Calc valanga'!AZ305,'Calc palla di neve'!AZ305,'Calc personalizzata'!AZ305))</f>
        <v/>
      </c>
      <c r="X282" s="70" t="str">
        <f>IF($A282="","",ROUND(N(Y281)*(1+'Calc base'!O305),2)-Y282)</f>
        <v/>
      </c>
      <c r="Y282" s="75" t="str">
        <f>IF($A282="","",CHOOSE('Calc riepilogo'!$B$2,'Calc valanga'!BA305,'Calc palla di neve'!BA305,'Calc personalizzata'!BA305))</f>
        <v/>
      </c>
      <c r="Z282" s="70" t="str">
        <f>IF($A282="","",ROUND(N(AA281)*(1+'Calc base'!P305),2)-AA282)</f>
        <v/>
      </c>
      <c r="AA282" s="75" t="str">
        <f>IF($A282="","",CHOOSE('Calc riepilogo'!$B$2,'Calc valanga'!BB305,'Calc palla di neve'!BB305,'Calc personalizzata'!BB305))</f>
        <v/>
      </c>
      <c r="AB282" s="70" t="str">
        <f>IF($A282="","",ROUND(N(AC281)*(1+'Calc base'!Q305),2)-AC282)</f>
        <v/>
      </c>
      <c r="AC282" s="75" t="str">
        <f>IF($A282="","",CHOOSE('Calc riepilogo'!$B$2,'Calc valanga'!BC305,'Calc palla di neve'!BC305,'Calc personalizzata'!BC305))</f>
        <v/>
      </c>
      <c r="AD282" s="70" t="str">
        <f>IF($A282="","",ROUND(N(AE281)*(1+'Calc base'!R305),2)-AE282)</f>
        <v/>
      </c>
      <c r="AE282" s="75" t="str">
        <f>IF($A282="","",CHOOSE('Calc riepilogo'!$B$2,'Calc valanga'!BD305,'Calc palla di neve'!BD305,'Calc personalizzata'!BD305))</f>
        <v/>
      </c>
      <c r="AF282" s="70" t="str">
        <f>IF($A282="","",ROUND(N(AG281)*(1+'Calc base'!S305),2)-AG282)</f>
        <v/>
      </c>
      <c r="AG282" s="75" t="str">
        <f>IF($A282="","",CHOOSE('Calc riepilogo'!$B$2,'Calc valanga'!BE305,'Calc palla di neve'!BE305,'Calc personalizzata'!BE305))</f>
        <v/>
      </c>
      <c r="AI282" t="n">
        <v>275</v>
      </c>
    </row>
    <row r="283">
      <c r="A283" s="68" t="str">
        <f>IF(276&gt;'Calc riepilogo'!$B$7,"",'Calc base'!$B306)</f>
        <v/>
      </c>
      <c r="B283" s="69" t="str">
        <f>IF($A283="","",'Calc base'!$C306)</f>
        <v/>
      </c>
      <c r="C283" s="69" t="str">
        <f>IF($A283="","",'Calc base'!$E306)</f>
        <v/>
      </c>
      <c r="D283" s="70" t="str">
        <f>IF($A283="","",J283+L283+N283+P283+R283+T283+V283+X283+Z283+AB283+AD283+AF283)</f>
        <v/>
      </c>
      <c r="E283" s="70" t="str">
        <f>IF($A283="","",CHOOSE('Calc riepilogo'!$B$2,'Calc valanga'!$H306,'Calc palla di neve'!$H306,'Calc personalizzata'!$H306))</f>
        <v/>
      </c>
      <c r="F283" s="71" t="str">
        <f>IF($A283="","",CHOOSE('Calc riepilogo'!$B$2,'Calc valanga'!$G306,'Calc palla di neve'!$G306,'Calc personalizzata'!$G306))</f>
        <v/>
      </c>
      <c r="G283" s="72" t="n"/>
      <c r="H283" s="73" t="n"/>
      <c r="I283" s="74" t="str">
        <f>IF($A283="","",TRIM(IF(AND(N(K282)&gt;0,N(K283)&lt;=0.004),"✓ "&amp;'Calc base'!C$6&amp;"   ","")&amp;IF(AND(N(M282)&gt;0,N(M283)&lt;=0.004),"✓ "&amp;'Calc base'!D$6&amp;"   ","")&amp;IF(AND(N(O282)&gt;0,N(O283)&lt;=0.004),"✓ "&amp;'Calc base'!E$6&amp;"   ","")&amp;IF(AND(N(Q282)&gt;0,N(Q283)&lt;=0.004),"✓ "&amp;'Calc base'!F$6&amp;"   ","")&amp;IF(AND(N(S282)&gt;0,N(S283)&lt;=0.004),"✓ "&amp;'Calc base'!G$6&amp;"   ","")&amp;IF(AND(N(U282)&gt;0,N(U283)&lt;=0.004),"✓ "&amp;'Calc base'!H$6&amp;"   ","")&amp;IF(AND(N(W282)&gt;0,N(W283)&lt;=0.004),"✓ "&amp;'Calc base'!I$6&amp;"   ","")&amp;IF(AND(N(Y282)&gt;0,N(Y283)&lt;=0.004),"✓ "&amp;'Calc base'!J$6&amp;"   ","")&amp;IF(AND(N(AA282)&gt;0,N(AA283)&lt;=0.004),"✓ "&amp;'Calc base'!K$6&amp;"   ","")&amp;IF(AND(N(AC282)&gt;0,N(AC283)&lt;=0.004),"✓ "&amp;'Calc base'!L$6&amp;"   ","")&amp;IF(AND(N(AE282)&gt;0,N(AE283)&lt;=0.004),"✓ "&amp;'Calc base'!M$6&amp;"   ","")&amp;IF(AND(N(AG282)&gt;0,N(AG283)&lt;=0.004),"✓ "&amp;'Calc base'!N$6&amp;"   ","")))</f>
        <v/>
      </c>
      <c r="J283" s="70" t="str">
        <f>IF($A283="","",ROUND(N(K282)*(1+'Calc base'!H306),2)-K283)</f>
        <v/>
      </c>
      <c r="K283" s="75" t="str">
        <f>IF($A283="","",CHOOSE('Calc riepilogo'!$B$2,'Calc valanga'!AT306,'Calc palla di neve'!AT306,'Calc personalizzata'!AT306))</f>
        <v/>
      </c>
      <c r="L283" s="70" t="str">
        <f>IF($A283="","",ROUND(N(M282)*(1+'Calc base'!I306),2)-M283)</f>
        <v/>
      </c>
      <c r="M283" s="75" t="str">
        <f>IF($A283="","",CHOOSE('Calc riepilogo'!$B$2,'Calc valanga'!AU306,'Calc palla di neve'!AU306,'Calc personalizzata'!AU306))</f>
        <v/>
      </c>
      <c r="N283" s="70" t="str">
        <f>IF($A283="","",ROUND(N(O282)*(1+'Calc base'!J306),2)-O283)</f>
        <v/>
      </c>
      <c r="O283" s="75" t="str">
        <f>IF($A283="","",CHOOSE('Calc riepilogo'!$B$2,'Calc valanga'!AV306,'Calc palla di neve'!AV306,'Calc personalizzata'!AV306))</f>
        <v/>
      </c>
      <c r="P283" s="70" t="str">
        <f>IF($A283="","",ROUND(N(Q282)*(1+'Calc base'!K306),2)-Q283)</f>
        <v/>
      </c>
      <c r="Q283" s="75" t="str">
        <f>IF($A283="","",CHOOSE('Calc riepilogo'!$B$2,'Calc valanga'!AW306,'Calc palla di neve'!AW306,'Calc personalizzata'!AW306))</f>
        <v/>
      </c>
      <c r="R283" s="70" t="str">
        <f>IF($A283="","",ROUND(N(S282)*(1+'Calc base'!L306),2)-S283)</f>
        <v/>
      </c>
      <c r="S283" s="75" t="str">
        <f>IF($A283="","",CHOOSE('Calc riepilogo'!$B$2,'Calc valanga'!AX306,'Calc palla di neve'!AX306,'Calc personalizzata'!AX306))</f>
        <v/>
      </c>
      <c r="T283" s="70" t="str">
        <f>IF($A283="","",ROUND(N(U282)*(1+'Calc base'!M306),2)-U283)</f>
        <v/>
      </c>
      <c r="U283" s="75" t="str">
        <f>IF($A283="","",CHOOSE('Calc riepilogo'!$B$2,'Calc valanga'!AY306,'Calc palla di neve'!AY306,'Calc personalizzata'!AY306))</f>
        <v/>
      </c>
      <c r="V283" s="70" t="str">
        <f>IF($A283="","",ROUND(N(W282)*(1+'Calc base'!N306),2)-W283)</f>
        <v/>
      </c>
      <c r="W283" s="75" t="str">
        <f>IF($A283="","",CHOOSE('Calc riepilogo'!$B$2,'Calc valanga'!AZ306,'Calc palla di neve'!AZ306,'Calc personalizzata'!AZ306))</f>
        <v/>
      </c>
      <c r="X283" s="70" t="str">
        <f>IF($A283="","",ROUND(N(Y282)*(1+'Calc base'!O306),2)-Y283)</f>
        <v/>
      </c>
      <c r="Y283" s="75" t="str">
        <f>IF($A283="","",CHOOSE('Calc riepilogo'!$B$2,'Calc valanga'!BA306,'Calc palla di neve'!BA306,'Calc personalizzata'!BA306))</f>
        <v/>
      </c>
      <c r="Z283" s="70" t="str">
        <f>IF($A283="","",ROUND(N(AA282)*(1+'Calc base'!P306),2)-AA283)</f>
        <v/>
      </c>
      <c r="AA283" s="75" t="str">
        <f>IF($A283="","",CHOOSE('Calc riepilogo'!$B$2,'Calc valanga'!BB306,'Calc palla di neve'!BB306,'Calc personalizzata'!BB306))</f>
        <v/>
      </c>
      <c r="AB283" s="70" t="str">
        <f>IF($A283="","",ROUND(N(AC282)*(1+'Calc base'!Q306),2)-AC283)</f>
        <v/>
      </c>
      <c r="AC283" s="75" t="str">
        <f>IF($A283="","",CHOOSE('Calc riepilogo'!$B$2,'Calc valanga'!BC306,'Calc palla di neve'!BC306,'Calc personalizzata'!BC306))</f>
        <v/>
      </c>
      <c r="AD283" s="70" t="str">
        <f>IF($A283="","",ROUND(N(AE282)*(1+'Calc base'!R306),2)-AE283)</f>
        <v/>
      </c>
      <c r="AE283" s="75" t="str">
        <f>IF($A283="","",CHOOSE('Calc riepilogo'!$B$2,'Calc valanga'!BD306,'Calc palla di neve'!BD306,'Calc personalizzata'!BD306))</f>
        <v/>
      </c>
      <c r="AF283" s="70" t="str">
        <f>IF($A283="","",ROUND(N(AG282)*(1+'Calc base'!S306),2)-AG283)</f>
        <v/>
      </c>
      <c r="AG283" s="75" t="str">
        <f>IF($A283="","",CHOOSE('Calc riepilogo'!$B$2,'Calc valanga'!BE306,'Calc palla di neve'!BE306,'Calc personalizzata'!BE306))</f>
        <v/>
      </c>
      <c r="AI283" t="n">
        <v>276</v>
      </c>
    </row>
    <row r="284">
      <c r="A284" s="68" t="str">
        <f>IF(277&gt;'Calc riepilogo'!$B$7,"",'Calc base'!$B307)</f>
        <v/>
      </c>
      <c r="B284" s="69" t="str">
        <f>IF($A284="","",'Calc base'!$C307)</f>
        <v/>
      </c>
      <c r="C284" s="69" t="str">
        <f>IF($A284="","",'Calc base'!$E307)</f>
        <v/>
      </c>
      <c r="D284" s="70" t="str">
        <f>IF($A284="","",J284+L284+N284+P284+R284+T284+V284+X284+Z284+AB284+AD284+AF284)</f>
        <v/>
      </c>
      <c r="E284" s="70" t="str">
        <f>IF($A284="","",CHOOSE('Calc riepilogo'!$B$2,'Calc valanga'!$H307,'Calc palla di neve'!$H307,'Calc personalizzata'!$H307))</f>
        <v/>
      </c>
      <c r="F284" s="71" t="str">
        <f>IF($A284="","",CHOOSE('Calc riepilogo'!$B$2,'Calc valanga'!$G307,'Calc palla di neve'!$G307,'Calc personalizzata'!$G307))</f>
        <v/>
      </c>
      <c r="G284" s="72" t="n"/>
      <c r="H284" s="73" t="n"/>
      <c r="I284" s="74" t="str">
        <f>IF($A284="","",TRIM(IF(AND(N(K283)&gt;0,N(K284)&lt;=0.004),"✓ "&amp;'Calc base'!C$6&amp;"   ","")&amp;IF(AND(N(M283)&gt;0,N(M284)&lt;=0.004),"✓ "&amp;'Calc base'!D$6&amp;"   ","")&amp;IF(AND(N(O283)&gt;0,N(O284)&lt;=0.004),"✓ "&amp;'Calc base'!E$6&amp;"   ","")&amp;IF(AND(N(Q283)&gt;0,N(Q284)&lt;=0.004),"✓ "&amp;'Calc base'!F$6&amp;"   ","")&amp;IF(AND(N(S283)&gt;0,N(S284)&lt;=0.004),"✓ "&amp;'Calc base'!G$6&amp;"   ","")&amp;IF(AND(N(U283)&gt;0,N(U284)&lt;=0.004),"✓ "&amp;'Calc base'!H$6&amp;"   ","")&amp;IF(AND(N(W283)&gt;0,N(W284)&lt;=0.004),"✓ "&amp;'Calc base'!I$6&amp;"   ","")&amp;IF(AND(N(Y283)&gt;0,N(Y284)&lt;=0.004),"✓ "&amp;'Calc base'!J$6&amp;"   ","")&amp;IF(AND(N(AA283)&gt;0,N(AA284)&lt;=0.004),"✓ "&amp;'Calc base'!K$6&amp;"   ","")&amp;IF(AND(N(AC283)&gt;0,N(AC284)&lt;=0.004),"✓ "&amp;'Calc base'!L$6&amp;"   ","")&amp;IF(AND(N(AE283)&gt;0,N(AE284)&lt;=0.004),"✓ "&amp;'Calc base'!M$6&amp;"   ","")&amp;IF(AND(N(AG283)&gt;0,N(AG284)&lt;=0.004),"✓ "&amp;'Calc base'!N$6&amp;"   ","")))</f>
        <v/>
      </c>
      <c r="J284" s="70" t="str">
        <f>IF($A284="","",ROUND(N(K283)*(1+'Calc base'!H307),2)-K284)</f>
        <v/>
      </c>
      <c r="K284" s="75" t="str">
        <f>IF($A284="","",CHOOSE('Calc riepilogo'!$B$2,'Calc valanga'!AT307,'Calc palla di neve'!AT307,'Calc personalizzata'!AT307))</f>
        <v/>
      </c>
      <c r="L284" s="70" t="str">
        <f>IF($A284="","",ROUND(N(M283)*(1+'Calc base'!I307),2)-M284)</f>
        <v/>
      </c>
      <c r="M284" s="75" t="str">
        <f>IF($A284="","",CHOOSE('Calc riepilogo'!$B$2,'Calc valanga'!AU307,'Calc palla di neve'!AU307,'Calc personalizzata'!AU307))</f>
        <v/>
      </c>
      <c r="N284" s="70" t="str">
        <f>IF($A284="","",ROUND(N(O283)*(1+'Calc base'!J307),2)-O284)</f>
        <v/>
      </c>
      <c r="O284" s="75" t="str">
        <f>IF($A284="","",CHOOSE('Calc riepilogo'!$B$2,'Calc valanga'!AV307,'Calc palla di neve'!AV307,'Calc personalizzata'!AV307))</f>
        <v/>
      </c>
      <c r="P284" s="70" t="str">
        <f>IF($A284="","",ROUND(N(Q283)*(1+'Calc base'!K307),2)-Q284)</f>
        <v/>
      </c>
      <c r="Q284" s="75" t="str">
        <f>IF($A284="","",CHOOSE('Calc riepilogo'!$B$2,'Calc valanga'!AW307,'Calc palla di neve'!AW307,'Calc personalizzata'!AW307))</f>
        <v/>
      </c>
      <c r="R284" s="70" t="str">
        <f>IF($A284="","",ROUND(N(S283)*(1+'Calc base'!L307),2)-S284)</f>
        <v/>
      </c>
      <c r="S284" s="75" t="str">
        <f>IF($A284="","",CHOOSE('Calc riepilogo'!$B$2,'Calc valanga'!AX307,'Calc palla di neve'!AX307,'Calc personalizzata'!AX307))</f>
        <v/>
      </c>
      <c r="T284" s="70" t="str">
        <f>IF($A284="","",ROUND(N(U283)*(1+'Calc base'!M307),2)-U284)</f>
        <v/>
      </c>
      <c r="U284" s="75" t="str">
        <f>IF($A284="","",CHOOSE('Calc riepilogo'!$B$2,'Calc valanga'!AY307,'Calc palla di neve'!AY307,'Calc personalizzata'!AY307))</f>
        <v/>
      </c>
      <c r="V284" s="70" t="str">
        <f>IF($A284="","",ROUND(N(W283)*(1+'Calc base'!N307),2)-W284)</f>
        <v/>
      </c>
      <c r="W284" s="75" t="str">
        <f>IF($A284="","",CHOOSE('Calc riepilogo'!$B$2,'Calc valanga'!AZ307,'Calc palla di neve'!AZ307,'Calc personalizzata'!AZ307))</f>
        <v/>
      </c>
      <c r="X284" s="70" t="str">
        <f>IF($A284="","",ROUND(N(Y283)*(1+'Calc base'!O307),2)-Y284)</f>
        <v/>
      </c>
      <c r="Y284" s="75" t="str">
        <f>IF($A284="","",CHOOSE('Calc riepilogo'!$B$2,'Calc valanga'!BA307,'Calc palla di neve'!BA307,'Calc personalizzata'!BA307))</f>
        <v/>
      </c>
      <c r="Z284" s="70" t="str">
        <f>IF($A284="","",ROUND(N(AA283)*(1+'Calc base'!P307),2)-AA284)</f>
        <v/>
      </c>
      <c r="AA284" s="75" t="str">
        <f>IF($A284="","",CHOOSE('Calc riepilogo'!$B$2,'Calc valanga'!BB307,'Calc palla di neve'!BB307,'Calc personalizzata'!BB307))</f>
        <v/>
      </c>
      <c r="AB284" s="70" t="str">
        <f>IF($A284="","",ROUND(N(AC283)*(1+'Calc base'!Q307),2)-AC284)</f>
        <v/>
      </c>
      <c r="AC284" s="75" t="str">
        <f>IF($A284="","",CHOOSE('Calc riepilogo'!$B$2,'Calc valanga'!BC307,'Calc palla di neve'!BC307,'Calc personalizzata'!BC307))</f>
        <v/>
      </c>
      <c r="AD284" s="70" t="str">
        <f>IF($A284="","",ROUND(N(AE283)*(1+'Calc base'!R307),2)-AE284)</f>
        <v/>
      </c>
      <c r="AE284" s="75" t="str">
        <f>IF($A284="","",CHOOSE('Calc riepilogo'!$B$2,'Calc valanga'!BD307,'Calc palla di neve'!BD307,'Calc personalizzata'!BD307))</f>
        <v/>
      </c>
      <c r="AF284" s="70" t="str">
        <f>IF($A284="","",ROUND(N(AG283)*(1+'Calc base'!S307),2)-AG284)</f>
        <v/>
      </c>
      <c r="AG284" s="75" t="str">
        <f>IF($A284="","",CHOOSE('Calc riepilogo'!$B$2,'Calc valanga'!BE307,'Calc palla di neve'!BE307,'Calc personalizzata'!BE307))</f>
        <v/>
      </c>
      <c r="AI284" t="n">
        <v>277</v>
      </c>
    </row>
    <row r="285">
      <c r="A285" s="68" t="str">
        <f>IF(278&gt;'Calc riepilogo'!$B$7,"",'Calc base'!$B308)</f>
        <v/>
      </c>
      <c r="B285" s="69" t="str">
        <f>IF($A285="","",'Calc base'!$C308)</f>
        <v/>
      </c>
      <c r="C285" s="69" t="str">
        <f>IF($A285="","",'Calc base'!$E308)</f>
        <v/>
      </c>
      <c r="D285" s="70" t="str">
        <f>IF($A285="","",J285+L285+N285+P285+R285+T285+V285+X285+Z285+AB285+AD285+AF285)</f>
        <v/>
      </c>
      <c r="E285" s="70" t="str">
        <f>IF($A285="","",CHOOSE('Calc riepilogo'!$B$2,'Calc valanga'!$H308,'Calc palla di neve'!$H308,'Calc personalizzata'!$H308))</f>
        <v/>
      </c>
      <c r="F285" s="71" t="str">
        <f>IF($A285="","",CHOOSE('Calc riepilogo'!$B$2,'Calc valanga'!$G308,'Calc palla di neve'!$G308,'Calc personalizzata'!$G308))</f>
        <v/>
      </c>
      <c r="G285" s="72" t="n"/>
      <c r="H285" s="73" t="n"/>
      <c r="I285" s="74" t="str">
        <f>IF($A285="","",TRIM(IF(AND(N(K284)&gt;0,N(K285)&lt;=0.004),"✓ "&amp;'Calc base'!C$6&amp;"   ","")&amp;IF(AND(N(M284)&gt;0,N(M285)&lt;=0.004),"✓ "&amp;'Calc base'!D$6&amp;"   ","")&amp;IF(AND(N(O284)&gt;0,N(O285)&lt;=0.004),"✓ "&amp;'Calc base'!E$6&amp;"   ","")&amp;IF(AND(N(Q284)&gt;0,N(Q285)&lt;=0.004),"✓ "&amp;'Calc base'!F$6&amp;"   ","")&amp;IF(AND(N(S284)&gt;0,N(S285)&lt;=0.004),"✓ "&amp;'Calc base'!G$6&amp;"   ","")&amp;IF(AND(N(U284)&gt;0,N(U285)&lt;=0.004),"✓ "&amp;'Calc base'!H$6&amp;"   ","")&amp;IF(AND(N(W284)&gt;0,N(W285)&lt;=0.004),"✓ "&amp;'Calc base'!I$6&amp;"   ","")&amp;IF(AND(N(Y284)&gt;0,N(Y285)&lt;=0.004),"✓ "&amp;'Calc base'!J$6&amp;"   ","")&amp;IF(AND(N(AA284)&gt;0,N(AA285)&lt;=0.004),"✓ "&amp;'Calc base'!K$6&amp;"   ","")&amp;IF(AND(N(AC284)&gt;0,N(AC285)&lt;=0.004),"✓ "&amp;'Calc base'!L$6&amp;"   ","")&amp;IF(AND(N(AE284)&gt;0,N(AE285)&lt;=0.004),"✓ "&amp;'Calc base'!M$6&amp;"   ","")&amp;IF(AND(N(AG284)&gt;0,N(AG285)&lt;=0.004),"✓ "&amp;'Calc base'!N$6&amp;"   ","")))</f>
        <v/>
      </c>
      <c r="J285" s="70" t="str">
        <f>IF($A285="","",ROUND(N(K284)*(1+'Calc base'!H308),2)-K285)</f>
        <v/>
      </c>
      <c r="K285" s="75" t="str">
        <f>IF($A285="","",CHOOSE('Calc riepilogo'!$B$2,'Calc valanga'!AT308,'Calc palla di neve'!AT308,'Calc personalizzata'!AT308))</f>
        <v/>
      </c>
      <c r="L285" s="70" t="str">
        <f>IF($A285="","",ROUND(N(M284)*(1+'Calc base'!I308),2)-M285)</f>
        <v/>
      </c>
      <c r="M285" s="75" t="str">
        <f>IF($A285="","",CHOOSE('Calc riepilogo'!$B$2,'Calc valanga'!AU308,'Calc palla di neve'!AU308,'Calc personalizzata'!AU308))</f>
        <v/>
      </c>
      <c r="N285" s="70" t="str">
        <f>IF($A285="","",ROUND(N(O284)*(1+'Calc base'!J308),2)-O285)</f>
        <v/>
      </c>
      <c r="O285" s="75" t="str">
        <f>IF($A285="","",CHOOSE('Calc riepilogo'!$B$2,'Calc valanga'!AV308,'Calc palla di neve'!AV308,'Calc personalizzata'!AV308))</f>
        <v/>
      </c>
      <c r="P285" s="70" t="str">
        <f>IF($A285="","",ROUND(N(Q284)*(1+'Calc base'!K308),2)-Q285)</f>
        <v/>
      </c>
      <c r="Q285" s="75" t="str">
        <f>IF($A285="","",CHOOSE('Calc riepilogo'!$B$2,'Calc valanga'!AW308,'Calc palla di neve'!AW308,'Calc personalizzata'!AW308))</f>
        <v/>
      </c>
      <c r="R285" s="70" t="str">
        <f>IF($A285="","",ROUND(N(S284)*(1+'Calc base'!L308),2)-S285)</f>
        <v/>
      </c>
      <c r="S285" s="75" t="str">
        <f>IF($A285="","",CHOOSE('Calc riepilogo'!$B$2,'Calc valanga'!AX308,'Calc palla di neve'!AX308,'Calc personalizzata'!AX308))</f>
        <v/>
      </c>
      <c r="T285" s="70" t="str">
        <f>IF($A285="","",ROUND(N(U284)*(1+'Calc base'!M308),2)-U285)</f>
        <v/>
      </c>
      <c r="U285" s="75" t="str">
        <f>IF($A285="","",CHOOSE('Calc riepilogo'!$B$2,'Calc valanga'!AY308,'Calc palla di neve'!AY308,'Calc personalizzata'!AY308))</f>
        <v/>
      </c>
      <c r="V285" s="70" t="str">
        <f>IF($A285="","",ROUND(N(W284)*(1+'Calc base'!N308),2)-W285)</f>
        <v/>
      </c>
      <c r="W285" s="75" t="str">
        <f>IF($A285="","",CHOOSE('Calc riepilogo'!$B$2,'Calc valanga'!AZ308,'Calc palla di neve'!AZ308,'Calc personalizzata'!AZ308))</f>
        <v/>
      </c>
      <c r="X285" s="70" t="str">
        <f>IF($A285="","",ROUND(N(Y284)*(1+'Calc base'!O308),2)-Y285)</f>
        <v/>
      </c>
      <c r="Y285" s="75" t="str">
        <f>IF($A285="","",CHOOSE('Calc riepilogo'!$B$2,'Calc valanga'!BA308,'Calc palla di neve'!BA308,'Calc personalizzata'!BA308))</f>
        <v/>
      </c>
      <c r="Z285" s="70" t="str">
        <f>IF($A285="","",ROUND(N(AA284)*(1+'Calc base'!P308),2)-AA285)</f>
        <v/>
      </c>
      <c r="AA285" s="75" t="str">
        <f>IF($A285="","",CHOOSE('Calc riepilogo'!$B$2,'Calc valanga'!BB308,'Calc palla di neve'!BB308,'Calc personalizzata'!BB308))</f>
        <v/>
      </c>
      <c r="AB285" s="70" t="str">
        <f>IF($A285="","",ROUND(N(AC284)*(1+'Calc base'!Q308),2)-AC285)</f>
        <v/>
      </c>
      <c r="AC285" s="75" t="str">
        <f>IF($A285="","",CHOOSE('Calc riepilogo'!$B$2,'Calc valanga'!BC308,'Calc palla di neve'!BC308,'Calc personalizzata'!BC308))</f>
        <v/>
      </c>
      <c r="AD285" s="70" t="str">
        <f>IF($A285="","",ROUND(N(AE284)*(1+'Calc base'!R308),2)-AE285)</f>
        <v/>
      </c>
      <c r="AE285" s="75" t="str">
        <f>IF($A285="","",CHOOSE('Calc riepilogo'!$B$2,'Calc valanga'!BD308,'Calc palla di neve'!BD308,'Calc personalizzata'!BD308))</f>
        <v/>
      </c>
      <c r="AF285" s="70" t="str">
        <f>IF($A285="","",ROUND(N(AG284)*(1+'Calc base'!S308),2)-AG285)</f>
        <v/>
      </c>
      <c r="AG285" s="75" t="str">
        <f>IF($A285="","",CHOOSE('Calc riepilogo'!$B$2,'Calc valanga'!BE308,'Calc palla di neve'!BE308,'Calc personalizzata'!BE308))</f>
        <v/>
      </c>
      <c r="AI285" t="n">
        <v>278</v>
      </c>
    </row>
    <row r="286">
      <c r="A286" s="68" t="str">
        <f>IF(279&gt;'Calc riepilogo'!$B$7,"",'Calc base'!$B309)</f>
        <v/>
      </c>
      <c r="B286" s="69" t="str">
        <f>IF($A286="","",'Calc base'!$C309)</f>
        <v/>
      </c>
      <c r="C286" s="69" t="str">
        <f>IF($A286="","",'Calc base'!$E309)</f>
        <v/>
      </c>
      <c r="D286" s="70" t="str">
        <f>IF($A286="","",J286+L286+N286+P286+R286+T286+V286+X286+Z286+AB286+AD286+AF286)</f>
        <v/>
      </c>
      <c r="E286" s="70" t="str">
        <f>IF($A286="","",CHOOSE('Calc riepilogo'!$B$2,'Calc valanga'!$H309,'Calc palla di neve'!$H309,'Calc personalizzata'!$H309))</f>
        <v/>
      </c>
      <c r="F286" s="71" t="str">
        <f>IF($A286="","",CHOOSE('Calc riepilogo'!$B$2,'Calc valanga'!$G309,'Calc palla di neve'!$G309,'Calc personalizzata'!$G309))</f>
        <v/>
      </c>
      <c r="G286" s="72" t="n"/>
      <c r="H286" s="73" t="n"/>
      <c r="I286" s="74" t="str">
        <f>IF($A286="","",TRIM(IF(AND(N(K285)&gt;0,N(K286)&lt;=0.004),"✓ "&amp;'Calc base'!C$6&amp;"   ","")&amp;IF(AND(N(M285)&gt;0,N(M286)&lt;=0.004),"✓ "&amp;'Calc base'!D$6&amp;"   ","")&amp;IF(AND(N(O285)&gt;0,N(O286)&lt;=0.004),"✓ "&amp;'Calc base'!E$6&amp;"   ","")&amp;IF(AND(N(Q285)&gt;0,N(Q286)&lt;=0.004),"✓ "&amp;'Calc base'!F$6&amp;"   ","")&amp;IF(AND(N(S285)&gt;0,N(S286)&lt;=0.004),"✓ "&amp;'Calc base'!G$6&amp;"   ","")&amp;IF(AND(N(U285)&gt;0,N(U286)&lt;=0.004),"✓ "&amp;'Calc base'!H$6&amp;"   ","")&amp;IF(AND(N(W285)&gt;0,N(W286)&lt;=0.004),"✓ "&amp;'Calc base'!I$6&amp;"   ","")&amp;IF(AND(N(Y285)&gt;0,N(Y286)&lt;=0.004),"✓ "&amp;'Calc base'!J$6&amp;"   ","")&amp;IF(AND(N(AA285)&gt;0,N(AA286)&lt;=0.004),"✓ "&amp;'Calc base'!K$6&amp;"   ","")&amp;IF(AND(N(AC285)&gt;0,N(AC286)&lt;=0.004),"✓ "&amp;'Calc base'!L$6&amp;"   ","")&amp;IF(AND(N(AE285)&gt;0,N(AE286)&lt;=0.004),"✓ "&amp;'Calc base'!M$6&amp;"   ","")&amp;IF(AND(N(AG285)&gt;0,N(AG286)&lt;=0.004),"✓ "&amp;'Calc base'!N$6&amp;"   ","")))</f>
        <v/>
      </c>
      <c r="J286" s="70" t="str">
        <f>IF($A286="","",ROUND(N(K285)*(1+'Calc base'!H309),2)-K286)</f>
        <v/>
      </c>
      <c r="K286" s="75" t="str">
        <f>IF($A286="","",CHOOSE('Calc riepilogo'!$B$2,'Calc valanga'!AT309,'Calc palla di neve'!AT309,'Calc personalizzata'!AT309))</f>
        <v/>
      </c>
      <c r="L286" s="70" t="str">
        <f>IF($A286="","",ROUND(N(M285)*(1+'Calc base'!I309),2)-M286)</f>
        <v/>
      </c>
      <c r="M286" s="75" t="str">
        <f>IF($A286="","",CHOOSE('Calc riepilogo'!$B$2,'Calc valanga'!AU309,'Calc palla di neve'!AU309,'Calc personalizzata'!AU309))</f>
        <v/>
      </c>
      <c r="N286" s="70" t="str">
        <f>IF($A286="","",ROUND(N(O285)*(1+'Calc base'!J309),2)-O286)</f>
        <v/>
      </c>
      <c r="O286" s="75" t="str">
        <f>IF($A286="","",CHOOSE('Calc riepilogo'!$B$2,'Calc valanga'!AV309,'Calc palla di neve'!AV309,'Calc personalizzata'!AV309))</f>
        <v/>
      </c>
      <c r="P286" s="70" t="str">
        <f>IF($A286="","",ROUND(N(Q285)*(1+'Calc base'!K309),2)-Q286)</f>
        <v/>
      </c>
      <c r="Q286" s="75" t="str">
        <f>IF($A286="","",CHOOSE('Calc riepilogo'!$B$2,'Calc valanga'!AW309,'Calc palla di neve'!AW309,'Calc personalizzata'!AW309))</f>
        <v/>
      </c>
      <c r="R286" s="70" t="str">
        <f>IF($A286="","",ROUND(N(S285)*(1+'Calc base'!L309),2)-S286)</f>
        <v/>
      </c>
      <c r="S286" s="75" t="str">
        <f>IF($A286="","",CHOOSE('Calc riepilogo'!$B$2,'Calc valanga'!AX309,'Calc palla di neve'!AX309,'Calc personalizzata'!AX309))</f>
        <v/>
      </c>
      <c r="T286" s="70" t="str">
        <f>IF($A286="","",ROUND(N(U285)*(1+'Calc base'!M309),2)-U286)</f>
        <v/>
      </c>
      <c r="U286" s="75" t="str">
        <f>IF($A286="","",CHOOSE('Calc riepilogo'!$B$2,'Calc valanga'!AY309,'Calc palla di neve'!AY309,'Calc personalizzata'!AY309))</f>
        <v/>
      </c>
      <c r="V286" s="70" t="str">
        <f>IF($A286="","",ROUND(N(W285)*(1+'Calc base'!N309),2)-W286)</f>
        <v/>
      </c>
      <c r="W286" s="75" t="str">
        <f>IF($A286="","",CHOOSE('Calc riepilogo'!$B$2,'Calc valanga'!AZ309,'Calc palla di neve'!AZ309,'Calc personalizzata'!AZ309))</f>
        <v/>
      </c>
      <c r="X286" s="70" t="str">
        <f>IF($A286="","",ROUND(N(Y285)*(1+'Calc base'!O309),2)-Y286)</f>
        <v/>
      </c>
      <c r="Y286" s="75" t="str">
        <f>IF($A286="","",CHOOSE('Calc riepilogo'!$B$2,'Calc valanga'!BA309,'Calc palla di neve'!BA309,'Calc personalizzata'!BA309))</f>
        <v/>
      </c>
      <c r="Z286" s="70" t="str">
        <f>IF($A286="","",ROUND(N(AA285)*(1+'Calc base'!P309),2)-AA286)</f>
        <v/>
      </c>
      <c r="AA286" s="75" t="str">
        <f>IF($A286="","",CHOOSE('Calc riepilogo'!$B$2,'Calc valanga'!BB309,'Calc palla di neve'!BB309,'Calc personalizzata'!BB309))</f>
        <v/>
      </c>
      <c r="AB286" s="70" t="str">
        <f>IF($A286="","",ROUND(N(AC285)*(1+'Calc base'!Q309),2)-AC286)</f>
        <v/>
      </c>
      <c r="AC286" s="75" t="str">
        <f>IF($A286="","",CHOOSE('Calc riepilogo'!$B$2,'Calc valanga'!BC309,'Calc palla di neve'!BC309,'Calc personalizzata'!BC309))</f>
        <v/>
      </c>
      <c r="AD286" s="70" t="str">
        <f>IF($A286="","",ROUND(N(AE285)*(1+'Calc base'!R309),2)-AE286)</f>
        <v/>
      </c>
      <c r="AE286" s="75" t="str">
        <f>IF($A286="","",CHOOSE('Calc riepilogo'!$B$2,'Calc valanga'!BD309,'Calc palla di neve'!BD309,'Calc personalizzata'!BD309))</f>
        <v/>
      </c>
      <c r="AF286" s="70" t="str">
        <f>IF($A286="","",ROUND(N(AG285)*(1+'Calc base'!S309),2)-AG286)</f>
        <v/>
      </c>
      <c r="AG286" s="75" t="str">
        <f>IF($A286="","",CHOOSE('Calc riepilogo'!$B$2,'Calc valanga'!BE309,'Calc palla di neve'!BE309,'Calc personalizzata'!BE309))</f>
        <v/>
      </c>
      <c r="AI286" t="n">
        <v>279</v>
      </c>
    </row>
    <row r="287">
      <c r="A287" s="68" t="str">
        <f>IF(280&gt;'Calc riepilogo'!$B$7,"",'Calc base'!$B310)</f>
        <v/>
      </c>
      <c r="B287" s="69" t="str">
        <f>IF($A287="","",'Calc base'!$C310)</f>
        <v/>
      </c>
      <c r="C287" s="69" t="str">
        <f>IF($A287="","",'Calc base'!$E310)</f>
        <v/>
      </c>
      <c r="D287" s="70" t="str">
        <f>IF($A287="","",J287+L287+N287+P287+R287+T287+V287+X287+Z287+AB287+AD287+AF287)</f>
        <v/>
      </c>
      <c r="E287" s="70" t="str">
        <f>IF($A287="","",CHOOSE('Calc riepilogo'!$B$2,'Calc valanga'!$H310,'Calc palla di neve'!$H310,'Calc personalizzata'!$H310))</f>
        <v/>
      </c>
      <c r="F287" s="71" t="str">
        <f>IF($A287="","",CHOOSE('Calc riepilogo'!$B$2,'Calc valanga'!$G310,'Calc palla di neve'!$G310,'Calc personalizzata'!$G310))</f>
        <v/>
      </c>
      <c r="G287" s="72" t="n"/>
      <c r="H287" s="73" t="n"/>
      <c r="I287" s="74" t="str">
        <f>IF($A287="","",TRIM(IF(AND(N(K286)&gt;0,N(K287)&lt;=0.004),"✓ "&amp;'Calc base'!C$6&amp;"   ","")&amp;IF(AND(N(M286)&gt;0,N(M287)&lt;=0.004),"✓ "&amp;'Calc base'!D$6&amp;"   ","")&amp;IF(AND(N(O286)&gt;0,N(O287)&lt;=0.004),"✓ "&amp;'Calc base'!E$6&amp;"   ","")&amp;IF(AND(N(Q286)&gt;0,N(Q287)&lt;=0.004),"✓ "&amp;'Calc base'!F$6&amp;"   ","")&amp;IF(AND(N(S286)&gt;0,N(S287)&lt;=0.004),"✓ "&amp;'Calc base'!G$6&amp;"   ","")&amp;IF(AND(N(U286)&gt;0,N(U287)&lt;=0.004),"✓ "&amp;'Calc base'!H$6&amp;"   ","")&amp;IF(AND(N(W286)&gt;0,N(W287)&lt;=0.004),"✓ "&amp;'Calc base'!I$6&amp;"   ","")&amp;IF(AND(N(Y286)&gt;0,N(Y287)&lt;=0.004),"✓ "&amp;'Calc base'!J$6&amp;"   ","")&amp;IF(AND(N(AA286)&gt;0,N(AA287)&lt;=0.004),"✓ "&amp;'Calc base'!K$6&amp;"   ","")&amp;IF(AND(N(AC286)&gt;0,N(AC287)&lt;=0.004),"✓ "&amp;'Calc base'!L$6&amp;"   ","")&amp;IF(AND(N(AE286)&gt;0,N(AE287)&lt;=0.004),"✓ "&amp;'Calc base'!M$6&amp;"   ","")&amp;IF(AND(N(AG286)&gt;0,N(AG287)&lt;=0.004),"✓ "&amp;'Calc base'!N$6&amp;"   ","")))</f>
        <v/>
      </c>
      <c r="J287" s="70" t="str">
        <f>IF($A287="","",ROUND(N(K286)*(1+'Calc base'!H310),2)-K287)</f>
        <v/>
      </c>
      <c r="K287" s="75" t="str">
        <f>IF($A287="","",CHOOSE('Calc riepilogo'!$B$2,'Calc valanga'!AT310,'Calc palla di neve'!AT310,'Calc personalizzata'!AT310))</f>
        <v/>
      </c>
      <c r="L287" s="70" t="str">
        <f>IF($A287="","",ROUND(N(M286)*(1+'Calc base'!I310),2)-M287)</f>
        <v/>
      </c>
      <c r="M287" s="75" t="str">
        <f>IF($A287="","",CHOOSE('Calc riepilogo'!$B$2,'Calc valanga'!AU310,'Calc palla di neve'!AU310,'Calc personalizzata'!AU310))</f>
        <v/>
      </c>
      <c r="N287" s="70" t="str">
        <f>IF($A287="","",ROUND(N(O286)*(1+'Calc base'!J310),2)-O287)</f>
        <v/>
      </c>
      <c r="O287" s="75" t="str">
        <f>IF($A287="","",CHOOSE('Calc riepilogo'!$B$2,'Calc valanga'!AV310,'Calc palla di neve'!AV310,'Calc personalizzata'!AV310))</f>
        <v/>
      </c>
      <c r="P287" s="70" t="str">
        <f>IF($A287="","",ROUND(N(Q286)*(1+'Calc base'!K310),2)-Q287)</f>
        <v/>
      </c>
      <c r="Q287" s="75" t="str">
        <f>IF($A287="","",CHOOSE('Calc riepilogo'!$B$2,'Calc valanga'!AW310,'Calc palla di neve'!AW310,'Calc personalizzata'!AW310))</f>
        <v/>
      </c>
      <c r="R287" s="70" t="str">
        <f>IF($A287="","",ROUND(N(S286)*(1+'Calc base'!L310),2)-S287)</f>
        <v/>
      </c>
      <c r="S287" s="75" t="str">
        <f>IF($A287="","",CHOOSE('Calc riepilogo'!$B$2,'Calc valanga'!AX310,'Calc palla di neve'!AX310,'Calc personalizzata'!AX310))</f>
        <v/>
      </c>
      <c r="T287" s="70" t="str">
        <f>IF($A287="","",ROUND(N(U286)*(1+'Calc base'!M310),2)-U287)</f>
        <v/>
      </c>
      <c r="U287" s="75" t="str">
        <f>IF($A287="","",CHOOSE('Calc riepilogo'!$B$2,'Calc valanga'!AY310,'Calc palla di neve'!AY310,'Calc personalizzata'!AY310))</f>
        <v/>
      </c>
      <c r="V287" s="70" t="str">
        <f>IF($A287="","",ROUND(N(W286)*(1+'Calc base'!N310),2)-W287)</f>
        <v/>
      </c>
      <c r="W287" s="75" t="str">
        <f>IF($A287="","",CHOOSE('Calc riepilogo'!$B$2,'Calc valanga'!AZ310,'Calc palla di neve'!AZ310,'Calc personalizzata'!AZ310))</f>
        <v/>
      </c>
      <c r="X287" s="70" t="str">
        <f>IF($A287="","",ROUND(N(Y286)*(1+'Calc base'!O310),2)-Y287)</f>
        <v/>
      </c>
      <c r="Y287" s="75" t="str">
        <f>IF($A287="","",CHOOSE('Calc riepilogo'!$B$2,'Calc valanga'!BA310,'Calc palla di neve'!BA310,'Calc personalizzata'!BA310))</f>
        <v/>
      </c>
      <c r="Z287" s="70" t="str">
        <f>IF($A287="","",ROUND(N(AA286)*(1+'Calc base'!P310),2)-AA287)</f>
        <v/>
      </c>
      <c r="AA287" s="75" t="str">
        <f>IF($A287="","",CHOOSE('Calc riepilogo'!$B$2,'Calc valanga'!BB310,'Calc palla di neve'!BB310,'Calc personalizzata'!BB310))</f>
        <v/>
      </c>
      <c r="AB287" s="70" t="str">
        <f>IF($A287="","",ROUND(N(AC286)*(1+'Calc base'!Q310),2)-AC287)</f>
        <v/>
      </c>
      <c r="AC287" s="75" t="str">
        <f>IF($A287="","",CHOOSE('Calc riepilogo'!$B$2,'Calc valanga'!BC310,'Calc palla di neve'!BC310,'Calc personalizzata'!BC310))</f>
        <v/>
      </c>
      <c r="AD287" s="70" t="str">
        <f>IF($A287="","",ROUND(N(AE286)*(1+'Calc base'!R310),2)-AE287)</f>
        <v/>
      </c>
      <c r="AE287" s="75" t="str">
        <f>IF($A287="","",CHOOSE('Calc riepilogo'!$B$2,'Calc valanga'!BD310,'Calc palla di neve'!BD310,'Calc personalizzata'!BD310))</f>
        <v/>
      </c>
      <c r="AF287" s="70" t="str">
        <f>IF($A287="","",ROUND(N(AG286)*(1+'Calc base'!S310),2)-AG287)</f>
        <v/>
      </c>
      <c r="AG287" s="75" t="str">
        <f>IF($A287="","",CHOOSE('Calc riepilogo'!$B$2,'Calc valanga'!BE310,'Calc palla di neve'!BE310,'Calc personalizzata'!BE310))</f>
        <v/>
      </c>
      <c r="AI287" t="n">
        <v>280</v>
      </c>
    </row>
    <row r="288">
      <c r="A288" s="68" t="str">
        <f>IF(281&gt;'Calc riepilogo'!$B$7,"",'Calc base'!$B311)</f>
        <v/>
      </c>
      <c r="B288" s="69" t="str">
        <f>IF($A288="","",'Calc base'!$C311)</f>
        <v/>
      </c>
      <c r="C288" s="69" t="str">
        <f>IF($A288="","",'Calc base'!$E311)</f>
        <v/>
      </c>
      <c r="D288" s="70" t="str">
        <f>IF($A288="","",J288+L288+N288+P288+R288+T288+V288+X288+Z288+AB288+AD288+AF288)</f>
        <v/>
      </c>
      <c r="E288" s="70" t="str">
        <f>IF($A288="","",CHOOSE('Calc riepilogo'!$B$2,'Calc valanga'!$H311,'Calc palla di neve'!$H311,'Calc personalizzata'!$H311))</f>
        <v/>
      </c>
      <c r="F288" s="71" t="str">
        <f>IF($A288="","",CHOOSE('Calc riepilogo'!$B$2,'Calc valanga'!$G311,'Calc palla di neve'!$G311,'Calc personalizzata'!$G311))</f>
        <v/>
      </c>
      <c r="G288" s="72" t="n"/>
      <c r="H288" s="73" t="n"/>
      <c r="I288" s="74" t="str">
        <f>IF($A288="","",TRIM(IF(AND(N(K287)&gt;0,N(K288)&lt;=0.004),"✓ "&amp;'Calc base'!C$6&amp;"   ","")&amp;IF(AND(N(M287)&gt;0,N(M288)&lt;=0.004),"✓ "&amp;'Calc base'!D$6&amp;"   ","")&amp;IF(AND(N(O287)&gt;0,N(O288)&lt;=0.004),"✓ "&amp;'Calc base'!E$6&amp;"   ","")&amp;IF(AND(N(Q287)&gt;0,N(Q288)&lt;=0.004),"✓ "&amp;'Calc base'!F$6&amp;"   ","")&amp;IF(AND(N(S287)&gt;0,N(S288)&lt;=0.004),"✓ "&amp;'Calc base'!G$6&amp;"   ","")&amp;IF(AND(N(U287)&gt;0,N(U288)&lt;=0.004),"✓ "&amp;'Calc base'!H$6&amp;"   ","")&amp;IF(AND(N(W287)&gt;0,N(W288)&lt;=0.004),"✓ "&amp;'Calc base'!I$6&amp;"   ","")&amp;IF(AND(N(Y287)&gt;0,N(Y288)&lt;=0.004),"✓ "&amp;'Calc base'!J$6&amp;"   ","")&amp;IF(AND(N(AA287)&gt;0,N(AA288)&lt;=0.004),"✓ "&amp;'Calc base'!K$6&amp;"   ","")&amp;IF(AND(N(AC287)&gt;0,N(AC288)&lt;=0.004),"✓ "&amp;'Calc base'!L$6&amp;"   ","")&amp;IF(AND(N(AE287)&gt;0,N(AE288)&lt;=0.004),"✓ "&amp;'Calc base'!M$6&amp;"   ","")&amp;IF(AND(N(AG287)&gt;0,N(AG288)&lt;=0.004),"✓ "&amp;'Calc base'!N$6&amp;"   ","")))</f>
        <v/>
      </c>
      <c r="J288" s="70" t="str">
        <f>IF($A288="","",ROUND(N(K287)*(1+'Calc base'!H311),2)-K288)</f>
        <v/>
      </c>
      <c r="K288" s="75" t="str">
        <f>IF($A288="","",CHOOSE('Calc riepilogo'!$B$2,'Calc valanga'!AT311,'Calc palla di neve'!AT311,'Calc personalizzata'!AT311))</f>
        <v/>
      </c>
      <c r="L288" s="70" t="str">
        <f>IF($A288="","",ROUND(N(M287)*(1+'Calc base'!I311),2)-M288)</f>
        <v/>
      </c>
      <c r="M288" s="75" t="str">
        <f>IF($A288="","",CHOOSE('Calc riepilogo'!$B$2,'Calc valanga'!AU311,'Calc palla di neve'!AU311,'Calc personalizzata'!AU311))</f>
        <v/>
      </c>
      <c r="N288" s="70" t="str">
        <f>IF($A288="","",ROUND(N(O287)*(1+'Calc base'!J311),2)-O288)</f>
        <v/>
      </c>
      <c r="O288" s="75" t="str">
        <f>IF($A288="","",CHOOSE('Calc riepilogo'!$B$2,'Calc valanga'!AV311,'Calc palla di neve'!AV311,'Calc personalizzata'!AV311))</f>
        <v/>
      </c>
      <c r="P288" s="70" t="str">
        <f>IF($A288="","",ROUND(N(Q287)*(1+'Calc base'!K311),2)-Q288)</f>
        <v/>
      </c>
      <c r="Q288" s="75" t="str">
        <f>IF($A288="","",CHOOSE('Calc riepilogo'!$B$2,'Calc valanga'!AW311,'Calc palla di neve'!AW311,'Calc personalizzata'!AW311))</f>
        <v/>
      </c>
      <c r="R288" s="70" t="str">
        <f>IF($A288="","",ROUND(N(S287)*(1+'Calc base'!L311),2)-S288)</f>
        <v/>
      </c>
      <c r="S288" s="75" t="str">
        <f>IF($A288="","",CHOOSE('Calc riepilogo'!$B$2,'Calc valanga'!AX311,'Calc palla di neve'!AX311,'Calc personalizzata'!AX311))</f>
        <v/>
      </c>
      <c r="T288" s="70" t="str">
        <f>IF($A288="","",ROUND(N(U287)*(1+'Calc base'!M311),2)-U288)</f>
        <v/>
      </c>
      <c r="U288" s="75" t="str">
        <f>IF($A288="","",CHOOSE('Calc riepilogo'!$B$2,'Calc valanga'!AY311,'Calc palla di neve'!AY311,'Calc personalizzata'!AY311))</f>
        <v/>
      </c>
      <c r="V288" s="70" t="str">
        <f>IF($A288="","",ROUND(N(W287)*(1+'Calc base'!N311),2)-W288)</f>
        <v/>
      </c>
      <c r="W288" s="75" t="str">
        <f>IF($A288="","",CHOOSE('Calc riepilogo'!$B$2,'Calc valanga'!AZ311,'Calc palla di neve'!AZ311,'Calc personalizzata'!AZ311))</f>
        <v/>
      </c>
      <c r="X288" s="70" t="str">
        <f>IF($A288="","",ROUND(N(Y287)*(1+'Calc base'!O311),2)-Y288)</f>
        <v/>
      </c>
      <c r="Y288" s="75" t="str">
        <f>IF($A288="","",CHOOSE('Calc riepilogo'!$B$2,'Calc valanga'!BA311,'Calc palla di neve'!BA311,'Calc personalizzata'!BA311))</f>
        <v/>
      </c>
      <c r="Z288" s="70" t="str">
        <f>IF($A288="","",ROUND(N(AA287)*(1+'Calc base'!P311),2)-AA288)</f>
        <v/>
      </c>
      <c r="AA288" s="75" t="str">
        <f>IF($A288="","",CHOOSE('Calc riepilogo'!$B$2,'Calc valanga'!BB311,'Calc palla di neve'!BB311,'Calc personalizzata'!BB311))</f>
        <v/>
      </c>
      <c r="AB288" s="70" t="str">
        <f>IF($A288="","",ROUND(N(AC287)*(1+'Calc base'!Q311),2)-AC288)</f>
        <v/>
      </c>
      <c r="AC288" s="75" t="str">
        <f>IF($A288="","",CHOOSE('Calc riepilogo'!$B$2,'Calc valanga'!BC311,'Calc palla di neve'!BC311,'Calc personalizzata'!BC311))</f>
        <v/>
      </c>
      <c r="AD288" s="70" t="str">
        <f>IF($A288="","",ROUND(N(AE287)*(1+'Calc base'!R311),2)-AE288)</f>
        <v/>
      </c>
      <c r="AE288" s="75" t="str">
        <f>IF($A288="","",CHOOSE('Calc riepilogo'!$B$2,'Calc valanga'!BD311,'Calc palla di neve'!BD311,'Calc personalizzata'!BD311))</f>
        <v/>
      </c>
      <c r="AF288" s="70" t="str">
        <f>IF($A288="","",ROUND(N(AG287)*(1+'Calc base'!S311),2)-AG288)</f>
        <v/>
      </c>
      <c r="AG288" s="75" t="str">
        <f>IF($A288="","",CHOOSE('Calc riepilogo'!$B$2,'Calc valanga'!BE311,'Calc palla di neve'!BE311,'Calc personalizzata'!BE311))</f>
        <v/>
      </c>
      <c r="AI288" t="n">
        <v>281</v>
      </c>
    </row>
    <row r="289">
      <c r="A289" s="68" t="str">
        <f>IF(282&gt;'Calc riepilogo'!$B$7,"",'Calc base'!$B312)</f>
        <v/>
      </c>
      <c r="B289" s="69" t="str">
        <f>IF($A289="","",'Calc base'!$C312)</f>
        <v/>
      </c>
      <c r="C289" s="69" t="str">
        <f>IF($A289="","",'Calc base'!$E312)</f>
        <v/>
      </c>
      <c r="D289" s="70" t="str">
        <f>IF($A289="","",J289+L289+N289+P289+R289+T289+V289+X289+Z289+AB289+AD289+AF289)</f>
        <v/>
      </c>
      <c r="E289" s="70" t="str">
        <f>IF($A289="","",CHOOSE('Calc riepilogo'!$B$2,'Calc valanga'!$H312,'Calc palla di neve'!$H312,'Calc personalizzata'!$H312))</f>
        <v/>
      </c>
      <c r="F289" s="71" t="str">
        <f>IF($A289="","",CHOOSE('Calc riepilogo'!$B$2,'Calc valanga'!$G312,'Calc palla di neve'!$G312,'Calc personalizzata'!$G312))</f>
        <v/>
      </c>
      <c r="G289" s="72" t="n"/>
      <c r="H289" s="73" t="n"/>
      <c r="I289" s="74" t="str">
        <f>IF($A289="","",TRIM(IF(AND(N(K288)&gt;0,N(K289)&lt;=0.004),"✓ "&amp;'Calc base'!C$6&amp;"   ","")&amp;IF(AND(N(M288)&gt;0,N(M289)&lt;=0.004),"✓ "&amp;'Calc base'!D$6&amp;"   ","")&amp;IF(AND(N(O288)&gt;0,N(O289)&lt;=0.004),"✓ "&amp;'Calc base'!E$6&amp;"   ","")&amp;IF(AND(N(Q288)&gt;0,N(Q289)&lt;=0.004),"✓ "&amp;'Calc base'!F$6&amp;"   ","")&amp;IF(AND(N(S288)&gt;0,N(S289)&lt;=0.004),"✓ "&amp;'Calc base'!G$6&amp;"   ","")&amp;IF(AND(N(U288)&gt;0,N(U289)&lt;=0.004),"✓ "&amp;'Calc base'!H$6&amp;"   ","")&amp;IF(AND(N(W288)&gt;0,N(W289)&lt;=0.004),"✓ "&amp;'Calc base'!I$6&amp;"   ","")&amp;IF(AND(N(Y288)&gt;0,N(Y289)&lt;=0.004),"✓ "&amp;'Calc base'!J$6&amp;"   ","")&amp;IF(AND(N(AA288)&gt;0,N(AA289)&lt;=0.004),"✓ "&amp;'Calc base'!K$6&amp;"   ","")&amp;IF(AND(N(AC288)&gt;0,N(AC289)&lt;=0.004),"✓ "&amp;'Calc base'!L$6&amp;"   ","")&amp;IF(AND(N(AE288)&gt;0,N(AE289)&lt;=0.004),"✓ "&amp;'Calc base'!M$6&amp;"   ","")&amp;IF(AND(N(AG288)&gt;0,N(AG289)&lt;=0.004),"✓ "&amp;'Calc base'!N$6&amp;"   ","")))</f>
        <v/>
      </c>
      <c r="J289" s="70" t="str">
        <f>IF($A289="","",ROUND(N(K288)*(1+'Calc base'!H312),2)-K289)</f>
        <v/>
      </c>
      <c r="K289" s="75" t="str">
        <f>IF($A289="","",CHOOSE('Calc riepilogo'!$B$2,'Calc valanga'!AT312,'Calc palla di neve'!AT312,'Calc personalizzata'!AT312))</f>
        <v/>
      </c>
      <c r="L289" s="70" t="str">
        <f>IF($A289="","",ROUND(N(M288)*(1+'Calc base'!I312),2)-M289)</f>
        <v/>
      </c>
      <c r="M289" s="75" t="str">
        <f>IF($A289="","",CHOOSE('Calc riepilogo'!$B$2,'Calc valanga'!AU312,'Calc palla di neve'!AU312,'Calc personalizzata'!AU312))</f>
        <v/>
      </c>
      <c r="N289" s="70" t="str">
        <f>IF($A289="","",ROUND(N(O288)*(1+'Calc base'!J312),2)-O289)</f>
        <v/>
      </c>
      <c r="O289" s="75" t="str">
        <f>IF($A289="","",CHOOSE('Calc riepilogo'!$B$2,'Calc valanga'!AV312,'Calc palla di neve'!AV312,'Calc personalizzata'!AV312))</f>
        <v/>
      </c>
      <c r="P289" s="70" t="str">
        <f>IF($A289="","",ROUND(N(Q288)*(1+'Calc base'!K312),2)-Q289)</f>
        <v/>
      </c>
      <c r="Q289" s="75" t="str">
        <f>IF($A289="","",CHOOSE('Calc riepilogo'!$B$2,'Calc valanga'!AW312,'Calc palla di neve'!AW312,'Calc personalizzata'!AW312))</f>
        <v/>
      </c>
      <c r="R289" s="70" t="str">
        <f>IF($A289="","",ROUND(N(S288)*(1+'Calc base'!L312),2)-S289)</f>
        <v/>
      </c>
      <c r="S289" s="75" t="str">
        <f>IF($A289="","",CHOOSE('Calc riepilogo'!$B$2,'Calc valanga'!AX312,'Calc palla di neve'!AX312,'Calc personalizzata'!AX312))</f>
        <v/>
      </c>
      <c r="T289" s="70" t="str">
        <f>IF($A289="","",ROUND(N(U288)*(1+'Calc base'!M312),2)-U289)</f>
        <v/>
      </c>
      <c r="U289" s="75" t="str">
        <f>IF($A289="","",CHOOSE('Calc riepilogo'!$B$2,'Calc valanga'!AY312,'Calc palla di neve'!AY312,'Calc personalizzata'!AY312))</f>
        <v/>
      </c>
      <c r="V289" s="70" t="str">
        <f>IF($A289="","",ROUND(N(W288)*(1+'Calc base'!N312),2)-W289)</f>
        <v/>
      </c>
      <c r="W289" s="75" t="str">
        <f>IF($A289="","",CHOOSE('Calc riepilogo'!$B$2,'Calc valanga'!AZ312,'Calc palla di neve'!AZ312,'Calc personalizzata'!AZ312))</f>
        <v/>
      </c>
      <c r="X289" s="70" t="str">
        <f>IF($A289="","",ROUND(N(Y288)*(1+'Calc base'!O312),2)-Y289)</f>
        <v/>
      </c>
      <c r="Y289" s="75" t="str">
        <f>IF($A289="","",CHOOSE('Calc riepilogo'!$B$2,'Calc valanga'!BA312,'Calc palla di neve'!BA312,'Calc personalizzata'!BA312))</f>
        <v/>
      </c>
      <c r="Z289" s="70" t="str">
        <f>IF($A289="","",ROUND(N(AA288)*(1+'Calc base'!P312),2)-AA289)</f>
        <v/>
      </c>
      <c r="AA289" s="75" t="str">
        <f>IF($A289="","",CHOOSE('Calc riepilogo'!$B$2,'Calc valanga'!BB312,'Calc palla di neve'!BB312,'Calc personalizzata'!BB312))</f>
        <v/>
      </c>
      <c r="AB289" s="70" t="str">
        <f>IF($A289="","",ROUND(N(AC288)*(1+'Calc base'!Q312),2)-AC289)</f>
        <v/>
      </c>
      <c r="AC289" s="75" t="str">
        <f>IF($A289="","",CHOOSE('Calc riepilogo'!$B$2,'Calc valanga'!BC312,'Calc palla di neve'!BC312,'Calc personalizzata'!BC312))</f>
        <v/>
      </c>
      <c r="AD289" s="70" t="str">
        <f>IF($A289="","",ROUND(N(AE288)*(1+'Calc base'!R312),2)-AE289)</f>
        <v/>
      </c>
      <c r="AE289" s="75" t="str">
        <f>IF($A289="","",CHOOSE('Calc riepilogo'!$B$2,'Calc valanga'!BD312,'Calc palla di neve'!BD312,'Calc personalizzata'!BD312))</f>
        <v/>
      </c>
      <c r="AF289" s="70" t="str">
        <f>IF($A289="","",ROUND(N(AG288)*(1+'Calc base'!S312),2)-AG289)</f>
        <v/>
      </c>
      <c r="AG289" s="75" t="str">
        <f>IF($A289="","",CHOOSE('Calc riepilogo'!$B$2,'Calc valanga'!BE312,'Calc palla di neve'!BE312,'Calc personalizzata'!BE312))</f>
        <v/>
      </c>
      <c r="AI289" t="n">
        <v>282</v>
      </c>
    </row>
    <row r="290">
      <c r="A290" s="68" t="str">
        <f>IF(283&gt;'Calc riepilogo'!$B$7,"",'Calc base'!$B313)</f>
        <v/>
      </c>
      <c r="B290" s="69" t="str">
        <f>IF($A290="","",'Calc base'!$C313)</f>
        <v/>
      </c>
      <c r="C290" s="69" t="str">
        <f>IF($A290="","",'Calc base'!$E313)</f>
        <v/>
      </c>
      <c r="D290" s="70" t="str">
        <f>IF($A290="","",J290+L290+N290+P290+R290+T290+V290+X290+Z290+AB290+AD290+AF290)</f>
        <v/>
      </c>
      <c r="E290" s="70" t="str">
        <f>IF($A290="","",CHOOSE('Calc riepilogo'!$B$2,'Calc valanga'!$H313,'Calc palla di neve'!$H313,'Calc personalizzata'!$H313))</f>
        <v/>
      </c>
      <c r="F290" s="71" t="str">
        <f>IF($A290="","",CHOOSE('Calc riepilogo'!$B$2,'Calc valanga'!$G313,'Calc palla di neve'!$G313,'Calc personalizzata'!$G313))</f>
        <v/>
      </c>
      <c r="G290" s="72" t="n"/>
      <c r="H290" s="73" t="n"/>
      <c r="I290" s="74" t="str">
        <f>IF($A290="","",TRIM(IF(AND(N(K289)&gt;0,N(K290)&lt;=0.004),"✓ "&amp;'Calc base'!C$6&amp;"   ","")&amp;IF(AND(N(M289)&gt;0,N(M290)&lt;=0.004),"✓ "&amp;'Calc base'!D$6&amp;"   ","")&amp;IF(AND(N(O289)&gt;0,N(O290)&lt;=0.004),"✓ "&amp;'Calc base'!E$6&amp;"   ","")&amp;IF(AND(N(Q289)&gt;0,N(Q290)&lt;=0.004),"✓ "&amp;'Calc base'!F$6&amp;"   ","")&amp;IF(AND(N(S289)&gt;0,N(S290)&lt;=0.004),"✓ "&amp;'Calc base'!G$6&amp;"   ","")&amp;IF(AND(N(U289)&gt;0,N(U290)&lt;=0.004),"✓ "&amp;'Calc base'!H$6&amp;"   ","")&amp;IF(AND(N(W289)&gt;0,N(W290)&lt;=0.004),"✓ "&amp;'Calc base'!I$6&amp;"   ","")&amp;IF(AND(N(Y289)&gt;0,N(Y290)&lt;=0.004),"✓ "&amp;'Calc base'!J$6&amp;"   ","")&amp;IF(AND(N(AA289)&gt;0,N(AA290)&lt;=0.004),"✓ "&amp;'Calc base'!K$6&amp;"   ","")&amp;IF(AND(N(AC289)&gt;0,N(AC290)&lt;=0.004),"✓ "&amp;'Calc base'!L$6&amp;"   ","")&amp;IF(AND(N(AE289)&gt;0,N(AE290)&lt;=0.004),"✓ "&amp;'Calc base'!M$6&amp;"   ","")&amp;IF(AND(N(AG289)&gt;0,N(AG290)&lt;=0.004),"✓ "&amp;'Calc base'!N$6&amp;"   ","")))</f>
        <v/>
      </c>
      <c r="J290" s="70" t="str">
        <f>IF($A290="","",ROUND(N(K289)*(1+'Calc base'!H313),2)-K290)</f>
        <v/>
      </c>
      <c r="K290" s="75" t="str">
        <f>IF($A290="","",CHOOSE('Calc riepilogo'!$B$2,'Calc valanga'!AT313,'Calc palla di neve'!AT313,'Calc personalizzata'!AT313))</f>
        <v/>
      </c>
      <c r="L290" s="70" t="str">
        <f>IF($A290="","",ROUND(N(M289)*(1+'Calc base'!I313),2)-M290)</f>
        <v/>
      </c>
      <c r="M290" s="75" t="str">
        <f>IF($A290="","",CHOOSE('Calc riepilogo'!$B$2,'Calc valanga'!AU313,'Calc palla di neve'!AU313,'Calc personalizzata'!AU313))</f>
        <v/>
      </c>
      <c r="N290" s="70" t="str">
        <f>IF($A290="","",ROUND(N(O289)*(1+'Calc base'!J313),2)-O290)</f>
        <v/>
      </c>
      <c r="O290" s="75" t="str">
        <f>IF($A290="","",CHOOSE('Calc riepilogo'!$B$2,'Calc valanga'!AV313,'Calc palla di neve'!AV313,'Calc personalizzata'!AV313))</f>
        <v/>
      </c>
      <c r="P290" s="70" t="str">
        <f>IF($A290="","",ROUND(N(Q289)*(1+'Calc base'!K313),2)-Q290)</f>
        <v/>
      </c>
      <c r="Q290" s="75" t="str">
        <f>IF($A290="","",CHOOSE('Calc riepilogo'!$B$2,'Calc valanga'!AW313,'Calc palla di neve'!AW313,'Calc personalizzata'!AW313))</f>
        <v/>
      </c>
      <c r="R290" s="70" t="str">
        <f>IF($A290="","",ROUND(N(S289)*(1+'Calc base'!L313),2)-S290)</f>
        <v/>
      </c>
      <c r="S290" s="75" t="str">
        <f>IF($A290="","",CHOOSE('Calc riepilogo'!$B$2,'Calc valanga'!AX313,'Calc palla di neve'!AX313,'Calc personalizzata'!AX313))</f>
        <v/>
      </c>
      <c r="T290" s="70" t="str">
        <f>IF($A290="","",ROUND(N(U289)*(1+'Calc base'!M313),2)-U290)</f>
        <v/>
      </c>
      <c r="U290" s="75" t="str">
        <f>IF($A290="","",CHOOSE('Calc riepilogo'!$B$2,'Calc valanga'!AY313,'Calc palla di neve'!AY313,'Calc personalizzata'!AY313))</f>
        <v/>
      </c>
      <c r="V290" s="70" t="str">
        <f>IF($A290="","",ROUND(N(W289)*(1+'Calc base'!N313),2)-W290)</f>
        <v/>
      </c>
      <c r="W290" s="75" t="str">
        <f>IF($A290="","",CHOOSE('Calc riepilogo'!$B$2,'Calc valanga'!AZ313,'Calc palla di neve'!AZ313,'Calc personalizzata'!AZ313))</f>
        <v/>
      </c>
      <c r="X290" s="70" t="str">
        <f>IF($A290="","",ROUND(N(Y289)*(1+'Calc base'!O313),2)-Y290)</f>
        <v/>
      </c>
      <c r="Y290" s="75" t="str">
        <f>IF($A290="","",CHOOSE('Calc riepilogo'!$B$2,'Calc valanga'!BA313,'Calc palla di neve'!BA313,'Calc personalizzata'!BA313))</f>
        <v/>
      </c>
      <c r="Z290" s="70" t="str">
        <f>IF($A290="","",ROUND(N(AA289)*(1+'Calc base'!P313),2)-AA290)</f>
        <v/>
      </c>
      <c r="AA290" s="75" t="str">
        <f>IF($A290="","",CHOOSE('Calc riepilogo'!$B$2,'Calc valanga'!BB313,'Calc palla di neve'!BB313,'Calc personalizzata'!BB313))</f>
        <v/>
      </c>
      <c r="AB290" s="70" t="str">
        <f>IF($A290="","",ROUND(N(AC289)*(1+'Calc base'!Q313),2)-AC290)</f>
        <v/>
      </c>
      <c r="AC290" s="75" t="str">
        <f>IF($A290="","",CHOOSE('Calc riepilogo'!$B$2,'Calc valanga'!BC313,'Calc palla di neve'!BC313,'Calc personalizzata'!BC313))</f>
        <v/>
      </c>
      <c r="AD290" s="70" t="str">
        <f>IF($A290="","",ROUND(N(AE289)*(1+'Calc base'!R313),2)-AE290)</f>
        <v/>
      </c>
      <c r="AE290" s="75" t="str">
        <f>IF($A290="","",CHOOSE('Calc riepilogo'!$B$2,'Calc valanga'!BD313,'Calc palla di neve'!BD313,'Calc personalizzata'!BD313))</f>
        <v/>
      </c>
      <c r="AF290" s="70" t="str">
        <f>IF($A290="","",ROUND(N(AG289)*(1+'Calc base'!S313),2)-AG290)</f>
        <v/>
      </c>
      <c r="AG290" s="75" t="str">
        <f>IF($A290="","",CHOOSE('Calc riepilogo'!$B$2,'Calc valanga'!BE313,'Calc palla di neve'!BE313,'Calc personalizzata'!BE313))</f>
        <v/>
      </c>
      <c r="AI290" t="n">
        <v>283</v>
      </c>
    </row>
    <row r="291">
      <c r="A291" s="68" t="str">
        <f>IF(284&gt;'Calc riepilogo'!$B$7,"",'Calc base'!$B314)</f>
        <v/>
      </c>
      <c r="B291" s="69" t="str">
        <f>IF($A291="","",'Calc base'!$C314)</f>
        <v/>
      </c>
      <c r="C291" s="69" t="str">
        <f>IF($A291="","",'Calc base'!$E314)</f>
        <v/>
      </c>
      <c r="D291" s="70" t="str">
        <f>IF($A291="","",J291+L291+N291+P291+R291+T291+V291+X291+Z291+AB291+AD291+AF291)</f>
        <v/>
      </c>
      <c r="E291" s="70" t="str">
        <f>IF($A291="","",CHOOSE('Calc riepilogo'!$B$2,'Calc valanga'!$H314,'Calc palla di neve'!$H314,'Calc personalizzata'!$H314))</f>
        <v/>
      </c>
      <c r="F291" s="71" t="str">
        <f>IF($A291="","",CHOOSE('Calc riepilogo'!$B$2,'Calc valanga'!$G314,'Calc palla di neve'!$G314,'Calc personalizzata'!$G314))</f>
        <v/>
      </c>
      <c r="G291" s="72" t="n"/>
      <c r="H291" s="73" t="n"/>
      <c r="I291" s="74" t="str">
        <f>IF($A291="","",TRIM(IF(AND(N(K290)&gt;0,N(K291)&lt;=0.004),"✓ "&amp;'Calc base'!C$6&amp;"   ","")&amp;IF(AND(N(M290)&gt;0,N(M291)&lt;=0.004),"✓ "&amp;'Calc base'!D$6&amp;"   ","")&amp;IF(AND(N(O290)&gt;0,N(O291)&lt;=0.004),"✓ "&amp;'Calc base'!E$6&amp;"   ","")&amp;IF(AND(N(Q290)&gt;0,N(Q291)&lt;=0.004),"✓ "&amp;'Calc base'!F$6&amp;"   ","")&amp;IF(AND(N(S290)&gt;0,N(S291)&lt;=0.004),"✓ "&amp;'Calc base'!G$6&amp;"   ","")&amp;IF(AND(N(U290)&gt;0,N(U291)&lt;=0.004),"✓ "&amp;'Calc base'!H$6&amp;"   ","")&amp;IF(AND(N(W290)&gt;0,N(W291)&lt;=0.004),"✓ "&amp;'Calc base'!I$6&amp;"   ","")&amp;IF(AND(N(Y290)&gt;0,N(Y291)&lt;=0.004),"✓ "&amp;'Calc base'!J$6&amp;"   ","")&amp;IF(AND(N(AA290)&gt;0,N(AA291)&lt;=0.004),"✓ "&amp;'Calc base'!K$6&amp;"   ","")&amp;IF(AND(N(AC290)&gt;0,N(AC291)&lt;=0.004),"✓ "&amp;'Calc base'!L$6&amp;"   ","")&amp;IF(AND(N(AE290)&gt;0,N(AE291)&lt;=0.004),"✓ "&amp;'Calc base'!M$6&amp;"   ","")&amp;IF(AND(N(AG290)&gt;0,N(AG291)&lt;=0.004),"✓ "&amp;'Calc base'!N$6&amp;"   ","")))</f>
        <v/>
      </c>
      <c r="J291" s="70" t="str">
        <f>IF($A291="","",ROUND(N(K290)*(1+'Calc base'!H314),2)-K291)</f>
        <v/>
      </c>
      <c r="K291" s="75" t="str">
        <f>IF($A291="","",CHOOSE('Calc riepilogo'!$B$2,'Calc valanga'!AT314,'Calc palla di neve'!AT314,'Calc personalizzata'!AT314))</f>
        <v/>
      </c>
      <c r="L291" s="70" t="str">
        <f>IF($A291="","",ROUND(N(M290)*(1+'Calc base'!I314),2)-M291)</f>
        <v/>
      </c>
      <c r="M291" s="75" t="str">
        <f>IF($A291="","",CHOOSE('Calc riepilogo'!$B$2,'Calc valanga'!AU314,'Calc palla di neve'!AU314,'Calc personalizzata'!AU314))</f>
        <v/>
      </c>
      <c r="N291" s="70" t="str">
        <f>IF($A291="","",ROUND(N(O290)*(1+'Calc base'!J314),2)-O291)</f>
        <v/>
      </c>
      <c r="O291" s="75" t="str">
        <f>IF($A291="","",CHOOSE('Calc riepilogo'!$B$2,'Calc valanga'!AV314,'Calc palla di neve'!AV314,'Calc personalizzata'!AV314))</f>
        <v/>
      </c>
      <c r="P291" s="70" t="str">
        <f>IF($A291="","",ROUND(N(Q290)*(1+'Calc base'!K314),2)-Q291)</f>
        <v/>
      </c>
      <c r="Q291" s="75" t="str">
        <f>IF($A291="","",CHOOSE('Calc riepilogo'!$B$2,'Calc valanga'!AW314,'Calc palla di neve'!AW314,'Calc personalizzata'!AW314))</f>
        <v/>
      </c>
      <c r="R291" s="70" t="str">
        <f>IF($A291="","",ROUND(N(S290)*(1+'Calc base'!L314),2)-S291)</f>
        <v/>
      </c>
      <c r="S291" s="75" t="str">
        <f>IF($A291="","",CHOOSE('Calc riepilogo'!$B$2,'Calc valanga'!AX314,'Calc palla di neve'!AX314,'Calc personalizzata'!AX314))</f>
        <v/>
      </c>
      <c r="T291" s="70" t="str">
        <f>IF($A291="","",ROUND(N(U290)*(1+'Calc base'!M314),2)-U291)</f>
        <v/>
      </c>
      <c r="U291" s="75" t="str">
        <f>IF($A291="","",CHOOSE('Calc riepilogo'!$B$2,'Calc valanga'!AY314,'Calc palla di neve'!AY314,'Calc personalizzata'!AY314))</f>
        <v/>
      </c>
      <c r="V291" s="70" t="str">
        <f>IF($A291="","",ROUND(N(W290)*(1+'Calc base'!N314),2)-W291)</f>
        <v/>
      </c>
      <c r="W291" s="75" t="str">
        <f>IF($A291="","",CHOOSE('Calc riepilogo'!$B$2,'Calc valanga'!AZ314,'Calc palla di neve'!AZ314,'Calc personalizzata'!AZ314))</f>
        <v/>
      </c>
      <c r="X291" s="70" t="str">
        <f>IF($A291="","",ROUND(N(Y290)*(1+'Calc base'!O314),2)-Y291)</f>
        <v/>
      </c>
      <c r="Y291" s="75" t="str">
        <f>IF($A291="","",CHOOSE('Calc riepilogo'!$B$2,'Calc valanga'!BA314,'Calc palla di neve'!BA314,'Calc personalizzata'!BA314))</f>
        <v/>
      </c>
      <c r="Z291" s="70" t="str">
        <f>IF($A291="","",ROUND(N(AA290)*(1+'Calc base'!P314),2)-AA291)</f>
        <v/>
      </c>
      <c r="AA291" s="75" t="str">
        <f>IF($A291="","",CHOOSE('Calc riepilogo'!$B$2,'Calc valanga'!BB314,'Calc palla di neve'!BB314,'Calc personalizzata'!BB314))</f>
        <v/>
      </c>
      <c r="AB291" s="70" t="str">
        <f>IF($A291="","",ROUND(N(AC290)*(1+'Calc base'!Q314),2)-AC291)</f>
        <v/>
      </c>
      <c r="AC291" s="75" t="str">
        <f>IF($A291="","",CHOOSE('Calc riepilogo'!$B$2,'Calc valanga'!BC314,'Calc palla di neve'!BC314,'Calc personalizzata'!BC314))</f>
        <v/>
      </c>
      <c r="AD291" s="70" t="str">
        <f>IF($A291="","",ROUND(N(AE290)*(1+'Calc base'!R314),2)-AE291)</f>
        <v/>
      </c>
      <c r="AE291" s="75" t="str">
        <f>IF($A291="","",CHOOSE('Calc riepilogo'!$B$2,'Calc valanga'!BD314,'Calc palla di neve'!BD314,'Calc personalizzata'!BD314))</f>
        <v/>
      </c>
      <c r="AF291" s="70" t="str">
        <f>IF($A291="","",ROUND(N(AG290)*(1+'Calc base'!S314),2)-AG291)</f>
        <v/>
      </c>
      <c r="AG291" s="75" t="str">
        <f>IF($A291="","",CHOOSE('Calc riepilogo'!$B$2,'Calc valanga'!BE314,'Calc palla di neve'!BE314,'Calc personalizzata'!BE314))</f>
        <v/>
      </c>
      <c r="AI291" t="n">
        <v>284</v>
      </c>
    </row>
    <row r="292">
      <c r="A292" s="68" t="str">
        <f>IF(285&gt;'Calc riepilogo'!$B$7,"",'Calc base'!$B315)</f>
        <v/>
      </c>
      <c r="B292" s="69" t="str">
        <f>IF($A292="","",'Calc base'!$C315)</f>
        <v/>
      </c>
      <c r="C292" s="69" t="str">
        <f>IF($A292="","",'Calc base'!$E315)</f>
        <v/>
      </c>
      <c r="D292" s="70" t="str">
        <f>IF($A292="","",J292+L292+N292+P292+R292+T292+V292+X292+Z292+AB292+AD292+AF292)</f>
        <v/>
      </c>
      <c r="E292" s="70" t="str">
        <f>IF($A292="","",CHOOSE('Calc riepilogo'!$B$2,'Calc valanga'!$H315,'Calc palla di neve'!$H315,'Calc personalizzata'!$H315))</f>
        <v/>
      </c>
      <c r="F292" s="71" t="str">
        <f>IF($A292="","",CHOOSE('Calc riepilogo'!$B$2,'Calc valanga'!$G315,'Calc palla di neve'!$G315,'Calc personalizzata'!$G315))</f>
        <v/>
      </c>
      <c r="G292" s="72" t="n"/>
      <c r="H292" s="73" t="n"/>
      <c r="I292" s="74" t="str">
        <f>IF($A292="","",TRIM(IF(AND(N(K291)&gt;0,N(K292)&lt;=0.004),"✓ "&amp;'Calc base'!C$6&amp;"   ","")&amp;IF(AND(N(M291)&gt;0,N(M292)&lt;=0.004),"✓ "&amp;'Calc base'!D$6&amp;"   ","")&amp;IF(AND(N(O291)&gt;0,N(O292)&lt;=0.004),"✓ "&amp;'Calc base'!E$6&amp;"   ","")&amp;IF(AND(N(Q291)&gt;0,N(Q292)&lt;=0.004),"✓ "&amp;'Calc base'!F$6&amp;"   ","")&amp;IF(AND(N(S291)&gt;0,N(S292)&lt;=0.004),"✓ "&amp;'Calc base'!G$6&amp;"   ","")&amp;IF(AND(N(U291)&gt;0,N(U292)&lt;=0.004),"✓ "&amp;'Calc base'!H$6&amp;"   ","")&amp;IF(AND(N(W291)&gt;0,N(W292)&lt;=0.004),"✓ "&amp;'Calc base'!I$6&amp;"   ","")&amp;IF(AND(N(Y291)&gt;0,N(Y292)&lt;=0.004),"✓ "&amp;'Calc base'!J$6&amp;"   ","")&amp;IF(AND(N(AA291)&gt;0,N(AA292)&lt;=0.004),"✓ "&amp;'Calc base'!K$6&amp;"   ","")&amp;IF(AND(N(AC291)&gt;0,N(AC292)&lt;=0.004),"✓ "&amp;'Calc base'!L$6&amp;"   ","")&amp;IF(AND(N(AE291)&gt;0,N(AE292)&lt;=0.004),"✓ "&amp;'Calc base'!M$6&amp;"   ","")&amp;IF(AND(N(AG291)&gt;0,N(AG292)&lt;=0.004),"✓ "&amp;'Calc base'!N$6&amp;"   ","")))</f>
        <v/>
      </c>
      <c r="J292" s="70" t="str">
        <f>IF($A292="","",ROUND(N(K291)*(1+'Calc base'!H315),2)-K292)</f>
        <v/>
      </c>
      <c r="K292" s="75" t="str">
        <f>IF($A292="","",CHOOSE('Calc riepilogo'!$B$2,'Calc valanga'!AT315,'Calc palla di neve'!AT315,'Calc personalizzata'!AT315))</f>
        <v/>
      </c>
      <c r="L292" s="70" t="str">
        <f>IF($A292="","",ROUND(N(M291)*(1+'Calc base'!I315),2)-M292)</f>
        <v/>
      </c>
      <c r="M292" s="75" t="str">
        <f>IF($A292="","",CHOOSE('Calc riepilogo'!$B$2,'Calc valanga'!AU315,'Calc palla di neve'!AU315,'Calc personalizzata'!AU315))</f>
        <v/>
      </c>
      <c r="N292" s="70" t="str">
        <f>IF($A292="","",ROUND(N(O291)*(1+'Calc base'!J315),2)-O292)</f>
        <v/>
      </c>
      <c r="O292" s="75" t="str">
        <f>IF($A292="","",CHOOSE('Calc riepilogo'!$B$2,'Calc valanga'!AV315,'Calc palla di neve'!AV315,'Calc personalizzata'!AV315))</f>
        <v/>
      </c>
      <c r="P292" s="70" t="str">
        <f>IF($A292="","",ROUND(N(Q291)*(1+'Calc base'!K315),2)-Q292)</f>
        <v/>
      </c>
      <c r="Q292" s="75" t="str">
        <f>IF($A292="","",CHOOSE('Calc riepilogo'!$B$2,'Calc valanga'!AW315,'Calc palla di neve'!AW315,'Calc personalizzata'!AW315))</f>
        <v/>
      </c>
      <c r="R292" s="70" t="str">
        <f>IF($A292="","",ROUND(N(S291)*(1+'Calc base'!L315),2)-S292)</f>
        <v/>
      </c>
      <c r="S292" s="75" t="str">
        <f>IF($A292="","",CHOOSE('Calc riepilogo'!$B$2,'Calc valanga'!AX315,'Calc palla di neve'!AX315,'Calc personalizzata'!AX315))</f>
        <v/>
      </c>
      <c r="T292" s="70" t="str">
        <f>IF($A292="","",ROUND(N(U291)*(1+'Calc base'!M315),2)-U292)</f>
        <v/>
      </c>
      <c r="U292" s="75" t="str">
        <f>IF($A292="","",CHOOSE('Calc riepilogo'!$B$2,'Calc valanga'!AY315,'Calc palla di neve'!AY315,'Calc personalizzata'!AY315))</f>
        <v/>
      </c>
      <c r="V292" s="70" t="str">
        <f>IF($A292="","",ROUND(N(W291)*(1+'Calc base'!N315),2)-W292)</f>
        <v/>
      </c>
      <c r="W292" s="75" t="str">
        <f>IF($A292="","",CHOOSE('Calc riepilogo'!$B$2,'Calc valanga'!AZ315,'Calc palla di neve'!AZ315,'Calc personalizzata'!AZ315))</f>
        <v/>
      </c>
      <c r="X292" s="70" t="str">
        <f>IF($A292="","",ROUND(N(Y291)*(1+'Calc base'!O315),2)-Y292)</f>
        <v/>
      </c>
      <c r="Y292" s="75" t="str">
        <f>IF($A292="","",CHOOSE('Calc riepilogo'!$B$2,'Calc valanga'!BA315,'Calc palla di neve'!BA315,'Calc personalizzata'!BA315))</f>
        <v/>
      </c>
      <c r="Z292" s="70" t="str">
        <f>IF($A292="","",ROUND(N(AA291)*(1+'Calc base'!P315),2)-AA292)</f>
        <v/>
      </c>
      <c r="AA292" s="75" t="str">
        <f>IF($A292="","",CHOOSE('Calc riepilogo'!$B$2,'Calc valanga'!BB315,'Calc palla di neve'!BB315,'Calc personalizzata'!BB315))</f>
        <v/>
      </c>
      <c r="AB292" s="70" t="str">
        <f>IF($A292="","",ROUND(N(AC291)*(1+'Calc base'!Q315),2)-AC292)</f>
        <v/>
      </c>
      <c r="AC292" s="75" t="str">
        <f>IF($A292="","",CHOOSE('Calc riepilogo'!$B$2,'Calc valanga'!BC315,'Calc palla di neve'!BC315,'Calc personalizzata'!BC315))</f>
        <v/>
      </c>
      <c r="AD292" s="70" t="str">
        <f>IF($A292="","",ROUND(N(AE291)*(1+'Calc base'!R315),2)-AE292)</f>
        <v/>
      </c>
      <c r="AE292" s="75" t="str">
        <f>IF($A292="","",CHOOSE('Calc riepilogo'!$B$2,'Calc valanga'!BD315,'Calc palla di neve'!BD315,'Calc personalizzata'!BD315))</f>
        <v/>
      </c>
      <c r="AF292" s="70" t="str">
        <f>IF($A292="","",ROUND(N(AG291)*(1+'Calc base'!S315),2)-AG292)</f>
        <v/>
      </c>
      <c r="AG292" s="75" t="str">
        <f>IF($A292="","",CHOOSE('Calc riepilogo'!$B$2,'Calc valanga'!BE315,'Calc palla di neve'!BE315,'Calc personalizzata'!BE315))</f>
        <v/>
      </c>
      <c r="AI292" t="n">
        <v>285</v>
      </c>
    </row>
    <row r="293">
      <c r="A293" s="68" t="str">
        <f>IF(286&gt;'Calc riepilogo'!$B$7,"",'Calc base'!$B316)</f>
        <v/>
      </c>
      <c r="B293" s="69" t="str">
        <f>IF($A293="","",'Calc base'!$C316)</f>
        <v/>
      </c>
      <c r="C293" s="69" t="str">
        <f>IF($A293="","",'Calc base'!$E316)</f>
        <v/>
      </c>
      <c r="D293" s="70" t="str">
        <f>IF($A293="","",J293+L293+N293+P293+R293+T293+V293+X293+Z293+AB293+AD293+AF293)</f>
        <v/>
      </c>
      <c r="E293" s="70" t="str">
        <f>IF($A293="","",CHOOSE('Calc riepilogo'!$B$2,'Calc valanga'!$H316,'Calc palla di neve'!$H316,'Calc personalizzata'!$H316))</f>
        <v/>
      </c>
      <c r="F293" s="71" t="str">
        <f>IF($A293="","",CHOOSE('Calc riepilogo'!$B$2,'Calc valanga'!$G316,'Calc palla di neve'!$G316,'Calc personalizzata'!$G316))</f>
        <v/>
      </c>
      <c r="G293" s="72" t="n"/>
      <c r="H293" s="73" t="n"/>
      <c r="I293" s="74" t="str">
        <f>IF($A293="","",TRIM(IF(AND(N(K292)&gt;0,N(K293)&lt;=0.004),"✓ "&amp;'Calc base'!C$6&amp;"   ","")&amp;IF(AND(N(M292)&gt;0,N(M293)&lt;=0.004),"✓ "&amp;'Calc base'!D$6&amp;"   ","")&amp;IF(AND(N(O292)&gt;0,N(O293)&lt;=0.004),"✓ "&amp;'Calc base'!E$6&amp;"   ","")&amp;IF(AND(N(Q292)&gt;0,N(Q293)&lt;=0.004),"✓ "&amp;'Calc base'!F$6&amp;"   ","")&amp;IF(AND(N(S292)&gt;0,N(S293)&lt;=0.004),"✓ "&amp;'Calc base'!G$6&amp;"   ","")&amp;IF(AND(N(U292)&gt;0,N(U293)&lt;=0.004),"✓ "&amp;'Calc base'!H$6&amp;"   ","")&amp;IF(AND(N(W292)&gt;0,N(W293)&lt;=0.004),"✓ "&amp;'Calc base'!I$6&amp;"   ","")&amp;IF(AND(N(Y292)&gt;0,N(Y293)&lt;=0.004),"✓ "&amp;'Calc base'!J$6&amp;"   ","")&amp;IF(AND(N(AA292)&gt;0,N(AA293)&lt;=0.004),"✓ "&amp;'Calc base'!K$6&amp;"   ","")&amp;IF(AND(N(AC292)&gt;0,N(AC293)&lt;=0.004),"✓ "&amp;'Calc base'!L$6&amp;"   ","")&amp;IF(AND(N(AE292)&gt;0,N(AE293)&lt;=0.004),"✓ "&amp;'Calc base'!M$6&amp;"   ","")&amp;IF(AND(N(AG292)&gt;0,N(AG293)&lt;=0.004),"✓ "&amp;'Calc base'!N$6&amp;"   ","")))</f>
        <v/>
      </c>
      <c r="J293" s="70" t="str">
        <f>IF($A293="","",ROUND(N(K292)*(1+'Calc base'!H316),2)-K293)</f>
        <v/>
      </c>
      <c r="K293" s="75" t="str">
        <f>IF($A293="","",CHOOSE('Calc riepilogo'!$B$2,'Calc valanga'!AT316,'Calc palla di neve'!AT316,'Calc personalizzata'!AT316))</f>
        <v/>
      </c>
      <c r="L293" s="70" t="str">
        <f>IF($A293="","",ROUND(N(M292)*(1+'Calc base'!I316),2)-M293)</f>
        <v/>
      </c>
      <c r="M293" s="75" t="str">
        <f>IF($A293="","",CHOOSE('Calc riepilogo'!$B$2,'Calc valanga'!AU316,'Calc palla di neve'!AU316,'Calc personalizzata'!AU316))</f>
        <v/>
      </c>
      <c r="N293" s="70" t="str">
        <f>IF($A293="","",ROUND(N(O292)*(1+'Calc base'!J316),2)-O293)</f>
        <v/>
      </c>
      <c r="O293" s="75" t="str">
        <f>IF($A293="","",CHOOSE('Calc riepilogo'!$B$2,'Calc valanga'!AV316,'Calc palla di neve'!AV316,'Calc personalizzata'!AV316))</f>
        <v/>
      </c>
      <c r="P293" s="70" t="str">
        <f>IF($A293="","",ROUND(N(Q292)*(1+'Calc base'!K316),2)-Q293)</f>
        <v/>
      </c>
      <c r="Q293" s="75" t="str">
        <f>IF($A293="","",CHOOSE('Calc riepilogo'!$B$2,'Calc valanga'!AW316,'Calc palla di neve'!AW316,'Calc personalizzata'!AW316))</f>
        <v/>
      </c>
      <c r="R293" s="70" t="str">
        <f>IF($A293="","",ROUND(N(S292)*(1+'Calc base'!L316),2)-S293)</f>
        <v/>
      </c>
      <c r="S293" s="75" t="str">
        <f>IF($A293="","",CHOOSE('Calc riepilogo'!$B$2,'Calc valanga'!AX316,'Calc palla di neve'!AX316,'Calc personalizzata'!AX316))</f>
        <v/>
      </c>
      <c r="T293" s="70" t="str">
        <f>IF($A293="","",ROUND(N(U292)*(1+'Calc base'!M316),2)-U293)</f>
        <v/>
      </c>
      <c r="U293" s="75" t="str">
        <f>IF($A293="","",CHOOSE('Calc riepilogo'!$B$2,'Calc valanga'!AY316,'Calc palla di neve'!AY316,'Calc personalizzata'!AY316))</f>
        <v/>
      </c>
      <c r="V293" s="70" t="str">
        <f>IF($A293="","",ROUND(N(W292)*(1+'Calc base'!N316),2)-W293)</f>
        <v/>
      </c>
      <c r="W293" s="75" t="str">
        <f>IF($A293="","",CHOOSE('Calc riepilogo'!$B$2,'Calc valanga'!AZ316,'Calc palla di neve'!AZ316,'Calc personalizzata'!AZ316))</f>
        <v/>
      </c>
      <c r="X293" s="70" t="str">
        <f>IF($A293="","",ROUND(N(Y292)*(1+'Calc base'!O316),2)-Y293)</f>
        <v/>
      </c>
      <c r="Y293" s="75" t="str">
        <f>IF($A293="","",CHOOSE('Calc riepilogo'!$B$2,'Calc valanga'!BA316,'Calc palla di neve'!BA316,'Calc personalizzata'!BA316))</f>
        <v/>
      </c>
      <c r="Z293" s="70" t="str">
        <f>IF($A293="","",ROUND(N(AA292)*(1+'Calc base'!P316),2)-AA293)</f>
        <v/>
      </c>
      <c r="AA293" s="75" t="str">
        <f>IF($A293="","",CHOOSE('Calc riepilogo'!$B$2,'Calc valanga'!BB316,'Calc palla di neve'!BB316,'Calc personalizzata'!BB316))</f>
        <v/>
      </c>
      <c r="AB293" s="70" t="str">
        <f>IF($A293="","",ROUND(N(AC292)*(1+'Calc base'!Q316),2)-AC293)</f>
        <v/>
      </c>
      <c r="AC293" s="75" t="str">
        <f>IF($A293="","",CHOOSE('Calc riepilogo'!$B$2,'Calc valanga'!BC316,'Calc palla di neve'!BC316,'Calc personalizzata'!BC316))</f>
        <v/>
      </c>
      <c r="AD293" s="70" t="str">
        <f>IF($A293="","",ROUND(N(AE292)*(1+'Calc base'!R316),2)-AE293)</f>
        <v/>
      </c>
      <c r="AE293" s="75" t="str">
        <f>IF($A293="","",CHOOSE('Calc riepilogo'!$B$2,'Calc valanga'!BD316,'Calc palla di neve'!BD316,'Calc personalizzata'!BD316))</f>
        <v/>
      </c>
      <c r="AF293" s="70" t="str">
        <f>IF($A293="","",ROUND(N(AG292)*(1+'Calc base'!S316),2)-AG293)</f>
        <v/>
      </c>
      <c r="AG293" s="75" t="str">
        <f>IF($A293="","",CHOOSE('Calc riepilogo'!$B$2,'Calc valanga'!BE316,'Calc palla di neve'!BE316,'Calc personalizzata'!BE316))</f>
        <v/>
      </c>
      <c r="AI293" t="n">
        <v>286</v>
      </c>
    </row>
    <row r="294">
      <c r="A294" s="68" t="str">
        <f>IF(287&gt;'Calc riepilogo'!$B$7,"",'Calc base'!$B317)</f>
        <v/>
      </c>
      <c r="B294" s="69" t="str">
        <f>IF($A294="","",'Calc base'!$C317)</f>
        <v/>
      </c>
      <c r="C294" s="69" t="str">
        <f>IF($A294="","",'Calc base'!$E317)</f>
        <v/>
      </c>
      <c r="D294" s="70" t="str">
        <f>IF($A294="","",J294+L294+N294+P294+R294+T294+V294+X294+Z294+AB294+AD294+AF294)</f>
        <v/>
      </c>
      <c r="E294" s="70" t="str">
        <f>IF($A294="","",CHOOSE('Calc riepilogo'!$B$2,'Calc valanga'!$H317,'Calc palla di neve'!$H317,'Calc personalizzata'!$H317))</f>
        <v/>
      </c>
      <c r="F294" s="71" t="str">
        <f>IF($A294="","",CHOOSE('Calc riepilogo'!$B$2,'Calc valanga'!$G317,'Calc palla di neve'!$G317,'Calc personalizzata'!$G317))</f>
        <v/>
      </c>
      <c r="G294" s="72" t="n"/>
      <c r="H294" s="73" t="n"/>
      <c r="I294" s="74" t="str">
        <f>IF($A294="","",TRIM(IF(AND(N(K293)&gt;0,N(K294)&lt;=0.004),"✓ "&amp;'Calc base'!C$6&amp;"   ","")&amp;IF(AND(N(M293)&gt;0,N(M294)&lt;=0.004),"✓ "&amp;'Calc base'!D$6&amp;"   ","")&amp;IF(AND(N(O293)&gt;0,N(O294)&lt;=0.004),"✓ "&amp;'Calc base'!E$6&amp;"   ","")&amp;IF(AND(N(Q293)&gt;0,N(Q294)&lt;=0.004),"✓ "&amp;'Calc base'!F$6&amp;"   ","")&amp;IF(AND(N(S293)&gt;0,N(S294)&lt;=0.004),"✓ "&amp;'Calc base'!G$6&amp;"   ","")&amp;IF(AND(N(U293)&gt;0,N(U294)&lt;=0.004),"✓ "&amp;'Calc base'!H$6&amp;"   ","")&amp;IF(AND(N(W293)&gt;0,N(W294)&lt;=0.004),"✓ "&amp;'Calc base'!I$6&amp;"   ","")&amp;IF(AND(N(Y293)&gt;0,N(Y294)&lt;=0.004),"✓ "&amp;'Calc base'!J$6&amp;"   ","")&amp;IF(AND(N(AA293)&gt;0,N(AA294)&lt;=0.004),"✓ "&amp;'Calc base'!K$6&amp;"   ","")&amp;IF(AND(N(AC293)&gt;0,N(AC294)&lt;=0.004),"✓ "&amp;'Calc base'!L$6&amp;"   ","")&amp;IF(AND(N(AE293)&gt;0,N(AE294)&lt;=0.004),"✓ "&amp;'Calc base'!M$6&amp;"   ","")&amp;IF(AND(N(AG293)&gt;0,N(AG294)&lt;=0.004),"✓ "&amp;'Calc base'!N$6&amp;"   ","")))</f>
        <v/>
      </c>
      <c r="J294" s="70" t="str">
        <f>IF($A294="","",ROUND(N(K293)*(1+'Calc base'!H317),2)-K294)</f>
        <v/>
      </c>
      <c r="K294" s="75" t="str">
        <f>IF($A294="","",CHOOSE('Calc riepilogo'!$B$2,'Calc valanga'!AT317,'Calc palla di neve'!AT317,'Calc personalizzata'!AT317))</f>
        <v/>
      </c>
      <c r="L294" s="70" t="str">
        <f>IF($A294="","",ROUND(N(M293)*(1+'Calc base'!I317),2)-M294)</f>
        <v/>
      </c>
      <c r="M294" s="75" t="str">
        <f>IF($A294="","",CHOOSE('Calc riepilogo'!$B$2,'Calc valanga'!AU317,'Calc palla di neve'!AU317,'Calc personalizzata'!AU317))</f>
        <v/>
      </c>
      <c r="N294" s="70" t="str">
        <f>IF($A294="","",ROUND(N(O293)*(1+'Calc base'!J317),2)-O294)</f>
        <v/>
      </c>
      <c r="O294" s="75" t="str">
        <f>IF($A294="","",CHOOSE('Calc riepilogo'!$B$2,'Calc valanga'!AV317,'Calc palla di neve'!AV317,'Calc personalizzata'!AV317))</f>
        <v/>
      </c>
      <c r="P294" s="70" t="str">
        <f>IF($A294="","",ROUND(N(Q293)*(1+'Calc base'!K317),2)-Q294)</f>
        <v/>
      </c>
      <c r="Q294" s="75" t="str">
        <f>IF($A294="","",CHOOSE('Calc riepilogo'!$B$2,'Calc valanga'!AW317,'Calc palla di neve'!AW317,'Calc personalizzata'!AW317))</f>
        <v/>
      </c>
      <c r="R294" s="70" t="str">
        <f>IF($A294="","",ROUND(N(S293)*(1+'Calc base'!L317),2)-S294)</f>
        <v/>
      </c>
      <c r="S294" s="75" t="str">
        <f>IF($A294="","",CHOOSE('Calc riepilogo'!$B$2,'Calc valanga'!AX317,'Calc palla di neve'!AX317,'Calc personalizzata'!AX317))</f>
        <v/>
      </c>
      <c r="T294" s="70" t="str">
        <f>IF($A294="","",ROUND(N(U293)*(1+'Calc base'!M317),2)-U294)</f>
        <v/>
      </c>
      <c r="U294" s="75" t="str">
        <f>IF($A294="","",CHOOSE('Calc riepilogo'!$B$2,'Calc valanga'!AY317,'Calc palla di neve'!AY317,'Calc personalizzata'!AY317))</f>
        <v/>
      </c>
      <c r="V294" s="70" t="str">
        <f>IF($A294="","",ROUND(N(W293)*(1+'Calc base'!N317),2)-W294)</f>
        <v/>
      </c>
      <c r="W294" s="75" t="str">
        <f>IF($A294="","",CHOOSE('Calc riepilogo'!$B$2,'Calc valanga'!AZ317,'Calc palla di neve'!AZ317,'Calc personalizzata'!AZ317))</f>
        <v/>
      </c>
      <c r="X294" s="70" t="str">
        <f>IF($A294="","",ROUND(N(Y293)*(1+'Calc base'!O317),2)-Y294)</f>
        <v/>
      </c>
      <c r="Y294" s="75" t="str">
        <f>IF($A294="","",CHOOSE('Calc riepilogo'!$B$2,'Calc valanga'!BA317,'Calc palla di neve'!BA317,'Calc personalizzata'!BA317))</f>
        <v/>
      </c>
      <c r="Z294" s="70" t="str">
        <f>IF($A294="","",ROUND(N(AA293)*(1+'Calc base'!P317),2)-AA294)</f>
        <v/>
      </c>
      <c r="AA294" s="75" t="str">
        <f>IF($A294="","",CHOOSE('Calc riepilogo'!$B$2,'Calc valanga'!BB317,'Calc palla di neve'!BB317,'Calc personalizzata'!BB317))</f>
        <v/>
      </c>
      <c r="AB294" s="70" t="str">
        <f>IF($A294="","",ROUND(N(AC293)*(1+'Calc base'!Q317),2)-AC294)</f>
        <v/>
      </c>
      <c r="AC294" s="75" t="str">
        <f>IF($A294="","",CHOOSE('Calc riepilogo'!$B$2,'Calc valanga'!BC317,'Calc palla di neve'!BC317,'Calc personalizzata'!BC317))</f>
        <v/>
      </c>
      <c r="AD294" s="70" t="str">
        <f>IF($A294="","",ROUND(N(AE293)*(1+'Calc base'!R317),2)-AE294)</f>
        <v/>
      </c>
      <c r="AE294" s="75" t="str">
        <f>IF($A294="","",CHOOSE('Calc riepilogo'!$B$2,'Calc valanga'!BD317,'Calc palla di neve'!BD317,'Calc personalizzata'!BD317))</f>
        <v/>
      </c>
      <c r="AF294" s="70" t="str">
        <f>IF($A294="","",ROUND(N(AG293)*(1+'Calc base'!S317),2)-AG294)</f>
        <v/>
      </c>
      <c r="AG294" s="75" t="str">
        <f>IF($A294="","",CHOOSE('Calc riepilogo'!$B$2,'Calc valanga'!BE317,'Calc palla di neve'!BE317,'Calc personalizzata'!BE317))</f>
        <v/>
      </c>
      <c r="AI294" t="n">
        <v>287</v>
      </c>
    </row>
    <row r="295">
      <c r="A295" s="68" t="str">
        <f>IF(288&gt;'Calc riepilogo'!$B$7,"",'Calc base'!$B318)</f>
        <v/>
      </c>
      <c r="B295" s="69" t="str">
        <f>IF($A295="","",'Calc base'!$C318)</f>
        <v/>
      </c>
      <c r="C295" s="69" t="str">
        <f>IF($A295="","",'Calc base'!$E318)</f>
        <v/>
      </c>
      <c r="D295" s="70" t="str">
        <f>IF($A295="","",J295+L295+N295+P295+R295+T295+V295+X295+Z295+AB295+AD295+AF295)</f>
        <v/>
      </c>
      <c r="E295" s="70" t="str">
        <f>IF($A295="","",CHOOSE('Calc riepilogo'!$B$2,'Calc valanga'!$H318,'Calc palla di neve'!$H318,'Calc personalizzata'!$H318))</f>
        <v/>
      </c>
      <c r="F295" s="71" t="str">
        <f>IF($A295="","",CHOOSE('Calc riepilogo'!$B$2,'Calc valanga'!$G318,'Calc palla di neve'!$G318,'Calc personalizzata'!$G318))</f>
        <v/>
      </c>
      <c r="G295" s="72" t="n"/>
      <c r="H295" s="73" t="n"/>
      <c r="I295" s="74" t="str">
        <f>IF($A295="","",TRIM(IF(AND(N(K294)&gt;0,N(K295)&lt;=0.004),"✓ "&amp;'Calc base'!C$6&amp;"   ","")&amp;IF(AND(N(M294)&gt;0,N(M295)&lt;=0.004),"✓ "&amp;'Calc base'!D$6&amp;"   ","")&amp;IF(AND(N(O294)&gt;0,N(O295)&lt;=0.004),"✓ "&amp;'Calc base'!E$6&amp;"   ","")&amp;IF(AND(N(Q294)&gt;0,N(Q295)&lt;=0.004),"✓ "&amp;'Calc base'!F$6&amp;"   ","")&amp;IF(AND(N(S294)&gt;0,N(S295)&lt;=0.004),"✓ "&amp;'Calc base'!G$6&amp;"   ","")&amp;IF(AND(N(U294)&gt;0,N(U295)&lt;=0.004),"✓ "&amp;'Calc base'!H$6&amp;"   ","")&amp;IF(AND(N(W294)&gt;0,N(W295)&lt;=0.004),"✓ "&amp;'Calc base'!I$6&amp;"   ","")&amp;IF(AND(N(Y294)&gt;0,N(Y295)&lt;=0.004),"✓ "&amp;'Calc base'!J$6&amp;"   ","")&amp;IF(AND(N(AA294)&gt;0,N(AA295)&lt;=0.004),"✓ "&amp;'Calc base'!K$6&amp;"   ","")&amp;IF(AND(N(AC294)&gt;0,N(AC295)&lt;=0.004),"✓ "&amp;'Calc base'!L$6&amp;"   ","")&amp;IF(AND(N(AE294)&gt;0,N(AE295)&lt;=0.004),"✓ "&amp;'Calc base'!M$6&amp;"   ","")&amp;IF(AND(N(AG294)&gt;0,N(AG295)&lt;=0.004),"✓ "&amp;'Calc base'!N$6&amp;"   ","")))</f>
        <v/>
      </c>
      <c r="J295" s="70" t="str">
        <f>IF($A295="","",ROUND(N(K294)*(1+'Calc base'!H318),2)-K295)</f>
        <v/>
      </c>
      <c r="K295" s="75" t="str">
        <f>IF($A295="","",CHOOSE('Calc riepilogo'!$B$2,'Calc valanga'!AT318,'Calc palla di neve'!AT318,'Calc personalizzata'!AT318))</f>
        <v/>
      </c>
      <c r="L295" s="70" t="str">
        <f>IF($A295="","",ROUND(N(M294)*(1+'Calc base'!I318),2)-M295)</f>
        <v/>
      </c>
      <c r="M295" s="75" t="str">
        <f>IF($A295="","",CHOOSE('Calc riepilogo'!$B$2,'Calc valanga'!AU318,'Calc palla di neve'!AU318,'Calc personalizzata'!AU318))</f>
        <v/>
      </c>
      <c r="N295" s="70" t="str">
        <f>IF($A295="","",ROUND(N(O294)*(1+'Calc base'!J318),2)-O295)</f>
        <v/>
      </c>
      <c r="O295" s="75" t="str">
        <f>IF($A295="","",CHOOSE('Calc riepilogo'!$B$2,'Calc valanga'!AV318,'Calc palla di neve'!AV318,'Calc personalizzata'!AV318))</f>
        <v/>
      </c>
      <c r="P295" s="70" t="str">
        <f>IF($A295="","",ROUND(N(Q294)*(1+'Calc base'!K318),2)-Q295)</f>
        <v/>
      </c>
      <c r="Q295" s="75" t="str">
        <f>IF($A295="","",CHOOSE('Calc riepilogo'!$B$2,'Calc valanga'!AW318,'Calc palla di neve'!AW318,'Calc personalizzata'!AW318))</f>
        <v/>
      </c>
      <c r="R295" s="70" t="str">
        <f>IF($A295="","",ROUND(N(S294)*(1+'Calc base'!L318),2)-S295)</f>
        <v/>
      </c>
      <c r="S295" s="75" t="str">
        <f>IF($A295="","",CHOOSE('Calc riepilogo'!$B$2,'Calc valanga'!AX318,'Calc palla di neve'!AX318,'Calc personalizzata'!AX318))</f>
        <v/>
      </c>
      <c r="T295" s="70" t="str">
        <f>IF($A295="","",ROUND(N(U294)*(1+'Calc base'!M318),2)-U295)</f>
        <v/>
      </c>
      <c r="U295" s="75" t="str">
        <f>IF($A295="","",CHOOSE('Calc riepilogo'!$B$2,'Calc valanga'!AY318,'Calc palla di neve'!AY318,'Calc personalizzata'!AY318))</f>
        <v/>
      </c>
      <c r="V295" s="70" t="str">
        <f>IF($A295="","",ROUND(N(W294)*(1+'Calc base'!N318),2)-W295)</f>
        <v/>
      </c>
      <c r="W295" s="75" t="str">
        <f>IF($A295="","",CHOOSE('Calc riepilogo'!$B$2,'Calc valanga'!AZ318,'Calc palla di neve'!AZ318,'Calc personalizzata'!AZ318))</f>
        <v/>
      </c>
      <c r="X295" s="70" t="str">
        <f>IF($A295="","",ROUND(N(Y294)*(1+'Calc base'!O318),2)-Y295)</f>
        <v/>
      </c>
      <c r="Y295" s="75" t="str">
        <f>IF($A295="","",CHOOSE('Calc riepilogo'!$B$2,'Calc valanga'!BA318,'Calc palla di neve'!BA318,'Calc personalizzata'!BA318))</f>
        <v/>
      </c>
      <c r="Z295" s="70" t="str">
        <f>IF($A295="","",ROUND(N(AA294)*(1+'Calc base'!P318),2)-AA295)</f>
        <v/>
      </c>
      <c r="AA295" s="75" t="str">
        <f>IF($A295="","",CHOOSE('Calc riepilogo'!$B$2,'Calc valanga'!BB318,'Calc palla di neve'!BB318,'Calc personalizzata'!BB318))</f>
        <v/>
      </c>
      <c r="AB295" s="70" t="str">
        <f>IF($A295="","",ROUND(N(AC294)*(1+'Calc base'!Q318),2)-AC295)</f>
        <v/>
      </c>
      <c r="AC295" s="75" t="str">
        <f>IF($A295="","",CHOOSE('Calc riepilogo'!$B$2,'Calc valanga'!BC318,'Calc palla di neve'!BC318,'Calc personalizzata'!BC318))</f>
        <v/>
      </c>
      <c r="AD295" s="70" t="str">
        <f>IF($A295="","",ROUND(N(AE294)*(1+'Calc base'!R318),2)-AE295)</f>
        <v/>
      </c>
      <c r="AE295" s="75" t="str">
        <f>IF($A295="","",CHOOSE('Calc riepilogo'!$B$2,'Calc valanga'!BD318,'Calc palla di neve'!BD318,'Calc personalizzata'!BD318))</f>
        <v/>
      </c>
      <c r="AF295" s="70" t="str">
        <f>IF($A295="","",ROUND(N(AG294)*(1+'Calc base'!S318),2)-AG295)</f>
        <v/>
      </c>
      <c r="AG295" s="75" t="str">
        <f>IF($A295="","",CHOOSE('Calc riepilogo'!$B$2,'Calc valanga'!BE318,'Calc palla di neve'!BE318,'Calc personalizzata'!BE318))</f>
        <v/>
      </c>
      <c r="AI295" t="n">
        <v>288</v>
      </c>
    </row>
    <row r="296">
      <c r="A296" s="68" t="str">
        <f>IF(289&gt;'Calc riepilogo'!$B$7,"",'Calc base'!$B319)</f>
        <v/>
      </c>
      <c r="B296" s="69" t="str">
        <f>IF($A296="","",'Calc base'!$C319)</f>
        <v/>
      </c>
      <c r="C296" s="69" t="str">
        <f>IF($A296="","",'Calc base'!$E319)</f>
        <v/>
      </c>
      <c r="D296" s="70" t="str">
        <f>IF($A296="","",J296+L296+N296+P296+R296+T296+V296+X296+Z296+AB296+AD296+AF296)</f>
        <v/>
      </c>
      <c r="E296" s="70" t="str">
        <f>IF($A296="","",CHOOSE('Calc riepilogo'!$B$2,'Calc valanga'!$H319,'Calc palla di neve'!$H319,'Calc personalizzata'!$H319))</f>
        <v/>
      </c>
      <c r="F296" s="71" t="str">
        <f>IF($A296="","",CHOOSE('Calc riepilogo'!$B$2,'Calc valanga'!$G319,'Calc palla di neve'!$G319,'Calc personalizzata'!$G319))</f>
        <v/>
      </c>
      <c r="G296" s="72" t="n"/>
      <c r="H296" s="73" t="n"/>
      <c r="I296" s="74" t="str">
        <f>IF($A296="","",TRIM(IF(AND(N(K295)&gt;0,N(K296)&lt;=0.004),"✓ "&amp;'Calc base'!C$6&amp;"   ","")&amp;IF(AND(N(M295)&gt;0,N(M296)&lt;=0.004),"✓ "&amp;'Calc base'!D$6&amp;"   ","")&amp;IF(AND(N(O295)&gt;0,N(O296)&lt;=0.004),"✓ "&amp;'Calc base'!E$6&amp;"   ","")&amp;IF(AND(N(Q295)&gt;0,N(Q296)&lt;=0.004),"✓ "&amp;'Calc base'!F$6&amp;"   ","")&amp;IF(AND(N(S295)&gt;0,N(S296)&lt;=0.004),"✓ "&amp;'Calc base'!G$6&amp;"   ","")&amp;IF(AND(N(U295)&gt;0,N(U296)&lt;=0.004),"✓ "&amp;'Calc base'!H$6&amp;"   ","")&amp;IF(AND(N(W295)&gt;0,N(W296)&lt;=0.004),"✓ "&amp;'Calc base'!I$6&amp;"   ","")&amp;IF(AND(N(Y295)&gt;0,N(Y296)&lt;=0.004),"✓ "&amp;'Calc base'!J$6&amp;"   ","")&amp;IF(AND(N(AA295)&gt;0,N(AA296)&lt;=0.004),"✓ "&amp;'Calc base'!K$6&amp;"   ","")&amp;IF(AND(N(AC295)&gt;0,N(AC296)&lt;=0.004),"✓ "&amp;'Calc base'!L$6&amp;"   ","")&amp;IF(AND(N(AE295)&gt;0,N(AE296)&lt;=0.004),"✓ "&amp;'Calc base'!M$6&amp;"   ","")&amp;IF(AND(N(AG295)&gt;0,N(AG296)&lt;=0.004),"✓ "&amp;'Calc base'!N$6&amp;"   ","")))</f>
        <v/>
      </c>
      <c r="J296" s="70" t="str">
        <f>IF($A296="","",ROUND(N(K295)*(1+'Calc base'!H319),2)-K296)</f>
        <v/>
      </c>
      <c r="K296" s="75" t="str">
        <f>IF($A296="","",CHOOSE('Calc riepilogo'!$B$2,'Calc valanga'!AT319,'Calc palla di neve'!AT319,'Calc personalizzata'!AT319))</f>
        <v/>
      </c>
      <c r="L296" s="70" t="str">
        <f>IF($A296="","",ROUND(N(M295)*(1+'Calc base'!I319),2)-M296)</f>
        <v/>
      </c>
      <c r="M296" s="75" t="str">
        <f>IF($A296="","",CHOOSE('Calc riepilogo'!$B$2,'Calc valanga'!AU319,'Calc palla di neve'!AU319,'Calc personalizzata'!AU319))</f>
        <v/>
      </c>
      <c r="N296" s="70" t="str">
        <f>IF($A296="","",ROUND(N(O295)*(1+'Calc base'!J319),2)-O296)</f>
        <v/>
      </c>
      <c r="O296" s="75" t="str">
        <f>IF($A296="","",CHOOSE('Calc riepilogo'!$B$2,'Calc valanga'!AV319,'Calc palla di neve'!AV319,'Calc personalizzata'!AV319))</f>
        <v/>
      </c>
      <c r="P296" s="70" t="str">
        <f>IF($A296="","",ROUND(N(Q295)*(1+'Calc base'!K319),2)-Q296)</f>
        <v/>
      </c>
      <c r="Q296" s="75" t="str">
        <f>IF($A296="","",CHOOSE('Calc riepilogo'!$B$2,'Calc valanga'!AW319,'Calc palla di neve'!AW319,'Calc personalizzata'!AW319))</f>
        <v/>
      </c>
      <c r="R296" s="70" t="str">
        <f>IF($A296="","",ROUND(N(S295)*(1+'Calc base'!L319),2)-S296)</f>
        <v/>
      </c>
      <c r="S296" s="75" t="str">
        <f>IF($A296="","",CHOOSE('Calc riepilogo'!$B$2,'Calc valanga'!AX319,'Calc palla di neve'!AX319,'Calc personalizzata'!AX319))</f>
        <v/>
      </c>
      <c r="T296" s="70" t="str">
        <f>IF($A296="","",ROUND(N(U295)*(1+'Calc base'!M319),2)-U296)</f>
        <v/>
      </c>
      <c r="U296" s="75" t="str">
        <f>IF($A296="","",CHOOSE('Calc riepilogo'!$B$2,'Calc valanga'!AY319,'Calc palla di neve'!AY319,'Calc personalizzata'!AY319))</f>
        <v/>
      </c>
      <c r="V296" s="70" t="str">
        <f>IF($A296="","",ROUND(N(W295)*(1+'Calc base'!N319),2)-W296)</f>
        <v/>
      </c>
      <c r="W296" s="75" t="str">
        <f>IF($A296="","",CHOOSE('Calc riepilogo'!$B$2,'Calc valanga'!AZ319,'Calc palla di neve'!AZ319,'Calc personalizzata'!AZ319))</f>
        <v/>
      </c>
      <c r="X296" s="70" t="str">
        <f>IF($A296="","",ROUND(N(Y295)*(1+'Calc base'!O319),2)-Y296)</f>
        <v/>
      </c>
      <c r="Y296" s="75" t="str">
        <f>IF($A296="","",CHOOSE('Calc riepilogo'!$B$2,'Calc valanga'!BA319,'Calc palla di neve'!BA319,'Calc personalizzata'!BA319))</f>
        <v/>
      </c>
      <c r="Z296" s="70" t="str">
        <f>IF($A296="","",ROUND(N(AA295)*(1+'Calc base'!P319),2)-AA296)</f>
        <v/>
      </c>
      <c r="AA296" s="75" t="str">
        <f>IF($A296="","",CHOOSE('Calc riepilogo'!$B$2,'Calc valanga'!BB319,'Calc palla di neve'!BB319,'Calc personalizzata'!BB319))</f>
        <v/>
      </c>
      <c r="AB296" s="70" t="str">
        <f>IF($A296="","",ROUND(N(AC295)*(1+'Calc base'!Q319),2)-AC296)</f>
        <v/>
      </c>
      <c r="AC296" s="75" t="str">
        <f>IF($A296="","",CHOOSE('Calc riepilogo'!$B$2,'Calc valanga'!BC319,'Calc palla di neve'!BC319,'Calc personalizzata'!BC319))</f>
        <v/>
      </c>
      <c r="AD296" s="70" t="str">
        <f>IF($A296="","",ROUND(N(AE295)*(1+'Calc base'!R319),2)-AE296)</f>
        <v/>
      </c>
      <c r="AE296" s="75" t="str">
        <f>IF($A296="","",CHOOSE('Calc riepilogo'!$B$2,'Calc valanga'!BD319,'Calc palla di neve'!BD319,'Calc personalizzata'!BD319))</f>
        <v/>
      </c>
      <c r="AF296" s="70" t="str">
        <f>IF($A296="","",ROUND(N(AG295)*(1+'Calc base'!S319),2)-AG296)</f>
        <v/>
      </c>
      <c r="AG296" s="75" t="str">
        <f>IF($A296="","",CHOOSE('Calc riepilogo'!$B$2,'Calc valanga'!BE319,'Calc palla di neve'!BE319,'Calc personalizzata'!BE319))</f>
        <v/>
      </c>
      <c r="AI296" t="n">
        <v>289</v>
      </c>
    </row>
    <row r="297">
      <c r="A297" s="68" t="str">
        <f>IF(290&gt;'Calc riepilogo'!$B$7,"",'Calc base'!$B320)</f>
        <v/>
      </c>
      <c r="B297" s="69" t="str">
        <f>IF($A297="","",'Calc base'!$C320)</f>
        <v/>
      </c>
      <c r="C297" s="69" t="str">
        <f>IF($A297="","",'Calc base'!$E320)</f>
        <v/>
      </c>
      <c r="D297" s="70" t="str">
        <f>IF($A297="","",J297+L297+N297+P297+R297+T297+V297+X297+Z297+AB297+AD297+AF297)</f>
        <v/>
      </c>
      <c r="E297" s="70" t="str">
        <f>IF($A297="","",CHOOSE('Calc riepilogo'!$B$2,'Calc valanga'!$H320,'Calc palla di neve'!$H320,'Calc personalizzata'!$H320))</f>
        <v/>
      </c>
      <c r="F297" s="71" t="str">
        <f>IF($A297="","",CHOOSE('Calc riepilogo'!$B$2,'Calc valanga'!$G320,'Calc palla di neve'!$G320,'Calc personalizzata'!$G320))</f>
        <v/>
      </c>
      <c r="G297" s="72" t="n"/>
      <c r="H297" s="73" t="n"/>
      <c r="I297" s="74" t="str">
        <f>IF($A297="","",TRIM(IF(AND(N(K296)&gt;0,N(K297)&lt;=0.004),"✓ "&amp;'Calc base'!C$6&amp;"   ","")&amp;IF(AND(N(M296)&gt;0,N(M297)&lt;=0.004),"✓ "&amp;'Calc base'!D$6&amp;"   ","")&amp;IF(AND(N(O296)&gt;0,N(O297)&lt;=0.004),"✓ "&amp;'Calc base'!E$6&amp;"   ","")&amp;IF(AND(N(Q296)&gt;0,N(Q297)&lt;=0.004),"✓ "&amp;'Calc base'!F$6&amp;"   ","")&amp;IF(AND(N(S296)&gt;0,N(S297)&lt;=0.004),"✓ "&amp;'Calc base'!G$6&amp;"   ","")&amp;IF(AND(N(U296)&gt;0,N(U297)&lt;=0.004),"✓ "&amp;'Calc base'!H$6&amp;"   ","")&amp;IF(AND(N(W296)&gt;0,N(W297)&lt;=0.004),"✓ "&amp;'Calc base'!I$6&amp;"   ","")&amp;IF(AND(N(Y296)&gt;0,N(Y297)&lt;=0.004),"✓ "&amp;'Calc base'!J$6&amp;"   ","")&amp;IF(AND(N(AA296)&gt;0,N(AA297)&lt;=0.004),"✓ "&amp;'Calc base'!K$6&amp;"   ","")&amp;IF(AND(N(AC296)&gt;0,N(AC297)&lt;=0.004),"✓ "&amp;'Calc base'!L$6&amp;"   ","")&amp;IF(AND(N(AE296)&gt;0,N(AE297)&lt;=0.004),"✓ "&amp;'Calc base'!M$6&amp;"   ","")&amp;IF(AND(N(AG296)&gt;0,N(AG297)&lt;=0.004),"✓ "&amp;'Calc base'!N$6&amp;"   ","")))</f>
        <v/>
      </c>
      <c r="J297" s="70" t="str">
        <f>IF($A297="","",ROUND(N(K296)*(1+'Calc base'!H320),2)-K297)</f>
        <v/>
      </c>
      <c r="K297" s="75" t="str">
        <f>IF($A297="","",CHOOSE('Calc riepilogo'!$B$2,'Calc valanga'!AT320,'Calc palla di neve'!AT320,'Calc personalizzata'!AT320))</f>
        <v/>
      </c>
      <c r="L297" s="70" t="str">
        <f>IF($A297="","",ROUND(N(M296)*(1+'Calc base'!I320),2)-M297)</f>
        <v/>
      </c>
      <c r="M297" s="75" t="str">
        <f>IF($A297="","",CHOOSE('Calc riepilogo'!$B$2,'Calc valanga'!AU320,'Calc palla di neve'!AU320,'Calc personalizzata'!AU320))</f>
        <v/>
      </c>
      <c r="N297" s="70" t="str">
        <f>IF($A297="","",ROUND(N(O296)*(1+'Calc base'!J320),2)-O297)</f>
        <v/>
      </c>
      <c r="O297" s="75" t="str">
        <f>IF($A297="","",CHOOSE('Calc riepilogo'!$B$2,'Calc valanga'!AV320,'Calc palla di neve'!AV320,'Calc personalizzata'!AV320))</f>
        <v/>
      </c>
      <c r="P297" s="70" t="str">
        <f>IF($A297="","",ROUND(N(Q296)*(1+'Calc base'!K320),2)-Q297)</f>
        <v/>
      </c>
      <c r="Q297" s="75" t="str">
        <f>IF($A297="","",CHOOSE('Calc riepilogo'!$B$2,'Calc valanga'!AW320,'Calc palla di neve'!AW320,'Calc personalizzata'!AW320))</f>
        <v/>
      </c>
      <c r="R297" s="70" t="str">
        <f>IF($A297="","",ROUND(N(S296)*(1+'Calc base'!L320),2)-S297)</f>
        <v/>
      </c>
      <c r="S297" s="75" t="str">
        <f>IF($A297="","",CHOOSE('Calc riepilogo'!$B$2,'Calc valanga'!AX320,'Calc palla di neve'!AX320,'Calc personalizzata'!AX320))</f>
        <v/>
      </c>
      <c r="T297" s="70" t="str">
        <f>IF($A297="","",ROUND(N(U296)*(1+'Calc base'!M320),2)-U297)</f>
        <v/>
      </c>
      <c r="U297" s="75" t="str">
        <f>IF($A297="","",CHOOSE('Calc riepilogo'!$B$2,'Calc valanga'!AY320,'Calc palla di neve'!AY320,'Calc personalizzata'!AY320))</f>
        <v/>
      </c>
      <c r="V297" s="70" t="str">
        <f>IF($A297="","",ROUND(N(W296)*(1+'Calc base'!N320),2)-W297)</f>
        <v/>
      </c>
      <c r="W297" s="75" t="str">
        <f>IF($A297="","",CHOOSE('Calc riepilogo'!$B$2,'Calc valanga'!AZ320,'Calc palla di neve'!AZ320,'Calc personalizzata'!AZ320))</f>
        <v/>
      </c>
      <c r="X297" s="70" t="str">
        <f>IF($A297="","",ROUND(N(Y296)*(1+'Calc base'!O320),2)-Y297)</f>
        <v/>
      </c>
      <c r="Y297" s="75" t="str">
        <f>IF($A297="","",CHOOSE('Calc riepilogo'!$B$2,'Calc valanga'!BA320,'Calc palla di neve'!BA320,'Calc personalizzata'!BA320))</f>
        <v/>
      </c>
      <c r="Z297" s="70" t="str">
        <f>IF($A297="","",ROUND(N(AA296)*(1+'Calc base'!P320),2)-AA297)</f>
        <v/>
      </c>
      <c r="AA297" s="75" t="str">
        <f>IF($A297="","",CHOOSE('Calc riepilogo'!$B$2,'Calc valanga'!BB320,'Calc palla di neve'!BB320,'Calc personalizzata'!BB320))</f>
        <v/>
      </c>
      <c r="AB297" s="70" t="str">
        <f>IF($A297="","",ROUND(N(AC296)*(1+'Calc base'!Q320),2)-AC297)</f>
        <v/>
      </c>
      <c r="AC297" s="75" t="str">
        <f>IF($A297="","",CHOOSE('Calc riepilogo'!$B$2,'Calc valanga'!BC320,'Calc palla di neve'!BC320,'Calc personalizzata'!BC320))</f>
        <v/>
      </c>
      <c r="AD297" s="70" t="str">
        <f>IF($A297="","",ROUND(N(AE296)*(1+'Calc base'!R320),2)-AE297)</f>
        <v/>
      </c>
      <c r="AE297" s="75" t="str">
        <f>IF($A297="","",CHOOSE('Calc riepilogo'!$B$2,'Calc valanga'!BD320,'Calc palla di neve'!BD320,'Calc personalizzata'!BD320))</f>
        <v/>
      </c>
      <c r="AF297" s="70" t="str">
        <f>IF($A297="","",ROUND(N(AG296)*(1+'Calc base'!S320),2)-AG297)</f>
        <v/>
      </c>
      <c r="AG297" s="75" t="str">
        <f>IF($A297="","",CHOOSE('Calc riepilogo'!$B$2,'Calc valanga'!BE320,'Calc palla di neve'!BE320,'Calc personalizzata'!BE320))</f>
        <v/>
      </c>
      <c r="AI297" t="n">
        <v>290</v>
      </c>
    </row>
    <row r="298">
      <c r="A298" s="68" t="str">
        <f>IF(291&gt;'Calc riepilogo'!$B$7,"",'Calc base'!$B321)</f>
        <v/>
      </c>
      <c r="B298" s="69" t="str">
        <f>IF($A298="","",'Calc base'!$C321)</f>
        <v/>
      </c>
      <c r="C298" s="69" t="str">
        <f>IF($A298="","",'Calc base'!$E321)</f>
        <v/>
      </c>
      <c r="D298" s="70" t="str">
        <f>IF($A298="","",J298+L298+N298+P298+R298+T298+V298+X298+Z298+AB298+AD298+AF298)</f>
        <v/>
      </c>
      <c r="E298" s="70" t="str">
        <f>IF($A298="","",CHOOSE('Calc riepilogo'!$B$2,'Calc valanga'!$H321,'Calc palla di neve'!$H321,'Calc personalizzata'!$H321))</f>
        <v/>
      </c>
      <c r="F298" s="71" t="str">
        <f>IF($A298="","",CHOOSE('Calc riepilogo'!$B$2,'Calc valanga'!$G321,'Calc palla di neve'!$G321,'Calc personalizzata'!$G321))</f>
        <v/>
      </c>
      <c r="G298" s="72" t="n"/>
      <c r="H298" s="73" t="n"/>
      <c r="I298" s="74" t="str">
        <f>IF($A298="","",TRIM(IF(AND(N(K297)&gt;0,N(K298)&lt;=0.004),"✓ "&amp;'Calc base'!C$6&amp;"   ","")&amp;IF(AND(N(M297)&gt;0,N(M298)&lt;=0.004),"✓ "&amp;'Calc base'!D$6&amp;"   ","")&amp;IF(AND(N(O297)&gt;0,N(O298)&lt;=0.004),"✓ "&amp;'Calc base'!E$6&amp;"   ","")&amp;IF(AND(N(Q297)&gt;0,N(Q298)&lt;=0.004),"✓ "&amp;'Calc base'!F$6&amp;"   ","")&amp;IF(AND(N(S297)&gt;0,N(S298)&lt;=0.004),"✓ "&amp;'Calc base'!G$6&amp;"   ","")&amp;IF(AND(N(U297)&gt;0,N(U298)&lt;=0.004),"✓ "&amp;'Calc base'!H$6&amp;"   ","")&amp;IF(AND(N(W297)&gt;0,N(W298)&lt;=0.004),"✓ "&amp;'Calc base'!I$6&amp;"   ","")&amp;IF(AND(N(Y297)&gt;0,N(Y298)&lt;=0.004),"✓ "&amp;'Calc base'!J$6&amp;"   ","")&amp;IF(AND(N(AA297)&gt;0,N(AA298)&lt;=0.004),"✓ "&amp;'Calc base'!K$6&amp;"   ","")&amp;IF(AND(N(AC297)&gt;0,N(AC298)&lt;=0.004),"✓ "&amp;'Calc base'!L$6&amp;"   ","")&amp;IF(AND(N(AE297)&gt;0,N(AE298)&lt;=0.004),"✓ "&amp;'Calc base'!M$6&amp;"   ","")&amp;IF(AND(N(AG297)&gt;0,N(AG298)&lt;=0.004),"✓ "&amp;'Calc base'!N$6&amp;"   ","")))</f>
        <v/>
      </c>
      <c r="J298" s="70" t="str">
        <f>IF($A298="","",ROUND(N(K297)*(1+'Calc base'!H321),2)-K298)</f>
        <v/>
      </c>
      <c r="K298" s="75" t="str">
        <f>IF($A298="","",CHOOSE('Calc riepilogo'!$B$2,'Calc valanga'!AT321,'Calc palla di neve'!AT321,'Calc personalizzata'!AT321))</f>
        <v/>
      </c>
      <c r="L298" s="70" t="str">
        <f>IF($A298="","",ROUND(N(M297)*(1+'Calc base'!I321),2)-M298)</f>
        <v/>
      </c>
      <c r="M298" s="75" t="str">
        <f>IF($A298="","",CHOOSE('Calc riepilogo'!$B$2,'Calc valanga'!AU321,'Calc palla di neve'!AU321,'Calc personalizzata'!AU321))</f>
        <v/>
      </c>
      <c r="N298" s="70" t="str">
        <f>IF($A298="","",ROUND(N(O297)*(1+'Calc base'!J321),2)-O298)</f>
        <v/>
      </c>
      <c r="O298" s="75" t="str">
        <f>IF($A298="","",CHOOSE('Calc riepilogo'!$B$2,'Calc valanga'!AV321,'Calc palla di neve'!AV321,'Calc personalizzata'!AV321))</f>
        <v/>
      </c>
      <c r="P298" s="70" t="str">
        <f>IF($A298="","",ROUND(N(Q297)*(1+'Calc base'!K321),2)-Q298)</f>
        <v/>
      </c>
      <c r="Q298" s="75" t="str">
        <f>IF($A298="","",CHOOSE('Calc riepilogo'!$B$2,'Calc valanga'!AW321,'Calc palla di neve'!AW321,'Calc personalizzata'!AW321))</f>
        <v/>
      </c>
      <c r="R298" s="70" t="str">
        <f>IF($A298="","",ROUND(N(S297)*(1+'Calc base'!L321),2)-S298)</f>
        <v/>
      </c>
      <c r="S298" s="75" t="str">
        <f>IF($A298="","",CHOOSE('Calc riepilogo'!$B$2,'Calc valanga'!AX321,'Calc palla di neve'!AX321,'Calc personalizzata'!AX321))</f>
        <v/>
      </c>
      <c r="T298" s="70" t="str">
        <f>IF($A298="","",ROUND(N(U297)*(1+'Calc base'!M321),2)-U298)</f>
        <v/>
      </c>
      <c r="U298" s="75" t="str">
        <f>IF($A298="","",CHOOSE('Calc riepilogo'!$B$2,'Calc valanga'!AY321,'Calc palla di neve'!AY321,'Calc personalizzata'!AY321))</f>
        <v/>
      </c>
      <c r="V298" s="70" t="str">
        <f>IF($A298="","",ROUND(N(W297)*(1+'Calc base'!N321),2)-W298)</f>
        <v/>
      </c>
      <c r="W298" s="75" t="str">
        <f>IF($A298="","",CHOOSE('Calc riepilogo'!$B$2,'Calc valanga'!AZ321,'Calc palla di neve'!AZ321,'Calc personalizzata'!AZ321))</f>
        <v/>
      </c>
      <c r="X298" s="70" t="str">
        <f>IF($A298="","",ROUND(N(Y297)*(1+'Calc base'!O321),2)-Y298)</f>
        <v/>
      </c>
      <c r="Y298" s="75" t="str">
        <f>IF($A298="","",CHOOSE('Calc riepilogo'!$B$2,'Calc valanga'!BA321,'Calc palla di neve'!BA321,'Calc personalizzata'!BA321))</f>
        <v/>
      </c>
      <c r="Z298" s="70" t="str">
        <f>IF($A298="","",ROUND(N(AA297)*(1+'Calc base'!P321),2)-AA298)</f>
        <v/>
      </c>
      <c r="AA298" s="75" t="str">
        <f>IF($A298="","",CHOOSE('Calc riepilogo'!$B$2,'Calc valanga'!BB321,'Calc palla di neve'!BB321,'Calc personalizzata'!BB321))</f>
        <v/>
      </c>
      <c r="AB298" s="70" t="str">
        <f>IF($A298="","",ROUND(N(AC297)*(1+'Calc base'!Q321),2)-AC298)</f>
        <v/>
      </c>
      <c r="AC298" s="75" t="str">
        <f>IF($A298="","",CHOOSE('Calc riepilogo'!$B$2,'Calc valanga'!BC321,'Calc palla di neve'!BC321,'Calc personalizzata'!BC321))</f>
        <v/>
      </c>
      <c r="AD298" s="70" t="str">
        <f>IF($A298="","",ROUND(N(AE297)*(1+'Calc base'!R321),2)-AE298)</f>
        <v/>
      </c>
      <c r="AE298" s="75" t="str">
        <f>IF($A298="","",CHOOSE('Calc riepilogo'!$B$2,'Calc valanga'!BD321,'Calc palla di neve'!BD321,'Calc personalizzata'!BD321))</f>
        <v/>
      </c>
      <c r="AF298" s="70" t="str">
        <f>IF($A298="","",ROUND(N(AG297)*(1+'Calc base'!S321),2)-AG298)</f>
        <v/>
      </c>
      <c r="AG298" s="75" t="str">
        <f>IF($A298="","",CHOOSE('Calc riepilogo'!$B$2,'Calc valanga'!BE321,'Calc palla di neve'!BE321,'Calc personalizzata'!BE321))</f>
        <v/>
      </c>
      <c r="AI298" t="n">
        <v>291</v>
      </c>
    </row>
    <row r="299">
      <c r="A299" s="68" t="str">
        <f>IF(292&gt;'Calc riepilogo'!$B$7,"",'Calc base'!$B322)</f>
        <v/>
      </c>
      <c r="B299" s="69" t="str">
        <f>IF($A299="","",'Calc base'!$C322)</f>
        <v/>
      </c>
      <c r="C299" s="69" t="str">
        <f>IF($A299="","",'Calc base'!$E322)</f>
        <v/>
      </c>
      <c r="D299" s="70" t="str">
        <f>IF($A299="","",J299+L299+N299+P299+R299+T299+V299+X299+Z299+AB299+AD299+AF299)</f>
        <v/>
      </c>
      <c r="E299" s="70" t="str">
        <f>IF($A299="","",CHOOSE('Calc riepilogo'!$B$2,'Calc valanga'!$H322,'Calc palla di neve'!$H322,'Calc personalizzata'!$H322))</f>
        <v/>
      </c>
      <c r="F299" s="71" t="str">
        <f>IF($A299="","",CHOOSE('Calc riepilogo'!$B$2,'Calc valanga'!$G322,'Calc palla di neve'!$G322,'Calc personalizzata'!$G322))</f>
        <v/>
      </c>
      <c r="G299" s="72" t="n"/>
      <c r="H299" s="73" t="n"/>
      <c r="I299" s="74" t="str">
        <f>IF($A299="","",TRIM(IF(AND(N(K298)&gt;0,N(K299)&lt;=0.004),"✓ "&amp;'Calc base'!C$6&amp;"   ","")&amp;IF(AND(N(M298)&gt;0,N(M299)&lt;=0.004),"✓ "&amp;'Calc base'!D$6&amp;"   ","")&amp;IF(AND(N(O298)&gt;0,N(O299)&lt;=0.004),"✓ "&amp;'Calc base'!E$6&amp;"   ","")&amp;IF(AND(N(Q298)&gt;0,N(Q299)&lt;=0.004),"✓ "&amp;'Calc base'!F$6&amp;"   ","")&amp;IF(AND(N(S298)&gt;0,N(S299)&lt;=0.004),"✓ "&amp;'Calc base'!G$6&amp;"   ","")&amp;IF(AND(N(U298)&gt;0,N(U299)&lt;=0.004),"✓ "&amp;'Calc base'!H$6&amp;"   ","")&amp;IF(AND(N(W298)&gt;0,N(W299)&lt;=0.004),"✓ "&amp;'Calc base'!I$6&amp;"   ","")&amp;IF(AND(N(Y298)&gt;0,N(Y299)&lt;=0.004),"✓ "&amp;'Calc base'!J$6&amp;"   ","")&amp;IF(AND(N(AA298)&gt;0,N(AA299)&lt;=0.004),"✓ "&amp;'Calc base'!K$6&amp;"   ","")&amp;IF(AND(N(AC298)&gt;0,N(AC299)&lt;=0.004),"✓ "&amp;'Calc base'!L$6&amp;"   ","")&amp;IF(AND(N(AE298)&gt;0,N(AE299)&lt;=0.004),"✓ "&amp;'Calc base'!M$6&amp;"   ","")&amp;IF(AND(N(AG298)&gt;0,N(AG299)&lt;=0.004),"✓ "&amp;'Calc base'!N$6&amp;"   ","")))</f>
        <v/>
      </c>
      <c r="J299" s="70" t="str">
        <f>IF($A299="","",ROUND(N(K298)*(1+'Calc base'!H322),2)-K299)</f>
        <v/>
      </c>
      <c r="K299" s="75" t="str">
        <f>IF($A299="","",CHOOSE('Calc riepilogo'!$B$2,'Calc valanga'!AT322,'Calc palla di neve'!AT322,'Calc personalizzata'!AT322))</f>
        <v/>
      </c>
      <c r="L299" s="70" t="str">
        <f>IF($A299="","",ROUND(N(M298)*(1+'Calc base'!I322),2)-M299)</f>
        <v/>
      </c>
      <c r="M299" s="75" t="str">
        <f>IF($A299="","",CHOOSE('Calc riepilogo'!$B$2,'Calc valanga'!AU322,'Calc palla di neve'!AU322,'Calc personalizzata'!AU322))</f>
        <v/>
      </c>
      <c r="N299" s="70" t="str">
        <f>IF($A299="","",ROUND(N(O298)*(1+'Calc base'!J322),2)-O299)</f>
        <v/>
      </c>
      <c r="O299" s="75" t="str">
        <f>IF($A299="","",CHOOSE('Calc riepilogo'!$B$2,'Calc valanga'!AV322,'Calc palla di neve'!AV322,'Calc personalizzata'!AV322))</f>
        <v/>
      </c>
      <c r="P299" s="70" t="str">
        <f>IF($A299="","",ROUND(N(Q298)*(1+'Calc base'!K322),2)-Q299)</f>
        <v/>
      </c>
      <c r="Q299" s="75" t="str">
        <f>IF($A299="","",CHOOSE('Calc riepilogo'!$B$2,'Calc valanga'!AW322,'Calc palla di neve'!AW322,'Calc personalizzata'!AW322))</f>
        <v/>
      </c>
      <c r="R299" s="70" t="str">
        <f>IF($A299="","",ROUND(N(S298)*(1+'Calc base'!L322),2)-S299)</f>
        <v/>
      </c>
      <c r="S299" s="75" t="str">
        <f>IF($A299="","",CHOOSE('Calc riepilogo'!$B$2,'Calc valanga'!AX322,'Calc palla di neve'!AX322,'Calc personalizzata'!AX322))</f>
        <v/>
      </c>
      <c r="T299" s="70" t="str">
        <f>IF($A299="","",ROUND(N(U298)*(1+'Calc base'!M322),2)-U299)</f>
        <v/>
      </c>
      <c r="U299" s="75" t="str">
        <f>IF($A299="","",CHOOSE('Calc riepilogo'!$B$2,'Calc valanga'!AY322,'Calc palla di neve'!AY322,'Calc personalizzata'!AY322))</f>
        <v/>
      </c>
      <c r="V299" s="70" t="str">
        <f>IF($A299="","",ROUND(N(W298)*(1+'Calc base'!N322),2)-W299)</f>
        <v/>
      </c>
      <c r="W299" s="75" t="str">
        <f>IF($A299="","",CHOOSE('Calc riepilogo'!$B$2,'Calc valanga'!AZ322,'Calc palla di neve'!AZ322,'Calc personalizzata'!AZ322))</f>
        <v/>
      </c>
      <c r="X299" s="70" t="str">
        <f>IF($A299="","",ROUND(N(Y298)*(1+'Calc base'!O322),2)-Y299)</f>
        <v/>
      </c>
      <c r="Y299" s="75" t="str">
        <f>IF($A299="","",CHOOSE('Calc riepilogo'!$B$2,'Calc valanga'!BA322,'Calc palla di neve'!BA322,'Calc personalizzata'!BA322))</f>
        <v/>
      </c>
      <c r="Z299" s="70" t="str">
        <f>IF($A299="","",ROUND(N(AA298)*(1+'Calc base'!P322),2)-AA299)</f>
        <v/>
      </c>
      <c r="AA299" s="75" t="str">
        <f>IF($A299="","",CHOOSE('Calc riepilogo'!$B$2,'Calc valanga'!BB322,'Calc palla di neve'!BB322,'Calc personalizzata'!BB322))</f>
        <v/>
      </c>
      <c r="AB299" s="70" t="str">
        <f>IF($A299="","",ROUND(N(AC298)*(1+'Calc base'!Q322),2)-AC299)</f>
        <v/>
      </c>
      <c r="AC299" s="75" t="str">
        <f>IF($A299="","",CHOOSE('Calc riepilogo'!$B$2,'Calc valanga'!BC322,'Calc palla di neve'!BC322,'Calc personalizzata'!BC322))</f>
        <v/>
      </c>
      <c r="AD299" s="70" t="str">
        <f>IF($A299="","",ROUND(N(AE298)*(1+'Calc base'!R322),2)-AE299)</f>
        <v/>
      </c>
      <c r="AE299" s="75" t="str">
        <f>IF($A299="","",CHOOSE('Calc riepilogo'!$B$2,'Calc valanga'!BD322,'Calc palla di neve'!BD322,'Calc personalizzata'!BD322))</f>
        <v/>
      </c>
      <c r="AF299" s="70" t="str">
        <f>IF($A299="","",ROUND(N(AG298)*(1+'Calc base'!S322),2)-AG299)</f>
        <v/>
      </c>
      <c r="AG299" s="75" t="str">
        <f>IF($A299="","",CHOOSE('Calc riepilogo'!$B$2,'Calc valanga'!BE322,'Calc palla di neve'!BE322,'Calc personalizzata'!BE322))</f>
        <v/>
      </c>
      <c r="AI299" t="n">
        <v>292</v>
      </c>
    </row>
    <row r="300">
      <c r="A300" s="68" t="str">
        <f>IF(293&gt;'Calc riepilogo'!$B$7,"",'Calc base'!$B323)</f>
        <v/>
      </c>
      <c r="B300" s="69" t="str">
        <f>IF($A300="","",'Calc base'!$C323)</f>
        <v/>
      </c>
      <c r="C300" s="69" t="str">
        <f>IF($A300="","",'Calc base'!$E323)</f>
        <v/>
      </c>
      <c r="D300" s="70" t="str">
        <f>IF($A300="","",J300+L300+N300+P300+R300+T300+V300+X300+Z300+AB300+AD300+AF300)</f>
        <v/>
      </c>
      <c r="E300" s="70" t="str">
        <f>IF($A300="","",CHOOSE('Calc riepilogo'!$B$2,'Calc valanga'!$H323,'Calc palla di neve'!$H323,'Calc personalizzata'!$H323))</f>
        <v/>
      </c>
      <c r="F300" s="71" t="str">
        <f>IF($A300="","",CHOOSE('Calc riepilogo'!$B$2,'Calc valanga'!$G323,'Calc palla di neve'!$G323,'Calc personalizzata'!$G323))</f>
        <v/>
      </c>
      <c r="G300" s="72" t="n"/>
      <c r="H300" s="73" t="n"/>
      <c r="I300" s="74" t="str">
        <f>IF($A300="","",TRIM(IF(AND(N(K299)&gt;0,N(K300)&lt;=0.004),"✓ "&amp;'Calc base'!C$6&amp;"   ","")&amp;IF(AND(N(M299)&gt;0,N(M300)&lt;=0.004),"✓ "&amp;'Calc base'!D$6&amp;"   ","")&amp;IF(AND(N(O299)&gt;0,N(O300)&lt;=0.004),"✓ "&amp;'Calc base'!E$6&amp;"   ","")&amp;IF(AND(N(Q299)&gt;0,N(Q300)&lt;=0.004),"✓ "&amp;'Calc base'!F$6&amp;"   ","")&amp;IF(AND(N(S299)&gt;0,N(S300)&lt;=0.004),"✓ "&amp;'Calc base'!G$6&amp;"   ","")&amp;IF(AND(N(U299)&gt;0,N(U300)&lt;=0.004),"✓ "&amp;'Calc base'!H$6&amp;"   ","")&amp;IF(AND(N(W299)&gt;0,N(W300)&lt;=0.004),"✓ "&amp;'Calc base'!I$6&amp;"   ","")&amp;IF(AND(N(Y299)&gt;0,N(Y300)&lt;=0.004),"✓ "&amp;'Calc base'!J$6&amp;"   ","")&amp;IF(AND(N(AA299)&gt;0,N(AA300)&lt;=0.004),"✓ "&amp;'Calc base'!K$6&amp;"   ","")&amp;IF(AND(N(AC299)&gt;0,N(AC300)&lt;=0.004),"✓ "&amp;'Calc base'!L$6&amp;"   ","")&amp;IF(AND(N(AE299)&gt;0,N(AE300)&lt;=0.004),"✓ "&amp;'Calc base'!M$6&amp;"   ","")&amp;IF(AND(N(AG299)&gt;0,N(AG300)&lt;=0.004),"✓ "&amp;'Calc base'!N$6&amp;"   ","")))</f>
        <v/>
      </c>
      <c r="J300" s="70" t="str">
        <f>IF($A300="","",ROUND(N(K299)*(1+'Calc base'!H323),2)-K300)</f>
        <v/>
      </c>
      <c r="K300" s="75" t="str">
        <f>IF($A300="","",CHOOSE('Calc riepilogo'!$B$2,'Calc valanga'!AT323,'Calc palla di neve'!AT323,'Calc personalizzata'!AT323))</f>
        <v/>
      </c>
      <c r="L300" s="70" t="str">
        <f>IF($A300="","",ROUND(N(M299)*(1+'Calc base'!I323),2)-M300)</f>
        <v/>
      </c>
      <c r="M300" s="75" t="str">
        <f>IF($A300="","",CHOOSE('Calc riepilogo'!$B$2,'Calc valanga'!AU323,'Calc palla di neve'!AU323,'Calc personalizzata'!AU323))</f>
        <v/>
      </c>
      <c r="N300" s="70" t="str">
        <f>IF($A300="","",ROUND(N(O299)*(1+'Calc base'!J323),2)-O300)</f>
        <v/>
      </c>
      <c r="O300" s="75" t="str">
        <f>IF($A300="","",CHOOSE('Calc riepilogo'!$B$2,'Calc valanga'!AV323,'Calc palla di neve'!AV323,'Calc personalizzata'!AV323))</f>
        <v/>
      </c>
      <c r="P300" s="70" t="str">
        <f>IF($A300="","",ROUND(N(Q299)*(1+'Calc base'!K323),2)-Q300)</f>
        <v/>
      </c>
      <c r="Q300" s="75" t="str">
        <f>IF($A300="","",CHOOSE('Calc riepilogo'!$B$2,'Calc valanga'!AW323,'Calc palla di neve'!AW323,'Calc personalizzata'!AW323))</f>
        <v/>
      </c>
      <c r="R300" s="70" t="str">
        <f>IF($A300="","",ROUND(N(S299)*(1+'Calc base'!L323),2)-S300)</f>
        <v/>
      </c>
      <c r="S300" s="75" t="str">
        <f>IF($A300="","",CHOOSE('Calc riepilogo'!$B$2,'Calc valanga'!AX323,'Calc palla di neve'!AX323,'Calc personalizzata'!AX323))</f>
        <v/>
      </c>
      <c r="T300" s="70" t="str">
        <f>IF($A300="","",ROUND(N(U299)*(1+'Calc base'!M323),2)-U300)</f>
        <v/>
      </c>
      <c r="U300" s="75" t="str">
        <f>IF($A300="","",CHOOSE('Calc riepilogo'!$B$2,'Calc valanga'!AY323,'Calc palla di neve'!AY323,'Calc personalizzata'!AY323))</f>
        <v/>
      </c>
      <c r="V300" s="70" t="str">
        <f>IF($A300="","",ROUND(N(W299)*(1+'Calc base'!N323),2)-W300)</f>
        <v/>
      </c>
      <c r="W300" s="75" t="str">
        <f>IF($A300="","",CHOOSE('Calc riepilogo'!$B$2,'Calc valanga'!AZ323,'Calc palla di neve'!AZ323,'Calc personalizzata'!AZ323))</f>
        <v/>
      </c>
      <c r="X300" s="70" t="str">
        <f>IF($A300="","",ROUND(N(Y299)*(1+'Calc base'!O323),2)-Y300)</f>
        <v/>
      </c>
      <c r="Y300" s="75" t="str">
        <f>IF($A300="","",CHOOSE('Calc riepilogo'!$B$2,'Calc valanga'!BA323,'Calc palla di neve'!BA323,'Calc personalizzata'!BA323))</f>
        <v/>
      </c>
      <c r="Z300" s="70" t="str">
        <f>IF($A300="","",ROUND(N(AA299)*(1+'Calc base'!P323),2)-AA300)</f>
        <v/>
      </c>
      <c r="AA300" s="75" t="str">
        <f>IF($A300="","",CHOOSE('Calc riepilogo'!$B$2,'Calc valanga'!BB323,'Calc palla di neve'!BB323,'Calc personalizzata'!BB323))</f>
        <v/>
      </c>
      <c r="AB300" s="70" t="str">
        <f>IF($A300="","",ROUND(N(AC299)*(1+'Calc base'!Q323),2)-AC300)</f>
        <v/>
      </c>
      <c r="AC300" s="75" t="str">
        <f>IF($A300="","",CHOOSE('Calc riepilogo'!$B$2,'Calc valanga'!BC323,'Calc palla di neve'!BC323,'Calc personalizzata'!BC323))</f>
        <v/>
      </c>
      <c r="AD300" s="70" t="str">
        <f>IF($A300="","",ROUND(N(AE299)*(1+'Calc base'!R323),2)-AE300)</f>
        <v/>
      </c>
      <c r="AE300" s="75" t="str">
        <f>IF($A300="","",CHOOSE('Calc riepilogo'!$B$2,'Calc valanga'!BD323,'Calc palla di neve'!BD323,'Calc personalizzata'!BD323))</f>
        <v/>
      </c>
      <c r="AF300" s="70" t="str">
        <f>IF($A300="","",ROUND(N(AG299)*(1+'Calc base'!S323),2)-AG300)</f>
        <v/>
      </c>
      <c r="AG300" s="75" t="str">
        <f>IF($A300="","",CHOOSE('Calc riepilogo'!$B$2,'Calc valanga'!BE323,'Calc palla di neve'!BE323,'Calc personalizzata'!BE323))</f>
        <v/>
      </c>
      <c r="AI300" t="n">
        <v>293</v>
      </c>
    </row>
    <row r="301">
      <c r="A301" s="68" t="str">
        <f>IF(294&gt;'Calc riepilogo'!$B$7,"",'Calc base'!$B324)</f>
        <v/>
      </c>
      <c r="B301" s="69" t="str">
        <f>IF($A301="","",'Calc base'!$C324)</f>
        <v/>
      </c>
      <c r="C301" s="69" t="str">
        <f>IF($A301="","",'Calc base'!$E324)</f>
        <v/>
      </c>
      <c r="D301" s="70" t="str">
        <f>IF($A301="","",J301+L301+N301+P301+R301+T301+V301+X301+Z301+AB301+AD301+AF301)</f>
        <v/>
      </c>
      <c r="E301" s="70" t="str">
        <f>IF($A301="","",CHOOSE('Calc riepilogo'!$B$2,'Calc valanga'!$H324,'Calc palla di neve'!$H324,'Calc personalizzata'!$H324))</f>
        <v/>
      </c>
      <c r="F301" s="71" t="str">
        <f>IF($A301="","",CHOOSE('Calc riepilogo'!$B$2,'Calc valanga'!$G324,'Calc palla di neve'!$G324,'Calc personalizzata'!$G324))</f>
        <v/>
      </c>
      <c r="G301" s="72" t="n"/>
      <c r="H301" s="73" t="n"/>
      <c r="I301" s="74" t="str">
        <f>IF($A301="","",TRIM(IF(AND(N(K300)&gt;0,N(K301)&lt;=0.004),"✓ "&amp;'Calc base'!C$6&amp;"   ","")&amp;IF(AND(N(M300)&gt;0,N(M301)&lt;=0.004),"✓ "&amp;'Calc base'!D$6&amp;"   ","")&amp;IF(AND(N(O300)&gt;0,N(O301)&lt;=0.004),"✓ "&amp;'Calc base'!E$6&amp;"   ","")&amp;IF(AND(N(Q300)&gt;0,N(Q301)&lt;=0.004),"✓ "&amp;'Calc base'!F$6&amp;"   ","")&amp;IF(AND(N(S300)&gt;0,N(S301)&lt;=0.004),"✓ "&amp;'Calc base'!G$6&amp;"   ","")&amp;IF(AND(N(U300)&gt;0,N(U301)&lt;=0.004),"✓ "&amp;'Calc base'!H$6&amp;"   ","")&amp;IF(AND(N(W300)&gt;0,N(W301)&lt;=0.004),"✓ "&amp;'Calc base'!I$6&amp;"   ","")&amp;IF(AND(N(Y300)&gt;0,N(Y301)&lt;=0.004),"✓ "&amp;'Calc base'!J$6&amp;"   ","")&amp;IF(AND(N(AA300)&gt;0,N(AA301)&lt;=0.004),"✓ "&amp;'Calc base'!K$6&amp;"   ","")&amp;IF(AND(N(AC300)&gt;0,N(AC301)&lt;=0.004),"✓ "&amp;'Calc base'!L$6&amp;"   ","")&amp;IF(AND(N(AE300)&gt;0,N(AE301)&lt;=0.004),"✓ "&amp;'Calc base'!M$6&amp;"   ","")&amp;IF(AND(N(AG300)&gt;0,N(AG301)&lt;=0.004),"✓ "&amp;'Calc base'!N$6&amp;"   ","")))</f>
        <v/>
      </c>
      <c r="J301" s="70" t="str">
        <f>IF($A301="","",ROUND(N(K300)*(1+'Calc base'!H324),2)-K301)</f>
        <v/>
      </c>
      <c r="K301" s="75" t="str">
        <f>IF($A301="","",CHOOSE('Calc riepilogo'!$B$2,'Calc valanga'!AT324,'Calc palla di neve'!AT324,'Calc personalizzata'!AT324))</f>
        <v/>
      </c>
      <c r="L301" s="70" t="str">
        <f>IF($A301="","",ROUND(N(M300)*(1+'Calc base'!I324),2)-M301)</f>
        <v/>
      </c>
      <c r="M301" s="75" t="str">
        <f>IF($A301="","",CHOOSE('Calc riepilogo'!$B$2,'Calc valanga'!AU324,'Calc palla di neve'!AU324,'Calc personalizzata'!AU324))</f>
        <v/>
      </c>
      <c r="N301" s="70" t="str">
        <f>IF($A301="","",ROUND(N(O300)*(1+'Calc base'!J324),2)-O301)</f>
        <v/>
      </c>
      <c r="O301" s="75" t="str">
        <f>IF($A301="","",CHOOSE('Calc riepilogo'!$B$2,'Calc valanga'!AV324,'Calc palla di neve'!AV324,'Calc personalizzata'!AV324))</f>
        <v/>
      </c>
      <c r="P301" s="70" t="str">
        <f>IF($A301="","",ROUND(N(Q300)*(1+'Calc base'!K324),2)-Q301)</f>
        <v/>
      </c>
      <c r="Q301" s="75" t="str">
        <f>IF($A301="","",CHOOSE('Calc riepilogo'!$B$2,'Calc valanga'!AW324,'Calc palla di neve'!AW324,'Calc personalizzata'!AW324))</f>
        <v/>
      </c>
      <c r="R301" s="70" t="str">
        <f>IF($A301="","",ROUND(N(S300)*(1+'Calc base'!L324),2)-S301)</f>
        <v/>
      </c>
      <c r="S301" s="75" t="str">
        <f>IF($A301="","",CHOOSE('Calc riepilogo'!$B$2,'Calc valanga'!AX324,'Calc palla di neve'!AX324,'Calc personalizzata'!AX324))</f>
        <v/>
      </c>
      <c r="T301" s="70" t="str">
        <f>IF($A301="","",ROUND(N(U300)*(1+'Calc base'!M324),2)-U301)</f>
        <v/>
      </c>
      <c r="U301" s="75" t="str">
        <f>IF($A301="","",CHOOSE('Calc riepilogo'!$B$2,'Calc valanga'!AY324,'Calc palla di neve'!AY324,'Calc personalizzata'!AY324))</f>
        <v/>
      </c>
      <c r="V301" s="70" t="str">
        <f>IF($A301="","",ROUND(N(W300)*(1+'Calc base'!N324),2)-W301)</f>
        <v/>
      </c>
      <c r="W301" s="75" t="str">
        <f>IF($A301="","",CHOOSE('Calc riepilogo'!$B$2,'Calc valanga'!AZ324,'Calc palla di neve'!AZ324,'Calc personalizzata'!AZ324))</f>
        <v/>
      </c>
      <c r="X301" s="70" t="str">
        <f>IF($A301="","",ROUND(N(Y300)*(1+'Calc base'!O324),2)-Y301)</f>
        <v/>
      </c>
      <c r="Y301" s="75" t="str">
        <f>IF($A301="","",CHOOSE('Calc riepilogo'!$B$2,'Calc valanga'!BA324,'Calc palla di neve'!BA324,'Calc personalizzata'!BA324))</f>
        <v/>
      </c>
      <c r="Z301" s="70" t="str">
        <f>IF($A301="","",ROUND(N(AA300)*(1+'Calc base'!P324),2)-AA301)</f>
        <v/>
      </c>
      <c r="AA301" s="75" t="str">
        <f>IF($A301="","",CHOOSE('Calc riepilogo'!$B$2,'Calc valanga'!BB324,'Calc palla di neve'!BB324,'Calc personalizzata'!BB324))</f>
        <v/>
      </c>
      <c r="AB301" s="70" t="str">
        <f>IF($A301="","",ROUND(N(AC300)*(1+'Calc base'!Q324),2)-AC301)</f>
        <v/>
      </c>
      <c r="AC301" s="75" t="str">
        <f>IF($A301="","",CHOOSE('Calc riepilogo'!$B$2,'Calc valanga'!BC324,'Calc palla di neve'!BC324,'Calc personalizzata'!BC324))</f>
        <v/>
      </c>
      <c r="AD301" s="70" t="str">
        <f>IF($A301="","",ROUND(N(AE300)*(1+'Calc base'!R324),2)-AE301)</f>
        <v/>
      </c>
      <c r="AE301" s="75" t="str">
        <f>IF($A301="","",CHOOSE('Calc riepilogo'!$B$2,'Calc valanga'!BD324,'Calc palla di neve'!BD324,'Calc personalizzata'!BD324))</f>
        <v/>
      </c>
      <c r="AF301" s="70" t="str">
        <f>IF($A301="","",ROUND(N(AG300)*(1+'Calc base'!S324),2)-AG301)</f>
        <v/>
      </c>
      <c r="AG301" s="75" t="str">
        <f>IF($A301="","",CHOOSE('Calc riepilogo'!$B$2,'Calc valanga'!BE324,'Calc palla di neve'!BE324,'Calc personalizzata'!BE324))</f>
        <v/>
      </c>
      <c r="AI301" t="n">
        <v>294</v>
      </c>
    </row>
    <row r="302">
      <c r="A302" s="68" t="str">
        <f>IF(295&gt;'Calc riepilogo'!$B$7,"",'Calc base'!$B325)</f>
        <v/>
      </c>
      <c r="B302" s="69" t="str">
        <f>IF($A302="","",'Calc base'!$C325)</f>
        <v/>
      </c>
      <c r="C302" s="69" t="str">
        <f>IF($A302="","",'Calc base'!$E325)</f>
        <v/>
      </c>
      <c r="D302" s="70" t="str">
        <f>IF($A302="","",J302+L302+N302+P302+R302+T302+V302+X302+Z302+AB302+AD302+AF302)</f>
        <v/>
      </c>
      <c r="E302" s="70" t="str">
        <f>IF($A302="","",CHOOSE('Calc riepilogo'!$B$2,'Calc valanga'!$H325,'Calc palla di neve'!$H325,'Calc personalizzata'!$H325))</f>
        <v/>
      </c>
      <c r="F302" s="71" t="str">
        <f>IF($A302="","",CHOOSE('Calc riepilogo'!$B$2,'Calc valanga'!$G325,'Calc palla di neve'!$G325,'Calc personalizzata'!$G325))</f>
        <v/>
      </c>
      <c r="G302" s="72" t="n"/>
      <c r="H302" s="73" t="n"/>
      <c r="I302" s="74" t="str">
        <f>IF($A302="","",TRIM(IF(AND(N(K301)&gt;0,N(K302)&lt;=0.004),"✓ "&amp;'Calc base'!C$6&amp;"   ","")&amp;IF(AND(N(M301)&gt;0,N(M302)&lt;=0.004),"✓ "&amp;'Calc base'!D$6&amp;"   ","")&amp;IF(AND(N(O301)&gt;0,N(O302)&lt;=0.004),"✓ "&amp;'Calc base'!E$6&amp;"   ","")&amp;IF(AND(N(Q301)&gt;0,N(Q302)&lt;=0.004),"✓ "&amp;'Calc base'!F$6&amp;"   ","")&amp;IF(AND(N(S301)&gt;0,N(S302)&lt;=0.004),"✓ "&amp;'Calc base'!G$6&amp;"   ","")&amp;IF(AND(N(U301)&gt;0,N(U302)&lt;=0.004),"✓ "&amp;'Calc base'!H$6&amp;"   ","")&amp;IF(AND(N(W301)&gt;0,N(W302)&lt;=0.004),"✓ "&amp;'Calc base'!I$6&amp;"   ","")&amp;IF(AND(N(Y301)&gt;0,N(Y302)&lt;=0.004),"✓ "&amp;'Calc base'!J$6&amp;"   ","")&amp;IF(AND(N(AA301)&gt;0,N(AA302)&lt;=0.004),"✓ "&amp;'Calc base'!K$6&amp;"   ","")&amp;IF(AND(N(AC301)&gt;0,N(AC302)&lt;=0.004),"✓ "&amp;'Calc base'!L$6&amp;"   ","")&amp;IF(AND(N(AE301)&gt;0,N(AE302)&lt;=0.004),"✓ "&amp;'Calc base'!M$6&amp;"   ","")&amp;IF(AND(N(AG301)&gt;0,N(AG302)&lt;=0.004),"✓ "&amp;'Calc base'!N$6&amp;"   ","")))</f>
        <v/>
      </c>
      <c r="J302" s="70" t="str">
        <f>IF($A302="","",ROUND(N(K301)*(1+'Calc base'!H325),2)-K302)</f>
        <v/>
      </c>
      <c r="K302" s="75" t="str">
        <f>IF($A302="","",CHOOSE('Calc riepilogo'!$B$2,'Calc valanga'!AT325,'Calc palla di neve'!AT325,'Calc personalizzata'!AT325))</f>
        <v/>
      </c>
      <c r="L302" s="70" t="str">
        <f>IF($A302="","",ROUND(N(M301)*(1+'Calc base'!I325),2)-M302)</f>
        <v/>
      </c>
      <c r="M302" s="75" t="str">
        <f>IF($A302="","",CHOOSE('Calc riepilogo'!$B$2,'Calc valanga'!AU325,'Calc palla di neve'!AU325,'Calc personalizzata'!AU325))</f>
        <v/>
      </c>
      <c r="N302" s="70" t="str">
        <f>IF($A302="","",ROUND(N(O301)*(1+'Calc base'!J325),2)-O302)</f>
        <v/>
      </c>
      <c r="O302" s="75" t="str">
        <f>IF($A302="","",CHOOSE('Calc riepilogo'!$B$2,'Calc valanga'!AV325,'Calc palla di neve'!AV325,'Calc personalizzata'!AV325))</f>
        <v/>
      </c>
      <c r="P302" s="70" t="str">
        <f>IF($A302="","",ROUND(N(Q301)*(1+'Calc base'!K325),2)-Q302)</f>
        <v/>
      </c>
      <c r="Q302" s="75" t="str">
        <f>IF($A302="","",CHOOSE('Calc riepilogo'!$B$2,'Calc valanga'!AW325,'Calc palla di neve'!AW325,'Calc personalizzata'!AW325))</f>
        <v/>
      </c>
      <c r="R302" s="70" t="str">
        <f>IF($A302="","",ROUND(N(S301)*(1+'Calc base'!L325),2)-S302)</f>
        <v/>
      </c>
      <c r="S302" s="75" t="str">
        <f>IF($A302="","",CHOOSE('Calc riepilogo'!$B$2,'Calc valanga'!AX325,'Calc palla di neve'!AX325,'Calc personalizzata'!AX325))</f>
        <v/>
      </c>
      <c r="T302" s="70" t="str">
        <f>IF($A302="","",ROUND(N(U301)*(1+'Calc base'!M325),2)-U302)</f>
        <v/>
      </c>
      <c r="U302" s="75" t="str">
        <f>IF($A302="","",CHOOSE('Calc riepilogo'!$B$2,'Calc valanga'!AY325,'Calc palla di neve'!AY325,'Calc personalizzata'!AY325))</f>
        <v/>
      </c>
      <c r="V302" s="70" t="str">
        <f>IF($A302="","",ROUND(N(W301)*(1+'Calc base'!N325),2)-W302)</f>
        <v/>
      </c>
      <c r="W302" s="75" t="str">
        <f>IF($A302="","",CHOOSE('Calc riepilogo'!$B$2,'Calc valanga'!AZ325,'Calc palla di neve'!AZ325,'Calc personalizzata'!AZ325))</f>
        <v/>
      </c>
      <c r="X302" s="70" t="str">
        <f>IF($A302="","",ROUND(N(Y301)*(1+'Calc base'!O325),2)-Y302)</f>
        <v/>
      </c>
      <c r="Y302" s="75" t="str">
        <f>IF($A302="","",CHOOSE('Calc riepilogo'!$B$2,'Calc valanga'!BA325,'Calc palla di neve'!BA325,'Calc personalizzata'!BA325))</f>
        <v/>
      </c>
      <c r="Z302" s="70" t="str">
        <f>IF($A302="","",ROUND(N(AA301)*(1+'Calc base'!P325),2)-AA302)</f>
        <v/>
      </c>
      <c r="AA302" s="75" t="str">
        <f>IF($A302="","",CHOOSE('Calc riepilogo'!$B$2,'Calc valanga'!BB325,'Calc palla di neve'!BB325,'Calc personalizzata'!BB325))</f>
        <v/>
      </c>
      <c r="AB302" s="70" t="str">
        <f>IF($A302="","",ROUND(N(AC301)*(1+'Calc base'!Q325),2)-AC302)</f>
        <v/>
      </c>
      <c r="AC302" s="75" t="str">
        <f>IF($A302="","",CHOOSE('Calc riepilogo'!$B$2,'Calc valanga'!BC325,'Calc palla di neve'!BC325,'Calc personalizzata'!BC325))</f>
        <v/>
      </c>
      <c r="AD302" s="70" t="str">
        <f>IF($A302="","",ROUND(N(AE301)*(1+'Calc base'!R325),2)-AE302)</f>
        <v/>
      </c>
      <c r="AE302" s="75" t="str">
        <f>IF($A302="","",CHOOSE('Calc riepilogo'!$B$2,'Calc valanga'!BD325,'Calc palla di neve'!BD325,'Calc personalizzata'!BD325))</f>
        <v/>
      </c>
      <c r="AF302" s="70" t="str">
        <f>IF($A302="","",ROUND(N(AG301)*(1+'Calc base'!S325),2)-AG302)</f>
        <v/>
      </c>
      <c r="AG302" s="75" t="str">
        <f>IF($A302="","",CHOOSE('Calc riepilogo'!$B$2,'Calc valanga'!BE325,'Calc palla di neve'!BE325,'Calc personalizzata'!BE325))</f>
        <v/>
      </c>
      <c r="AI302" t="n">
        <v>295</v>
      </c>
    </row>
    <row r="303">
      <c r="A303" s="68" t="str">
        <f>IF(296&gt;'Calc riepilogo'!$B$7,"",'Calc base'!$B326)</f>
        <v/>
      </c>
      <c r="B303" s="69" t="str">
        <f>IF($A303="","",'Calc base'!$C326)</f>
        <v/>
      </c>
      <c r="C303" s="69" t="str">
        <f>IF($A303="","",'Calc base'!$E326)</f>
        <v/>
      </c>
      <c r="D303" s="70" t="str">
        <f>IF($A303="","",J303+L303+N303+P303+R303+T303+V303+X303+Z303+AB303+AD303+AF303)</f>
        <v/>
      </c>
      <c r="E303" s="70" t="str">
        <f>IF($A303="","",CHOOSE('Calc riepilogo'!$B$2,'Calc valanga'!$H326,'Calc palla di neve'!$H326,'Calc personalizzata'!$H326))</f>
        <v/>
      </c>
      <c r="F303" s="71" t="str">
        <f>IF($A303="","",CHOOSE('Calc riepilogo'!$B$2,'Calc valanga'!$G326,'Calc palla di neve'!$G326,'Calc personalizzata'!$G326))</f>
        <v/>
      </c>
      <c r="G303" s="72" t="n"/>
      <c r="H303" s="73" t="n"/>
      <c r="I303" s="74" t="str">
        <f>IF($A303="","",TRIM(IF(AND(N(K302)&gt;0,N(K303)&lt;=0.004),"✓ "&amp;'Calc base'!C$6&amp;"   ","")&amp;IF(AND(N(M302)&gt;0,N(M303)&lt;=0.004),"✓ "&amp;'Calc base'!D$6&amp;"   ","")&amp;IF(AND(N(O302)&gt;0,N(O303)&lt;=0.004),"✓ "&amp;'Calc base'!E$6&amp;"   ","")&amp;IF(AND(N(Q302)&gt;0,N(Q303)&lt;=0.004),"✓ "&amp;'Calc base'!F$6&amp;"   ","")&amp;IF(AND(N(S302)&gt;0,N(S303)&lt;=0.004),"✓ "&amp;'Calc base'!G$6&amp;"   ","")&amp;IF(AND(N(U302)&gt;0,N(U303)&lt;=0.004),"✓ "&amp;'Calc base'!H$6&amp;"   ","")&amp;IF(AND(N(W302)&gt;0,N(W303)&lt;=0.004),"✓ "&amp;'Calc base'!I$6&amp;"   ","")&amp;IF(AND(N(Y302)&gt;0,N(Y303)&lt;=0.004),"✓ "&amp;'Calc base'!J$6&amp;"   ","")&amp;IF(AND(N(AA302)&gt;0,N(AA303)&lt;=0.004),"✓ "&amp;'Calc base'!K$6&amp;"   ","")&amp;IF(AND(N(AC302)&gt;0,N(AC303)&lt;=0.004),"✓ "&amp;'Calc base'!L$6&amp;"   ","")&amp;IF(AND(N(AE302)&gt;0,N(AE303)&lt;=0.004),"✓ "&amp;'Calc base'!M$6&amp;"   ","")&amp;IF(AND(N(AG302)&gt;0,N(AG303)&lt;=0.004),"✓ "&amp;'Calc base'!N$6&amp;"   ","")))</f>
        <v/>
      </c>
      <c r="J303" s="70" t="str">
        <f>IF($A303="","",ROUND(N(K302)*(1+'Calc base'!H326),2)-K303)</f>
        <v/>
      </c>
      <c r="K303" s="75" t="str">
        <f>IF($A303="","",CHOOSE('Calc riepilogo'!$B$2,'Calc valanga'!AT326,'Calc palla di neve'!AT326,'Calc personalizzata'!AT326))</f>
        <v/>
      </c>
      <c r="L303" s="70" t="str">
        <f>IF($A303="","",ROUND(N(M302)*(1+'Calc base'!I326),2)-M303)</f>
        <v/>
      </c>
      <c r="M303" s="75" t="str">
        <f>IF($A303="","",CHOOSE('Calc riepilogo'!$B$2,'Calc valanga'!AU326,'Calc palla di neve'!AU326,'Calc personalizzata'!AU326))</f>
        <v/>
      </c>
      <c r="N303" s="70" t="str">
        <f>IF($A303="","",ROUND(N(O302)*(1+'Calc base'!J326),2)-O303)</f>
        <v/>
      </c>
      <c r="O303" s="75" t="str">
        <f>IF($A303="","",CHOOSE('Calc riepilogo'!$B$2,'Calc valanga'!AV326,'Calc palla di neve'!AV326,'Calc personalizzata'!AV326))</f>
        <v/>
      </c>
      <c r="P303" s="70" t="str">
        <f>IF($A303="","",ROUND(N(Q302)*(1+'Calc base'!K326),2)-Q303)</f>
        <v/>
      </c>
      <c r="Q303" s="75" t="str">
        <f>IF($A303="","",CHOOSE('Calc riepilogo'!$B$2,'Calc valanga'!AW326,'Calc palla di neve'!AW326,'Calc personalizzata'!AW326))</f>
        <v/>
      </c>
      <c r="R303" s="70" t="str">
        <f>IF($A303="","",ROUND(N(S302)*(1+'Calc base'!L326),2)-S303)</f>
        <v/>
      </c>
      <c r="S303" s="75" t="str">
        <f>IF($A303="","",CHOOSE('Calc riepilogo'!$B$2,'Calc valanga'!AX326,'Calc palla di neve'!AX326,'Calc personalizzata'!AX326))</f>
        <v/>
      </c>
      <c r="T303" s="70" t="str">
        <f>IF($A303="","",ROUND(N(U302)*(1+'Calc base'!M326),2)-U303)</f>
        <v/>
      </c>
      <c r="U303" s="75" t="str">
        <f>IF($A303="","",CHOOSE('Calc riepilogo'!$B$2,'Calc valanga'!AY326,'Calc palla di neve'!AY326,'Calc personalizzata'!AY326))</f>
        <v/>
      </c>
      <c r="V303" s="70" t="str">
        <f>IF($A303="","",ROUND(N(W302)*(1+'Calc base'!N326),2)-W303)</f>
        <v/>
      </c>
      <c r="W303" s="75" t="str">
        <f>IF($A303="","",CHOOSE('Calc riepilogo'!$B$2,'Calc valanga'!AZ326,'Calc palla di neve'!AZ326,'Calc personalizzata'!AZ326))</f>
        <v/>
      </c>
      <c r="X303" s="70" t="str">
        <f>IF($A303="","",ROUND(N(Y302)*(1+'Calc base'!O326),2)-Y303)</f>
        <v/>
      </c>
      <c r="Y303" s="75" t="str">
        <f>IF($A303="","",CHOOSE('Calc riepilogo'!$B$2,'Calc valanga'!BA326,'Calc palla di neve'!BA326,'Calc personalizzata'!BA326))</f>
        <v/>
      </c>
      <c r="Z303" s="70" t="str">
        <f>IF($A303="","",ROUND(N(AA302)*(1+'Calc base'!P326),2)-AA303)</f>
        <v/>
      </c>
      <c r="AA303" s="75" t="str">
        <f>IF($A303="","",CHOOSE('Calc riepilogo'!$B$2,'Calc valanga'!BB326,'Calc palla di neve'!BB326,'Calc personalizzata'!BB326))</f>
        <v/>
      </c>
      <c r="AB303" s="70" t="str">
        <f>IF($A303="","",ROUND(N(AC302)*(1+'Calc base'!Q326),2)-AC303)</f>
        <v/>
      </c>
      <c r="AC303" s="75" t="str">
        <f>IF($A303="","",CHOOSE('Calc riepilogo'!$B$2,'Calc valanga'!BC326,'Calc palla di neve'!BC326,'Calc personalizzata'!BC326))</f>
        <v/>
      </c>
      <c r="AD303" s="70" t="str">
        <f>IF($A303="","",ROUND(N(AE302)*(1+'Calc base'!R326),2)-AE303)</f>
        <v/>
      </c>
      <c r="AE303" s="75" t="str">
        <f>IF($A303="","",CHOOSE('Calc riepilogo'!$B$2,'Calc valanga'!BD326,'Calc palla di neve'!BD326,'Calc personalizzata'!BD326))</f>
        <v/>
      </c>
      <c r="AF303" s="70" t="str">
        <f>IF($A303="","",ROUND(N(AG302)*(1+'Calc base'!S326),2)-AG303)</f>
        <v/>
      </c>
      <c r="AG303" s="75" t="str">
        <f>IF($A303="","",CHOOSE('Calc riepilogo'!$B$2,'Calc valanga'!BE326,'Calc palla di neve'!BE326,'Calc personalizzata'!BE326))</f>
        <v/>
      </c>
      <c r="AI303" t="n">
        <v>296</v>
      </c>
    </row>
    <row r="304">
      <c r="A304" s="68" t="str">
        <f>IF(297&gt;'Calc riepilogo'!$B$7,"",'Calc base'!$B327)</f>
        <v/>
      </c>
      <c r="B304" s="69" t="str">
        <f>IF($A304="","",'Calc base'!$C327)</f>
        <v/>
      </c>
      <c r="C304" s="69" t="str">
        <f>IF($A304="","",'Calc base'!$E327)</f>
        <v/>
      </c>
      <c r="D304" s="70" t="str">
        <f>IF($A304="","",J304+L304+N304+P304+R304+T304+V304+X304+Z304+AB304+AD304+AF304)</f>
        <v/>
      </c>
      <c r="E304" s="70" t="str">
        <f>IF($A304="","",CHOOSE('Calc riepilogo'!$B$2,'Calc valanga'!$H327,'Calc palla di neve'!$H327,'Calc personalizzata'!$H327))</f>
        <v/>
      </c>
      <c r="F304" s="71" t="str">
        <f>IF($A304="","",CHOOSE('Calc riepilogo'!$B$2,'Calc valanga'!$G327,'Calc palla di neve'!$G327,'Calc personalizzata'!$G327))</f>
        <v/>
      </c>
      <c r="G304" s="72" t="n"/>
      <c r="H304" s="73" t="n"/>
      <c r="I304" s="74" t="str">
        <f>IF($A304="","",TRIM(IF(AND(N(K303)&gt;0,N(K304)&lt;=0.004),"✓ "&amp;'Calc base'!C$6&amp;"   ","")&amp;IF(AND(N(M303)&gt;0,N(M304)&lt;=0.004),"✓ "&amp;'Calc base'!D$6&amp;"   ","")&amp;IF(AND(N(O303)&gt;0,N(O304)&lt;=0.004),"✓ "&amp;'Calc base'!E$6&amp;"   ","")&amp;IF(AND(N(Q303)&gt;0,N(Q304)&lt;=0.004),"✓ "&amp;'Calc base'!F$6&amp;"   ","")&amp;IF(AND(N(S303)&gt;0,N(S304)&lt;=0.004),"✓ "&amp;'Calc base'!G$6&amp;"   ","")&amp;IF(AND(N(U303)&gt;0,N(U304)&lt;=0.004),"✓ "&amp;'Calc base'!H$6&amp;"   ","")&amp;IF(AND(N(W303)&gt;0,N(W304)&lt;=0.004),"✓ "&amp;'Calc base'!I$6&amp;"   ","")&amp;IF(AND(N(Y303)&gt;0,N(Y304)&lt;=0.004),"✓ "&amp;'Calc base'!J$6&amp;"   ","")&amp;IF(AND(N(AA303)&gt;0,N(AA304)&lt;=0.004),"✓ "&amp;'Calc base'!K$6&amp;"   ","")&amp;IF(AND(N(AC303)&gt;0,N(AC304)&lt;=0.004),"✓ "&amp;'Calc base'!L$6&amp;"   ","")&amp;IF(AND(N(AE303)&gt;0,N(AE304)&lt;=0.004),"✓ "&amp;'Calc base'!M$6&amp;"   ","")&amp;IF(AND(N(AG303)&gt;0,N(AG304)&lt;=0.004),"✓ "&amp;'Calc base'!N$6&amp;"   ","")))</f>
        <v/>
      </c>
      <c r="J304" s="70" t="str">
        <f>IF($A304="","",ROUND(N(K303)*(1+'Calc base'!H327),2)-K304)</f>
        <v/>
      </c>
      <c r="K304" s="75" t="str">
        <f>IF($A304="","",CHOOSE('Calc riepilogo'!$B$2,'Calc valanga'!AT327,'Calc palla di neve'!AT327,'Calc personalizzata'!AT327))</f>
        <v/>
      </c>
      <c r="L304" s="70" t="str">
        <f>IF($A304="","",ROUND(N(M303)*(1+'Calc base'!I327),2)-M304)</f>
        <v/>
      </c>
      <c r="M304" s="75" t="str">
        <f>IF($A304="","",CHOOSE('Calc riepilogo'!$B$2,'Calc valanga'!AU327,'Calc palla di neve'!AU327,'Calc personalizzata'!AU327))</f>
        <v/>
      </c>
      <c r="N304" s="70" t="str">
        <f>IF($A304="","",ROUND(N(O303)*(1+'Calc base'!J327),2)-O304)</f>
        <v/>
      </c>
      <c r="O304" s="75" t="str">
        <f>IF($A304="","",CHOOSE('Calc riepilogo'!$B$2,'Calc valanga'!AV327,'Calc palla di neve'!AV327,'Calc personalizzata'!AV327))</f>
        <v/>
      </c>
      <c r="P304" s="70" t="str">
        <f>IF($A304="","",ROUND(N(Q303)*(1+'Calc base'!K327),2)-Q304)</f>
        <v/>
      </c>
      <c r="Q304" s="75" t="str">
        <f>IF($A304="","",CHOOSE('Calc riepilogo'!$B$2,'Calc valanga'!AW327,'Calc palla di neve'!AW327,'Calc personalizzata'!AW327))</f>
        <v/>
      </c>
      <c r="R304" s="70" t="str">
        <f>IF($A304="","",ROUND(N(S303)*(1+'Calc base'!L327),2)-S304)</f>
        <v/>
      </c>
      <c r="S304" s="75" t="str">
        <f>IF($A304="","",CHOOSE('Calc riepilogo'!$B$2,'Calc valanga'!AX327,'Calc palla di neve'!AX327,'Calc personalizzata'!AX327))</f>
        <v/>
      </c>
      <c r="T304" s="70" t="str">
        <f>IF($A304="","",ROUND(N(U303)*(1+'Calc base'!M327),2)-U304)</f>
        <v/>
      </c>
      <c r="U304" s="75" t="str">
        <f>IF($A304="","",CHOOSE('Calc riepilogo'!$B$2,'Calc valanga'!AY327,'Calc palla di neve'!AY327,'Calc personalizzata'!AY327))</f>
        <v/>
      </c>
      <c r="V304" s="70" t="str">
        <f>IF($A304="","",ROUND(N(W303)*(1+'Calc base'!N327),2)-W304)</f>
        <v/>
      </c>
      <c r="W304" s="75" t="str">
        <f>IF($A304="","",CHOOSE('Calc riepilogo'!$B$2,'Calc valanga'!AZ327,'Calc palla di neve'!AZ327,'Calc personalizzata'!AZ327))</f>
        <v/>
      </c>
      <c r="X304" s="70" t="str">
        <f>IF($A304="","",ROUND(N(Y303)*(1+'Calc base'!O327),2)-Y304)</f>
        <v/>
      </c>
      <c r="Y304" s="75" t="str">
        <f>IF($A304="","",CHOOSE('Calc riepilogo'!$B$2,'Calc valanga'!BA327,'Calc palla di neve'!BA327,'Calc personalizzata'!BA327))</f>
        <v/>
      </c>
      <c r="Z304" s="70" t="str">
        <f>IF($A304="","",ROUND(N(AA303)*(1+'Calc base'!P327),2)-AA304)</f>
        <v/>
      </c>
      <c r="AA304" s="75" t="str">
        <f>IF($A304="","",CHOOSE('Calc riepilogo'!$B$2,'Calc valanga'!BB327,'Calc palla di neve'!BB327,'Calc personalizzata'!BB327))</f>
        <v/>
      </c>
      <c r="AB304" s="70" t="str">
        <f>IF($A304="","",ROUND(N(AC303)*(1+'Calc base'!Q327),2)-AC304)</f>
        <v/>
      </c>
      <c r="AC304" s="75" t="str">
        <f>IF($A304="","",CHOOSE('Calc riepilogo'!$B$2,'Calc valanga'!BC327,'Calc palla di neve'!BC327,'Calc personalizzata'!BC327))</f>
        <v/>
      </c>
      <c r="AD304" s="70" t="str">
        <f>IF($A304="","",ROUND(N(AE303)*(1+'Calc base'!R327),2)-AE304)</f>
        <v/>
      </c>
      <c r="AE304" s="75" t="str">
        <f>IF($A304="","",CHOOSE('Calc riepilogo'!$B$2,'Calc valanga'!BD327,'Calc palla di neve'!BD327,'Calc personalizzata'!BD327))</f>
        <v/>
      </c>
      <c r="AF304" s="70" t="str">
        <f>IF($A304="","",ROUND(N(AG303)*(1+'Calc base'!S327),2)-AG304)</f>
        <v/>
      </c>
      <c r="AG304" s="75" t="str">
        <f>IF($A304="","",CHOOSE('Calc riepilogo'!$B$2,'Calc valanga'!BE327,'Calc palla di neve'!BE327,'Calc personalizzata'!BE327))</f>
        <v/>
      </c>
      <c r="AI304" t="n">
        <v>297</v>
      </c>
    </row>
    <row r="305">
      <c r="A305" s="68" t="str">
        <f>IF(298&gt;'Calc riepilogo'!$B$7,"",'Calc base'!$B328)</f>
        <v/>
      </c>
      <c r="B305" s="69" t="str">
        <f>IF($A305="","",'Calc base'!$C328)</f>
        <v/>
      </c>
      <c r="C305" s="69" t="str">
        <f>IF($A305="","",'Calc base'!$E328)</f>
        <v/>
      </c>
      <c r="D305" s="70" t="str">
        <f>IF($A305="","",J305+L305+N305+P305+R305+T305+V305+X305+Z305+AB305+AD305+AF305)</f>
        <v/>
      </c>
      <c r="E305" s="70" t="str">
        <f>IF($A305="","",CHOOSE('Calc riepilogo'!$B$2,'Calc valanga'!$H328,'Calc palla di neve'!$H328,'Calc personalizzata'!$H328))</f>
        <v/>
      </c>
      <c r="F305" s="71" t="str">
        <f>IF($A305="","",CHOOSE('Calc riepilogo'!$B$2,'Calc valanga'!$G328,'Calc palla di neve'!$G328,'Calc personalizzata'!$G328))</f>
        <v/>
      </c>
      <c r="G305" s="72" t="n"/>
      <c r="H305" s="73" t="n"/>
      <c r="I305" s="74" t="str">
        <f>IF($A305="","",TRIM(IF(AND(N(K304)&gt;0,N(K305)&lt;=0.004),"✓ "&amp;'Calc base'!C$6&amp;"   ","")&amp;IF(AND(N(M304)&gt;0,N(M305)&lt;=0.004),"✓ "&amp;'Calc base'!D$6&amp;"   ","")&amp;IF(AND(N(O304)&gt;0,N(O305)&lt;=0.004),"✓ "&amp;'Calc base'!E$6&amp;"   ","")&amp;IF(AND(N(Q304)&gt;0,N(Q305)&lt;=0.004),"✓ "&amp;'Calc base'!F$6&amp;"   ","")&amp;IF(AND(N(S304)&gt;0,N(S305)&lt;=0.004),"✓ "&amp;'Calc base'!G$6&amp;"   ","")&amp;IF(AND(N(U304)&gt;0,N(U305)&lt;=0.004),"✓ "&amp;'Calc base'!H$6&amp;"   ","")&amp;IF(AND(N(W304)&gt;0,N(W305)&lt;=0.004),"✓ "&amp;'Calc base'!I$6&amp;"   ","")&amp;IF(AND(N(Y304)&gt;0,N(Y305)&lt;=0.004),"✓ "&amp;'Calc base'!J$6&amp;"   ","")&amp;IF(AND(N(AA304)&gt;0,N(AA305)&lt;=0.004),"✓ "&amp;'Calc base'!K$6&amp;"   ","")&amp;IF(AND(N(AC304)&gt;0,N(AC305)&lt;=0.004),"✓ "&amp;'Calc base'!L$6&amp;"   ","")&amp;IF(AND(N(AE304)&gt;0,N(AE305)&lt;=0.004),"✓ "&amp;'Calc base'!M$6&amp;"   ","")&amp;IF(AND(N(AG304)&gt;0,N(AG305)&lt;=0.004),"✓ "&amp;'Calc base'!N$6&amp;"   ","")))</f>
        <v/>
      </c>
      <c r="J305" s="70" t="str">
        <f>IF($A305="","",ROUND(N(K304)*(1+'Calc base'!H328),2)-K305)</f>
        <v/>
      </c>
      <c r="K305" s="75" t="str">
        <f>IF($A305="","",CHOOSE('Calc riepilogo'!$B$2,'Calc valanga'!AT328,'Calc palla di neve'!AT328,'Calc personalizzata'!AT328))</f>
        <v/>
      </c>
      <c r="L305" s="70" t="str">
        <f>IF($A305="","",ROUND(N(M304)*(1+'Calc base'!I328),2)-M305)</f>
        <v/>
      </c>
      <c r="M305" s="75" t="str">
        <f>IF($A305="","",CHOOSE('Calc riepilogo'!$B$2,'Calc valanga'!AU328,'Calc palla di neve'!AU328,'Calc personalizzata'!AU328))</f>
        <v/>
      </c>
      <c r="N305" s="70" t="str">
        <f>IF($A305="","",ROUND(N(O304)*(1+'Calc base'!J328),2)-O305)</f>
        <v/>
      </c>
      <c r="O305" s="75" t="str">
        <f>IF($A305="","",CHOOSE('Calc riepilogo'!$B$2,'Calc valanga'!AV328,'Calc palla di neve'!AV328,'Calc personalizzata'!AV328))</f>
        <v/>
      </c>
      <c r="P305" s="70" t="str">
        <f>IF($A305="","",ROUND(N(Q304)*(1+'Calc base'!K328),2)-Q305)</f>
        <v/>
      </c>
      <c r="Q305" s="75" t="str">
        <f>IF($A305="","",CHOOSE('Calc riepilogo'!$B$2,'Calc valanga'!AW328,'Calc palla di neve'!AW328,'Calc personalizzata'!AW328))</f>
        <v/>
      </c>
      <c r="R305" s="70" t="str">
        <f>IF($A305="","",ROUND(N(S304)*(1+'Calc base'!L328),2)-S305)</f>
        <v/>
      </c>
      <c r="S305" s="75" t="str">
        <f>IF($A305="","",CHOOSE('Calc riepilogo'!$B$2,'Calc valanga'!AX328,'Calc palla di neve'!AX328,'Calc personalizzata'!AX328))</f>
        <v/>
      </c>
      <c r="T305" s="70" t="str">
        <f>IF($A305="","",ROUND(N(U304)*(1+'Calc base'!M328),2)-U305)</f>
        <v/>
      </c>
      <c r="U305" s="75" t="str">
        <f>IF($A305="","",CHOOSE('Calc riepilogo'!$B$2,'Calc valanga'!AY328,'Calc palla di neve'!AY328,'Calc personalizzata'!AY328))</f>
        <v/>
      </c>
      <c r="V305" s="70" t="str">
        <f>IF($A305="","",ROUND(N(W304)*(1+'Calc base'!N328),2)-W305)</f>
        <v/>
      </c>
      <c r="W305" s="75" t="str">
        <f>IF($A305="","",CHOOSE('Calc riepilogo'!$B$2,'Calc valanga'!AZ328,'Calc palla di neve'!AZ328,'Calc personalizzata'!AZ328))</f>
        <v/>
      </c>
      <c r="X305" s="70" t="str">
        <f>IF($A305="","",ROUND(N(Y304)*(1+'Calc base'!O328),2)-Y305)</f>
        <v/>
      </c>
      <c r="Y305" s="75" t="str">
        <f>IF($A305="","",CHOOSE('Calc riepilogo'!$B$2,'Calc valanga'!BA328,'Calc palla di neve'!BA328,'Calc personalizzata'!BA328))</f>
        <v/>
      </c>
      <c r="Z305" s="70" t="str">
        <f>IF($A305="","",ROUND(N(AA304)*(1+'Calc base'!P328),2)-AA305)</f>
        <v/>
      </c>
      <c r="AA305" s="75" t="str">
        <f>IF($A305="","",CHOOSE('Calc riepilogo'!$B$2,'Calc valanga'!BB328,'Calc palla di neve'!BB328,'Calc personalizzata'!BB328))</f>
        <v/>
      </c>
      <c r="AB305" s="70" t="str">
        <f>IF($A305="","",ROUND(N(AC304)*(1+'Calc base'!Q328),2)-AC305)</f>
        <v/>
      </c>
      <c r="AC305" s="75" t="str">
        <f>IF($A305="","",CHOOSE('Calc riepilogo'!$B$2,'Calc valanga'!BC328,'Calc palla di neve'!BC328,'Calc personalizzata'!BC328))</f>
        <v/>
      </c>
      <c r="AD305" s="70" t="str">
        <f>IF($A305="","",ROUND(N(AE304)*(1+'Calc base'!R328),2)-AE305)</f>
        <v/>
      </c>
      <c r="AE305" s="75" t="str">
        <f>IF($A305="","",CHOOSE('Calc riepilogo'!$B$2,'Calc valanga'!BD328,'Calc palla di neve'!BD328,'Calc personalizzata'!BD328))</f>
        <v/>
      </c>
      <c r="AF305" s="70" t="str">
        <f>IF($A305="","",ROUND(N(AG304)*(1+'Calc base'!S328),2)-AG305)</f>
        <v/>
      </c>
      <c r="AG305" s="75" t="str">
        <f>IF($A305="","",CHOOSE('Calc riepilogo'!$B$2,'Calc valanga'!BE328,'Calc palla di neve'!BE328,'Calc personalizzata'!BE328))</f>
        <v/>
      </c>
      <c r="AI305" t="n">
        <v>298</v>
      </c>
    </row>
    <row r="306">
      <c r="A306" s="68" t="str">
        <f>IF(299&gt;'Calc riepilogo'!$B$7,"",'Calc base'!$B329)</f>
        <v/>
      </c>
      <c r="B306" s="69" t="str">
        <f>IF($A306="","",'Calc base'!$C329)</f>
        <v/>
      </c>
      <c r="C306" s="69" t="str">
        <f>IF($A306="","",'Calc base'!$E329)</f>
        <v/>
      </c>
      <c r="D306" s="70" t="str">
        <f>IF($A306="","",J306+L306+N306+P306+R306+T306+V306+X306+Z306+AB306+AD306+AF306)</f>
        <v/>
      </c>
      <c r="E306" s="70" t="str">
        <f>IF($A306="","",CHOOSE('Calc riepilogo'!$B$2,'Calc valanga'!$H329,'Calc palla di neve'!$H329,'Calc personalizzata'!$H329))</f>
        <v/>
      </c>
      <c r="F306" s="71" t="str">
        <f>IF($A306="","",CHOOSE('Calc riepilogo'!$B$2,'Calc valanga'!$G329,'Calc palla di neve'!$G329,'Calc personalizzata'!$G329))</f>
        <v/>
      </c>
      <c r="G306" s="72" t="n"/>
      <c r="H306" s="73" t="n"/>
      <c r="I306" s="74" t="str">
        <f>IF($A306="","",TRIM(IF(AND(N(K305)&gt;0,N(K306)&lt;=0.004),"✓ "&amp;'Calc base'!C$6&amp;"   ","")&amp;IF(AND(N(M305)&gt;0,N(M306)&lt;=0.004),"✓ "&amp;'Calc base'!D$6&amp;"   ","")&amp;IF(AND(N(O305)&gt;0,N(O306)&lt;=0.004),"✓ "&amp;'Calc base'!E$6&amp;"   ","")&amp;IF(AND(N(Q305)&gt;0,N(Q306)&lt;=0.004),"✓ "&amp;'Calc base'!F$6&amp;"   ","")&amp;IF(AND(N(S305)&gt;0,N(S306)&lt;=0.004),"✓ "&amp;'Calc base'!G$6&amp;"   ","")&amp;IF(AND(N(U305)&gt;0,N(U306)&lt;=0.004),"✓ "&amp;'Calc base'!H$6&amp;"   ","")&amp;IF(AND(N(W305)&gt;0,N(W306)&lt;=0.004),"✓ "&amp;'Calc base'!I$6&amp;"   ","")&amp;IF(AND(N(Y305)&gt;0,N(Y306)&lt;=0.004),"✓ "&amp;'Calc base'!J$6&amp;"   ","")&amp;IF(AND(N(AA305)&gt;0,N(AA306)&lt;=0.004),"✓ "&amp;'Calc base'!K$6&amp;"   ","")&amp;IF(AND(N(AC305)&gt;0,N(AC306)&lt;=0.004),"✓ "&amp;'Calc base'!L$6&amp;"   ","")&amp;IF(AND(N(AE305)&gt;0,N(AE306)&lt;=0.004),"✓ "&amp;'Calc base'!M$6&amp;"   ","")&amp;IF(AND(N(AG305)&gt;0,N(AG306)&lt;=0.004),"✓ "&amp;'Calc base'!N$6&amp;"   ","")))</f>
        <v/>
      </c>
      <c r="J306" s="70" t="str">
        <f>IF($A306="","",ROUND(N(K305)*(1+'Calc base'!H329),2)-K306)</f>
        <v/>
      </c>
      <c r="K306" s="75" t="str">
        <f>IF($A306="","",CHOOSE('Calc riepilogo'!$B$2,'Calc valanga'!AT329,'Calc palla di neve'!AT329,'Calc personalizzata'!AT329))</f>
        <v/>
      </c>
      <c r="L306" s="70" t="str">
        <f>IF($A306="","",ROUND(N(M305)*(1+'Calc base'!I329),2)-M306)</f>
        <v/>
      </c>
      <c r="M306" s="75" t="str">
        <f>IF($A306="","",CHOOSE('Calc riepilogo'!$B$2,'Calc valanga'!AU329,'Calc palla di neve'!AU329,'Calc personalizzata'!AU329))</f>
        <v/>
      </c>
      <c r="N306" s="70" t="str">
        <f>IF($A306="","",ROUND(N(O305)*(1+'Calc base'!J329),2)-O306)</f>
        <v/>
      </c>
      <c r="O306" s="75" t="str">
        <f>IF($A306="","",CHOOSE('Calc riepilogo'!$B$2,'Calc valanga'!AV329,'Calc palla di neve'!AV329,'Calc personalizzata'!AV329))</f>
        <v/>
      </c>
      <c r="P306" s="70" t="str">
        <f>IF($A306="","",ROUND(N(Q305)*(1+'Calc base'!K329),2)-Q306)</f>
        <v/>
      </c>
      <c r="Q306" s="75" t="str">
        <f>IF($A306="","",CHOOSE('Calc riepilogo'!$B$2,'Calc valanga'!AW329,'Calc palla di neve'!AW329,'Calc personalizzata'!AW329))</f>
        <v/>
      </c>
      <c r="R306" s="70" t="str">
        <f>IF($A306="","",ROUND(N(S305)*(1+'Calc base'!L329),2)-S306)</f>
        <v/>
      </c>
      <c r="S306" s="75" t="str">
        <f>IF($A306="","",CHOOSE('Calc riepilogo'!$B$2,'Calc valanga'!AX329,'Calc palla di neve'!AX329,'Calc personalizzata'!AX329))</f>
        <v/>
      </c>
      <c r="T306" s="70" t="str">
        <f>IF($A306="","",ROUND(N(U305)*(1+'Calc base'!M329),2)-U306)</f>
        <v/>
      </c>
      <c r="U306" s="75" t="str">
        <f>IF($A306="","",CHOOSE('Calc riepilogo'!$B$2,'Calc valanga'!AY329,'Calc palla di neve'!AY329,'Calc personalizzata'!AY329))</f>
        <v/>
      </c>
      <c r="V306" s="70" t="str">
        <f>IF($A306="","",ROUND(N(W305)*(1+'Calc base'!N329),2)-W306)</f>
        <v/>
      </c>
      <c r="W306" s="75" t="str">
        <f>IF($A306="","",CHOOSE('Calc riepilogo'!$B$2,'Calc valanga'!AZ329,'Calc palla di neve'!AZ329,'Calc personalizzata'!AZ329))</f>
        <v/>
      </c>
      <c r="X306" s="70" t="str">
        <f>IF($A306="","",ROUND(N(Y305)*(1+'Calc base'!O329),2)-Y306)</f>
        <v/>
      </c>
      <c r="Y306" s="75" t="str">
        <f>IF($A306="","",CHOOSE('Calc riepilogo'!$B$2,'Calc valanga'!BA329,'Calc palla di neve'!BA329,'Calc personalizzata'!BA329))</f>
        <v/>
      </c>
      <c r="Z306" s="70" t="str">
        <f>IF($A306="","",ROUND(N(AA305)*(1+'Calc base'!P329),2)-AA306)</f>
        <v/>
      </c>
      <c r="AA306" s="75" t="str">
        <f>IF($A306="","",CHOOSE('Calc riepilogo'!$B$2,'Calc valanga'!BB329,'Calc palla di neve'!BB329,'Calc personalizzata'!BB329))</f>
        <v/>
      </c>
      <c r="AB306" s="70" t="str">
        <f>IF($A306="","",ROUND(N(AC305)*(1+'Calc base'!Q329),2)-AC306)</f>
        <v/>
      </c>
      <c r="AC306" s="75" t="str">
        <f>IF($A306="","",CHOOSE('Calc riepilogo'!$B$2,'Calc valanga'!BC329,'Calc palla di neve'!BC329,'Calc personalizzata'!BC329))</f>
        <v/>
      </c>
      <c r="AD306" s="70" t="str">
        <f>IF($A306="","",ROUND(N(AE305)*(1+'Calc base'!R329),2)-AE306)</f>
        <v/>
      </c>
      <c r="AE306" s="75" t="str">
        <f>IF($A306="","",CHOOSE('Calc riepilogo'!$B$2,'Calc valanga'!BD329,'Calc palla di neve'!BD329,'Calc personalizzata'!BD329))</f>
        <v/>
      </c>
      <c r="AF306" s="70" t="str">
        <f>IF($A306="","",ROUND(N(AG305)*(1+'Calc base'!S329),2)-AG306)</f>
        <v/>
      </c>
      <c r="AG306" s="75" t="str">
        <f>IF($A306="","",CHOOSE('Calc riepilogo'!$B$2,'Calc valanga'!BE329,'Calc palla di neve'!BE329,'Calc personalizzata'!BE329))</f>
        <v/>
      </c>
      <c r="AI306" t="n">
        <v>299</v>
      </c>
    </row>
    <row r="307">
      <c r="A307" s="68" t="str">
        <f>IF(300&gt;'Calc riepilogo'!$B$7,"",'Calc base'!$B330)</f>
        <v/>
      </c>
      <c r="B307" s="69" t="str">
        <f>IF($A307="","",'Calc base'!$C330)</f>
        <v/>
      </c>
      <c r="C307" s="69" t="str">
        <f>IF($A307="","",'Calc base'!$E330)</f>
        <v/>
      </c>
      <c r="D307" s="70" t="str">
        <f>IF($A307="","",J307+L307+N307+P307+R307+T307+V307+X307+Z307+AB307+AD307+AF307)</f>
        <v/>
      </c>
      <c r="E307" s="70" t="str">
        <f>IF($A307="","",CHOOSE('Calc riepilogo'!$B$2,'Calc valanga'!$H330,'Calc palla di neve'!$H330,'Calc personalizzata'!$H330))</f>
        <v/>
      </c>
      <c r="F307" s="71" t="str">
        <f>IF($A307="","",CHOOSE('Calc riepilogo'!$B$2,'Calc valanga'!$G330,'Calc palla di neve'!$G330,'Calc personalizzata'!$G330))</f>
        <v/>
      </c>
      <c r="G307" s="72" t="n"/>
      <c r="H307" s="73" t="n"/>
      <c r="I307" s="74" t="str">
        <f>IF($A307="","",TRIM(IF(AND(N(K306)&gt;0,N(K307)&lt;=0.004),"✓ "&amp;'Calc base'!C$6&amp;"   ","")&amp;IF(AND(N(M306)&gt;0,N(M307)&lt;=0.004),"✓ "&amp;'Calc base'!D$6&amp;"   ","")&amp;IF(AND(N(O306)&gt;0,N(O307)&lt;=0.004),"✓ "&amp;'Calc base'!E$6&amp;"   ","")&amp;IF(AND(N(Q306)&gt;0,N(Q307)&lt;=0.004),"✓ "&amp;'Calc base'!F$6&amp;"   ","")&amp;IF(AND(N(S306)&gt;0,N(S307)&lt;=0.004),"✓ "&amp;'Calc base'!G$6&amp;"   ","")&amp;IF(AND(N(U306)&gt;0,N(U307)&lt;=0.004),"✓ "&amp;'Calc base'!H$6&amp;"   ","")&amp;IF(AND(N(W306)&gt;0,N(W307)&lt;=0.004),"✓ "&amp;'Calc base'!I$6&amp;"   ","")&amp;IF(AND(N(Y306)&gt;0,N(Y307)&lt;=0.004),"✓ "&amp;'Calc base'!J$6&amp;"   ","")&amp;IF(AND(N(AA306)&gt;0,N(AA307)&lt;=0.004),"✓ "&amp;'Calc base'!K$6&amp;"   ","")&amp;IF(AND(N(AC306)&gt;0,N(AC307)&lt;=0.004),"✓ "&amp;'Calc base'!L$6&amp;"   ","")&amp;IF(AND(N(AE306)&gt;0,N(AE307)&lt;=0.004),"✓ "&amp;'Calc base'!M$6&amp;"   ","")&amp;IF(AND(N(AG306)&gt;0,N(AG307)&lt;=0.004),"✓ "&amp;'Calc base'!N$6&amp;"   ","")))</f>
        <v/>
      </c>
      <c r="J307" s="70" t="str">
        <f>IF($A307="","",ROUND(N(K306)*(1+'Calc base'!H330),2)-K307)</f>
        <v/>
      </c>
      <c r="K307" s="75" t="str">
        <f>IF($A307="","",CHOOSE('Calc riepilogo'!$B$2,'Calc valanga'!AT330,'Calc palla di neve'!AT330,'Calc personalizzata'!AT330))</f>
        <v/>
      </c>
      <c r="L307" s="70" t="str">
        <f>IF($A307="","",ROUND(N(M306)*(1+'Calc base'!I330),2)-M307)</f>
        <v/>
      </c>
      <c r="M307" s="75" t="str">
        <f>IF($A307="","",CHOOSE('Calc riepilogo'!$B$2,'Calc valanga'!AU330,'Calc palla di neve'!AU330,'Calc personalizzata'!AU330))</f>
        <v/>
      </c>
      <c r="N307" s="70" t="str">
        <f>IF($A307="","",ROUND(N(O306)*(1+'Calc base'!J330),2)-O307)</f>
        <v/>
      </c>
      <c r="O307" s="75" t="str">
        <f>IF($A307="","",CHOOSE('Calc riepilogo'!$B$2,'Calc valanga'!AV330,'Calc palla di neve'!AV330,'Calc personalizzata'!AV330))</f>
        <v/>
      </c>
      <c r="P307" s="70" t="str">
        <f>IF($A307="","",ROUND(N(Q306)*(1+'Calc base'!K330),2)-Q307)</f>
        <v/>
      </c>
      <c r="Q307" s="75" t="str">
        <f>IF($A307="","",CHOOSE('Calc riepilogo'!$B$2,'Calc valanga'!AW330,'Calc palla di neve'!AW330,'Calc personalizzata'!AW330))</f>
        <v/>
      </c>
      <c r="R307" s="70" t="str">
        <f>IF($A307="","",ROUND(N(S306)*(1+'Calc base'!L330),2)-S307)</f>
        <v/>
      </c>
      <c r="S307" s="75" t="str">
        <f>IF($A307="","",CHOOSE('Calc riepilogo'!$B$2,'Calc valanga'!AX330,'Calc palla di neve'!AX330,'Calc personalizzata'!AX330))</f>
        <v/>
      </c>
      <c r="T307" s="70" t="str">
        <f>IF($A307="","",ROUND(N(U306)*(1+'Calc base'!M330),2)-U307)</f>
        <v/>
      </c>
      <c r="U307" s="75" t="str">
        <f>IF($A307="","",CHOOSE('Calc riepilogo'!$B$2,'Calc valanga'!AY330,'Calc palla di neve'!AY330,'Calc personalizzata'!AY330))</f>
        <v/>
      </c>
      <c r="V307" s="70" t="str">
        <f>IF($A307="","",ROUND(N(W306)*(1+'Calc base'!N330),2)-W307)</f>
        <v/>
      </c>
      <c r="W307" s="75" t="str">
        <f>IF($A307="","",CHOOSE('Calc riepilogo'!$B$2,'Calc valanga'!AZ330,'Calc palla di neve'!AZ330,'Calc personalizzata'!AZ330))</f>
        <v/>
      </c>
      <c r="X307" s="70" t="str">
        <f>IF($A307="","",ROUND(N(Y306)*(1+'Calc base'!O330),2)-Y307)</f>
        <v/>
      </c>
      <c r="Y307" s="75" t="str">
        <f>IF($A307="","",CHOOSE('Calc riepilogo'!$B$2,'Calc valanga'!BA330,'Calc palla di neve'!BA330,'Calc personalizzata'!BA330))</f>
        <v/>
      </c>
      <c r="Z307" s="70" t="str">
        <f>IF($A307="","",ROUND(N(AA306)*(1+'Calc base'!P330),2)-AA307)</f>
        <v/>
      </c>
      <c r="AA307" s="75" t="str">
        <f>IF($A307="","",CHOOSE('Calc riepilogo'!$B$2,'Calc valanga'!BB330,'Calc palla di neve'!BB330,'Calc personalizzata'!BB330))</f>
        <v/>
      </c>
      <c r="AB307" s="70" t="str">
        <f>IF($A307="","",ROUND(N(AC306)*(1+'Calc base'!Q330),2)-AC307)</f>
        <v/>
      </c>
      <c r="AC307" s="75" t="str">
        <f>IF($A307="","",CHOOSE('Calc riepilogo'!$B$2,'Calc valanga'!BC330,'Calc palla di neve'!BC330,'Calc personalizzata'!BC330))</f>
        <v/>
      </c>
      <c r="AD307" s="70" t="str">
        <f>IF($A307="","",ROUND(N(AE306)*(1+'Calc base'!R330),2)-AE307)</f>
        <v/>
      </c>
      <c r="AE307" s="75" t="str">
        <f>IF($A307="","",CHOOSE('Calc riepilogo'!$B$2,'Calc valanga'!BD330,'Calc palla di neve'!BD330,'Calc personalizzata'!BD330))</f>
        <v/>
      </c>
      <c r="AF307" s="70" t="str">
        <f>IF($A307="","",ROUND(N(AG306)*(1+'Calc base'!S330),2)-AG307)</f>
        <v/>
      </c>
      <c r="AG307" s="75" t="str">
        <f>IF($A307="","",CHOOSE('Calc riepilogo'!$B$2,'Calc valanga'!BE330,'Calc palla di neve'!BE330,'Calc personalizzata'!BE330))</f>
        <v/>
      </c>
      <c r="AI307" t="n">
        <v>300</v>
      </c>
    </row>
    <row r="308">
      <c r="A308" s="68" t="str">
        <f>IF(301&gt;'Calc riepilogo'!$B$7,"",'Calc base'!$B331)</f>
        <v/>
      </c>
      <c r="B308" s="69" t="str">
        <f>IF($A308="","",'Calc base'!$C331)</f>
        <v/>
      </c>
      <c r="C308" s="69" t="str">
        <f>IF($A308="","",'Calc base'!$E331)</f>
        <v/>
      </c>
      <c r="D308" s="70" t="str">
        <f>IF($A308="","",J308+L308+N308+P308+R308+T308+V308+X308+Z308+AB308+AD308+AF308)</f>
        <v/>
      </c>
      <c r="E308" s="70" t="str">
        <f>IF($A308="","",CHOOSE('Calc riepilogo'!$B$2,'Calc valanga'!$H331,'Calc palla di neve'!$H331,'Calc personalizzata'!$H331))</f>
        <v/>
      </c>
      <c r="F308" s="71" t="str">
        <f>IF($A308="","",CHOOSE('Calc riepilogo'!$B$2,'Calc valanga'!$G331,'Calc palla di neve'!$G331,'Calc personalizzata'!$G331))</f>
        <v/>
      </c>
      <c r="G308" s="72" t="n"/>
      <c r="H308" s="73" t="n"/>
      <c r="I308" s="74" t="str">
        <f>IF($A308="","",TRIM(IF(AND(N(K307)&gt;0,N(K308)&lt;=0.004),"✓ "&amp;'Calc base'!C$6&amp;"   ","")&amp;IF(AND(N(M307)&gt;0,N(M308)&lt;=0.004),"✓ "&amp;'Calc base'!D$6&amp;"   ","")&amp;IF(AND(N(O307)&gt;0,N(O308)&lt;=0.004),"✓ "&amp;'Calc base'!E$6&amp;"   ","")&amp;IF(AND(N(Q307)&gt;0,N(Q308)&lt;=0.004),"✓ "&amp;'Calc base'!F$6&amp;"   ","")&amp;IF(AND(N(S307)&gt;0,N(S308)&lt;=0.004),"✓ "&amp;'Calc base'!G$6&amp;"   ","")&amp;IF(AND(N(U307)&gt;0,N(U308)&lt;=0.004),"✓ "&amp;'Calc base'!H$6&amp;"   ","")&amp;IF(AND(N(W307)&gt;0,N(W308)&lt;=0.004),"✓ "&amp;'Calc base'!I$6&amp;"   ","")&amp;IF(AND(N(Y307)&gt;0,N(Y308)&lt;=0.004),"✓ "&amp;'Calc base'!J$6&amp;"   ","")&amp;IF(AND(N(AA307)&gt;0,N(AA308)&lt;=0.004),"✓ "&amp;'Calc base'!K$6&amp;"   ","")&amp;IF(AND(N(AC307)&gt;0,N(AC308)&lt;=0.004),"✓ "&amp;'Calc base'!L$6&amp;"   ","")&amp;IF(AND(N(AE307)&gt;0,N(AE308)&lt;=0.004),"✓ "&amp;'Calc base'!M$6&amp;"   ","")&amp;IF(AND(N(AG307)&gt;0,N(AG308)&lt;=0.004),"✓ "&amp;'Calc base'!N$6&amp;"   ","")))</f>
        <v/>
      </c>
      <c r="J308" s="70" t="str">
        <f>IF($A308="","",ROUND(N(K307)*(1+'Calc base'!H331),2)-K308)</f>
        <v/>
      </c>
      <c r="K308" s="75" t="str">
        <f>IF($A308="","",CHOOSE('Calc riepilogo'!$B$2,'Calc valanga'!AT331,'Calc palla di neve'!AT331,'Calc personalizzata'!AT331))</f>
        <v/>
      </c>
      <c r="L308" s="70" t="str">
        <f>IF($A308="","",ROUND(N(M307)*(1+'Calc base'!I331),2)-M308)</f>
        <v/>
      </c>
      <c r="M308" s="75" t="str">
        <f>IF($A308="","",CHOOSE('Calc riepilogo'!$B$2,'Calc valanga'!AU331,'Calc palla di neve'!AU331,'Calc personalizzata'!AU331))</f>
        <v/>
      </c>
      <c r="N308" s="70" t="str">
        <f>IF($A308="","",ROUND(N(O307)*(1+'Calc base'!J331),2)-O308)</f>
        <v/>
      </c>
      <c r="O308" s="75" t="str">
        <f>IF($A308="","",CHOOSE('Calc riepilogo'!$B$2,'Calc valanga'!AV331,'Calc palla di neve'!AV331,'Calc personalizzata'!AV331))</f>
        <v/>
      </c>
      <c r="P308" s="70" t="str">
        <f>IF($A308="","",ROUND(N(Q307)*(1+'Calc base'!K331),2)-Q308)</f>
        <v/>
      </c>
      <c r="Q308" s="75" t="str">
        <f>IF($A308="","",CHOOSE('Calc riepilogo'!$B$2,'Calc valanga'!AW331,'Calc palla di neve'!AW331,'Calc personalizzata'!AW331))</f>
        <v/>
      </c>
      <c r="R308" s="70" t="str">
        <f>IF($A308="","",ROUND(N(S307)*(1+'Calc base'!L331),2)-S308)</f>
        <v/>
      </c>
      <c r="S308" s="75" t="str">
        <f>IF($A308="","",CHOOSE('Calc riepilogo'!$B$2,'Calc valanga'!AX331,'Calc palla di neve'!AX331,'Calc personalizzata'!AX331))</f>
        <v/>
      </c>
      <c r="T308" s="70" t="str">
        <f>IF($A308="","",ROUND(N(U307)*(1+'Calc base'!M331),2)-U308)</f>
        <v/>
      </c>
      <c r="U308" s="75" t="str">
        <f>IF($A308="","",CHOOSE('Calc riepilogo'!$B$2,'Calc valanga'!AY331,'Calc palla di neve'!AY331,'Calc personalizzata'!AY331))</f>
        <v/>
      </c>
      <c r="V308" s="70" t="str">
        <f>IF($A308="","",ROUND(N(W307)*(1+'Calc base'!N331),2)-W308)</f>
        <v/>
      </c>
      <c r="W308" s="75" t="str">
        <f>IF($A308="","",CHOOSE('Calc riepilogo'!$B$2,'Calc valanga'!AZ331,'Calc palla di neve'!AZ331,'Calc personalizzata'!AZ331))</f>
        <v/>
      </c>
      <c r="X308" s="70" t="str">
        <f>IF($A308="","",ROUND(N(Y307)*(1+'Calc base'!O331),2)-Y308)</f>
        <v/>
      </c>
      <c r="Y308" s="75" t="str">
        <f>IF($A308="","",CHOOSE('Calc riepilogo'!$B$2,'Calc valanga'!BA331,'Calc palla di neve'!BA331,'Calc personalizzata'!BA331))</f>
        <v/>
      </c>
      <c r="Z308" s="70" t="str">
        <f>IF($A308="","",ROUND(N(AA307)*(1+'Calc base'!P331),2)-AA308)</f>
        <v/>
      </c>
      <c r="AA308" s="75" t="str">
        <f>IF($A308="","",CHOOSE('Calc riepilogo'!$B$2,'Calc valanga'!BB331,'Calc palla di neve'!BB331,'Calc personalizzata'!BB331))</f>
        <v/>
      </c>
      <c r="AB308" s="70" t="str">
        <f>IF($A308="","",ROUND(N(AC307)*(1+'Calc base'!Q331),2)-AC308)</f>
        <v/>
      </c>
      <c r="AC308" s="75" t="str">
        <f>IF($A308="","",CHOOSE('Calc riepilogo'!$B$2,'Calc valanga'!BC331,'Calc palla di neve'!BC331,'Calc personalizzata'!BC331))</f>
        <v/>
      </c>
      <c r="AD308" s="70" t="str">
        <f>IF($A308="","",ROUND(N(AE307)*(1+'Calc base'!R331),2)-AE308)</f>
        <v/>
      </c>
      <c r="AE308" s="75" t="str">
        <f>IF($A308="","",CHOOSE('Calc riepilogo'!$B$2,'Calc valanga'!BD331,'Calc palla di neve'!BD331,'Calc personalizzata'!BD331))</f>
        <v/>
      </c>
      <c r="AF308" s="70" t="str">
        <f>IF($A308="","",ROUND(N(AG307)*(1+'Calc base'!S331),2)-AG308)</f>
        <v/>
      </c>
      <c r="AG308" s="75" t="str">
        <f>IF($A308="","",CHOOSE('Calc riepilogo'!$B$2,'Calc valanga'!BE331,'Calc palla di neve'!BE331,'Calc personalizzata'!BE331))</f>
        <v/>
      </c>
      <c r="AI308" t="n">
        <v>301</v>
      </c>
    </row>
    <row r="309">
      <c r="A309" s="68" t="str">
        <f>IF(302&gt;'Calc riepilogo'!$B$7,"",'Calc base'!$B332)</f>
        <v/>
      </c>
      <c r="B309" s="69" t="str">
        <f>IF($A309="","",'Calc base'!$C332)</f>
        <v/>
      </c>
      <c r="C309" s="69" t="str">
        <f>IF($A309="","",'Calc base'!$E332)</f>
        <v/>
      </c>
      <c r="D309" s="70" t="str">
        <f>IF($A309="","",J309+L309+N309+P309+R309+T309+V309+X309+Z309+AB309+AD309+AF309)</f>
        <v/>
      </c>
      <c r="E309" s="70" t="str">
        <f>IF($A309="","",CHOOSE('Calc riepilogo'!$B$2,'Calc valanga'!$H332,'Calc palla di neve'!$H332,'Calc personalizzata'!$H332))</f>
        <v/>
      </c>
      <c r="F309" s="71" t="str">
        <f>IF($A309="","",CHOOSE('Calc riepilogo'!$B$2,'Calc valanga'!$G332,'Calc palla di neve'!$G332,'Calc personalizzata'!$G332))</f>
        <v/>
      </c>
      <c r="G309" s="72" t="n"/>
      <c r="H309" s="73" t="n"/>
      <c r="I309" s="74" t="str">
        <f>IF($A309="","",TRIM(IF(AND(N(K308)&gt;0,N(K309)&lt;=0.004),"✓ "&amp;'Calc base'!C$6&amp;"   ","")&amp;IF(AND(N(M308)&gt;0,N(M309)&lt;=0.004),"✓ "&amp;'Calc base'!D$6&amp;"   ","")&amp;IF(AND(N(O308)&gt;0,N(O309)&lt;=0.004),"✓ "&amp;'Calc base'!E$6&amp;"   ","")&amp;IF(AND(N(Q308)&gt;0,N(Q309)&lt;=0.004),"✓ "&amp;'Calc base'!F$6&amp;"   ","")&amp;IF(AND(N(S308)&gt;0,N(S309)&lt;=0.004),"✓ "&amp;'Calc base'!G$6&amp;"   ","")&amp;IF(AND(N(U308)&gt;0,N(U309)&lt;=0.004),"✓ "&amp;'Calc base'!H$6&amp;"   ","")&amp;IF(AND(N(W308)&gt;0,N(W309)&lt;=0.004),"✓ "&amp;'Calc base'!I$6&amp;"   ","")&amp;IF(AND(N(Y308)&gt;0,N(Y309)&lt;=0.004),"✓ "&amp;'Calc base'!J$6&amp;"   ","")&amp;IF(AND(N(AA308)&gt;0,N(AA309)&lt;=0.004),"✓ "&amp;'Calc base'!K$6&amp;"   ","")&amp;IF(AND(N(AC308)&gt;0,N(AC309)&lt;=0.004),"✓ "&amp;'Calc base'!L$6&amp;"   ","")&amp;IF(AND(N(AE308)&gt;0,N(AE309)&lt;=0.004),"✓ "&amp;'Calc base'!M$6&amp;"   ","")&amp;IF(AND(N(AG308)&gt;0,N(AG309)&lt;=0.004),"✓ "&amp;'Calc base'!N$6&amp;"   ","")))</f>
        <v/>
      </c>
      <c r="J309" s="70" t="str">
        <f>IF($A309="","",ROUND(N(K308)*(1+'Calc base'!H332),2)-K309)</f>
        <v/>
      </c>
      <c r="K309" s="75" t="str">
        <f>IF($A309="","",CHOOSE('Calc riepilogo'!$B$2,'Calc valanga'!AT332,'Calc palla di neve'!AT332,'Calc personalizzata'!AT332))</f>
        <v/>
      </c>
      <c r="L309" s="70" t="str">
        <f>IF($A309="","",ROUND(N(M308)*(1+'Calc base'!I332),2)-M309)</f>
        <v/>
      </c>
      <c r="M309" s="75" t="str">
        <f>IF($A309="","",CHOOSE('Calc riepilogo'!$B$2,'Calc valanga'!AU332,'Calc palla di neve'!AU332,'Calc personalizzata'!AU332))</f>
        <v/>
      </c>
      <c r="N309" s="70" t="str">
        <f>IF($A309="","",ROUND(N(O308)*(1+'Calc base'!J332),2)-O309)</f>
        <v/>
      </c>
      <c r="O309" s="75" t="str">
        <f>IF($A309="","",CHOOSE('Calc riepilogo'!$B$2,'Calc valanga'!AV332,'Calc palla di neve'!AV332,'Calc personalizzata'!AV332))</f>
        <v/>
      </c>
      <c r="P309" s="70" t="str">
        <f>IF($A309="","",ROUND(N(Q308)*(1+'Calc base'!K332),2)-Q309)</f>
        <v/>
      </c>
      <c r="Q309" s="75" t="str">
        <f>IF($A309="","",CHOOSE('Calc riepilogo'!$B$2,'Calc valanga'!AW332,'Calc palla di neve'!AW332,'Calc personalizzata'!AW332))</f>
        <v/>
      </c>
      <c r="R309" s="70" t="str">
        <f>IF($A309="","",ROUND(N(S308)*(1+'Calc base'!L332),2)-S309)</f>
        <v/>
      </c>
      <c r="S309" s="75" t="str">
        <f>IF($A309="","",CHOOSE('Calc riepilogo'!$B$2,'Calc valanga'!AX332,'Calc palla di neve'!AX332,'Calc personalizzata'!AX332))</f>
        <v/>
      </c>
      <c r="T309" s="70" t="str">
        <f>IF($A309="","",ROUND(N(U308)*(1+'Calc base'!M332),2)-U309)</f>
        <v/>
      </c>
      <c r="U309" s="75" t="str">
        <f>IF($A309="","",CHOOSE('Calc riepilogo'!$B$2,'Calc valanga'!AY332,'Calc palla di neve'!AY332,'Calc personalizzata'!AY332))</f>
        <v/>
      </c>
      <c r="V309" s="70" t="str">
        <f>IF($A309="","",ROUND(N(W308)*(1+'Calc base'!N332),2)-W309)</f>
        <v/>
      </c>
      <c r="W309" s="75" t="str">
        <f>IF($A309="","",CHOOSE('Calc riepilogo'!$B$2,'Calc valanga'!AZ332,'Calc palla di neve'!AZ332,'Calc personalizzata'!AZ332))</f>
        <v/>
      </c>
      <c r="X309" s="70" t="str">
        <f>IF($A309="","",ROUND(N(Y308)*(1+'Calc base'!O332),2)-Y309)</f>
        <v/>
      </c>
      <c r="Y309" s="75" t="str">
        <f>IF($A309="","",CHOOSE('Calc riepilogo'!$B$2,'Calc valanga'!BA332,'Calc palla di neve'!BA332,'Calc personalizzata'!BA332))</f>
        <v/>
      </c>
      <c r="Z309" s="70" t="str">
        <f>IF($A309="","",ROUND(N(AA308)*(1+'Calc base'!P332),2)-AA309)</f>
        <v/>
      </c>
      <c r="AA309" s="75" t="str">
        <f>IF($A309="","",CHOOSE('Calc riepilogo'!$B$2,'Calc valanga'!BB332,'Calc palla di neve'!BB332,'Calc personalizzata'!BB332))</f>
        <v/>
      </c>
      <c r="AB309" s="70" t="str">
        <f>IF($A309="","",ROUND(N(AC308)*(1+'Calc base'!Q332),2)-AC309)</f>
        <v/>
      </c>
      <c r="AC309" s="75" t="str">
        <f>IF($A309="","",CHOOSE('Calc riepilogo'!$B$2,'Calc valanga'!BC332,'Calc palla di neve'!BC332,'Calc personalizzata'!BC332))</f>
        <v/>
      </c>
      <c r="AD309" s="70" t="str">
        <f>IF($A309="","",ROUND(N(AE308)*(1+'Calc base'!R332),2)-AE309)</f>
        <v/>
      </c>
      <c r="AE309" s="75" t="str">
        <f>IF($A309="","",CHOOSE('Calc riepilogo'!$B$2,'Calc valanga'!BD332,'Calc palla di neve'!BD332,'Calc personalizzata'!BD332))</f>
        <v/>
      </c>
      <c r="AF309" s="70" t="str">
        <f>IF($A309="","",ROUND(N(AG308)*(1+'Calc base'!S332),2)-AG309)</f>
        <v/>
      </c>
      <c r="AG309" s="75" t="str">
        <f>IF($A309="","",CHOOSE('Calc riepilogo'!$B$2,'Calc valanga'!BE332,'Calc palla di neve'!BE332,'Calc personalizzata'!BE332))</f>
        <v/>
      </c>
      <c r="AI309" t="n">
        <v>302</v>
      </c>
    </row>
    <row r="310">
      <c r="A310" s="68" t="str">
        <f>IF(303&gt;'Calc riepilogo'!$B$7,"",'Calc base'!$B333)</f>
        <v/>
      </c>
      <c r="B310" s="69" t="str">
        <f>IF($A310="","",'Calc base'!$C333)</f>
        <v/>
      </c>
      <c r="C310" s="69" t="str">
        <f>IF($A310="","",'Calc base'!$E333)</f>
        <v/>
      </c>
      <c r="D310" s="70" t="str">
        <f>IF($A310="","",J310+L310+N310+P310+R310+T310+V310+X310+Z310+AB310+AD310+AF310)</f>
        <v/>
      </c>
      <c r="E310" s="70" t="str">
        <f>IF($A310="","",CHOOSE('Calc riepilogo'!$B$2,'Calc valanga'!$H333,'Calc palla di neve'!$H333,'Calc personalizzata'!$H333))</f>
        <v/>
      </c>
      <c r="F310" s="71" t="str">
        <f>IF($A310="","",CHOOSE('Calc riepilogo'!$B$2,'Calc valanga'!$G333,'Calc palla di neve'!$G333,'Calc personalizzata'!$G333))</f>
        <v/>
      </c>
      <c r="G310" s="72" t="n"/>
      <c r="H310" s="73" t="n"/>
      <c r="I310" s="74" t="str">
        <f>IF($A310="","",TRIM(IF(AND(N(K309)&gt;0,N(K310)&lt;=0.004),"✓ "&amp;'Calc base'!C$6&amp;"   ","")&amp;IF(AND(N(M309)&gt;0,N(M310)&lt;=0.004),"✓ "&amp;'Calc base'!D$6&amp;"   ","")&amp;IF(AND(N(O309)&gt;0,N(O310)&lt;=0.004),"✓ "&amp;'Calc base'!E$6&amp;"   ","")&amp;IF(AND(N(Q309)&gt;0,N(Q310)&lt;=0.004),"✓ "&amp;'Calc base'!F$6&amp;"   ","")&amp;IF(AND(N(S309)&gt;0,N(S310)&lt;=0.004),"✓ "&amp;'Calc base'!G$6&amp;"   ","")&amp;IF(AND(N(U309)&gt;0,N(U310)&lt;=0.004),"✓ "&amp;'Calc base'!H$6&amp;"   ","")&amp;IF(AND(N(W309)&gt;0,N(W310)&lt;=0.004),"✓ "&amp;'Calc base'!I$6&amp;"   ","")&amp;IF(AND(N(Y309)&gt;0,N(Y310)&lt;=0.004),"✓ "&amp;'Calc base'!J$6&amp;"   ","")&amp;IF(AND(N(AA309)&gt;0,N(AA310)&lt;=0.004),"✓ "&amp;'Calc base'!K$6&amp;"   ","")&amp;IF(AND(N(AC309)&gt;0,N(AC310)&lt;=0.004),"✓ "&amp;'Calc base'!L$6&amp;"   ","")&amp;IF(AND(N(AE309)&gt;0,N(AE310)&lt;=0.004),"✓ "&amp;'Calc base'!M$6&amp;"   ","")&amp;IF(AND(N(AG309)&gt;0,N(AG310)&lt;=0.004),"✓ "&amp;'Calc base'!N$6&amp;"   ","")))</f>
        <v/>
      </c>
      <c r="J310" s="70" t="str">
        <f>IF($A310="","",ROUND(N(K309)*(1+'Calc base'!H333),2)-K310)</f>
        <v/>
      </c>
      <c r="K310" s="75" t="str">
        <f>IF($A310="","",CHOOSE('Calc riepilogo'!$B$2,'Calc valanga'!AT333,'Calc palla di neve'!AT333,'Calc personalizzata'!AT333))</f>
        <v/>
      </c>
      <c r="L310" s="70" t="str">
        <f>IF($A310="","",ROUND(N(M309)*(1+'Calc base'!I333),2)-M310)</f>
        <v/>
      </c>
      <c r="M310" s="75" t="str">
        <f>IF($A310="","",CHOOSE('Calc riepilogo'!$B$2,'Calc valanga'!AU333,'Calc palla di neve'!AU333,'Calc personalizzata'!AU333))</f>
        <v/>
      </c>
      <c r="N310" s="70" t="str">
        <f>IF($A310="","",ROUND(N(O309)*(1+'Calc base'!J333),2)-O310)</f>
        <v/>
      </c>
      <c r="O310" s="75" t="str">
        <f>IF($A310="","",CHOOSE('Calc riepilogo'!$B$2,'Calc valanga'!AV333,'Calc palla di neve'!AV333,'Calc personalizzata'!AV333))</f>
        <v/>
      </c>
      <c r="P310" s="70" t="str">
        <f>IF($A310="","",ROUND(N(Q309)*(1+'Calc base'!K333),2)-Q310)</f>
        <v/>
      </c>
      <c r="Q310" s="75" t="str">
        <f>IF($A310="","",CHOOSE('Calc riepilogo'!$B$2,'Calc valanga'!AW333,'Calc palla di neve'!AW333,'Calc personalizzata'!AW333))</f>
        <v/>
      </c>
      <c r="R310" s="70" t="str">
        <f>IF($A310="","",ROUND(N(S309)*(1+'Calc base'!L333),2)-S310)</f>
        <v/>
      </c>
      <c r="S310" s="75" t="str">
        <f>IF($A310="","",CHOOSE('Calc riepilogo'!$B$2,'Calc valanga'!AX333,'Calc palla di neve'!AX333,'Calc personalizzata'!AX333))</f>
        <v/>
      </c>
      <c r="T310" s="70" t="str">
        <f>IF($A310="","",ROUND(N(U309)*(1+'Calc base'!M333),2)-U310)</f>
        <v/>
      </c>
      <c r="U310" s="75" t="str">
        <f>IF($A310="","",CHOOSE('Calc riepilogo'!$B$2,'Calc valanga'!AY333,'Calc palla di neve'!AY333,'Calc personalizzata'!AY333))</f>
        <v/>
      </c>
      <c r="V310" s="70" t="str">
        <f>IF($A310="","",ROUND(N(W309)*(1+'Calc base'!N333),2)-W310)</f>
        <v/>
      </c>
      <c r="W310" s="75" t="str">
        <f>IF($A310="","",CHOOSE('Calc riepilogo'!$B$2,'Calc valanga'!AZ333,'Calc palla di neve'!AZ333,'Calc personalizzata'!AZ333))</f>
        <v/>
      </c>
      <c r="X310" s="70" t="str">
        <f>IF($A310="","",ROUND(N(Y309)*(1+'Calc base'!O333),2)-Y310)</f>
        <v/>
      </c>
      <c r="Y310" s="75" t="str">
        <f>IF($A310="","",CHOOSE('Calc riepilogo'!$B$2,'Calc valanga'!BA333,'Calc palla di neve'!BA333,'Calc personalizzata'!BA333))</f>
        <v/>
      </c>
      <c r="Z310" s="70" t="str">
        <f>IF($A310="","",ROUND(N(AA309)*(1+'Calc base'!P333),2)-AA310)</f>
        <v/>
      </c>
      <c r="AA310" s="75" t="str">
        <f>IF($A310="","",CHOOSE('Calc riepilogo'!$B$2,'Calc valanga'!BB333,'Calc palla di neve'!BB333,'Calc personalizzata'!BB333))</f>
        <v/>
      </c>
      <c r="AB310" s="70" t="str">
        <f>IF($A310="","",ROUND(N(AC309)*(1+'Calc base'!Q333),2)-AC310)</f>
        <v/>
      </c>
      <c r="AC310" s="75" t="str">
        <f>IF($A310="","",CHOOSE('Calc riepilogo'!$B$2,'Calc valanga'!BC333,'Calc palla di neve'!BC333,'Calc personalizzata'!BC333))</f>
        <v/>
      </c>
      <c r="AD310" s="70" t="str">
        <f>IF($A310="","",ROUND(N(AE309)*(1+'Calc base'!R333),2)-AE310)</f>
        <v/>
      </c>
      <c r="AE310" s="75" t="str">
        <f>IF($A310="","",CHOOSE('Calc riepilogo'!$B$2,'Calc valanga'!BD333,'Calc palla di neve'!BD333,'Calc personalizzata'!BD333))</f>
        <v/>
      </c>
      <c r="AF310" s="70" t="str">
        <f>IF($A310="","",ROUND(N(AG309)*(1+'Calc base'!S333),2)-AG310)</f>
        <v/>
      </c>
      <c r="AG310" s="75" t="str">
        <f>IF($A310="","",CHOOSE('Calc riepilogo'!$B$2,'Calc valanga'!BE333,'Calc palla di neve'!BE333,'Calc personalizzata'!BE333))</f>
        <v/>
      </c>
      <c r="AI310" t="n">
        <v>303</v>
      </c>
    </row>
    <row r="311">
      <c r="A311" s="68" t="str">
        <f>IF(304&gt;'Calc riepilogo'!$B$7,"",'Calc base'!$B334)</f>
        <v/>
      </c>
      <c r="B311" s="69" t="str">
        <f>IF($A311="","",'Calc base'!$C334)</f>
        <v/>
      </c>
      <c r="C311" s="69" t="str">
        <f>IF($A311="","",'Calc base'!$E334)</f>
        <v/>
      </c>
      <c r="D311" s="70" t="str">
        <f>IF($A311="","",J311+L311+N311+P311+R311+T311+V311+X311+Z311+AB311+AD311+AF311)</f>
        <v/>
      </c>
      <c r="E311" s="70" t="str">
        <f>IF($A311="","",CHOOSE('Calc riepilogo'!$B$2,'Calc valanga'!$H334,'Calc palla di neve'!$H334,'Calc personalizzata'!$H334))</f>
        <v/>
      </c>
      <c r="F311" s="71" t="str">
        <f>IF($A311="","",CHOOSE('Calc riepilogo'!$B$2,'Calc valanga'!$G334,'Calc palla di neve'!$G334,'Calc personalizzata'!$G334))</f>
        <v/>
      </c>
      <c r="G311" s="72" t="n"/>
      <c r="H311" s="73" t="n"/>
      <c r="I311" s="74" t="str">
        <f>IF($A311="","",TRIM(IF(AND(N(K310)&gt;0,N(K311)&lt;=0.004),"✓ "&amp;'Calc base'!C$6&amp;"   ","")&amp;IF(AND(N(M310)&gt;0,N(M311)&lt;=0.004),"✓ "&amp;'Calc base'!D$6&amp;"   ","")&amp;IF(AND(N(O310)&gt;0,N(O311)&lt;=0.004),"✓ "&amp;'Calc base'!E$6&amp;"   ","")&amp;IF(AND(N(Q310)&gt;0,N(Q311)&lt;=0.004),"✓ "&amp;'Calc base'!F$6&amp;"   ","")&amp;IF(AND(N(S310)&gt;0,N(S311)&lt;=0.004),"✓ "&amp;'Calc base'!G$6&amp;"   ","")&amp;IF(AND(N(U310)&gt;0,N(U311)&lt;=0.004),"✓ "&amp;'Calc base'!H$6&amp;"   ","")&amp;IF(AND(N(W310)&gt;0,N(W311)&lt;=0.004),"✓ "&amp;'Calc base'!I$6&amp;"   ","")&amp;IF(AND(N(Y310)&gt;0,N(Y311)&lt;=0.004),"✓ "&amp;'Calc base'!J$6&amp;"   ","")&amp;IF(AND(N(AA310)&gt;0,N(AA311)&lt;=0.004),"✓ "&amp;'Calc base'!K$6&amp;"   ","")&amp;IF(AND(N(AC310)&gt;0,N(AC311)&lt;=0.004),"✓ "&amp;'Calc base'!L$6&amp;"   ","")&amp;IF(AND(N(AE310)&gt;0,N(AE311)&lt;=0.004),"✓ "&amp;'Calc base'!M$6&amp;"   ","")&amp;IF(AND(N(AG310)&gt;0,N(AG311)&lt;=0.004),"✓ "&amp;'Calc base'!N$6&amp;"   ","")))</f>
        <v/>
      </c>
      <c r="J311" s="70" t="str">
        <f>IF($A311="","",ROUND(N(K310)*(1+'Calc base'!H334),2)-K311)</f>
        <v/>
      </c>
      <c r="K311" s="75" t="str">
        <f>IF($A311="","",CHOOSE('Calc riepilogo'!$B$2,'Calc valanga'!AT334,'Calc palla di neve'!AT334,'Calc personalizzata'!AT334))</f>
        <v/>
      </c>
      <c r="L311" s="70" t="str">
        <f>IF($A311="","",ROUND(N(M310)*(1+'Calc base'!I334),2)-M311)</f>
        <v/>
      </c>
      <c r="M311" s="75" t="str">
        <f>IF($A311="","",CHOOSE('Calc riepilogo'!$B$2,'Calc valanga'!AU334,'Calc palla di neve'!AU334,'Calc personalizzata'!AU334))</f>
        <v/>
      </c>
      <c r="N311" s="70" t="str">
        <f>IF($A311="","",ROUND(N(O310)*(1+'Calc base'!J334),2)-O311)</f>
        <v/>
      </c>
      <c r="O311" s="75" t="str">
        <f>IF($A311="","",CHOOSE('Calc riepilogo'!$B$2,'Calc valanga'!AV334,'Calc palla di neve'!AV334,'Calc personalizzata'!AV334))</f>
        <v/>
      </c>
      <c r="P311" s="70" t="str">
        <f>IF($A311="","",ROUND(N(Q310)*(1+'Calc base'!K334),2)-Q311)</f>
        <v/>
      </c>
      <c r="Q311" s="75" t="str">
        <f>IF($A311="","",CHOOSE('Calc riepilogo'!$B$2,'Calc valanga'!AW334,'Calc palla di neve'!AW334,'Calc personalizzata'!AW334))</f>
        <v/>
      </c>
      <c r="R311" s="70" t="str">
        <f>IF($A311="","",ROUND(N(S310)*(1+'Calc base'!L334),2)-S311)</f>
        <v/>
      </c>
      <c r="S311" s="75" t="str">
        <f>IF($A311="","",CHOOSE('Calc riepilogo'!$B$2,'Calc valanga'!AX334,'Calc palla di neve'!AX334,'Calc personalizzata'!AX334))</f>
        <v/>
      </c>
      <c r="T311" s="70" t="str">
        <f>IF($A311="","",ROUND(N(U310)*(1+'Calc base'!M334),2)-U311)</f>
        <v/>
      </c>
      <c r="U311" s="75" t="str">
        <f>IF($A311="","",CHOOSE('Calc riepilogo'!$B$2,'Calc valanga'!AY334,'Calc palla di neve'!AY334,'Calc personalizzata'!AY334))</f>
        <v/>
      </c>
      <c r="V311" s="70" t="str">
        <f>IF($A311="","",ROUND(N(W310)*(1+'Calc base'!N334),2)-W311)</f>
        <v/>
      </c>
      <c r="W311" s="75" t="str">
        <f>IF($A311="","",CHOOSE('Calc riepilogo'!$B$2,'Calc valanga'!AZ334,'Calc palla di neve'!AZ334,'Calc personalizzata'!AZ334))</f>
        <v/>
      </c>
      <c r="X311" s="70" t="str">
        <f>IF($A311="","",ROUND(N(Y310)*(1+'Calc base'!O334),2)-Y311)</f>
        <v/>
      </c>
      <c r="Y311" s="75" t="str">
        <f>IF($A311="","",CHOOSE('Calc riepilogo'!$B$2,'Calc valanga'!BA334,'Calc palla di neve'!BA334,'Calc personalizzata'!BA334))</f>
        <v/>
      </c>
      <c r="Z311" s="70" t="str">
        <f>IF($A311="","",ROUND(N(AA310)*(1+'Calc base'!P334),2)-AA311)</f>
        <v/>
      </c>
      <c r="AA311" s="75" t="str">
        <f>IF($A311="","",CHOOSE('Calc riepilogo'!$B$2,'Calc valanga'!BB334,'Calc palla di neve'!BB334,'Calc personalizzata'!BB334))</f>
        <v/>
      </c>
      <c r="AB311" s="70" t="str">
        <f>IF($A311="","",ROUND(N(AC310)*(1+'Calc base'!Q334),2)-AC311)</f>
        <v/>
      </c>
      <c r="AC311" s="75" t="str">
        <f>IF($A311="","",CHOOSE('Calc riepilogo'!$B$2,'Calc valanga'!BC334,'Calc palla di neve'!BC334,'Calc personalizzata'!BC334))</f>
        <v/>
      </c>
      <c r="AD311" s="70" t="str">
        <f>IF($A311="","",ROUND(N(AE310)*(1+'Calc base'!R334),2)-AE311)</f>
        <v/>
      </c>
      <c r="AE311" s="75" t="str">
        <f>IF($A311="","",CHOOSE('Calc riepilogo'!$B$2,'Calc valanga'!BD334,'Calc palla di neve'!BD334,'Calc personalizzata'!BD334))</f>
        <v/>
      </c>
      <c r="AF311" s="70" t="str">
        <f>IF($A311="","",ROUND(N(AG310)*(1+'Calc base'!S334),2)-AG311)</f>
        <v/>
      </c>
      <c r="AG311" s="75" t="str">
        <f>IF($A311="","",CHOOSE('Calc riepilogo'!$B$2,'Calc valanga'!BE334,'Calc palla di neve'!BE334,'Calc personalizzata'!BE334))</f>
        <v/>
      </c>
      <c r="AI311" t="n">
        <v>304</v>
      </c>
    </row>
    <row r="312">
      <c r="A312" s="68" t="str">
        <f>IF(305&gt;'Calc riepilogo'!$B$7,"",'Calc base'!$B335)</f>
        <v/>
      </c>
      <c r="B312" s="69" t="str">
        <f>IF($A312="","",'Calc base'!$C335)</f>
        <v/>
      </c>
      <c r="C312" s="69" t="str">
        <f>IF($A312="","",'Calc base'!$E335)</f>
        <v/>
      </c>
      <c r="D312" s="70" t="str">
        <f>IF($A312="","",J312+L312+N312+P312+R312+T312+V312+X312+Z312+AB312+AD312+AF312)</f>
        <v/>
      </c>
      <c r="E312" s="70" t="str">
        <f>IF($A312="","",CHOOSE('Calc riepilogo'!$B$2,'Calc valanga'!$H335,'Calc palla di neve'!$H335,'Calc personalizzata'!$H335))</f>
        <v/>
      </c>
      <c r="F312" s="71" t="str">
        <f>IF($A312="","",CHOOSE('Calc riepilogo'!$B$2,'Calc valanga'!$G335,'Calc palla di neve'!$G335,'Calc personalizzata'!$G335))</f>
        <v/>
      </c>
      <c r="G312" s="72" t="n"/>
      <c r="H312" s="73" t="n"/>
      <c r="I312" s="74" t="str">
        <f>IF($A312="","",TRIM(IF(AND(N(K311)&gt;0,N(K312)&lt;=0.004),"✓ "&amp;'Calc base'!C$6&amp;"   ","")&amp;IF(AND(N(M311)&gt;0,N(M312)&lt;=0.004),"✓ "&amp;'Calc base'!D$6&amp;"   ","")&amp;IF(AND(N(O311)&gt;0,N(O312)&lt;=0.004),"✓ "&amp;'Calc base'!E$6&amp;"   ","")&amp;IF(AND(N(Q311)&gt;0,N(Q312)&lt;=0.004),"✓ "&amp;'Calc base'!F$6&amp;"   ","")&amp;IF(AND(N(S311)&gt;0,N(S312)&lt;=0.004),"✓ "&amp;'Calc base'!G$6&amp;"   ","")&amp;IF(AND(N(U311)&gt;0,N(U312)&lt;=0.004),"✓ "&amp;'Calc base'!H$6&amp;"   ","")&amp;IF(AND(N(W311)&gt;0,N(W312)&lt;=0.004),"✓ "&amp;'Calc base'!I$6&amp;"   ","")&amp;IF(AND(N(Y311)&gt;0,N(Y312)&lt;=0.004),"✓ "&amp;'Calc base'!J$6&amp;"   ","")&amp;IF(AND(N(AA311)&gt;0,N(AA312)&lt;=0.004),"✓ "&amp;'Calc base'!K$6&amp;"   ","")&amp;IF(AND(N(AC311)&gt;0,N(AC312)&lt;=0.004),"✓ "&amp;'Calc base'!L$6&amp;"   ","")&amp;IF(AND(N(AE311)&gt;0,N(AE312)&lt;=0.004),"✓ "&amp;'Calc base'!M$6&amp;"   ","")&amp;IF(AND(N(AG311)&gt;0,N(AG312)&lt;=0.004),"✓ "&amp;'Calc base'!N$6&amp;"   ","")))</f>
        <v/>
      </c>
      <c r="J312" s="70" t="str">
        <f>IF($A312="","",ROUND(N(K311)*(1+'Calc base'!H335),2)-K312)</f>
        <v/>
      </c>
      <c r="K312" s="75" t="str">
        <f>IF($A312="","",CHOOSE('Calc riepilogo'!$B$2,'Calc valanga'!AT335,'Calc palla di neve'!AT335,'Calc personalizzata'!AT335))</f>
        <v/>
      </c>
      <c r="L312" s="70" t="str">
        <f>IF($A312="","",ROUND(N(M311)*(1+'Calc base'!I335),2)-M312)</f>
        <v/>
      </c>
      <c r="M312" s="75" t="str">
        <f>IF($A312="","",CHOOSE('Calc riepilogo'!$B$2,'Calc valanga'!AU335,'Calc palla di neve'!AU335,'Calc personalizzata'!AU335))</f>
        <v/>
      </c>
      <c r="N312" s="70" t="str">
        <f>IF($A312="","",ROUND(N(O311)*(1+'Calc base'!J335),2)-O312)</f>
        <v/>
      </c>
      <c r="O312" s="75" t="str">
        <f>IF($A312="","",CHOOSE('Calc riepilogo'!$B$2,'Calc valanga'!AV335,'Calc palla di neve'!AV335,'Calc personalizzata'!AV335))</f>
        <v/>
      </c>
      <c r="P312" s="70" t="str">
        <f>IF($A312="","",ROUND(N(Q311)*(1+'Calc base'!K335),2)-Q312)</f>
        <v/>
      </c>
      <c r="Q312" s="75" t="str">
        <f>IF($A312="","",CHOOSE('Calc riepilogo'!$B$2,'Calc valanga'!AW335,'Calc palla di neve'!AW335,'Calc personalizzata'!AW335))</f>
        <v/>
      </c>
      <c r="R312" s="70" t="str">
        <f>IF($A312="","",ROUND(N(S311)*(1+'Calc base'!L335),2)-S312)</f>
        <v/>
      </c>
      <c r="S312" s="75" t="str">
        <f>IF($A312="","",CHOOSE('Calc riepilogo'!$B$2,'Calc valanga'!AX335,'Calc palla di neve'!AX335,'Calc personalizzata'!AX335))</f>
        <v/>
      </c>
      <c r="T312" s="70" t="str">
        <f>IF($A312="","",ROUND(N(U311)*(1+'Calc base'!M335),2)-U312)</f>
        <v/>
      </c>
      <c r="U312" s="75" t="str">
        <f>IF($A312="","",CHOOSE('Calc riepilogo'!$B$2,'Calc valanga'!AY335,'Calc palla di neve'!AY335,'Calc personalizzata'!AY335))</f>
        <v/>
      </c>
      <c r="V312" s="70" t="str">
        <f>IF($A312="","",ROUND(N(W311)*(1+'Calc base'!N335),2)-W312)</f>
        <v/>
      </c>
      <c r="W312" s="75" t="str">
        <f>IF($A312="","",CHOOSE('Calc riepilogo'!$B$2,'Calc valanga'!AZ335,'Calc palla di neve'!AZ335,'Calc personalizzata'!AZ335))</f>
        <v/>
      </c>
      <c r="X312" s="70" t="str">
        <f>IF($A312="","",ROUND(N(Y311)*(1+'Calc base'!O335),2)-Y312)</f>
        <v/>
      </c>
      <c r="Y312" s="75" t="str">
        <f>IF($A312="","",CHOOSE('Calc riepilogo'!$B$2,'Calc valanga'!BA335,'Calc palla di neve'!BA335,'Calc personalizzata'!BA335))</f>
        <v/>
      </c>
      <c r="Z312" s="70" t="str">
        <f>IF($A312="","",ROUND(N(AA311)*(1+'Calc base'!P335),2)-AA312)</f>
        <v/>
      </c>
      <c r="AA312" s="75" t="str">
        <f>IF($A312="","",CHOOSE('Calc riepilogo'!$B$2,'Calc valanga'!BB335,'Calc palla di neve'!BB335,'Calc personalizzata'!BB335))</f>
        <v/>
      </c>
      <c r="AB312" s="70" t="str">
        <f>IF($A312="","",ROUND(N(AC311)*(1+'Calc base'!Q335),2)-AC312)</f>
        <v/>
      </c>
      <c r="AC312" s="75" t="str">
        <f>IF($A312="","",CHOOSE('Calc riepilogo'!$B$2,'Calc valanga'!BC335,'Calc palla di neve'!BC335,'Calc personalizzata'!BC335))</f>
        <v/>
      </c>
      <c r="AD312" s="70" t="str">
        <f>IF($A312="","",ROUND(N(AE311)*(1+'Calc base'!R335),2)-AE312)</f>
        <v/>
      </c>
      <c r="AE312" s="75" t="str">
        <f>IF($A312="","",CHOOSE('Calc riepilogo'!$B$2,'Calc valanga'!BD335,'Calc palla di neve'!BD335,'Calc personalizzata'!BD335))</f>
        <v/>
      </c>
      <c r="AF312" s="70" t="str">
        <f>IF($A312="","",ROUND(N(AG311)*(1+'Calc base'!S335),2)-AG312)</f>
        <v/>
      </c>
      <c r="AG312" s="75" t="str">
        <f>IF($A312="","",CHOOSE('Calc riepilogo'!$B$2,'Calc valanga'!BE335,'Calc palla di neve'!BE335,'Calc personalizzata'!BE335))</f>
        <v/>
      </c>
      <c r="AI312" t="n">
        <v>305</v>
      </c>
    </row>
    <row r="313">
      <c r="A313" s="68" t="str">
        <f>IF(306&gt;'Calc riepilogo'!$B$7,"",'Calc base'!$B336)</f>
        <v/>
      </c>
      <c r="B313" s="69" t="str">
        <f>IF($A313="","",'Calc base'!$C336)</f>
        <v/>
      </c>
      <c r="C313" s="69" t="str">
        <f>IF($A313="","",'Calc base'!$E336)</f>
        <v/>
      </c>
      <c r="D313" s="70" t="str">
        <f>IF($A313="","",J313+L313+N313+P313+R313+T313+V313+X313+Z313+AB313+AD313+AF313)</f>
        <v/>
      </c>
      <c r="E313" s="70" t="str">
        <f>IF($A313="","",CHOOSE('Calc riepilogo'!$B$2,'Calc valanga'!$H336,'Calc palla di neve'!$H336,'Calc personalizzata'!$H336))</f>
        <v/>
      </c>
      <c r="F313" s="71" t="str">
        <f>IF($A313="","",CHOOSE('Calc riepilogo'!$B$2,'Calc valanga'!$G336,'Calc palla di neve'!$G336,'Calc personalizzata'!$G336))</f>
        <v/>
      </c>
      <c r="G313" s="72" t="n"/>
      <c r="H313" s="73" t="n"/>
      <c r="I313" s="74" t="str">
        <f>IF($A313="","",TRIM(IF(AND(N(K312)&gt;0,N(K313)&lt;=0.004),"✓ "&amp;'Calc base'!C$6&amp;"   ","")&amp;IF(AND(N(M312)&gt;0,N(M313)&lt;=0.004),"✓ "&amp;'Calc base'!D$6&amp;"   ","")&amp;IF(AND(N(O312)&gt;0,N(O313)&lt;=0.004),"✓ "&amp;'Calc base'!E$6&amp;"   ","")&amp;IF(AND(N(Q312)&gt;0,N(Q313)&lt;=0.004),"✓ "&amp;'Calc base'!F$6&amp;"   ","")&amp;IF(AND(N(S312)&gt;0,N(S313)&lt;=0.004),"✓ "&amp;'Calc base'!G$6&amp;"   ","")&amp;IF(AND(N(U312)&gt;0,N(U313)&lt;=0.004),"✓ "&amp;'Calc base'!H$6&amp;"   ","")&amp;IF(AND(N(W312)&gt;0,N(W313)&lt;=0.004),"✓ "&amp;'Calc base'!I$6&amp;"   ","")&amp;IF(AND(N(Y312)&gt;0,N(Y313)&lt;=0.004),"✓ "&amp;'Calc base'!J$6&amp;"   ","")&amp;IF(AND(N(AA312)&gt;0,N(AA313)&lt;=0.004),"✓ "&amp;'Calc base'!K$6&amp;"   ","")&amp;IF(AND(N(AC312)&gt;0,N(AC313)&lt;=0.004),"✓ "&amp;'Calc base'!L$6&amp;"   ","")&amp;IF(AND(N(AE312)&gt;0,N(AE313)&lt;=0.004),"✓ "&amp;'Calc base'!M$6&amp;"   ","")&amp;IF(AND(N(AG312)&gt;0,N(AG313)&lt;=0.004),"✓ "&amp;'Calc base'!N$6&amp;"   ","")))</f>
        <v/>
      </c>
      <c r="J313" s="70" t="str">
        <f>IF($A313="","",ROUND(N(K312)*(1+'Calc base'!H336),2)-K313)</f>
        <v/>
      </c>
      <c r="K313" s="75" t="str">
        <f>IF($A313="","",CHOOSE('Calc riepilogo'!$B$2,'Calc valanga'!AT336,'Calc palla di neve'!AT336,'Calc personalizzata'!AT336))</f>
        <v/>
      </c>
      <c r="L313" s="70" t="str">
        <f>IF($A313="","",ROUND(N(M312)*(1+'Calc base'!I336),2)-M313)</f>
        <v/>
      </c>
      <c r="M313" s="75" t="str">
        <f>IF($A313="","",CHOOSE('Calc riepilogo'!$B$2,'Calc valanga'!AU336,'Calc palla di neve'!AU336,'Calc personalizzata'!AU336))</f>
        <v/>
      </c>
      <c r="N313" s="70" t="str">
        <f>IF($A313="","",ROUND(N(O312)*(1+'Calc base'!J336),2)-O313)</f>
        <v/>
      </c>
      <c r="O313" s="75" t="str">
        <f>IF($A313="","",CHOOSE('Calc riepilogo'!$B$2,'Calc valanga'!AV336,'Calc palla di neve'!AV336,'Calc personalizzata'!AV336))</f>
        <v/>
      </c>
      <c r="P313" s="70" t="str">
        <f>IF($A313="","",ROUND(N(Q312)*(1+'Calc base'!K336),2)-Q313)</f>
        <v/>
      </c>
      <c r="Q313" s="75" t="str">
        <f>IF($A313="","",CHOOSE('Calc riepilogo'!$B$2,'Calc valanga'!AW336,'Calc palla di neve'!AW336,'Calc personalizzata'!AW336))</f>
        <v/>
      </c>
      <c r="R313" s="70" t="str">
        <f>IF($A313="","",ROUND(N(S312)*(1+'Calc base'!L336),2)-S313)</f>
        <v/>
      </c>
      <c r="S313" s="75" t="str">
        <f>IF($A313="","",CHOOSE('Calc riepilogo'!$B$2,'Calc valanga'!AX336,'Calc palla di neve'!AX336,'Calc personalizzata'!AX336))</f>
        <v/>
      </c>
      <c r="T313" s="70" t="str">
        <f>IF($A313="","",ROUND(N(U312)*(1+'Calc base'!M336),2)-U313)</f>
        <v/>
      </c>
      <c r="U313" s="75" t="str">
        <f>IF($A313="","",CHOOSE('Calc riepilogo'!$B$2,'Calc valanga'!AY336,'Calc palla di neve'!AY336,'Calc personalizzata'!AY336))</f>
        <v/>
      </c>
      <c r="V313" s="70" t="str">
        <f>IF($A313="","",ROUND(N(W312)*(1+'Calc base'!N336),2)-W313)</f>
        <v/>
      </c>
      <c r="W313" s="75" t="str">
        <f>IF($A313="","",CHOOSE('Calc riepilogo'!$B$2,'Calc valanga'!AZ336,'Calc palla di neve'!AZ336,'Calc personalizzata'!AZ336))</f>
        <v/>
      </c>
      <c r="X313" s="70" t="str">
        <f>IF($A313="","",ROUND(N(Y312)*(1+'Calc base'!O336),2)-Y313)</f>
        <v/>
      </c>
      <c r="Y313" s="75" t="str">
        <f>IF($A313="","",CHOOSE('Calc riepilogo'!$B$2,'Calc valanga'!BA336,'Calc palla di neve'!BA336,'Calc personalizzata'!BA336))</f>
        <v/>
      </c>
      <c r="Z313" s="70" t="str">
        <f>IF($A313="","",ROUND(N(AA312)*(1+'Calc base'!P336),2)-AA313)</f>
        <v/>
      </c>
      <c r="AA313" s="75" t="str">
        <f>IF($A313="","",CHOOSE('Calc riepilogo'!$B$2,'Calc valanga'!BB336,'Calc palla di neve'!BB336,'Calc personalizzata'!BB336))</f>
        <v/>
      </c>
      <c r="AB313" s="70" t="str">
        <f>IF($A313="","",ROUND(N(AC312)*(1+'Calc base'!Q336),2)-AC313)</f>
        <v/>
      </c>
      <c r="AC313" s="75" t="str">
        <f>IF($A313="","",CHOOSE('Calc riepilogo'!$B$2,'Calc valanga'!BC336,'Calc palla di neve'!BC336,'Calc personalizzata'!BC336))</f>
        <v/>
      </c>
      <c r="AD313" s="70" t="str">
        <f>IF($A313="","",ROUND(N(AE312)*(1+'Calc base'!R336),2)-AE313)</f>
        <v/>
      </c>
      <c r="AE313" s="75" t="str">
        <f>IF($A313="","",CHOOSE('Calc riepilogo'!$B$2,'Calc valanga'!BD336,'Calc palla di neve'!BD336,'Calc personalizzata'!BD336))</f>
        <v/>
      </c>
      <c r="AF313" s="70" t="str">
        <f>IF($A313="","",ROUND(N(AG312)*(1+'Calc base'!S336),2)-AG313)</f>
        <v/>
      </c>
      <c r="AG313" s="75" t="str">
        <f>IF($A313="","",CHOOSE('Calc riepilogo'!$B$2,'Calc valanga'!BE336,'Calc palla di neve'!BE336,'Calc personalizzata'!BE336))</f>
        <v/>
      </c>
      <c r="AI313" t="n">
        <v>306</v>
      </c>
    </row>
    <row r="314">
      <c r="A314" s="68" t="str">
        <f>IF(307&gt;'Calc riepilogo'!$B$7,"",'Calc base'!$B337)</f>
        <v/>
      </c>
      <c r="B314" s="69" t="str">
        <f>IF($A314="","",'Calc base'!$C337)</f>
        <v/>
      </c>
      <c r="C314" s="69" t="str">
        <f>IF($A314="","",'Calc base'!$E337)</f>
        <v/>
      </c>
      <c r="D314" s="70" t="str">
        <f>IF($A314="","",J314+L314+N314+P314+R314+T314+V314+X314+Z314+AB314+AD314+AF314)</f>
        <v/>
      </c>
      <c r="E314" s="70" t="str">
        <f>IF($A314="","",CHOOSE('Calc riepilogo'!$B$2,'Calc valanga'!$H337,'Calc palla di neve'!$H337,'Calc personalizzata'!$H337))</f>
        <v/>
      </c>
      <c r="F314" s="71" t="str">
        <f>IF($A314="","",CHOOSE('Calc riepilogo'!$B$2,'Calc valanga'!$G337,'Calc palla di neve'!$G337,'Calc personalizzata'!$G337))</f>
        <v/>
      </c>
      <c r="G314" s="72" t="n"/>
      <c r="H314" s="73" t="n"/>
      <c r="I314" s="74" t="str">
        <f>IF($A314="","",TRIM(IF(AND(N(K313)&gt;0,N(K314)&lt;=0.004),"✓ "&amp;'Calc base'!C$6&amp;"   ","")&amp;IF(AND(N(M313)&gt;0,N(M314)&lt;=0.004),"✓ "&amp;'Calc base'!D$6&amp;"   ","")&amp;IF(AND(N(O313)&gt;0,N(O314)&lt;=0.004),"✓ "&amp;'Calc base'!E$6&amp;"   ","")&amp;IF(AND(N(Q313)&gt;0,N(Q314)&lt;=0.004),"✓ "&amp;'Calc base'!F$6&amp;"   ","")&amp;IF(AND(N(S313)&gt;0,N(S314)&lt;=0.004),"✓ "&amp;'Calc base'!G$6&amp;"   ","")&amp;IF(AND(N(U313)&gt;0,N(U314)&lt;=0.004),"✓ "&amp;'Calc base'!H$6&amp;"   ","")&amp;IF(AND(N(W313)&gt;0,N(W314)&lt;=0.004),"✓ "&amp;'Calc base'!I$6&amp;"   ","")&amp;IF(AND(N(Y313)&gt;0,N(Y314)&lt;=0.004),"✓ "&amp;'Calc base'!J$6&amp;"   ","")&amp;IF(AND(N(AA313)&gt;0,N(AA314)&lt;=0.004),"✓ "&amp;'Calc base'!K$6&amp;"   ","")&amp;IF(AND(N(AC313)&gt;0,N(AC314)&lt;=0.004),"✓ "&amp;'Calc base'!L$6&amp;"   ","")&amp;IF(AND(N(AE313)&gt;0,N(AE314)&lt;=0.004),"✓ "&amp;'Calc base'!M$6&amp;"   ","")&amp;IF(AND(N(AG313)&gt;0,N(AG314)&lt;=0.004),"✓ "&amp;'Calc base'!N$6&amp;"   ","")))</f>
        <v/>
      </c>
      <c r="J314" s="70" t="str">
        <f>IF($A314="","",ROUND(N(K313)*(1+'Calc base'!H337),2)-K314)</f>
        <v/>
      </c>
      <c r="K314" s="75" t="str">
        <f>IF($A314="","",CHOOSE('Calc riepilogo'!$B$2,'Calc valanga'!AT337,'Calc palla di neve'!AT337,'Calc personalizzata'!AT337))</f>
        <v/>
      </c>
      <c r="L314" s="70" t="str">
        <f>IF($A314="","",ROUND(N(M313)*(1+'Calc base'!I337),2)-M314)</f>
        <v/>
      </c>
      <c r="M314" s="75" t="str">
        <f>IF($A314="","",CHOOSE('Calc riepilogo'!$B$2,'Calc valanga'!AU337,'Calc palla di neve'!AU337,'Calc personalizzata'!AU337))</f>
        <v/>
      </c>
      <c r="N314" s="70" t="str">
        <f>IF($A314="","",ROUND(N(O313)*(1+'Calc base'!J337),2)-O314)</f>
        <v/>
      </c>
      <c r="O314" s="75" t="str">
        <f>IF($A314="","",CHOOSE('Calc riepilogo'!$B$2,'Calc valanga'!AV337,'Calc palla di neve'!AV337,'Calc personalizzata'!AV337))</f>
        <v/>
      </c>
      <c r="P314" s="70" t="str">
        <f>IF($A314="","",ROUND(N(Q313)*(1+'Calc base'!K337),2)-Q314)</f>
        <v/>
      </c>
      <c r="Q314" s="75" t="str">
        <f>IF($A314="","",CHOOSE('Calc riepilogo'!$B$2,'Calc valanga'!AW337,'Calc palla di neve'!AW337,'Calc personalizzata'!AW337))</f>
        <v/>
      </c>
      <c r="R314" s="70" t="str">
        <f>IF($A314="","",ROUND(N(S313)*(1+'Calc base'!L337),2)-S314)</f>
        <v/>
      </c>
      <c r="S314" s="75" t="str">
        <f>IF($A314="","",CHOOSE('Calc riepilogo'!$B$2,'Calc valanga'!AX337,'Calc palla di neve'!AX337,'Calc personalizzata'!AX337))</f>
        <v/>
      </c>
      <c r="T314" s="70" t="str">
        <f>IF($A314="","",ROUND(N(U313)*(1+'Calc base'!M337),2)-U314)</f>
        <v/>
      </c>
      <c r="U314" s="75" t="str">
        <f>IF($A314="","",CHOOSE('Calc riepilogo'!$B$2,'Calc valanga'!AY337,'Calc palla di neve'!AY337,'Calc personalizzata'!AY337))</f>
        <v/>
      </c>
      <c r="V314" s="70" t="str">
        <f>IF($A314="","",ROUND(N(W313)*(1+'Calc base'!N337),2)-W314)</f>
        <v/>
      </c>
      <c r="W314" s="75" t="str">
        <f>IF($A314="","",CHOOSE('Calc riepilogo'!$B$2,'Calc valanga'!AZ337,'Calc palla di neve'!AZ337,'Calc personalizzata'!AZ337))</f>
        <v/>
      </c>
      <c r="X314" s="70" t="str">
        <f>IF($A314="","",ROUND(N(Y313)*(1+'Calc base'!O337),2)-Y314)</f>
        <v/>
      </c>
      <c r="Y314" s="75" t="str">
        <f>IF($A314="","",CHOOSE('Calc riepilogo'!$B$2,'Calc valanga'!BA337,'Calc palla di neve'!BA337,'Calc personalizzata'!BA337))</f>
        <v/>
      </c>
      <c r="Z314" s="70" t="str">
        <f>IF($A314="","",ROUND(N(AA313)*(1+'Calc base'!P337),2)-AA314)</f>
        <v/>
      </c>
      <c r="AA314" s="75" t="str">
        <f>IF($A314="","",CHOOSE('Calc riepilogo'!$B$2,'Calc valanga'!BB337,'Calc palla di neve'!BB337,'Calc personalizzata'!BB337))</f>
        <v/>
      </c>
      <c r="AB314" s="70" t="str">
        <f>IF($A314="","",ROUND(N(AC313)*(1+'Calc base'!Q337),2)-AC314)</f>
        <v/>
      </c>
      <c r="AC314" s="75" t="str">
        <f>IF($A314="","",CHOOSE('Calc riepilogo'!$B$2,'Calc valanga'!BC337,'Calc palla di neve'!BC337,'Calc personalizzata'!BC337))</f>
        <v/>
      </c>
      <c r="AD314" s="70" t="str">
        <f>IF($A314="","",ROUND(N(AE313)*(1+'Calc base'!R337),2)-AE314)</f>
        <v/>
      </c>
      <c r="AE314" s="75" t="str">
        <f>IF($A314="","",CHOOSE('Calc riepilogo'!$B$2,'Calc valanga'!BD337,'Calc palla di neve'!BD337,'Calc personalizzata'!BD337))</f>
        <v/>
      </c>
      <c r="AF314" s="70" t="str">
        <f>IF($A314="","",ROUND(N(AG313)*(1+'Calc base'!S337),2)-AG314)</f>
        <v/>
      </c>
      <c r="AG314" s="75" t="str">
        <f>IF($A314="","",CHOOSE('Calc riepilogo'!$B$2,'Calc valanga'!BE337,'Calc palla di neve'!BE337,'Calc personalizzata'!BE337))</f>
        <v/>
      </c>
      <c r="AI314" t="n">
        <v>307</v>
      </c>
    </row>
    <row r="315">
      <c r="A315" s="68" t="str">
        <f>IF(308&gt;'Calc riepilogo'!$B$7,"",'Calc base'!$B338)</f>
        <v/>
      </c>
      <c r="B315" s="69" t="str">
        <f>IF($A315="","",'Calc base'!$C338)</f>
        <v/>
      </c>
      <c r="C315" s="69" t="str">
        <f>IF($A315="","",'Calc base'!$E338)</f>
        <v/>
      </c>
      <c r="D315" s="70" t="str">
        <f>IF($A315="","",J315+L315+N315+P315+R315+T315+V315+X315+Z315+AB315+AD315+AF315)</f>
        <v/>
      </c>
      <c r="E315" s="70" t="str">
        <f>IF($A315="","",CHOOSE('Calc riepilogo'!$B$2,'Calc valanga'!$H338,'Calc palla di neve'!$H338,'Calc personalizzata'!$H338))</f>
        <v/>
      </c>
      <c r="F315" s="71" t="str">
        <f>IF($A315="","",CHOOSE('Calc riepilogo'!$B$2,'Calc valanga'!$G338,'Calc palla di neve'!$G338,'Calc personalizzata'!$G338))</f>
        <v/>
      </c>
      <c r="G315" s="72" t="n"/>
      <c r="H315" s="73" t="n"/>
      <c r="I315" s="74" t="str">
        <f>IF($A315="","",TRIM(IF(AND(N(K314)&gt;0,N(K315)&lt;=0.004),"✓ "&amp;'Calc base'!C$6&amp;"   ","")&amp;IF(AND(N(M314)&gt;0,N(M315)&lt;=0.004),"✓ "&amp;'Calc base'!D$6&amp;"   ","")&amp;IF(AND(N(O314)&gt;0,N(O315)&lt;=0.004),"✓ "&amp;'Calc base'!E$6&amp;"   ","")&amp;IF(AND(N(Q314)&gt;0,N(Q315)&lt;=0.004),"✓ "&amp;'Calc base'!F$6&amp;"   ","")&amp;IF(AND(N(S314)&gt;0,N(S315)&lt;=0.004),"✓ "&amp;'Calc base'!G$6&amp;"   ","")&amp;IF(AND(N(U314)&gt;0,N(U315)&lt;=0.004),"✓ "&amp;'Calc base'!H$6&amp;"   ","")&amp;IF(AND(N(W314)&gt;0,N(W315)&lt;=0.004),"✓ "&amp;'Calc base'!I$6&amp;"   ","")&amp;IF(AND(N(Y314)&gt;0,N(Y315)&lt;=0.004),"✓ "&amp;'Calc base'!J$6&amp;"   ","")&amp;IF(AND(N(AA314)&gt;0,N(AA315)&lt;=0.004),"✓ "&amp;'Calc base'!K$6&amp;"   ","")&amp;IF(AND(N(AC314)&gt;0,N(AC315)&lt;=0.004),"✓ "&amp;'Calc base'!L$6&amp;"   ","")&amp;IF(AND(N(AE314)&gt;0,N(AE315)&lt;=0.004),"✓ "&amp;'Calc base'!M$6&amp;"   ","")&amp;IF(AND(N(AG314)&gt;0,N(AG315)&lt;=0.004),"✓ "&amp;'Calc base'!N$6&amp;"   ","")))</f>
        <v/>
      </c>
      <c r="J315" s="70" t="str">
        <f>IF($A315="","",ROUND(N(K314)*(1+'Calc base'!H338),2)-K315)</f>
        <v/>
      </c>
      <c r="K315" s="75" t="str">
        <f>IF($A315="","",CHOOSE('Calc riepilogo'!$B$2,'Calc valanga'!AT338,'Calc palla di neve'!AT338,'Calc personalizzata'!AT338))</f>
        <v/>
      </c>
      <c r="L315" s="70" t="str">
        <f>IF($A315="","",ROUND(N(M314)*(1+'Calc base'!I338),2)-M315)</f>
        <v/>
      </c>
      <c r="M315" s="75" t="str">
        <f>IF($A315="","",CHOOSE('Calc riepilogo'!$B$2,'Calc valanga'!AU338,'Calc palla di neve'!AU338,'Calc personalizzata'!AU338))</f>
        <v/>
      </c>
      <c r="N315" s="70" t="str">
        <f>IF($A315="","",ROUND(N(O314)*(1+'Calc base'!J338),2)-O315)</f>
        <v/>
      </c>
      <c r="O315" s="75" t="str">
        <f>IF($A315="","",CHOOSE('Calc riepilogo'!$B$2,'Calc valanga'!AV338,'Calc palla di neve'!AV338,'Calc personalizzata'!AV338))</f>
        <v/>
      </c>
      <c r="P315" s="70" t="str">
        <f>IF($A315="","",ROUND(N(Q314)*(1+'Calc base'!K338),2)-Q315)</f>
        <v/>
      </c>
      <c r="Q315" s="75" t="str">
        <f>IF($A315="","",CHOOSE('Calc riepilogo'!$B$2,'Calc valanga'!AW338,'Calc palla di neve'!AW338,'Calc personalizzata'!AW338))</f>
        <v/>
      </c>
      <c r="R315" s="70" t="str">
        <f>IF($A315="","",ROUND(N(S314)*(1+'Calc base'!L338),2)-S315)</f>
        <v/>
      </c>
      <c r="S315" s="75" t="str">
        <f>IF($A315="","",CHOOSE('Calc riepilogo'!$B$2,'Calc valanga'!AX338,'Calc palla di neve'!AX338,'Calc personalizzata'!AX338))</f>
        <v/>
      </c>
      <c r="T315" s="70" t="str">
        <f>IF($A315="","",ROUND(N(U314)*(1+'Calc base'!M338),2)-U315)</f>
        <v/>
      </c>
      <c r="U315" s="75" t="str">
        <f>IF($A315="","",CHOOSE('Calc riepilogo'!$B$2,'Calc valanga'!AY338,'Calc palla di neve'!AY338,'Calc personalizzata'!AY338))</f>
        <v/>
      </c>
      <c r="V315" s="70" t="str">
        <f>IF($A315="","",ROUND(N(W314)*(1+'Calc base'!N338),2)-W315)</f>
        <v/>
      </c>
      <c r="W315" s="75" t="str">
        <f>IF($A315="","",CHOOSE('Calc riepilogo'!$B$2,'Calc valanga'!AZ338,'Calc palla di neve'!AZ338,'Calc personalizzata'!AZ338))</f>
        <v/>
      </c>
      <c r="X315" s="70" t="str">
        <f>IF($A315="","",ROUND(N(Y314)*(1+'Calc base'!O338),2)-Y315)</f>
        <v/>
      </c>
      <c r="Y315" s="75" t="str">
        <f>IF($A315="","",CHOOSE('Calc riepilogo'!$B$2,'Calc valanga'!BA338,'Calc palla di neve'!BA338,'Calc personalizzata'!BA338))</f>
        <v/>
      </c>
      <c r="Z315" s="70" t="str">
        <f>IF($A315="","",ROUND(N(AA314)*(1+'Calc base'!P338),2)-AA315)</f>
        <v/>
      </c>
      <c r="AA315" s="75" t="str">
        <f>IF($A315="","",CHOOSE('Calc riepilogo'!$B$2,'Calc valanga'!BB338,'Calc palla di neve'!BB338,'Calc personalizzata'!BB338))</f>
        <v/>
      </c>
      <c r="AB315" s="70" t="str">
        <f>IF($A315="","",ROUND(N(AC314)*(1+'Calc base'!Q338),2)-AC315)</f>
        <v/>
      </c>
      <c r="AC315" s="75" t="str">
        <f>IF($A315="","",CHOOSE('Calc riepilogo'!$B$2,'Calc valanga'!BC338,'Calc palla di neve'!BC338,'Calc personalizzata'!BC338))</f>
        <v/>
      </c>
      <c r="AD315" s="70" t="str">
        <f>IF($A315="","",ROUND(N(AE314)*(1+'Calc base'!R338),2)-AE315)</f>
        <v/>
      </c>
      <c r="AE315" s="75" t="str">
        <f>IF($A315="","",CHOOSE('Calc riepilogo'!$B$2,'Calc valanga'!BD338,'Calc palla di neve'!BD338,'Calc personalizzata'!BD338))</f>
        <v/>
      </c>
      <c r="AF315" s="70" t="str">
        <f>IF($A315="","",ROUND(N(AG314)*(1+'Calc base'!S338),2)-AG315)</f>
        <v/>
      </c>
      <c r="AG315" s="75" t="str">
        <f>IF($A315="","",CHOOSE('Calc riepilogo'!$B$2,'Calc valanga'!BE338,'Calc palla di neve'!BE338,'Calc personalizzata'!BE338))</f>
        <v/>
      </c>
      <c r="AI315" t="n">
        <v>308</v>
      </c>
    </row>
    <row r="316">
      <c r="A316" s="68" t="str">
        <f>IF(309&gt;'Calc riepilogo'!$B$7,"",'Calc base'!$B339)</f>
        <v/>
      </c>
      <c r="B316" s="69" t="str">
        <f>IF($A316="","",'Calc base'!$C339)</f>
        <v/>
      </c>
      <c r="C316" s="69" t="str">
        <f>IF($A316="","",'Calc base'!$E339)</f>
        <v/>
      </c>
      <c r="D316" s="70" t="str">
        <f>IF($A316="","",J316+L316+N316+P316+R316+T316+V316+X316+Z316+AB316+AD316+AF316)</f>
        <v/>
      </c>
      <c r="E316" s="70" t="str">
        <f>IF($A316="","",CHOOSE('Calc riepilogo'!$B$2,'Calc valanga'!$H339,'Calc palla di neve'!$H339,'Calc personalizzata'!$H339))</f>
        <v/>
      </c>
      <c r="F316" s="71" t="str">
        <f>IF($A316="","",CHOOSE('Calc riepilogo'!$B$2,'Calc valanga'!$G339,'Calc palla di neve'!$G339,'Calc personalizzata'!$G339))</f>
        <v/>
      </c>
      <c r="G316" s="72" t="n"/>
      <c r="H316" s="73" t="n"/>
      <c r="I316" s="74" t="str">
        <f>IF($A316="","",TRIM(IF(AND(N(K315)&gt;0,N(K316)&lt;=0.004),"✓ "&amp;'Calc base'!C$6&amp;"   ","")&amp;IF(AND(N(M315)&gt;0,N(M316)&lt;=0.004),"✓ "&amp;'Calc base'!D$6&amp;"   ","")&amp;IF(AND(N(O315)&gt;0,N(O316)&lt;=0.004),"✓ "&amp;'Calc base'!E$6&amp;"   ","")&amp;IF(AND(N(Q315)&gt;0,N(Q316)&lt;=0.004),"✓ "&amp;'Calc base'!F$6&amp;"   ","")&amp;IF(AND(N(S315)&gt;0,N(S316)&lt;=0.004),"✓ "&amp;'Calc base'!G$6&amp;"   ","")&amp;IF(AND(N(U315)&gt;0,N(U316)&lt;=0.004),"✓ "&amp;'Calc base'!H$6&amp;"   ","")&amp;IF(AND(N(W315)&gt;0,N(W316)&lt;=0.004),"✓ "&amp;'Calc base'!I$6&amp;"   ","")&amp;IF(AND(N(Y315)&gt;0,N(Y316)&lt;=0.004),"✓ "&amp;'Calc base'!J$6&amp;"   ","")&amp;IF(AND(N(AA315)&gt;0,N(AA316)&lt;=0.004),"✓ "&amp;'Calc base'!K$6&amp;"   ","")&amp;IF(AND(N(AC315)&gt;0,N(AC316)&lt;=0.004),"✓ "&amp;'Calc base'!L$6&amp;"   ","")&amp;IF(AND(N(AE315)&gt;0,N(AE316)&lt;=0.004),"✓ "&amp;'Calc base'!M$6&amp;"   ","")&amp;IF(AND(N(AG315)&gt;0,N(AG316)&lt;=0.004),"✓ "&amp;'Calc base'!N$6&amp;"   ","")))</f>
        <v/>
      </c>
      <c r="J316" s="70" t="str">
        <f>IF($A316="","",ROUND(N(K315)*(1+'Calc base'!H339),2)-K316)</f>
        <v/>
      </c>
      <c r="K316" s="75" t="str">
        <f>IF($A316="","",CHOOSE('Calc riepilogo'!$B$2,'Calc valanga'!AT339,'Calc palla di neve'!AT339,'Calc personalizzata'!AT339))</f>
        <v/>
      </c>
      <c r="L316" s="70" t="str">
        <f>IF($A316="","",ROUND(N(M315)*(1+'Calc base'!I339),2)-M316)</f>
        <v/>
      </c>
      <c r="M316" s="75" t="str">
        <f>IF($A316="","",CHOOSE('Calc riepilogo'!$B$2,'Calc valanga'!AU339,'Calc palla di neve'!AU339,'Calc personalizzata'!AU339))</f>
        <v/>
      </c>
      <c r="N316" s="70" t="str">
        <f>IF($A316="","",ROUND(N(O315)*(1+'Calc base'!J339),2)-O316)</f>
        <v/>
      </c>
      <c r="O316" s="75" t="str">
        <f>IF($A316="","",CHOOSE('Calc riepilogo'!$B$2,'Calc valanga'!AV339,'Calc palla di neve'!AV339,'Calc personalizzata'!AV339))</f>
        <v/>
      </c>
      <c r="P316" s="70" t="str">
        <f>IF($A316="","",ROUND(N(Q315)*(1+'Calc base'!K339),2)-Q316)</f>
        <v/>
      </c>
      <c r="Q316" s="75" t="str">
        <f>IF($A316="","",CHOOSE('Calc riepilogo'!$B$2,'Calc valanga'!AW339,'Calc palla di neve'!AW339,'Calc personalizzata'!AW339))</f>
        <v/>
      </c>
      <c r="R316" s="70" t="str">
        <f>IF($A316="","",ROUND(N(S315)*(1+'Calc base'!L339),2)-S316)</f>
        <v/>
      </c>
      <c r="S316" s="75" t="str">
        <f>IF($A316="","",CHOOSE('Calc riepilogo'!$B$2,'Calc valanga'!AX339,'Calc palla di neve'!AX339,'Calc personalizzata'!AX339))</f>
        <v/>
      </c>
      <c r="T316" s="70" t="str">
        <f>IF($A316="","",ROUND(N(U315)*(1+'Calc base'!M339),2)-U316)</f>
        <v/>
      </c>
      <c r="U316" s="75" t="str">
        <f>IF($A316="","",CHOOSE('Calc riepilogo'!$B$2,'Calc valanga'!AY339,'Calc palla di neve'!AY339,'Calc personalizzata'!AY339))</f>
        <v/>
      </c>
      <c r="V316" s="70" t="str">
        <f>IF($A316="","",ROUND(N(W315)*(1+'Calc base'!N339),2)-W316)</f>
        <v/>
      </c>
      <c r="W316" s="75" t="str">
        <f>IF($A316="","",CHOOSE('Calc riepilogo'!$B$2,'Calc valanga'!AZ339,'Calc palla di neve'!AZ339,'Calc personalizzata'!AZ339))</f>
        <v/>
      </c>
      <c r="X316" s="70" t="str">
        <f>IF($A316="","",ROUND(N(Y315)*(1+'Calc base'!O339),2)-Y316)</f>
        <v/>
      </c>
      <c r="Y316" s="75" t="str">
        <f>IF($A316="","",CHOOSE('Calc riepilogo'!$B$2,'Calc valanga'!BA339,'Calc palla di neve'!BA339,'Calc personalizzata'!BA339))</f>
        <v/>
      </c>
      <c r="Z316" s="70" t="str">
        <f>IF($A316="","",ROUND(N(AA315)*(1+'Calc base'!P339),2)-AA316)</f>
        <v/>
      </c>
      <c r="AA316" s="75" t="str">
        <f>IF($A316="","",CHOOSE('Calc riepilogo'!$B$2,'Calc valanga'!BB339,'Calc palla di neve'!BB339,'Calc personalizzata'!BB339))</f>
        <v/>
      </c>
      <c r="AB316" s="70" t="str">
        <f>IF($A316="","",ROUND(N(AC315)*(1+'Calc base'!Q339),2)-AC316)</f>
        <v/>
      </c>
      <c r="AC316" s="75" t="str">
        <f>IF($A316="","",CHOOSE('Calc riepilogo'!$B$2,'Calc valanga'!BC339,'Calc palla di neve'!BC339,'Calc personalizzata'!BC339))</f>
        <v/>
      </c>
      <c r="AD316" s="70" t="str">
        <f>IF($A316="","",ROUND(N(AE315)*(1+'Calc base'!R339),2)-AE316)</f>
        <v/>
      </c>
      <c r="AE316" s="75" t="str">
        <f>IF($A316="","",CHOOSE('Calc riepilogo'!$B$2,'Calc valanga'!BD339,'Calc palla di neve'!BD339,'Calc personalizzata'!BD339))</f>
        <v/>
      </c>
      <c r="AF316" s="70" t="str">
        <f>IF($A316="","",ROUND(N(AG315)*(1+'Calc base'!S339),2)-AG316)</f>
        <v/>
      </c>
      <c r="AG316" s="75" t="str">
        <f>IF($A316="","",CHOOSE('Calc riepilogo'!$B$2,'Calc valanga'!BE339,'Calc palla di neve'!BE339,'Calc personalizzata'!BE339))</f>
        <v/>
      </c>
      <c r="AI316" t="n">
        <v>309</v>
      </c>
    </row>
    <row r="317">
      <c r="A317" s="68" t="str">
        <f>IF(310&gt;'Calc riepilogo'!$B$7,"",'Calc base'!$B340)</f>
        <v/>
      </c>
      <c r="B317" s="69" t="str">
        <f>IF($A317="","",'Calc base'!$C340)</f>
        <v/>
      </c>
      <c r="C317" s="69" t="str">
        <f>IF($A317="","",'Calc base'!$E340)</f>
        <v/>
      </c>
      <c r="D317" s="70" t="str">
        <f>IF($A317="","",J317+L317+N317+P317+R317+T317+V317+X317+Z317+AB317+AD317+AF317)</f>
        <v/>
      </c>
      <c r="E317" s="70" t="str">
        <f>IF($A317="","",CHOOSE('Calc riepilogo'!$B$2,'Calc valanga'!$H340,'Calc palla di neve'!$H340,'Calc personalizzata'!$H340))</f>
        <v/>
      </c>
      <c r="F317" s="71" t="str">
        <f>IF($A317="","",CHOOSE('Calc riepilogo'!$B$2,'Calc valanga'!$G340,'Calc palla di neve'!$G340,'Calc personalizzata'!$G340))</f>
        <v/>
      </c>
      <c r="G317" s="72" t="n"/>
      <c r="H317" s="73" t="n"/>
      <c r="I317" s="74" t="str">
        <f>IF($A317="","",TRIM(IF(AND(N(K316)&gt;0,N(K317)&lt;=0.004),"✓ "&amp;'Calc base'!C$6&amp;"   ","")&amp;IF(AND(N(M316)&gt;0,N(M317)&lt;=0.004),"✓ "&amp;'Calc base'!D$6&amp;"   ","")&amp;IF(AND(N(O316)&gt;0,N(O317)&lt;=0.004),"✓ "&amp;'Calc base'!E$6&amp;"   ","")&amp;IF(AND(N(Q316)&gt;0,N(Q317)&lt;=0.004),"✓ "&amp;'Calc base'!F$6&amp;"   ","")&amp;IF(AND(N(S316)&gt;0,N(S317)&lt;=0.004),"✓ "&amp;'Calc base'!G$6&amp;"   ","")&amp;IF(AND(N(U316)&gt;0,N(U317)&lt;=0.004),"✓ "&amp;'Calc base'!H$6&amp;"   ","")&amp;IF(AND(N(W316)&gt;0,N(W317)&lt;=0.004),"✓ "&amp;'Calc base'!I$6&amp;"   ","")&amp;IF(AND(N(Y316)&gt;0,N(Y317)&lt;=0.004),"✓ "&amp;'Calc base'!J$6&amp;"   ","")&amp;IF(AND(N(AA316)&gt;0,N(AA317)&lt;=0.004),"✓ "&amp;'Calc base'!K$6&amp;"   ","")&amp;IF(AND(N(AC316)&gt;0,N(AC317)&lt;=0.004),"✓ "&amp;'Calc base'!L$6&amp;"   ","")&amp;IF(AND(N(AE316)&gt;0,N(AE317)&lt;=0.004),"✓ "&amp;'Calc base'!M$6&amp;"   ","")&amp;IF(AND(N(AG316)&gt;0,N(AG317)&lt;=0.004),"✓ "&amp;'Calc base'!N$6&amp;"   ","")))</f>
        <v/>
      </c>
      <c r="J317" s="70" t="str">
        <f>IF($A317="","",ROUND(N(K316)*(1+'Calc base'!H340),2)-K317)</f>
        <v/>
      </c>
      <c r="K317" s="75" t="str">
        <f>IF($A317="","",CHOOSE('Calc riepilogo'!$B$2,'Calc valanga'!AT340,'Calc palla di neve'!AT340,'Calc personalizzata'!AT340))</f>
        <v/>
      </c>
      <c r="L317" s="70" t="str">
        <f>IF($A317="","",ROUND(N(M316)*(1+'Calc base'!I340),2)-M317)</f>
        <v/>
      </c>
      <c r="M317" s="75" t="str">
        <f>IF($A317="","",CHOOSE('Calc riepilogo'!$B$2,'Calc valanga'!AU340,'Calc palla di neve'!AU340,'Calc personalizzata'!AU340))</f>
        <v/>
      </c>
      <c r="N317" s="70" t="str">
        <f>IF($A317="","",ROUND(N(O316)*(1+'Calc base'!J340),2)-O317)</f>
        <v/>
      </c>
      <c r="O317" s="75" t="str">
        <f>IF($A317="","",CHOOSE('Calc riepilogo'!$B$2,'Calc valanga'!AV340,'Calc palla di neve'!AV340,'Calc personalizzata'!AV340))</f>
        <v/>
      </c>
      <c r="P317" s="70" t="str">
        <f>IF($A317="","",ROUND(N(Q316)*(1+'Calc base'!K340),2)-Q317)</f>
        <v/>
      </c>
      <c r="Q317" s="75" t="str">
        <f>IF($A317="","",CHOOSE('Calc riepilogo'!$B$2,'Calc valanga'!AW340,'Calc palla di neve'!AW340,'Calc personalizzata'!AW340))</f>
        <v/>
      </c>
      <c r="R317" s="70" t="str">
        <f>IF($A317="","",ROUND(N(S316)*(1+'Calc base'!L340),2)-S317)</f>
        <v/>
      </c>
      <c r="S317" s="75" t="str">
        <f>IF($A317="","",CHOOSE('Calc riepilogo'!$B$2,'Calc valanga'!AX340,'Calc palla di neve'!AX340,'Calc personalizzata'!AX340))</f>
        <v/>
      </c>
      <c r="T317" s="70" t="str">
        <f>IF($A317="","",ROUND(N(U316)*(1+'Calc base'!M340),2)-U317)</f>
        <v/>
      </c>
      <c r="U317" s="75" t="str">
        <f>IF($A317="","",CHOOSE('Calc riepilogo'!$B$2,'Calc valanga'!AY340,'Calc palla di neve'!AY340,'Calc personalizzata'!AY340))</f>
        <v/>
      </c>
      <c r="V317" s="70" t="str">
        <f>IF($A317="","",ROUND(N(W316)*(1+'Calc base'!N340),2)-W317)</f>
        <v/>
      </c>
      <c r="W317" s="75" t="str">
        <f>IF($A317="","",CHOOSE('Calc riepilogo'!$B$2,'Calc valanga'!AZ340,'Calc palla di neve'!AZ340,'Calc personalizzata'!AZ340))</f>
        <v/>
      </c>
      <c r="X317" s="70" t="str">
        <f>IF($A317="","",ROUND(N(Y316)*(1+'Calc base'!O340),2)-Y317)</f>
        <v/>
      </c>
      <c r="Y317" s="75" t="str">
        <f>IF($A317="","",CHOOSE('Calc riepilogo'!$B$2,'Calc valanga'!BA340,'Calc palla di neve'!BA340,'Calc personalizzata'!BA340))</f>
        <v/>
      </c>
      <c r="Z317" s="70" t="str">
        <f>IF($A317="","",ROUND(N(AA316)*(1+'Calc base'!P340),2)-AA317)</f>
        <v/>
      </c>
      <c r="AA317" s="75" t="str">
        <f>IF($A317="","",CHOOSE('Calc riepilogo'!$B$2,'Calc valanga'!BB340,'Calc palla di neve'!BB340,'Calc personalizzata'!BB340))</f>
        <v/>
      </c>
      <c r="AB317" s="70" t="str">
        <f>IF($A317="","",ROUND(N(AC316)*(1+'Calc base'!Q340),2)-AC317)</f>
        <v/>
      </c>
      <c r="AC317" s="75" t="str">
        <f>IF($A317="","",CHOOSE('Calc riepilogo'!$B$2,'Calc valanga'!BC340,'Calc palla di neve'!BC340,'Calc personalizzata'!BC340))</f>
        <v/>
      </c>
      <c r="AD317" s="70" t="str">
        <f>IF($A317="","",ROUND(N(AE316)*(1+'Calc base'!R340),2)-AE317)</f>
        <v/>
      </c>
      <c r="AE317" s="75" t="str">
        <f>IF($A317="","",CHOOSE('Calc riepilogo'!$B$2,'Calc valanga'!BD340,'Calc palla di neve'!BD340,'Calc personalizzata'!BD340))</f>
        <v/>
      </c>
      <c r="AF317" s="70" t="str">
        <f>IF($A317="","",ROUND(N(AG316)*(1+'Calc base'!S340),2)-AG317)</f>
        <v/>
      </c>
      <c r="AG317" s="75" t="str">
        <f>IF($A317="","",CHOOSE('Calc riepilogo'!$B$2,'Calc valanga'!BE340,'Calc palla di neve'!BE340,'Calc personalizzata'!BE340))</f>
        <v/>
      </c>
      <c r="AI317" t="n">
        <v>310</v>
      </c>
    </row>
    <row r="318">
      <c r="A318" s="68" t="str">
        <f>IF(311&gt;'Calc riepilogo'!$B$7,"",'Calc base'!$B341)</f>
        <v/>
      </c>
      <c r="B318" s="69" t="str">
        <f>IF($A318="","",'Calc base'!$C341)</f>
        <v/>
      </c>
      <c r="C318" s="69" t="str">
        <f>IF($A318="","",'Calc base'!$E341)</f>
        <v/>
      </c>
      <c r="D318" s="70" t="str">
        <f>IF($A318="","",J318+L318+N318+P318+R318+T318+V318+X318+Z318+AB318+AD318+AF318)</f>
        <v/>
      </c>
      <c r="E318" s="70" t="str">
        <f>IF($A318="","",CHOOSE('Calc riepilogo'!$B$2,'Calc valanga'!$H341,'Calc palla di neve'!$H341,'Calc personalizzata'!$H341))</f>
        <v/>
      </c>
      <c r="F318" s="71" t="str">
        <f>IF($A318="","",CHOOSE('Calc riepilogo'!$B$2,'Calc valanga'!$G341,'Calc palla di neve'!$G341,'Calc personalizzata'!$G341))</f>
        <v/>
      </c>
      <c r="G318" s="72" t="n"/>
      <c r="H318" s="73" t="n"/>
      <c r="I318" s="74" t="str">
        <f>IF($A318="","",TRIM(IF(AND(N(K317)&gt;0,N(K318)&lt;=0.004),"✓ "&amp;'Calc base'!C$6&amp;"   ","")&amp;IF(AND(N(M317)&gt;0,N(M318)&lt;=0.004),"✓ "&amp;'Calc base'!D$6&amp;"   ","")&amp;IF(AND(N(O317)&gt;0,N(O318)&lt;=0.004),"✓ "&amp;'Calc base'!E$6&amp;"   ","")&amp;IF(AND(N(Q317)&gt;0,N(Q318)&lt;=0.004),"✓ "&amp;'Calc base'!F$6&amp;"   ","")&amp;IF(AND(N(S317)&gt;0,N(S318)&lt;=0.004),"✓ "&amp;'Calc base'!G$6&amp;"   ","")&amp;IF(AND(N(U317)&gt;0,N(U318)&lt;=0.004),"✓ "&amp;'Calc base'!H$6&amp;"   ","")&amp;IF(AND(N(W317)&gt;0,N(W318)&lt;=0.004),"✓ "&amp;'Calc base'!I$6&amp;"   ","")&amp;IF(AND(N(Y317)&gt;0,N(Y318)&lt;=0.004),"✓ "&amp;'Calc base'!J$6&amp;"   ","")&amp;IF(AND(N(AA317)&gt;0,N(AA318)&lt;=0.004),"✓ "&amp;'Calc base'!K$6&amp;"   ","")&amp;IF(AND(N(AC317)&gt;0,N(AC318)&lt;=0.004),"✓ "&amp;'Calc base'!L$6&amp;"   ","")&amp;IF(AND(N(AE317)&gt;0,N(AE318)&lt;=0.004),"✓ "&amp;'Calc base'!M$6&amp;"   ","")&amp;IF(AND(N(AG317)&gt;0,N(AG318)&lt;=0.004),"✓ "&amp;'Calc base'!N$6&amp;"   ","")))</f>
        <v/>
      </c>
      <c r="J318" s="70" t="str">
        <f>IF($A318="","",ROUND(N(K317)*(1+'Calc base'!H341),2)-K318)</f>
        <v/>
      </c>
      <c r="K318" s="75" t="str">
        <f>IF($A318="","",CHOOSE('Calc riepilogo'!$B$2,'Calc valanga'!AT341,'Calc palla di neve'!AT341,'Calc personalizzata'!AT341))</f>
        <v/>
      </c>
      <c r="L318" s="70" t="str">
        <f>IF($A318="","",ROUND(N(M317)*(1+'Calc base'!I341),2)-M318)</f>
        <v/>
      </c>
      <c r="M318" s="75" t="str">
        <f>IF($A318="","",CHOOSE('Calc riepilogo'!$B$2,'Calc valanga'!AU341,'Calc palla di neve'!AU341,'Calc personalizzata'!AU341))</f>
        <v/>
      </c>
      <c r="N318" s="70" t="str">
        <f>IF($A318="","",ROUND(N(O317)*(1+'Calc base'!J341),2)-O318)</f>
        <v/>
      </c>
      <c r="O318" s="75" t="str">
        <f>IF($A318="","",CHOOSE('Calc riepilogo'!$B$2,'Calc valanga'!AV341,'Calc palla di neve'!AV341,'Calc personalizzata'!AV341))</f>
        <v/>
      </c>
      <c r="P318" s="70" t="str">
        <f>IF($A318="","",ROUND(N(Q317)*(1+'Calc base'!K341),2)-Q318)</f>
        <v/>
      </c>
      <c r="Q318" s="75" t="str">
        <f>IF($A318="","",CHOOSE('Calc riepilogo'!$B$2,'Calc valanga'!AW341,'Calc palla di neve'!AW341,'Calc personalizzata'!AW341))</f>
        <v/>
      </c>
      <c r="R318" s="70" t="str">
        <f>IF($A318="","",ROUND(N(S317)*(1+'Calc base'!L341),2)-S318)</f>
        <v/>
      </c>
      <c r="S318" s="75" t="str">
        <f>IF($A318="","",CHOOSE('Calc riepilogo'!$B$2,'Calc valanga'!AX341,'Calc palla di neve'!AX341,'Calc personalizzata'!AX341))</f>
        <v/>
      </c>
      <c r="T318" s="70" t="str">
        <f>IF($A318="","",ROUND(N(U317)*(1+'Calc base'!M341),2)-U318)</f>
        <v/>
      </c>
      <c r="U318" s="75" t="str">
        <f>IF($A318="","",CHOOSE('Calc riepilogo'!$B$2,'Calc valanga'!AY341,'Calc palla di neve'!AY341,'Calc personalizzata'!AY341))</f>
        <v/>
      </c>
      <c r="V318" s="70" t="str">
        <f>IF($A318="","",ROUND(N(W317)*(1+'Calc base'!N341),2)-W318)</f>
        <v/>
      </c>
      <c r="W318" s="75" t="str">
        <f>IF($A318="","",CHOOSE('Calc riepilogo'!$B$2,'Calc valanga'!AZ341,'Calc palla di neve'!AZ341,'Calc personalizzata'!AZ341))</f>
        <v/>
      </c>
      <c r="X318" s="70" t="str">
        <f>IF($A318="","",ROUND(N(Y317)*(1+'Calc base'!O341),2)-Y318)</f>
        <v/>
      </c>
      <c r="Y318" s="75" t="str">
        <f>IF($A318="","",CHOOSE('Calc riepilogo'!$B$2,'Calc valanga'!BA341,'Calc palla di neve'!BA341,'Calc personalizzata'!BA341))</f>
        <v/>
      </c>
      <c r="Z318" s="70" t="str">
        <f>IF($A318="","",ROUND(N(AA317)*(1+'Calc base'!P341),2)-AA318)</f>
        <v/>
      </c>
      <c r="AA318" s="75" t="str">
        <f>IF($A318="","",CHOOSE('Calc riepilogo'!$B$2,'Calc valanga'!BB341,'Calc palla di neve'!BB341,'Calc personalizzata'!BB341))</f>
        <v/>
      </c>
      <c r="AB318" s="70" t="str">
        <f>IF($A318="","",ROUND(N(AC317)*(1+'Calc base'!Q341),2)-AC318)</f>
        <v/>
      </c>
      <c r="AC318" s="75" t="str">
        <f>IF($A318="","",CHOOSE('Calc riepilogo'!$B$2,'Calc valanga'!BC341,'Calc palla di neve'!BC341,'Calc personalizzata'!BC341))</f>
        <v/>
      </c>
      <c r="AD318" s="70" t="str">
        <f>IF($A318="","",ROUND(N(AE317)*(1+'Calc base'!R341),2)-AE318)</f>
        <v/>
      </c>
      <c r="AE318" s="75" t="str">
        <f>IF($A318="","",CHOOSE('Calc riepilogo'!$B$2,'Calc valanga'!BD341,'Calc palla di neve'!BD341,'Calc personalizzata'!BD341))</f>
        <v/>
      </c>
      <c r="AF318" s="70" t="str">
        <f>IF($A318="","",ROUND(N(AG317)*(1+'Calc base'!S341),2)-AG318)</f>
        <v/>
      </c>
      <c r="AG318" s="75" t="str">
        <f>IF($A318="","",CHOOSE('Calc riepilogo'!$B$2,'Calc valanga'!BE341,'Calc palla di neve'!BE341,'Calc personalizzata'!BE341))</f>
        <v/>
      </c>
      <c r="AI318" t="n">
        <v>311</v>
      </c>
    </row>
    <row r="319">
      <c r="A319" s="68" t="str">
        <f>IF(312&gt;'Calc riepilogo'!$B$7,"",'Calc base'!$B342)</f>
        <v/>
      </c>
      <c r="B319" s="69" t="str">
        <f>IF($A319="","",'Calc base'!$C342)</f>
        <v/>
      </c>
      <c r="C319" s="69" t="str">
        <f>IF($A319="","",'Calc base'!$E342)</f>
        <v/>
      </c>
      <c r="D319" s="70" t="str">
        <f>IF($A319="","",J319+L319+N319+P319+R319+T319+V319+X319+Z319+AB319+AD319+AF319)</f>
        <v/>
      </c>
      <c r="E319" s="70" t="str">
        <f>IF($A319="","",CHOOSE('Calc riepilogo'!$B$2,'Calc valanga'!$H342,'Calc palla di neve'!$H342,'Calc personalizzata'!$H342))</f>
        <v/>
      </c>
      <c r="F319" s="71" t="str">
        <f>IF($A319="","",CHOOSE('Calc riepilogo'!$B$2,'Calc valanga'!$G342,'Calc palla di neve'!$G342,'Calc personalizzata'!$G342))</f>
        <v/>
      </c>
      <c r="G319" s="72" t="n"/>
      <c r="H319" s="73" t="n"/>
      <c r="I319" s="74" t="str">
        <f>IF($A319="","",TRIM(IF(AND(N(K318)&gt;0,N(K319)&lt;=0.004),"✓ "&amp;'Calc base'!C$6&amp;"   ","")&amp;IF(AND(N(M318)&gt;0,N(M319)&lt;=0.004),"✓ "&amp;'Calc base'!D$6&amp;"   ","")&amp;IF(AND(N(O318)&gt;0,N(O319)&lt;=0.004),"✓ "&amp;'Calc base'!E$6&amp;"   ","")&amp;IF(AND(N(Q318)&gt;0,N(Q319)&lt;=0.004),"✓ "&amp;'Calc base'!F$6&amp;"   ","")&amp;IF(AND(N(S318)&gt;0,N(S319)&lt;=0.004),"✓ "&amp;'Calc base'!G$6&amp;"   ","")&amp;IF(AND(N(U318)&gt;0,N(U319)&lt;=0.004),"✓ "&amp;'Calc base'!H$6&amp;"   ","")&amp;IF(AND(N(W318)&gt;0,N(W319)&lt;=0.004),"✓ "&amp;'Calc base'!I$6&amp;"   ","")&amp;IF(AND(N(Y318)&gt;0,N(Y319)&lt;=0.004),"✓ "&amp;'Calc base'!J$6&amp;"   ","")&amp;IF(AND(N(AA318)&gt;0,N(AA319)&lt;=0.004),"✓ "&amp;'Calc base'!K$6&amp;"   ","")&amp;IF(AND(N(AC318)&gt;0,N(AC319)&lt;=0.004),"✓ "&amp;'Calc base'!L$6&amp;"   ","")&amp;IF(AND(N(AE318)&gt;0,N(AE319)&lt;=0.004),"✓ "&amp;'Calc base'!M$6&amp;"   ","")&amp;IF(AND(N(AG318)&gt;0,N(AG319)&lt;=0.004),"✓ "&amp;'Calc base'!N$6&amp;"   ","")))</f>
        <v/>
      </c>
      <c r="J319" s="70" t="str">
        <f>IF($A319="","",ROUND(N(K318)*(1+'Calc base'!H342),2)-K319)</f>
        <v/>
      </c>
      <c r="K319" s="75" t="str">
        <f>IF($A319="","",CHOOSE('Calc riepilogo'!$B$2,'Calc valanga'!AT342,'Calc palla di neve'!AT342,'Calc personalizzata'!AT342))</f>
        <v/>
      </c>
      <c r="L319" s="70" t="str">
        <f>IF($A319="","",ROUND(N(M318)*(1+'Calc base'!I342),2)-M319)</f>
        <v/>
      </c>
      <c r="M319" s="75" t="str">
        <f>IF($A319="","",CHOOSE('Calc riepilogo'!$B$2,'Calc valanga'!AU342,'Calc palla di neve'!AU342,'Calc personalizzata'!AU342))</f>
        <v/>
      </c>
      <c r="N319" s="70" t="str">
        <f>IF($A319="","",ROUND(N(O318)*(1+'Calc base'!J342),2)-O319)</f>
        <v/>
      </c>
      <c r="O319" s="75" t="str">
        <f>IF($A319="","",CHOOSE('Calc riepilogo'!$B$2,'Calc valanga'!AV342,'Calc palla di neve'!AV342,'Calc personalizzata'!AV342))</f>
        <v/>
      </c>
      <c r="P319" s="70" t="str">
        <f>IF($A319="","",ROUND(N(Q318)*(1+'Calc base'!K342),2)-Q319)</f>
        <v/>
      </c>
      <c r="Q319" s="75" t="str">
        <f>IF($A319="","",CHOOSE('Calc riepilogo'!$B$2,'Calc valanga'!AW342,'Calc palla di neve'!AW342,'Calc personalizzata'!AW342))</f>
        <v/>
      </c>
      <c r="R319" s="70" t="str">
        <f>IF($A319="","",ROUND(N(S318)*(1+'Calc base'!L342),2)-S319)</f>
        <v/>
      </c>
      <c r="S319" s="75" t="str">
        <f>IF($A319="","",CHOOSE('Calc riepilogo'!$B$2,'Calc valanga'!AX342,'Calc palla di neve'!AX342,'Calc personalizzata'!AX342))</f>
        <v/>
      </c>
      <c r="T319" s="70" t="str">
        <f>IF($A319="","",ROUND(N(U318)*(1+'Calc base'!M342),2)-U319)</f>
        <v/>
      </c>
      <c r="U319" s="75" t="str">
        <f>IF($A319="","",CHOOSE('Calc riepilogo'!$B$2,'Calc valanga'!AY342,'Calc palla di neve'!AY342,'Calc personalizzata'!AY342))</f>
        <v/>
      </c>
      <c r="V319" s="70" t="str">
        <f>IF($A319="","",ROUND(N(W318)*(1+'Calc base'!N342),2)-W319)</f>
        <v/>
      </c>
      <c r="W319" s="75" t="str">
        <f>IF($A319="","",CHOOSE('Calc riepilogo'!$B$2,'Calc valanga'!AZ342,'Calc palla di neve'!AZ342,'Calc personalizzata'!AZ342))</f>
        <v/>
      </c>
      <c r="X319" s="70" t="str">
        <f>IF($A319="","",ROUND(N(Y318)*(1+'Calc base'!O342),2)-Y319)</f>
        <v/>
      </c>
      <c r="Y319" s="75" t="str">
        <f>IF($A319="","",CHOOSE('Calc riepilogo'!$B$2,'Calc valanga'!BA342,'Calc palla di neve'!BA342,'Calc personalizzata'!BA342))</f>
        <v/>
      </c>
      <c r="Z319" s="70" t="str">
        <f>IF($A319="","",ROUND(N(AA318)*(1+'Calc base'!P342),2)-AA319)</f>
        <v/>
      </c>
      <c r="AA319" s="75" t="str">
        <f>IF($A319="","",CHOOSE('Calc riepilogo'!$B$2,'Calc valanga'!BB342,'Calc palla di neve'!BB342,'Calc personalizzata'!BB342))</f>
        <v/>
      </c>
      <c r="AB319" s="70" t="str">
        <f>IF($A319="","",ROUND(N(AC318)*(1+'Calc base'!Q342),2)-AC319)</f>
        <v/>
      </c>
      <c r="AC319" s="75" t="str">
        <f>IF($A319="","",CHOOSE('Calc riepilogo'!$B$2,'Calc valanga'!BC342,'Calc palla di neve'!BC342,'Calc personalizzata'!BC342))</f>
        <v/>
      </c>
      <c r="AD319" s="70" t="str">
        <f>IF($A319="","",ROUND(N(AE318)*(1+'Calc base'!R342),2)-AE319)</f>
        <v/>
      </c>
      <c r="AE319" s="75" t="str">
        <f>IF($A319="","",CHOOSE('Calc riepilogo'!$B$2,'Calc valanga'!BD342,'Calc palla di neve'!BD342,'Calc personalizzata'!BD342))</f>
        <v/>
      </c>
      <c r="AF319" s="70" t="str">
        <f>IF($A319="","",ROUND(N(AG318)*(1+'Calc base'!S342),2)-AG319)</f>
        <v/>
      </c>
      <c r="AG319" s="75" t="str">
        <f>IF($A319="","",CHOOSE('Calc riepilogo'!$B$2,'Calc valanga'!BE342,'Calc palla di neve'!BE342,'Calc personalizzata'!BE342))</f>
        <v/>
      </c>
      <c r="AI319" t="n">
        <v>312</v>
      </c>
    </row>
    <row r="320">
      <c r="A320" s="68" t="str">
        <f>IF(313&gt;'Calc riepilogo'!$B$7,"",'Calc base'!$B343)</f>
        <v/>
      </c>
      <c r="B320" s="69" t="str">
        <f>IF($A320="","",'Calc base'!$C343)</f>
        <v/>
      </c>
      <c r="C320" s="69" t="str">
        <f>IF($A320="","",'Calc base'!$E343)</f>
        <v/>
      </c>
      <c r="D320" s="70" t="str">
        <f>IF($A320="","",J320+L320+N320+P320+R320+T320+V320+X320+Z320+AB320+AD320+AF320)</f>
        <v/>
      </c>
      <c r="E320" s="70" t="str">
        <f>IF($A320="","",CHOOSE('Calc riepilogo'!$B$2,'Calc valanga'!$H343,'Calc palla di neve'!$H343,'Calc personalizzata'!$H343))</f>
        <v/>
      </c>
      <c r="F320" s="71" t="str">
        <f>IF($A320="","",CHOOSE('Calc riepilogo'!$B$2,'Calc valanga'!$G343,'Calc palla di neve'!$G343,'Calc personalizzata'!$G343))</f>
        <v/>
      </c>
      <c r="G320" s="72" t="n"/>
      <c r="H320" s="73" t="n"/>
      <c r="I320" s="74" t="str">
        <f>IF($A320="","",TRIM(IF(AND(N(K319)&gt;0,N(K320)&lt;=0.004),"✓ "&amp;'Calc base'!C$6&amp;"   ","")&amp;IF(AND(N(M319)&gt;0,N(M320)&lt;=0.004),"✓ "&amp;'Calc base'!D$6&amp;"   ","")&amp;IF(AND(N(O319)&gt;0,N(O320)&lt;=0.004),"✓ "&amp;'Calc base'!E$6&amp;"   ","")&amp;IF(AND(N(Q319)&gt;0,N(Q320)&lt;=0.004),"✓ "&amp;'Calc base'!F$6&amp;"   ","")&amp;IF(AND(N(S319)&gt;0,N(S320)&lt;=0.004),"✓ "&amp;'Calc base'!G$6&amp;"   ","")&amp;IF(AND(N(U319)&gt;0,N(U320)&lt;=0.004),"✓ "&amp;'Calc base'!H$6&amp;"   ","")&amp;IF(AND(N(W319)&gt;0,N(W320)&lt;=0.004),"✓ "&amp;'Calc base'!I$6&amp;"   ","")&amp;IF(AND(N(Y319)&gt;0,N(Y320)&lt;=0.004),"✓ "&amp;'Calc base'!J$6&amp;"   ","")&amp;IF(AND(N(AA319)&gt;0,N(AA320)&lt;=0.004),"✓ "&amp;'Calc base'!K$6&amp;"   ","")&amp;IF(AND(N(AC319)&gt;0,N(AC320)&lt;=0.004),"✓ "&amp;'Calc base'!L$6&amp;"   ","")&amp;IF(AND(N(AE319)&gt;0,N(AE320)&lt;=0.004),"✓ "&amp;'Calc base'!M$6&amp;"   ","")&amp;IF(AND(N(AG319)&gt;0,N(AG320)&lt;=0.004),"✓ "&amp;'Calc base'!N$6&amp;"   ","")))</f>
        <v/>
      </c>
      <c r="J320" s="70" t="str">
        <f>IF($A320="","",ROUND(N(K319)*(1+'Calc base'!H343),2)-K320)</f>
        <v/>
      </c>
      <c r="K320" s="75" t="str">
        <f>IF($A320="","",CHOOSE('Calc riepilogo'!$B$2,'Calc valanga'!AT343,'Calc palla di neve'!AT343,'Calc personalizzata'!AT343))</f>
        <v/>
      </c>
      <c r="L320" s="70" t="str">
        <f>IF($A320="","",ROUND(N(M319)*(1+'Calc base'!I343),2)-M320)</f>
        <v/>
      </c>
      <c r="M320" s="75" t="str">
        <f>IF($A320="","",CHOOSE('Calc riepilogo'!$B$2,'Calc valanga'!AU343,'Calc palla di neve'!AU343,'Calc personalizzata'!AU343))</f>
        <v/>
      </c>
      <c r="N320" s="70" t="str">
        <f>IF($A320="","",ROUND(N(O319)*(1+'Calc base'!J343),2)-O320)</f>
        <v/>
      </c>
      <c r="O320" s="75" t="str">
        <f>IF($A320="","",CHOOSE('Calc riepilogo'!$B$2,'Calc valanga'!AV343,'Calc palla di neve'!AV343,'Calc personalizzata'!AV343))</f>
        <v/>
      </c>
      <c r="P320" s="70" t="str">
        <f>IF($A320="","",ROUND(N(Q319)*(1+'Calc base'!K343),2)-Q320)</f>
        <v/>
      </c>
      <c r="Q320" s="75" t="str">
        <f>IF($A320="","",CHOOSE('Calc riepilogo'!$B$2,'Calc valanga'!AW343,'Calc palla di neve'!AW343,'Calc personalizzata'!AW343))</f>
        <v/>
      </c>
      <c r="R320" s="70" t="str">
        <f>IF($A320="","",ROUND(N(S319)*(1+'Calc base'!L343),2)-S320)</f>
        <v/>
      </c>
      <c r="S320" s="75" t="str">
        <f>IF($A320="","",CHOOSE('Calc riepilogo'!$B$2,'Calc valanga'!AX343,'Calc palla di neve'!AX343,'Calc personalizzata'!AX343))</f>
        <v/>
      </c>
      <c r="T320" s="70" t="str">
        <f>IF($A320="","",ROUND(N(U319)*(1+'Calc base'!M343),2)-U320)</f>
        <v/>
      </c>
      <c r="U320" s="75" t="str">
        <f>IF($A320="","",CHOOSE('Calc riepilogo'!$B$2,'Calc valanga'!AY343,'Calc palla di neve'!AY343,'Calc personalizzata'!AY343))</f>
        <v/>
      </c>
      <c r="V320" s="70" t="str">
        <f>IF($A320="","",ROUND(N(W319)*(1+'Calc base'!N343),2)-W320)</f>
        <v/>
      </c>
      <c r="W320" s="75" t="str">
        <f>IF($A320="","",CHOOSE('Calc riepilogo'!$B$2,'Calc valanga'!AZ343,'Calc palla di neve'!AZ343,'Calc personalizzata'!AZ343))</f>
        <v/>
      </c>
      <c r="X320" s="70" t="str">
        <f>IF($A320="","",ROUND(N(Y319)*(1+'Calc base'!O343),2)-Y320)</f>
        <v/>
      </c>
      <c r="Y320" s="75" t="str">
        <f>IF($A320="","",CHOOSE('Calc riepilogo'!$B$2,'Calc valanga'!BA343,'Calc palla di neve'!BA343,'Calc personalizzata'!BA343))</f>
        <v/>
      </c>
      <c r="Z320" s="70" t="str">
        <f>IF($A320="","",ROUND(N(AA319)*(1+'Calc base'!P343),2)-AA320)</f>
        <v/>
      </c>
      <c r="AA320" s="75" t="str">
        <f>IF($A320="","",CHOOSE('Calc riepilogo'!$B$2,'Calc valanga'!BB343,'Calc palla di neve'!BB343,'Calc personalizzata'!BB343))</f>
        <v/>
      </c>
      <c r="AB320" s="70" t="str">
        <f>IF($A320="","",ROUND(N(AC319)*(1+'Calc base'!Q343),2)-AC320)</f>
        <v/>
      </c>
      <c r="AC320" s="75" t="str">
        <f>IF($A320="","",CHOOSE('Calc riepilogo'!$B$2,'Calc valanga'!BC343,'Calc palla di neve'!BC343,'Calc personalizzata'!BC343))</f>
        <v/>
      </c>
      <c r="AD320" s="70" t="str">
        <f>IF($A320="","",ROUND(N(AE319)*(1+'Calc base'!R343),2)-AE320)</f>
        <v/>
      </c>
      <c r="AE320" s="75" t="str">
        <f>IF($A320="","",CHOOSE('Calc riepilogo'!$B$2,'Calc valanga'!BD343,'Calc palla di neve'!BD343,'Calc personalizzata'!BD343))</f>
        <v/>
      </c>
      <c r="AF320" s="70" t="str">
        <f>IF($A320="","",ROUND(N(AG319)*(1+'Calc base'!S343),2)-AG320)</f>
        <v/>
      </c>
      <c r="AG320" s="75" t="str">
        <f>IF($A320="","",CHOOSE('Calc riepilogo'!$B$2,'Calc valanga'!BE343,'Calc palla di neve'!BE343,'Calc personalizzata'!BE343))</f>
        <v/>
      </c>
      <c r="AI320" t="n">
        <v>313</v>
      </c>
    </row>
    <row r="321">
      <c r="A321" s="68" t="str">
        <f>IF(314&gt;'Calc riepilogo'!$B$7,"",'Calc base'!$B344)</f>
        <v/>
      </c>
      <c r="B321" s="69" t="str">
        <f>IF($A321="","",'Calc base'!$C344)</f>
        <v/>
      </c>
      <c r="C321" s="69" t="str">
        <f>IF($A321="","",'Calc base'!$E344)</f>
        <v/>
      </c>
      <c r="D321" s="70" t="str">
        <f>IF($A321="","",J321+L321+N321+P321+R321+T321+V321+X321+Z321+AB321+AD321+AF321)</f>
        <v/>
      </c>
      <c r="E321" s="70" t="str">
        <f>IF($A321="","",CHOOSE('Calc riepilogo'!$B$2,'Calc valanga'!$H344,'Calc palla di neve'!$H344,'Calc personalizzata'!$H344))</f>
        <v/>
      </c>
      <c r="F321" s="71" t="str">
        <f>IF($A321="","",CHOOSE('Calc riepilogo'!$B$2,'Calc valanga'!$G344,'Calc palla di neve'!$G344,'Calc personalizzata'!$G344))</f>
        <v/>
      </c>
      <c r="G321" s="72" t="n"/>
      <c r="H321" s="73" t="n"/>
      <c r="I321" s="74" t="str">
        <f>IF($A321="","",TRIM(IF(AND(N(K320)&gt;0,N(K321)&lt;=0.004),"✓ "&amp;'Calc base'!C$6&amp;"   ","")&amp;IF(AND(N(M320)&gt;0,N(M321)&lt;=0.004),"✓ "&amp;'Calc base'!D$6&amp;"   ","")&amp;IF(AND(N(O320)&gt;0,N(O321)&lt;=0.004),"✓ "&amp;'Calc base'!E$6&amp;"   ","")&amp;IF(AND(N(Q320)&gt;0,N(Q321)&lt;=0.004),"✓ "&amp;'Calc base'!F$6&amp;"   ","")&amp;IF(AND(N(S320)&gt;0,N(S321)&lt;=0.004),"✓ "&amp;'Calc base'!G$6&amp;"   ","")&amp;IF(AND(N(U320)&gt;0,N(U321)&lt;=0.004),"✓ "&amp;'Calc base'!H$6&amp;"   ","")&amp;IF(AND(N(W320)&gt;0,N(W321)&lt;=0.004),"✓ "&amp;'Calc base'!I$6&amp;"   ","")&amp;IF(AND(N(Y320)&gt;0,N(Y321)&lt;=0.004),"✓ "&amp;'Calc base'!J$6&amp;"   ","")&amp;IF(AND(N(AA320)&gt;0,N(AA321)&lt;=0.004),"✓ "&amp;'Calc base'!K$6&amp;"   ","")&amp;IF(AND(N(AC320)&gt;0,N(AC321)&lt;=0.004),"✓ "&amp;'Calc base'!L$6&amp;"   ","")&amp;IF(AND(N(AE320)&gt;0,N(AE321)&lt;=0.004),"✓ "&amp;'Calc base'!M$6&amp;"   ","")&amp;IF(AND(N(AG320)&gt;0,N(AG321)&lt;=0.004),"✓ "&amp;'Calc base'!N$6&amp;"   ","")))</f>
        <v/>
      </c>
      <c r="J321" s="70" t="str">
        <f>IF($A321="","",ROUND(N(K320)*(1+'Calc base'!H344),2)-K321)</f>
        <v/>
      </c>
      <c r="K321" s="75" t="str">
        <f>IF($A321="","",CHOOSE('Calc riepilogo'!$B$2,'Calc valanga'!AT344,'Calc palla di neve'!AT344,'Calc personalizzata'!AT344))</f>
        <v/>
      </c>
      <c r="L321" s="70" t="str">
        <f>IF($A321="","",ROUND(N(M320)*(1+'Calc base'!I344),2)-M321)</f>
        <v/>
      </c>
      <c r="M321" s="75" t="str">
        <f>IF($A321="","",CHOOSE('Calc riepilogo'!$B$2,'Calc valanga'!AU344,'Calc palla di neve'!AU344,'Calc personalizzata'!AU344))</f>
        <v/>
      </c>
      <c r="N321" s="70" t="str">
        <f>IF($A321="","",ROUND(N(O320)*(1+'Calc base'!J344),2)-O321)</f>
        <v/>
      </c>
      <c r="O321" s="75" t="str">
        <f>IF($A321="","",CHOOSE('Calc riepilogo'!$B$2,'Calc valanga'!AV344,'Calc palla di neve'!AV344,'Calc personalizzata'!AV344))</f>
        <v/>
      </c>
      <c r="P321" s="70" t="str">
        <f>IF($A321="","",ROUND(N(Q320)*(1+'Calc base'!K344),2)-Q321)</f>
        <v/>
      </c>
      <c r="Q321" s="75" t="str">
        <f>IF($A321="","",CHOOSE('Calc riepilogo'!$B$2,'Calc valanga'!AW344,'Calc palla di neve'!AW344,'Calc personalizzata'!AW344))</f>
        <v/>
      </c>
      <c r="R321" s="70" t="str">
        <f>IF($A321="","",ROUND(N(S320)*(1+'Calc base'!L344),2)-S321)</f>
        <v/>
      </c>
      <c r="S321" s="75" t="str">
        <f>IF($A321="","",CHOOSE('Calc riepilogo'!$B$2,'Calc valanga'!AX344,'Calc palla di neve'!AX344,'Calc personalizzata'!AX344))</f>
        <v/>
      </c>
      <c r="T321" s="70" t="str">
        <f>IF($A321="","",ROUND(N(U320)*(1+'Calc base'!M344),2)-U321)</f>
        <v/>
      </c>
      <c r="U321" s="75" t="str">
        <f>IF($A321="","",CHOOSE('Calc riepilogo'!$B$2,'Calc valanga'!AY344,'Calc palla di neve'!AY344,'Calc personalizzata'!AY344))</f>
        <v/>
      </c>
      <c r="V321" s="70" t="str">
        <f>IF($A321="","",ROUND(N(W320)*(1+'Calc base'!N344),2)-W321)</f>
        <v/>
      </c>
      <c r="W321" s="75" t="str">
        <f>IF($A321="","",CHOOSE('Calc riepilogo'!$B$2,'Calc valanga'!AZ344,'Calc palla di neve'!AZ344,'Calc personalizzata'!AZ344))</f>
        <v/>
      </c>
      <c r="X321" s="70" t="str">
        <f>IF($A321="","",ROUND(N(Y320)*(1+'Calc base'!O344),2)-Y321)</f>
        <v/>
      </c>
      <c r="Y321" s="75" t="str">
        <f>IF($A321="","",CHOOSE('Calc riepilogo'!$B$2,'Calc valanga'!BA344,'Calc palla di neve'!BA344,'Calc personalizzata'!BA344))</f>
        <v/>
      </c>
      <c r="Z321" s="70" t="str">
        <f>IF($A321="","",ROUND(N(AA320)*(1+'Calc base'!P344),2)-AA321)</f>
        <v/>
      </c>
      <c r="AA321" s="75" t="str">
        <f>IF($A321="","",CHOOSE('Calc riepilogo'!$B$2,'Calc valanga'!BB344,'Calc palla di neve'!BB344,'Calc personalizzata'!BB344))</f>
        <v/>
      </c>
      <c r="AB321" s="70" t="str">
        <f>IF($A321="","",ROUND(N(AC320)*(1+'Calc base'!Q344),2)-AC321)</f>
        <v/>
      </c>
      <c r="AC321" s="75" t="str">
        <f>IF($A321="","",CHOOSE('Calc riepilogo'!$B$2,'Calc valanga'!BC344,'Calc palla di neve'!BC344,'Calc personalizzata'!BC344))</f>
        <v/>
      </c>
      <c r="AD321" s="70" t="str">
        <f>IF($A321="","",ROUND(N(AE320)*(1+'Calc base'!R344),2)-AE321)</f>
        <v/>
      </c>
      <c r="AE321" s="75" t="str">
        <f>IF($A321="","",CHOOSE('Calc riepilogo'!$B$2,'Calc valanga'!BD344,'Calc palla di neve'!BD344,'Calc personalizzata'!BD344))</f>
        <v/>
      </c>
      <c r="AF321" s="70" t="str">
        <f>IF($A321="","",ROUND(N(AG320)*(1+'Calc base'!S344),2)-AG321)</f>
        <v/>
      </c>
      <c r="AG321" s="75" t="str">
        <f>IF($A321="","",CHOOSE('Calc riepilogo'!$B$2,'Calc valanga'!BE344,'Calc palla di neve'!BE344,'Calc personalizzata'!BE344))</f>
        <v/>
      </c>
      <c r="AI321" t="n">
        <v>314</v>
      </c>
    </row>
    <row r="322">
      <c r="A322" s="68" t="str">
        <f>IF(315&gt;'Calc riepilogo'!$B$7,"",'Calc base'!$B345)</f>
        <v/>
      </c>
      <c r="B322" s="69" t="str">
        <f>IF($A322="","",'Calc base'!$C345)</f>
        <v/>
      </c>
      <c r="C322" s="69" t="str">
        <f>IF($A322="","",'Calc base'!$E345)</f>
        <v/>
      </c>
      <c r="D322" s="70" t="str">
        <f>IF($A322="","",J322+L322+N322+P322+R322+T322+V322+X322+Z322+AB322+AD322+AF322)</f>
        <v/>
      </c>
      <c r="E322" s="70" t="str">
        <f>IF($A322="","",CHOOSE('Calc riepilogo'!$B$2,'Calc valanga'!$H345,'Calc palla di neve'!$H345,'Calc personalizzata'!$H345))</f>
        <v/>
      </c>
      <c r="F322" s="71" t="str">
        <f>IF($A322="","",CHOOSE('Calc riepilogo'!$B$2,'Calc valanga'!$G345,'Calc palla di neve'!$G345,'Calc personalizzata'!$G345))</f>
        <v/>
      </c>
      <c r="G322" s="72" t="n"/>
      <c r="H322" s="73" t="n"/>
      <c r="I322" s="74" t="str">
        <f>IF($A322="","",TRIM(IF(AND(N(K321)&gt;0,N(K322)&lt;=0.004),"✓ "&amp;'Calc base'!C$6&amp;"   ","")&amp;IF(AND(N(M321)&gt;0,N(M322)&lt;=0.004),"✓ "&amp;'Calc base'!D$6&amp;"   ","")&amp;IF(AND(N(O321)&gt;0,N(O322)&lt;=0.004),"✓ "&amp;'Calc base'!E$6&amp;"   ","")&amp;IF(AND(N(Q321)&gt;0,N(Q322)&lt;=0.004),"✓ "&amp;'Calc base'!F$6&amp;"   ","")&amp;IF(AND(N(S321)&gt;0,N(S322)&lt;=0.004),"✓ "&amp;'Calc base'!G$6&amp;"   ","")&amp;IF(AND(N(U321)&gt;0,N(U322)&lt;=0.004),"✓ "&amp;'Calc base'!H$6&amp;"   ","")&amp;IF(AND(N(W321)&gt;0,N(W322)&lt;=0.004),"✓ "&amp;'Calc base'!I$6&amp;"   ","")&amp;IF(AND(N(Y321)&gt;0,N(Y322)&lt;=0.004),"✓ "&amp;'Calc base'!J$6&amp;"   ","")&amp;IF(AND(N(AA321)&gt;0,N(AA322)&lt;=0.004),"✓ "&amp;'Calc base'!K$6&amp;"   ","")&amp;IF(AND(N(AC321)&gt;0,N(AC322)&lt;=0.004),"✓ "&amp;'Calc base'!L$6&amp;"   ","")&amp;IF(AND(N(AE321)&gt;0,N(AE322)&lt;=0.004),"✓ "&amp;'Calc base'!M$6&amp;"   ","")&amp;IF(AND(N(AG321)&gt;0,N(AG322)&lt;=0.004),"✓ "&amp;'Calc base'!N$6&amp;"   ","")))</f>
        <v/>
      </c>
      <c r="J322" s="70" t="str">
        <f>IF($A322="","",ROUND(N(K321)*(1+'Calc base'!H345),2)-K322)</f>
        <v/>
      </c>
      <c r="K322" s="75" t="str">
        <f>IF($A322="","",CHOOSE('Calc riepilogo'!$B$2,'Calc valanga'!AT345,'Calc palla di neve'!AT345,'Calc personalizzata'!AT345))</f>
        <v/>
      </c>
      <c r="L322" s="70" t="str">
        <f>IF($A322="","",ROUND(N(M321)*(1+'Calc base'!I345),2)-M322)</f>
        <v/>
      </c>
      <c r="M322" s="75" t="str">
        <f>IF($A322="","",CHOOSE('Calc riepilogo'!$B$2,'Calc valanga'!AU345,'Calc palla di neve'!AU345,'Calc personalizzata'!AU345))</f>
        <v/>
      </c>
      <c r="N322" s="70" t="str">
        <f>IF($A322="","",ROUND(N(O321)*(1+'Calc base'!J345),2)-O322)</f>
        <v/>
      </c>
      <c r="O322" s="75" t="str">
        <f>IF($A322="","",CHOOSE('Calc riepilogo'!$B$2,'Calc valanga'!AV345,'Calc palla di neve'!AV345,'Calc personalizzata'!AV345))</f>
        <v/>
      </c>
      <c r="P322" s="70" t="str">
        <f>IF($A322="","",ROUND(N(Q321)*(1+'Calc base'!K345),2)-Q322)</f>
        <v/>
      </c>
      <c r="Q322" s="75" t="str">
        <f>IF($A322="","",CHOOSE('Calc riepilogo'!$B$2,'Calc valanga'!AW345,'Calc palla di neve'!AW345,'Calc personalizzata'!AW345))</f>
        <v/>
      </c>
      <c r="R322" s="70" t="str">
        <f>IF($A322="","",ROUND(N(S321)*(1+'Calc base'!L345),2)-S322)</f>
        <v/>
      </c>
      <c r="S322" s="75" t="str">
        <f>IF($A322="","",CHOOSE('Calc riepilogo'!$B$2,'Calc valanga'!AX345,'Calc palla di neve'!AX345,'Calc personalizzata'!AX345))</f>
        <v/>
      </c>
      <c r="T322" s="70" t="str">
        <f>IF($A322="","",ROUND(N(U321)*(1+'Calc base'!M345),2)-U322)</f>
        <v/>
      </c>
      <c r="U322" s="75" t="str">
        <f>IF($A322="","",CHOOSE('Calc riepilogo'!$B$2,'Calc valanga'!AY345,'Calc palla di neve'!AY345,'Calc personalizzata'!AY345))</f>
        <v/>
      </c>
      <c r="V322" s="70" t="str">
        <f>IF($A322="","",ROUND(N(W321)*(1+'Calc base'!N345),2)-W322)</f>
        <v/>
      </c>
      <c r="W322" s="75" t="str">
        <f>IF($A322="","",CHOOSE('Calc riepilogo'!$B$2,'Calc valanga'!AZ345,'Calc palla di neve'!AZ345,'Calc personalizzata'!AZ345))</f>
        <v/>
      </c>
      <c r="X322" s="70" t="str">
        <f>IF($A322="","",ROUND(N(Y321)*(1+'Calc base'!O345),2)-Y322)</f>
        <v/>
      </c>
      <c r="Y322" s="75" t="str">
        <f>IF($A322="","",CHOOSE('Calc riepilogo'!$B$2,'Calc valanga'!BA345,'Calc palla di neve'!BA345,'Calc personalizzata'!BA345))</f>
        <v/>
      </c>
      <c r="Z322" s="70" t="str">
        <f>IF($A322="","",ROUND(N(AA321)*(1+'Calc base'!P345),2)-AA322)</f>
        <v/>
      </c>
      <c r="AA322" s="75" t="str">
        <f>IF($A322="","",CHOOSE('Calc riepilogo'!$B$2,'Calc valanga'!BB345,'Calc palla di neve'!BB345,'Calc personalizzata'!BB345))</f>
        <v/>
      </c>
      <c r="AB322" s="70" t="str">
        <f>IF($A322="","",ROUND(N(AC321)*(1+'Calc base'!Q345),2)-AC322)</f>
        <v/>
      </c>
      <c r="AC322" s="75" t="str">
        <f>IF($A322="","",CHOOSE('Calc riepilogo'!$B$2,'Calc valanga'!BC345,'Calc palla di neve'!BC345,'Calc personalizzata'!BC345))</f>
        <v/>
      </c>
      <c r="AD322" s="70" t="str">
        <f>IF($A322="","",ROUND(N(AE321)*(1+'Calc base'!R345),2)-AE322)</f>
        <v/>
      </c>
      <c r="AE322" s="75" t="str">
        <f>IF($A322="","",CHOOSE('Calc riepilogo'!$B$2,'Calc valanga'!BD345,'Calc palla di neve'!BD345,'Calc personalizzata'!BD345))</f>
        <v/>
      </c>
      <c r="AF322" s="70" t="str">
        <f>IF($A322="","",ROUND(N(AG321)*(1+'Calc base'!S345),2)-AG322)</f>
        <v/>
      </c>
      <c r="AG322" s="75" t="str">
        <f>IF($A322="","",CHOOSE('Calc riepilogo'!$B$2,'Calc valanga'!BE345,'Calc palla di neve'!BE345,'Calc personalizzata'!BE345))</f>
        <v/>
      </c>
      <c r="AI322" t="n">
        <v>315</v>
      </c>
    </row>
    <row r="323">
      <c r="A323" s="68" t="str">
        <f>IF(316&gt;'Calc riepilogo'!$B$7,"",'Calc base'!$B346)</f>
        <v/>
      </c>
      <c r="B323" s="69" t="str">
        <f>IF($A323="","",'Calc base'!$C346)</f>
        <v/>
      </c>
      <c r="C323" s="69" t="str">
        <f>IF($A323="","",'Calc base'!$E346)</f>
        <v/>
      </c>
      <c r="D323" s="70" t="str">
        <f>IF($A323="","",J323+L323+N323+P323+R323+T323+V323+X323+Z323+AB323+AD323+AF323)</f>
        <v/>
      </c>
      <c r="E323" s="70" t="str">
        <f>IF($A323="","",CHOOSE('Calc riepilogo'!$B$2,'Calc valanga'!$H346,'Calc palla di neve'!$H346,'Calc personalizzata'!$H346))</f>
        <v/>
      </c>
      <c r="F323" s="71" t="str">
        <f>IF($A323="","",CHOOSE('Calc riepilogo'!$B$2,'Calc valanga'!$G346,'Calc palla di neve'!$G346,'Calc personalizzata'!$G346))</f>
        <v/>
      </c>
      <c r="G323" s="72" t="n"/>
      <c r="H323" s="73" t="n"/>
      <c r="I323" s="74" t="str">
        <f>IF($A323="","",TRIM(IF(AND(N(K322)&gt;0,N(K323)&lt;=0.004),"✓ "&amp;'Calc base'!C$6&amp;"   ","")&amp;IF(AND(N(M322)&gt;0,N(M323)&lt;=0.004),"✓ "&amp;'Calc base'!D$6&amp;"   ","")&amp;IF(AND(N(O322)&gt;0,N(O323)&lt;=0.004),"✓ "&amp;'Calc base'!E$6&amp;"   ","")&amp;IF(AND(N(Q322)&gt;0,N(Q323)&lt;=0.004),"✓ "&amp;'Calc base'!F$6&amp;"   ","")&amp;IF(AND(N(S322)&gt;0,N(S323)&lt;=0.004),"✓ "&amp;'Calc base'!G$6&amp;"   ","")&amp;IF(AND(N(U322)&gt;0,N(U323)&lt;=0.004),"✓ "&amp;'Calc base'!H$6&amp;"   ","")&amp;IF(AND(N(W322)&gt;0,N(W323)&lt;=0.004),"✓ "&amp;'Calc base'!I$6&amp;"   ","")&amp;IF(AND(N(Y322)&gt;0,N(Y323)&lt;=0.004),"✓ "&amp;'Calc base'!J$6&amp;"   ","")&amp;IF(AND(N(AA322)&gt;0,N(AA323)&lt;=0.004),"✓ "&amp;'Calc base'!K$6&amp;"   ","")&amp;IF(AND(N(AC322)&gt;0,N(AC323)&lt;=0.004),"✓ "&amp;'Calc base'!L$6&amp;"   ","")&amp;IF(AND(N(AE322)&gt;0,N(AE323)&lt;=0.004),"✓ "&amp;'Calc base'!M$6&amp;"   ","")&amp;IF(AND(N(AG322)&gt;0,N(AG323)&lt;=0.004),"✓ "&amp;'Calc base'!N$6&amp;"   ","")))</f>
        <v/>
      </c>
      <c r="J323" s="70" t="str">
        <f>IF($A323="","",ROUND(N(K322)*(1+'Calc base'!H346),2)-K323)</f>
        <v/>
      </c>
      <c r="K323" s="75" t="str">
        <f>IF($A323="","",CHOOSE('Calc riepilogo'!$B$2,'Calc valanga'!AT346,'Calc palla di neve'!AT346,'Calc personalizzata'!AT346))</f>
        <v/>
      </c>
      <c r="L323" s="70" t="str">
        <f>IF($A323="","",ROUND(N(M322)*(1+'Calc base'!I346),2)-M323)</f>
        <v/>
      </c>
      <c r="M323" s="75" t="str">
        <f>IF($A323="","",CHOOSE('Calc riepilogo'!$B$2,'Calc valanga'!AU346,'Calc palla di neve'!AU346,'Calc personalizzata'!AU346))</f>
        <v/>
      </c>
      <c r="N323" s="70" t="str">
        <f>IF($A323="","",ROUND(N(O322)*(1+'Calc base'!J346),2)-O323)</f>
        <v/>
      </c>
      <c r="O323" s="75" t="str">
        <f>IF($A323="","",CHOOSE('Calc riepilogo'!$B$2,'Calc valanga'!AV346,'Calc palla di neve'!AV346,'Calc personalizzata'!AV346))</f>
        <v/>
      </c>
      <c r="P323" s="70" t="str">
        <f>IF($A323="","",ROUND(N(Q322)*(1+'Calc base'!K346),2)-Q323)</f>
        <v/>
      </c>
      <c r="Q323" s="75" t="str">
        <f>IF($A323="","",CHOOSE('Calc riepilogo'!$B$2,'Calc valanga'!AW346,'Calc palla di neve'!AW346,'Calc personalizzata'!AW346))</f>
        <v/>
      </c>
      <c r="R323" s="70" t="str">
        <f>IF($A323="","",ROUND(N(S322)*(1+'Calc base'!L346),2)-S323)</f>
        <v/>
      </c>
      <c r="S323" s="75" t="str">
        <f>IF($A323="","",CHOOSE('Calc riepilogo'!$B$2,'Calc valanga'!AX346,'Calc palla di neve'!AX346,'Calc personalizzata'!AX346))</f>
        <v/>
      </c>
      <c r="T323" s="70" t="str">
        <f>IF($A323="","",ROUND(N(U322)*(1+'Calc base'!M346),2)-U323)</f>
        <v/>
      </c>
      <c r="U323" s="75" t="str">
        <f>IF($A323="","",CHOOSE('Calc riepilogo'!$B$2,'Calc valanga'!AY346,'Calc palla di neve'!AY346,'Calc personalizzata'!AY346))</f>
        <v/>
      </c>
      <c r="V323" s="70" t="str">
        <f>IF($A323="","",ROUND(N(W322)*(1+'Calc base'!N346),2)-W323)</f>
        <v/>
      </c>
      <c r="W323" s="75" t="str">
        <f>IF($A323="","",CHOOSE('Calc riepilogo'!$B$2,'Calc valanga'!AZ346,'Calc palla di neve'!AZ346,'Calc personalizzata'!AZ346))</f>
        <v/>
      </c>
      <c r="X323" s="70" t="str">
        <f>IF($A323="","",ROUND(N(Y322)*(1+'Calc base'!O346),2)-Y323)</f>
        <v/>
      </c>
      <c r="Y323" s="75" t="str">
        <f>IF($A323="","",CHOOSE('Calc riepilogo'!$B$2,'Calc valanga'!BA346,'Calc palla di neve'!BA346,'Calc personalizzata'!BA346))</f>
        <v/>
      </c>
      <c r="Z323" s="70" t="str">
        <f>IF($A323="","",ROUND(N(AA322)*(1+'Calc base'!P346),2)-AA323)</f>
        <v/>
      </c>
      <c r="AA323" s="75" t="str">
        <f>IF($A323="","",CHOOSE('Calc riepilogo'!$B$2,'Calc valanga'!BB346,'Calc palla di neve'!BB346,'Calc personalizzata'!BB346))</f>
        <v/>
      </c>
      <c r="AB323" s="70" t="str">
        <f>IF($A323="","",ROUND(N(AC322)*(1+'Calc base'!Q346),2)-AC323)</f>
        <v/>
      </c>
      <c r="AC323" s="75" t="str">
        <f>IF($A323="","",CHOOSE('Calc riepilogo'!$B$2,'Calc valanga'!BC346,'Calc palla di neve'!BC346,'Calc personalizzata'!BC346))</f>
        <v/>
      </c>
      <c r="AD323" s="70" t="str">
        <f>IF($A323="","",ROUND(N(AE322)*(1+'Calc base'!R346),2)-AE323)</f>
        <v/>
      </c>
      <c r="AE323" s="75" t="str">
        <f>IF($A323="","",CHOOSE('Calc riepilogo'!$B$2,'Calc valanga'!BD346,'Calc palla di neve'!BD346,'Calc personalizzata'!BD346))</f>
        <v/>
      </c>
      <c r="AF323" s="70" t="str">
        <f>IF($A323="","",ROUND(N(AG322)*(1+'Calc base'!S346),2)-AG323)</f>
        <v/>
      </c>
      <c r="AG323" s="75" t="str">
        <f>IF($A323="","",CHOOSE('Calc riepilogo'!$B$2,'Calc valanga'!BE346,'Calc palla di neve'!BE346,'Calc personalizzata'!BE346))</f>
        <v/>
      </c>
      <c r="AI323" t="n">
        <v>316</v>
      </c>
    </row>
    <row r="324">
      <c r="A324" s="68" t="str">
        <f>IF(317&gt;'Calc riepilogo'!$B$7,"",'Calc base'!$B347)</f>
        <v/>
      </c>
      <c r="B324" s="69" t="str">
        <f>IF($A324="","",'Calc base'!$C347)</f>
        <v/>
      </c>
      <c r="C324" s="69" t="str">
        <f>IF($A324="","",'Calc base'!$E347)</f>
        <v/>
      </c>
      <c r="D324" s="70" t="str">
        <f>IF($A324="","",J324+L324+N324+P324+R324+T324+V324+X324+Z324+AB324+AD324+AF324)</f>
        <v/>
      </c>
      <c r="E324" s="70" t="str">
        <f>IF($A324="","",CHOOSE('Calc riepilogo'!$B$2,'Calc valanga'!$H347,'Calc palla di neve'!$H347,'Calc personalizzata'!$H347))</f>
        <v/>
      </c>
      <c r="F324" s="71" t="str">
        <f>IF($A324="","",CHOOSE('Calc riepilogo'!$B$2,'Calc valanga'!$G347,'Calc palla di neve'!$G347,'Calc personalizzata'!$G347))</f>
        <v/>
      </c>
      <c r="G324" s="72" t="n"/>
      <c r="H324" s="73" t="n"/>
      <c r="I324" s="74" t="str">
        <f>IF($A324="","",TRIM(IF(AND(N(K323)&gt;0,N(K324)&lt;=0.004),"✓ "&amp;'Calc base'!C$6&amp;"   ","")&amp;IF(AND(N(M323)&gt;0,N(M324)&lt;=0.004),"✓ "&amp;'Calc base'!D$6&amp;"   ","")&amp;IF(AND(N(O323)&gt;0,N(O324)&lt;=0.004),"✓ "&amp;'Calc base'!E$6&amp;"   ","")&amp;IF(AND(N(Q323)&gt;0,N(Q324)&lt;=0.004),"✓ "&amp;'Calc base'!F$6&amp;"   ","")&amp;IF(AND(N(S323)&gt;0,N(S324)&lt;=0.004),"✓ "&amp;'Calc base'!G$6&amp;"   ","")&amp;IF(AND(N(U323)&gt;0,N(U324)&lt;=0.004),"✓ "&amp;'Calc base'!H$6&amp;"   ","")&amp;IF(AND(N(W323)&gt;0,N(W324)&lt;=0.004),"✓ "&amp;'Calc base'!I$6&amp;"   ","")&amp;IF(AND(N(Y323)&gt;0,N(Y324)&lt;=0.004),"✓ "&amp;'Calc base'!J$6&amp;"   ","")&amp;IF(AND(N(AA323)&gt;0,N(AA324)&lt;=0.004),"✓ "&amp;'Calc base'!K$6&amp;"   ","")&amp;IF(AND(N(AC323)&gt;0,N(AC324)&lt;=0.004),"✓ "&amp;'Calc base'!L$6&amp;"   ","")&amp;IF(AND(N(AE323)&gt;0,N(AE324)&lt;=0.004),"✓ "&amp;'Calc base'!M$6&amp;"   ","")&amp;IF(AND(N(AG323)&gt;0,N(AG324)&lt;=0.004),"✓ "&amp;'Calc base'!N$6&amp;"   ","")))</f>
        <v/>
      </c>
      <c r="J324" s="70" t="str">
        <f>IF($A324="","",ROUND(N(K323)*(1+'Calc base'!H347),2)-K324)</f>
        <v/>
      </c>
      <c r="K324" s="75" t="str">
        <f>IF($A324="","",CHOOSE('Calc riepilogo'!$B$2,'Calc valanga'!AT347,'Calc palla di neve'!AT347,'Calc personalizzata'!AT347))</f>
        <v/>
      </c>
      <c r="L324" s="70" t="str">
        <f>IF($A324="","",ROUND(N(M323)*(1+'Calc base'!I347),2)-M324)</f>
        <v/>
      </c>
      <c r="M324" s="75" t="str">
        <f>IF($A324="","",CHOOSE('Calc riepilogo'!$B$2,'Calc valanga'!AU347,'Calc palla di neve'!AU347,'Calc personalizzata'!AU347))</f>
        <v/>
      </c>
      <c r="N324" s="70" t="str">
        <f>IF($A324="","",ROUND(N(O323)*(1+'Calc base'!J347),2)-O324)</f>
        <v/>
      </c>
      <c r="O324" s="75" t="str">
        <f>IF($A324="","",CHOOSE('Calc riepilogo'!$B$2,'Calc valanga'!AV347,'Calc palla di neve'!AV347,'Calc personalizzata'!AV347))</f>
        <v/>
      </c>
      <c r="P324" s="70" t="str">
        <f>IF($A324="","",ROUND(N(Q323)*(1+'Calc base'!K347),2)-Q324)</f>
        <v/>
      </c>
      <c r="Q324" s="75" t="str">
        <f>IF($A324="","",CHOOSE('Calc riepilogo'!$B$2,'Calc valanga'!AW347,'Calc palla di neve'!AW347,'Calc personalizzata'!AW347))</f>
        <v/>
      </c>
      <c r="R324" s="70" t="str">
        <f>IF($A324="","",ROUND(N(S323)*(1+'Calc base'!L347),2)-S324)</f>
        <v/>
      </c>
      <c r="S324" s="75" t="str">
        <f>IF($A324="","",CHOOSE('Calc riepilogo'!$B$2,'Calc valanga'!AX347,'Calc palla di neve'!AX347,'Calc personalizzata'!AX347))</f>
        <v/>
      </c>
      <c r="T324" s="70" t="str">
        <f>IF($A324="","",ROUND(N(U323)*(1+'Calc base'!M347),2)-U324)</f>
        <v/>
      </c>
      <c r="U324" s="75" t="str">
        <f>IF($A324="","",CHOOSE('Calc riepilogo'!$B$2,'Calc valanga'!AY347,'Calc palla di neve'!AY347,'Calc personalizzata'!AY347))</f>
        <v/>
      </c>
      <c r="V324" s="70" t="str">
        <f>IF($A324="","",ROUND(N(W323)*(1+'Calc base'!N347),2)-W324)</f>
        <v/>
      </c>
      <c r="W324" s="75" t="str">
        <f>IF($A324="","",CHOOSE('Calc riepilogo'!$B$2,'Calc valanga'!AZ347,'Calc palla di neve'!AZ347,'Calc personalizzata'!AZ347))</f>
        <v/>
      </c>
      <c r="X324" s="70" t="str">
        <f>IF($A324="","",ROUND(N(Y323)*(1+'Calc base'!O347),2)-Y324)</f>
        <v/>
      </c>
      <c r="Y324" s="75" t="str">
        <f>IF($A324="","",CHOOSE('Calc riepilogo'!$B$2,'Calc valanga'!BA347,'Calc palla di neve'!BA347,'Calc personalizzata'!BA347))</f>
        <v/>
      </c>
      <c r="Z324" s="70" t="str">
        <f>IF($A324="","",ROUND(N(AA323)*(1+'Calc base'!P347),2)-AA324)</f>
        <v/>
      </c>
      <c r="AA324" s="75" t="str">
        <f>IF($A324="","",CHOOSE('Calc riepilogo'!$B$2,'Calc valanga'!BB347,'Calc palla di neve'!BB347,'Calc personalizzata'!BB347))</f>
        <v/>
      </c>
      <c r="AB324" s="70" t="str">
        <f>IF($A324="","",ROUND(N(AC323)*(1+'Calc base'!Q347),2)-AC324)</f>
        <v/>
      </c>
      <c r="AC324" s="75" t="str">
        <f>IF($A324="","",CHOOSE('Calc riepilogo'!$B$2,'Calc valanga'!BC347,'Calc palla di neve'!BC347,'Calc personalizzata'!BC347))</f>
        <v/>
      </c>
      <c r="AD324" s="70" t="str">
        <f>IF($A324="","",ROUND(N(AE323)*(1+'Calc base'!R347),2)-AE324)</f>
        <v/>
      </c>
      <c r="AE324" s="75" t="str">
        <f>IF($A324="","",CHOOSE('Calc riepilogo'!$B$2,'Calc valanga'!BD347,'Calc palla di neve'!BD347,'Calc personalizzata'!BD347))</f>
        <v/>
      </c>
      <c r="AF324" s="70" t="str">
        <f>IF($A324="","",ROUND(N(AG323)*(1+'Calc base'!S347),2)-AG324)</f>
        <v/>
      </c>
      <c r="AG324" s="75" t="str">
        <f>IF($A324="","",CHOOSE('Calc riepilogo'!$B$2,'Calc valanga'!BE347,'Calc palla di neve'!BE347,'Calc personalizzata'!BE347))</f>
        <v/>
      </c>
      <c r="AI324" t="n">
        <v>317</v>
      </c>
    </row>
    <row r="325">
      <c r="A325" s="68" t="str">
        <f>IF(318&gt;'Calc riepilogo'!$B$7,"",'Calc base'!$B348)</f>
        <v/>
      </c>
      <c r="B325" s="69" t="str">
        <f>IF($A325="","",'Calc base'!$C348)</f>
        <v/>
      </c>
      <c r="C325" s="69" t="str">
        <f>IF($A325="","",'Calc base'!$E348)</f>
        <v/>
      </c>
      <c r="D325" s="70" t="str">
        <f>IF($A325="","",J325+L325+N325+P325+R325+T325+V325+X325+Z325+AB325+AD325+AF325)</f>
        <v/>
      </c>
      <c r="E325" s="70" t="str">
        <f>IF($A325="","",CHOOSE('Calc riepilogo'!$B$2,'Calc valanga'!$H348,'Calc palla di neve'!$H348,'Calc personalizzata'!$H348))</f>
        <v/>
      </c>
      <c r="F325" s="71" t="str">
        <f>IF($A325="","",CHOOSE('Calc riepilogo'!$B$2,'Calc valanga'!$G348,'Calc palla di neve'!$G348,'Calc personalizzata'!$G348))</f>
        <v/>
      </c>
      <c r="G325" s="72" t="n"/>
      <c r="H325" s="73" t="n"/>
      <c r="I325" s="74" t="str">
        <f>IF($A325="","",TRIM(IF(AND(N(K324)&gt;0,N(K325)&lt;=0.004),"✓ "&amp;'Calc base'!C$6&amp;"   ","")&amp;IF(AND(N(M324)&gt;0,N(M325)&lt;=0.004),"✓ "&amp;'Calc base'!D$6&amp;"   ","")&amp;IF(AND(N(O324)&gt;0,N(O325)&lt;=0.004),"✓ "&amp;'Calc base'!E$6&amp;"   ","")&amp;IF(AND(N(Q324)&gt;0,N(Q325)&lt;=0.004),"✓ "&amp;'Calc base'!F$6&amp;"   ","")&amp;IF(AND(N(S324)&gt;0,N(S325)&lt;=0.004),"✓ "&amp;'Calc base'!G$6&amp;"   ","")&amp;IF(AND(N(U324)&gt;0,N(U325)&lt;=0.004),"✓ "&amp;'Calc base'!H$6&amp;"   ","")&amp;IF(AND(N(W324)&gt;0,N(W325)&lt;=0.004),"✓ "&amp;'Calc base'!I$6&amp;"   ","")&amp;IF(AND(N(Y324)&gt;0,N(Y325)&lt;=0.004),"✓ "&amp;'Calc base'!J$6&amp;"   ","")&amp;IF(AND(N(AA324)&gt;0,N(AA325)&lt;=0.004),"✓ "&amp;'Calc base'!K$6&amp;"   ","")&amp;IF(AND(N(AC324)&gt;0,N(AC325)&lt;=0.004),"✓ "&amp;'Calc base'!L$6&amp;"   ","")&amp;IF(AND(N(AE324)&gt;0,N(AE325)&lt;=0.004),"✓ "&amp;'Calc base'!M$6&amp;"   ","")&amp;IF(AND(N(AG324)&gt;0,N(AG325)&lt;=0.004),"✓ "&amp;'Calc base'!N$6&amp;"   ","")))</f>
        <v/>
      </c>
      <c r="J325" s="70" t="str">
        <f>IF($A325="","",ROUND(N(K324)*(1+'Calc base'!H348),2)-K325)</f>
        <v/>
      </c>
      <c r="K325" s="75" t="str">
        <f>IF($A325="","",CHOOSE('Calc riepilogo'!$B$2,'Calc valanga'!AT348,'Calc palla di neve'!AT348,'Calc personalizzata'!AT348))</f>
        <v/>
      </c>
      <c r="L325" s="70" t="str">
        <f>IF($A325="","",ROUND(N(M324)*(1+'Calc base'!I348),2)-M325)</f>
        <v/>
      </c>
      <c r="M325" s="75" t="str">
        <f>IF($A325="","",CHOOSE('Calc riepilogo'!$B$2,'Calc valanga'!AU348,'Calc palla di neve'!AU348,'Calc personalizzata'!AU348))</f>
        <v/>
      </c>
      <c r="N325" s="70" t="str">
        <f>IF($A325="","",ROUND(N(O324)*(1+'Calc base'!J348),2)-O325)</f>
        <v/>
      </c>
      <c r="O325" s="75" t="str">
        <f>IF($A325="","",CHOOSE('Calc riepilogo'!$B$2,'Calc valanga'!AV348,'Calc palla di neve'!AV348,'Calc personalizzata'!AV348))</f>
        <v/>
      </c>
      <c r="P325" s="70" t="str">
        <f>IF($A325="","",ROUND(N(Q324)*(1+'Calc base'!K348),2)-Q325)</f>
        <v/>
      </c>
      <c r="Q325" s="75" t="str">
        <f>IF($A325="","",CHOOSE('Calc riepilogo'!$B$2,'Calc valanga'!AW348,'Calc palla di neve'!AW348,'Calc personalizzata'!AW348))</f>
        <v/>
      </c>
      <c r="R325" s="70" t="str">
        <f>IF($A325="","",ROUND(N(S324)*(1+'Calc base'!L348),2)-S325)</f>
        <v/>
      </c>
      <c r="S325" s="75" t="str">
        <f>IF($A325="","",CHOOSE('Calc riepilogo'!$B$2,'Calc valanga'!AX348,'Calc palla di neve'!AX348,'Calc personalizzata'!AX348))</f>
        <v/>
      </c>
      <c r="T325" s="70" t="str">
        <f>IF($A325="","",ROUND(N(U324)*(1+'Calc base'!M348),2)-U325)</f>
        <v/>
      </c>
      <c r="U325" s="75" t="str">
        <f>IF($A325="","",CHOOSE('Calc riepilogo'!$B$2,'Calc valanga'!AY348,'Calc palla di neve'!AY348,'Calc personalizzata'!AY348))</f>
        <v/>
      </c>
      <c r="V325" s="70" t="str">
        <f>IF($A325="","",ROUND(N(W324)*(1+'Calc base'!N348),2)-W325)</f>
        <v/>
      </c>
      <c r="W325" s="75" t="str">
        <f>IF($A325="","",CHOOSE('Calc riepilogo'!$B$2,'Calc valanga'!AZ348,'Calc palla di neve'!AZ348,'Calc personalizzata'!AZ348))</f>
        <v/>
      </c>
      <c r="X325" s="70" t="str">
        <f>IF($A325="","",ROUND(N(Y324)*(1+'Calc base'!O348),2)-Y325)</f>
        <v/>
      </c>
      <c r="Y325" s="75" t="str">
        <f>IF($A325="","",CHOOSE('Calc riepilogo'!$B$2,'Calc valanga'!BA348,'Calc palla di neve'!BA348,'Calc personalizzata'!BA348))</f>
        <v/>
      </c>
      <c r="Z325" s="70" t="str">
        <f>IF($A325="","",ROUND(N(AA324)*(1+'Calc base'!P348),2)-AA325)</f>
        <v/>
      </c>
      <c r="AA325" s="75" t="str">
        <f>IF($A325="","",CHOOSE('Calc riepilogo'!$B$2,'Calc valanga'!BB348,'Calc palla di neve'!BB348,'Calc personalizzata'!BB348))</f>
        <v/>
      </c>
      <c r="AB325" s="70" t="str">
        <f>IF($A325="","",ROUND(N(AC324)*(1+'Calc base'!Q348),2)-AC325)</f>
        <v/>
      </c>
      <c r="AC325" s="75" t="str">
        <f>IF($A325="","",CHOOSE('Calc riepilogo'!$B$2,'Calc valanga'!BC348,'Calc palla di neve'!BC348,'Calc personalizzata'!BC348))</f>
        <v/>
      </c>
      <c r="AD325" s="70" t="str">
        <f>IF($A325="","",ROUND(N(AE324)*(1+'Calc base'!R348),2)-AE325)</f>
        <v/>
      </c>
      <c r="AE325" s="75" t="str">
        <f>IF($A325="","",CHOOSE('Calc riepilogo'!$B$2,'Calc valanga'!BD348,'Calc palla di neve'!BD348,'Calc personalizzata'!BD348))</f>
        <v/>
      </c>
      <c r="AF325" s="70" t="str">
        <f>IF($A325="","",ROUND(N(AG324)*(1+'Calc base'!S348),2)-AG325)</f>
        <v/>
      </c>
      <c r="AG325" s="75" t="str">
        <f>IF($A325="","",CHOOSE('Calc riepilogo'!$B$2,'Calc valanga'!BE348,'Calc palla di neve'!BE348,'Calc personalizzata'!BE348))</f>
        <v/>
      </c>
      <c r="AI325" t="n">
        <v>318</v>
      </c>
    </row>
    <row r="326">
      <c r="A326" s="68" t="str">
        <f>IF(319&gt;'Calc riepilogo'!$B$7,"",'Calc base'!$B349)</f>
        <v/>
      </c>
      <c r="B326" s="69" t="str">
        <f>IF($A326="","",'Calc base'!$C349)</f>
        <v/>
      </c>
      <c r="C326" s="69" t="str">
        <f>IF($A326="","",'Calc base'!$E349)</f>
        <v/>
      </c>
      <c r="D326" s="70" t="str">
        <f>IF($A326="","",J326+L326+N326+P326+R326+T326+V326+X326+Z326+AB326+AD326+AF326)</f>
        <v/>
      </c>
      <c r="E326" s="70" t="str">
        <f>IF($A326="","",CHOOSE('Calc riepilogo'!$B$2,'Calc valanga'!$H349,'Calc palla di neve'!$H349,'Calc personalizzata'!$H349))</f>
        <v/>
      </c>
      <c r="F326" s="71" t="str">
        <f>IF($A326="","",CHOOSE('Calc riepilogo'!$B$2,'Calc valanga'!$G349,'Calc palla di neve'!$G349,'Calc personalizzata'!$G349))</f>
        <v/>
      </c>
      <c r="G326" s="72" t="n"/>
      <c r="H326" s="73" t="n"/>
      <c r="I326" s="74" t="str">
        <f>IF($A326="","",TRIM(IF(AND(N(K325)&gt;0,N(K326)&lt;=0.004),"✓ "&amp;'Calc base'!C$6&amp;"   ","")&amp;IF(AND(N(M325)&gt;0,N(M326)&lt;=0.004),"✓ "&amp;'Calc base'!D$6&amp;"   ","")&amp;IF(AND(N(O325)&gt;0,N(O326)&lt;=0.004),"✓ "&amp;'Calc base'!E$6&amp;"   ","")&amp;IF(AND(N(Q325)&gt;0,N(Q326)&lt;=0.004),"✓ "&amp;'Calc base'!F$6&amp;"   ","")&amp;IF(AND(N(S325)&gt;0,N(S326)&lt;=0.004),"✓ "&amp;'Calc base'!G$6&amp;"   ","")&amp;IF(AND(N(U325)&gt;0,N(U326)&lt;=0.004),"✓ "&amp;'Calc base'!H$6&amp;"   ","")&amp;IF(AND(N(W325)&gt;0,N(W326)&lt;=0.004),"✓ "&amp;'Calc base'!I$6&amp;"   ","")&amp;IF(AND(N(Y325)&gt;0,N(Y326)&lt;=0.004),"✓ "&amp;'Calc base'!J$6&amp;"   ","")&amp;IF(AND(N(AA325)&gt;0,N(AA326)&lt;=0.004),"✓ "&amp;'Calc base'!K$6&amp;"   ","")&amp;IF(AND(N(AC325)&gt;0,N(AC326)&lt;=0.004),"✓ "&amp;'Calc base'!L$6&amp;"   ","")&amp;IF(AND(N(AE325)&gt;0,N(AE326)&lt;=0.004),"✓ "&amp;'Calc base'!M$6&amp;"   ","")&amp;IF(AND(N(AG325)&gt;0,N(AG326)&lt;=0.004),"✓ "&amp;'Calc base'!N$6&amp;"   ","")))</f>
        <v/>
      </c>
      <c r="J326" s="70" t="str">
        <f>IF($A326="","",ROUND(N(K325)*(1+'Calc base'!H349),2)-K326)</f>
        <v/>
      </c>
      <c r="K326" s="75" t="str">
        <f>IF($A326="","",CHOOSE('Calc riepilogo'!$B$2,'Calc valanga'!AT349,'Calc palla di neve'!AT349,'Calc personalizzata'!AT349))</f>
        <v/>
      </c>
      <c r="L326" s="70" t="str">
        <f>IF($A326="","",ROUND(N(M325)*(1+'Calc base'!I349),2)-M326)</f>
        <v/>
      </c>
      <c r="M326" s="75" t="str">
        <f>IF($A326="","",CHOOSE('Calc riepilogo'!$B$2,'Calc valanga'!AU349,'Calc palla di neve'!AU349,'Calc personalizzata'!AU349))</f>
        <v/>
      </c>
      <c r="N326" s="70" t="str">
        <f>IF($A326="","",ROUND(N(O325)*(1+'Calc base'!J349),2)-O326)</f>
        <v/>
      </c>
      <c r="O326" s="75" t="str">
        <f>IF($A326="","",CHOOSE('Calc riepilogo'!$B$2,'Calc valanga'!AV349,'Calc palla di neve'!AV349,'Calc personalizzata'!AV349))</f>
        <v/>
      </c>
      <c r="P326" s="70" t="str">
        <f>IF($A326="","",ROUND(N(Q325)*(1+'Calc base'!K349),2)-Q326)</f>
        <v/>
      </c>
      <c r="Q326" s="75" t="str">
        <f>IF($A326="","",CHOOSE('Calc riepilogo'!$B$2,'Calc valanga'!AW349,'Calc palla di neve'!AW349,'Calc personalizzata'!AW349))</f>
        <v/>
      </c>
      <c r="R326" s="70" t="str">
        <f>IF($A326="","",ROUND(N(S325)*(1+'Calc base'!L349),2)-S326)</f>
        <v/>
      </c>
      <c r="S326" s="75" t="str">
        <f>IF($A326="","",CHOOSE('Calc riepilogo'!$B$2,'Calc valanga'!AX349,'Calc palla di neve'!AX349,'Calc personalizzata'!AX349))</f>
        <v/>
      </c>
      <c r="T326" s="70" t="str">
        <f>IF($A326="","",ROUND(N(U325)*(1+'Calc base'!M349),2)-U326)</f>
        <v/>
      </c>
      <c r="U326" s="75" t="str">
        <f>IF($A326="","",CHOOSE('Calc riepilogo'!$B$2,'Calc valanga'!AY349,'Calc palla di neve'!AY349,'Calc personalizzata'!AY349))</f>
        <v/>
      </c>
      <c r="V326" s="70" t="str">
        <f>IF($A326="","",ROUND(N(W325)*(1+'Calc base'!N349),2)-W326)</f>
        <v/>
      </c>
      <c r="W326" s="75" t="str">
        <f>IF($A326="","",CHOOSE('Calc riepilogo'!$B$2,'Calc valanga'!AZ349,'Calc palla di neve'!AZ349,'Calc personalizzata'!AZ349))</f>
        <v/>
      </c>
      <c r="X326" s="70" t="str">
        <f>IF($A326="","",ROUND(N(Y325)*(1+'Calc base'!O349),2)-Y326)</f>
        <v/>
      </c>
      <c r="Y326" s="75" t="str">
        <f>IF($A326="","",CHOOSE('Calc riepilogo'!$B$2,'Calc valanga'!BA349,'Calc palla di neve'!BA349,'Calc personalizzata'!BA349))</f>
        <v/>
      </c>
      <c r="Z326" s="70" t="str">
        <f>IF($A326="","",ROUND(N(AA325)*(1+'Calc base'!P349),2)-AA326)</f>
        <v/>
      </c>
      <c r="AA326" s="75" t="str">
        <f>IF($A326="","",CHOOSE('Calc riepilogo'!$B$2,'Calc valanga'!BB349,'Calc palla di neve'!BB349,'Calc personalizzata'!BB349))</f>
        <v/>
      </c>
      <c r="AB326" s="70" t="str">
        <f>IF($A326="","",ROUND(N(AC325)*(1+'Calc base'!Q349),2)-AC326)</f>
        <v/>
      </c>
      <c r="AC326" s="75" t="str">
        <f>IF($A326="","",CHOOSE('Calc riepilogo'!$B$2,'Calc valanga'!BC349,'Calc palla di neve'!BC349,'Calc personalizzata'!BC349))</f>
        <v/>
      </c>
      <c r="AD326" s="70" t="str">
        <f>IF($A326="","",ROUND(N(AE325)*(1+'Calc base'!R349),2)-AE326)</f>
        <v/>
      </c>
      <c r="AE326" s="75" t="str">
        <f>IF($A326="","",CHOOSE('Calc riepilogo'!$B$2,'Calc valanga'!BD349,'Calc palla di neve'!BD349,'Calc personalizzata'!BD349))</f>
        <v/>
      </c>
      <c r="AF326" s="70" t="str">
        <f>IF($A326="","",ROUND(N(AG325)*(1+'Calc base'!S349),2)-AG326)</f>
        <v/>
      </c>
      <c r="AG326" s="75" t="str">
        <f>IF($A326="","",CHOOSE('Calc riepilogo'!$B$2,'Calc valanga'!BE349,'Calc palla di neve'!BE349,'Calc personalizzata'!BE349))</f>
        <v/>
      </c>
      <c r="AI326" t="n">
        <v>319</v>
      </c>
    </row>
    <row r="327">
      <c r="A327" s="68" t="str">
        <f>IF(320&gt;'Calc riepilogo'!$B$7,"",'Calc base'!$B350)</f>
        <v/>
      </c>
      <c r="B327" s="69" t="str">
        <f>IF($A327="","",'Calc base'!$C350)</f>
        <v/>
      </c>
      <c r="C327" s="69" t="str">
        <f>IF($A327="","",'Calc base'!$E350)</f>
        <v/>
      </c>
      <c r="D327" s="70" t="str">
        <f>IF($A327="","",J327+L327+N327+P327+R327+T327+V327+X327+Z327+AB327+AD327+AF327)</f>
        <v/>
      </c>
      <c r="E327" s="70" t="str">
        <f>IF($A327="","",CHOOSE('Calc riepilogo'!$B$2,'Calc valanga'!$H350,'Calc palla di neve'!$H350,'Calc personalizzata'!$H350))</f>
        <v/>
      </c>
      <c r="F327" s="71" t="str">
        <f>IF($A327="","",CHOOSE('Calc riepilogo'!$B$2,'Calc valanga'!$G350,'Calc palla di neve'!$G350,'Calc personalizzata'!$G350))</f>
        <v/>
      </c>
      <c r="G327" s="72" t="n"/>
      <c r="H327" s="73" t="n"/>
      <c r="I327" s="74" t="str">
        <f>IF($A327="","",TRIM(IF(AND(N(K326)&gt;0,N(K327)&lt;=0.004),"✓ "&amp;'Calc base'!C$6&amp;"   ","")&amp;IF(AND(N(M326)&gt;0,N(M327)&lt;=0.004),"✓ "&amp;'Calc base'!D$6&amp;"   ","")&amp;IF(AND(N(O326)&gt;0,N(O327)&lt;=0.004),"✓ "&amp;'Calc base'!E$6&amp;"   ","")&amp;IF(AND(N(Q326)&gt;0,N(Q327)&lt;=0.004),"✓ "&amp;'Calc base'!F$6&amp;"   ","")&amp;IF(AND(N(S326)&gt;0,N(S327)&lt;=0.004),"✓ "&amp;'Calc base'!G$6&amp;"   ","")&amp;IF(AND(N(U326)&gt;0,N(U327)&lt;=0.004),"✓ "&amp;'Calc base'!H$6&amp;"   ","")&amp;IF(AND(N(W326)&gt;0,N(W327)&lt;=0.004),"✓ "&amp;'Calc base'!I$6&amp;"   ","")&amp;IF(AND(N(Y326)&gt;0,N(Y327)&lt;=0.004),"✓ "&amp;'Calc base'!J$6&amp;"   ","")&amp;IF(AND(N(AA326)&gt;0,N(AA327)&lt;=0.004),"✓ "&amp;'Calc base'!K$6&amp;"   ","")&amp;IF(AND(N(AC326)&gt;0,N(AC327)&lt;=0.004),"✓ "&amp;'Calc base'!L$6&amp;"   ","")&amp;IF(AND(N(AE326)&gt;0,N(AE327)&lt;=0.004),"✓ "&amp;'Calc base'!M$6&amp;"   ","")&amp;IF(AND(N(AG326)&gt;0,N(AG327)&lt;=0.004),"✓ "&amp;'Calc base'!N$6&amp;"   ","")))</f>
        <v/>
      </c>
      <c r="J327" s="70" t="str">
        <f>IF($A327="","",ROUND(N(K326)*(1+'Calc base'!H350),2)-K327)</f>
        <v/>
      </c>
      <c r="K327" s="75" t="str">
        <f>IF($A327="","",CHOOSE('Calc riepilogo'!$B$2,'Calc valanga'!AT350,'Calc palla di neve'!AT350,'Calc personalizzata'!AT350))</f>
        <v/>
      </c>
      <c r="L327" s="70" t="str">
        <f>IF($A327="","",ROUND(N(M326)*(1+'Calc base'!I350),2)-M327)</f>
        <v/>
      </c>
      <c r="M327" s="75" t="str">
        <f>IF($A327="","",CHOOSE('Calc riepilogo'!$B$2,'Calc valanga'!AU350,'Calc palla di neve'!AU350,'Calc personalizzata'!AU350))</f>
        <v/>
      </c>
      <c r="N327" s="70" t="str">
        <f>IF($A327="","",ROUND(N(O326)*(1+'Calc base'!J350),2)-O327)</f>
        <v/>
      </c>
      <c r="O327" s="75" t="str">
        <f>IF($A327="","",CHOOSE('Calc riepilogo'!$B$2,'Calc valanga'!AV350,'Calc palla di neve'!AV350,'Calc personalizzata'!AV350))</f>
        <v/>
      </c>
      <c r="P327" s="70" t="str">
        <f>IF($A327="","",ROUND(N(Q326)*(1+'Calc base'!K350),2)-Q327)</f>
        <v/>
      </c>
      <c r="Q327" s="75" t="str">
        <f>IF($A327="","",CHOOSE('Calc riepilogo'!$B$2,'Calc valanga'!AW350,'Calc palla di neve'!AW350,'Calc personalizzata'!AW350))</f>
        <v/>
      </c>
      <c r="R327" s="70" t="str">
        <f>IF($A327="","",ROUND(N(S326)*(1+'Calc base'!L350),2)-S327)</f>
        <v/>
      </c>
      <c r="S327" s="75" t="str">
        <f>IF($A327="","",CHOOSE('Calc riepilogo'!$B$2,'Calc valanga'!AX350,'Calc palla di neve'!AX350,'Calc personalizzata'!AX350))</f>
        <v/>
      </c>
      <c r="T327" s="70" t="str">
        <f>IF($A327="","",ROUND(N(U326)*(1+'Calc base'!M350),2)-U327)</f>
        <v/>
      </c>
      <c r="U327" s="75" t="str">
        <f>IF($A327="","",CHOOSE('Calc riepilogo'!$B$2,'Calc valanga'!AY350,'Calc palla di neve'!AY350,'Calc personalizzata'!AY350))</f>
        <v/>
      </c>
      <c r="V327" s="70" t="str">
        <f>IF($A327="","",ROUND(N(W326)*(1+'Calc base'!N350),2)-W327)</f>
        <v/>
      </c>
      <c r="W327" s="75" t="str">
        <f>IF($A327="","",CHOOSE('Calc riepilogo'!$B$2,'Calc valanga'!AZ350,'Calc palla di neve'!AZ350,'Calc personalizzata'!AZ350))</f>
        <v/>
      </c>
      <c r="X327" s="70" t="str">
        <f>IF($A327="","",ROUND(N(Y326)*(1+'Calc base'!O350),2)-Y327)</f>
        <v/>
      </c>
      <c r="Y327" s="75" t="str">
        <f>IF($A327="","",CHOOSE('Calc riepilogo'!$B$2,'Calc valanga'!BA350,'Calc palla di neve'!BA350,'Calc personalizzata'!BA350))</f>
        <v/>
      </c>
      <c r="Z327" s="70" t="str">
        <f>IF($A327="","",ROUND(N(AA326)*(1+'Calc base'!P350),2)-AA327)</f>
        <v/>
      </c>
      <c r="AA327" s="75" t="str">
        <f>IF($A327="","",CHOOSE('Calc riepilogo'!$B$2,'Calc valanga'!BB350,'Calc palla di neve'!BB350,'Calc personalizzata'!BB350))</f>
        <v/>
      </c>
      <c r="AB327" s="70" t="str">
        <f>IF($A327="","",ROUND(N(AC326)*(1+'Calc base'!Q350),2)-AC327)</f>
        <v/>
      </c>
      <c r="AC327" s="75" t="str">
        <f>IF($A327="","",CHOOSE('Calc riepilogo'!$B$2,'Calc valanga'!BC350,'Calc palla di neve'!BC350,'Calc personalizzata'!BC350))</f>
        <v/>
      </c>
      <c r="AD327" s="70" t="str">
        <f>IF($A327="","",ROUND(N(AE326)*(1+'Calc base'!R350),2)-AE327)</f>
        <v/>
      </c>
      <c r="AE327" s="75" t="str">
        <f>IF($A327="","",CHOOSE('Calc riepilogo'!$B$2,'Calc valanga'!BD350,'Calc palla di neve'!BD350,'Calc personalizzata'!BD350))</f>
        <v/>
      </c>
      <c r="AF327" s="70" t="str">
        <f>IF($A327="","",ROUND(N(AG326)*(1+'Calc base'!S350),2)-AG327)</f>
        <v/>
      </c>
      <c r="AG327" s="75" t="str">
        <f>IF($A327="","",CHOOSE('Calc riepilogo'!$B$2,'Calc valanga'!BE350,'Calc palla di neve'!BE350,'Calc personalizzata'!BE350))</f>
        <v/>
      </c>
      <c r="AI327" t="n">
        <v>320</v>
      </c>
    </row>
    <row r="328">
      <c r="A328" s="68" t="str">
        <f>IF(321&gt;'Calc riepilogo'!$B$7,"",'Calc base'!$B351)</f>
        <v/>
      </c>
      <c r="B328" s="69" t="str">
        <f>IF($A328="","",'Calc base'!$C351)</f>
        <v/>
      </c>
      <c r="C328" s="69" t="str">
        <f>IF($A328="","",'Calc base'!$E351)</f>
        <v/>
      </c>
      <c r="D328" s="70" t="str">
        <f>IF($A328="","",J328+L328+N328+P328+R328+T328+V328+X328+Z328+AB328+AD328+AF328)</f>
        <v/>
      </c>
      <c r="E328" s="70" t="str">
        <f>IF($A328="","",CHOOSE('Calc riepilogo'!$B$2,'Calc valanga'!$H351,'Calc palla di neve'!$H351,'Calc personalizzata'!$H351))</f>
        <v/>
      </c>
      <c r="F328" s="71" t="str">
        <f>IF($A328="","",CHOOSE('Calc riepilogo'!$B$2,'Calc valanga'!$G351,'Calc palla di neve'!$G351,'Calc personalizzata'!$G351))</f>
        <v/>
      </c>
      <c r="G328" s="72" t="n"/>
      <c r="H328" s="73" t="n"/>
      <c r="I328" s="74" t="str">
        <f>IF($A328="","",TRIM(IF(AND(N(K327)&gt;0,N(K328)&lt;=0.004),"✓ "&amp;'Calc base'!C$6&amp;"   ","")&amp;IF(AND(N(M327)&gt;0,N(M328)&lt;=0.004),"✓ "&amp;'Calc base'!D$6&amp;"   ","")&amp;IF(AND(N(O327)&gt;0,N(O328)&lt;=0.004),"✓ "&amp;'Calc base'!E$6&amp;"   ","")&amp;IF(AND(N(Q327)&gt;0,N(Q328)&lt;=0.004),"✓ "&amp;'Calc base'!F$6&amp;"   ","")&amp;IF(AND(N(S327)&gt;0,N(S328)&lt;=0.004),"✓ "&amp;'Calc base'!G$6&amp;"   ","")&amp;IF(AND(N(U327)&gt;0,N(U328)&lt;=0.004),"✓ "&amp;'Calc base'!H$6&amp;"   ","")&amp;IF(AND(N(W327)&gt;0,N(W328)&lt;=0.004),"✓ "&amp;'Calc base'!I$6&amp;"   ","")&amp;IF(AND(N(Y327)&gt;0,N(Y328)&lt;=0.004),"✓ "&amp;'Calc base'!J$6&amp;"   ","")&amp;IF(AND(N(AA327)&gt;0,N(AA328)&lt;=0.004),"✓ "&amp;'Calc base'!K$6&amp;"   ","")&amp;IF(AND(N(AC327)&gt;0,N(AC328)&lt;=0.004),"✓ "&amp;'Calc base'!L$6&amp;"   ","")&amp;IF(AND(N(AE327)&gt;0,N(AE328)&lt;=0.004),"✓ "&amp;'Calc base'!M$6&amp;"   ","")&amp;IF(AND(N(AG327)&gt;0,N(AG328)&lt;=0.004),"✓ "&amp;'Calc base'!N$6&amp;"   ","")))</f>
        <v/>
      </c>
      <c r="J328" s="70" t="str">
        <f>IF($A328="","",ROUND(N(K327)*(1+'Calc base'!H351),2)-K328)</f>
        <v/>
      </c>
      <c r="K328" s="75" t="str">
        <f>IF($A328="","",CHOOSE('Calc riepilogo'!$B$2,'Calc valanga'!AT351,'Calc palla di neve'!AT351,'Calc personalizzata'!AT351))</f>
        <v/>
      </c>
      <c r="L328" s="70" t="str">
        <f>IF($A328="","",ROUND(N(M327)*(1+'Calc base'!I351),2)-M328)</f>
        <v/>
      </c>
      <c r="M328" s="75" t="str">
        <f>IF($A328="","",CHOOSE('Calc riepilogo'!$B$2,'Calc valanga'!AU351,'Calc palla di neve'!AU351,'Calc personalizzata'!AU351))</f>
        <v/>
      </c>
      <c r="N328" s="70" t="str">
        <f>IF($A328="","",ROUND(N(O327)*(1+'Calc base'!J351),2)-O328)</f>
        <v/>
      </c>
      <c r="O328" s="75" t="str">
        <f>IF($A328="","",CHOOSE('Calc riepilogo'!$B$2,'Calc valanga'!AV351,'Calc palla di neve'!AV351,'Calc personalizzata'!AV351))</f>
        <v/>
      </c>
      <c r="P328" s="70" t="str">
        <f>IF($A328="","",ROUND(N(Q327)*(1+'Calc base'!K351),2)-Q328)</f>
        <v/>
      </c>
      <c r="Q328" s="75" t="str">
        <f>IF($A328="","",CHOOSE('Calc riepilogo'!$B$2,'Calc valanga'!AW351,'Calc palla di neve'!AW351,'Calc personalizzata'!AW351))</f>
        <v/>
      </c>
      <c r="R328" s="70" t="str">
        <f>IF($A328="","",ROUND(N(S327)*(1+'Calc base'!L351),2)-S328)</f>
        <v/>
      </c>
      <c r="S328" s="75" t="str">
        <f>IF($A328="","",CHOOSE('Calc riepilogo'!$B$2,'Calc valanga'!AX351,'Calc palla di neve'!AX351,'Calc personalizzata'!AX351))</f>
        <v/>
      </c>
      <c r="T328" s="70" t="str">
        <f>IF($A328="","",ROUND(N(U327)*(1+'Calc base'!M351),2)-U328)</f>
        <v/>
      </c>
      <c r="U328" s="75" t="str">
        <f>IF($A328="","",CHOOSE('Calc riepilogo'!$B$2,'Calc valanga'!AY351,'Calc palla di neve'!AY351,'Calc personalizzata'!AY351))</f>
        <v/>
      </c>
      <c r="V328" s="70" t="str">
        <f>IF($A328="","",ROUND(N(W327)*(1+'Calc base'!N351),2)-W328)</f>
        <v/>
      </c>
      <c r="W328" s="75" t="str">
        <f>IF($A328="","",CHOOSE('Calc riepilogo'!$B$2,'Calc valanga'!AZ351,'Calc palla di neve'!AZ351,'Calc personalizzata'!AZ351))</f>
        <v/>
      </c>
      <c r="X328" s="70" t="str">
        <f>IF($A328="","",ROUND(N(Y327)*(1+'Calc base'!O351),2)-Y328)</f>
        <v/>
      </c>
      <c r="Y328" s="75" t="str">
        <f>IF($A328="","",CHOOSE('Calc riepilogo'!$B$2,'Calc valanga'!BA351,'Calc palla di neve'!BA351,'Calc personalizzata'!BA351))</f>
        <v/>
      </c>
      <c r="Z328" s="70" t="str">
        <f>IF($A328="","",ROUND(N(AA327)*(1+'Calc base'!P351),2)-AA328)</f>
        <v/>
      </c>
      <c r="AA328" s="75" t="str">
        <f>IF($A328="","",CHOOSE('Calc riepilogo'!$B$2,'Calc valanga'!BB351,'Calc palla di neve'!BB351,'Calc personalizzata'!BB351))</f>
        <v/>
      </c>
      <c r="AB328" s="70" t="str">
        <f>IF($A328="","",ROUND(N(AC327)*(1+'Calc base'!Q351),2)-AC328)</f>
        <v/>
      </c>
      <c r="AC328" s="75" t="str">
        <f>IF($A328="","",CHOOSE('Calc riepilogo'!$B$2,'Calc valanga'!BC351,'Calc palla di neve'!BC351,'Calc personalizzata'!BC351))</f>
        <v/>
      </c>
      <c r="AD328" s="70" t="str">
        <f>IF($A328="","",ROUND(N(AE327)*(1+'Calc base'!R351),2)-AE328)</f>
        <v/>
      </c>
      <c r="AE328" s="75" t="str">
        <f>IF($A328="","",CHOOSE('Calc riepilogo'!$B$2,'Calc valanga'!BD351,'Calc palla di neve'!BD351,'Calc personalizzata'!BD351))</f>
        <v/>
      </c>
      <c r="AF328" s="70" t="str">
        <f>IF($A328="","",ROUND(N(AG327)*(1+'Calc base'!S351),2)-AG328)</f>
        <v/>
      </c>
      <c r="AG328" s="75" t="str">
        <f>IF($A328="","",CHOOSE('Calc riepilogo'!$B$2,'Calc valanga'!BE351,'Calc palla di neve'!BE351,'Calc personalizzata'!BE351))</f>
        <v/>
      </c>
      <c r="AI328" t="n">
        <v>321</v>
      </c>
    </row>
    <row r="329">
      <c r="A329" s="68" t="str">
        <f>IF(322&gt;'Calc riepilogo'!$B$7,"",'Calc base'!$B352)</f>
        <v/>
      </c>
      <c r="B329" s="69" t="str">
        <f>IF($A329="","",'Calc base'!$C352)</f>
        <v/>
      </c>
      <c r="C329" s="69" t="str">
        <f>IF($A329="","",'Calc base'!$E352)</f>
        <v/>
      </c>
      <c r="D329" s="70" t="str">
        <f>IF($A329="","",J329+L329+N329+P329+R329+T329+V329+X329+Z329+AB329+AD329+AF329)</f>
        <v/>
      </c>
      <c r="E329" s="70" t="str">
        <f>IF($A329="","",CHOOSE('Calc riepilogo'!$B$2,'Calc valanga'!$H352,'Calc palla di neve'!$H352,'Calc personalizzata'!$H352))</f>
        <v/>
      </c>
      <c r="F329" s="71" t="str">
        <f>IF($A329="","",CHOOSE('Calc riepilogo'!$B$2,'Calc valanga'!$G352,'Calc palla di neve'!$G352,'Calc personalizzata'!$G352))</f>
        <v/>
      </c>
      <c r="G329" s="72" t="n"/>
      <c r="H329" s="73" t="n"/>
      <c r="I329" s="74" t="str">
        <f>IF($A329="","",TRIM(IF(AND(N(K328)&gt;0,N(K329)&lt;=0.004),"✓ "&amp;'Calc base'!C$6&amp;"   ","")&amp;IF(AND(N(M328)&gt;0,N(M329)&lt;=0.004),"✓ "&amp;'Calc base'!D$6&amp;"   ","")&amp;IF(AND(N(O328)&gt;0,N(O329)&lt;=0.004),"✓ "&amp;'Calc base'!E$6&amp;"   ","")&amp;IF(AND(N(Q328)&gt;0,N(Q329)&lt;=0.004),"✓ "&amp;'Calc base'!F$6&amp;"   ","")&amp;IF(AND(N(S328)&gt;0,N(S329)&lt;=0.004),"✓ "&amp;'Calc base'!G$6&amp;"   ","")&amp;IF(AND(N(U328)&gt;0,N(U329)&lt;=0.004),"✓ "&amp;'Calc base'!H$6&amp;"   ","")&amp;IF(AND(N(W328)&gt;0,N(W329)&lt;=0.004),"✓ "&amp;'Calc base'!I$6&amp;"   ","")&amp;IF(AND(N(Y328)&gt;0,N(Y329)&lt;=0.004),"✓ "&amp;'Calc base'!J$6&amp;"   ","")&amp;IF(AND(N(AA328)&gt;0,N(AA329)&lt;=0.004),"✓ "&amp;'Calc base'!K$6&amp;"   ","")&amp;IF(AND(N(AC328)&gt;0,N(AC329)&lt;=0.004),"✓ "&amp;'Calc base'!L$6&amp;"   ","")&amp;IF(AND(N(AE328)&gt;0,N(AE329)&lt;=0.004),"✓ "&amp;'Calc base'!M$6&amp;"   ","")&amp;IF(AND(N(AG328)&gt;0,N(AG329)&lt;=0.004),"✓ "&amp;'Calc base'!N$6&amp;"   ","")))</f>
        <v/>
      </c>
      <c r="J329" s="70" t="str">
        <f>IF($A329="","",ROUND(N(K328)*(1+'Calc base'!H352),2)-K329)</f>
        <v/>
      </c>
      <c r="K329" s="75" t="str">
        <f>IF($A329="","",CHOOSE('Calc riepilogo'!$B$2,'Calc valanga'!AT352,'Calc palla di neve'!AT352,'Calc personalizzata'!AT352))</f>
        <v/>
      </c>
      <c r="L329" s="70" t="str">
        <f>IF($A329="","",ROUND(N(M328)*(1+'Calc base'!I352),2)-M329)</f>
        <v/>
      </c>
      <c r="M329" s="75" t="str">
        <f>IF($A329="","",CHOOSE('Calc riepilogo'!$B$2,'Calc valanga'!AU352,'Calc palla di neve'!AU352,'Calc personalizzata'!AU352))</f>
        <v/>
      </c>
      <c r="N329" s="70" t="str">
        <f>IF($A329="","",ROUND(N(O328)*(1+'Calc base'!J352),2)-O329)</f>
        <v/>
      </c>
      <c r="O329" s="75" t="str">
        <f>IF($A329="","",CHOOSE('Calc riepilogo'!$B$2,'Calc valanga'!AV352,'Calc palla di neve'!AV352,'Calc personalizzata'!AV352))</f>
        <v/>
      </c>
      <c r="P329" s="70" t="str">
        <f>IF($A329="","",ROUND(N(Q328)*(1+'Calc base'!K352),2)-Q329)</f>
        <v/>
      </c>
      <c r="Q329" s="75" t="str">
        <f>IF($A329="","",CHOOSE('Calc riepilogo'!$B$2,'Calc valanga'!AW352,'Calc palla di neve'!AW352,'Calc personalizzata'!AW352))</f>
        <v/>
      </c>
      <c r="R329" s="70" t="str">
        <f>IF($A329="","",ROUND(N(S328)*(1+'Calc base'!L352),2)-S329)</f>
        <v/>
      </c>
      <c r="S329" s="75" t="str">
        <f>IF($A329="","",CHOOSE('Calc riepilogo'!$B$2,'Calc valanga'!AX352,'Calc palla di neve'!AX352,'Calc personalizzata'!AX352))</f>
        <v/>
      </c>
      <c r="T329" s="70" t="str">
        <f>IF($A329="","",ROUND(N(U328)*(1+'Calc base'!M352),2)-U329)</f>
        <v/>
      </c>
      <c r="U329" s="75" t="str">
        <f>IF($A329="","",CHOOSE('Calc riepilogo'!$B$2,'Calc valanga'!AY352,'Calc palla di neve'!AY352,'Calc personalizzata'!AY352))</f>
        <v/>
      </c>
      <c r="V329" s="70" t="str">
        <f>IF($A329="","",ROUND(N(W328)*(1+'Calc base'!N352),2)-W329)</f>
        <v/>
      </c>
      <c r="W329" s="75" t="str">
        <f>IF($A329="","",CHOOSE('Calc riepilogo'!$B$2,'Calc valanga'!AZ352,'Calc palla di neve'!AZ352,'Calc personalizzata'!AZ352))</f>
        <v/>
      </c>
      <c r="X329" s="70" t="str">
        <f>IF($A329="","",ROUND(N(Y328)*(1+'Calc base'!O352),2)-Y329)</f>
        <v/>
      </c>
      <c r="Y329" s="75" t="str">
        <f>IF($A329="","",CHOOSE('Calc riepilogo'!$B$2,'Calc valanga'!BA352,'Calc palla di neve'!BA352,'Calc personalizzata'!BA352))</f>
        <v/>
      </c>
      <c r="Z329" s="70" t="str">
        <f>IF($A329="","",ROUND(N(AA328)*(1+'Calc base'!P352),2)-AA329)</f>
        <v/>
      </c>
      <c r="AA329" s="75" t="str">
        <f>IF($A329="","",CHOOSE('Calc riepilogo'!$B$2,'Calc valanga'!BB352,'Calc palla di neve'!BB352,'Calc personalizzata'!BB352))</f>
        <v/>
      </c>
      <c r="AB329" s="70" t="str">
        <f>IF($A329="","",ROUND(N(AC328)*(1+'Calc base'!Q352),2)-AC329)</f>
        <v/>
      </c>
      <c r="AC329" s="75" t="str">
        <f>IF($A329="","",CHOOSE('Calc riepilogo'!$B$2,'Calc valanga'!BC352,'Calc palla di neve'!BC352,'Calc personalizzata'!BC352))</f>
        <v/>
      </c>
      <c r="AD329" s="70" t="str">
        <f>IF($A329="","",ROUND(N(AE328)*(1+'Calc base'!R352),2)-AE329)</f>
        <v/>
      </c>
      <c r="AE329" s="75" t="str">
        <f>IF($A329="","",CHOOSE('Calc riepilogo'!$B$2,'Calc valanga'!BD352,'Calc palla di neve'!BD352,'Calc personalizzata'!BD352))</f>
        <v/>
      </c>
      <c r="AF329" s="70" t="str">
        <f>IF($A329="","",ROUND(N(AG328)*(1+'Calc base'!S352),2)-AG329)</f>
        <v/>
      </c>
      <c r="AG329" s="75" t="str">
        <f>IF($A329="","",CHOOSE('Calc riepilogo'!$B$2,'Calc valanga'!BE352,'Calc palla di neve'!BE352,'Calc personalizzata'!BE352))</f>
        <v/>
      </c>
      <c r="AI329" t="n">
        <v>322</v>
      </c>
    </row>
    <row r="330">
      <c r="A330" s="68" t="str">
        <f>IF(323&gt;'Calc riepilogo'!$B$7,"",'Calc base'!$B353)</f>
        <v/>
      </c>
      <c r="B330" s="69" t="str">
        <f>IF($A330="","",'Calc base'!$C353)</f>
        <v/>
      </c>
      <c r="C330" s="69" t="str">
        <f>IF($A330="","",'Calc base'!$E353)</f>
        <v/>
      </c>
      <c r="D330" s="70" t="str">
        <f>IF($A330="","",J330+L330+N330+P330+R330+T330+V330+X330+Z330+AB330+AD330+AF330)</f>
        <v/>
      </c>
      <c r="E330" s="70" t="str">
        <f>IF($A330="","",CHOOSE('Calc riepilogo'!$B$2,'Calc valanga'!$H353,'Calc palla di neve'!$H353,'Calc personalizzata'!$H353))</f>
        <v/>
      </c>
      <c r="F330" s="71" t="str">
        <f>IF($A330="","",CHOOSE('Calc riepilogo'!$B$2,'Calc valanga'!$G353,'Calc palla di neve'!$G353,'Calc personalizzata'!$G353))</f>
        <v/>
      </c>
      <c r="G330" s="72" t="n"/>
      <c r="H330" s="73" t="n"/>
      <c r="I330" s="74" t="str">
        <f>IF($A330="","",TRIM(IF(AND(N(K329)&gt;0,N(K330)&lt;=0.004),"✓ "&amp;'Calc base'!C$6&amp;"   ","")&amp;IF(AND(N(M329)&gt;0,N(M330)&lt;=0.004),"✓ "&amp;'Calc base'!D$6&amp;"   ","")&amp;IF(AND(N(O329)&gt;0,N(O330)&lt;=0.004),"✓ "&amp;'Calc base'!E$6&amp;"   ","")&amp;IF(AND(N(Q329)&gt;0,N(Q330)&lt;=0.004),"✓ "&amp;'Calc base'!F$6&amp;"   ","")&amp;IF(AND(N(S329)&gt;0,N(S330)&lt;=0.004),"✓ "&amp;'Calc base'!G$6&amp;"   ","")&amp;IF(AND(N(U329)&gt;0,N(U330)&lt;=0.004),"✓ "&amp;'Calc base'!H$6&amp;"   ","")&amp;IF(AND(N(W329)&gt;0,N(W330)&lt;=0.004),"✓ "&amp;'Calc base'!I$6&amp;"   ","")&amp;IF(AND(N(Y329)&gt;0,N(Y330)&lt;=0.004),"✓ "&amp;'Calc base'!J$6&amp;"   ","")&amp;IF(AND(N(AA329)&gt;0,N(AA330)&lt;=0.004),"✓ "&amp;'Calc base'!K$6&amp;"   ","")&amp;IF(AND(N(AC329)&gt;0,N(AC330)&lt;=0.004),"✓ "&amp;'Calc base'!L$6&amp;"   ","")&amp;IF(AND(N(AE329)&gt;0,N(AE330)&lt;=0.004),"✓ "&amp;'Calc base'!M$6&amp;"   ","")&amp;IF(AND(N(AG329)&gt;0,N(AG330)&lt;=0.004),"✓ "&amp;'Calc base'!N$6&amp;"   ","")))</f>
        <v/>
      </c>
      <c r="J330" s="70" t="str">
        <f>IF($A330="","",ROUND(N(K329)*(1+'Calc base'!H353),2)-K330)</f>
        <v/>
      </c>
      <c r="K330" s="75" t="str">
        <f>IF($A330="","",CHOOSE('Calc riepilogo'!$B$2,'Calc valanga'!AT353,'Calc palla di neve'!AT353,'Calc personalizzata'!AT353))</f>
        <v/>
      </c>
      <c r="L330" s="70" t="str">
        <f>IF($A330="","",ROUND(N(M329)*(1+'Calc base'!I353),2)-M330)</f>
        <v/>
      </c>
      <c r="M330" s="75" t="str">
        <f>IF($A330="","",CHOOSE('Calc riepilogo'!$B$2,'Calc valanga'!AU353,'Calc palla di neve'!AU353,'Calc personalizzata'!AU353))</f>
        <v/>
      </c>
      <c r="N330" s="70" t="str">
        <f>IF($A330="","",ROUND(N(O329)*(1+'Calc base'!J353),2)-O330)</f>
        <v/>
      </c>
      <c r="O330" s="75" t="str">
        <f>IF($A330="","",CHOOSE('Calc riepilogo'!$B$2,'Calc valanga'!AV353,'Calc palla di neve'!AV353,'Calc personalizzata'!AV353))</f>
        <v/>
      </c>
      <c r="P330" s="70" t="str">
        <f>IF($A330="","",ROUND(N(Q329)*(1+'Calc base'!K353),2)-Q330)</f>
        <v/>
      </c>
      <c r="Q330" s="75" t="str">
        <f>IF($A330="","",CHOOSE('Calc riepilogo'!$B$2,'Calc valanga'!AW353,'Calc palla di neve'!AW353,'Calc personalizzata'!AW353))</f>
        <v/>
      </c>
      <c r="R330" s="70" t="str">
        <f>IF($A330="","",ROUND(N(S329)*(1+'Calc base'!L353),2)-S330)</f>
        <v/>
      </c>
      <c r="S330" s="75" t="str">
        <f>IF($A330="","",CHOOSE('Calc riepilogo'!$B$2,'Calc valanga'!AX353,'Calc palla di neve'!AX353,'Calc personalizzata'!AX353))</f>
        <v/>
      </c>
      <c r="T330" s="70" t="str">
        <f>IF($A330="","",ROUND(N(U329)*(1+'Calc base'!M353),2)-U330)</f>
        <v/>
      </c>
      <c r="U330" s="75" t="str">
        <f>IF($A330="","",CHOOSE('Calc riepilogo'!$B$2,'Calc valanga'!AY353,'Calc palla di neve'!AY353,'Calc personalizzata'!AY353))</f>
        <v/>
      </c>
      <c r="V330" s="70" t="str">
        <f>IF($A330="","",ROUND(N(W329)*(1+'Calc base'!N353),2)-W330)</f>
        <v/>
      </c>
      <c r="W330" s="75" t="str">
        <f>IF($A330="","",CHOOSE('Calc riepilogo'!$B$2,'Calc valanga'!AZ353,'Calc palla di neve'!AZ353,'Calc personalizzata'!AZ353))</f>
        <v/>
      </c>
      <c r="X330" s="70" t="str">
        <f>IF($A330="","",ROUND(N(Y329)*(1+'Calc base'!O353),2)-Y330)</f>
        <v/>
      </c>
      <c r="Y330" s="75" t="str">
        <f>IF($A330="","",CHOOSE('Calc riepilogo'!$B$2,'Calc valanga'!BA353,'Calc palla di neve'!BA353,'Calc personalizzata'!BA353))</f>
        <v/>
      </c>
      <c r="Z330" s="70" t="str">
        <f>IF($A330="","",ROUND(N(AA329)*(1+'Calc base'!P353),2)-AA330)</f>
        <v/>
      </c>
      <c r="AA330" s="75" t="str">
        <f>IF($A330="","",CHOOSE('Calc riepilogo'!$B$2,'Calc valanga'!BB353,'Calc palla di neve'!BB353,'Calc personalizzata'!BB353))</f>
        <v/>
      </c>
      <c r="AB330" s="70" t="str">
        <f>IF($A330="","",ROUND(N(AC329)*(1+'Calc base'!Q353),2)-AC330)</f>
        <v/>
      </c>
      <c r="AC330" s="75" t="str">
        <f>IF($A330="","",CHOOSE('Calc riepilogo'!$B$2,'Calc valanga'!BC353,'Calc palla di neve'!BC353,'Calc personalizzata'!BC353))</f>
        <v/>
      </c>
      <c r="AD330" s="70" t="str">
        <f>IF($A330="","",ROUND(N(AE329)*(1+'Calc base'!R353),2)-AE330)</f>
        <v/>
      </c>
      <c r="AE330" s="75" t="str">
        <f>IF($A330="","",CHOOSE('Calc riepilogo'!$B$2,'Calc valanga'!BD353,'Calc palla di neve'!BD353,'Calc personalizzata'!BD353))</f>
        <v/>
      </c>
      <c r="AF330" s="70" t="str">
        <f>IF($A330="","",ROUND(N(AG329)*(1+'Calc base'!S353),2)-AG330)</f>
        <v/>
      </c>
      <c r="AG330" s="75" t="str">
        <f>IF($A330="","",CHOOSE('Calc riepilogo'!$B$2,'Calc valanga'!BE353,'Calc palla di neve'!BE353,'Calc personalizzata'!BE353))</f>
        <v/>
      </c>
      <c r="AI330" t="n">
        <v>323</v>
      </c>
    </row>
    <row r="331">
      <c r="A331" s="68" t="str">
        <f>IF(324&gt;'Calc riepilogo'!$B$7,"",'Calc base'!$B354)</f>
        <v/>
      </c>
      <c r="B331" s="69" t="str">
        <f>IF($A331="","",'Calc base'!$C354)</f>
        <v/>
      </c>
      <c r="C331" s="69" t="str">
        <f>IF($A331="","",'Calc base'!$E354)</f>
        <v/>
      </c>
      <c r="D331" s="70" t="str">
        <f>IF($A331="","",J331+L331+N331+P331+R331+T331+V331+X331+Z331+AB331+AD331+AF331)</f>
        <v/>
      </c>
      <c r="E331" s="70" t="str">
        <f>IF($A331="","",CHOOSE('Calc riepilogo'!$B$2,'Calc valanga'!$H354,'Calc palla di neve'!$H354,'Calc personalizzata'!$H354))</f>
        <v/>
      </c>
      <c r="F331" s="71" t="str">
        <f>IF($A331="","",CHOOSE('Calc riepilogo'!$B$2,'Calc valanga'!$G354,'Calc palla di neve'!$G354,'Calc personalizzata'!$G354))</f>
        <v/>
      </c>
      <c r="G331" s="72" t="n"/>
      <c r="H331" s="73" t="n"/>
      <c r="I331" s="74" t="str">
        <f>IF($A331="","",TRIM(IF(AND(N(K330)&gt;0,N(K331)&lt;=0.004),"✓ "&amp;'Calc base'!C$6&amp;"   ","")&amp;IF(AND(N(M330)&gt;0,N(M331)&lt;=0.004),"✓ "&amp;'Calc base'!D$6&amp;"   ","")&amp;IF(AND(N(O330)&gt;0,N(O331)&lt;=0.004),"✓ "&amp;'Calc base'!E$6&amp;"   ","")&amp;IF(AND(N(Q330)&gt;0,N(Q331)&lt;=0.004),"✓ "&amp;'Calc base'!F$6&amp;"   ","")&amp;IF(AND(N(S330)&gt;0,N(S331)&lt;=0.004),"✓ "&amp;'Calc base'!G$6&amp;"   ","")&amp;IF(AND(N(U330)&gt;0,N(U331)&lt;=0.004),"✓ "&amp;'Calc base'!H$6&amp;"   ","")&amp;IF(AND(N(W330)&gt;0,N(W331)&lt;=0.004),"✓ "&amp;'Calc base'!I$6&amp;"   ","")&amp;IF(AND(N(Y330)&gt;0,N(Y331)&lt;=0.004),"✓ "&amp;'Calc base'!J$6&amp;"   ","")&amp;IF(AND(N(AA330)&gt;0,N(AA331)&lt;=0.004),"✓ "&amp;'Calc base'!K$6&amp;"   ","")&amp;IF(AND(N(AC330)&gt;0,N(AC331)&lt;=0.004),"✓ "&amp;'Calc base'!L$6&amp;"   ","")&amp;IF(AND(N(AE330)&gt;0,N(AE331)&lt;=0.004),"✓ "&amp;'Calc base'!M$6&amp;"   ","")&amp;IF(AND(N(AG330)&gt;0,N(AG331)&lt;=0.004),"✓ "&amp;'Calc base'!N$6&amp;"   ","")))</f>
        <v/>
      </c>
      <c r="J331" s="70" t="str">
        <f>IF($A331="","",ROUND(N(K330)*(1+'Calc base'!H354),2)-K331)</f>
        <v/>
      </c>
      <c r="K331" s="75" t="str">
        <f>IF($A331="","",CHOOSE('Calc riepilogo'!$B$2,'Calc valanga'!AT354,'Calc palla di neve'!AT354,'Calc personalizzata'!AT354))</f>
        <v/>
      </c>
      <c r="L331" s="70" t="str">
        <f>IF($A331="","",ROUND(N(M330)*(1+'Calc base'!I354),2)-M331)</f>
        <v/>
      </c>
      <c r="M331" s="75" t="str">
        <f>IF($A331="","",CHOOSE('Calc riepilogo'!$B$2,'Calc valanga'!AU354,'Calc palla di neve'!AU354,'Calc personalizzata'!AU354))</f>
        <v/>
      </c>
      <c r="N331" s="70" t="str">
        <f>IF($A331="","",ROUND(N(O330)*(1+'Calc base'!J354),2)-O331)</f>
        <v/>
      </c>
      <c r="O331" s="75" t="str">
        <f>IF($A331="","",CHOOSE('Calc riepilogo'!$B$2,'Calc valanga'!AV354,'Calc palla di neve'!AV354,'Calc personalizzata'!AV354))</f>
        <v/>
      </c>
      <c r="P331" s="70" t="str">
        <f>IF($A331="","",ROUND(N(Q330)*(1+'Calc base'!K354),2)-Q331)</f>
        <v/>
      </c>
      <c r="Q331" s="75" t="str">
        <f>IF($A331="","",CHOOSE('Calc riepilogo'!$B$2,'Calc valanga'!AW354,'Calc palla di neve'!AW354,'Calc personalizzata'!AW354))</f>
        <v/>
      </c>
      <c r="R331" s="70" t="str">
        <f>IF($A331="","",ROUND(N(S330)*(1+'Calc base'!L354),2)-S331)</f>
        <v/>
      </c>
      <c r="S331" s="75" t="str">
        <f>IF($A331="","",CHOOSE('Calc riepilogo'!$B$2,'Calc valanga'!AX354,'Calc palla di neve'!AX354,'Calc personalizzata'!AX354))</f>
        <v/>
      </c>
      <c r="T331" s="70" t="str">
        <f>IF($A331="","",ROUND(N(U330)*(1+'Calc base'!M354),2)-U331)</f>
        <v/>
      </c>
      <c r="U331" s="75" t="str">
        <f>IF($A331="","",CHOOSE('Calc riepilogo'!$B$2,'Calc valanga'!AY354,'Calc palla di neve'!AY354,'Calc personalizzata'!AY354))</f>
        <v/>
      </c>
      <c r="V331" s="70" t="str">
        <f>IF($A331="","",ROUND(N(W330)*(1+'Calc base'!N354),2)-W331)</f>
        <v/>
      </c>
      <c r="W331" s="75" t="str">
        <f>IF($A331="","",CHOOSE('Calc riepilogo'!$B$2,'Calc valanga'!AZ354,'Calc palla di neve'!AZ354,'Calc personalizzata'!AZ354))</f>
        <v/>
      </c>
      <c r="X331" s="70" t="str">
        <f>IF($A331="","",ROUND(N(Y330)*(1+'Calc base'!O354),2)-Y331)</f>
        <v/>
      </c>
      <c r="Y331" s="75" t="str">
        <f>IF($A331="","",CHOOSE('Calc riepilogo'!$B$2,'Calc valanga'!BA354,'Calc palla di neve'!BA354,'Calc personalizzata'!BA354))</f>
        <v/>
      </c>
      <c r="Z331" s="70" t="str">
        <f>IF($A331="","",ROUND(N(AA330)*(1+'Calc base'!P354),2)-AA331)</f>
        <v/>
      </c>
      <c r="AA331" s="75" t="str">
        <f>IF($A331="","",CHOOSE('Calc riepilogo'!$B$2,'Calc valanga'!BB354,'Calc palla di neve'!BB354,'Calc personalizzata'!BB354))</f>
        <v/>
      </c>
      <c r="AB331" s="70" t="str">
        <f>IF($A331="","",ROUND(N(AC330)*(1+'Calc base'!Q354),2)-AC331)</f>
        <v/>
      </c>
      <c r="AC331" s="75" t="str">
        <f>IF($A331="","",CHOOSE('Calc riepilogo'!$B$2,'Calc valanga'!BC354,'Calc palla di neve'!BC354,'Calc personalizzata'!BC354))</f>
        <v/>
      </c>
      <c r="AD331" s="70" t="str">
        <f>IF($A331="","",ROUND(N(AE330)*(1+'Calc base'!R354),2)-AE331)</f>
        <v/>
      </c>
      <c r="AE331" s="75" t="str">
        <f>IF($A331="","",CHOOSE('Calc riepilogo'!$B$2,'Calc valanga'!BD354,'Calc palla di neve'!BD354,'Calc personalizzata'!BD354))</f>
        <v/>
      </c>
      <c r="AF331" s="70" t="str">
        <f>IF($A331="","",ROUND(N(AG330)*(1+'Calc base'!S354),2)-AG331)</f>
        <v/>
      </c>
      <c r="AG331" s="75" t="str">
        <f>IF($A331="","",CHOOSE('Calc riepilogo'!$B$2,'Calc valanga'!BE354,'Calc palla di neve'!BE354,'Calc personalizzata'!BE354))</f>
        <v/>
      </c>
      <c r="AI331" t="n">
        <v>324</v>
      </c>
    </row>
    <row r="332">
      <c r="A332" s="68" t="str">
        <f>IF(325&gt;'Calc riepilogo'!$B$7,"",'Calc base'!$B355)</f>
        <v/>
      </c>
      <c r="B332" s="69" t="str">
        <f>IF($A332="","",'Calc base'!$C355)</f>
        <v/>
      </c>
      <c r="C332" s="69" t="str">
        <f>IF($A332="","",'Calc base'!$E355)</f>
        <v/>
      </c>
      <c r="D332" s="70" t="str">
        <f>IF($A332="","",J332+L332+N332+P332+R332+T332+V332+X332+Z332+AB332+AD332+AF332)</f>
        <v/>
      </c>
      <c r="E332" s="70" t="str">
        <f>IF($A332="","",CHOOSE('Calc riepilogo'!$B$2,'Calc valanga'!$H355,'Calc palla di neve'!$H355,'Calc personalizzata'!$H355))</f>
        <v/>
      </c>
      <c r="F332" s="71" t="str">
        <f>IF($A332="","",CHOOSE('Calc riepilogo'!$B$2,'Calc valanga'!$G355,'Calc palla di neve'!$G355,'Calc personalizzata'!$G355))</f>
        <v/>
      </c>
      <c r="G332" s="72" t="n"/>
      <c r="H332" s="73" t="n"/>
      <c r="I332" s="74" t="str">
        <f>IF($A332="","",TRIM(IF(AND(N(K331)&gt;0,N(K332)&lt;=0.004),"✓ "&amp;'Calc base'!C$6&amp;"   ","")&amp;IF(AND(N(M331)&gt;0,N(M332)&lt;=0.004),"✓ "&amp;'Calc base'!D$6&amp;"   ","")&amp;IF(AND(N(O331)&gt;0,N(O332)&lt;=0.004),"✓ "&amp;'Calc base'!E$6&amp;"   ","")&amp;IF(AND(N(Q331)&gt;0,N(Q332)&lt;=0.004),"✓ "&amp;'Calc base'!F$6&amp;"   ","")&amp;IF(AND(N(S331)&gt;0,N(S332)&lt;=0.004),"✓ "&amp;'Calc base'!G$6&amp;"   ","")&amp;IF(AND(N(U331)&gt;0,N(U332)&lt;=0.004),"✓ "&amp;'Calc base'!H$6&amp;"   ","")&amp;IF(AND(N(W331)&gt;0,N(W332)&lt;=0.004),"✓ "&amp;'Calc base'!I$6&amp;"   ","")&amp;IF(AND(N(Y331)&gt;0,N(Y332)&lt;=0.004),"✓ "&amp;'Calc base'!J$6&amp;"   ","")&amp;IF(AND(N(AA331)&gt;0,N(AA332)&lt;=0.004),"✓ "&amp;'Calc base'!K$6&amp;"   ","")&amp;IF(AND(N(AC331)&gt;0,N(AC332)&lt;=0.004),"✓ "&amp;'Calc base'!L$6&amp;"   ","")&amp;IF(AND(N(AE331)&gt;0,N(AE332)&lt;=0.004),"✓ "&amp;'Calc base'!M$6&amp;"   ","")&amp;IF(AND(N(AG331)&gt;0,N(AG332)&lt;=0.004),"✓ "&amp;'Calc base'!N$6&amp;"   ","")))</f>
        <v/>
      </c>
      <c r="J332" s="70" t="str">
        <f>IF($A332="","",ROUND(N(K331)*(1+'Calc base'!H355),2)-K332)</f>
        <v/>
      </c>
      <c r="K332" s="75" t="str">
        <f>IF($A332="","",CHOOSE('Calc riepilogo'!$B$2,'Calc valanga'!AT355,'Calc palla di neve'!AT355,'Calc personalizzata'!AT355))</f>
        <v/>
      </c>
      <c r="L332" s="70" t="str">
        <f>IF($A332="","",ROUND(N(M331)*(1+'Calc base'!I355),2)-M332)</f>
        <v/>
      </c>
      <c r="M332" s="75" t="str">
        <f>IF($A332="","",CHOOSE('Calc riepilogo'!$B$2,'Calc valanga'!AU355,'Calc palla di neve'!AU355,'Calc personalizzata'!AU355))</f>
        <v/>
      </c>
      <c r="N332" s="70" t="str">
        <f>IF($A332="","",ROUND(N(O331)*(1+'Calc base'!J355),2)-O332)</f>
        <v/>
      </c>
      <c r="O332" s="75" t="str">
        <f>IF($A332="","",CHOOSE('Calc riepilogo'!$B$2,'Calc valanga'!AV355,'Calc palla di neve'!AV355,'Calc personalizzata'!AV355))</f>
        <v/>
      </c>
      <c r="P332" s="70" t="str">
        <f>IF($A332="","",ROUND(N(Q331)*(1+'Calc base'!K355),2)-Q332)</f>
        <v/>
      </c>
      <c r="Q332" s="75" t="str">
        <f>IF($A332="","",CHOOSE('Calc riepilogo'!$B$2,'Calc valanga'!AW355,'Calc palla di neve'!AW355,'Calc personalizzata'!AW355))</f>
        <v/>
      </c>
      <c r="R332" s="70" t="str">
        <f>IF($A332="","",ROUND(N(S331)*(1+'Calc base'!L355),2)-S332)</f>
        <v/>
      </c>
      <c r="S332" s="75" t="str">
        <f>IF($A332="","",CHOOSE('Calc riepilogo'!$B$2,'Calc valanga'!AX355,'Calc palla di neve'!AX355,'Calc personalizzata'!AX355))</f>
        <v/>
      </c>
      <c r="T332" s="70" t="str">
        <f>IF($A332="","",ROUND(N(U331)*(1+'Calc base'!M355),2)-U332)</f>
        <v/>
      </c>
      <c r="U332" s="75" t="str">
        <f>IF($A332="","",CHOOSE('Calc riepilogo'!$B$2,'Calc valanga'!AY355,'Calc palla di neve'!AY355,'Calc personalizzata'!AY355))</f>
        <v/>
      </c>
      <c r="V332" s="70" t="str">
        <f>IF($A332="","",ROUND(N(W331)*(1+'Calc base'!N355),2)-W332)</f>
        <v/>
      </c>
      <c r="W332" s="75" t="str">
        <f>IF($A332="","",CHOOSE('Calc riepilogo'!$B$2,'Calc valanga'!AZ355,'Calc palla di neve'!AZ355,'Calc personalizzata'!AZ355))</f>
        <v/>
      </c>
      <c r="X332" s="70" t="str">
        <f>IF($A332="","",ROUND(N(Y331)*(1+'Calc base'!O355),2)-Y332)</f>
        <v/>
      </c>
      <c r="Y332" s="75" t="str">
        <f>IF($A332="","",CHOOSE('Calc riepilogo'!$B$2,'Calc valanga'!BA355,'Calc palla di neve'!BA355,'Calc personalizzata'!BA355))</f>
        <v/>
      </c>
      <c r="Z332" s="70" t="str">
        <f>IF($A332="","",ROUND(N(AA331)*(1+'Calc base'!P355),2)-AA332)</f>
        <v/>
      </c>
      <c r="AA332" s="75" t="str">
        <f>IF($A332="","",CHOOSE('Calc riepilogo'!$B$2,'Calc valanga'!BB355,'Calc palla di neve'!BB355,'Calc personalizzata'!BB355))</f>
        <v/>
      </c>
      <c r="AB332" s="70" t="str">
        <f>IF($A332="","",ROUND(N(AC331)*(1+'Calc base'!Q355),2)-AC332)</f>
        <v/>
      </c>
      <c r="AC332" s="75" t="str">
        <f>IF($A332="","",CHOOSE('Calc riepilogo'!$B$2,'Calc valanga'!BC355,'Calc palla di neve'!BC355,'Calc personalizzata'!BC355))</f>
        <v/>
      </c>
      <c r="AD332" s="70" t="str">
        <f>IF($A332="","",ROUND(N(AE331)*(1+'Calc base'!R355),2)-AE332)</f>
        <v/>
      </c>
      <c r="AE332" s="75" t="str">
        <f>IF($A332="","",CHOOSE('Calc riepilogo'!$B$2,'Calc valanga'!BD355,'Calc palla di neve'!BD355,'Calc personalizzata'!BD355))</f>
        <v/>
      </c>
      <c r="AF332" s="70" t="str">
        <f>IF($A332="","",ROUND(N(AG331)*(1+'Calc base'!S355),2)-AG332)</f>
        <v/>
      </c>
      <c r="AG332" s="75" t="str">
        <f>IF($A332="","",CHOOSE('Calc riepilogo'!$B$2,'Calc valanga'!BE355,'Calc palla di neve'!BE355,'Calc personalizzata'!BE355))</f>
        <v/>
      </c>
      <c r="AI332" t="n">
        <v>325</v>
      </c>
    </row>
    <row r="333">
      <c r="A333" s="68" t="str">
        <f>IF(326&gt;'Calc riepilogo'!$B$7,"",'Calc base'!$B356)</f>
        <v/>
      </c>
      <c r="B333" s="69" t="str">
        <f>IF($A333="","",'Calc base'!$C356)</f>
        <v/>
      </c>
      <c r="C333" s="69" t="str">
        <f>IF($A333="","",'Calc base'!$E356)</f>
        <v/>
      </c>
      <c r="D333" s="70" t="str">
        <f>IF($A333="","",J333+L333+N333+P333+R333+T333+V333+X333+Z333+AB333+AD333+AF333)</f>
        <v/>
      </c>
      <c r="E333" s="70" t="str">
        <f>IF($A333="","",CHOOSE('Calc riepilogo'!$B$2,'Calc valanga'!$H356,'Calc palla di neve'!$H356,'Calc personalizzata'!$H356))</f>
        <v/>
      </c>
      <c r="F333" s="71" t="str">
        <f>IF($A333="","",CHOOSE('Calc riepilogo'!$B$2,'Calc valanga'!$G356,'Calc palla di neve'!$G356,'Calc personalizzata'!$G356))</f>
        <v/>
      </c>
      <c r="G333" s="72" t="n"/>
      <c r="H333" s="73" t="n"/>
      <c r="I333" s="74" t="str">
        <f>IF($A333="","",TRIM(IF(AND(N(K332)&gt;0,N(K333)&lt;=0.004),"✓ "&amp;'Calc base'!C$6&amp;"   ","")&amp;IF(AND(N(M332)&gt;0,N(M333)&lt;=0.004),"✓ "&amp;'Calc base'!D$6&amp;"   ","")&amp;IF(AND(N(O332)&gt;0,N(O333)&lt;=0.004),"✓ "&amp;'Calc base'!E$6&amp;"   ","")&amp;IF(AND(N(Q332)&gt;0,N(Q333)&lt;=0.004),"✓ "&amp;'Calc base'!F$6&amp;"   ","")&amp;IF(AND(N(S332)&gt;0,N(S333)&lt;=0.004),"✓ "&amp;'Calc base'!G$6&amp;"   ","")&amp;IF(AND(N(U332)&gt;0,N(U333)&lt;=0.004),"✓ "&amp;'Calc base'!H$6&amp;"   ","")&amp;IF(AND(N(W332)&gt;0,N(W333)&lt;=0.004),"✓ "&amp;'Calc base'!I$6&amp;"   ","")&amp;IF(AND(N(Y332)&gt;0,N(Y333)&lt;=0.004),"✓ "&amp;'Calc base'!J$6&amp;"   ","")&amp;IF(AND(N(AA332)&gt;0,N(AA333)&lt;=0.004),"✓ "&amp;'Calc base'!K$6&amp;"   ","")&amp;IF(AND(N(AC332)&gt;0,N(AC333)&lt;=0.004),"✓ "&amp;'Calc base'!L$6&amp;"   ","")&amp;IF(AND(N(AE332)&gt;0,N(AE333)&lt;=0.004),"✓ "&amp;'Calc base'!M$6&amp;"   ","")&amp;IF(AND(N(AG332)&gt;0,N(AG333)&lt;=0.004),"✓ "&amp;'Calc base'!N$6&amp;"   ","")))</f>
        <v/>
      </c>
      <c r="J333" s="70" t="str">
        <f>IF($A333="","",ROUND(N(K332)*(1+'Calc base'!H356),2)-K333)</f>
        <v/>
      </c>
      <c r="K333" s="75" t="str">
        <f>IF($A333="","",CHOOSE('Calc riepilogo'!$B$2,'Calc valanga'!AT356,'Calc palla di neve'!AT356,'Calc personalizzata'!AT356))</f>
        <v/>
      </c>
      <c r="L333" s="70" t="str">
        <f>IF($A333="","",ROUND(N(M332)*(1+'Calc base'!I356),2)-M333)</f>
        <v/>
      </c>
      <c r="M333" s="75" t="str">
        <f>IF($A333="","",CHOOSE('Calc riepilogo'!$B$2,'Calc valanga'!AU356,'Calc palla di neve'!AU356,'Calc personalizzata'!AU356))</f>
        <v/>
      </c>
      <c r="N333" s="70" t="str">
        <f>IF($A333="","",ROUND(N(O332)*(1+'Calc base'!J356),2)-O333)</f>
        <v/>
      </c>
      <c r="O333" s="75" t="str">
        <f>IF($A333="","",CHOOSE('Calc riepilogo'!$B$2,'Calc valanga'!AV356,'Calc palla di neve'!AV356,'Calc personalizzata'!AV356))</f>
        <v/>
      </c>
      <c r="P333" s="70" t="str">
        <f>IF($A333="","",ROUND(N(Q332)*(1+'Calc base'!K356),2)-Q333)</f>
        <v/>
      </c>
      <c r="Q333" s="75" t="str">
        <f>IF($A333="","",CHOOSE('Calc riepilogo'!$B$2,'Calc valanga'!AW356,'Calc palla di neve'!AW356,'Calc personalizzata'!AW356))</f>
        <v/>
      </c>
      <c r="R333" s="70" t="str">
        <f>IF($A333="","",ROUND(N(S332)*(1+'Calc base'!L356),2)-S333)</f>
        <v/>
      </c>
      <c r="S333" s="75" t="str">
        <f>IF($A333="","",CHOOSE('Calc riepilogo'!$B$2,'Calc valanga'!AX356,'Calc palla di neve'!AX356,'Calc personalizzata'!AX356))</f>
        <v/>
      </c>
      <c r="T333" s="70" t="str">
        <f>IF($A333="","",ROUND(N(U332)*(1+'Calc base'!M356),2)-U333)</f>
        <v/>
      </c>
      <c r="U333" s="75" t="str">
        <f>IF($A333="","",CHOOSE('Calc riepilogo'!$B$2,'Calc valanga'!AY356,'Calc palla di neve'!AY356,'Calc personalizzata'!AY356))</f>
        <v/>
      </c>
      <c r="V333" s="70" t="str">
        <f>IF($A333="","",ROUND(N(W332)*(1+'Calc base'!N356),2)-W333)</f>
        <v/>
      </c>
      <c r="W333" s="75" t="str">
        <f>IF($A333="","",CHOOSE('Calc riepilogo'!$B$2,'Calc valanga'!AZ356,'Calc palla di neve'!AZ356,'Calc personalizzata'!AZ356))</f>
        <v/>
      </c>
      <c r="X333" s="70" t="str">
        <f>IF($A333="","",ROUND(N(Y332)*(1+'Calc base'!O356),2)-Y333)</f>
        <v/>
      </c>
      <c r="Y333" s="75" t="str">
        <f>IF($A333="","",CHOOSE('Calc riepilogo'!$B$2,'Calc valanga'!BA356,'Calc palla di neve'!BA356,'Calc personalizzata'!BA356))</f>
        <v/>
      </c>
      <c r="Z333" s="70" t="str">
        <f>IF($A333="","",ROUND(N(AA332)*(1+'Calc base'!P356),2)-AA333)</f>
        <v/>
      </c>
      <c r="AA333" s="75" t="str">
        <f>IF($A333="","",CHOOSE('Calc riepilogo'!$B$2,'Calc valanga'!BB356,'Calc palla di neve'!BB356,'Calc personalizzata'!BB356))</f>
        <v/>
      </c>
      <c r="AB333" s="70" t="str">
        <f>IF($A333="","",ROUND(N(AC332)*(1+'Calc base'!Q356),2)-AC333)</f>
        <v/>
      </c>
      <c r="AC333" s="75" t="str">
        <f>IF($A333="","",CHOOSE('Calc riepilogo'!$B$2,'Calc valanga'!BC356,'Calc palla di neve'!BC356,'Calc personalizzata'!BC356))</f>
        <v/>
      </c>
      <c r="AD333" s="70" t="str">
        <f>IF($A333="","",ROUND(N(AE332)*(1+'Calc base'!R356),2)-AE333)</f>
        <v/>
      </c>
      <c r="AE333" s="75" t="str">
        <f>IF($A333="","",CHOOSE('Calc riepilogo'!$B$2,'Calc valanga'!BD356,'Calc palla di neve'!BD356,'Calc personalizzata'!BD356))</f>
        <v/>
      </c>
      <c r="AF333" s="70" t="str">
        <f>IF($A333="","",ROUND(N(AG332)*(1+'Calc base'!S356),2)-AG333)</f>
        <v/>
      </c>
      <c r="AG333" s="75" t="str">
        <f>IF($A333="","",CHOOSE('Calc riepilogo'!$B$2,'Calc valanga'!BE356,'Calc palla di neve'!BE356,'Calc personalizzata'!BE356))</f>
        <v/>
      </c>
      <c r="AI333" t="n">
        <v>326</v>
      </c>
    </row>
    <row r="334">
      <c r="A334" s="68" t="str">
        <f>IF(327&gt;'Calc riepilogo'!$B$7,"",'Calc base'!$B357)</f>
        <v/>
      </c>
      <c r="B334" s="69" t="str">
        <f>IF($A334="","",'Calc base'!$C357)</f>
        <v/>
      </c>
      <c r="C334" s="69" t="str">
        <f>IF($A334="","",'Calc base'!$E357)</f>
        <v/>
      </c>
      <c r="D334" s="70" t="str">
        <f>IF($A334="","",J334+L334+N334+P334+R334+T334+V334+X334+Z334+AB334+AD334+AF334)</f>
        <v/>
      </c>
      <c r="E334" s="70" t="str">
        <f>IF($A334="","",CHOOSE('Calc riepilogo'!$B$2,'Calc valanga'!$H357,'Calc palla di neve'!$H357,'Calc personalizzata'!$H357))</f>
        <v/>
      </c>
      <c r="F334" s="71" t="str">
        <f>IF($A334="","",CHOOSE('Calc riepilogo'!$B$2,'Calc valanga'!$G357,'Calc palla di neve'!$G357,'Calc personalizzata'!$G357))</f>
        <v/>
      </c>
      <c r="G334" s="72" t="n"/>
      <c r="H334" s="73" t="n"/>
      <c r="I334" s="74" t="str">
        <f>IF($A334="","",TRIM(IF(AND(N(K333)&gt;0,N(K334)&lt;=0.004),"✓ "&amp;'Calc base'!C$6&amp;"   ","")&amp;IF(AND(N(M333)&gt;0,N(M334)&lt;=0.004),"✓ "&amp;'Calc base'!D$6&amp;"   ","")&amp;IF(AND(N(O333)&gt;0,N(O334)&lt;=0.004),"✓ "&amp;'Calc base'!E$6&amp;"   ","")&amp;IF(AND(N(Q333)&gt;0,N(Q334)&lt;=0.004),"✓ "&amp;'Calc base'!F$6&amp;"   ","")&amp;IF(AND(N(S333)&gt;0,N(S334)&lt;=0.004),"✓ "&amp;'Calc base'!G$6&amp;"   ","")&amp;IF(AND(N(U333)&gt;0,N(U334)&lt;=0.004),"✓ "&amp;'Calc base'!H$6&amp;"   ","")&amp;IF(AND(N(W333)&gt;0,N(W334)&lt;=0.004),"✓ "&amp;'Calc base'!I$6&amp;"   ","")&amp;IF(AND(N(Y333)&gt;0,N(Y334)&lt;=0.004),"✓ "&amp;'Calc base'!J$6&amp;"   ","")&amp;IF(AND(N(AA333)&gt;0,N(AA334)&lt;=0.004),"✓ "&amp;'Calc base'!K$6&amp;"   ","")&amp;IF(AND(N(AC333)&gt;0,N(AC334)&lt;=0.004),"✓ "&amp;'Calc base'!L$6&amp;"   ","")&amp;IF(AND(N(AE333)&gt;0,N(AE334)&lt;=0.004),"✓ "&amp;'Calc base'!M$6&amp;"   ","")&amp;IF(AND(N(AG333)&gt;0,N(AG334)&lt;=0.004),"✓ "&amp;'Calc base'!N$6&amp;"   ","")))</f>
        <v/>
      </c>
      <c r="J334" s="70" t="str">
        <f>IF($A334="","",ROUND(N(K333)*(1+'Calc base'!H357),2)-K334)</f>
        <v/>
      </c>
      <c r="K334" s="75" t="str">
        <f>IF($A334="","",CHOOSE('Calc riepilogo'!$B$2,'Calc valanga'!AT357,'Calc palla di neve'!AT357,'Calc personalizzata'!AT357))</f>
        <v/>
      </c>
      <c r="L334" s="70" t="str">
        <f>IF($A334="","",ROUND(N(M333)*(1+'Calc base'!I357),2)-M334)</f>
        <v/>
      </c>
      <c r="M334" s="75" t="str">
        <f>IF($A334="","",CHOOSE('Calc riepilogo'!$B$2,'Calc valanga'!AU357,'Calc palla di neve'!AU357,'Calc personalizzata'!AU357))</f>
        <v/>
      </c>
      <c r="N334" s="70" t="str">
        <f>IF($A334="","",ROUND(N(O333)*(1+'Calc base'!J357),2)-O334)</f>
        <v/>
      </c>
      <c r="O334" s="75" t="str">
        <f>IF($A334="","",CHOOSE('Calc riepilogo'!$B$2,'Calc valanga'!AV357,'Calc palla di neve'!AV357,'Calc personalizzata'!AV357))</f>
        <v/>
      </c>
      <c r="P334" s="70" t="str">
        <f>IF($A334="","",ROUND(N(Q333)*(1+'Calc base'!K357),2)-Q334)</f>
        <v/>
      </c>
      <c r="Q334" s="75" t="str">
        <f>IF($A334="","",CHOOSE('Calc riepilogo'!$B$2,'Calc valanga'!AW357,'Calc palla di neve'!AW357,'Calc personalizzata'!AW357))</f>
        <v/>
      </c>
      <c r="R334" s="70" t="str">
        <f>IF($A334="","",ROUND(N(S333)*(1+'Calc base'!L357),2)-S334)</f>
        <v/>
      </c>
      <c r="S334" s="75" t="str">
        <f>IF($A334="","",CHOOSE('Calc riepilogo'!$B$2,'Calc valanga'!AX357,'Calc palla di neve'!AX357,'Calc personalizzata'!AX357))</f>
        <v/>
      </c>
      <c r="T334" s="70" t="str">
        <f>IF($A334="","",ROUND(N(U333)*(1+'Calc base'!M357),2)-U334)</f>
        <v/>
      </c>
      <c r="U334" s="75" t="str">
        <f>IF($A334="","",CHOOSE('Calc riepilogo'!$B$2,'Calc valanga'!AY357,'Calc palla di neve'!AY357,'Calc personalizzata'!AY357))</f>
        <v/>
      </c>
      <c r="V334" s="70" t="str">
        <f>IF($A334="","",ROUND(N(W333)*(1+'Calc base'!N357),2)-W334)</f>
        <v/>
      </c>
      <c r="W334" s="75" t="str">
        <f>IF($A334="","",CHOOSE('Calc riepilogo'!$B$2,'Calc valanga'!AZ357,'Calc palla di neve'!AZ357,'Calc personalizzata'!AZ357))</f>
        <v/>
      </c>
      <c r="X334" s="70" t="str">
        <f>IF($A334="","",ROUND(N(Y333)*(1+'Calc base'!O357),2)-Y334)</f>
        <v/>
      </c>
      <c r="Y334" s="75" t="str">
        <f>IF($A334="","",CHOOSE('Calc riepilogo'!$B$2,'Calc valanga'!BA357,'Calc palla di neve'!BA357,'Calc personalizzata'!BA357))</f>
        <v/>
      </c>
      <c r="Z334" s="70" t="str">
        <f>IF($A334="","",ROUND(N(AA333)*(1+'Calc base'!P357),2)-AA334)</f>
        <v/>
      </c>
      <c r="AA334" s="75" t="str">
        <f>IF($A334="","",CHOOSE('Calc riepilogo'!$B$2,'Calc valanga'!BB357,'Calc palla di neve'!BB357,'Calc personalizzata'!BB357))</f>
        <v/>
      </c>
      <c r="AB334" s="70" t="str">
        <f>IF($A334="","",ROUND(N(AC333)*(1+'Calc base'!Q357),2)-AC334)</f>
        <v/>
      </c>
      <c r="AC334" s="75" t="str">
        <f>IF($A334="","",CHOOSE('Calc riepilogo'!$B$2,'Calc valanga'!BC357,'Calc palla di neve'!BC357,'Calc personalizzata'!BC357))</f>
        <v/>
      </c>
      <c r="AD334" s="70" t="str">
        <f>IF($A334="","",ROUND(N(AE333)*(1+'Calc base'!R357),2)-AE334)</f>
        <v/>
      </c>
      <c r="AE334" s="75" t="str">
        <f>IF($A334="","",CHOOSE('Calc riepilogo'!$B$2,'Calc valanga'!BD357,'Calc palla di neve'!BD357,'Calc personalizzata'!BD357))</f>
        <v/>
      </c>
      <c r="AF334" s="70" t="str">
        <f>IF($A334="","",ROUND(N(AG333)*(1+'Calc base'!S357),2)-AG334)</f>
        <v/>
      </c>
      <c r="AG334" s="75" t="str">
        <f>IF($A334="","",CHOOSE('Calc riepilogo'!$B$2,'Calc valanga'!BE357,'Calc palla di neve'!BE357,'Calc personalizzata'!BE357))</f>
        <v/>
      </c>
      <c r="AI334" t="n">
        <v>327</v>
      </c>
    </row>
    <row r="335">
      <c r="A335" s="68" t="str">
        <f>IF(328&gt;'Calc riepilogo'!$B$7,"",'Calc base'!$B358)</f>
        <v/>
      </c>
      <c r="B335" s="69" t="str">
        <f>IF($A335="","",'Calc base'!$C358)</f>
        <v/>
      </c>
      <c r="C335" s="69" t="str">
        <f>IF($A335="","",'Calc base'!$E358)</f>
        <v/>
      </c>
      <c r="D335" s="70" t="str">
        <f>IF($A335="","",J335+L335+N335+P335+R335+T335+V335+X335+Z335+AB335+AD335+AF335)</f>
        <v/>
      </c>
      <c r="E335" s="70" t="str">
        <f>IF($A335="","",CHOOSE('Calc riepilogo'!$B$2,'Calc valanga'!$H358,'Calc palla di neve'!$H358,'Calc personalizzata'!$H358))</f>
        <v/>
      </c>
      <c r="F335" s="71" t="str">
        <f>IF($A335="","",CHOOSE('Calc riepilogo'!$B$2,'Calc valanga'!$G358,'Calc palla di neve'!$G358,'Calc personalizzata'!$G358))</f>
        <v/>
      </c>
      <c r="G335" s="72" t="n"/>
      <c r="H335" s="73" t="n"/>
      <c r="I335" s="74" t="str">
        <f>IF($A335="","",TRIM(IF(AND(N(K334)&gt;0,N(K335)&lt;=0.004),"✓ "&amp;'Calc base'!C$6&amp;"   ","")&amp;IF(AND(N(M334)&gt;0,N(M335)&lt;=0.004),"✓ "&amp;'Calc base'!D$6&amp;"   ","")&amp;IF(AND(N(O334)&gt;0,N(O335)&lt;=0.004),"✓ "&amp;'Calc base'!E$6&amp;"   ","")&amp;IF(AND(N(Q334)&gt;0,N(Q335)&lt;=0.004),"✓ "&amp;'Calc base'!F$6&amp;"   ","")&amp;IF(AND(N(S334)&gt;0,N(S335)&lt;=0.004),"✓ "&amp;'Calc base'!G$6&amp;"   ","")&amp;IF(AND(N(U334)&gt;0,N(U335)&lt;=0.004),"✓ "&amp;'Calc base'!H$6&amp;"   ","")&amp;IF(AND(N(W334)&gt;0,N(W335)&lt;=0.004),"✓ "&amp;'Calc base'!I$6&amp;"   ","")&amp;IF(AND(N(Y334)&gt;0,N(Y335)&lt;=0.004),"✓ "&amp;'Calc base'!J$6&amp;"   ","")&amp;IF(AND(N(AA334)&gt;0,N(AA335)&lt;=0.004),"✓ "&amp;'Calc base'!K$6&amp;"   ","")&amp;IF(AND(N(AC334)&gt;0,N(AC335)&lt;=0.004),"✓ "&amp;'Calc base'!L$6&amp;"   ","")&amp;IF(AND(N(AE334)&gt;0,N(AE335)&lt;=0.004),"✓ "&amp;'Calc base'!M$6&amp;"   ","")&amp;IF(AND(N(AG334)&gt;0,N(AG335)&lt;=0.004),"✓ "&amp;'Calc base'!N$6&amp;"   ","")))</f>
        <v/>
      </c>
      <c r="J335" s="70" t="str">
        <f>IF($A335="","",ROUND(N(K334)*(1+'Calc base'!H358),2)-K335)</f>
        <v/>
      </c>
      <c r="K335" s="75" t="str">
        <f>IF($A335="","",CHOOSE('Calc riepilogo'!$B$2,'Calc valanga'!AT358,'Calc palla di neve'!AT358,'Calc personalizzata'!AT358))</f>
        <v/>
      </c>
      <c r="L335" s="70" t="str">
        <f>IF($A335="","",ROUND(N(M334)*(1+'Calc base'!I358),2)-M335)</f>
        <v/>
      </c>
      <c r="M335" s="75" t="str">
        <f>IF($A335="","",CHOOSE('Calc riepilogo'!$B$2,'Calc valanga'!AU358,'Calc palla di neve'!AU358,'Calc personalizzata'!AU358))</f>
        <v/>
      </c>
      <c r="N335" s="70" t="str">
        <f>IF($A335="","",ROUND(N(O334)*(1+'Calc base'!J358),2)-O335)</f>
        <v/>
      </c>
      <c r="O335" s="75" t="str">
        <f>IF($A335="","",CHOOSE('Calc riepilogo'!$B$2,'Calc valanga'!AV358,'Calc palla di neve'!AV358,'Calc personalizzata'!AV358))</f>
        <v/>
      </c>
      <c r="P335" s="70" t="str">
        <f>IF($A335="","",ROUND(N(Q334)*(1+'Calc base'!K358),2)-Q335)</f>
        <v/>
      </c>
      <c r="Q335" s="75" t="str">
        <f>IF($A335="","",CHOOSE('Calc riepilogo'!$B$2,'Calc valanga'!AW358,'Calc palla di neve'!AW358,'Calc personalizzata'!AW358))</f>
        <v/>
      </c>
      <c r="R335" s="70" t="str">
        <f>IF($A335="","",ROUND(N(S334)*(1+'Calc base'!L358),2)-S335)</f>
        <v/>
      </c>
      <c r="S335" s="75" t="str">
        <f>IF($A335="","",CHOOSE('Calc riepilogo'!$B$2,'Calc valanga'!AX358,'Calc palla di neve'!AX358,'Calc personalizzata'!AX358))</f>
        <v/>
      </c>
      <c r="T335" s="70" t="str">
        <f>IF($A335="","",ROUND(N(U334)*(1+'Calc base'!M358),2)-U335)</f>
        <v/>
      </c>
      <c r="U335" s="75" t="str">
        <f>IF($A335="","",CHOOSE('Calc riepilogo'!$B$2,'Calc valanga'!AY358,'Calc palla di neve'!AY358,'Calc personalizzata'!AY358))</f>
        <v/>
      </c>
      <c r="V335" s="70" t="str">
        <f>IF($A335="","",ROUND(N(W334)*(1+'Calc base'!N358),2)-W335)</f>
        <v/>
      </c>
      <c r="W335" s="75" t="str">
        <f>IF($A335="","",CHOOSE('Calc riepilogo'!$B$2,'Calc valanga'!AZ358,'Calc palla di neve'!AZ358,'Calc personalizzata'!AZ358))</f>
        <v/>
      </c>
      <c r="X335" s="70" t="str">
        <f>IF($A335="","",ROUND(N(Y334)*(1+'Calc base'!O358),2)-Y335)</f>
        <v/>
      </c>
      <c r="Y335" s="75" t="str">
        <f>IF($A335="","",CHOOSE('Calc riepilogo'!$B$2,'Calc valanga'!BA358,'Calc palla di neve'!BA358,'Calc personalizzata'!BA358))</f>
        <v/>
      </c>
      <c r="Z335" s="70" t="str">
        <f>IF($A335="","",ROUND(N(AA334)*(1+'Calc base'!P358),2)-AA335)</f>
        <v/>
      </c>
      <c r="AA335" s="75" t="str">
        <f>IF($A335="","",CHOOSE('Calc riepilogo'!$B$2,'Calc valanga'!BB358,'Calc palla di neve'!BB358,'Calc personalizzata'!BB358))</f>
        <v/>
      </c>
      <c r="AB335" s="70" t="str">
        <f>IF($A335="","",ROUND(N(AC334)*(1+'Calc base'!Q358),2)-AC335)</f>
        <v/>
      </c>
      <c r="AC335" s="75" t="str">
        <f>IF($A335="","",CHOOSE('Calc riepilogo'!$B$2,'Calc valanga'!BC358,'Calc palla di neve'!BC358,'Calc personalizzata'!BC358))</f>
        <v/>
      </c>
      <c r="AD335" s="70" t="str">
        <f>IF($A335="","",ROUND(N(AE334)*(1+'Calc base'!R358),2)-AE335)</f>
        <v/>
      </c>
      <c r="AE335" s="75" t="str">
        <f>IF($A335="","",CHOOSE('Calc riepilogo'!$B$2,'Calc valanga'!BD358,'Calc palla di neve'!BD358,'Calc personalizzata'!BD358))</f>
        <v/>
      </c>
      <c r="AF335" s="70" t="str">
        <f>IF($A335="","",ROUND(N(AG334)*(1+'Calc base'!S358),2)-AG335)</f>
        <v/>
      </c>
      <c r="AG335" s="75" t="str">
        <f>IF($A335="","",CHOOSE('Calc riepilogo'!$B$2,'Calc valanga'!BE358,'Calc palla di neve'!BE358,'Calc personalizzata'!BE358))</f>
        <v/>
      </c>
      <c r="AI335" t="n">
        <v>328</v>
      </c>
    </row>
    <row r="336">
      <c r="A336" s="68" t="str">
        <f>IF(329&gt;'Calc riepilogo'!$B$7,"",'Calc base'!$B359)</f>
        <v/>
      </c>
      <c r="B336" s="69" t="str">
        <f>IF($A336="","",'Calc base'!$C359)</f>
        <v/>
      </c>
      <c r="C336" s="69" t="str">
        <f>IF($A336="","",'Calc base'!$E359)</f>
        <v/>
      </c>
      <c r="D336" s="70" t="str">
        <f>IF($A336="","",J336+L336+N336+P336+R336+T336+V336+X336+Z336+AB336+AD336+AF336)</f>
        <v/>
      </c>
      <c r="E336" s="70" t="str">
        <f>IF($A336="","",CHOOSE('Calc riepilogo'!$B$2,'Calc valanga'!$H359,'Calc palla di neve'!$H359,'Calc personalizzata'!$H359))</f>
        <v/>
      </c>
      <c r="F336" s="71" t="str">
        <f>IF($A336="","",CHOOSE('Calc riepilogo'!$B$2,'Calc valanga'!$G359,'Calc palla di neve'!$G359,'Calc personalizzata'!$G359))</f>
        <v/>
      </c>
      <c r="G336" s="72" t="n"/>
      <c r="H336" s="73" t="n"/>
      <c r="I336" s="74" t="str">
        <f>IF($A336="","",TRIM(IF(AND(N(K335)&gt;0,N(K336)&lt;=0.004),"✓ "&amp;'Calc base'!C$6&amp;"   ","")&amp;IF(AND(N(M335)&gt;0,N(M336)&lt;=0.004),"✓ "&amp;'Calc base'!D$6&amp;"   ","")&amp;IF(AND(N(O335)&gt;0,N(O336)&lt;=0.004),"✓ "&amp;'Calc base'!E$6&amp;"   ","")&amp;IF(AND(N(Q335)&gt;0,N(Q336)&lt;=0.004),"✓ "&amp;'Calc base'!F$6&amp;"   ","")&amp;IF(AND(N(S335)&gt;0,N(S336)&lt;=0.004),"✓ "&amp;'Calc base'!G$6&amp;"   ","")&amp;IF(AND(N(U335)&gt;0,N(U336)&lt;=0.004),"✓ "&amp;'Calc base'!H$6&amp;"   ","")&amp;IF(AND(N(W335)&gt;0,N(W336)&lt;=0.004),"✓ "&amp;'Calc base'!I$6&amp;"   ","")&amp;IF(AND(N(Y335)&gt;0,N(Y336)&lt;=0.004),"✓ "&amp;'Calc base'!J$6&amp;"   ","")&amp;IF(AND(N(AA335)&gt;0,N(AA336)&lt;=0.004),"✓ "&amp;'Calc base'!K$6&amp;"   ","")&amp;IF(AND(N(AC335)&gt;0,N(AC336)&lt;=0.004),"✓ "&amp;'Calc base'!L$6&amp;"   ","")&amp;IF(AND(N(AE335)&gt;0,N(AE336)&lt;=0.004),"✓ "&amp;'Calc base'!M$6&amp;"   ","")&amp;IF(AND(N(AG335)&gt;0,N(AG336)&lt;=0.004),"✓ "&amp;'Calc base'!N$6&amp;"   ","")))</f>
        <v/>
      </c>
      <c r="J336" s="70" t="str">
        <f>IF($A336="","",ROUND(N(K335)*(1+'Calc base'!H359),2)-K336)</f>
        <v/>
      </c>
      <c r="K336" s="75" t="str">
        <f>IF($A336="","",CHOOSE('Calc riepilogo'!$B$2,'Calc valanga'!AT359,'Calc palla di neve'!AT359,'Calc personalizzata'!AT359))</f>
        <v/>
      </c>
      <c r="L336" s="70" t="str">
        <f>IF($A336="","",ROUND(N(M335)*(1+'Calc base'!I359),2)-M336)</f>
        <v/>
      </c>
      <c r="M336" s="75" t="str">
        <f>IF($A336="","",CHOOSE('Calc riepilogo'!$B$2,'Calc valanga'!AU359,'Calc palla di neve'!AU359,'Calc personalizzata'!AU359))</f>
        <v/>
      </c>
      <c r="N336" s="70" t="str">
        <f>IF($A336="","",ROUND(N(O335)*(1+'Calc base'!J359),2)-O336)</f>
        <v/>
      </c>
      <c r="O336" s="75" t="str">
        <f>IF($A336="","",CHOOSE('Calc riepilogo'!$B$2,'Calc valanga'!AV359,'Calc palla di neve'!AV359,'Calc personalizzata'!AV359))</f>
        <v/>
      </c>
      <c r="P336" s="70" t="str">
        <f>IF($A336="","",ROUND(N(Q335)*(1+'Calc base'!K359),2)-Q336)</f>
        <v/>
      </c>
      <c r="Q336" s="75" t="str">
        <f>IF($A336="","",CHOOSE('Calc riepilogo'!$B$2,'Calc valanga'!AW359,'Calc palla di neve'!AW359,'Calc personalizzata'!AW359))</f>
        <v/>
      </c>
      <c r="R336" s="70" t="str">
        <f>IF($A336="","",ROUND(N(S335)*(1+'Calc base'!L359),2)-S336)</f>
        <v/>
      </c>
      <c r="S336" s="75" t="str">
        <f>IF($A336="","",CHOOSE('Calc riepilogo'!$B$2,'Calc valanga'!AX359,'Calc palla di neve'!AX359,'Calc personalizzata'!AX359))</f>
        <v/>
      </c>
      <c r="T336" s="70" t="str">
        <f>IF($A336="","",ROUND(N(U335)*(1+'Calc base'!M359),2)-U336)</f>
        <v/>
      </c>
      <c r="U336" s="75" t="str">
        <f>IF($A336="","",CHOOSE('Calc riepilogo'!$B$2,'Calc valanga'!AY359,'Calc palla di neve'!AY359,'Calc personalizzata'!AY359))</f>
        <v/>
      </c>
      <c r="V336" s="70" t="str">
        <f>IF($A336="","",ROUND(N(W335)*(1+'Calc base'!N359),2)-W336)</f>
        <v/>
      </c>
      <c r="W336" s="75" t="str">
        <f>IF($A336="","",CHOOSE('Calc riepilogo'!$B$2,'Calc valanga'!AZ359,'Calc palla di neve'!AZ359,'Calc personalizzata'!AZ359))</f>
        <v/>
      </c>
      <c r="X336" s="70" t="str">
        <f>IF($A336="","",ROUND(N(Y335)*(1+'Calc base'!O359),2)-Y336)</f>
        <v/>
      </c>
      <c r="Y336" s="75" t="str">
        <f>IF($A336="","",CHOOSE('Calc riepilogo'!$B$2,'Calc valanga'!BA359,'Calc palla di neve'!BA359,'Calc personalizzata'!BA359))</f>
        <v/>
      </c>
      <c r="Z336" s="70" t="str">
        <f>IF($A336="","",ROUND(N(AA335)*(1+'Calc base'!P359),2)-AA336)</f>
        <v/>
      </c>
      <c r="AA336" s="75" t="str">
        <f>IF($A336="","",CHOOSE('Calc riepilogo'!$B$2,'Calc valanga'!BB359,'Calc palla di neve'!BB359,'Calc personalizzata'!BB359))</f>
        <v/>
      </c>
      <c r="AB336" s="70" t="str">
        <f>IF($A336="","",ROUND(N(AC335)*(1+'Calc base'!Q359),2)-AC336)</f>
        <v/>
      </c>
      <c r="AC336" s="75" t="str">
        <f>IF($A336="","",CHOOSE('Calc riepilogo'!$B$2,'Calc valanga'!BC359,'Calc palla di neve'!BC359,'Calc personalizzata'!BC359))</f>
        <v/>
      </c>
      <c r="AD336" s="70" t="str">
        <f>IF($A336="","",ROUND(N(AE335)*(1+'Calc base'!R359),2)-AE336)</f>
        <v/>
      </c>
      <c r="AE336" s="75" t="str">
        <f>IF($A336="","",CHOOSE('Calc riepilogo'!$B$2,'Calc valanga'!BD359,'Calc palla di neve'!BD359,'Calc personalizzata'!BD359))</f>
        <v/>
      </c>
      <c r="AF336" s="70" t="str">
        <f>IF($A336="","",ROUND(N(AG335)*(1+'Calc base'!S359),2)-AG336)</f>
        <v/>
      </c>
      <c r="AG336" s="75" t="str">
        <f>IF($A336="","",CHOOSE('Calc riepilogo'!$B$2,'Calc valanga'!BE359,'Calc palla di neve'!BE359,'Calc personalizzata'!BE359))</f>
        <v/>
      </c>
      <c r="AI336" t="n">
        <v>329</v>
      </c>
    </row>
    <row r="337">
      <c r="A337" s="68" t="str">
        <f>IF(330&gt;'Calc riepilogo'!$B$7,"",'Calc base'!$B360)</f>
        <v/>
      </c>
      <c r="B337" s="69" t="str">
        <f>IF($A337="","",'Calc base'!$C360)</f>
        <v/>
      </c>
      <c r="C337" s="69" t="str">
        <f>IF($A337="","",'Calc base'!$E360)</f>
        <v/>
      </c>
      <c r="D337" s="70" t="str">
        <f>IF($A337="","",J337+L337+N337+P337+R337+T337+V337+X337+Z337+AB337+AD337+AF337)</f>
        <v/>
      </c>
      <c r="E337" s="70" t="str">
        <f>IF($A337="","",CHOOSE('Calc riepilogo'!$B$2,'Calc valanga'!$H360,'Calc palla di neve'!$H360,'Calc personalizzata'!$H360))</f>
        <v/>
      </c>
      <c r="F337" s="71" t="str">
        <f>IF($A337="","",CHOOSE('Calc riepilogo'!$B$2,'Calc valanga'!$G360,'Calc palla di neve'!$G360,'Calc personalizzata'!$G360))</f>
        <v/>
      </c>
      <c r="G337" s="72" t="n"/>
      <c r="H337" s="73" t="n"/>
      <c r="I337" s="74" t="str">
        <f>IF($A337="","",TRIM(IF(AND(N(K336)&gt;0,N(K337)&lt;=0.004),"✓ "&amp;'Calc base'!C$6&amp;"   ","")&amp;IF(AND(N(M336)&gt;0,N(M337)&lt;=0.004),"✓ "&amp;'Calc base'!D$6&amp;"   ","")&amp;IF(AND(N(O336)&gt;0,N(O337)&lt;=0.004),"✓ "&amp;'Calc base'!E$6&amp;"   ","")&amp;IF(AND(N(Q336)&gt;0,N(Q337)&lt;=0.004),"✓ "&amp;'Calc base'!F$6&amp;"   ","")&amp;IF(AND(N(S336)&gt;0,N(S337)&lt;=0.004),"✓ "&amp;'Calc base'!G$6&amp;"   ","")&amp;IF(AND(N(U336)&gt;0,N(U337)&lt;=0.004),"✓ "&amp;'Calc base'!H$6&amp;"   ","")&amp;IF(AND(N(W336)&gt;0,N(W337)&lt;=0.004),"✓ "&amp;'Calc base'!I$6&amp;"   ","")&amp;IF(AND(N(Y336)&gt;0,N(Y337)&lt;=0.004),"✓ "&amp;'Calc base'!J$6&amp;"   ","")&amp;IF(AND(N(AA336)&gt;0,N(AA337)&lt;=0.004),"✓ "&amp;'Calc base'!K$6&amp;"   ","")&amp;IF(AND(N(AC336)&gt;0,N(AC337)&lt;=0.004),"✓ "&amp;'Calc base'!L$6&amp;"   ","")&amp;IF(AND(N(AE336)&gt;0,N(AE337)&lt;=0.004),"✓ "&amp;'Calc base'!M$6&amp;"   ","")&amp;IF(AND(N(AG336)&gt;0,N(AG337)&lt;=0.004),"✓ "&amp;'Calc base'!N$6&amp;"   ","")))</f>
        <v/>
      </c>
      <c r="J337" s="70" t="str">
        <f>IF($A337="","",ROUND(N(K336)*(1+'Calc base'!H360),2)-K337)</f>
        <v/>
      </c>
      <c r="K337" s="75" t="str">
        <f>IF($A337="","",CHOOSE('Calc riepilogo'!$B$2,'Calc valanga'!AT360,'Calc palla di neve'!AT360,'Calc personalizzata'!AT360))</f>
        <v/>
      </c>
      <c r="L337" s="70" t="str">
        <f>IF($A337="","",ROUND(N(M336)*(1+'Calc base'!I360),2)-M337)</f>
        <v/>
      </c>
      <c r="M337" s="75" t="str">
        <f>IF($A337="","",CHOOSE('Calc riepilogo'!$B$2,'Calc valanga'!AU360,'Calc palla di neve'!AU360,'Calc personalizzata'!AU360))</f>
        <v/>
      </c>
      <c r="N337" s="70" t="str">
        <f>IF($A337="","",ROUND(N(O336)*(1+'Calc base'!J360),2)-O337)</f>
        <v/>
      </c>
      <c r="O337" s="75" t="str">
        <f>IF($A337="","",CHOOSE('Calc riepilogo'!$B$2,'Calc valanga'!AV360,'Calc palla di neve'!AV360,'Calc personalizzata'!AV360))</f>
        <v/>
      </c>
      <c r="P337" s="70" t="str">
        <f>IF($A337="","",ROUND(N(Q336)*(1+'Calc base'!K360),2)-Q337)</f>
        <v/>
      </c>
      <c r="Q337" s="75" t="str">
        <f>IF($A337="","",CHOOSE('Calc riepilogo'!$B$2,'Calc valanga'!AW360,'Calc palla di neve'!AW360,'Calc personalizzata'!AW360))</f>
        <v/>
      </c>
      <c r="R337" s="70" t="str">
        <f>IF($A337="","",ROUND(N(S336)*(1+'Calc base'!L360),2)-S337)</f>
        <v/>
      </c>
      <c r="S337" s="75" t="str">
        <f>IF($A337="","",CHOOSE('Calc riepilogo'!$B$2,'Calc valanga'!AX360,'Calc palla di neve'!AX360,'Calc personalizzata'!AX360))</f>
        <v/>
      </c>
      <c r="T337" s="70" t="str">
        <f>IF($A337="","",ROUND(N(U336)*(1+'Calc base'!M360),2)-U337)</f>
        <v/>
      </c>
      <c r="U337" s="75" t="str">
        <f>IF($A337="","",CHOOSE('Calc riepilogo'!$B$2,'Calc valanga'!AY360,'Calc palla di neve'!AY360,'Calc personalizzata'!AY360))</f>
        <v/>
      </c>
      <c r="V337" s="70" t="str">
        <f>IF($A337="","",ROUND(N(W336)*(1+'Calc base'!N360),2)-W337)</f>
        <v/>
      </c>
      <c r="W337" s="75" t="str">
        <f>IF($A337="","",CHOOSE('Calc riepilogo'!$B$2,'Calc valanga'!AZ360,'Calc palla di neve'!AZ360,'Calc personalizzata'!AZ360))</f>
        <v/>
      </c>
      <c r="X337" s="70" t="str">
        <f>IF($A337="","",ROUND(N(Y336)*(1+'Calc base'!O360),2)-Y337)</f>
        <v/>
      </c>
      <c r="Y337" s="75" t="str">
        <f>IF($A337="","",CHOOSE('Calc riepilogo'!$B$2,'Calc valanga'!BA360,'Calc palla di neve'!BA360,'Calc personalizzata'!BA360))</f>
        <v/>
      </c>
      <c r="Z337" s="70" t="str">
        <f>IF($A337="","",ROUND(N(AA336)*(1+'Calc base'!P360),2)-AA337)</f>
        <v/>
      </c>
      <c r="AA337" s="75" t="str">
        <f>IF($A337="","",CHOOSE('Calc riepilogo'!$B$2,'Calc valanga'!BB360,'Calc palla di neve'!BB360,'Calc personalizzata'!BB360))</f>
        <v/>
      </c>
      <c r="AB337" s="70" t="str">
        <f>IF($A337="","",ROUND(N(AC336)*(1+'Calc base'!Q360),2)-AC337)</f>
        <v/>
      </c>
      <c r="AC337" s="75" t="str">
        <f>IF($A337="","",CHOOSE('Calc riepilogo'!$B$2,'Calc valanga'!BC360,'Calc palla di neve'!BC360,'Calc personalizzata'!BC360))</f>
        <v/>
      </c>
      <c r="AD337" s="70" t="str">
        <f>IF($A337="","",ROUND(N(AE336)*(1+'Calc base'!R360),2)-AE337)</f>
        <v/>
      </c>
      <c r="AE337" s="75" t="str">
        <f>IF($A337="","",CHOOSE('Calc riepilogo'!$B$2,'Calc valanga'!BD360,'Calc palla di neve'!BD360,'Calc personalizzata'!BD360))</f>
        <v/>
      </c>
      <c r="AF337" s="70" t="str">
        <f>IF($A337="","",ROUND(N(AG336)*(1+'Calc base'!S360),2)-AG337)</f>
        <v/>
      </c>
      <c r="AG337" s="75" t="str">
        <f>IF($A337="","",CHOOSE('Calc riepilogo'!$B$2,'Calc valanga'!BE360,'Calc palla di neve'!BE360,'Calc personalizzata'!BE360))</f>
        <v/>
      </c>
      <c r="AI337" t="n">
        <v>330</v>
      </c>
    </row>
    <row r="338">
      <c r="A338" s="68" t="str">
        <f>IF(331&gt;'Calc riepilogo'!$B$7,"",'Calc base'!$B361)</f>
        <v/>
      </c>
      <c r="B338" s="69" t="str">
        <f>IF($A338="","",'Calc base'!$C361)</f>
        <v/>
      </c>
      <c r="C338" s="69" t="str">
        <f>IF($A338="","",'Calc base'!$E361)</f>
        <v/>
      </c>
      <c r="D338" s="70" t="str">
        <f>IF($A338="","",J338+L338+N338+P338+R338+T338+V338+X338+Z338+AB338+AD338+AF338)</f>
        <v/>
      </c>
      <c r="E338" s="70" t="str">
        <f>IF($A338="","",CHOOSE('Calc riepilogo'!$B$2,'Calc valanga'!$H361,'Calc palla di neve'!$H361,'Calc personalizzata'!$H361))</f>
        <v/>
      </c>
      <c r="F338" s="71" t="str">
        <f>IF($A338="","",CHOOSE('Calc riepilogo'!$B$2,'Calc valanga'!$G361,'Calc palla di neve'!$G361,'Calc personalizzata'!$G361))</f>
        <v/>
      </c>
      <c r="G338" s="72" t="n"/>
      <c r="H338" s="73" t="n"/>
      <c r="I338" s="74" t="str">
        <f>IF($A338="","",TRIM(IF(AND(N(K337)&gt;0,N(K338)&lt;=0.004),"✓ "&amp;'Calc base'!C$6&amp;"   ","")&amp;IF(AND(N(M337)&gt;0,N(M338)&lt;=0.004),"✓ "&amp;'Calc base'!D$6&amp;"   ","")&amp;IF(AND(N(O337)&gt;0,N(O338)&lt;=0.004),"✓ "&amp;'Calc base'!E$6&amp;"   ","")&amp;IF(AND(N(Q337)&gt;0,N(Q338)&lt;=0.004),"✓ "&amp;'Calc base'!F$6&amp;"   ","")&amp;IF(AND(N(S337)&gt;0,N(S338)&lt;=0.004),"✓ "&amp;'Calc base'!G$6&amp;"   ","")&amp;IF(AND(N(U337)&gt;0,N(U338)&lt;=0.004),"✓ "&amp;'Calc base'!H$6&amp;"   ","")&amp;IF(AND(N(W337)&gt;0,N(W338)&lt;=0.004),"✓ "&amp;'Calc base'!I$6&amp;"   ","")&amp;IF(AND(N(Y337)&gt;0,N(Y338)&lt;=0.004),"✓ "&amp;'Calc base'!J$6&amp;"   ","")&amp;IF(AND(N(AA337)&gt;0,N(AA338)&lt;=0.004),"✓ "&amp;'Calc base'!K$6&amp;"   ","")&amp;IF(AND(N(AC337)&gt;0,N(AC338)&lt;=0.004),"✓ "&amp;'Calc base'!L$6&amp;"   ","")&amp;IF(AND(N(AE337)&gt;0,N(AE338)&lt;=0.004),"✓ "&amp;'Calc base'!M$6&amp;"   ","")&amp;IF(AND(N(AG337)&gt;0,N(AG338)&lt;=0.004),"✓ "&amp;'Calc base'!N$6&amp;"   ","")))</f>
        <v/>
      </c>
      <c r="J338" s="70" t="str">
        <f>IF($A338="","",ROUND(N(K337)*(1+'Calc base'!H361),2)-K338)</f>
        <v/>
      </c>
      <c r="K338" s="75" t="str">
        <f>IF($A338="","",CHOOSE('Calc riepilogo'!$B$2,'Calc valanga'!AT361,'Calc palla di neve'!AT361,'Calc personalizzata'!AT361))</f>
        <v/>
      </c>
      <c r="L338" s="70" t="str">
        <f>IF($A338="","",ROUND(N(M337)*(1+'Calc base'!I361),2)-M338)</f>
        <v/>
      </c>
      <c r="M338" s="75" t="str">
        <f>IF($A338="","",CHOOSE('Calc riepilogo'!$B$2,'Calc valanga'!AU361,'Calc palla di neve'!AU361,'Calc personalizzata'!AU361))</f>
        <v/>
      </c>
      <c r="N338" s="70" t="str">
        <f>IF($A338="","",ROUND(N(O337)*(1+'Calc base'!J361),2)-O338)</f>
        <v/>
      </c>
      <c r="O338" s="75" t="str">
        <f>IF($A338="","",CHOOSE('Calc riepilogo'!$B$2,'Calc valanga'!AV361,'Calc palla di neve'!AV361,'Calc personalizzata'!AV361))</f>
        <v/>
      </c>
      <c r="P338" s="70" t="str">
        <f>IF($A338="","",ROUND(N(Q337)*(1+'Calc base'!K361),2)-Q338)</f>
        <v/>
      </c>
      <c r="Q338" s="75" t="str">
        <f>IF($A338="","",CHOOSE('Calc riepilogo'!$B$2,'Calc valanga'!AW361,'Calc palla di neve'!AW361,'Calc personalizzata'!AW361))</f>
        <v/>
      </c>
      <c r="R338" s="70" t="str">
        <f>IF($A338="","",ROUND(N(S337)*(1+'Calc base'!L361),2)-S338)</f>
        <v/>
      </c>
      <c r="S338" s="75" t="str">
        <f>IF($A338="","",CHOOSE('Calc riepilogo'!$B$2,'Calc valanga'!AX361,'Calc palla di neve'!AX361,'Calc personalizzata'!AX361))</f>
        <v/>
      </c>
      <c r="T338" s="70" t="str">
        <f>IF($A338="","",ROUND(N(U337)*(1+'Calc base'!M361),2)-U338)</f>
        <v/>
      </c>
      <c r="U338" s="75" t="str">
        <f>IF($A338="","",CHOOSE('Calc riepilogo'!$B$2,'Calc valanga'!AY361,'Calc palla di neve'!AY361,'Calc personalizzata'!AY361))</f>
        <v/>
      </c>
      <c r="V338" s="70" t="str">
        <f>IF($A338="","",ROUND(N(W337)*(1+'Calc base'!N361),2)-W338)</f>
        <v/>
      </c>
      <c r="W338" s="75" t="str">
        <f>IF($A338="","",CHOOSE('Calc riepilogo'!$B$2,'Calc valanga'!AZ361,'Calc palla di neve'!AZ361,'Calc personalizzata'!AZ361))</f>
        <v/>
      </c>
      <c r="X338" s="70" t="str">
        <f>IF($A338="","",ROUND(N(Y337)*(1+'Calc base'!O361),2)-Y338)</f>
        <v/>
      </c>
      <c r="Y338" s="75" t="str">
        <f>IF($A338="","",CHOOSE('Calc riepilogo'!$B$2,'Calc valanga'!BA361,'Calc palla di neve'!BA361,'Calc personalizzata'!BA361))</f>
        <v/>
      </c>
      <c r="Z338" s="70" t="str">
        <f>IF($A338="","",ROUND(N(AA337)*(1+'Calc base'!P361),2)-AA338)</f>
        <v/>
      </c>
      <c r="AA338" s="75" t="str">
        <f>IF($A338="","",CHOOSE('Calc riepilogo'!$B$2,'Calc valanga'!BB361,'Calc palla di neve'!BB361,'Calc personalizzata'!BB361))</f>
        <v/>
      </c>
      <c r="AB338" s="70" t="str">
        <f>IF($A338="","",ROUND(N(AC337)*(1+'Calc base'!Q361),2)-AC338)</f>
        <v/>
      </c>
      <c r="AC338" s="75" t="str">
        <f>IF($A338="","",CHOOSE('Calc riepilogo'!$B$2,'Calc valanga'!BC361,'Calc palla di neve'!BC361,'Calc personalizzata'!BC361))</f>
        <v/>
      </c>
      <c r="AD338" s="70" t="str">
        <f>IF($A338="","",ROUND(N(AE337)*(1+'Calc base'!R361),2)-AE338)</f>
        <v/>
      </c>
      <c r="AE338" s="75" t="str">
        <f>IF($A338="","",CHOOSE('Calc riepilogo'!$B$2,'Calc valanga'!BD361,'Calc palla di neve'!BD361,'Calc personalizzata'!BD361))</f>
        <v/>
      </c>
      <c r="AF338" s="70" t="str">
        <f>IF($A338="","",ROUND(N(AG337)*(1+'Calc base'!S361),2)-AG338)</f>
        <v/>
      </c>
      <c r="AG338" s="75" t="str">
        <f>IF($A338="","",CHOOSE('Calc riepilogo'!$B$2,'Calc valanga'!BE361,'Calc palla di neve'!BE361,'Calc personalizzata'!BE361))</f>
        <v/>
      </c>
      <c r="AI338" t="n">
        <v>331</v>
      </c>
    </row>
    <row r="339">
      <c r="A339" s="68" t="str">
        <f>IF(332&gt;'Calc riepilogo'!$B$7,"",'Calc base'!$B362)</f>
        <v/>
      </c>
      <c r="B339" s="69" t="str">
        <f>IF($A339="","",'Calc base'!$C362)</f>
        <v/>
      </c>
      <c r="C339" s="69" t="str">
        <f>IF($A339="","",'Calc base'!$E362)</f>
        <v/>
      </c>
      <c r="D339" s="70" t="str">
        <f>IF($A339="","",J339+L339+N339+P339+R339+T339+V339+X339+Z339+AB339+AD339+AF339)</f>
        <v/>
      </c>
      <c r="E339" s="70" t="str">
        <f>IF($A339="","",CHOOSE('Calc riepilogo'!$B$2,'Calc valanga'!$H362,'Calc palla di neve'!$H362,'Calc personalizzata'!$H362))</f>
        <v/>
      </c>
      <c r="F339" s="71" t="str">
        <f>IF($A339="","",CHOOSE('Calc riepilogo'!$B$2,'Calc valanga'!$G362,'Calc palla di neve'!$G362,'Calc personalizzata'!$G362))</f>
        <v/>
      </c>
      <c r="G339" s="72" t="n"/>
      <c r="H339" s="73" t="n"/>
      <c r="I339" s="74" t="str">
        <f>IF($A339="","",TRIM(IF(AND(N(K338)&gt;0,N(K339)&lt;=0.004),"✓ "&amp;'Calc base'!C$6&amp;"   ","")&amp;IF(AND(N(M338)&gt;0,N(M339)&lt;=0.004),"✓ "&amp;'Calc base'!D$6&amp;"   ","")&amp;IF(AND(N(O338)&gt;0,N(O339)&lt;=0.004),"✓ "&amp;'Calc base'!E$6&amp;"   ","")&amp;IF(AND(N(Q338)&gt;0,N(Q339)&lt;=0.004),"✓ "&amp;'Calc base'!F$6&amp;"   ","")&amp;IF(AND(N(S338)&gt;0,N(S339)&lt;=0.004),"✓ "&amp;'Calc base'!G$6&amp;"   ","")&amp;IF(AND(N(U338)&gt;0,N(U339)&lt;=0.004),"✓ "&amp;'Calc base'!H$6&amp;"   ","")&amp;IF(AND(N(W338)&gt;0,N(W339)&lt;=0.004),"✓ "&amp;'Calc base'!I$6&amp;"   ","")&amp;IF(AND(N(Y338)&gt;0,N(Y339)&lt;=0.004),"✓ "&amp;'Calc base'!J$6&amp;"   ","")&amp;IF(AND(N(AA338)&gt;0,N(AA339)&lt;=0.004),"✓ "&amp;'Calc base'!K$6&amp;"   ","")&amp;IF(AND(N(AC338)&gt;0,N(AC339)&lt;=0.004),"✓ "&amp;'Calc base'!L$6&amp;"   ","")&amp;IF(AND(N(AE338)&gt;0,N(AE339)&lt;=0.004),"✓ "&amp;'Calc base'!M$6&amp;"   ","")&amp;IF(AND(N(AG338)&gt;0,N(AG339)&lt;=0.004),"✓ "&amp;'Calc base'!N$6&amp;"   ","")))</f>
        <v/>
      </c>
      <c r="J339" s="70" t="str">
        <f>IF($A339="","",ROUND(N(K338)*(1+'Calc base'!H362),2)-K339)</f>
        <v/>
      </c>
      <c r="K339" s="75" t="str">
        <f>IF($A339="","",CHOOSE('Calc riepilogo'!$B$2,'Calc valanga'!AT362,'Calc palla di neve'!AT362,'Calc personalizzata'!AT362))</f>
        <v/>
      </c>
      <c r="L339" s="70" t="str">
        <f>IF($A339="","",ROUND(N(M338)*(1+'Calc base'!I362),2)-M339)</f>
        <v/>
      </c>
      <c r="M339" s="75" t="str">
        <f>IF($A339="","",CHOOSE('Calc riepilogo'!$B$2,'Calc valanga'!AU362,'Calc palla di neve'!AU362,'Calc personalizzata'!AU362))</f>
        <v/>
      </c>
      <c r="N339" s="70" t="str">
        <f>IF($A339="","",ROUND(N(O338)*(1+'Calc base'!J362),2)-O339)</f>
        <v/>
      </c>
      <c r="O339" s="75" t="str">
        <f>IF($A339="","",CHOOSE('Calc riepilogo'!$B$2,'Calc valanga'!AV362,'Calc palla di neve'!AV362,'Calc personalizzata'!AV362))</f>
        <v/>
      </c>
      <c r="P339" s="70" t="str">
        <f>IF($A339="","",ROUND(N(Q338)*(1+'Calc base'!K362),2)-Q339)</f>
        <v/>
      </c>
      <c r="Q339" s="75" t="str">
        <f>IF($A339="","",CHOOSE('Calc riepilogo'!$B$2,'Calc valanga'!AW362,'Calc palla di neve'!AW362,'Calc personalizzata'!AW362))</f>
        <v/>
      </c>
      <c r="R339" s="70" t="str">
        <f>IF($A339="","",ROUND(N(S338)*(1+'Calc base'!L362),2)-S339)</f>
        <v/>
      </c>
      <c r="S339" s="75" t="str">
        <f>IF($A339="","",CHOOSE('Calc riepilogo'!$B$2,'Calc valanga'!AX362,'Calc palla di neve'!AX362,'Calc personalizzata'!AX362))</f>
        <v/>
      </c>
      <c r="T339" s="70" t="str">
        <f>IF($A339="","",ROUND(N(U338)*(1+'Calc base'!M362),2)-U339)</f>
        <v/>
      </c>
      <c r="U339" s="75" t="str">
        <f>IF($A339="","",CHOOSE('Calc riepilogo'!$B$2,'Calc valanga'!AY362,'Calc palla di neve'!AY362,'Calc personalizzata'!AY362))</f>
        <v/>
      </c>
      <c r="V339" s="70" t="str">
        <f>IF($A339="","",ROUND(N(W338)*(1+'Calc base'!N362),2)-W339)</f>
        <v/>
      </c>
      <c r="W339" s="75" t="str">
        <f>IF($A339="","",CHOOSE('Calc riepilogo'!$B$2,'Calc valanga'!AZ362,'Calc palla di neve'!AZ362,'Calc personalizzata'!AZ362))</f>
        <v/>
      </c>
      <c r="X339" s="70" t="str">
        <f>IF($A339="","",ROUND(N(Y338)*(1+'Calc base'!O362),2)-Y339)</f>
        <v/>
      </c>
      <c r="Y339" s="75" t="str">
        <f>IF($A339="","",CHOOSE('Calc riepilogo'!$B$2,'Calc valanga'!BA362,'Calc palla di neve'!BA362,'Calc personalizzata'!BA362))</f>
        <v/>
      </c>
      <c r="Z339" s="70" t="str">
        <f>IF($A339="","",ROUND(N(AA338)*(1+'Calc base'!P362),2)-AA339)</f>
        <v/>
      </c>
      <c r="AA339" s="75" t="str">
        <f>IF($A339="","",CHOOSE('Calc riepilogo'!$B$2,'Calc valanga'!BB362,'Calc palla di neve'!BB362,'Calc personalizzata'!BB362))</f>
        <v/>
      </c>
      <c r="AB339" s="70" t="str">
        <f>IF($A339="","",ROUND(N(AC338)*(1+'Calc base'!Q362),2)-AC339)</f>
        <v/>
      </c>
      <c r="AC339" s="75" t="str">
        <f>IF($A339="","",CHOOSE('Calc riepilogo'!$B$2,'Calc valanga'!BC362,'Calc palla di neve'!BC362,'Calc personalizzata'!BC362))</f>
        <v/>
      </c>
      <c r="AD339" s="70" t="str">
        <f>IF($A339="","",ROUND(N(AE338)*(1+'Calc base'!R362),2)-AE339)</f>
        <v/>
      </c>
      <c r="AE339" s="75" t="str">
        <f>IF($A339="","",CHOOSE('Calc riepilogo'!$B$2,'Calc valanga'!BD362,'Calc palla di neve'!BD362,'Calc personalizzata'!BD362))</f>
        <v/>
      </c>
      <c r="AF339" s="70" t="str">
        <f>IF($A339="","",ROUND(N(AG338)*(1+'Calc base'!S362),2)-AG339)</f>
        <v/>
      </c>
      <c r="AG339" s="75" t="str">
        <f>IF($A339="","",CHOOSE('Calc riepilogo'!$B$2,'Calc valanga'!BE362,'Calc palla di neve'!BE362,'Calc personalizzata'!BE362))</f>
        <v/>
      </c>
      <c r="AI339" t="n">
        <v>332</v>
      </c>
    </row>
    <row r="340">
      <c r="A340" s="68" t="str">
        <f>IF(333&gt;'Calc riepilogo'!$B$7,"",'Calc base'!$B363)</f>
        <v/>
      </c>
      <c r="B340" s="69" t="str">
        <f>IF($A340="","",'Calc base'!$C363)</f>
        <v/>
      </c>
      <c r="C340" s="69" t="str">
        <f>IF($A340="","",'Calc base'!$E363)</f>
        <v/>
      </c>
      <c r="D340" s="70" t="str">
        <f>IF($A340="","",J340+L340+N340+P340+R340+T340+V340+X340+Z340+AB340+AD340+AF340)</f>
        <v/>
      </c>
      <c r="E340" s="70" t="str">
        <f>IF($A340="","",CHOOSE('Calc riepilogo'!$B$2,'Calc valanga'!$H363,'Calc palla di neve'!$H363,'Calc personalizzata'!$H363))</f>
        <v/>
      </c>
      <c r="F340" s="71" t="str">
        <f>IF($A340="","",CHOOSE('Calc riepilogo'!$B$2,'Calc valanga'!$G363,'Calc palla di neve'!$G363,'Calc personalizzata'!$G363))</f>
        <v/>
      </c>
      <c r="G340" s="72" t="n"/>
      <c r="H340" s="73" t="n"/>
      <c r="I340" s="74" t="str">
        <f>IF($A340="","",TRIM(IF(AND(N(K339)&gt;0,N(K340)&lt;=0.004),"✓ "&amp;'Calc base'!C$6&amp;"   ","")&amp;IF(AND(N(M339)&gt;0,N(M340)&lt;=0.004),"✓ "&amp;'Calc base'!D$6&amp;"   ","")&amp;IF(AND(N(O339)&gt;0,N(O340)&lt;=0.004),"✓ "&amp;'Calc base'!E$6&amp;"   ","")&amp;IF(AND(N(Q339)&gt;0,N(Q340)&lt;=0.004),"✓ "&amp;'Calc base'!F$6&amp;"   ","")&amp;IF(AND(N(S339)&gt;0,N(S340)&lt;=0.004),"✓ "&amp;'Calc base'!G$6&amp;"   ","")&amp;IF(AND(N(U339)&gt;0,N(U340)&lt;=0.004),"✓ "&amp;'Calc base'!H$6&amp;"   ","")&amp;IF(AND(N(W339)&gt;0,N(W340)&lt;=0.004),"✓ "&amp;'Calc base'!I$6&amp;"   ","")&amp;IF(AND(N(Y339)&gt;0,N(Y340)&lt;=0.004),"✓ "&amp;'Calc base'!J$6&amp;"   ","")&amp;IF(AND(N(AA339)&gt;0,N(AA340)&lt;=0.004),"✓ "&amp;'Calc base'!K$6&amp;"   ","")&amp;IF(AND(N(AC339)&gt;0,N(AC340)&lt;=0.004),"✓ "&amp;'Calc base'!L$6&amp;"   ","")&amp;IF(AND(N(AE339)&gt;0,N(AE340)&lt;=0.004),"✓ "&amp;'Calc base'!M$6&amp;"   ","")&amp;IF(AND(N(AG339)&gt;0,N(AG340)&lt;=0.004),"✓ "&amp;'Calc base'!N$6&amp;"   ","")))</f>
        <v/>
      </c>
      <c r="J340" s="70" t="str">
        <f>IF($A340="","",ROUND(N(K339)*(1+'Calc base'!H363),2)-K340)</f>
        <v/>
      </c>
      <c r="K340" s="75" t="str">
        <f>IF($A340="","",CHOOSE('Calc riepilogo'!$B$2,'Calc valanga'!AT363,'Calc palla di neve'!AT363,'Calc personalizzata'!AT363))</f>
        <v/>
      </c>
      <c r="L340" s="70" t="str">
        <f>IF($A340="","",ROUND(N(M339)*(1+'Calc base'!I363),2)-M340)</f>
        <v/>
      </c>
      <c r="M340" s="75" t="str">
        <f>IF($A340="","",CHOOSE('Calc riepilogo'!$B$2,'Calc valanga'!AU363,'Calc palla di neve'!AU363,'Calc personalizzata'!AU363))</f>
        <v/>
      </c>
      <c r="N340" s="70" t="str">
        <f>IF($A340="","",ROUND(N(O339)*(1+'Calc base'!J363),2)-O340)</f>
        <v/>
      </c>
      <c r="O340" s="75" t="str">
        <f>IF($A340="","",CHOOSE('Calc riepilogo'!$B$2,'Calc valanga'!AV363,'Calc palla di neve'!AV363,'Calc personalizzata'!AV363))</f>
        <v/>
      </c>
      <c r="P340" s="70" t="str">
        <f>IF($A340="","",ROUND(N(Q339)*(1+'Calc base'!K363),2)-Q340)</f>
        <v/>
      </c>
      <c r="Q340" s="75" t="str">
        <f>IF($A340="","",CHOOSE('Calc riepilogo'!$B$2,'Calc valanga'!AW363,'Calc palla di neve'!AW363,'Calc personalizzata'!AW363))</f>
        <v/>
      </c>
      <c r="R340" s="70" t="str">
        <f>IF($A340="","",ROUND(N(S339)*(1+'Calc base'!L363),2)-S340)</f>
        <v/>
      </c>
      <c r="S340" s="75" t="str">
        <f>IF($A340="","",CHOOSE('Calc riepilogo'!$B$2,'Calc valanga'!AX363,'Calc palla di neve'!AX363,'Calc personalizzata'!AX363))</f>
        <v/>
      </c>
      <c r="T340" s="70" t="str">
        <f>IF($A340="","",ROUND(N(U339)*(1+'Calc base'!M363),2)-U340)</f>
        <v/>
      </c>
      <c r="U340" s="75" t="str">
        <f>IF($A340="","",CHOOSE('Calc riepilogo'!$B$2,'Calc valanga'!AY363,'Calc palla di neve'!AY363,'Calc personalizzata'!AY363))</f>
        <v/>
      </c>
      <c r="V340" s="70" t="str">
        <f>IF($A340="","",ROUND(N(W339)*(1+'Calc base'!N363),2)-W340)</f>
        <v/>
      </c>
      <c r="W340" s="75" t="str">
        <f>IF($A340="","",CHOOSE('Calc riepilogo'!$B$2,'Calc valanga'!AZ363,'Calc palla di neve'!AZ363,'Calc personalizzata'!AZ363))</f>
        <v/>
      </c>
      <c r="X340" s="70" t="str">
        <f>IF($A340="","",ROUND(N(Y339)*(1+'Calc base'!O363),2)-Y340)</f>
        <v/>
      </c>
      <c r="Y340" s="75" t="str">
        <f>IF($A340="","",CHOOSE('Calc riepilogo'!$B$2,'Calc valanga'!BA363,'Calc palla di neve'!BA363,'Calc personalizzata'!BA363))</f>
        <v/>
      </c>
      <c r="Z340" s="70" t="str">
        <f>IF($A340="","",ROUND(N(AA339)*(1+'Calc base'!P363),2)-AA340)</f>
        <v/>
      </c>
      <c r="AA340" s="75" t="str">
        <f>IF($A340="","",CHOOSE('Calc riepilogo'!$B$2,'Calc valanga'!BB363,'Calc palla di neve'!BB363,'Calc personalizzata'!BB363))</f>
        <v/>
      </c>
      <c r="AB340" s="70" t="str">
        <f>IF($A340="","",ROUND(N(AC339)*(1+'Calc base'!Q363),2)-AC340)</f>
        <v/>
      </c>
      <c r="AC340" s="75" t="str">
        <f>IF($A340="","",CHOOSE('Calc riepilogo'!$B$2,'Calc valanga'!BC363,'Calc palla di neve'!BC363,'Calc personalizzata'!BC363))</f>
        <v/>
      </c>
      <c r="AD340" s="70" t="str">
        <f>IF($A340="","",ROUND(N(AE339)*(1+'Calc base'!R363),2)-AE340)</f>
        <v/>
      </c>
      <c r="AE340" s="75" t="str">
        <f>IF($A340="","",CHOOSE('Calc riepilogo'!$B$2,'Calc valanga'!BD363,'Calc palla di neve'!BD363,'Calc personalizzata'!BD363))</f>
        <v/>
      </c>
      <c r="AF340" s="70" t="str">
        <f>IF($A340="","",ROUND(N(AG339)*(1+'Calc base'!S363),2)-AG340)</f>
        <v/>
      </c>
      <c r="AG340" s="75" t="str">
        <f>IF($A340="","",CHOOSE('Calc riepilogo'!$B$2,'Calc valanga'!BE363,'Calc palla di neve'!BE363,'Calc personalizzata'!BE363))</f>
        <v/>
      </c>
      <c r="AI340" t="n">
        <v>333</v>
      </c>
    </row>
    <row r="341">
      <c r="A341" s="68" t="str">
        <f>IF(334&gt;'Calc riepilogo'!$B$7,"",'Calc base'!$B364)</f>
        <v/>
      </c>
      <c r="B341" s="69" t="str">
        <f>IF($A341="","",'Calc base'!$C364)</f>
        <v/>
      </c>
      <c r="C341" s="69" t="str">
        <f>IF($A341="","",'Calc base'!$E364)</f>
        <v/>
      </c>
      <c r="D341" s="70" t="str">
        <f>IF($A341="","",J341+L341+N341+P341+R341+T341+V341+X341+Z341+AB341+AD341+AF341)</f>
        <v/>
      </c>
      <c r="E341" s="70" t="str">
        <f>IF($A341="","",CHOOSE('Calc riepilogo'!$B$2,'Calc valanga'!$H364,'Calc palla di neve'!$H364,'Calc personalizzata'!$H364))</f>
        <v/>
      </c>
      <c r="F341" s="71" t="str">
        <f>IF($A341="","",CHOOSE('Calc riepilogo'!$B$2,'Calc valanga'!$G364,'Calc palla di neve'!$G364,'Calc personalizzata'!$G364))</f>
        <v/>
      </c>
      <c r="G341" s="72" t="n"/>
      <c r="H341" s="73" t="n"/>
      <c r="I341" s="74" t="str">
        <f>IF($A341="","",TRIM(IF(AND(N(K340)&gt;0,N(K341)&lt;=0.004),"✓ "&amp;'Calc base'!C$6&amp;"   ","")&amp;IF(AND(N(M340)&gt;0,N(M341)&lt;=0.004),"✓ "&amp;'Calc base'!D$6&amp;"   ","")&amp;IF(AND(N(O340)&gt;0,N(O341)&lt;=0.004),"✓ "&amp;'Calc base'!E$6&amp;"   ","")&amp;IF(AND(N(Q340)&gt;0,N(Q341)&lt;=0.004),"✓ "&amp;'Calc base'!F$6&amp;"   ","")&amp;IF(AND(N(S340)&gt;0,N(S341)&lt;=0.004),"✓ "&amp;'Calc base'!G$6&amp;"   ","")&amp;IF(AND(N(U340)&gt;0,N(U341)&lt;=0.004),"✓ "&amp;'Calc base'!H$6&amp;"   ","")&amp;IF(AND(N(W340)&gt;0,N(W341)&lt;=0.004),"✓ "&amp;'Calc base'!I$6&amp;"   ","")&amp;IF(AND(N(Y340)&gt;0,N(Y341)&lt;=0.004),"✓ "&amp;'Calc base'!J$6&amp;"   ","")&amp;IF(AND(N(AA340)&gt;0,N(AA341)&lt;=0.004),"✓ "&amp;'Calc base'!K$6&amp;"   ","")&amp;IF(AND(N(AC340)&gt;0,N(AC341)&lt;=0.004),"✓ "&amp;'Calc base'!L$6&amp;"   ","")&amp;IF(AND(N(AE340)&gt;0,N(AE341)&lt;=0.004),"✓ "&amp;'Calc base'!M$6&amp;"   ","")&amp;IF(AND(N(AG340)&gt;0,N(AG341)&lt;=0.004),"✓ "&amp;'Calc base'!N$6&amp;"   ","")))</f>
        <v/>
      </c>
      <c r="J341" s="70" t="str">
        <f>IF($A341="","",ROUND(N(K340)*(1+'Calc base'!H364),2)-K341)</f>
        <v/>
      </c>
      <c r="K341" s="75" t="str">
        <f>IF($A341="","",CHOOSE('Calc riepilogo'!$B$2,'Calc valanga'!AT364,'Calc palla di neve'!AT364,'Calc personalizzata'!AT364))</f>
        <v/>
      </c>
      <c r="L341" s="70" t="str">
        <f>IF($A341="","",ROUND(N(M340)*(1+'Calc base'!I364),2)-M341)</f>
        <v/>
      </c>
      <c r="M341" s="75" t="str">
        <f>IF($A341="","",CHOOSE('Calc riepilogo'!$B$2,'Calc valanga'!AU364,'Calc palla di neve'!AU364,'Calc personalizzata'!AU364))</f>
        <v/>
      </c>
      <c r="N341" s="70" t="str">
        <f>IF($A341="","",ROUND(N(O340)*(1+'Calc base'!J364),2)-O341)</f>
        <v/>
      </c>
      <c r="O341" s="75" t="str">
        <f>IF($A341="","",CHOOSE('Calc riepilogo'!$B$2,'Calc valanga'!AV364,'Calc palla di neve'!AV364,'Calc personalizzata'!AV364))</f>
        <v/>
      </c>
      <c r="P341" s="70" t="str">
        <f>IF($A341="","",ROUND(N(Q340)*(1+'Calc base'!K364),2)-Q341)</f>
        <v/>
      </c>
      <c r="Q341" s="75" t="str">
        <f>IF($A341="","",CHOOSE('Calc riepilogo'!$B$2,'Calc valanga'!AW364,'Calc palla di neve'!AW364,'Calc personalizzata'!AW364))</f>
        <v/>
      </c>
      <c r="R341" s="70" t="str">
        <f>IF($A341="","",ROUND(N(S340)*(1+'Calc base'!L364),2)-S341)</f>
        <v/>
      </c>
      <c r="S341" s="75" t="str">
        <f>IF($A341="","",CHOOSE('Calc riepilogo'!$B$2,'Calc valanga'!AX364,'Calc palla di neve'!AX364,'Calc personalizzata'!AX364))</f>
        <v/>
      </c>
      <c r="T341" s="70" t="str">
        <f>IF($A341="","",ROUND(N(U340)*(1+'Calc base'!M364),2)-U341)</f>
        <v/>
      </c>
      <c r="U341" s="75" t="str">
        <f>IF($A341="","",CHOOSE('Calc riepilogo'!$B$2,'Calc valanga'!AY364,'Calc palla di neve'!AY364,'Calc personalizzata'!AY364))</f>
        <v/>
      </c>
      <c r="V341" s="70" t="str">
        <f>IF($A341="","",ROUND(N(W340)*(1+'Calc base'!N364),2)-W341)</f>
        <v/>
      </c>
      <c r="W341" s="75" t="str">
        <f>IF($A341="","",CHOOSE('Calc riepilogo'!$B$2,'Calc valanga'!AZ364,'Calc palla di neve'!AZ364,'Calc personalizzata'!AZ364))</f>
        <v/>
      </c>
      <c r="X341" s="70" t="str">
        <f>IF($A341="","",ROUND(N(Y340)*(1+'Calc base'!O364),2)-Y341)</f>
        <v/>
      </c>
      <c r="Y341" s="75" t="str">
        <f>IF($A341="","",CHOOSE('Calc riepilogo'!$B$2,'Calc valanga'!BA364,'Calc palla di neve'!BA364,'Calc personalizzata'!BA364))</f>
        <v/>
      </c>
      <c r="Z341" s="70" t="str">
        <f>IF($A341="","",ROUND(N(AA340)*(1+'Calc base'!P364),2)-AA341)</f>
        <v/>
      </c>
      <c r="AA341" s="75" t="str">
        <f>IF($A341="","",CHOOSE('Calc riepilogo'!$B$2,'Calc valanga'!BB364,'Calc palla di neve'!BB364,'Calc personalizzata'!BB364))</f>
        <v/>
      </c>
      <c r="AB341" s="70" t="str">
        <f>IF($A341="","",ROUND(N(AC340)*(1+'Calc base'!Q364),2)-AC341)</f>
        <v/>
      </c>
      <c r="AC341" s="75" t="str">
        <f>IF($A341="","",CHOOSE('Calc riepilogo'!$B$2,'Calc valanga'!BC364,'Calc palla di neve'!BC364,'Calc personalizzata'!BC364))</f>
        <v/>
      </c>
      <c r="AD341" s="70" t="str">
        <f>IF($A341="","",ROUND(N(AE340)*(1+'Calc base'!R364),2)-AE341)</f>
        <v/>
      </c>
      <c r="AE341" s="75" t="str">
        <f>IF($A341="","",CHOOSE('Calc riepilogo'!$B$2,'Calc valanga'!BD364,'Calc palla di neve'!BD364,'Calc personalizzata'!BD364))</f>
        <v/>
      </c>
      <c r="AF341" s="70" t="str">
        <f>IF($A341="","",ROUND(N(AG340)*(1+'Calc base'!S364),2)-AG341)</f>
        <v/>
      </c>
      <c r="AG341" s="75" t="str">
        <f>IF($A341="","",CHOOSE('Calc riepilogo'!$B$2,'Calc valanga'!BE364,'Calc palla di neve'!BE364,'Calc personalizzata'!BE364))</f>
        <v/>
      </c>
      <c r="AI341" t="n">
        <v>334</v>
      </c>
    </row>
    <row r="342">
      <c r="A342" s="68" t="str">
        <f>IF(335&gt;'Calc riepilogo'!$B$7,"",'Calc base'!$B365)</f>
        <v/>
      </c>
      <c r="B342" s="69" t="str">
        <f>IF($A342="","",'Calc base'!$C365)</f>
        <v/>
      </c>
      <c r="C342" s="69" t="str">
        <f>IF($A342="","",'Calc base'!$E365)</f>
        <v/>
      </c>
      <c r="D342" s="70" t="str">
        <f>IF($A342="","",J342+L342+N342+P342+R342+T342+V342+X342+Z342+AB342+AD342+AF342)</f>
        <v/>
      </c>
      <c r="E342" s="70" t="str">
        <f>IF($A342="","",CHOOSE('Calc riepilogo'!$B$2,'Calc valanga'!$H365,'Calc palla di neve'!$H365,'Calc personalizzata'!$H365))</f>
        <v/>
      </c>
      <c r="F342" s="71" t="str">
        <f>IF($A342="","",CHOOSE('Calc riepilogo'!$B$2,'Calc valanga'!$G365,'Calc palla di neve'!$G365,'Calc personalizzata'!$G365))</f>
        <v/>
      </c>
      <c r="G342" s="72" t="n"/>
      <c r="H342" s="73" t="n"/>
      <c r="I342" s="74" t="str">
        <f>IF($A342="","",TRIM(IF(AND(N(K341)&gt;0,N(K342)&lt;=0.004),"✓ "&amp;'Calc base'!C$6&amp;"   ","")&amp;IF(AND(N(M341)&gt;0,N(M342)&lt;=0.004),"✓ "&amp;'Calc base'!D$6&amp;"   ","")&amp;IF(AND(N(O341)&gt;0,N(O342)&lt;=0.004),"✓ "&amp;'Calc base'!E$6&amp;"   ","")&amp;IF(AND(N(Q341)&gt;0,N(Q342)&lt;=0.004),"✓ "&amp;'Calc base'!F$6&amp;"   ","")&amp;IF(AND(N(S341)&gt;0,N(S342)&lt;=0.004),"✓ "&amp;'Calc base'!G$6&amp;"   ","")&amp;IF(AND(N(U341)&gt;0,N(U342)&lt;=0.004),"✓ "&amp;'Calc base'!H$6&amp;"   ","")&amp;IF(AND(N(W341)&gt;0,N(W342)&lt;=0.004),"✓ "&amp;'Calc base'!I$6&amp;"   ","")&amp;IF(AND(N(Y341)&gt;0,N(Y342)&lt;=0.004),"✓ "&amp;'Calc base'!J$6&amp;"   ","")&amp;IF(AND(N(AA341)&gt;0,N(AA342)&lt;=0.004),"✓ "&amp;'Calc base'!K$6&amp;"   ","")&amp;IF(AND(N(AC341)&gt;0,N(AC342)&lt;=0.004),"✓ "&amp;'Calc base'!L$6&amp;"   ","")&amp;IF(AND(N(AE341)&gt;0,N(AE342)&lt;=0.004),"✓ "&amp;'Calc base'!M$6&amp;"   ","")&amp;IF(AND(N(AG341)&gt;0,N(AG342)&lt;=0.004),"✓ "&amp;'Calc base'!N$6&amp;"   ","")))</f>
        <v/>
      </c>
      <c r="J342" s="70" t="str">
        <f>IF($A342="","",ROUND(N(K341)*(1+'Calc base'!H365),2)-K342)</f>
        <v/>
      </c>
      <c r="K342" s="75" t="str">
        <f>IF($A342="","",CHOOSE('Calc riepilogo'!$B$2,'Calc valanga'!AT365,'Calc palla di neve'!AT365,'Calc personalizzata'!AT365))</f>
        <v/>
      </c>
      <c r="L342" s="70" t="str">
        <f>IF($A342="","",ROUND(N(M341)*(1+'Calc base'!I365),2)-M342)</f>
        <v/>
      </c>
      <c r="M342" s="75" t="str">
        <f>IF($A342="","",CHOOSE('Calc riepilogo'!$B$2,'Calc valanga'!AU365,'Calc palla di neve'!AU365,'Calc personalizzata'!AU365))</f>
        <v/>
      </c>
      <c r="N342" s="70" t="str">
        <f>IF($A342="","",ROUND(N(O341)*(1+'Calc base'!J365),2)-O342)</f>
        <v/>
      </c>
      <c r="O342" s="75" t="str">
        <f>IF($A342="","",CHOOSE('Calc riepilogo'!$B$2,'Calc valanga'!AV365,'Calc palla di neve'!AV365,'Calc personalizzata'!AV365))</f>
        <v/>
      </c>
      <c r="P342" s="70" t="str">
        <f>IF($A342="","",ROUND(N(Q341)*(1+'Calc base'!K365),2)-Q342)</f>
        <v/>
      </c>
      <c r="Q342" s="75" t="str">
        <f>IF($A342="","",CHOOSE('Calc riepilogo'!$B$2,'Calc valanga'!AW365,'Calc palla di neve'!AW365,'Calc personalizzata'!AW365))</f>
        <v/>
      </c>
      <c r="R342" s="70" t="str">
        <f>IF($A342="","",ROUND(N(S341)*(1+'Calc base'!L365),2)-S342)</f>
        <v/>
      </c>
      <c r="S342" s="75" t="str">
        <f>IF($A342="","",CHOOSE('Calc riepilogo'!$B$2,'Calc valanga'!AX365,'Calc palla di neve'!AX365,'Calc personalizzata'!AX365))</f>
        <v/>
      </c>
      <c r="T342" s="70" t="str">
        <f>IF($A342="","",ROUND(N(U341)*(1+'Calc base'!M365),2)-U342)</f>
        <v/>
      </c>
      <c r="U342" s="75" t="str">
        <f>IF($A342="","",CHOOSE('Calc riepilogo'!$B$2,'Calc valanga'!AY365,'Calc palla di neve'!AY365,'Calc personalizzata'!AY365))</f>
        <v/>
      </c>
      <c r="V342" s="70" t="str">
        <f>IF($A342="","",ROUND(N(W341)*(1+'Calc base'!N365),2)-W342)</f>
        <v/>
      </c>
      <c r="W342" s="75" t="str">
        <f>IF($A342="","",CHOOSE('Calc riepilogo'!$B$2,'Calc valanga'!AZ365,'Calc palla di neve'!AZ365,'Calc personalizzata'!AZ365))</f>
        <v/>
      </c>
      <c r="X342" s="70" t="str">
        <f>IF($A342="","",ROUND(N(Y341)*(1+'Calc base'!O365),2)-Y342)</f>
        <v/>
      </c>
      <c r="Y342" s="75" t="str">
        <f>IF($A342="","",CHOOSE('Calc riepilogo'!$B$2,'Calc valanga'!BA365,'Calc palla di neve'!BA365,'Calc personalizzata'!BA365))</f>
        <v/>
      </c>
      <c r="Z342" s="70" t="str">
        <f>IF($A342="","",ROUND(N(AA341)*(1+'Calc base'!P365),2)-AA342)</f>
        <v/>
      </c>
      <c r="AA342" s="75" t="str">
        <f>IF($A342="","",CHOOSE('Calc riepilogo'!$B$2,'Calc valanga'!BB365,'Calc palla di neve'!BB365,'Calc personalizzata'!BB365))</f>
        <v/>
      </c>
      <c r="AB342" s="70" t="str">
        <f>IF($A342="","",ROUND(N(AC341)*(1+'Calc base'!Q365),2)-AC342)</f>
        <v/>
      </c>
      <c r="AC342" s="75" t="str">
        <f>IF($A342="","",CHOOSE('Calc riepilogo'!$B$2,'Calc valanga'!BC365,'Calc palla di neve'!BC365,'Calc personalizzata'!BC365))</f>
        <v/>
      </c>
      <c r="AD342" s="70" t="str">
        <f>IF($A342="","",ROUND(N(AE341)*(1+'Calc base'!R365),2)-AE342)</f>
        <v/>
      </c>
      <c r="AE342" s="75" t="str">
        <f>IF($A342="","",CHOOSE('Calc riepilogo'!$B$2,'Calc valanga'!BD365,'Calc palla di neve'!BD365,'Calc personalizzata'!BD365))</f>
        <v/>
      </c>
      <c r="AF342" s="70" t="str">
        <f>IF($A342="","",ROUND(N(AG341)*(1+'Calc base'!S365),2)-AG342)</f>
        <v/>
      </c>
      <c r="AG342" s="75" t="str">
        <f>IF($A342="","",CHOOSE('Calc riepilogo'!$B$2,'Calc valanga'!BE365,'Calc palla di neve'!BE365,'Calc personalizzata'!BE365))</f>
        <v/>
      </c>
      <c r="AI342" t="n">
        <v>335</v>
      </c>
    </row>
    <row r="343">
      <c r="A343" s="68" t="str">
        <f>IF(336&gt;'Calc riepilogo'!$B$7,"",'Calc base'!$B366)</f>
        <v/>
      </c>
      <c r="B343" s="69" t="str">
        <f>IF($A343="","",'Calc base'!$C366)</f>
        <v/>
      </c>
      <c r="C343" s="69" t="str">
        <f>IF($A343="","",'Calc base'!$E366)</f>
        <v/>
      </c>
      <c r="D343" s="70" t="str">
        <f>IF($A343="","",J343+L343+N343+P343+R343+T343+V343+X343+Z343+AB343+AD343+AF343)</f>
        <v/>
      </c>
      <c r="E343" s="70" t="str">
        <f>IF($A343="","",CHOOSE('Calc riepilogo'!$B$2,'Calc valanga'!$H366,'Calc palla di neve'!$H366,'Calc personalizzata'!$H366))</f>
        <v/>
      </c>
      <c r="F343" s="71" t="str">
        <f>IF($A343="","",CHOOSE('Calc riepilogo'!$B$2,'Calc valanga'!$G366,'Calc palla di neve'!$G366,'Calc personalizzata'!$G366))</f>
        <v/>
      </c>
      <c r="G343" s="72" t="n"/>
      <c r="H343" s="73" t="n"/>
      <c r="I343" s="74" t="str">
        <f>IF($A343="","",TRIM(IF(AND(N(K342)&gt;0,N(K343)&lt;=0.004),"✓ "&amp;'Calc base'!C$6&amp;"   ","")&amp;IF(AND(N(M342)&gt;0,N(M343)&lt;=0.004),"✓ "&amp;'Calc base'!D$6&amp;"   ","")&amp;IF(AND(N(O342)&gt;0,N(O343)&lt;=0.004),"✓ "&amp;'Calc base'!E$6&amp;"   ","")&amp;IF(AND(N(Q342)&gt;0,N(Q343)&lt;=0.004),"✓ "&amp;'Calc base'!F$6&amp;"   ","")&amp;IF(AND(N(S342)&gt;0,N(S343)&lt;=0.004),"✓ "&amp;'Calc base'!G$6&amp;"   ","")&amp;IF(AND(N(U342)&gt;0,N(U343)&lt;=0.004),"✓ "&amp;'Calc base'!H$6&amp;"   ","")&amp;IF(AND(N(W342)&gt;0,N(W343)&lt;=0.004),"✓ "&amp;'Calc base'!I$6&amp;"   ","")&amp;IF(AND(N(Y342)&gt;0,N(Y343)&lt;=0.004),"✓ "&amp;'Calc base'!J$6&amp;"   ","")&amp;IF(AND(N(AA342)&gt;0,N(AA343)&lt;=0.004),"✓ "&amp;'Calc base'!K$6&amp;"   ","")&amp;IF(AND(N(AC342)&gt;0,N(AC343)&lt;=0.004),"✓ "&amp;'Calc base'!L$6&amp;"   ","")&amp;IF(AND(N(AE342)&gt;0,N(AE343)&lt;=0.004),"✓ "&amp;'Calc base'!M$6&amp;"   ","")&amp;IF(AND(N(AG342)&gt;0,N(AG343)&lt;=0.004),"✓ "&amp;'Calc base'!N$6&amp;"   ","")))</f>
        <v/>
      </c>
      <c r="J343" s="70" t="str">
        <f>IF($A343="","",ROUND(N(K342)*(1+'Calc base'!H366),2)-K343)</f>
        <v/>
      </c>
      <c r="K343" s="75" t="str">
        <f>IF($A343="","",CHOOSE('Calc riepilogo'!$B$2,'Calc valanga'!AT366,'Calc palla di neve'!AT366,'Calc personalizzata'!AT366))</f>
        <v/>
      </c>
      <c r="L343" s="70" t="str">
        <f>IF($A343="","",ROUND(N(M342)*(1+'Calc base'!I366),2)-M343)</f>
        <v/>
      </c>
      <c r="M343" s="75" t="str">
        <f>IF($A343="","",CHOOSE('Calc riepilogo'!$B$2,'Calc valanga'!AU366,'Calc palla di neve'!AU366,'Calc personalizzata'!AU366))</f>
        <v/>
      </c>
      <c r="N343" s="70" t="str">
        <f>IF($A343="","",ROUND(N(O342)*(1+'Calc base'!J366),2)-O343)</f>
        <v/>
      </c>
      <c r="O343" s="75" t="str">
        <f>IF($A343="","",CHOOSE('Calc riepilogo'!$B$2,'Calc valanga'!AV366,'Calc palla di neve'!AV366,'Calc personalizzata'!AV366))</f>
        <v/>
      </c>
      <c r="P343" s="70" t="str">
        <f>IF($A343="","",ROUND(N(Q342)*(1+'Calc base'!K366),2)-Q343)</f>
        <v/>
      </c>
      <c r="Q343" s="75" t="str">
        <f>IF($A343="","",CHOOSE('Calc riepilogo'!$B$2,'Calc valanga'!AW366,'Calc palla di neve'!AW366,'Calc personalizzata'!AW366))</f>
        <v/>
      </c>
      <c r="R343" s="70" t="str">
        <f>IF($A343="","",ROUND(N(S342)*(1+'Calc base'!L366),2)-S343)</f>
        <v/>
      </c>
      <c r="S343" s="75" t="str">
        <f>IF($A343="","",CHOOSE('Calc riepilogo'!$B$2,'Calc valanga'!AX366,'Calc palla di neve'!AX366,'Calc personalizzata'!AX366))</f>
        <v/>
      </c>
      <c r="T343" s="70" t="str">
        <f>IF($A343="","",ROUND(N(U342)*(1+'Calc base'!M366),2)-U343)</f>
        <v/>
      </c>
      <c r="U343" s="75" t="str">
        <f>IF($A343="","",CHOOSE('Calc riepilogo'!$B$2,'Calc valanga'!AY366,'Calc palla di neve'!AY366,'Calc personalizzata'!AY366))</f>
        <v/>
      </c>
      <c r="V343" s="70" t="str">
        <f>IF($A343="","",ROUND(N(W342)*(1+'Calc base'!N366),2)-W343)</f>
        <v/>
      </c>
      <c r="W343" s="75" t="str">
        <f>IF($A343="","",CHOOSE('Calc riepilogo'!$B$2,'Calc valanga'!AZ366,'Calc palla di neve'!AZ366,'Calc personalizzata'!AZ366))</f>
        <v/>
      </c>
      <c r="X343" s="70" t="str">
        <f>IF($A343="","",ROUND(N(Y342)*(1+'Calc base'!O366),2)-Y343)</f>
        <v/>
      </c>
      <c r="Y343" s="75" t="str">
        <f>IF($A343="","",CHOOSE('Calc riepilogo'!$B$2,'Calc valanga'!BA366,'Calc palla di neve'!BA366,'Calc personalizzata'!BA366))</f>
        <v/>
      </c>
      <c r="Z343" s="70" t="str">
        <f>IF($A343="","",ROUND(N(AA342)*(1+'Calc base'!P366),2)-AA343)</f>
        <v/>
      </c>
      <c r="AA343" s="75" t="str">
        <f>IF($A343="","",CHOOSE('Calc riepilogo'!$B$2,'Calc valanga'!BB366,'Calc palla di neve'!BB366,'Calc personalizzata'!BB366))</f>
        <v/>
      </c>
      <c r="AB343" s="70" t="str">
        <f>IF($A343="","",ROUND(N(AC342)*(1+'Calc base'!Q366),2)-AC343)</f>
        <v/>
      </c>
      <c r="AC343" s="75" t="str">
        <f>IF($A343="","",CHOOSE('Calc riepilogo'!$B$2,'Calc valanga'!BC366,'Calc palla di neve'!BC366,'Calc personalizzata'!BC366))</f>
        <v/>
      </c>
      <c r="AD343" s="70" t="str">
        <f>IF($A343="","",ROUND(N(AE342)*(1+'Calc base'!R366),2)-AE343)</f>
        <v/>
      </c>
      <c r="AE343" s="75" t="str">
        <f>IF($A343="","",CHOOSE('Calc riepilogo'!$B$2,'Calc valanga'!BD366,'Calc palla di neve'!BD366,'Calc personalizzata'!BD366))</f>
        <v/>
      </c>
      <c r="AF343" s="70" t="str">
        <f>IF($A343="","",ROUND(N(AG342)*(1+'Calc base'!S366),2)-AG343)</f>
        <v/>
      </c>
      <c r="AG343" s="75" t="str">
        <f>IF($A343="","",CHOOSE('Calc riepilogo'!$B$2,'Calc valanga'!BE366,'Calc palla di neve'!BE366,'Calc personalizzata'!BE366))</f>
        <v/>
      </c>
      <c r="AI343" t="n">
        <v>336</v>
      </c>
    </row>
    <row r="344">
      <c r="A344" s="68" t="str">
        <f>IF(337&gt;'Calc riepilogo'!$B$7,"",'Calc base'!$B367)</f>
        <v/>
      </c>
      <c r="B344" s="69" t="str">
        <f>IF($A344="","",'Calc base'!$C367)</f>
        <v/>
      </c>
      <c r="C344" s="69" t="str">
        <f>IF($A344="","",'Calc base'!$E367)</f>
        <v/>
      </c>
      <c r="D344" s="70" t="str">
        <f>IF($A344="","",J344+L344+N344+P344+R344+T344+V344+X344+Z344+AB344+AD344+AF344)</f>
        <v/>
      </c>
      <c r="E344" s="70" t="str">
        <f>IF($A344="","",CHOOSE('Calc riepilogo'!$B$2,'Calc valanga'!$H367,'Calc palla di neve'!$H367,'Calc personalizzata'!$H367))</f>
        <v/>
      </c>
      <c r="F344" s="71" t="str">
        <f>IF($A344="","",CHOOSE('Calc riepilogo'!$B$2,'Calc valanga'!$G367,'Calc palla di neve'!$G367,'Calc personalizzata'!$G367))</f>
        <v/>
      </c>
      <c r="G344" s="72" t="n"/>
      <c r="H344" s="73" t="n"/>
      <c r="I344" s="74" t="str">
        <f>IF($A344="","",TRIM(IF(AND(N(K343)&gt;0,N(K344)&lt;=0.004),"✓ "&amp;'Calc base'!C$6&amp;"   ","")&amp;IF(AND(N(M343)&gt;0,N(M344)&lt;=0.004),"✓ "&amp;'Calc base'!D$6&amp;"   ","")&amp;IF(AND(N(O343)&gt;0,N(O344)&lt;=0.004),"✓ "&amp;'Calc base'!E$6&amp;"   ","")&amp;IF(AND(N(Q343)&gt;0,N(Q344)&lt;=0.004),"✓ "&amp;'Calc base'!F$6&amp;"   ","")&amp;IF(AND(N(S343)&gt;0,N(S344)&lt;=0.004),"✓ "&amp;'Calc base'!G$6&amp;"   ","")&amp;IF(AND(N(U343)&gt;0,N(U344)&lt;=0.004),"✓ "&amp;'Calc base'!H$6&amp;"   ","")&amp;IF(AND(N(W343)&gt;0,N(W344)&lt;=0.004),"✓ "&amp;'Calc base'!I$6&amp;"   ","")&amp;IF(AND(N(Y343)&gt;0,N(Y344)&lt;=0.004),"✓ "&amp;'Calc base'!J$6&amp;"   ","")&amp;IF(AND(N(AA343)&gt;0,N(AA344)&lt;=0.004),"✓ "&amp;'Calc base'!K$6&amp;"   ","")&amp;IF(AND(N(AC343)&gt;0,N(AC344)&lt;=0.004),"✓ "&amp;'Calc base'!L$6&amp;"   ","")&amp;IF(AND(N(AE343)&gt;0,N(AE344)&lt;=0.004),"✓ "&amp;'Calc base'!M$6&amp;"   ","")&amp;IF(AND(N(AG343)&gt;0,N(AG344)&lt;=0.004),"✓ "&amp;'Calc base'!N$6&amp;"   ","")))</f>
        <v/>
      </c>
      <c r="J344" s="70" t="str">
        <f>IF($A344="","",ROUND(N(K343)*(1+'Calc base'!H367),2)-K344)</f>
        <v/>
      </c>
      <c r="K344" s="75" t="str">
        <f>IF($A344="","",CHOOSE('Calc riepilogo'!$B$2,'Calc valanga'!AT367,'Calc palla di neve'!AT367,'Calc personalizzata'!AT367))</f>
        <v/>
      </c>
      <c r="L344" s="70" t="str">
        <f>IF($A344="","",ROUND(N(M343)*(1+'Calc base'!I367),2)-M344)</f>
        <v/>
      </c>
      <c r="M344" s="75" t="str">
        <f>IF($A344="","",CHOOSE('Calc riepilogo'!$B$2,'Calc valanga'!AU367,'Calc palla di neve'!AU367,'Calc personalizzata'!AU367))</f>
        <v/>
      </c>
      <c r="N344" s="70" t="str">
        <f>IF($A344="","",ROUND(N(O343)*(1+'Calc base'!J367),2)-O344)</f>
        <v/>
      </c>
      <c r="O344" s="75" t="str">
        <f>IF($A344="","",CHOOSE('Calc riepilogo'!$B$2,'Calc valanga'!AV367,'Calc palla di neve'!AV367,'Calc personalizzata'!AV367))</f>
        <v/>
      </c>
      <c r="P344" s="70" t="str">
        <f>IF($A344="","",ROUND(N(Q343)*(1+'Calc base'!K367),2)-Q344)</f>
        <v/>
      </c>
      <c r="Q344" s="75" t="str">
        <f>IF($A344="","",CHOOSE('Calc riepilogo'!$B$2,'Calc valanga'!AW367,'Calc palla di neve'!AW367,'Calc personalizzata'!AW367))</f>
        <v/>
      </c>
      <c r="R344" s="70" t="str">
        <f>IF($A344="","",ROUND(N(S343)*(1+'Calc base'!L367),2)-S344)</f>
        <v/>
      </c>
      <c r="S344" s="75" t="str">
        <f>IF($A344="","",CHOOSE('Calc riepilogo'!$B$2,'Calc valanga'!AX367,'Calc palla di neve'!AX367,'Calc personalizzata'!AX367))</f>
        <v/>
      </c>
      <c r="T344" s="70" t="str">
        <f>IF($A344="","",ROUND(N(U343)*(1+'Calc base'!M367),2)-U344)</f>
        <v/>
      </c>
      <c r="U344" s="75" t="str">
        <f>IF($A344="","",CHOOSE('Calc riepilogo'!$B$2,'Calc valanga'!AY367,'Calc palla di neve'!AY367,'Calc personalizzata'!AY367))</f>
        <v/>
      </c>
      <c r="V344" s="70" t="str">
        <f>IF($A344="","",ROUND(N(W343)*(1+'Calc base'!N367),2)-W344)</f>
        <v/>
      </c>
      <c r="W344" s="75" t="str">
        <f>IF($A344="","",CHOOSE('Calc riepilogo'!$B$2,'Calc valanga'!AZ367,'Calc palla di neve'!AZ367,'Calc personalizzata'!AZ367))</f>
        <v/>
      </c>
      <c r="X344" s="70" t="str">
        <f>IF($A344="","",ROUND(N(Y343)*(1+'Calc base'!O367),2)-Y344)</f>
        <v/>
      </c>
      <c r="Y344" s="75" t="str">
        <f>IF($A344="","",CHOOSE('Calc riepilogo'!$B$2,'Calc valanga'!BA367,'Calc palla di neve'!BA367,'Calc personalizzata'!BA367))</f>
        <v/>
      </c>
      <c r="Z344" s="70" t="str">
        <f>IF($A344="","",ROUND(N(AA343)*(1+'Calc base'!P367),2)-AA344)</f>
        <v/>
      </c>
      <c r="AA344" s="75" t="str">
        <f>IF($A344="","",CHOOSE('Calc riepilogo'!$B$2,'Calc valanga'!BB367,'Calc palla di neve'!BB367,'Calc personalizzata'!BB367))</f>
        <v/>
      </c>
      <c r="AB344" s="70" t="str">
        <f>IF($A344="","",ROUND(N(AC343)*(1+'Calc base'!Q367),2)-AC344)</f>
        <v/>
      </c>
      <c r="AC344" s="75" t="str">
        <f>IF($A344="","",CHOOSE('Calc riepilogo'!$B$2,'Calc valanga'!BC367,'Calc palla di neve'!BC367,'Calc personalizzata'!BC367))</f>
        <v/>
      </c>
      <c r="AD344" s="70" t="str">
        <f>IF($A344="","",ROUND(N(AE343)*(1+'Calc base'!R367),2)-AE344)</f>
        <v/>
      </c>
      <c r="AE344" s="75" t="str">
        <f>IF($A344="","",CHOOSE('Calc riepilogo'!$B$2,'Calc valanga'!BD367,'Calc palla di neve'!BD367,'Calc personalizzata'!BD367))</f>
        <v/>
      </c>
      <c r="AF344" s="70" t="str">
        <f>IF($A344="","",ROUND(N(AG343)*(1+'Calc base'!S367),2)-AG344)</f>
        <v/>
      </c>
      <c r="AG344" s="75" t="str">
        <f>IF($A344="","",CHOOSE('Calc riepilogo'!$B$2,'Calc valanga'!BE367,'Calc palla di neve'!BE367,'Calc personalizzata'!BE367))</f>
        <v/>
      </c>
      <c r="AI344" t="n">
        <v>337</v>
      </c>
    </row>
    <row r="345">
      <c r="A345" s="68" t="str">
        <f>IF(338&gt;'Calc riepilogo'!$B$7,"",'Calc base'!$B368)</f>
        <v/>
      </c>
      <c r="B345" s="69" t="str">
        <f>IF($A345="","",'Calc base'!$C368)</f>
        <v/>
      </c>
      <c r="C345" s="69" t="str">
        <f>IF($A345="","",'Calc base'!$E368)</f>
        <v/>
      </c>
      <c r="D345" s="70" t="str">
        <f>IF($A345="","",J345+L345+N345+P345+R345+T345+V345+X345+Z345+AB345+AD345+AF345)</f>
        <v/>
      </c>
      <c r="E345" s="70" t="str">
        <f>IF($A345="","",CHOOSE('Calc riepilogo'!$B$2,'Calc valanga'!$H368,'Calc palla di neve'!$H368,'Calc personalizzata'!$H368))</f>
        <v/>
      </c>
      <c r="F345" s="71" t="str">
        <f>IF($A345="","",CHOOSE('Calc riepilogo'!$B$2,'Calc valanga'!$G368,'Calc palla di neve'!$G368,'Calc personalizzata'!$G368))</f>
        <v/>
      </c>
      <c r="G345" s="72" t="n"/>
      <c r="H345" s="73" t="n"/>
      <c r="I345" s="74" t="str">
        <f>IF($A345="","",TRIM(IF(AND(N(K344)&gt;0,N(K345)&lt;=0.004),"✓ "&amp;'Calc base'!C$6&amp;"   ","")&amp;IF(AND(N(M344)&gt;0,N(M345)&lt;=0.004),"✓ "&amp;'Calc base'!D$6&amp;"   ","")&amp;IF(AND(N(O344)&gt;0,N(O345)&lt;=0.004),"✓ "&amp;'Calc base'!E$6&amp;"   ","")&amp;IF(AND(N(Q344)&gt;0,N(Q345)&lt;=0.004),"✓ "&amp;'Calc base'!F$6&amp;"   ","")&amp;IF(AND(N(S344)&gt;0,N(S345)&lt;=0.004),"✓ "&amp;'Calc base'!G$6&amp;"   ","")&amp;IF(AND(N(U344)&gt;0,N(U345)&lt;=0.004),"✓ "&amp;'Calc base'!H$6&amp;"   ","")&amp;IF(AND(N(W344)&gt;0,N(W345)&lt;=0.004),"✓ "&amp;'Calc base'!I$6&amp;"   ","")&amp;IF(AND(N(Y344)&gt;0,N(Y345)&lt;=0.004),"✓ "&amp;'Calc base'!J$6&amp;"   ","")&amp;IF(AND(N(AA344)&gt;0,N(AA345)&lt;=0.004),"✓ "&amp;'Calc base'!K$6&amp;"   ","")&amp;IF(AND(N(AC344)&gt;0,N(AC345)&lt;=0.004),"✓ "&amp;'Calc base'!L$6&amp;"   ","")&amp;IF(AND(N(AE344)&gt;0,N(AE345)&lt;=0.004),"✓ "&amp;'Calc base'!M$6&amp;"   ","")&amp;IF(AND(N(AG344)&gt;0,N(AG345)&lt;=0.004),"✓ "&amp;'Calc base'!N$6&amp;"   ","")))</f>
        <v/>
      </c>
      <c r="J345" s="70" t="str">
        <f>IF($A345="","",ROUND(N(K344)*(1+'Calc base'!H368),2)-K345)</f>
        <v/>
      </c>
      <c r="K345" s="75" t="str">
        <f>IF($A345="","",CHOOSE('Calc riepilogo'!$B$2,'Calc valanga'!AT368,'Calc palla di neve'!AT368,'Calc personalizzata'!AT368))</f>
        <v/>
      </c>
      <c r="L345" s="70" t="str">
        <f>IF($A345="","",ROUND(N(M344)*(1+'Calc base'!I368),2)-M345)</f>
        <v/>
      </c>
      <c r="M345" s="75" t="str">
        <f>IF($A345="","",CHOOSE('Calc riepilogo'!$B$2,'Calc valanga'!AU368,'Calc palla di neve'!AU368,'Calc personalizzata'!AU368))</f>
        <v/>
      </c>
      <c r="N345" s="70" t="str">
        <f>IF($A345="","",ROUND(N(O344)*(1+'Calc base'!J368),2)-O345)</f>
        <v/>
      </c>
      <c r="O345" s="75" t="str">
        <f>IF($A345="","",CHOOSE('Calc riepilogo'!$B$2,'Calc valanga'!AV368,'Calc palla di neve'!AV368,'Calc personalizzata'!AV368))</f>
        <v/>
      </c>
      <c r="P345" s="70" t="str">
        <f>IF($A345="","",ROUND(N(Q344)*(1+'Calc base'!K368),2)-Q345)</f>
        <v/>
      </c>
      <c r="Q345" s="75" t="str">
        <f>IF($A345="","",CHOOSE('Calc riepilogo'!$B$2,'Calc valanga'!AW368,'Calc palla di neve'!AW368,'Calc personalizzata'!AW368))</f>
        <v/>
      </c>
      <c r="R345" s="70" t="str">
        <f>IF($A345="","",ROUND(N(S344)*(1+'Calc base'!L368),2)-S345)</f>
        <v/>
      </c>
      <c r="S345" s="75" t="str">
        <f>IF($A345="","",CHOOSE('Calc riepilogo'!$B$2,'Calc valanga'!AX368,'Calc palla di neve'!AX368,'Calc personalizzata'!AX368))</f>
        <v/>
      </c>
      <c r="T345" s="70" t="str">
        <f>IF($A345="","",ROUND(N(U344)*(1+'Calc base'!M368),2)-U345)</f>
        <v/>
      </c>
      <c r="U345" s="75" t="str">
        <f>IF($A345="","",CHOOSE('Calc riepilogo'!$B$2,'Calc valanga'!AY368,'Calc palla di neve'!AY368,'Calc personalizzata'!AY368))</f>
        <v/>
      </c>
      <c r="V345" s="70" t="str">
        <f>IF($A345="","",ROUND(N(W344)*(1+'Calc base'!N368),2)-W345)</f>
        <v/>
      </c>
      <c r="W345" s="75" t="str">
        <f>IF($A345="","",CHOOSE('Calc riepilogo'!$B$2,'Calc valanga'!AZ368,'Calc palla di neve'!AZ368,'Calc personalizzata'!AZ368))</f>
        <v/>
      </c>
      <c r="X345" s="70" t="str">
        <f>IF($A345="","",ROUND(N(Y344)*(1+'Calc base'!O368),2)-Y345)</f>
        <v/>
      </c>
      <c r="Y345" s="75" t="str">
        <f>IF($A345="","",CHOOSE('Calc riepilogo'!$B$2,'Calc valanga'!BA368,'Calc palla di neve'!BA368,'Calc personalizzata'!BA368))</f>
        <v/>
      </c>
      <c r="Z345" s="70" t="str">
        <f>IF($A345="","",ROUND(N(AA344)*(1+'Calc base'!P368),2)-AA345)</f>
        <v/>
      </c>
      <c r="AA345" s="75" t="str">
        <f>IF($A345="","",CHOOSE('Calc riepilogo'!$B$2,'Calc valanga'!BB368,'Calc palla di neve'!BB368,'Calc personalizzata'!BB368))</f>
        <v/>
      </c>
      <c r="AB345" s="70" t="str">
        <f>IF($A345="","",ROUND(N(AC344)*(1+'Calc base'!Q368),2)-AC345)</f>
        <v/>
      </c>
      <c r="AC345" s="75" t="str">
        <f>IF($A345="","",CHOOSE('Calc riepilogo'!$B$2,'Calc valanga'!BC368,'Calc palla di neve'!BC368,'Calc personalizzata'!BC368))</f>
        <v/>
      </c>
      <c r="AD345" s="70" t="str">
        <f>IF($A345="","",ROUND(N(AE344)*(1+'Calc base'!R368),2)-AE345)</f>
        <v/>
      </c>
      <c r="AE345" s="75" t="str">
        <f>IF($A345="","",CHOOSE('Calc riepilogo'!$B$2,'Calc valanga'!BD368,'Calc palla di neve'!BD368,'Calc personalizzata'!BD368))</f>
        <v/>
      </c>
      <c r="AF345" s="70" t="str">
        <f>IF($A345="","",ROUND(N(AG344)*(1+'Calc base'!S368),2)-AG345)</f>
        <v/>
      </c>
      <c r="AG345" s="75" t="str">
        <f>IF($A345="","",CHOOSE('Calc riepilogo'!$B$2,'Calc valanga'!BE368,'Calc palla di neve'!BE368,'Calc personalizzata'!BE368))</f>
        <v/>
      </c>
      <c r="AI345" t="n">
        <v>338</v>
      </c>
    </row>
    <row r="346">
      <c r="A346" s="68" t="str">
        <f>IF(339&gt;'Calc riepilogo'!$B$7,"",'Calc base'!$B369)</f>
        <v/>
      </c>
      <c r="B346" s="69" t="str">
        <f>IF($A346="","",'Calc base'!$C369)</f>
        <v/>
      </c>
      <c r="C346" s="69" t="str">
        <f>IF($A346="","",'Calc base'!$E369)</f>
        <v/>
      </c>
      <c r="D346" s="70" t="str">
        <f>IF($A346="","",J346+L346+N346+P346+R346+T346+V346+X346+Z346+AB346+AD346+AF346)</f>
        <v/>
      </c>
      <c r="E346" s="70" t="str">
        <f>IF($A346="","",CHOOSE('Calc riepilogo'!$B$2,'Calc valanga'!$H369,'Calc palla di neve'!$H369,'Calc personalizzata'!$H369))</f>
        <v/>
      </c>
      <c r="F346" s="71" t="str">
        <f>IF($A346="","",CHOOSE('Calc riepilogo'!$B$2,'Calc valanga'!$G369,'Calc palla di neve'!$G369,'Calc personalizzata'!$G369))</f>
        <v/>
      </c>
      <c r="G346" s="72" t="n"/>
      <c r="H346" s="73" t="n"/>
      <c r="I346" s="74" t="str">
        <f>IF($A346="","",TRIM(IF(AND(N(K345)&gt;0,N(K346)&lt;=0.004),"✓ "&amp;'Calc base'!C$6&amp;"   ","")&amp;IF(AND(N(M345)&gt;0,N(M346)&lt;=0.004),"✓ "&amp;'Calc base'!D$6&amp;"   ","")&amp;IF(AND(N(O345)&gt;0,N(O346)&lt;=0.004),"✓ "&amp;'Calc base'!E$6&amp;"   ","")&amp;IF(AND(N(Q345)&gt;0,N(Q346)&lt;=0.004),"✓ "&amp;'Calc base'!F$6&amp;"   ","")&amp;IF(AND(N(S345)&gt;0,N(S346)&lt;=0.004),"✓ "&amp;'Calc base'!G$6&amp;"   ","")&amp;IF(AND(N(U345)&gt;0,N(U346)&lt;=0.004),"✓ "&amp;'Calc base'!H$6&amp;"   ","")&amp;IF(AND(N(W345)&gt;0,N(W346)&lt;=0.004),"✓ "&amp;'Calc base'!I$6&amp;"   ","")&amp;IF(AND(N(Y345)&gt;0,N(Y346)&lt;=0.004),"✓ "&amp;'Calc base'!J$6&amp;"   ","")&amp;IF(AND(N(AA345)&gt;0,N(AA346)&lt;=0.004),"✓ "&amp;'Calc base'!K$6&amp;"   ","")&amp;IF(AND(N(AC345)&gt;0,N(AC346)&lt;=0.004),"✓ "&amp;'Calc base'!L$6&amp;"   ","")&amp;IF(AND(N(AE345)&gt;0,N(AE346)&lt;=0.004),"✓ "&amp;'Calc base'!M$6&amp;"   ","")&amp;IF(AND(N(AG345)&gt;0,N(AG346)&lt;=0.004),"✓ "&amp;'Calc base'!N$6&amp;"   ","")))</f>
        <v/>
      </c>
      <c r="J346" s="70" t="str">
        <f>IF($A346="","",ROUND(N(K345)*(1+'Calc base'!H369),2)-K346)</f>
        <v/>
      </c>
      <c r="K346" s="75" t="str">
        <f>IF($A346="","",CHOOSE('Calc riepilogo'!$B$2,'Calc valanga'!AT369,'Calc palla di neve'!AT369,'Calc personalizzata'!AT369))</f>
        <v/>
      </c>
      <c r="L346" s="70" t="str">
        <f>IF($A346="","",ROUND(N(M345)*(1+'Calc base'!I369),2)-M346)</f>
        <v/>
      </c>
      <c r="M346" s="75" t="str">
        <f>IF($A346="","",CHOOSE('Calc riepilogo'!$B$2,'Calc valanga'!AU369,'Calc palla di neve'!AU369,'Calc personalizzata'!AU369))</f>
        <v/>
      </c>
      <c r="N346" s="70" t="str">
        <f>IF($A346="","",ROUND(N(O345)*(1+'Calc base'!J369),2)-O346)</f>
        <v/>
      </c>
      <c r="O346" s="75" t="str">
        <f>IF($A346="","",CHOOSE('Calc riepilogo'!$B$2,'Calc valanga'!AV369,'Calc palla di neve'!AV369,'Calc personalizzata'!AV369))</f>
        <v/>
      </c>
      <c r="P346" s="70" t="str">
        <f>IF($A346="","",ROUND(N(Q345)*(1+'Calc base'!K369),2)-Q346)</f>
        <v/>
      </c>
      <c r="Q346" s="75" t="str">
        <f>IF($A346="","",CHOOSE('Calc riepilogo'!$B$2,'Calc valanga'!AW369,'Calc palla di neve'!AW369,'Calc personalizzata'!AW369))</f>
        <v/>
      </c>
      <c r="R346" s="70" t="str">
        <f>IF($A346="","",ROUND(N(S345)*(1+'Calc base'!L369),2)-S346)</f>
        <v/>
      </c>
      <c r="S346" s="75" t="str">
        <f>IF($A346="","",CHOOSE('Calc riepilogo'!$B$2,'Calc valanga'!AX369,'Calc palla di neve'!AX369,'Calc personalizzata'!AX369))</f>
        <v/>
      </c>
      <c r="T346" s="70" t="str">
        <f>IF($A346="","",ROUND(N(U345)*(1+'Calc base'!M369),2)-U346)</f>
        <v/>
      </c>
      <c r="U346" s="75" t="str">
        <f>IF($A346="","",CHOOSE('Calc riepilogo'!$B$2,'Calc valanga'!AY369,'Calc palla di neve'!AY369,'Calc personalizzata'!AY369))</f>
        <v/>
      </c>
      <c r="V346" s="70" t="str">
        <f>IF($A346="","",ROUND(N(W345)*(1+'Calc base'!N369),2)-W346)</f>
        <v/>
      </c>
      <c r="W346" s="75" t="str">
        <f>IF($A346="","",CHOOSE('Calc riepilogo'!$B$2,'Calc valanga'!AZ369,'Calc palla di neve'!AZ369,'Calc personalizzata'!AZ369))</f>
        <v/>
      </c>
      <c r="X346" s="70" t="str">
        <f>IF($A346="","",ROUND(N(Y345)*(1+'Calc base'!O369),2)-Y346)</f>
        <v/>
      </c>
      <c r="Y346" s="75" t="str">
        <f>IF($A346="","",CHOOSE('Calc riepilogo'!$B$2,'Calc valanga'!BA369,'Calc palla di neve'!BA369,'Calc personalizzata'!BA369))</f>
        <v/>
      </c>
      <c r="Z346" s="70" t="str">
        <f>IF($A346="","",ROUND(N(AA345)*(1+'Calc base'!P369),2)-AA346)</f>
        <v/>
      </c>
      <c r="AA346" s="75" t="str">
        <f>IF($A346="","",CHOOSE('Calc riepilogo'!$B$2,'Calc valanga'!BB369,'Calc palla di neve'!BB369,'Calc personalizzata'!BB369))</f>
        <v/>
      </c>
      <c r="AB346" s="70" t="str">
        <f>IF($A346="","",ROUND(N(AC345)*(1+'Calc base'!Q369),2)-AC346)</f>
        <v/>
      </c>
      <c r="AC346" s="75" t="str">
        <f>IF($A346="","",CHOOSE('Calc riepilogo'!$B$2,'Calc valanga'!BC369,'Calc palla di neve'!BC369,'Calc personalizzata'!BC369))</f>
        <v/>
      </c>
      <c r="AD346" s="70" t="str">
        <f>IF($A346="","",ROUND(N(AE345)*(1+'Calc base'!R369),2)-AE346)</f>
        <v/>
      </c>
      <c r="AE346" s="75" t="str">
        <f>IF($A346="","",CHOOSE('Calc riepilogo'!$B$2,'Calc valanga'!BD369,'Calc palla di neve'!BD369,'Calc personalizzata'!BD369))</f>
        <v/>
      </c>
      <c r="AF346" s="70" t="str">
        <f>IF($A346="","",ROUND(N(AG345)*(1+'Calc base'!S369),2)-AG346)</f>
        <v/>
      </c>
      <c r="AG346" s="75" t="str">
        <f>IF($A346="","",CHOOSE('Calc riepilogo'!$B$2,'Calc valanga'!BE369,'Calc palla di neve'!BE369,'Calc personalizzata'!BE369))</f>
        <v/>
      </c>
      <c r="AI346" t="n">
        <v>339</v>
      </c>
    </row>
    <row r="347">
      <c r="A347" s="68" t="str">
        <f>IF(340&gt;'Calc riepilogo'!$B$7,"",'Calc base'!$B370)</f>
        <v/>
      </c>
      <c r="B347" s="69" t="str">
        <f>IF($A347="","",'Calc base'!$C370)</f>
        <v/>
      </c>
      <c r="C347" s="69" t="str">
        <f>IF($A347="","",'Calc base'!$E370)</f>
        <v/>
      </c>
      <c r="D347" s="70" t="str">
        <f>IF($A347="","",J347+L347+N347+P347+R347+T347+V347+X347+Z347+AB347+AD347+AF347)</f>
        <v/>
      </c>
      <c r="E347" s="70" t="str">
        <f>IF($A347="","",CHOOSE('Calc riepilogo'!$B$2,'Calc valanga'!$H370,'Calc palla di neve'!$H370,'Calc personalizzata'!$H370))</f>
        <v/>
      </c>
      <c r="F347" s="71" t="str">
        <f>IF($A347="","",CHOOSE('Calc riepilogo'!$B$2,'Calc valanga'!$G370,'Calc palla di neve'!$G370,'Calc personalizzata'!$G370))</f>
        <v/>
      </c>
      <c r="G347" s="72" t="n"/>
      <c r="H347" s="73" t="n"/>
      <c r="I347" s="74" t="str">
        <f>IF($A347="","",TRIM(IF(AND(N(K346)&gt;0,N(K347)&lt;=0.004),"✓ "&amp;'Calc base'!C$6&amp;"   ","")&amp;IF(AND(N(M346)&gt;0,N(M347)&lt;=0.004),"✓ "&amp;'Calc base'!D$6&amp;"   ","")&amp;IF(AND(N(O346)&gt;0,N(O347)&lt;=0.004),"✓ "&amp;'Calc base'!E$6&amp;"   ","")&amp;IF(AND(N(Q346)&gt;0,N(Q347)&lt;=0.004),"✓ "&amp;'Calc base'!F$6&amp;"   ","")&amp;IF(AND(N(S346)&gt;0,N(S347)&lt;=0.004),"✓ "&amp;'Calc base'!G$6&amp;"   ","")&amp;IF(AND(N(U346)&gt;0,N(U347)&lt;=0.004),"✓ "&amp;'Calc base'!H$6&amp;"   ","")&amp;IF(AND(N(W346)&gt;0,N(W347)&lt;=0.004),"✓ "&amp;'Calc base'!I$6&amp;"   ","")&amp;IF(AND(N(Y346)&gt;0,N(Y347)&lt;=0.004),"✓ "&amp;'Calc base'!J$6&amp;"   ","")&amp;IF(AND(N(AA346)&gt;0,N(AA347)&lt;=0.004),"✓ "&amp;'Calc base'!K$6&amp;"   ","")&amp;IF(AND(N(AC346)&gt;0,N(AC347)&lt;=0.004),"✓ "&amp;'Calc base'!L$6&amp;"   ","")&amp;IF(AND(N(AE346)&gt;0,N(AE347)&lt;=0.004),"✓ "&amp;'Calc base'!M$6&amp;"   ","")&amp;IF(AND(N(AG346)&gt;0,N(AG347)&lt;=0.004),"✓ "&amp;'Calc base'!N$6&amp;"   ","")))</f>
        <v/>
      </c>
      <c r="J347" s="70" t="str">
        <f>IF($A347="","",ROUND(N(K346)*(1+'Calc base'!H370),2)-K347)</f>
        <v/>
      </c>
      <c r="K347" s="75" t="str">
        <f>IF($A347="","",CHOOSE('Calc riepilogo'!$B$2,'Calc valanga'!AT370,'Calc palla di neve'!AT370,'Calc personalizzata'!AT370))</f>
        <v/>
      </c>
      <c r="L347" s="70" t="str">
        <f>IF($A347="","",ROUND(N(M346)*(1+'Calc base'!I370),2)-M347)</f>
        <v/>
      </c>
      <c r="M347" s="75" t="str">
        <f>IF($A347="","",CHOOSE('Calc riepilogo'!$B$2,'Calc valanga'!AU370,'Calc palla di neve'!AU370,'Calc personalizzata'!AU370))</f>
        <v/>
      </c>
      <c r="N347" s="70" t="str">
        <f>IF($A347="","",ROUND(N(O346)*(1+'Calc base'!J370),2)-O347)</f>
        <v/>
      </c>
      <c r="O347" s="75" t="str">
        <f>IF($A347="","",CHOOSE('Calc riepilogo'!$B$2,'Calc valanga'!AV370,'Calc palla di neve'!AV370,'Calc personalizzata'!AV370))</f>
        <v/>
      </c>
      <c r="P347" s="70" t="str">
        <f>IF($A347="","",ROUND(N(Q346)*(1+'Calc base'!K370),2)-Q347)</f>
        <v/>
      </c>
      <c r="Q347" s="75" t="str">
        <f>IF($A347="","",CHOOSE('Calc riepilogo'!$B$2,'Calc valanga'!AW370,'Calc palla di neve'!AW370,'Calc personalizzata'!AW370))</f>
        <v/>
      </c>
      <c r="R347" s="70" t="str">
        <f>IF($A347="","",ROUND(N(S346)*(1+'Calc base'!L370),2)-S347)</f>
        <v/>
      </c>
      <c r="S347" s="75" t="str">
        <f>IF($A347="","",CHOOSE('Calc riepilogo'!$B$2,'Calc valanga'!AX370,'Calc palla di neve'!AX370,'Calc personalizzata'!AX370))</f>
        <v/>
      </c>
      <c r="T347" s="70" t="str">
        <f>IF($A347="","",ROUND(N(U346)*(1+'Calc base'!M370),2)-U347)</f>
        <v/>
      </c>
      <c r="U347" s="75" t="str">
        <f>IF($A347="","",CHOOSE('Calc riepilogo'!$B$2,'Calc valanga'!AY370,'Calc palla di neve'!AY370,'Calc personalizzata'!AY370))</f>
        <v/>
      </c>
      <c r="V347" s="70" t="str">
        <f>IF($A347="","",ROUND(N(W346)*(1+'Calc base'!N370),2)-W347)</f>
        <v/>
      </c>
      <c r="W347" s="75" t="str">
        <f>IF($A347="","",CHOOSE('Calc riepilogo'!$B$2,'Calc valanga'!AZ370,'Calc palla di neve'!AZ370,'Calc personalizzata'!AZ370))</f>
        <v/>
      </c>
      <c r="X347" s="70" t="str">
        <f>IF($A347="","",ROUND(N(Y346)*(1+'Calc base'!O370),2)-Y347)</f>
        <v/>
      </c>
      <c r="Y347" s="75" t="str">
        <f>IF($A347="","",CHOOSE('Calc riepilogo'!$B$2,'Calc valanga'!BA370,'Calc palla di neve'!BA370,'Calc personalizzata'!BA370))</f>
        <v/>
      </c>
      <c r="Z347" s="70" t="str">
        <f>IF($A347="","",ROUND(N(AA346)*(1+'Calc base'!P370),2)-AA347)</f>
        <v/>
      </c>
      <c r="AA347" s="75" t="str">
        <f>IF($A347="","",CHOOSE('Calc riepilogo'!$B$2,'Calc valanga'!BB370,'Calc palla di neve'!BB370,'Calc personalizzata'!BB370))</f>
        <v/>
      </c>
      <c r="AB347" s="70" t="str">
        <f>IF($A347="","",ROUND(N(AC346)*(1+'Calc base'!Q370),2)-AC347)</f>
        <v/>
      </c>
      <c r="AC347" s="75" t="str">
        <f>IF($A347="","",CHOOSE('Calc riepilogo'!$B$2,'Calc valanga'!BC370,'Calc palla di neve'!BC370,'Calc personalizzata'!BC370))</f>
        <v/>
      </c>
      <c r="AD347" s="70" t="str">
        <f>IF($A347="","",ROUND(N(AE346)*(1+'Calc base'!R370),2)-AE347)</f>
        <v/>
      </c>
      <c r="AE347" s="75" t="str">
        <f>IF($A347="","",CHOOSE('Calc riepilogo'!$B$2,'Calc valanga'!BD370,'Calc palla di neve'!BD370,'Calc personalizzata'!BD370))</f>
        <v/>
      </c>
      <c r="AF347" s="70" t="str">
        <f>IF($A347="","",ROUND(N(AG346)*(1+'Calc base'!S370),2)-AG347)</f>
        <v/>
      </c>
      <c r="AG347" s="75" t="str">
        <f>IF($A347="","",CHOOSE('Calc riepilogo'!$B$2,'Calc valanga'!BE370,'Calc palla di neve'!BE370,'Calc personalizzata'!BE370))</f>
        <v/>
      </c>
      <c r="AI347" t="n">
        <v>340</v>
      </c>
    </row>
    <row r="348">
      <c r="A348" s="68" t="str">
        <f>IF(341&gt;'Calc riepilogo'!$B$7,"",'Calc base'!$B371)</f>
        <v/>
      </c>
      <c r="B348" s="69" t="str">
        <f>IF($A348="","",'Calc base'!$C371)</f>
        <v/>
      </c>
      <c r="C348" s="69" t="str">
        <f>IF($A348="","",'Calc base'!$E371)</f>
        <v/>
      </c>
      <c r="D348" s="70" t="str">
        <f>IF($A348="","",J348+L348+N348+P348+R348+T348+V348+X348+Z348+AB348+AD348+AF348)</f>
        <v/>
      </c>
      <c r="E348" s="70" t="str">
        <f>IF($A348="","",CHOOSE('Calc riepilogo'!$B$2,'Calc valanga'!$H371,'Calc palla di neve'!$H371,'Calc personalizzata'!$H371))</f>
        <v/>
      </c>
      <c r="F348" s="71" t="str">
        <f>IF($A348="","",CHOOSE('Calc riepilogo'!$B$2,'Calc valanga'!$G371,'Calc palla di neve'!$G371,'Calc personalizzata'!$G371))</f>
        <v/>
      </c>
      <c r="G348" s="72" t="n"/>
      <c r="H348" s="73" t="n"/>
      <c r="I348" s="74" t="str">
        <f>IF($A348="","",TRIM(IF(AND(N(K347)&gt;0,N(K348)&lt;=0.004),"✓ "&amp;'Calc base'!C$6&amp;"   ","")&amp;IF(AND(N(M347)&gt;0,N(M348)&lt;=0.004),"✓ "&amp;'Calc base'!D$6&amp;"   ","")&amp;IF(AND(N(O347)&gt;0,N(O348)&lt;=0.004),"✓ "&amp;'Calc base'!E$6&amp;"   ","")&amp;IF(AND(N(Q347)&gt;0,N(Q348)&lt;=0.004),"✓ "&amp;'Calc base'!F$6&amp;"   ","")&amp;IF(AND(N(S347)&gt;0,N(S348)&lt;=0.004),"✓ "&amp;'Calc base'!G$6&amp;"   ","")&amp;IF(AND(N(U347)&gt;0,N(U348)&lt;=0.004),"✓ "&amp;'Calc base'!H$6&amp;"   ","")&amp;IF(AND(N(W347)&gt;0,N(W348)&lt;=0.004),"✓ "&amp;'Calc base'!I$6&amp;"   ","")&amp;IF(AND(N(Y347)&gt;0,N(Y348)&lt;=0.004),"✓ "&amp;'Calc base'!J$6&amp;"   ","")&amp;IF(AND(N(AA347)&gt;0,N(AA348)&lt;=0.004),"✓ "&amp;'Calc base'!K$6&amp;"   ","")&amp;IF(AND(N(AC347)&gt;0,N(AC348)&lt;=0.004),"✓ "&amp;'Calc base'!L$6&amp;"   ","")&amp;IF(AND(N(AE347)&gt;0,N(AE348)&lt;=0.004),"✓ "&amp;'Calc base'!M$6&amp;"   ","")&amp;IF(AND(N(AG347)&gt;0,N(AG348)&lt;=0.004),"✓ "&amp;'Calc base'!N$6&amp;"   ","")))</f>
        <v/>
      </c>
      <c r="J348" s="70" t="str">
        <f>IF($A348="","",ROUND(N(K347)*(1+'Calc base'!H371),2)-K348)</f>
        <v/>
      </c>
      <c r="K348" s="75" t="str">
        <f>IF($A348="","",CHOOSE('Calc riepilogo'!$B$2,'Calc valanga'!AT371,'Calc palla di neve'!AT371,'Calc personalizzata'!AT371))</f>
        <v/>
      </c>
      <c r="L348" s="70" t="str">
        <f>IF($A348="","",ROUND(N(M347)*(1+'Calc base'!I371),2)-M348)</f>
        <v/>
      </c>
      <c r="M348" s="75" t="str">
        <f>IF($A348="","",CHOOSE('Calc riepilogo'!$B$2,'Calc valanga'!AU371,'Calc palla di neve'!AU371,'Calc personalizzata'!AU371))</f>
        <v/>
      </c>
      <c r="N348" s="70" t="str">
        <f>IF($A348="","",ROUND(N(O347)*(1+'Calc base'!J371),2)-O348)</f>
        <v/>
      </c>
      <c r="O348" s="75" t="str">
        <f>IF($A348="","",CHOOSE('Calc riepilogo'!$B$2,'Calc valanga'!AV371,'Calc palla di neve'!AV371,'Calc personalizzata'!AV371))</f>
        <v/>
      </c>
      <c r="P348" s="70" t="str">
        <f>IF($A348="","",ROUND(N(Q347)*(1+'Calc base'!K371),2)-Q348)</f>
        <v/>
      </c>
      <c r="Q348" s="75" t="str">
        <f>IF($A348="","",CHOOSE('Calc riepilogo'!$B$2,'Calc valanga'!AW371,'Calc palla di neve'!AW371,'Calc personalizzata'!AW371))</f>
        <v/>
      </c>
      <c r="R348" s="70" t="str">
        <f>IF($A348="","",ROUND(N(S347)*(1+'Calc base'!L371),2)-S348)</f>
        <v/>
      </c>
      <c r="S348" s="75" t="str">
        <f>IF($A348="","",CHOOSE('Calc riepilogo'!$B$2,'Calc valanga'!AX371,'Calc palla di neve'!AX371,'Calc personalizzata'!AX371))</f>
        <v/>
      </c>
      <c r="T348" s="70" t="str">
        <f>IF($A348="","",ROUND(N(U347)*(1+'Calc base'!M371),2)-U348)</f>
        <v/>
      </c>
      <c r="U348" s="75" t="str">
        <f>IF($A348="","",CHOOSE('Calc riepilogo'!$B$2,'Calc valanga'!AY371,'Calc palla di neve'!AY371,'Calc personalizzata'!AY371))</f>
        <v/>
      </c>
      <c r="V348" s="70" t="str">
        <f>IF($A348="","",ROUND(N(W347)*(1+'Calc base'!N371),2)-W348)</f>
        <v/>
      </c>
      <c r="W348" s="75" t="str">
        <f>IF($A348="","",CHOOSE('Calc riepilogo'!$B$2,'Calc valanga'!AZ371,'Calc palla di neve'!AZ371,'Calc personalizzata'!AZ371))</f>
        <v/>
      </c>
      <c r="X348" s="70" t="str">
        <f>IF($A348="","",ROUND(N(Y347)*(1+'Calc base'!O371),2)-Y348)</f>
        <v/>
      </c>
      <c r="Y348" s="75" t="str">
        <f>IF($A348="","",CHOOSE('Calc riepilogo'!$B$2,'Calc valanga'!BA371,'Calc palla di neve'!BA371,'Calc personalizzata'!BA371))</f>
        <v/>
      </c>
      <c r="Z348" s="70" t="str">
        <f>IF($A348="","",ROUND(N(AA347)*(1+'Calc base'!P371),2)-AA348)</f>
        <v/>
      </c>
      <c r="AA348" s="75" t="str">
        <f>IF($A348="","",CHOOSE('Calc riepilogo'!$B$2,'Calc valanga'!BB371,'Calc palla di neve'!BB371,'Calc personalizzata'!BB371))</f>
        <v/>
      </c>
      <c r="AB348" s="70" t="str">
        <f>IF($A348="","",ROUND(N(AC347)*(1+'Calc base'!Q371),2)-AC348)</f>
        <v/>
      </c>
      <c r="AC348" s="75" t="str">
        <f>IF($A348="","",CHOOSE('Calc riepilogo'!$B$2,'Calc valanga'!BC371,'Calc palla di neve'!BC371,'Calc personalizzata'!BC371))</f>
        <v/>
      </c>
      <c r="AD348" s="70" t="str">
        <f>IF($A348="","",ROUND(N(AE347)*(1+'Calc base'!R371),2)-AE348)</f>
        <v/>
      </c>
      <c r="AE348" s="75" t="str">
        <f>IF($A348="","",CHOOSE('Calc riepilogo'!$B$2,'Calc valanga'!BD371,'Calc palla di neve'!BD371,'Calc personalizzata'!BD371))</f>
        <v/>
      </c>
      <c r="AF348" s="70" t="str">
        <f>IF($A348="","",ROUND(N(AG347)*(1+'Calc base'!S371),2)-AG348)</f>
        <v/>
      </c>
      <c r="AG348" s="75" t="str">
        <f>IF($A348="","",CHOOSE('Calc riepilogo'!$B$2,'Calc valanga'!BE371,'Calc palla di neve'!BE371,'Calc personalizzata'!BE371))</f>
        <v/>
      </c>
      <c r="AI348" t="n">
        <v>341</v>
      </c>
    </row>
    <row r="349">
      <c r="A349" s="68" t="str">
        <f>IF(342&gt;'Calc riepilogo'!$B$7,"",'Calc base'!$B372)</f>
        <v/>
      </c>
      <c r="B349" s="69" t="str">
        <f>IF($A349="","",'Calc base'!$C372)</f>
        <v/>
      </c>
      <c r="C349" s="69" t="str">
        <f>IF($A349="","",'Calc base'!$E372)</f>
        <v/>
      </c>
      <c r="D349" s="70" t="str">
        <f>IF($A349="","",J349+L349+N349+P349+R349+T349+V349+X349+Z349+AB349+AD349+AF349)</f>
        <v/>
      </c>
      <c r="E349" s="70" t="str">
        <f>IF($A349="","",CHOOSE('Calc riepilogo'!$B$2,'Calc valanga'!$H372,'Calc palla di neve'!$H372,'Calc personalizzata'!$H372))</f>
        <v/>
      </c>
      <c r="F349" s="71" t="str">
        <f>IF($A349="","",CHOOSE('Calc riepilogo'!$B$2,'Calc valanga'!$G372,'Calc palla di neve'!$G372,'Calc personalizzata'!$G372))</f>
        <v/>
      </c>
      <c r="G349" s="72" t="n"/>
      <c r="H349" s="73" t="n"/>
      <c r="I349" s="74" t="str">
        <f>IF($A349="","",TRIM(IF(AND(N(K348)&gt;0,N(K349)&lt;=0.004),"✓ "&amp;'Calc base'!C$6&amp;"   ","")&amp;IF(AND(N(M348)&gt;0,N(M349)&lt;=0.004),"✓ "&amp;'Calc base'!D$6&amp;"   ","")&amp;IF(AND(N(O348)&gt;0,N(O349)&lt;=0.004),"✓ "&amp;'Calc base'!E$6&amp;"   ","")&amp;IF(AND(N(Q348)&gt;0,N(Q349)&lt;=0.004),"✓ "&amp;'Calc base'!F$6&amp;"   ","")&amp;IF(AND(N(S348)&gt;0,N(S349)&lt;=0.004),"✓ "&amp;'Calc base'!G$6&amp;"   ","")&amp;IF(AND(N(U348)&gt;0,N(U349)&lt;=0.004),"✓ "&amp;'Calc base'!H$6&amp;"   ","")&amp;IF(AND(N(W348)&gt;0,N(W349)&lt;=0.004),"✓ "&amp;'Calc base'!I$6&amp;"   ","")&amp;IF(AND(N(Y348)&gt;0,N(Y349)&lt;=0.004),"✓ "&amp;'Calc base'!J$6&amp;"   ","")&amp;IF(AND(N(AA348)&gt;0,N(AA349)&lt;=0.004),"✓ "&amp;'Calc base'!K$6&amp;"   ","")&amp;IF(AND(N(AC348)&gt;0,N(AC349)&lt;=0.004),"✓ "&amp;'Calc base'!L$6&amp;"   ","")&amp;IF(AND(N(AE348)&gt;0,N(AE349)&lt;=0.004),"✓ "&amp;'Calc base'!M$6&amp;"   ","")&amp;IF(AND(N(AG348)&gt;0,N(AG349)&lt;=0.004),"✓ "&amp;'Calc base'!N$6&amp;"   ","")))</f>
        <v/>
      </c>
      <c r="J349" s="70" t="str">
        <f>IF($A349="","",ROUND(N(K348)*(1+'Calc base'!H372),2)-K349)</f>
        <v/>
      </c>
      <c r="K349" s="75" t="str">
        <f>IF($A349="","",CHOOSE('Calc riepilogo'!$B$2,'Calc valanga'!AT372,'Calc palla di neve'!AT372,'Calc personalizzata'!AT372))</f>
        <v/>
      </c>
      <c r="L349" s="70" t="str">
        <f>IF($A349="","",ROUND(N(M348)*(1+'Calc base'!I372),2)-M349)</f>
        <v/>
      </c>
      <c r="M349" s="75" t="str">
        <f>IF($A349="","",CHOOSE('Calc riepilogo'!$B$2,'Calc valanga'!AU372,'Calc palla di neve'!AU372,'Calc personalizzata'!AU372))</f>
        <v/>
      </c>
      <c r="N349" s="70" t="str">
        <f>IF($A349="","",ROUND(N(O348)*(1+'Calc base'!J372),2)-O349)</f>
        <v/>
      </c>
      <c r="O349" s="75" t="str">
        <f>IF($A349="","",CHOOSE('Calc riepilogo'!$B$2,'Calc valanga'!AV372,'Calc palla di neve'!AV372,'Calc personalizzata'!AV372))</f>
        <v/>
      </c>
      <c r="P349" s="70" t="str">
        <f>IF($A349="","",ROUND(N(Q348)*(1+'Calc base'!K372),2)-Q349)</f>
        <v/>
      </c>
      <c r="Q349" s="75" t="str">
        <f>IF($A349="","",CHOOSE('Calc riepilogo'!$B$2,'Calc valanga'!AW372,'Calc palla di neve'!AW372,'Calc personalizzata'!AW372))</f>
        <v/>
      </c>
      <c r="R349" s="70" t="str">
        <f>IF($A349="","",ROUND(N(S348)*(1+'Calc base'!L372),2)-S349)</f>
        <v/>
      </c>
      <c r="S349" s="75" t="str">
        <f>IF($A349="","",CHOOSE('Calc riepilogo'!$B$2,'Calc valanga'!AX372,'Calc palla di neve'!AX372,'Calc personalizzata'!AX372))</f>
        <v/>
      </c>
      <c r="T349" s="70" t="str">
        <f>IF($A349="","",ROUND(N(U348)*(1+'Calc base'!M372),2)-U349)</f>
        <v/>
      </c>
      <c r="U349" s="75" t="str">
        <f>IF($A349="","",CHOOSE('Calc riepilogo'!$B$2,'Calc valanga'!AY372,'Calc palla di neve'!AY372,'Calc personalizzata'!AY372))</f>
        <v/>
      </c>
      <c r="V349" s="70" t="str">
        <f>IF($A349="","",ROUND(N(W348)*(1+'Calc base'!N372),2)-W349)</f>
        <v/>
      </c>
      <c r="W349" s="75" t="str">
        <f>IF($A349="","",CHOOSE('Calc riepilogo'!$B$2,'Calc valanga'!AZ372,'Calc palla di neve'!AZ372,'Calc personalizzata'!AZ372))</f>
        <v/>
      </c>
      <c r="X349" s="70" t="str">
        <f>IF($A349="","",ROUND(N(Y348)*(1+'Calc base'!O372),2)-Y349)</f>
        <v/>
      </c>
      <c r="Y349" s="75" t="str">
        <f>IF($A349="","",CHOOSE('Calc riepilogo'!$B$2,'Calc valanga'!BA372,'Calc palla di neve'!BA372,'Calc personalizzata'!BA372))</f>
        <v/>
      </c>
      <c r="Z349" s="70" t="str">
        <f>IF($A349="","",ROUND(N(AA348)*(1+'Calc base'!P372),2)-AA349)</f>
        <v/>
      </c>
      <c r="AA349" s="75" t="str">
        <f>IF($A349="","",CHOOSE('Calc riepilogo'!$B$2,'Calc valanga'!BB372,'Calc palla di neve'!BB372,'Calc personalizzata'!BB372))</f>
        <v/>
      </c>
      <c r="AB349" s="70" t="str">
        <f>IF($A349="","",ROUND(N(AC348)*(1+'Calc base'!Q372),2)-AC349)</f>
        <v/>
      </c>
      <c r="AC349" s="75" t="str">
        <f>IF($A349="","",CHOOSE('Calc riepilogo'!$B$2,'Calc valanga'!BC372,'Calc palla di neve'!BC372,'Calc personalizzata'!BC372))</f>
        <v/>
      </c>
      <c r="AD349" s="70" t="str">
        <f>IF($A349="","",ROUND(N(AE348)*(1+'Calc base'!R372),2)-AE349)</f>
        <v/>
      </c>
      <c r="AE349" s="75" t="str">
        <f>IF($A349="","",CHOOSE('Calc riepilogo'!$B$2,'Calc valanga'!BD372,'Calc palla di neve'!BD372,'Calc personalizzata'!BD372))</f>
        <v/>
      </c>
      <c r="AF349" s="70" t="str">
        <f>IF($A349="","",ROUND(N(AG348)*(1+'Calc base'!S372),2)-AG349)</f>
        <v/>
      </c>
      <c r="AG349" s="75" t="str">
        <f>IF($A349="","",CHOOSE('Calc riepilogo'!$B$2,'Calc valanga'!BE372,'Calc palla di neve'!BE372,'Calc personalizzata'!BE372))</f>
        <v/>
      </c>
      <c r="AI349" t="n">
        <v>342</v>
      </c>
    </row>
    <row r="350">
      <c r="A350" s="68" t="str">
        <f>IF(343&gt;'Calc riepilogo'!$B$7,"",'Calc base'!$B373)</f>
        <v/>
      </c>
      <c r="B350" s="69" t="str">
        <f>IF($A350="","",'Calc base'!$C373)</f>
        <v/>
      </c>
      <c r="C350" s="69" t="str">
        <f>IF($A350="","",'Calc base'!$E373)</f>
        <v/>
      </c>
      <c r="D350" s="70" t="str">
        <f>IF($A350="","",J350+L350+N350+P350+R350+T350+V350+X350+Z350+AB350+AD350+AF350)</f>
        <v/>
      </c>
      <c r="E350" s="70" t="str">
        <f>IF($A350="","",CHOOSE('Calc riepilogo'!$B$2,'Calc valanga'!$H373,'Calc palla di neve'!$H373,'Calc personalizzata'!$H373))</f>
        <v/>
      </c>
      <c r="F350" s="71" t="str">
        <f>IF($A350="","",CHOOSE('Calc riepilogo'!$B$2,'Calc valanga'!$G373,'Calc palla di neve'!$G373,'Calc personalizzata'!$G373))</f>
        <v/>
      </c>
      <c r="G350" s="72" t="n"/>
      <c r="H350" s="73" t="n"/>
      <c r="I350" s="74" t="str">
        <f>IF($A350="","",TRIM(IF(AND(N(K349)&gt;0,N(K350)&lt;=0.004),"✓ "&amp;'Calc base'!C$6&amp;"   ","")&amp;IF(AND(N(M349)&gt;0,N(M350)&lt;=0.004),"✓ "&amp;'Calc base'!D$6&amp;"   ","")&amp;IF(AND(N(O349)&gt;0,N(O350)&lt;=0.004),"✓ "&amp;'Calc base'!E$6&amp;"   ","")&amp;IF(AND(N(Q349)&gt;0,N(Q350)&lt;=0.004),"✓ "&amp;'Calc base'!F$6&amp;"   ","")&amp;IF(AND(N(S349)&gt;0,N(S350)&lt;=0.004),"✓ "&amp;'Calc base'!G$6&amp;"   ","")&amp;IF(AND(N(U349)&gt;0,N(U350)&lt;=0.004),"✓ "&amp;'Calc base'!H$6&amp;"   ","")&amp;IF(AND(N(W349)&gt;0,N(W350)&lt;=0.004),"✓ "&amp;'Calc base'!I$6&amp;"   ","")&amp;IF(AND(N(Y349)&gt;0,N(Y350)&lt;=0.004),"✓ "&amp;'Calc base'!J$6&amp;"   ","")&amp;IF(AND(N(AA349)&gt;0,N(AA350)&lt;=0.004),"✓ "&amp;'Calc base'!K$6&amp;"   ","")&amp;IF(AND(N(AC349)&gt;0,N(AC350)&lt;=0.004),"✓ "&amp;'Calc base'!L$6&amp;"   ","")&amp;IF(AND(N(AE349)&gt;0,N(AE350)&lt;=0.004),"✓ "&amp;'Calc base'!M$6&amp;"   ","")&amp;IF(AND(N(AG349)&gt;0,N(AG350)&lt;=0.004),"✓ "&amp;'Calc base'!N$6&amp;"   ","")))</f>
        <v/>
      </c>
      <c r="J350" s="70" t="str">
        <f>IF($A350="","",ROUND(N(K349)*(1+'Calc base'!H373),2)-K350)</f>
        <v/>
      </c>
      <c r="K350" s="75" t="str">
        <f>IF($A350="","",CHOOSE('Calc riepilogo'!$B$2,'Calc valanga'!AT373,'Calc palla di neve'!AT373,'Calc personalizzata'!AT373))</f>
        <v/>
      </c>
      <c r="L350" s="70" t="str">
        <f>IF($A350="","",ROUND(N(M349)*(1+'Calc base'!I373),2)-M350)</f>
        <v/>
      </c>
      <c r="M350" s="75" t="str">
        <f>IF($A350="","",CHOOSE('Calc riepilogo'!$B$2,'Calc valanga'!AU373,'Calc palla di neve'!AU373,'Calc personalizzata'!AU373))</f>
        <v/>
      </c>
      <c r="N350" s="70" t="str">
        <f>IF($A350="","",ROUND(N(O349)*(1+'Calc base'!J373),2)-O350)</f>
        <v/>
      </c>
      <c r="O350" s="75" t="str">
        <f>IF($A350="","",CHOOSE('Calc riepilogo'!$B$2,'Calc valanga'!AV373,'Calc palla di neve'!AV373,'Calc personalizzata'!AV373))</f>
        <v/>
      </c>
      <c r="P350" s="70" t="str">
        <f>IF($A350="","",ROUND(N(Q349)*(1+'Calc base'!K373),2)-Q350)</f>
        <v/>
      </c>
      <c r="Q350" s="75" t="str">
        <f>IF($A350="","",CHOOSE('Calc riepilogo'!$B$2,'Calc valanga'!AW373,'Calc palla di neve'!AW373,'Calc personalizzata'!AW373))</f>
        <v/>
      </c>
      <c r="R350" s="70" t="str">
        <f>IF($A350="","",ROUND(N(S349)*(1+'Calc base'!L373),2)-S350)</f>
        <v/>
      </c>
      <c r="S350" s="75" t="str">
        <f>IF($A350="","",CHOOSE('Calc riepilogo'!$B$2,'Calc valanga'!AX373,'Calc palla di neve'!AX373,'Calc personalizzata'!AX373))</f>
        <v/>
      </c>
      <c r="T350" s="70" t="str">
        <f>IF($A350="","",ROUND(N(U349)*(1+'Calc base'!M373),2)-U350)</f>
        <v/>
      </c>
      <c r="U350" s="75" t="str">
        <f>IF($A350="","",CHOOSE('Calc riepilogo'!$B$2,'Calc valanga'!AY373,'Calc palla di neve'!AY373,'Calc personalizzata'!AY373))</f>
        <v/>
      </c>
      <c r="V350" s="70" t="str">
        <f>IF($A350="","",ROUND(N(W349)*(1+'Calc base'!N373),2)-W350)</f>
        <v/>
      </c>
      <c r="W350" s="75" t="str">
        <f>IF($A350="","",CHOOSE('Calc riepilogo'!$B$2,'Calc valanga'!AZ373,'Calc palla di neve'!AZ373,'Calc personalizzata'!AZ373))</f>
        <v/>
      </c>
      <c r="X350" s="70" t="str">
        <f>IF($A350="","",ROUND(N(Y349)*(1+'Calc base'!O373),2)-Y350)</f>
        <v/>
      </c>
      <c r="Y350" s="75" t="str">
        <f>IF($A350="","",CHOOSE('Calc riepilogo'!$B$2,'Calc valanga'!BA373,'Calc palla di neve'!BA373,'Calc personalizzata'!BA373))</f>
        <v/>
      </c>
      <c r="Z350" s="70" t="str">
        <f>IF($A350="","",ROUND(N(AA349)*(1+'Calc base'!P373),2)-AA350)</f>
        <v/>
      </c>
      <c r="AA350" s="75" t="str">
        <f>IF($A350="","",CHOOSE('Calc riepilogo'!$B$2,'Calc valanga'!BB373,'Calc palla di neve'!BB373,'Calc personalizzata'!BB373))</f>
        <v/>
      </c>
      <c r="AB350" s="70" t="str">
        <f>IF($A350="","",ROUND(N(AC349)*(1+'Calc base'!Q373),2)-AC350)</f>
        <v/>
      </c>
      <c r="AC350" s="75" t="str">
        <f>IF($A350="","",CHOOSE('Calc riepilogo'!$B$2,'Calc valanga'!BC373,'Calc palla di neve'!BC373,'Calc personalizzata'!BC373))</f>
        <v/>
      </c>
      <c r="AD350" s="70" t="str">
        <f>IF($A350="","",ROUND(N(AE349)*(1+'Calc base'!R373),2)-AE350)</f>
        <v/>
      </c>
      <c r="AE350" s="75" t="str">
        <f>IF($A350="","",CHOOSE('Calc riepilogo'!$B$2,'Calc valanga'!BD373,'Calc palla di neve'!BD373,'Calc personalizzata'!BD373))</f>
        <v/>
      </c>
      <c r="AF350" s="70" t="str">
        <f>IF($A350="","",ROUND(N(AG349)*(1+'Calc base'!S373),2)-AG350)</f>
        <v/>
      </c>
      <c r="AG350" s="75" t="str">
        <f>IF($A350="","",CHOOSE('Calc riepilogo'!$B$2,'Calc valanga'!BE373,'Calc palla di neve'!BE373,'Calc personalizzata'!BE373))</f>
        <v/>
      </c>
      <c r="AI350" t="n">
        <v>343</v>
      </c>
    </row>
    <row r="351">
      <c r="A351" s="68" t="str">
        <f>IF(344&gt;'Calc riepilogo'!$B$7,"",'Calc base'!$B374)</f>
        <v/>
      </c>
      <c r="B351" s="69" t="str">
        <f>IF($A351="","",'Calc base'!$C374)</f>
        <v/>
      </c>
      <c r="C351" s="69" t="str">
        <f>IF($A351="","",'Calc base'!$E374)</f>
        <v/>
      </c>
      <c r="D351" s="70" t="str">
        <f>IF($A351="","",J351+L351+N351+P351+R351+T351+V351+X351+Z351+AB351+AD351+AF351)</f>
        <v/>
      </c>
      <c r="E351" s="70" t="str">
        <f>IF($A351="","",CHOOSE('Calc riepilogo'!$B$2,'Calc valanga'!$H374,'Calc palla di neve'!$H374,'Calc personalizzata'!$H374))</f>
        <v/>
      </c>
      <c r="F351" s="71" t="str">
        <f>IF($A351="","",CHOOSE('Calc riepilogo'!$B$2,'Calc valanga'!$G374,'Calc palla di neve'!$G374,'Calc personalizzata'!$G374))</f>
        <v/>
      </c>
      <c r="G351" s="72" t="n"/>
      <c r="H351" s="73" t="n"/>
      <c r="I351" s="74" t="str">
        <f>IF($A351="","",TRIM(IF(AND(N(K350)&gt;0,N(K351)&lt;=0.004),"✓ "&amp;'Calc base'!C$6&amp;"   ","")&amp;IF(AND(N(M350)&gt;0,N(M351)&lt;=0.004),"✓ "&amp;'Calc base'!D$6&amp;"   ","")&amp;IF(AND(N(O350)&gt;0,N(O351)&lt;=0.004),"✓ "&amp;'Calc base'!E$6&amp;"   ","")&amp;IF(AND(N(Q350)&gt;0,N(Q351)&lt;=0.004),"✓ "&amp;'Calc base'!F$6&amp;"   ","")&amp;IF(AND(N(S350)&gt;0,N(S351)&lt;=0.004),"✓ "&amp;'Calc base'!G$6&amp;"   ","")&amp;IF(AND(N(U350)&gt;0,N(U351)&lt;=0.004),"✓ "&amp;'Calc base'!H$6&amp;"   ","")&amp;IF(AND(N(W350)&gt;0,N(W351)&lt;=0.004),"✓ "&amp;'Calc base'!I$6&amp;"   ","")&amp;IF(AND(N(Y350)&gt;0,N(Y351)&lt;=0.004),"✓ "&amp;'Calc base'!J$6&amp;"   ","")&amp;IF(AND(N(AA350)&gt;0,N(AA351)&lt;=0.004),"✓ "&amp;'Calc base'!K$6&amp;"   ","")&amp;IF(AND(N(AC350)&gt;0,N(AC351)&lt;=0.004),"✓ "&amp;'Calc base'!L$6&amp;"   ","")&amp;IF(AND(N(AE350)&gt;0,N(AE351)&lt;=0.004),"✓ "&amp;'Calc base'!M$6&amp;"   ","")&amp;IF(AND(N(AG350)&gt;0,N(AG351)&lt;=0.004),"✓ "&amp;'Calc base'!N$6&amp;"   ","")))</f>
        <v/>
      </c>
      <c r="J351" s="70" t="str">
        <f>IF($A351="","",ROUND(N(K350)*(1+'Calc base'!H374),2)-K351)</f>
        <v/>
      </c>
      <c r="K351" s="75" t="str">
        <f>IF($A351="","",CHOOSE('Calc riepilogo'!$B$2,'Calc valanga'!AT374,'Calc palla di neve'!AT374,'Calc personalizzata'!AT374))</f>
        <v/>
      </c>
      <c r="L351" s="70" t="str">
        <f>IF($A351="","",ROUND(N(M350)*(1+'Calc base'!I374),2)-M351)</f>
        <v/>
      </c>
      <c r="M351" s="75" t="str">
        <f>IF($A351="","",CHOOSE('Calc riepilogo'!$B$2,'Calc valanga'!AU374,'Calc palla di neve'!AU374,'Calc personalizzata'!AU374))</f>
        <v/>
      </c>
      <c r="N351" s="70" t="str">
        <f>IF($A351="","",ROUND(N(O350)*(1+'Calc base'!J374),2)-O351)</f>
        <v/>
      </c>
      <c r="O351" s="75" t="str">
        <f>IF($A351="","",CHOOSE('Calc riepilogo'!$B$2,'Calc valanga'!AV374,'Calc palla di neve'!AV374,'Calc personalizzata'!AV374))</f>
        <v/>
      </c>
      <c r="P351" s="70" t="str">
        <f>IF($A351="","",ROUND(N(Q350)*(1+'Calc base'!K374),2)-Q351)</f>
        <v/>
      </c>
      <c r="Q351" s="75" t="str">
        <f>IF($A351="","",CHOOSE('Calc riepilogo'!$B$2,'Calc valanga'!AW374,'Calc palla di neve'!AW374,'Calc personalizzata'!AW374))</f>
        <v/>
      </c>
      <c r="R351" s="70" t="str">
        <f>IF($A351="","",ROUND(N(S350)*(1+'Calc base'!L374),2)-S351)</f>
        <v/>
      </c>
      <c r="S351" s="75" t="str">
        <f>IF($A351="","",CHOOSE('Calc riepilogo'!$B$2,'Calc valanga'!AX374,'Calc palla di neve'!AX374,'Calc personalizzata'!AX374))</f>
        <v/>
      </c>
      <c r="T351" s="70" t="str">
        <f>IF($A351="","",ROUND(N(U350)*(1+'Calc base'!M374),2)-U351)</f>
        <v/>
      </c>
      <c r="U351" s="75" t="str">
        <f>IF($A351="","",CHOOSE('Calc riepilogo'!$B$2,'Calc valanga'!AY374,'Calc palla di neve'!AY374,'Calc personalizzata'!AY374))</f>
        <v/>
      </c>
      <c r="V351" s="70" t="str">
        <f>IF($A351="","",ROUND(N(W350)*(1+'Calc base'!N374),2)-W351)</f>
        <v/>
      </c>
      <c r="W351" s="75" t="str">
        <f>IF($A351="","",CHOOSE('Calc riepilogo'!$B$2,'Calc valanga'!AZ374,'Calc palla di neve'!AZ374,'Calc personalizzata'!AZ374))</f>
        <v/>
      </c>
      <c r="X351" s="70" t="str">
        <f>IF($A351="","",ROUND(N(Y350)*(1+'Calc base'!O374),2)-Y351)</f>
        <v/>
      </c>
      <c r="Y351" s="75" t="str">
        <f>IF($A351="","",CHOOSE('Calc riepilogo'!$B$2,'Calc valanga'!BA374,'Calc palla di neve'!BA374,'Calc personalizzata'!BA374))</f>
        <v/>
      </c>
      <c r="Z351" s="70" t="str">
        <f>IF($A351="","",ROUND(N(AA350)*(1+'Calc base'!P374),2)-AA351)</f>
        <v/>
      </c>
      <c r="AA351" s="75" t="str">
        <f>IF($A351="","",CHOOSE('Calc riepilogo'!$B$2,'Calc valanga'!BB374,'Calc palla di neve'!BB374,'Calc personalizzata'!BB374))</f>
        <v/>
      </c>
      <c r="AB351" s="70" t="str">
        <f>IF($A351="","",ROUND(N(AC350)*(1+'Calc base'!Q374),2)-AC351)</f>
        <v/>
      </c>
      <c r="AC351" s="75" t="str">
        <f>IF($A351="","",CHOOSE('Calc riepilogo'!$B$2,'Calc valanga'!BC374,'Calc palla di neve'!BC374,'Calc personalizzata'!BC374))</f>
        <v/>
      </c>
      <c r="AD351" s="70" t="str">
        <f>IF($A351="","",ROUND(N(AE350)*(1+'Calc base'!R374),2)-AE351)</f>
        <v/>
      </c>
      <c r="AE351" s="75" t="str">
        <f>IF($A351="","",CHOOSE('Calc riepilogo'!$B$2,'Calc valanga'!BD374,'Calc palla di neve'!BD374,'Calc personalizzata'!BD374))</f>
        <v/>
      </c>
      <c r="AF351" s="70" t="str">
        <f>IF($A351="","",ROUND(N(AG350)*(1+'Calc base'!S374),2)-AG351)</f>
        <v/>
      </c>
      <c r="AG351" s="75" t="str">
        <f>IF($A351="","",CHOOSE('Calc riepilogo'!$B$2,'Calc valanga'!BE374,'Calc palla di neve'!BE374,'Calc personalizzata'!BE374))</f>
        <v/>
      </c>
      <c r="AI351" t="n">
        <v>344</v>
      </c>
    </row>
    <row r="352">
      <c r="A352" s="68" t="str">
        <f>IF(345&gt;'Calc riepilogo'!$B$7,"",'Calc base'!$B375)</f>
        <v/>
      </c>
      <c r="B352" s="69" t="str">
        <f>IF($A352="","",'Calc base'!$C375)</f>
        <v/>
      </c>
      <c r="C352" s="69" t="str">
        <f>IF($A352="","",'Calc base'!$E375)</f>
        <v/>
      </c>
      <c r="D352" s="70" t="str">
        <f>IF($A352="","",J352+L352+N352+P352+R352+T352+V352+X352+Z352+AB352+AD352+AF352)</f>
        <v/>
      </c>
      <c r="E352" s="70" t="str">
        <f>IF($A352="","",CHOOSE('Calc riepilogo'!$B$2,'Calc valanga'!$H375,'Calc palla di neve'!$H375,'Calc personalizzata'!$H375))</f>
        <v/>
      </c>
      <c r="F352" s="71" t="str">
        <f>IF($A352="","",CHOOSE('Calc riepilogo'!$B$2,'Calc valanga'!$G375,'Calc palla di neve'!$G375,'Calc personalizzata'!$G375))</f>
        <v/>
      </c>
      <c r="G352" s="72" t="n"/>
      <c r="H352" s="73" t="n"/>
      <c r="I352" s="74" t="str">
        <f>IF($A352="","",TRIM(IF(AND(N(K351)&gt;0,N(K352)&lt;=0.004),"✓ "&amp;'Calc base'!C$6&amp;"   ","")&amp;IF(AND(N(M351)&gt;0,N(M352)&lt;=0.004),"✓ "&amp;'Calc base'!D$6&amp;"   ","")&amp;IF(AND(N(O351)&gt;0,N(O352)&lt;=0.004),"✓ "&amp;'Calc base'!E$6&amp;"   ","")&amp;IF(AND(N(Q351)&gt;0,N(Q352)&lt;=0.004),"✓ "&amp;'Calc base'!F$6&amp;"   ","")&amp;IF(AND(N(S351)&gt;0,N(S352)&lt;=0.004),"✓ "&amp;'Calc base'!G$6&amp;"   ","")&amp;IF(AND(N(U351)&gt;0,N(U352)&lt;=0.004),"✓ "&amp;'Calc base'!H$6&amp;"   ","")&amp;IF(AND(N(W351)&gt;0,N(W352)&lt;=0.004),"✓ "&amp;'Calc base'!I$6&amp;"   ","")&amp;IF(AND(N(Y351)&gt;0,N(Y352)&lt;=0.004),"✓ "&amp;'Calc base'!J$6&amp;"   ","")&amp;IF(AND(N(AA351)&gt;0,N(AA352)&lt;=0.004),"✓ "&amp;'Calc base'!K$6&amp;"   ","")&amp;IF(AND(N(AC351)&gt;0,N(AC352)&lt;=0.004),"✓ "&amp;'Calc base'!L$6&amp;"   ","")&amp;IF(AND(N(AE351)&gt;0,N(AE352)&lt;=0.004),"✓ "&amp;'Calc base'!M$6&amp;"   ","")&amp;IF(AND(N(AG351)&gt;0,N(AG352)&lt;=0.004),"✓ "&amp;'Calc base'!N$6&amp;"   ","")))</f>
        <v/>
      </c>
      <c r="J352" s="70" t="str">
        <f>IF($A352="","",ROUND(N(K351)*(1+'Calc base'!H375),2)-K352)</f>
        <v/>
      </c>
      <c r="K352" s="75" t="str">
        <f>IF($A352="","",CHOOSE('Calc riepilogo'!$B$2,'Calc valanga'!AT375,'Calc palla di neve'!AT375,'Calc personalizzata'!AT375))</f>
        <v/>
      </c>
      <c r="L352" s="70" t="str">
        <f>IF($A352="","",ROUND(N(M351)*(1+'Calc base'!I375),2)-M352)</f>
        <v/>
      </c>
      <c r="M352" s="75" t="str">
        <f>IF($A352="","",CHOOSE('Calc riepilogo'!$B$2,'Calc valanga'!AU375,'Calc palla di neve'!AU375,'Calc personalizzata'!AU375))</f>
        <v/>
      </c>
      <c r="N352" s="70" t="str">
        <f>IF($A352="","",ROUND(N(O351)*(1+'Calc base'!J375),2)-O352)</f>
        <v/>
      </c>
      <c r="O352" s="75" t="str">
        <f>IF($A352="","",CHOOSE('Calc riepilogo'!$B$2,'Calc valanga'!AV375,'Calc palla di neve'!AV375,'Calc personalizzata'!AV375))</f>
        <v/>
      </c>
      <c r="P352" s="70" t="str">
        <f>IF($A352="","",ROUND(N(Q351)*(1+'Calc base'!K375),2)-Q352)</f>
        <v/>
      </c>
      <c r="Q352" s="75" t="str">
        <f>IF($A352="","",CHOOSE('Calc riepilogo'!$B$2,'Calc valanga'!AW375,'Calc palla di neve'!AW375,'Calc personalizzata'!AW375))</f>
        <v/>
      </c>
      <c r="R352" s="70" t="str">
        <f>IF($A352="","",ROUND(N(S351)*(1+'Calc base'!L375),2)-S352)</f>
        <v/>
      </c>
      <c r="S352" s="75" t="str">
        <f>IF($A352="","",CHOOSE('Calc riepilogo'!$B$2,'Calc valanga'!AX375,'Calc palla di neve'!AX375,'Calc personalizzata'!AX375))</f>
        <v/>
      </c>
      <c r="T352" s="70" t="str">
        <f>IF($A352="","",ROUND(N(U351)*(1+'Calc base'!M375),2)-U352)</f>
        <v/>
      </c>
      <c r="U352" s="75" t="str">
        <f>IF($A352="","",CHOOSE('Calc riepilogo'!$B$2,'Calc valanga'!AY375,'Calc palla di neve'!AY375,'Calc personalizzata'!AY375))</f>
        <v/>
      </c>
      <c r="V352" s="70" t="str">
        <f>IF($A352="","",ROUND(N(W351)*(1+'Calc base'!N375),2)-W352)</f>
        <v/>
      </c>
      <c r="W352" s="75" t="str">
        <f>IF($A352="","",CHOOSE('Calc riepilogo'!$B$2,'Calc valanga'!AZ375,'Calc palla di neve'!AZ375,'Calc personalizzata'!AZ375))</f>
        <v/>
      </c>
      <c r="X352" s="70" t="str">
        <f>IF($A352="","",ROUND(N(Y351)*(1+'Calc base'!O375),2)-Y352)</f>
        <v/>
      </c>
      <c r="Y352" s="75" t="str">
        <f>IF($A352="","",CHOOSE('Calc riepilogo'!$B$2,'Calc valanga'!BA375,'Calc palla di neve'!BA375,'Calc personalizzata'!BA375))</f>
        <v/>
      </c>
      <c r="Z352" s="70" t="str">
        <f>IF($A352="","",ROUND(N(AA351)*(1+'Calc base'!P375),2)-AA352)</f>
        <v/>
      </c>
      <c r="AA352" s="75" t="str">
        <f>IF($A352="","",CHOOSE('Calc riepilogo'!$B$2,'Calc valanga'!BB375,'Calc palla di neve'!BB375,'Calc personalizzata'!BB375))</f>
        <v/>
      </c>
      <c r="AB352" s="70" t="str">
        <f>IF($A352="","",ROUND(N(AC351)*(1+'Calc base'!Q375),2)-AC352)</f>
        <v/>
      </c>
      <c r="AC352" s="75" t="str">
        <f>IF($A352="","",CHOOSE('Calc riepilogo'!$B$2,'Calc valanga'!BC375,'Calc palla di neve'!BC375,'Calc personalizzata'!BC375))</f>
        <v/>
      </c>
      <c r="AD352" s="70" t="str">
        <f>IF($A352="","",ROUND(N(AE351)*(1+'Calc base'!R375),2)-AE352)</f>
        <v/>
      </c>
      <c r="AE352" s="75" t="str">
        <f>IF($A352="","",CHOOSE('Calc riepilogo'!$B$2,'Calc valanga'!BD375,'Calc palla di neve'!BD375,'Calc personalizzata'!BD375))</f>
        <v/>
      </c>
      <c r="AF352" s="70" t="str">
        <f>IF($A352="","",ROUND(N(AG351)*(1+'Calc base'!S375),2)-AG352)</f>
        <v/>
      </c>
      <c r="AG352" s="75" t="str">
        <f>IF($A352="","",CHOOSE('Calc riepilogo'!$B$2,'Calc valanga'!BE375,'Calc palla di neve'!BE375,'Calc personalizzata'!BE375))</f>
        <v/>
      </c>
      <c r="AI352" t="n">
        <v>345</v>
      </c>
    </row>
    <row r="353">
      <c r="A353" s="68" t="str">
        <f>IF(346&gt;'Calc riepilogo'!$B$7,"",'Calc base'!$B376)</f>
        <v/>
      </c>
      <c r="B353" s="69" t="str">
        <f>IF($A353="","",'Calc base'!$C376)</f>
        <v/>
      </c>
      <c r="C353" s="69" t="str">
        <f>IF($A353="","",'Calc base'!$E376)</f>
        <v/>
      </c>
      <c r="D353" s="70" t="str">
        <f>IF($A353="","",J353+L353+N353+P353+R353+T353+V353+X353+Z353+AB353+AD353+AF353)</f>
        <v/>
      </c>
      <c r="E353" s="70" t="str">
        <f>IF($A353="","",CHOOSE('Calc riepilogo'!$B$2,'Calc valanga'!$H376,'Calc palla di neve'!$H376,'Calc personalizzata'!$H376))</f>
        <v/>
      </c>
      <c r="F353" s="71" t="str">
        <f>IF($A353="","",CHOOSE('Calc riepilogo'!$B$2,'Calc valanga'!$G376,'Calc palla di neve'!$G376,'Calc personalizzata'!$G376))</f>
        <v/>
      </c>
      <c r="G353" s="72" t="n"/>
      <c r="H353" s="73" t="n"/>
      <c r="I353" s="74" t="str">
        <f>IF($A353="","",TRIM(IF(AND(N(K352)&gt;0,N(K353)&lt;=0.004),"✓ "&amp;'Calc base'!C$6&amp;"   ","")&amp;IF(AND(N(M352)&gt;0,N(M353)&lt;=0.004),"✓ "&amp;'Calc base'!D$6&amp;"   ","")&amp;IF(AND(N(O352)&gt;0,N(O353)&lt;=0.004),"✓ "&amp;'Calc base'!E$6&amp;"   ","")&amp;IF(AND(N(Q352)&gt;0,N(Q353)&lt;=0.004),"✓ "&amp;'Calc base'!F$6&amp;"   ","")&amp;IF(AND(N(S352)&gt;0,N(S353)&lt;=0.004),"✓ "&amp;'Calc base'!G$6&amp;"   ","")&amp;IF(AND(N(U352)&gt;0,N(U353)&lt;=0.004),"✓ "&amp;'Calc base'!H$6&amp;"   ","")&amp;IF(AND(N(W352)&gt;0,N(W353)&lt;=0.004),"✓ "&amp;'Calc base'!I$6&amp;"   ","")&amp;IF(AND(N(Y352)&gt;0,N(Y353)&lt;=0.004),"✓ "&amp;'Calc base'!J$6&amp;"   ","")&amp;IF(AND(N(AA352)&gt;0,N(AA353)&lt;=0.004),"✓ "&amp;'Calc base'!K$6&amp;"   ","")&amp;IF(AND(N(AC352)&gt;0,N(AC353)&lt;=0.004),"✓ "&amp;'Calc base'!L$6&amp;"   ","")&amp;IF(AND(N(AE352)&gt;0,N(AE353)&lt;=0.004),"✓ "&amp;'Calc base'!M$6&amp;"   ","")&amp;IF(AND(N(AG352)&gt;0,N(AG353)&lt;=0.004),"✓ "&amp;'Calc base'!N$6&amp;"   ","")))</f>
        <v/>
      </c>
      <c r="J353" s="70" t="str">
        <f>IF($A353="","",ROUND(N(K352)*(1+'Calc base'!H376),2)-K353)</f>
        <v/>
      </c>
      <c r="K353" s="75" t="str">
        <f>IF($A353="","",CHOOSE('Calc riepilogo'!$B$2,'Calc valanga'!AT376,'Calc palla di neve'!AT376,'Calc personalizzata'!AT376))</f>
        <v/>
      </c>
      <c r="L353" s="70" t="str">
        <f>IF($A353="","",ROUND(N(M352)*(1+'Calc base'!I376),2)-M353)</f>
        <v/>
      </c>
      <c r="M353" s="75" t="str">
        <f>IF($A353="","",CHOOSE('Calc riepilogo'!$B$2,'Calc valanga'!AU376,'Calc palla di neve'!AU376,'Calc personalizzata'!AU376))</f>
        <v/>
      </c>
      <c r="N353" s="70" t="str">
        <f>IF($A353="","",ROUND(N(O352)*(1+'Calc base'!J376),2)-O353)</f>
        <v/>
      </c>
      <c r="O353" s="75" t="str">
        <f>IF($A353="","",CHOOSE('Calc riepilogo'!$B$2,'Calc valanga'!AV376,'Calc palla di neve'!AV376,'Calc personalizzata'!AV376))</f>
        <v/>
      </c>
      <c r="P353" s="70" t="str">
        <f>IF($A353="","",ROUND(N(Q352)*(1+'Calc base'!K376),2)-Q353)</f>
        <v/>
      </c>
      <c r="Q353" s="75" t="str">
        <f>IF($A353="","",CHOOSE('Calc riepilogo'!$B$2,'Calc valanga'!AW376,'Calc palla di neve'!AW376,'Calc personalizzata'!AW376))</f>
        <v/>
      </c>
      <c r="R353" s="70" t="str">
        <f>IF($A353="","",ROUND(N(S352)*(1+'Calc base'!L376),2)-S353)</f>
        <v/>
      </c>
      <c r="S353" s="75" t="str">
        <f>IF($A353="","",CHOOSE('Calc riepilogo'!$B$2,'Calc valanga'!AX376,'Calc palla di neve'!AX376,'Calc personalizzata'!AX376))</f>
        <v/>
      </c>
      <c r="T353" s="70" t="str">
        <f>IF($A353="","",ROUND(N(U352)*(1+'Calc base'!M376),2)-U353)</f>
        <v/>
      </c>
      <c r="U353" s="75" t="str">
        <f>IF($A353="","",CHOOSE('Calc riepilogo'!$B$2,'Calc valanga'!AY376,'Calc palla di neve'!AY376,'Calc personalizzata'!AY376))</f>
        <v/>
      </c>
      <c r="V353" s="70" t="str">
        <f>IF($A353="","",ROUND(N(W352)*(1+'Calc base'!N376),2)-W353)</f>
        <v/>
      </c>
      <c r="W353" s="75" t="str">
        <f>IF($A353="","",CHOOSE('Calc riepilogo'!$B$2,'Calc valanga'!AZ376,'Calc palla di neve'!AZ376,'Calc personalizzata'!AZ376))</f>
        <v/>
      </c>
      <c r="X353" s="70" t="str">
        <f>IF($A353="","",ROUND(N(Y352)*(1+'Calc base'!O376),2)-Y353)</f>
        <v/>
      </c>
      <c r="Y353" s="75" t="str">
        <f>IF($A353="","",CHOOSE('Calc riepilogo'!$B$2,'Calc valanga'!BA376,'Calc palla di neve'!BA376,'Calc personalizzata'!BA376))</f>
        <v/>
      </c>
      <c r="Z353" s="70" t="str">
        <f>IF($A353="","",ROUND(N(AA352)*(1+'Calc base'!P376),2)-AA353)</f>
        <v/>
      </c>
      <c r="AA353" s="75" t="str">
        <f>IF($A353="","",CHOOSE('Calc riepilogo'!$B$2,'Calc valanga'!BB376,'Calc palla di neve'!BB376,'Calc personalizzata'!BB376))</f>
        <v/>
      </c>
      <c r="AB353" s="70" t="str">
        <f>IF($A353="","",ROUND(N(AC352)*(1+'Calc base'!Q376),2)-AC353)</f>
        <v/>
      </c>
      <c r="AC353" s="75" t="str">
        <f>IF($A353="","",CHOOSE('Calc riepilogo'!$B$2,'Calc valanga'!BC376,'Calc palla di neve'!BC376,'Calc personalizzata'!BC376))</f>
        <v/>
      </c>
      <c r="AD353" s="70" t="str">
        <f>IF($A353="","",ROUND(N(AE352)*(1+'Calc base'!R376),2)-AE353)</f>
        <v/>
      </c>
      <c r="AE353" s="75" t="str">
        <f>IF($A353="","",CHOOSE('Calc riepilogo'!$B$2,'Calc valanga'!BD376,'Calc palla di neve'!BD376,'Calc personalizzata'!BD376))</f>
        <v/>
      </c>
      <c r="AF353" s="70" t="str">
        <f>IF($A353="","",ROUND(N(AG352)*(1+'Calc base'!S376),2)-AG353)</f>
        <v/>
      </c>
      <c r="AG353" s="75" t="str">
        <f>IF($A353="","",CHOOSE('Calc riepilogo'!$B$2,'Calc valanga'!BE376,'Calc palla di neve'!BE376,'Calc personalizzata'!BE376))</f>
        <v/>
      </c>
      <c r="AI353" t="n">
        <v>346</v>
      </c>
    </row>
    <row r="354">
      <c r="A354" s="68" t="str">
        <f>IF(347&gt;'Calc riepilogo'!$B$7,"",'Calc base'!$B377)</f>
        <v/>
      </c>
      <c r="B354" s="69" t="str">
        <f>IF($A354="","",'Calc base'!$C377)</f>
        <v/>
      </c>
      <c r="C354" s="69" t="str">
        <f>IF($A354="","",'Calc base'!$E377)</f>
        <v/>
      </c>
      <c r="D354" s="70" t="str">
        <f>IF($A354="","",J354+L354+N354+P354+R354+T354+V354+X354+Z354+AB354+AD354+AF354)</f>
        <v/>
      </c>
      <c r="E354" s="70" t="str">
        <f>IF($A354="","",CHOOSE('Calc riepilogo'!$B$2,'Calc valanga'!$H377,'Calc palla di neve'!$H377,'Calc personalizzata'!$H377))</f>
        <v/>
      </c>
      <c r="F354" s="71" t="str">
        <f>IF($A354="","",CHOOSE('Calc riepilogo'!$B$2,'Calc valanga'!$G377,'Calc palla di neve'!$G377,'Calc personalizzata'!$G377))</f>
        <v/>
      </c>
      <c r="G354" s="72" t="n"/>
      <c r="H354" s="73" t="n"/>
      <c r="I354" s="74" t="str">
        <f>IF($A354="","",TRIM(IF(AND(N(K353)&gt;0,N(K354)&lt;=0.004),"✓ "&amp;'Calc base'!C$6&amp;"   ","")&amp;IF(AND(N(M353)&gt;0,N(M354)&lt;=0.004),"✓ "&amp;'Calc base'!D$6&amp;"   ","")&amp;IF(AND(N(O353)&gt;0,N(O354)&lt;=0.004),"✓ "&amp;'Calc base'!E$6&amp;"   ","")&amp;IF(AND(N(Q353)&gt;0,N(Q354)&lt;=0.004),"✓ "&amp;'Calc base'!F$6&amp;"   ","")&amp;IF(AND(N(S353)&gt;0,N(S354)&lt;=0.004),"✓ "&amp;'Calc base'!G$6&amp;"   ","")&amp;IF(AND(N(U353)&gt;0,N(U354)&lt;=0.004),"✓ "&amp;'Calc base'!H$6&amp;"   ","")&amp;IF(AND(N(W353)&gt;0,N(W354)&lt;=0.004),"✓ "&amp;'Calc base'!I$6&amp;"   ","")&amp;IF(AND(N(Y353)&gt;0,N(Y354)&lt;=0.004),"✓ "&amp;'Calc base'!J$6&amp;"   ","")&amp;IF(AND(N(AA353)&gt;0,N(AA354)&lt;=0.004),"✓ "&amp;'Calc base'!K$6&amp;"   ","")&amp;IF(AND(N(AC353)&gt;0,N(AC354)&lt;=0.004),"✓ "&amp;'Calc base'!L$6&amp;"   ","")&amp;IF(AND(N(AE353)&gt;0,N(AE354)&lt;=0.004),"✓ "&amp;'Calc base'!M$6&amp;"   ","")&amp;IF(AND(N(AG353)&gt;0,N(AG354)&lt;=0.004),"✓ "&amp;'Calc base'!N$6&amp;"   ","")))</f>
        <v/>
      </c>
      <c r="J354" s="70" t="str">
        <f>IF($A354="","",ROUND(N(K353)*(1+'Calc base'!H377),2)-K354)</f>
        <v/>
      </c>
      <c r="K354" s="75" t="str">
        <f>IF($A354="","",CHOOSE('Calc riepilogo'!$B$2,'Calc valanga'!AT377,'Calc palla di neve'!AT377,'Calc personalizzata'!AT377))</f>
        <v/>
      </c>
      <c r="L354" s="70" t="str">
        <f>IF($A354="","",ROUND(N(M353)*(1+'Calc base'!I377),2)-M354)</f>
        <v/>
      </c>
      <c r="M354" s="75" t="str">
        <f>IF($A354="","",CHOOSE('Calc riepilogo'!$B$2,'Calc valanga'!AU377,'Calc palla di neve'!AU377,'Calc personalizzata'!AU377))</f>
        <v/>
      </c>
      <c r="N354" s="70" t="str">
        <f>IF($A354="","",ROUND(N(O353)*(1+'Calc base'!J377),2)-O354)</f>
        <v/>
      </c>
      <c r="O354" s="75" t="str">
        <f>IF($A354="","",CHOOSE('Calc riepilogo'!$B$2,'Calc valanga'!AV377,'Calc palla di neve'!AV377,'Calc personalizzata'!AV377))</f>
        <v/>
      </c>
      <c r="P354" s="70" t="str">
        <f>IF($A354="","",ROUND(N(Q353)*(1+'Calc base'!K377),2)-Q354)</f>
        <v/>
      </c>
      <c r="Q354" s="75" t="str">
        <f>IF($A354="","",CHOOSE('Calc riepilogo'!$B$2,'Calc valanga'!AW377,'Calc palla di neve'!AW377,'Calc personalizzata'!AW377))</f>
        <v/>
      </c>
      <c r="R354" s="70" t="str">
        <f>IF($A354="","",ROUND(N(S353)*(1+'Calc base'!L377),2)-S354)</f>
        <v/>
      </c>
      <c r="S354" s="75" t="str">
        <f>IF($A354="","",CHOOSE('Calc riepilogo'!$B$2,'Calc valanga'!AX377,'Calc palla di neve'!AX377,'Calc personalizzata'!AX377))</f>
        <v/>
      </c>
      <c r="T354" s="70" t="str">
        <f>IF($A354="","",ROUND(N(U353)*(1+'Calc base'!M377),2)-U354)</f>
        <v/>
      </c>
      <c r="U354" s="75" t="str">
        <f>IF($A354="","",CHOOSE('Calc riepilogo'!$B$2,'Calc valanga'!AY377,'Calc palla di neve'!AY377,'Calc personalizzata'!AY377))</f>
        <v/>
      </c>
      <c r="V354" s="70" t="str">
        <f>IF($A354="","",ROUND(N(W353)*(1+'Calc base'!N377),2)-W354)</f>
        <v/>
      </c>
      <c r="W354" s="75" t="str">
        <f>IF($A354="","",CHOOSE('Calc riepilogo'!$B$2,'Calc valanga'!AZ377,'Calc palla di neve'!AZ377,'Calc personalizzata'!AZ377))</f>
        <v/>
      </c>
      <c r="X354" s="70" t="str">
        <f>IF($A354="","",ROUND(N(Y353)*(1+'Calc base'!O377),2)-Y354)</f>
        <v/>
      </c>
      <c r="Y354" s="75" t="str">
        <f>IF($A354="","",CHOOSE('Calc riepilogo'!$B$2,'Calc valanga'!BA377,'Calc palla di neve'!BA377,'Calc personalizzata'!BA377))</f>
        <v/>
      </c>
      <c r="Z354" s="70" t="str">
        <f>IF($A354="","",ROUND(N(AA353)*(1+'Calc base'!P377),2)-AA354)</f>
        <v/>
      </c>
      <c r="AA354" s="75" t="str">
        <f>IF($A354="","",CHOOSE('Calc riepilogo'!$B$2,'Calc valanga'!BB377,'Calc palla di neve'!BB377,'Calc personalizzata'!BB377))</f>
        <v/>
      </c>
      <c r="AB354" s="70" t="str">
        <f>IF($A354="","",ROUND(N(AC353)*(1+'Calc base'!Q377),2)-AC354)</f>
        <v/>
      </c>
      <c r="AC354" s="75" t="str">
        <f>IF($A354="","",CHOOSE('Calc riepilogo'!$B$2,'Calc valanga'!BC377,'Calc palla di neve'!BC377,'Calc personalizzata'!BC377))</f>
        <v/>
      </c>
      <c r="AD354" s="70" t="str">
        <f>IF($A354="","",ROUND(N(AE353)*(1+'Calc base'!R377),2)-AE354)</f>
        <v/>
      </c>
      <c r="AE354" s="75" t="str">
        <f>IF($A354="","",CHOOSE('Calc riepilogo'!$B$2,'Calc valanga'!BD377,'Calc palla di neve'!BD377,'Calc personalizzata'!BD377))</f>
        <v/>
      </c>
      <c r="AF354" s="70" t="str">
        <f>IF($A354="","",ROUND(N(AG353)*(1+'Calc base'!S377),2)-AG354)</f>
        <v/>
      </c>
      <c r="AG354" s="75" t="str">
        <f>IF($A354="","",CHOOSE('Calc riepilogo'!$B$2,'Calc valanga'!BE377,'Calc palla di neve'!BE377,'Calc personalizzata'!BE377))</f>
        <v/>
      </c>
      <c r="AI354" t="n">
        <v>347</v>
      </c>
    </row>
    <row r="355">
      <c r="A355" s="68" t="str">
        <f>IF(348&gt;'Calc riepilogo'!$B$7,"",'Calc base'!$B378)</f>
        <v/>
      </c>
      <c r="B355" s="69" t="str">
        <f>IF($A355="","",'Calc base'!$C378)</f>
        <v/>
      </c>
      <c r="C355" s="69" t="str">
        <f>IF($A355="","",'Calc base'!$E378)</f>
        <v/>
      </c>
      <c r="D355" s="70" t="str">
        <f>IF($A355="","",J355+L355+N355+P355+R355+T355+V355+X355+Z355+AB355+AD355+AF355)</f>
        <v/>
      </c>
      <c r="E355" s="70" t="str">
        <f>IF($A355="","",CHOOSE('Calc riepilogo'!$B$2,'Calc valanga'!$H378,'Calc palla di neve'!$H378,'Calc personalizzata'!$H378))</f>
        <v/>
      </c>
      <c r="F355" s="71" t="str">
        <f>IF($A355="","",CHOOSE('Calc riepilogo'!$B$2,'Calc valanga'!$G378,'Calc palla di neve'!$G378,'Calc personalizzata'!$G378))</f>
        <v/>
      </c>
      <c r="G355" s="72" t="n"/>
      <c r="H355" s="73" t="n"/>
      <c r="I355" s="74" t="str">
        <f>IF($A355="","",TRIM(IF(AND(N(K354)&gt;0,N(K355)&lt;=0.004),"✓ "&amp;'Calc base'!C$6&amp;"   ","")&amp;IF(AND(N(M354)&gt;0,N(M355)&lt;=0.004),"✓ "&amp;'Calc base'!D$6&amp;"   ","")&amp;IF(AND(N(O354)&gt;0,N(O355)&lt;=0.004),"✓ "&amp;'Calc base'!E$6&amp;"   ","")&amp;IF(AND(N(Q354)&gt;0,N(Q355)&lt;=0.004),"✓ "&amp;'Calc base'!F$6&amp;"   ","")&amp;IF(AND(N(S354)&gt;0,N(S355)&lt;=0.004),"✓ "&amp;'Calc base'!G$6&amp;"   ","")&amp;IF(AND(N(U354)&gt;0,N(U355)&lt;=0.004),"✓ "&amp;'Calc base'!H$6&amp;"   ","")&amp;IF(AND(N(W354)&gt;0,N(W355)&lt;=0.004),"✓ "&amp;'Calc base'!I$6&amp;"   ","")&amp;IF(AND(N(Y354)&gt;0,N(Y355)&lt;=0.004),"✓ "&amp;'Calc base'!J$6&amp;"   ","")&amp;IF(AND(N(AA354)&gt;0,N(AA355)&lt;=0.004),"✓ "&amp;'Calc base'!K$6&amp;"   ","")&amp;IF(AND(N(AC354)&gt;0,N(AC355)&lt;=0.004),"✓ "&amp;'Calc base'!L$6&amp;"   ","")&amp;IF(AND(N(AE354)&gt;0,N(AE355)&lt;=0.004),"✓ "&amp;'Calc base'!M$6&amp;"   ","")&amp;IF(AND(N(AG354)&gt;0,N(AG355)&lt;=0.004),"✓ "&amp;'Calc base'!N$6&amp;"   ","")))</f>
        <v/>
      </c>
      <c r="J355" s="70" t="str">
        <f>IF($A355="","",ROUND(N(K354)*(1+'Calc base'!H378),2)-K355)</f>
        <v/>
      </c>
      <c r="K355" s="75" t="str">
        <f>IF($A355="","",CHOOSE('Calc riepilogo'!$B$2,'Calc valanga'!AT378,'Calc palla di neve'!AT378,'Calc personalizzata'!AT378))</f>
        <v/>
      </c>
      <c r="L355" s="70" t="str">
        <f>IF($A355="","",ROUND(N(M354)*(1+'Calc base'!I378),2)-M355)</f>
        <v/>
      </c>
      <c r="M355" s="75" t="str">
        <f>IF($A355="","",CHOOSE('Calc riepilogo'!$B$2,'Calc valanga'!AU378,'Calc palla di neve'!AU378,'Calc personalizzata'!AU378))</f>
        <v/>
      </c>
      <c r="N355" s="70" t="str">
        <f>IF($A355="","",ROUND(N(O354)*(1+'Calc base'!J378),2)-O355)</f>
        <v/>
      </c>
      <c r="O355" s="75" t="str">
        <f>IF($A355="","",CHOOSE('Calc riepilogo'!$B$2,'Calc valanga'!AV378,'Calc palla di neve'!AV378,'Calc personalizzata'!AV378))</f>
        <v/>
      </c>
      <c r="P355" s="70" t="str">
        <f>IF($A355="","",ROUND(N(Q354)*(1+'Calc base'!K378),2)-Q355)</f>
        <v/>
      </c>
      <c r="Q355" s="75" t="str">
        <f>IF($A355="","",CHOOSE('Calc riepilogo'!$B$2,'Calc valanga'!AW378,'Calc palla di neve'!AW378,'Calc personalizzata'!AW378))</f>
        <v/>
      </c>
      <c r="R355" s="70" t="str">
        <f>IF($A355="","",ROUND(N(S354)*(1+'Calc base'!L378),2)-S355)</f>
        <v/>
      </c>
      <c r="S355" s="75" t="str">
        <f>IF($A355="","",CHOOSE('Calc riepilogo'!$B$2,'Calc valanga'!AX378,'Calc palla di neve'!AX378,'Calc personalizzata'!AX378))</f>
        <v/>
      </c>
      <c r="T355" s="70" t="str">
        <f>IF($A355="","",ROUND(N(U354)*(1+'Calc base'!M378),2)-U355)</f>
        <v/>
      </c>
      <c r="U355" s="75" t="str">
        <f>IF($A355="","",CHOOSE('Calc riepilogo'!$B$2,'Calc valanga'!AY378,'Calc palla di neve'!AY378,'Calc personalizzata'!AY378))</f>
        <v/>
      </c>
      <c r="V355" s="70" t="str">
        <f>IF($A355="","",ROUND(N(W354)*(1+'Calc base'!N378),2)-W355)</f>
        <v/>
      </c>
      <c r="W355" s="75" t="str">
        <f>IF($A355="","",CHOOSE('Calc riepilogo'!$B$2,'Calc valanga'!AZ378,'Calc palla di neve'!AZ378,'Calc personalizzata'!AZ378))</f>
        <v/>
      </c>
      <c r="X355" s="70" t="str">
        <f>IF($A355="","",ROUND(N(Y354)*(1+'Calc base'!O378),2)-Y355)</f>
        <v/>
      </c>
      <c r="Y355" s="75" t="str">
        <f>IF($A355="","",CHOOSE('Calc riepilogo'!$B$2,'Calc valanga'!BA378,'Calc palla di neve'!BA378,'Calc personalizzata'!BA378))</f>
        <v/>
      </c>
      <c r="Z355" s="70" t="str">
        <f>IF($A355="","",ROUND(N(AA354)*(1+'Calc base'!P378),2)-AA355)</f>
        <v/>
      </c>
      <c r="AA355" s="75" t="str">
        <f>IF($A355="","",CHOOSE('Calc riepilogo'!$B$2,'Calc valanga'!BB378,'Calc palla di neve'!BB378,'Calc personalizzata'!BB378))</f>
        <v/>
      </c>
      <c r="AB355" s="70" t="str">
        <f>IF($A355="","",ROUND(N(AC354)*(1+'Calc base'!Q378),2)-AC355)</f>
        <v/>
      </c>
      <c r="AC355" s="75" t="str">
        <f>IF($A355="","",CHOOSE('Calc riepilogo'!$B$2,'Calc valanga'!BC378,'Calc palla di neve'!BC378,'Calc personalizzata'!BC378))</f>
        <v/>
      </c>
      <c r="AD355" s="70" t="str">
        <f>IF($A355="","",ROUND(N(AE354)*(1+'Calc base'!R378),2)-AE355)</f>
        <v/>
      </c>
      <c r="AE355" s="75" t="str">
        <f>IF($A355="","",CHOOSE('Calc riepilogo'!$B$2,'Calc valanga'!BD378,'Calc palla di neve'!BD378,'Calc personalizzata'!BD378))</f>
        <v/>
      </c>
      <c r="AF355" s="70" t="str">
        <f>IF($A355="","",ROUND(N(AG354)*(1+'Calc base'!S378),2)-AG355)</f>
        <v/>
      </c>
      <c r="AG355" s="75" t="str">
        <f>IF($A355="","",CHOOSE('Calc riepilogo'!$B$2,'Calc valanga'!BE378,'Calc palla di neve'!BE378,'Calc personalizzata'!BE378))</f>
        <v/>
      </c>
      <c r="AI355" t="n">
        <v>348</v>
      </c>
    </row>
    <row r="356">
      <c r="A356" s="68" t="str">
        <f>IF(349&gt;'Calc riepilogo'!$B$7,"",'Calc base'!$B379)</f>
        <v/>
      </c>
      <c r="B356" s="69" t="str">
        <f>IF($A356="","",'Calc base'!$C379)</f>
        <v/>
      </c>
      <c r="C356" s="69" t="str">
        <f>IF($A356="","",'Calc base'!$E379)</f>
        <v/>
      </c>
      <c r="D356" s="70" t="str">
        <f>IF($A356="","",J356+L356+N356+P356+R356+T356+V356+X356+Z356+AB356+AD356+AF356)</f>
        <v/>
      </c>
      <c r="E356" s="70" t="str">
        <f>IF($A356="","",CHOOSE('Calc riepilogo'!$B$2,'Calc valanga'!$H379,'Calc palla di neve'!$H379,'Calc personalizzata'!$H379))</f>
        <v/>
      </c>
      <c r="F356" s="71" t="str">
        <f>IF($A356="","",CHOOSE('Calc riepilogo'!$B$2,'Calc valanga'!$G379,'Calc palla di neve'!$G379,'Calc personalizzata'!$G379))</f>
        <v/>
      </c>
      <c r="G356" s="72" t="n"/>
      <c r="H356" s="73" t="n"/>
      <c r="I356" s="74" t="str">
        <f>IF($A356="","",TRIM(IF(AND(N(K355)&gt;0,N(K356)&lt;=0.004),"✓ "&amp;'Calc base'!C$6&amp;"   ","")&amp;IF(AND(N(M355)&gt;0,N(M356)&lt;=0.004),"✓ "&amp;'Calc base'!D$6&amp;"   ","")&amp;IF(AND(N(O355)&gt;0,N(O356)&lt;=0.004),"✓ "&amp;'Calc base'!E$6&amp;"   ","")&amp;IF(AND(N(Q355)&gt;0,N(Q356)&lt;=0.004),"✓ "&amp;'Calc base'!F$6&amp;"   ","")&amp;IF(AND(N(S355)&gt;0,N(S356)&lt;=0.004),"✓ "&amp;'Calc base'!G$6&amp;"   ","")&amp;IF(AND(N(U355)&gt;0,N(U356)&lt;=0.004),"✓ "&amp;'Calc base'!H$6&amp;"   ","")&amp;IF(AND(N(W355)&gt;0,N(W356)&lt;=0.004),"✓ "&amp;'Calc base'!I$6&amp;"   ","")&amp;IF(AND(N(Y355)&gt;0,N(Y356)&lt;=0.004),"✓ "&amp;'Calc base'!J$6&amp;"   ","")&amp;IF(AND(N(AA355)&gt;0,N(AA356)&lt;=0.004),"✓ "&amp;'Calc base'!K$6&amp;"   ","")&amp;IF(AND(N(AC355)&gt;0,N(AC356)&lt;=0.004),"✓ "&amp;'Calc base'!L$6&amp;"   ","")&amp;IF(AND(N(AE355)&gt;0,N(AE356)&lt;=0.004),"✓ "&amp;'Calc base'!M$6&amp;"   ","")&amp;IF(AND(N(AG355)&gt;0,N(AG356)&lt;=0.004),"✓ "&amp;'Calc base'!N$6&amp;"   ","")))</f>
        <v/>
      </c>
      <c r="J356" s="70" t="str">
        <f>IF($A356="","",ROUND(N(K355)*(1+'Calc base'!H379),2)-K356)</f>
        <v/>
      </c>
      <c r="K356" s="75" t="str">
        <f>IF($A356="","",CHOOSE('Calc riepilogo'!$B$2,'Calc valanga'!AT379,'Calc palla di neve'!AT379,'Calc personalizzata'!AT379))</f>
        <v/>
      </c>
      <c r="L356" s="70" t="str">
        <f>IF($A356="","",ROUND(N(M355)*(1+'Calc base'!I379),2)-M356)</f>
        <v/>
      </c>
      <c r="M356" s="75" t="str">
        <f>IF($A356="","",CHOOSE('Calc riepilogo'!$B$2,'Calc valanga'!AU379,'Calc palla di neve'!AU379,'Calc personalizzata'!AU379))</f>
        <v/>
      </c>
      <c r="N356" s="70" t="str">
        <f>IF($A356="","",ROUND(N(O355)*(1+'Calc base'!J379),2)-O356)</f>
        <v/>
      </c>
      <c r="O356" s="75" t="str">
        <f>IF($A356="","",CHOOSE('Calc riepilogo'!$B$2,'Calc valanga'!AV379,'Calc palla di neve'!AV379,'Calc personalizzata'!AV379))</f>
        <v/>
      </c>
      <c r="P356" s="70" t="str">
        <f>IF($A356="","",ROUND(N(Q355)*(1+'Calc base'!K379),2)-Q356)</f>
        <v/>
      </c>
      <c r="Q356" s="75" t="str">
        <f>IF($A356="","",CHOOSE('Calc riepilogo'!$B$2,'Calc valanga'!AW379,'Calc palla di neve'!AW379,'Calc personalizzata'!AW379))</f>
        <v/>
      </c>
      <c r="R356" s="70" t="str">
        <f>IF($A356="","",ROUND(N(S355)*(1+'Calc base'!L379),2)-S356)</f>
        <v/>
      </c>
      <c r="S356" s="75" t="str">
        <f>IF($A356="","",CHOOSE('Calc riepilogo'!$B$2,'Calc valanga'!AX379,'Calc palla di neve'!AX379,'Calc personalizzata'!AX379))</f>
        <v/>
      </c>
      <c r="T356" s="70" t="str">
        <f>IF($A356="","",ROUND(N(U355)*(1+'Calc base'!M379),2)-U356)</f>
        <v/>
      </c>
      <c r="U356" s="75" t="str">
        <f>IF($A356="","",CHOOSE('Calc riepilogo'!$B$2,'Calc valanga'!AY379,'Calc palla di neve'!AY379,'Calc personalizzata'!AY379))</f>
        <v/>
      </c>
      <c r="V356" s="70" t="str">
        <f>IF($A356="","",ROUND(N(W355)*(1+'Calc base'!N379),2)-W356)</f>
        <v/>
      </c>
      <c r="W356" s="75" t="str">
        <f>IF($A356="","",CHOOSE('Calc riepilogo'!$B$2,'Calc valanga'!AZ379,'Calc palla di neve'!AZ379,'Calc personalizzata'!AZ379))</f>
        <v/>
      </c>
      <c r="X356" s="70" t="str">
        <f>IF($A356="","",ROUND(N(Y355)*(1+'Calc base'!O379),2)-Y356)</f>
        <v/>
      </c>
      <c r="Y356" s="75" t="str">
        <f>IF($A356="","",CHOOSE('Calc riepilogo'!$B$2,'Calc valanga'!BA379,'Calc palla di neve'!BA379,'Calc personalizzata'!BA379))</f>
        <v/>
      </c>
      <c r="Z356" s="70" t="str">
        <f>IF($A356="","",ROUND(N(AA355)*(1+'Calc base'!P379),2)-AA356)</f>
        <v/>
      </c>
      <c r="AA356" s="75" t="str">
        <f>IF($A356="","",CHOOSE('Calc riepilogo'!$B$2,'Calc valanga'!BB379,'Calc palla di neve'!BB379,'Calc personalizzata'!BB379))</f>
        <v/>
      </c>
      <c r="AB356" s="70" t="str">
        <f>IF($A356="","",ROUND(N(AC355)*(1+'Calc base'!Q379),2)-AC356)</f>
        <v/>
      </c>
      <c r="AC356" s="75" t="str">
        <f>IF($A356="","",CHOOSE('Calc riepilogo'!$B$2,'Calc valanga'!BC379,'Calc palla di neve'!BC379,'Calc personalizzata'!BC379))</f>
        <v/>
      </c>
      <c r="AD356" s="70" t="str">
        <f>IF($A356="","",ROUND(N(AE355)*(1+'Calc base'!R379),2)-AE356)</f>
        <v/>
      </c>
      <c r="AE356" s="75" t="str">
        <f>IF($A356="","",CHOOSE('Calc riepilogo'!$B$2,'Calc valanga'!BD379,'Calc palla di neve'!BD379,'Calc personalizzata'!BD379))</f>
        <v/>
      </c>
      <c r="AF356" s="70" t="str">
        <f>IF($A356="","",ROUND(N(AG355)*(1+'Calc base'!S379),2)-AG356)</f>
        <v/>
      </c>
      <c r="AG356" s="75" t="str">
        <f>IF($A356="","",CHOOSE('Calc riepilogo'!$B$2,'Calc valanga'!BE379,'Calc palla di neve'!BE379,'Calc personalizzata'!BE379))</f>
        <v/>
      </c>
      <c r="AI356" t="n">
        <v>349</v>
      </c>
    </row>
    <row r="357">
      <c r="A357" s="68" t="str">
        <f>IF(350&gt;'Calc riepilogo'!$B$7,"",'Calc base'!$B380)</f>
        <v/>
      </c>
      <c r="B357" s="69" t="str">
        <f>IF($A357="","",'Calc base'!$C380)</f>
        <v/>
      </c>
      <c r="C357" s="69" t="str">
        <f>IF($A357="","",'Calc base'!$E380)</f>
        <v/>
      </c>
      <c r="D357" s="70" t="str">
        <f>IF($A357="","",J357+L357+N357+P357+R357+T357+V357+X357+Z357+AB357+AD357+AF357)</f>
        <v/>
      </c>
      <c r="E357" s="70" t="str">
        <f>IF($A357="","",CHOOSE('Calc riepilogo'!$B$2,'Calc valanga'!$H380,'Calc palla di neve'!$H380,'Calc personalizzata'!$H380))</f>
        <v/>
      </c>
      <c r="F357" s="71" t="str">
        <f>IF($A357="","",CHOOSE('Calc riepilogo'!$B$2,'Calc valanga'!$G380,'Calc palla di neve'!$G380,'Calc personalizzata'!$G380))</f>
        <v/>
      </c>
      <c r="G357" s="72" t="n"/>
      <c r="H357" s="73" t="n"/>
      <c r="I357" s="74" t="str">
        <f>IF($A357="","",TRIM(IF(AND(N(K356)&gt;0,N(K357)&lt;=0.004),"✓ "&amp;'Calc base'!C$6&amp;"   ","")&amp;IF(AND(N(M356)&gt;0,N(M357)&lt;=0.004),"✓ "&amp;'Calc base'!D$6&amp;"   ","")&amp;IF(AND(N(O356)&gt;0,N(O357)&lt;=0.004),"✓ "&amp;'Calc base'!E$6&amp;"   ","")&amp;IF(AND(N(Q356)&gt;0,N(Q357)&lt;=0.004),"✓ "&amp;'Calc base'!F$6&amp;"   ","")&amp;IF(AND(N(S356)&gt;0,N(S357)&lt;=0.004),"✓ "&amp;'Calc base'!G$6&amp;"   ","")&amp;IF(AND(N(U356)&gt;0,N(U357)&lt;=0.004),"✓ "&amp;'Calc base'!H$6&amp;"   ","")&amp;IF(AND(N(W356)&gt;0,N(W357)&lt;=0.004),"✓ "&amp;'Calc base'!I$6&amp;"   ","")&amp;IF(AND(N(Y356)&gt;0,N(Y357)&lt;=0.004),"✓ "&amp;'Calc base'!J$6&amp;"   ","")&amp;IF(AND(N(AA356)&gt;0,N(AA357)&lt;=0.004),"✓ "&amp;'Calc base'!K$6&amp;"   ","")&amp;IF(AND(N(AC356)&gt;0,N(AC357)&lt;=0.004),"✓ "&amp;'Calc base'!L$6&amp;"   ","")&amp;IF(AND(N(AE356)&gt;0,N(AE357)&lt;=0.004),"✓ "&amp;'Calc base'!M$6&amp;"   ","")&amp;IF(AND(N(AG356)&gt;0,N(AG357)&lt;=0.004),"✓ "&amp;'Calc base'!N$6&amp;"   ","")))</f>
        <v/>
      </c>
      <c r="J357" s="70" t="str">
        <f>IF($A357="","",ROUND(N(K356)*(1+'Calc base'!H380),2)-K357)</f>
        <v/>
      </c>
      <c r="K357" s="75" t="str">
        <f>IF($A357="","",CHOOSE('Calc riepilogo'!$B$2,'Calc valanga'!AT380,'Calc palla di neve'!AT380,'Calc personalizzata'!AT380))</f>
        <v/>
      </c>
      <c r="L357" s="70" t="str">
        <f>IF($A357="","",ROUND(N(M356)*(1+'Calc base'!I380),2)-M357)</f>
        <v/>
      </c>
      <c r="M357" s="75" t="str">
        <f>IF($A357="","",CHOOSE('Calc riepilogo'!$B$2,'Calc valanga'!AU380,'Calc palla di neve'!AU380,'Calc personalizzata'!AU380))</f>
        <v/>
      </c>
      <c r="N357" s="70" t="str">
        <f>IF($A357="","",ROUND(N(O356)*(1+'Calc base'!J380),2)-O357)</f>
        <v/>
      </c>
      <c r="O357" s="75" t="str">
        <f>IF($A357="","",CHOOSE('Calc riepilogo'!$B$2,'Calc valanga'!AV380,'Calc palla di neve'!AV380,'Calc personalizzata'!AV380))</f>
        <v/>
      </c>
      <c r="P357" s="70" t="str">
        <f>IF($A357="","",ROUND(N(Q356)*(1+'Calc base'!K380),2)-Q357)</f>
        <v/>
      </c>
      <c r="Q357" s="75" t="str">
        <f>IF($A357="","",CHOOSE('Calc riepilogo'!$B$2,'Calc valanga'!AW380,'Calc palla di neve'!AW380,'Calc personalizzata'!AW380))</f>
        <v/>
      </c>
      <c r="R357" s="70" t="str">
        <f>IF($A357="","",ROUND(N(S356)*(1+'Calc base'!L380),2)-S357)</f>
        <v/>
      </c>
      <c r="S357" s="75" t="str">
        <f>IF($A357="","",CHOOSE('Calc riepilogo'!$B$2,'Calc valanga'!AX380,'Calc palla di neve'!AX380,'Calc personalizzata'!AX380))</f>
        <v/>
      </c>
      <c r="T357" s="70" t="str">
        <f>IF($A357="","",ROUND(N(U356)*(1+'Calc base'!M380),2)-U357)</f>
        <v/>
      </c>
      <c r="U357" s="75" t="str">
        <f>IF($A357="","",CHOOSE('Calc riepilogo'!$B$2,'Calc valanga'!AY380,'Calc palla di neve'!AY380,'Calc personalizzata'!AY380))</f>
        <v/>
      </c>
      <c r="V357" s="70" t="str">
        <f>IF($A357="","",ROUND(N(W356)*(1+'Calc base'!N380),2)-W357)</f>
        <v/>
      </c>
      <c r="W357" s="75" t="str">
        <f>IF($A357="","",CHOOSE('Calc riepilogo'!$B$2,'Calc valanga'!AZ380,'Calc palla di neve'!AZ380,'Calc personalizzata'!AZ380))</f>
        <v/>
      </c>
      <c r="X357" s="70" t="str">
        <f>IF($A357="","",ROUND(N(Y356)*(1+'Calc base'!O380),2)-Y357)</f>
        <v/>
      </c>
      <c r="Y357" s="75" t="str">
        <f>IF($A357="","",CHOOSE('Calc riepilogo'!$B$2,'Calc valanga'!BA380,'Calc palla di neve'!BA380,'Calc personalizzata'!BA380))</f>
        <v/>
      </c>
      <c r="Z357" s="70" t="str">
        <f>IF($A357="","",ROUND(N(AA356)*(1+'Calc base'!P380),2)-AA357)</f>
        <v/>
      </c>
      <c r="AA357" s="75" t="str">
        <f>IF($A357="","",CHOOSE('Calc riepilogo'!$B$2,'Calc valanga'!BB380,'Calc palla di neve'!BB380,'Calc personalizzata'!BB380))</f>
        <v/>
      </c>
      <c r="AB357" s="70" t="str">
        <f>IF($A357="","",ROUND(N(AC356)*(1+'Calc base'!Q380),2)-AC357)</f>
        <v/>
      </c>
      <c r="AC357" s="75" t="str">
        <f>IF($A357="","",CHOOSE('Calc riepilogo'!$B$2,'Calc valanga'!BC380,'Calc palla di neve'!BC380,'Calc personalizzata'!BC380))</f>
        <v/>
      </c>
      <c r="AD357" s="70" t="str">
        <f>IF($A357="","",ROUND(N(AE356)*(1+'Calc base'!R380),2)-AE357)</f>
        <v/>
      </c>
      <c r="AE357" s="75" t="str">
        <f>IF($A357="","",CHOOSE('Calc riepilogo'!$B$2,'Calc valanga'!BD380,'Calc palla di neve'!BD380,'Calc personalizzata'!BD380))</f>
        <v/>
      </c>
      <c r="AF357" s="70" t="str">
        <f>IF($A357="","",ROUND(N(AG356)*(1+'Calc base'!S380),2)-AG357)</f>
        <v/>
      </c>
      <c r="AG357" s="75" t="str">
        <f>IF($A357="","",CHOOSE('Calc riepilogo'!$B$2,'Calc valanga'!BE380,'Calc palla di neve'!BE380,'Calc personalizzata'!BE380))</f>
        <v/>
      </c>
      <c r="AI357" t="n">
        <v>350</v>
      </c>
    </row>
    <row r="358">
      <c r="A358" s="68" t="str">
        <f>IF(351&gt;'Calc riepilogo'!$B$7,"",'Calc base'!$B381)</f>
        <v/>
      </c>
      <c r="B358" s="69" t="str">
        <f>IF($A358="","",'Calc base'!$C381)</f>
        <v/>
      </c>
      <c r="C358" s="69" t="str">
        <f>IF($A358="","",'Calc base'!$E381)</f>
        <v/>
      </c>
      <c r="D358" s="70" t="str">
        <f>IF($A358="","",J358+L358+N358+P358+R358+T358+V358+X358+Z358+AB358+AD358+AF358)</f>
        <v/>
      </c>
      <c r="E358" s="70" t="str">
        <f>IF($A358="","",CHOOSE('Calc riepilogo'!$B$2,'Calc valanga'!$H381,'Calc palla di neve'!$H381,'Calc personalizzata'!$H381))</f>
        <v/>
      </c>
      <c r="F358" s="71" t="str">
        <f>IF($A358="","",CHOOSE('Calc riepilogo'!$B$2,'Calc valanga'!$G381,'Calc palla di neve'!$G381,'Calc personalizzata'!$G381))</f>
        <v/>
      </c>
      <c r="G358" s="72" t="n"/>
      <c r="H358" s="73" t="n"/>
      <c r="I358" s="74" t="str">
        <f>IF($A358="","",TRIM(IF(AND(N(K357)&gt;0,N(K358)&lt;=0.004),"✓ "&amp;'Calc base'!C$6&amp;"   ","")&amp;IF(AND(N(M357)&gt;0,N(M358)&lt;=0.004),"✓ "&amp;'Calc base'!D$6&amp;"   ","")&amp;IF(AND(N(O357)&gt;0,N(O358)&lt;=0.004),"✓ "&amp;'Calc base'!E$6&amp;"   ","")&amp;IF(AND(N(Q357)&gt;0,N(Q358)&lt;=0.004),"✓ "&amp;'Calc base'!F$6&amp;"   ","")&amp;IF(AND(N(S357)&gt;0,N(S358)&lt;=0.004),"✓ "&amp;'Calc base'!G$6&amp;"   ","")&amp;IF(AND(N(U357)&gt;0,N(U358)&lt;=0.004),"✓ "&amp;'Calc base'!H$6&amp;"   ","")&amp;IF(AND(N(W357)&gt;0,N(W358)&lt;=0.004),"✓ "&amp;'Calc base'!I$6&amp;"   ","")&amp;IF(AND(N(Y357)&gt;0,N(Y358)&lt;=0.004),"✓ "&amp;'Calc base'!J$6&amp;"   ","")&amp;IF(AND(N(AA357)&gt;0,N(AA358)&lt;=0.004),"✓ "&amp;'Calc base'!K$6&amp;"   ","")&amp;IF(AND(N(AC357)&gt;0,N(AC358)&lt;=0.004),"✓ "&amp;'Calc base'!L$6&amp;"   ","")&amp;IF(AND(N(AE357)&gt;0,N(AE358)&lt;=0.004),"✓ "&amp;'Calc base'!M$6&amp;"   ","")&amp;IF(AND(N(AG357)&gt;0,N(AG358)&lt;=0.004),"✓ "&amp;'Calc base'!N$6&amp;"   ","")))</f>
        <v/>
      </c>
      <c r="J358" s="70" t="str">
        <f>IF($A358="","",ROUND(N(K357)*(1+'Calc base'!H381),2)-K358)</f>
        <v/>
      </c>
      <c r="K358" s="75" t="str">
        <f>IF($A358="","",CHOOSE('Calc riepilogo'!$B$2,'Calc valanga'!AT381,'Calc palla di neve'!AT381,'Calc personalizzata'!AT381))</f>
        <v/>
      </c>
      <c r="L358" s="70" t="str">
        <f>IF($A358="","",ROUND(N(M357)*(1+'Calc base'!I381),2)-M358)</f>
        <v/>
      </c>
      <c r="M358" s="75" t="str">
        <f>IF($A358="","",CHOOSE('Calc riepilogo'!$B$2,'Calc valanga'!AU381,'Calc palla di neve'!AU381,'Calc personalizzata'!AU381))</f>
        <v/>
      </c>
      <c r="N358" s="70" t="str">
        <f>IF($A358="","",ROUND(N(O357)*(1+'Calc base'!J381),2)-O358)</f>
        <v/>
      </c>
      <c r="O358" s="75" t="str">
        <f>IF($A358="","",CHOOSE('Calc riepilogo'!$B$2,'Calc valanga'!AV381,'Calc palla di neve'!AV381,'Calc personalizzata'!AV381))</f>
        <v/>
      </c>
      <c r="P358" s="70" t="str">
        <f>IF($A358="","",ROUND(N(Q357)*(1+'Calc base'!K381),2)-Q358)</f>
        <v/>
      </c>
      <c r="Q358" s="75" t="str">
        <f>IF($A358="","",CHOOSE('Calc riepilogo'!$B$2,'Calc valanga'!AW381,'Calc palla di neve'!AW381,'Calc personalizzata'!AW381))</f>
        <v/>
      </c>
      <c r="R358" s="70" t="str">
        <f>IF($A358="","",ROUND(N(S357)*(1+'Calc base'!L381),2)-S358)</f>
        <v/>
      </c>
      <c r="S358" s="75" t="str">
        <f>IF($A358="","",CHOOSE('Calc riepilogo'!$B$2,'Calc valanga'!AX381,'Calc palla di neve'!AX381,'Calc personalizzata'!AX381))</f>
        <v/>
      </c>
      <c r="T358" s="70" t="str">
        <f>IF($A358="","",ROUND(N(U357)*(1+'Calc base'!M381),2)-U358)</f>
        <v/>
      </c>
      <c r="U358" s="75" t="str">
        <f>IF($A358="","",CHOOSE('Calc riepilogo'!$B$2,'Calc valanga'!AY381,'Calc palla di neve'!AY381,'Calc personalizzata'!AY381))</f>
        <v/>
      </c>
      <c r="V358" s="70" t="str">
        <f>IF($A358="","",ROUND(N(W357)*(1+'Calc base'!N381),2)-W358)</f>
        <v/>
      </c>
      <c r="W358" s="75" t="str">
        <f>IF($A358="","",CHOOSE('Calc riepilogo'!$B$2,'Calc valanga'!AZ381,'Calc palla di neve'!AZ381,'Calc personalizzata'!AZ381))</f>
        <v/>
      </c>
      <c r="X358" s="70" t="str">
        <f>IF($A358="","",ROUND(N(Y357)*(1+'Calc base'!O381),2)-Y358)</f>
        <v/>
      </c>
      <c r="Y358" s="75" t="str">
        <f>IF($A358="","",CHOOSE('Calc riepilogo'!$B$2,'Calc valanga'!BA381,'Calc palla di neve'!BA381,'Calc personalizzata'!BA381))</f>
        <v/>
      </c>
      <c r="Z358" s="70" t="str">
        <f>IF($A358="","",ROUND(N(AA357)*(1+'Calc base'!P381),2)-AA358)</f>
        <v/>
      </c>
      <c r="AA358" s="75" t="str">
        <f>IF($A358="","",CHOOSE('Calc riepilogo'!$B$2,'Calc valanga'!BB381,'Calc palla di neve'!BB381,'Calc personalizzata'!BB381))</f>
        <v/>
      </c>
      <c r="AB358" s="70" t="str">
        <f>IF($A358="","",ROUND(N(AC357)*(1+'Calc base'!Q381),2)-AC358)</f>
        <v/>
      </c>
      <c r="AC358" s="75" t="str">
        <f>IF($A358="","",CHOOSE('Calc riepilogo'!$B$2,'Calc valanga'!BC381,'Calc palla di neve'!BC381,'Calc personalizzata'!BC381))</f>
        <v/>
      </c>
      <c r="AD358" s="70" t="str">
        <f>IF($A358="","",ROUND(N(AE357)*(1+'Calc base'!R381),2)-AE358)</f>
        <v/>
      </c>
      <c r="AE358" s="75" t="str">
        <f>IF($A358="","",CHOOSE('Calc riepilogo'!$B$2,'Calc valanga'!BD381,'Calc palla di neve'!BD381,'Calc personalizzata'!BD381))</f>
        <v/>
      </c>
      <c r="AF358" s="70" t="str">
        <f>IF($A358="","",ROUND(N(AG357)*(1+'Calc base'!S381),2)-AG358)</f>
        <v/>
      </c>
      <c r="AG358" s="75" t="str">
        <f>IF($A358="","",CHOOSE('Calc riepilogo'!$B$2,'Calc valanga'!BE381,'Calc palla di neve'!BE381,'Calc personalizzata'!BE381))</f>
        <v/>
      </c>
      <c r="AI358" t="n">
        <v>351</v>
      </c>
    </row>
    <row r="359">
      <c r="A359" s="68" t="str">
        <f>IF(352&gt;'Calc riepilogo'!$B$7,"",'Calc base'!$B382)</f>
        <v/>
      </c>
      <c r="B359" s="69" t="str">
        <f>IF($A359="","",'Calc base'!$C382)</f>
        <v/>
      </c>
      <c r="C359" s="69" t="str">
        <f>IF($A359="","",'Calc base'!$E382)</f>
        <v/>
      </c>
      <c r="D359" s="70" t="str">
        <f>IF($A359="","",J359+L359+N359+P359+R359+T359+V359+X359+Z359+AB359+AD359+AF359)</f>
        <v/>
      </c>
      <c r="E359" s="70" t="str">
        <f>IF($A359="","",CHOOSE('Calc riepilogo'!$B$2,'Calc valanga'!$H382,'Calc palla di neve'!$H382,'Calc personalizzata'!$H382))</f>
        <v/>
      </c>
      <c r="F359" s="71" t="str">
        <f>IF($A359="","",CHOOSE('Calc riepilogo'!$B$2,'Calc valanga'!$G382,'Calc palla di neve'!$G382,'Calc personalizzata'!$G382))</f>
        <v/>
      </c>
      <c r="G359" s="72" t="n"/>
      <c r="H359" s="73" t="n"/>
      <c r="I359" s="74" t="str">
        <f>IF($A359="","",TRIM(IF(AND(N(K358)&gt;0,N(K359)&lt;=0.004),"✓ "&amp;'Calc base'!C$6&amp;"   ","")&amp;IF(AND(N(M358)&gt;0,N(M359)&lt;=0.004),"✓ "&amp;'Calc base'!D$6&amp;"   ","")&amp;IF(AND(N(O358)&gt;0,N(O359)&lt;=0.004),"✓ "&amp;'Calc base'!E$6&amp;"   ","")&amp;IF(AND(N(Q358)&gt;0,N(Q359)&lt;=0.004),"✓ "&amp;'Calc base'!F$6&amp;"   ","")&amp;IF(AND(N(S358)&gt;0,N(S359)&lt;=0.004),"✓ "&amp;'Calc base'!G$6&amp;"   ","")&amp;IF(AND(N(U358)&gt;0,N(U359)&lt;=0.004),"✓ "&amp;'Calc base'!H$6&amp;"   ","")&amp;IF(AND(N(W358)&gt;0,N(W359)&lt;=0.004),"✓ "&amp;'Calc base'!I$6&amp;"   ","")&amp;IF(AND(N(Y358)&gt;0,N(Y359)&lt;=0.004),"✓ "&amp;'Calc base'!J$6&amp;"   ","")&amp;IF(AND(N(AA358)&gt;0,N(AA359)&lt;=0.004),"✓ "&amp;'Calc base'!K$6&amp;"   ","")&amp;IF(AND(N(AC358)&gt;0,N(AC359)&lt;=0.004),"✓ "&amp;'Calc base'!L$6&amp;"   ","")&amp;IF(AND(N(AE358)&gt;0,N(AE359)&lt;=0.004),"✓ "&amp;'Calc base'!M$6&amp;"   ","")&amp;IF(AND(N(AG358)&gt;0,N(AG359)&lt;=0.004),"✓ "&amp;'Calc base'!N$6&amp;"   ","")))</f>
        <v/>
      </c>
      <c r="J359" s="70" t="str">
        <f>IF($A359="","",ROUND(N(K358)*(1+'Calc base'!H382),2)-K359)</f>
        <v/>
      </c>
      <c r="K359" s="75" t="str">
        <f>IF($A359="","",CHOOSE('Calc riepilogo'!$B$2,'Calc valanga'!AT382,'Calc palla di neve'!AT382,'Calc personalizzata'!AT382))</f>
        <v/>
      </c>
      <c r="L359" s="70" t="str">
        <f>IF($A359="","",ROUND(N(M358)*(1+'Calc base'!I382),2)-M359)</f>
        <v/>
      </c>
      <c r="M359" s="75" t="str">
        <f>IF($A359="","",CHOOSE('Calc riepilogo'!$B$2,'Calc valanga'!AU382,'Calc palla di neve'!AU382,'Calc personalizzata'!AU382))</f>
        <v/>
      </c>
      <c r="N359" s="70" t="str">
        <f>IF($A359="","",ROUND(N(O358)*(1+'Calc base'!J382),2)-O359)</f>
        <v/>
      </c>
      <c r="O359" s="75" t="str">
        <f>IF($A359="","",CHOOSE('Calc riepilogo'!$B$2,'Calc valanga'!AV382,'Calc palla di neve'!AV382,'Calc personalizzata'!AV382))</f>
        <v/>
      </c>
      <c r="P359" s="70" t="str">
        <f>IF($A359="","",ROUND(N(Q358)*(1+'Calc base'!K382),2)-Q359)</f>
        <v/>
      </c>
      <c r="Q359" s="75" t="str">
        <f>IF($A359="","",CHOOSE('Calc riepilogo'!$B$2,'Calc valanga'!AW382,'Calc palla di neve'!AW382,'Calc personalizzata'!AW382))</f>
        <v/>
      </c>
      <c r="R359" s="70" t="str">
        <f>IF($A359="","",ROUND(N(S358)*(1+'Calc base'!L382),2)-S359)</f>
        <v/>
      </c>
      <c r="S359" s="75" t="str">
        <f>IF($A359="","",CHOOSE('Calc riepilogo'!$B$2,'Calc valanga'!AX382,'Calc palla di neve'!AX382,'Calc personalizzata'!AX382))</f>
        <v/>
      </c>
      <c r="T359" s="70" t="str">
        <f>IF($A359="","",ROUND(N(U358)*(1+'Calc base'!M382),2)-U359)</f>
        <v/>
      </c>
      <c r="U359" s="75" t="str">
        <f>IF($A359="","",CHOOSE('Calc riepilogo'!$B$2,'Calc valanga'!AY382,'Calc palla di neve'!AY382,'Calc personalizzata'!AY382))</f>
        <v/>
      </c>
      <c r="V359" s="70" t="str">
        <f>IF($A359="","",ROUND(N(W358)*(1+'Calc base'!N382),2)-W359)</f>
        <v/>
      </c>
      <c r="W359" s="75" t="str">
        <f>IF($A359="","",CHOOSE('Calc riepilogo'!$B$2,'Calc valanga'!AZ382,'Calc palla di neve'!AZ382,'Calc personalizzata'!AZ382))</f>
        <v/>
      </c>
      <c r="X359" s="70" t="str">
        <f>IF($A359="","",ROUND(N(Y358)*(1+'Calc base'!O382),2)-Y359)</f>
        <v/>
      </c>
      <c r="Y359" s="75" t="str">
        <f>IF($A359="","",CHOOSE('Calc riepilogo'!$B$2,'Calc valanga'!BA382,'Calc palla di neve'!BA382,'Calc personalizzata'!BA382))</f>
        <v/>
      </c>
      <c r="Z359" s="70" t="str">
        <f>IF($A359="","",ROUND(N(AA358)*(1+'Calc base'!P382),2)-AA359)</f>
        <v/>
      </c>
      <c r="AA359" s="75" t="str">
        <f>IF($A359="","",CHOOSE('Calc riepilogo'!$B$2,'Calc valanga'!BB382,'Calc palla di neve'!BB382,'Calc personalizzata'!BB382))</f>
        <v/>
      </c>
      <c r="AB359" s="70" t="str">
        <f>IF($A359="","",ROUND(N(AC358)*(1+'Calc base'!Q382),2)-AC359)</f>
        <v/>
      </c>
      <c r="AC359" s="75" t="str">
        <f>IF($A359="","",CHOOSE('Calc riepilogo'!$B$2,'Calc valanga'!BC382,'Calc palla di neve'!BC382,'Calc personalizzata'!BC382))</f>
        <v/>
      </c>
      <c r="AD359" s="70" t="str">
        <f>IF($A359="","",ROUND(N(AE358)*(1+'Calc base'!R382),2)-AE359)</f>
        <v/>
      </c>
      <c r="AE359" s="75" t="str">
        <f>IF($A359="","",CHOOSE('Calc riepilogo'!$B$2,'Calc valanga'!BD382,'Calc palla di neve'!BD382,'Calc personalizzata'!BD382))</f>
        <v/>
      </c>
      <c r="AF359" s="70" t="str">
        <f>IF($A359="","",ROUND(N(AG358)*(1+'Calc base'!S382),2)-AG359)</f>
        <v/>
      </c>
      <c r="AG359" s="75" t="str">
        <f>IF($A359="","",CHOOSE('Calc riepilogo'!$B$2,'Calc valanga'!BE382,'Calc palla di neve'!BE382,'Calc personalizzata'!BE382))</f>
        <v/>
      </c>
      <c r="AI359" t="n">
        <v>352</v>
      </c>
    </row>
    <row r="360">
      <c r="A360" s="68" t="str">
        <f>IF(353&gt;'Calc riepilogo'!$B$7,"",'Calc base'!$B383)</f>
        <v/>
      </c>
      <c r="B360" s="69" t="str">
        <f>IF($A360="","",'Calc base'!$C383)</f>
        <v/>
      </c>
      <c r="C360" s="69" t="str">
        <f>IF($A360="","",'Calc base'!$E383)</f>
        <v/>
      </c>
      <c r="D360" s="70" t="str">
        <f>IF($A360="","",J360+L360+N360+P360+R360+T360+V360+X360+Z360+AB360+AD360+AF360)</f>
        <v/>
      </c>
      <c r="E360" s="70" t="str">
        <f>IF($A360="","",CHOOSE('Calc riepilogo'!$B$2,'Calc valanga'!$H383,'Calc palla di neve'!$H383,'Calc personalizzata'!$H383))</f>
        <v/>
      </c>
      <c r="F360" s="71" t="str">
        <f>IF($A360="","",CHOOSE('Calc riepilogo'!$B$2,'Calc valanga'!$G383,'Calc palla di neve'!$G383,'Calc personalizzata'!$G383))</f>
        <v/>
      </c>
      <c r="G360" s="72" t="n"/>
      <c r="H360" s="73" t="n"/>
      <c r="I360" s="74" t="str">
        <f>IF($A360="","",TRIM(IF(AND(N(K359)&gt;0,N(K360)&lt;=0.004),"✓ "&amp;'Calc base'!C$6&amp;"   ","")&amp;IF(AND(N(M359)&gt;0,N(M360)&lt;=0.004),"✓ "&amp;'Calc base'!D$6&amp;"   ","")&amp;IF(AND(N(O359)&gt;0,N(O360)&lt;=0.004),"✓ "&amp;'Calc base'!E$6&amp;"   ","")&amp;IF(AND(N(Q359)&gt;0,N(Q360)&lt;=0.004),"✓ "&amp;'Calc base'!F$6&amp;"   ","")&amp;IF(AND(N(S359)&gt;0,N(S360)&lt;=0.004),"✓ "&amp;'Calc base'!G$6&amp;"   ","")&amp;IF(AND(N(U359)&gt;0,N(U360)&lt;=0.004),"✓ "&amp;'Calc base'!H$6&amp;"   ","")&amp;IF(AND(N(W359)&gt;0,N(W360)&lt;=0.004),"✓ "&amp;'Calc base'!I$6&amp;"   ","")&amp;IF(AND(N(Y359)&gt;0,N(Y360)&lt;=0.004),"✓ "&amp;'Calc base'!J$6&amp;"   ","")&amp;IF(AND(N(AA359)&gt;0,N(AA360)&lt;=0.004),"✓ "&amp;'Calc base'!K$6&amp;"   ","")&amp;IF(AND(N(AC359)&gt;0,N(AC360)&lt;=0.004),"✓ "&amp;'Calc base'!L$6&amp;"   ","")&amp;IF(AND(N(AE359)&gt;0,N(AE360)&lt;=0.004),"✓ "&amp;'Calc base'!M$6&amp;"   ","")&amp;IF(AND(N(AG359)&gt;0,N(AG360)&lt;=0.004),"✓ "&amp;'Calc base'!N$6&amp;"   ","")))</f>
        <v/>
      </c>
      <c r="J360" s="70" t="str">
        <f>IF($A360="","",ROUND(N(K359)*(1+'Calc base'!H383),2)-K360)</f>
        <v/>
      </c>
      <c r="K360" s="75" t="str">
        <f>IF($A360="","",CHOOSE('Calc riepilogo'!$B$2,'Calc valanga'!AT383,'Calc palla di neve'!AT383,'Calc personalizzata'!AT383))</f>
        <v/>
      </c>
      <c r="L360" s="70" t="str">
        <f>IF($A360="","",ROUND(N(M359)*(1+'Calc base'!I383),2)-M360)</f>
        <v/>
      </c>
      <c r="M360" s="75" t="str">
        <f>IF($A360="","",CHOOSE('Calc riepilogo'!$B$2,'Calc valanga'!AU383,'Calc palla di neve'!AU383,'Calc personalizzata'!AU383))</f>
        <v/>
      </c>
      <c r="N360" s="70" t="str">
        <f>IF($A360="","",ROUND(N(O359)*(1+'Calc base'!J383),2)-O360)</f>
        <v/>
      </c>
      <c r="O360" s="75" t="str">
        <f>IF($A360="","",CHOOSE('Calc riepilogo'!$B$2,'Calc valanga'!AV383,'Calc palla di neve'!AV383,'Calc personalizzata'!AV383))</f>
        <v/>
      </c>
      <c r="P360" s="70" t="str">
        <f>IF($A360="","",ROUND(N(Q359)*(1+'Calc base'!K383),2)-Q360)</f>
        <v/>
      </c>
      <c r="Q360" s="75" t="str">
        <f>IF($A360="","",CHOOSE('Calc riepilogo'!$B$2,'Calc valanga'!AW383,'Calc palla di neve'!AW383,'Calc personalizzata'!AW383))</f>
        <v/>
      </c>
      <c r="R360" s="70" t="str">
        <f>IF($A360="","",ROUND(N(S359)*(1+'Calc base'!L383),2)-S360)</f>
        <v/>
      </c>
      <c r="S360" s="75" t="str">
        <f>IF($A360="","",CHOOSE('Calc riepilogo'!$B$2,'Calc valanga'!AX383,'Calc palla di neve'!AX383,'Calc personalizzata'!AX383))</f>
        <v/>
      </c>
      <c r="T360" s="70" t="str">
        <f>IF($A360="","",ROUND(N(U359)*(1+'Calc base'!M383),2)-U360)</f>
        <v/>
      </c>
      <c r="U360" s="75" t="str">
        <f>IF($A360="","",CHOOSE('Calc riepilogo'!$B$2,'Calc valanga'!AY383,'Calc palla di neve'!AY383,'Calc personalizzata'!AY383))</f>
        <v/>
      </c>
      <c r="V360" s="70" t="str">
        <f>IF($A360="","",ROUND(N(W359)*(1+'Calc base'!N383),2)-W360)</f>
        <v/>
      </c>
      <c r="W360" s="75" t="str">
        <f>IF($A360="","",CHOOSE('Calc riepilogo'!$B$2,'Calc valanga'!AZ383,'Calc palla di neve'!AZ383,'Calc personalizzata'!AZ383))</f>
        <v/>
      </c>
      <c r="X360" s="70" t="str">
        <f>IF($A360="","",ROUND(N(Y359)*(1+'Calc base'!O383),2)-Y360)</f>
        <v/>
      </c>
      <c r="Y360" s="75" t="str">
        <f>IF($A360="","",CHOOSE('Calc riepilogo'!$B$2,'Calc valanga'!BA383,'Calc palla di neve'!BA383,'Calc personalizzata'!BA383))</f>
        <v/>
      </c>
      <c r="Z360" s="70" t="str">
        <f>IF($A360="","",ROUND(N(AA359)*(1+'Calc base'!P383),2)-AA360)</f>
        <v/>
      </c>
      <c r="AA360" s="75" t="str">
        <f>IF($A360="","",CHOOSE('Calc riepilogo'!$B$2,'Calc valanga'!BB383,'Calc palla di neve'!BB383,'Calc personalizzata'!BB383))</f>
        <v/>
      </c>
      <c r="AB360" s="70" t="str">
        <f>IF($A360="","",ROUND(N(AC359)*(1+'Calc base'!Q383),2)-AC360)</f>
        <v/>
      </c>
      <c r="AC360" s="75" t="str">
        <f>IF($A360="","",CHOOSE('Calc riepilogo'!$B$2,'Calc valanga'!BC383,'Calc palla di neve'!BC383,'Calc personalizzata'!BC383))</f>
        <v/>
      </c>
      <c r="AD360" s="70" t="str">
        <f>IF($A360="","",ROUND(N(AE359)*(1+'Calc base'!R383),2)-AE360)</f>
        <v/>
      </c>
      <c r="AE360" s="75" t="str">
        <f>IF($A360="","",CHOOSE('Calc riepilogo'!$B$2,'Calc valanga'!BD383,'Calc palla di neve'!BD383,'Calc personalizzata'!BD383))</f>
        <v/>
      </c>
      <c r="AF360" s="70" t="str">
        <f>IF($A360="","",ROUND(N(AG359)*(1+'Calc base'!S383),2)-AG360)</f>
        <v/>
      </c>
      <c r="AG360" s="75" t="str">
        <f>IF($A360="","",CHOOSE('Calc riepilogo'!$B$2,'Calc valanga'!BE383,'Calc palla di neve'!BE383,'Calc personalizzata'!BE383))</f>
        <v/>
      </c>
      <c r="AI360" t="n">
        <v>353</v>
      </c>
    </row>
    <row r="361">
      <c r="A361" s="68" t="str">
        <f>IF(354&gt;'Calc riepilogo'!$B$7,"",'Calc base'!$B384)</f>
        <v/>
      </c>
      <c r="B361" s="69" t="str">
        <f>IF($A361="","",'Calc base'!$C384)</f>
        <v/>
      </c>
      <c r="C361" s="69" t="str">
        <f>IF($A361="","",'Calc base'!$E384)</f>
        <v/>
      </c>
      <c r="D361" s="70" t="str">
        <f>IF($A361="","",J361+L361+N361+P361+R361+T361+V361+X361+Z361+AB361+AD361+AF361)</f>
        <v/>
      </c>
      <c r="E361" s="70" t="str">
        <f>IF($A361="","",CHOOSE('Calc riepilogo'!$B$2,'Calc valanga'!$H384,'Calc palla di neve'!$H384,'Calc personalizzata'!$H384))</f>
        <v/>
      </c>
      <c r="F361" s="71" t="str">
        <f>IF($A361="","",CHOOSE('Calc riepilogo'!$B$2,'Calc valanga'!$G384,'Calc palla di neve'!$G384,'Calc personalizzata'!$G384))</f>
        <v/>
      </c>
      <c r="G361" s="72" t="n"/>
      <c r="H361" s="73" t="n"/>
      <c r="I361" s="74" t="str">
        <f>IF($A361="","",TRIM(IF(AND(N(K360)&gt;0,N(K361)&lt;=0.004),"✓ "&amp;'Calc base'!C$6&amp;"   ","")&amp;IF(AND(N(M360)&gt;0,N(M361)&lt;=0.004),"✓ "&amp;'Calc base'!D$6&amp;"   ","")&amp;IF(AND(N(O360)&gt;0,N(O361)&lt;=0.004),"✓ "&amp;'Calc base'!E$6&amp;"   ","")&amp;IF(AND(N(Q360)&gt;0,N(Q361)&lt;=0.004),"✓ "&amp;'Calc base'!F$6&amp;"   ","")&amp;IF(AND(N(S360)&gt;0,N(S361)&lt;=0.004),"✓ "&amp;'Calc base'!G$6&amp;"   ","")&amp;IF(AND(N(U360)&gt;0,N(U361)&lt;=0.004),"✓ "&amp;'Calc base'!H$6&amp;"   ","")&amp;IF(AND(N(W360)&gt;0,N(W361)&lt;=0.004),"✓ "&amp;'Calc base'!I$6&amp;"   ","")&amp;IF(AND(N(Y360)&gt;0,N(Y361)&lt;=0.004),"✓ "&amp;'Calc base'!J$6&amp;"   ","")&amp;IF(AND(N(AA360)&gt;0,N(AA361)&lt;=0.004),"✓ "&amp;'Calc base'!K$6&amp;"   ","")&amp;IF(AND(N(AC360)&gt;0,N(AC361)&lt;=0.004),"✓ "&amp;'Calc base'!L$6&amp;"   ","")&amp;IF(AND(N(AE360)&gt;0,N(AE361)&lt;=0.004),"✓ "&amp;'Calc base'!M$6&amp;"   ","")&amp;IF(AND(N(AG360)&gt;0,N(AG361)&lt;=0.004),"✓ "&amp;'Calc base'!N$6&amp;"   ","")))</f>
        <v/>
      </c>
      <c r="J361" s="70" t="str">
        <f>IF($A361="","",ROUND(N(K360)*(1+'Calc base'!H384),2)-K361)</f>
        <v/>
      </c>
      <c r="K361" s="75" t="str">
        <f>IF($A361="","",CHOOSE('Calc riepilogo'!$B$2,'Calc valanga'!AT384,'Calc palla di neve'!AT384,'Calc personalizzata'!AT384))</f>
        <v/>
      </c>
      <c r="L361" s="70" t="str">
        <f>IF($A361="","",ROUND(N(M360)*(1+'Calc base'!I384),2)-M361)</f>
        <v/>
      </c>
      <c r="M361" s="75" t="str">
        <f>IF($A361="","",CHOOSE('Calc riepilogo'!$B$2,'Calc valanga'!AU384,'Calc palla di neve'!AU384,'Calc personalizzata'!AU384))</f>
        <v/>
      </c>
      <c r="N361" s="70" t="str">
        <f>IF($A361="","",ROUND(N(O360)*(1+'Calc base'!J384),2)-O361)</f>
        <v/>
      </c>
      <c r="O361" s="75" t="str">
        <f>IF($A361="","",CHOOSE('Calc riepilogo'!$B$2,'Calc valanga'!AV384,'Calc palla di neve'!AV384,'Calc personalizzata'!AV384))</f>
        <v/>
      </c>
      <c r="P361" s="70" t="str">
        <f>IF($A361="","",ROUND(N(Q360)*(1+'Calc base'!K384),2)-Q361)</f>
        <v/>
      </c>
      <c r="Q361" s="75" t="str">
        <f>IF($A361="","",CHOOSE('Calc riepilogo'!$B$2,'Calc valanga'!AW384,'Calc palla di neve'!AW384,'Calc personalizzata'!AW384))</f>
        <v/>
      </c>
      <c r="R361" s="70" t="str">
        <f>IF($A361="","",ROUND(N(S360)*(1+'Calc base'!L384),2)-S361)</f>
        <v/>
      </c>
      <c r="S361" s="75" t="str">
        <f>IF($A361="","",CHOOSE('Calc riepilogo'!$B$2,'Calc valanga'!AX384,'Calc palla di neve'!AX384,'Calc personalizzata'!AX384))</f>
        <v/>
      </c>
      <c r="T361" s="70" t="str">
        <f>IF($A361="","",ROUND(N(U360)*(1+'Calc base'!M384),2)-U361)</f>
        <v/>
      </c>
      <c r="U361" s="75" t="str">
        <f>IF($A361="","",CHOOSE('Calc riepilogo'!$B$2,'Calc valanga'!AY384,'Calc palla di neve'!AY384,'Calc personalizzata'!AY384))</f>
        <v/>
      </c>
      <c r="V361" s="70" t="str">
        <f>IF($A361="","",ROUND(N(W360)*(1+'Calc base'!N384),2)-W361)</f>
        <v/>
      </c>
      <c r="W361" s="75" t="str">
        <f>IF($A361="","",CHOOSE('Calc riepilogo'!$B$2,'Calc valanga'!AZ384,'Calc palla di neve'!AZ384,'Calc personalizzata'!AZ384))</f>
        <v/>
      </c>
      <c r="X361" s="70" t="str">
        <f>IF($A361="","",ROUND(N(Y360)*(1+'Calc base'!O384),2)-Y361)</f>
        <v/>
      </c>
      <c r="Y361" s="75" t="str">
        <f>IF($A361="","",CHOOSE('Calc riepilogo'!$B$2,'Calc valanga'!BA384,'Calc palla di neve'!BA384,'Calc personalizzata'!BA384))</f>
        <v/>
      </c>
      <c r="Z361" s="70" t="str">
        <f>IF($A361="","",ROUND(N(AA360)*(1+'Calc base'!P384),2)-AA361)</f>
        <v/>
      </c>
      <c r="AA361" s="75" t="str">
        <f>IF($A361="","",CHOOSE('Calc riepilogo'!$B$2,'Calc valanga'!BB384,'Calc palla di neve'!BB384,'Calc personalizzata'!BB384))</f>
        <v/>
      </c>
      <c r="AB361" s="70" t="str">
        <f>IF($A361="","",ROUND(N(AC360)*(1+'Calc base'!Q384),2)-AC361)</f>
        <v/>
      </c>
      <c r="AC361" s="75" t="str">
        <f>IF($A361="","",CHOOSE('Calc riepilogo'!$B$2,'Calc valanga'!BC384,'Calc palla di neve'!BC384,'Calc personalizzata'!BC384))</f>
        <v/>
      </c>
      <c r="AD361" s="70" t="str">
        <f>IF($A361="","",ROUND(N(AE360)*(1+'Calc base'!R384),2)-AE361)</f>
        <v/>
      </c>
      <c r="AE361" s="75" t="str">
        <f>IF($A361="","",CHOOSE('Calc riepilogo'!$B$2,'Calc valanga'!BD384,'Calc palla di neve'!BD384,'Calc personalizzata'!BD384))</f>
        <v/>
      </c>
      <c r="AF361" s="70" t="str">
        <f>IF($A361="","",ROUND(N(AG360)*(1+'Calc base'!S384),2)-AG361)</f>
        <v/>
      </c>
      <c r="AG361" s="75" t="str">
        <f>IF($A361="","",CHOOSE('Calc riepilogo'!$B$2,'Calc valanga'!BE384,'Calc palla di neve'!BE384,'Calc personalizzata'!BE384))</f>
        <v/>
      </c>
      <c r="AI361" t="n">
        <v>354</v>
      </c>
    </row>
    <row r="362">
      <c r="A362" s="68" t="str">
        <f>IF(355&gt;'Calc riepilogo'!$B$7,"",'Calc base'!$B385)</f>
        <v/>
      </c>
      <c r="B362" s="69" t="str">
        <f>IF($A362="","",'Calc base'!$C385)</f>
        <v/>
      </c>
      <c r="C362" s="69" t="str">
        <f>IF($A362="","",'Calc base'!$E385)</f>
        <v/>
      </c>
      <c r="D362" s="70" t="str">
        <f>IF($A362="","",J362+L362+N362+P362+R362+T362+V362+X362+Z362+AB362+AD362+AF362)</f>
        <v/>
      </c>
      <c r="E362" s="70" t="str">
        <f>IF($A362="","",CHOOSE('Calc riepilogo'!$B$2,'Calc valanga'!$H385,'Calc palla di neve'!$H385,'Calc personalizzata'!$H385))</f>
        <v/>
      </c>
      <c r="F362" s="71" t="str">
        <f>IF($A362="","",CHOOSE('Calc riepilogo'!$B$2,'Calc valanga'!$G385,'Calc palla di neve'!$G385,'Calc personalizzata'!$G385))</f>
        <v/>
      </c>
      <c r="G362" s="72" t="n"/>
      <c r="H362" s="73" t="n"/>
      <c r="I362" s="74" t="str">
        <f>IF($A362="","",TRIM(IF(AND(N(K361)&gt;0,N(K362)&lt;=0.004),"✓ "&amp;'Calc base'!C$6&amp;"   ","")&amp;IF(AND(N(M361)&gt;0,N(M362)&lt;=0.004),"✓ "&amp;'Calc base'!D$6&amp;"   ","")&amp;IF(AND(N(O361)&gt;0,N(O362)&lt;=0.004),"✓ "&amp;'Calc base'!E$6&amp;"   ","")&amp;IF(AND(N(Q361)&gt;0,N(Q362)&lt;=0.004),"✓ "&amp;'Calc base'!F$6&amp;"   ","")&amp;IF(AND(N(S361)&gt;0,N(S362)&lt;=0.004),"✓ "&amp;'Calc base'!G$6&amp;"   ","")&amp;IF(AND(N(U361)&gt;0,N(U362)&lt;=0.004),"✓ "&amp;'Calc base'!H$6&amp;"   ","")&amp;IF(AND(N(W361)&gt;0,N(W362)&lt;=0.004),"✓ "&amp;'Calc base'!I$6&amp;"   ","")&amp;IF(AND(N(Y361)&gt;0,N(Y362)&lt;=0.004),"✓ "&amp;'Calc base'!J$6&amp;"   ","")&amp;IF(AND(N(AA361)&gt;0,N(AA362)&lt;=0.004),"✓ "&amp;'Calc base'!K$6&amp;"   ","")&amp;IF(AND(N(AC361)&gt;0,N(AC362)&lt;=0.004),"✓ "&amp;'Calc base'!L$6&amp;"   ","")&amp;IF(AND(N(AE361)&gt;0,N(AE362)&lt;=0.004),"✓ "&amp;'Calc base'!M$6&amp;"   ","")&amp;IF(AND(N(AG361)&gt;0,N(AG362)&lt;=0.004),"✓ "&amp;'Calc base'!N$6&amp;"   ","")))</f>
        <v/>
      </c>
      <c r="J362" s="70" t="str">
        <f>IF($A362="","",ROUND(N(K361)*(1+'Calc base'!H385),2)-K362)</f>
        <v/>
      </c>
      <c r="K362" s="75" t="str">
        <f>IF($A362="","",CHOOSE('Calc riepilogo'!$B$2,'Calc valanga'!AT385,'Calc palla di neve'!AT385,'Calc personalizzata'!AT385))</f>
        <v/>
      </c>
      <c r="L362" s="70" t="str">
        <f>IF($A362="","",ROUND(N(M361)*(1+'Calc base'!I385),2)-M362)</f>
        <v/>
      </c>
      <c r="M362" s="75" t="str">
        <f>IF($A362="","",CHOOSE('Calc riepilogo'!$B$2,'Calc valanga'!AU385,'Calc palla di neve'!AU385,'Calc personalizzata'!AU385))</f>
        <v/>
      </c>
      <c r="N362" s="70" t="str">
        <f>IF($A362="","",ROUND(N(O361)*(1+'Calc base'!J385),2)-O362)</f>
        <v/>
      </c>
      <c r="O362" s="75" t="str">
        <f>IF($A362="","",CHOOSE('Calc riepilogo'!$B$2,'Calc valanga'!AV385,'Calc palla di neve'!AV385,'Calc personalizzata'!AV385))</f>
        <v/>
      </c>
      <c r="P362" s="70" t="str">
        <f>IF($A362="","",ROUND(N(Q361)*(1+'Calc base'!K385),2)-Q362)</f>
        <v/>
      </c>
      <c r="Q362" s="75" t="str">
        <f>IF($A362="","",CHOOSE('Calc riepilogo'!$B$2,'Calc valanga'!AW385,'Calc palla di neve'!AW385,'Calc personalizzata'!AW385))</f>
        <v/>
      </c>
      <c r="R362" s="70" t="str">
        <f>IF($A362="","",ROUND(N(S361)*(1+'Calc base'!L385),2)-S362)</f>
        <v/>
      </c>
      <c r="S362" s="75" t="str">
        <f>IF($A362="","",CHOOSE('Calc riepilogo'!$B$2,'Calc valanga'!AX385,'Calc palla di neve'!AX385,'Calc personalizzata'!AX385))</f>
        <v/>
      </c>
      <c r="T362" s="70" t="str">
        <f>IF($A362="","",ROUND(N(U361)*(1+'Calc base'!M385),2)-U362)</f>
        <v/>
      </c>
      <c r="U362" s="75" t="str">
        <f>IF($A362="","",CHOOSE('Calc riepilogo'!$B$2,'Calc valanga'!AY385,'Calc palla di neve'!AY385,'Calc personalizzata'!AY385))</f>
        <v/>
      </c>
      <c r="V362" s="70" t="str">
        <f>IF($A362="","",ROUND(N(W361)*(1+'Calc base'!N385),2)-W362)</f>
        <v/>
      </c>
      <c r="W362" s="75" t="str">
        <f>IF($A362="","",CHOOSE('Calc riepilogo'!$B$2,'Calc valanga'!AZ385,'Calc palla di neve'!AZ385,'Calc personalizzata'!AZ385))</f>
        <v/>
      </c>
      <c r="X362" s="70" t="str">
        <f>IF($A362="","",ROUND(N(Y361)*(1+'Calc base'!O385),2)-Y362)</f>
        <v/>
      </c>
      <c r="Y362" s="75" t="str">
        <f>IF($A362="","",CHOOSE('Calc riepilogo'!$B$2,'Calc valanga'!BA385,'Calc palla di neve'!BA385,'Calc personalizzata'!BA385))</f>
        <v/>
      </c>
      <c r="Z362" s="70" t="str">
        <f>IF($A362="","",ROUND(N(AA361)*(1+'Calc base'!P385),2)-AA362)</f>
        <v/>
      </c>
      <c r="AA362" s="75" t="str">
        <f>IF($A362="","",CHOOSE('Calc riepilogo'!$B$2,'Calc valanga'!BB385,'Calc palla di neve'!BB385,'Calc personalizzata'!BB385))</f>
        <v/>
      </c>
      <c r="AB362" s="70" t="str">
        <f>IF($A362="","",ROUND(N(AC361)*(1+'Calc base'!Q385),2)-AC362)</f>
        <v/>
      </c>
      <c r="AC362" s="75" t="str">
        <f>IF($A362="","",CHOOSE('Calc riepilogo'!$B$2,'Calc valanga'!BC385,'Calc palla di neve'!BC385,'Calc personalizzata'!BC385))</f>
        <v/>
      </c>
      <c r="AD362" s="70" t="str">
        <f>IF($A362="","",ROUND(N(AE361)*(1+'Calc base'!R385),2)-AE362)</f>
        <v/>
      </c>
      <c r="AE362" s="75" t="str">
        <f>IF($A362="","",CHOOSE('Calc riepilogo'!$B$2,'Calc valanga'!BD385,'Calc palla di neve'!BD385,'Calc personalizzata'!BD385))</f>
        <v/>
      </c>
      <c r="AF362" s="70" t="str">
        <f>IF($A362="","",ROUND(N(AG361)*(1+'Calc base'!S385),2)-AG362)</f>
        <v/>
      </c>
      <c r="AG362" s="75" t="str">
        <f>IF($A362="","",CHOOSE('Calc riepilogo'!$B$2,'Calc valanga'!BE385,'Calc palla di neve'!BE385,'Calc personalizzata'!BE385))</f>
        <v/>
      </c>
      <c r="AI362" t="n">
        <v>355</v>
      </c>
    </row>
    <row r="363">
      <c r="A363" s="68" t="str">
        <f>IF(356&gt;'Calc riepilogo'!$B$7,"",'Calc base'!$B386)</f>
        <v/>
      </c>
      <c r="B363" s="69" t="str">
        <f>IF($A363="","",'Calc base'!$C386)</f>
        <v/>
      </c>
      <c r="C363" s="69" t="str">
        <f>IF($A363="","",'Calc base'!$E386)</f>
        <v/>
      </c>
      <c r="D363" s="70" t="str">
        <f>IF($A363="","",J363+L363+N363+P363+R363+T363+V363+X363+Z363+AB363+AD363+AF363)</f>
        <v/>
      </c>
      <c r="E363" s="70" t="str">
        <f>IF($A363="","",CHOOSE('Calc riepilogo'!$B$2,'Calc valanga'!$H386,'Calc palla di neve'!$H386,'Calc personalizzata'!$H386))</f>
        <v/>
      </c>
      <c r="F363" s="71" t="str">
        <f>IF($A363="","",CHOOSE('Calc riepilogo'!$B$2,'Calc valanga'!$G386,'Calc palla di neve'!$G386,'Calc personalizzata'!$G386))</f>
        <v/>
      </c>
      <c r="G363" s="72" t="n"/>
      <c r="H363" s="73" t="n"/>
      <c r="I363" s="74" t="str">
        <f>IF($A363="","",TRIM(IF(AND(N(K362)&gt;0,N(K363)&lt;=0.004),"✓ "&amp;'Calc base'!C$6&amp;"   ","")&amp;IF(AND(N(M362)&gt;0,N(M363)&lt;=0.004),"✓ "&amp;'Calc base'!D$6&amp;"   ","")&amp;IF(AND(N(O362)&gt;0,N(O363)&lt;=0.004),"✓ "&amp;'Calc base'!E$6&amp;"   ","")&amp;IF(AND(N(Q362)&gt;0,N(Q363)&lt;=0.004),"✓ "&amp;'Calc base'!F$6&amp;"   ","")&amp;IF(AND(N(S362)&gt;0,N(S363)&lt;=0.004),"✓ "&amp;'Calc base'!G$6&amp;"   ","")&amp;IF(AND(N(U362)&gt;0,N(U363)&lt;=0.004),"✓ "&amp;'Calc base'!H$6&amp;"   ","")&amp;IF(AND(N(W362)&gt;0,N(W363)&lt;=0.004),"✓ "&amp;'Calc base'!I$6&amp;"   ","")&amp;IF(AND(N(Y362)&gt;0,N(Y363)&lt;=0.004),"✓ "&amp;'Calc base'!J$6&amp;"   ","")&amp;IF(AND(N(AA362)&gt;0,N(AA363)&lt;=0.004),"✓ "&amp;'Calc base'!K$6&amp;"   ","")&amp;IF(AND(N(AC362)&gt;0,N(AC363)&lt;=0.004),"✓ "&amp;'Calc base'!L$6&amp;"   ","")&amp;IF(AND(N(AE362)&gt;0,N(AE363)&lt;=0.004),"✓ "&amp;'Calc base'!M$6&amp;"   ","")&amp;IF(AND(N(AG362)&gt;0,N(AG363)&lt;=0.004),"✓ "&amp;'Calc base'!N$6&amp;"   ","")))</f>
        <v/>
      </c>
      <c r="J363" s="70" t="str">
        <f>IF($A363="","",ROUND(N(K362)*(1+'Calc base'!H386),2)-K363)</f>
        <v/>
      </c>
      <c r="K363" s="75" t="str">
        <f>IF($A363="","",CHOOSE('Calc riepilogo'!$B$2,'Calc valanga'!AT386,'Calc palla di neve'!AT386,'Calc personalizzata'!AT386))</f>
        <v/>
      </c>
      <c r="L363" s="70" t="str">
        <f>IF($A363="","",ROUND(N(M362)*(1+'Calc base'!I386),2)-M363)</f>
        <v/>
      </c>
      <c r="M363" s="75" t="str">
        <f>IF($A363="","",CHOOSE('Calc riepilogo'!$B$2,'Calc valanga'!AU386,'Calc palla di neve'!AU386,'Calc personalizzata'!AU386))</f>
        <v/>
      </c>
      <c r="N363" s="70" t="str">
        <f>IF($A363="","",ROUND(N(O362)*(1+'Calc base'!J386),2)-O363)</f>
        <v/>
      </c>
      <c r="O363" s="75" t="str">
        <f>IF($A363="","",CHOOSE('Calc riepilogo'!$B$2,'Calc valanga'!AV386,'Calc palla di neve'!AV386,'Calc personalizzata'!AV386))</f>
        <v/>
      </c>
      <c r="P363" s="70" t="str">
        <f>IF($A363="","",ROUND(N(Q362)*(1+'Calc base'!K386),2)-Q363)</f>
        <v/>
      </c>
      <c r="Q363" s="75" t="str">
        <f>IF($A363="","",CHOOSE('Calc riepilogo'!$B$2,'Calc valanga'!AW386,'Calc palla di neve'!AW386,'Calc personalizzata'!AW386))</f>
        <v/>
      </c>
      <c r="R363" s="70" t="str">
        <f>IF($A363="","",ROUND(N(S362)*(1+'Calc base'!L386),2)-S363)</f>
        <v/>
      </c>
      <c r="S363" s="75" t="str">
        <f>IF($A363="","",CHOOSE('Calc riepilogo'!$B$2,'Calc valanga'!AX386,'Calc palla di neve'!AX386,'Calc personalizzata'!AX386))</f>
        <v/>
      </c>
      <c r="T363" s="70" t="str">
        <f>IF($A363="","",ROUND(N(U362)*(1+'Calc base'!M386),2)-U363)</f>
        <v/>
      </c>
      <c r="U363" s="75" t="str">
        <f>IF($A363="","",CHOOSE('Calc riepilogo'!$B$2,'Calc valanga'!AY386,'Calc palla di neve'!AY386,'Calc personalizzata'!AY386))</f>
        <v/>
      </c>
      <c r="V363" s="70" t="str">
        <f>IF($A363="","",ROUND(N(W362)*(1+'Calc base'!N386),2)-W363)</f>
        <v/>
      </c>
      <c r="W363" s="75" t="str">
        <f>IF($A363="","",CHOOSE('Calc riepilogo'!$B$2,'Calc valanga'!AZ386,'Calc palla di neve'!AZ386,'Calc personalizzata'!AZ386))</f>
        <v/>
      </c>
      <c r="X363" s="70" t="str">
        <f>IF($A363="","",ROUND(N(Y362)*(1+'Calc base'!O386),2)-Y363)</f>
        <v/>
      </c>
      <c r="Y363" s="75" t="str">
        <f>IF($A363="","",CHOOSE('Calc riepilogo'!$B$2,'Calc valanga'!BA386,'Calc palla di neve'!BA386,'Calc personalizzata'!BA386))</f>
        <v/>
      </c>
      <c r="Z363" s="70" t="str">
        <f>IF($A363="","",ROUND(N(AA362)*(1+'Calc base'!P386),2)-AA363)</f>
        <v/>
      </c>
      <c r="AA363" s="75" t="str">
        <f>IF($A363="","",CHOOSE('Calc riepilogo'!$B$2,'Calc valanga'!BB386,'Calc palla di neve'!BB386,'Calc personalizzata'!BB386))</f>
        <v/>
      </c>
      <c r="AB363" s="70" t="str">
        <f>IF($A363="","",ROUND(N(AC362)*(1+'Calc base'!Q386),2)-AC363)</f>
        <v/>
      </c>
      <c r="AC363" s="75" t="str">
        <f>IF($A363="","",CHOOSE('Calc riepilogo'!$B$2,'Calc valanga'!BC386,'Calc palla di neve'!BC386,'Calc personalizzata'!BC386))</f>
        <v/>
      </c>
      <c r="AD363" s="70" t="str">
        <f>IF($A363="","",ROUND(N(AE362)*(1+'Calc base'!R386),2)-AE363)</f>
        <v/>
      </c>
      <c r="AE363" s="75" t="str">
        <f>IF($A363="","",CHOOSE('Calc riepilogo'!$B$2,'Calc valanga'!BD386,'Calc palla di neve'!BD386,'Calc personalizzata'!BD386))</f>
        <v/>
      </c>
      <c r="AF363" s="70" t="str">
        <f>IF($A363="","",ROUND(N(AG362)*(1+'Calc base'!S386),2)-AG363)</f>
        <v/>
      </c>
      <c r="AG363" s="75" t="str">
        <f>IF($A363="","",CHOOSE('Calc riepilogo'!$B$2,'Calc valanga'!BE386,'Calc palla di neve'!BE386,'Calc personalizzata'!BE386))</f>
        <v/>
      </c>
      <c r="AI363" t="n">
        <v>356</v>
      </c>
    </row>
    <row r="364">
      <c r="A364" s="68" t="str">
        <f>IF(357&gt;'Calc riepilogo'!$B$7,"",'Calc base'!$B387)</f>
        <v/>
      </c>
      <c r="B364" s="69" t="str">
        <f>IF($A364="","",'Calc base'!$C387)</f>
        <v/>
      </c>
      <c r="C364" s="69" t="str">
        <f>IF($A364="","",'Calc base'!$E387)</f>
        <v/>
      </c>
      <c r="D364" s="70" t="str">
        <f>IF($A364="","",J364+L364+N364+P364+R364+T364+V364+X364+Z364+AB364+AD364+AF364)</f>
        <v/>
      </c>
      <c r="E364" s="70" t="str">
        <f>IF($A364="","",CHOOSE('Calc riepilogo'!$B$2,'Calc valanga'!$H387,'Calc palla di neve'!$H387,'Calc personalizzata'!$H387))</f>
        <v/>
      </c>
      <c r="F364" s="71" t="str">
        <f>IF($A364="","",CHOOSE('Calc riepilogo'!$B$2,'Calc valanga'!$G387,'Calc palla di neve'!$G387,'Calc personalizzata'!$G387))</f>
        <v/>
      </c>
      <c r="G364" s="72" t="n"/>
      <c r="H364" s="73" t="n"/>
      <c r="I364" s="74" t="str">
        <f>IF($A364="","",TRIM(IF(AND(N(K363)&gt;0,N(K364)&lt;=0.004),"✓ "&amp;'Calc base'!C$6&amp;"   ","")&amp;IF(AND(N(M363)&gt;0,N(M364)&lt;=0.004),"✓ "&amp;'Calc base'!D$6&amp;"   ","")&amp;IF(AND(N(O363)&gt;0,N(O364)&lt;=0.004),"✓ "&amp;'Calc base'!E$6&amp;"   ","")&amp;IF(AND(N(Q363)&gt;0,N(Q364)&lt;=0.004),"✓ "&amp;'Calc base'!F$6&amp;"   ","")&amp;IF(AND(N(S363)&gt;0,N(S364)&lt;=0.004),"✓ "&amp;'Calc base'!G$6&amp;"   ","")&amp;IF(AND(N(U363)&gt;0,N(U364)&lt;=0.004),"✓ "&amp;'Calc base'!H$6&amp;"   ","")&amp;IF(AND(N(W363)&gt;0,N(W364)&lt;=0.004),"✓ "&amp;'Calc base'!I$6&amp;"   ","")&amp;IF(AND(N(Y363)&gt;0,N(Y364)&lt;=0.004),"✓ "&amp;'Calc base'!J$6&amp;"   ","")&amp;IF(AND(N(AA363)&gt;0,N(AA364)&lt;=0.004),"✓ "&amp;'Calc base'!K$6&amp;"   ","")&amp;IF(AND(N(AC363)&gt;0,N(AC364)&lt;=0.004),"✓ "&amp;'Calc base'!L$6&amp;"   ","")&amp;IF(AND(N(AE363)&gt;0,N(AE364)&lt;=0.004),"✓ "&amp;'Calc base'!M$6&amp;"   ","")&amp;IF(AND(N(AG363)&gt;0,N(AG364)&lt;=0.004),"✓ "&amp;'Calc base'!N$6&amp;"   ","")))</f>
        <v/>
      </c>
      <c r="J364" s="70" t="str">
        <f>IF($A364="","",ROUND(N(K363)*(1+'Calc base'!H387),2)-K364)</f>
        <v/>
      </c>
      <c r="K364" s="75" t="str">
        <f>IF($A364="","",CHOOSE('Calc riepilogo'!$B$2,'Calc valanga'!AT387,'Calc palla di neve'!AT387,'Calc personalizzata'!AT387))</f>
        <v/>
      </c>
      <c r="L364" s="70" t="str">
        <f>IF($A364="","",ROUND(N(M363)*(1+'Calc base'!I387),2)-M364)</f>
        <v/>
      </c>
      <c r="M364" s="75" t="str">
        <f>IF($A364="","",CHOOSE('Calc riepilogo'!$B$2,'Calc valanga'!AU387,'Calc palla di neve'!AU387,'Calc personalizzata'!AU387))</f>
        <v/>
      </c>
      <c r="N364" s="70" t="str">
        <f>IF($A364="","",ROUND(N(O363)*(1+'Calc base'!J387),2)-O364)</f>
        <v/>
      </c>
      <c r="O364" s="75" t="str">
        <f>IF($A364="","",CHOOSE('Calc riepilogo'!$B$2,'Calc valanga'!AV387,'Calc palla di neve'!AV387,'Calc personalizzata'!AV387))</f>
        <v/>
      </c>
      <c r="P364" s="70" t="str">
        <f>IF($A364="","",ROUND(N(Q363)*(1+'Calc base'!K387),2)-Q364)</f>
        <v/>
      </c>
      <c r="Q364" s="75" t="str">
        <f>IF($A364="","",CHOOSE('Calc riepilogo'!$B$2,'Calc valanga'!AW387,'Calc palla di neve'!AW387,'Calc personalizzata'!AW387))</f>
        <v/>
      </c>
      <c r="R364" s="70" t="str">
        <f>IF($A364="","",ROUND(N(S363)*(1+'Calc base'!L387),2)-S364)</f>
        <v/>
      </c>
      <c r="S364" s="75" t="str">
        <f>IF($A364="","",CHOOSE('Calc riepilogo'!$B$2,'Calc valanga'!AX387,'Calc palla di neve'!AX387,'Calc personalizzata'!AX387))</f>
        <v/>
      </c>
      <c r="T364" s="70" t="str">
        <f>IF($A364="","",ROUND(N(U363)*(1+'Calc base'!M387),2)-U364)</f>
        <v/>
      </c>
      <c r="U364" s="75" t="str">
        <f>IF($A364="","",CHOOSE('Calc riepilogo'!$B$2,'Calc valanga'!AY387,'Calc palla di neve'!AY387,'Calc personalizzata'!AY387))</f>
        <v/>
      </c>
      <c r="V364" s="70" t="str">
        <f>IF($A364="","",ROUND(N(W363)*(1+'Calc base'!N387),2)-W364)</f>
        <v/>
      </c>
      <c r="W364" s="75" t="str">
        <f>IF($A364="","",CHOOSE('Calc riepilogo'!$B$2,'Calc valanga'!AZ387,'Calc palla di neve'!AZ387,'Calc personalizzata'!AZ387))</f>
        <v/>
      </c>
      <c r="X364" s="70" t="str">
        <f>IF($A364="","",ROUND(N(Y363)*(1+'Calc base'!O387),2)-Y364)</f>
        <v/>
      </c>
      <c r="Y364" s="75" t="str">
        <f>IF($A364="","",CHOOSE('Calc riepilogo'!$B$2,'Calc valanga'!BA387,'Calc palla di neve'!BA387,'Calc personalizzata'!BA387))</f>
        <v/>
      </c>
      <c r="Z364" s="70" t="str">
        <f>IF($A364="","",ROUND(N(AA363)*(1+'Calc base'!P387),2)-AA364)</f>
        <v/>
      </c>
      <c r="AA364" s="75" t="str">
        <f>IF($A364="","",CHOOSE('Calc riepilogo'!$B$2,'Calc valanga'!BB387,'Calc palla di neve'!BB387,'Calc personalizzata'!BB387))</f>
        <v/>
      </c>
      <c r="AB364" s="70" t="str">
        <f>IF($A364="","",ROUND(N(AC363)*(1+'Calc base'!Q387),2)-AC364)</f>
        <v/>
      </c>
      <c r="AC364" s="75" t="str">
        <f>IF($A364="","",CHOOSE('Calc riepilogo'!$B$2,'Calc valanga'!BC387,'Calc palla di neve'!BC387,'Calc personalizzata'!BC387))</f>
        <v/>
      </c>
      <c r="AD364" s="70" t="str">
        <f>IF($A364="","",ROUND(N(AE363)*(1+'Calc base'!R387),2)-AE364)</f>
        <v/>
      </c>
      <c r="AE364" s="75" t="str">
        <f>IF($A364="","",CHOOSE('Calc riepilogo'!$B$2,'Calc valanga'!BD387,'Calc palla di neve'!BD387,'Calc personalizzata'!BD387))</f>
        <v/>
      </c>
      <c r="AF364" s="70" t="str">
        <f>IF($A364="","",ROUND(N(AG363)*(1+'Calc base'!S387),2)-AG364)</f>
        <v/>
      </c>
      <c r="AG364" s="75" t="str">
        <f>IF($A364="","",CHOOSE('Calc riepilogo'!$B$2,'Calc valanga'!BE387,'Calc palla di neve'!BE387,'Calc personalizzata'!BE387))</f>
        <v/>
      </c>
      <c r="AI364" t="n">
        <v>357</v>
      </c>
    </row>
    <row r="365">
      <c r="A365" s="68" t="str">
        <f>IF(358&gt;'Calc riepilogo'!$B$7,"",'Calc base'!$B388)</f>
        <v/>
      </c>
      <c r="B365" s="69" t="str">
        <f>IF($A365="","",'Calc base'!$C388)</f>
        <v/>
      </c>
      <c r="C365" s="69" t="str">
        <f>IF($A365="","",'Calc base'!$E388)</f>
        <v/>
      </c>
      <c r="D365" s="70" t="str">
        <f>IF($A365="","",J365+L365+N365+P365+R365+T365+V365+X365+Z365+AB365+AD365+AF365)</f>
        <v/>
      </c>
      <c r="E365" s="70" t="str">
        <f>IF($A365="","",CHOOSE('Calc riepilogo'!$B$2,'Calc valanga'!$H388,'Calc palla di neve'!$H388,'Calc personalizzata'!$H388))</f>
        <v/>
      </c>
      <c r="F365" s="71" t="str">
        <f>IF($A365="","",CHOOSE('Calc riepilogo'!$B$2,'Calc valanga'!$G388,'Calc palla di neve'!$G388,'Calc personalizzata'!$G388))</f>
        <v/>
      </c>
      <c r="G365" s="72" t="n"/>
      <c r="H365" s="73" t="n"/>
      <c r="I365" s="74" t="str">
        <f>IF($A365="","",TRIM(IF(AND(N(K364)&gt;0,N(K365)&lt;=0.004),"✓ "&amp;'Calc base'!C$6&amp;"   ","")&amp;IF(AND(N(M364)&gt;0,N(M365)&lt;=0.004),"✓ "&amp;'Calc base'!D$6&amp;"   ","")&amp;IF(AND(N(O364)&gt;0,N(O365)&lt;=0.004),"✓ "&amp;'Calc base'!E$6&amp;"   ","")&amp;IF(AND(N(Q364)&gt;0,N(Q365)&lt;=0.004),"✓ "&amp;'Calc base'!F$6&amp;"   ","")&amp;IF(AND(N(S364)&gt;0,N(S365)&lt;=0.004),"✓ "&amp;'Calc base'!G$6&amp;"   ","")&amp;IF(AND(N(U364)&gt;0,N(U365)&lt;=0.004),"✓ "&amp;'Calc base'!H$6&amp;"   ","")&amp;IF(AND(N(W364)&gt;0,N(W365)&lt;=0.004),"✓ "&amp;'Calc base'!I$6&amp;"   ","")&amp;IF(AND(N(Y364)&gt;0,N(Y365)&lt;=0.004),"✓ "&amp;'Calc base'!J$6&amp;"   ","")&amp;IF(AND(N(AA364)&gt;0,N(AA365)&lt;=0.004),"✓ "&amp;'Calc base'!K$6&amp;"   ","")&amp;IF(AND(N(AC364)&gt;0,N(AC365)&lt;=0.004),"✓ "&amp;'Calc base'!L$6&amp;"   ","")&amp;IF(AND(N(AE364)&gt;0,N(AE365)&lt;=0.004),"✓ "&amp;'Calc base'!M$6&amp;"   ","")&amp;IF(AND(N(AG364)&gt;0,N(AG365)&lt;=0.004),"✓ "&amp;'Calc base'!N$6&amp;"   ","")))</f>
        <v/>
      </c>
      <c r="J365" s="70" t="str">
        <f>IF($A365="","",ROUND(N(K364)*(1+'Calc base'!H388),2)-K365)</f>
        <v/>
      </c>
      <c r="K365" s="75" t="str">
        <f>IF($A365="","",CHOOSE('Calc riepilogo'!$B$2,'Calc valanga'!AT388,'Calc palla di neve'!AT388,'Calc personalizzata'!AT388))</f>
        <v/>
      </c>
      <c r="L365" s="70" t="str">
        <f>IF($A365="","",ROUND(N(M364)*(1+'Calc base'!I388),2)-M365)</f>
        <v/>
      </c>
      <c r="M365" s="75" t="str">
        <f>IF($A365="","",CHOOSE('Calc riepilogo'!$B$2,'Calc valanga'!AU388,'Calc palla di neve'!AU388,'Calc personalizzata'!AU388))</f>
        <v/>
      </c>
      <c r="N365" s="70" t="str">
        <f>IF($A365="","",ROUND(N(O364)*(1+'Calc base'!J388),2)-O365)</f>
        <v/>
      </c>
      <c r="O365" s="75" t="str">
        <f>IF($A365="","",CHOOSE('Calc riepilogo'!$B$2,'Calc valanga'!AV388,'Calc palla di neve'!AV388,'Calc personalizzata'!AV388))</f>
        <v/>
      </c>
      <c r="P365" s="70" t="str">
        <f>IF($A365="","",ROUND(N(Q364)*(1+'Calc base'!K388),2)-Q365)</f>
        <v/>
      </c>
      <c r="Q365" s="75" t="str">
        <f>IF($A365="","",CHOOSE('Calc riepilogo'!$B$2,'Calc valanga'!AW388,'Calc palla di neve'!AW388,'Calc personalizzata'!AW388))</f>
        <v/>
      </c>
      <c r="R365" s="70" t="str">
        <f>IF($A365="","",ROUND(N(S364)*(1+'Calc base'!L388),2)-S365)</f>
        <v/>
      </c>
      <c r="S365" s="75" t="str">
        <f>IF($A365="","",CHOOSE('Calc riepilogo'!$B$2,'Calc valanga'!AX388,'Calc palla di neve'!AX388,'Calc personalizzata'!AX388))</f>
        <v/>
      </c>
      <c r="T365" s="70" t="str">
        <f>IF($A365="","",ROUND(N(U364)*(1+'Calc base'!M388),2)-U365)</f>
        <v/>
      </c>
      <c r="U365" s="75" t="str">
        <f>IF($A365="","",CHOOSE('Calc riepilogo'!$B$2,'Calc valanga'!AY388,'Calc palla di neve'!AY388,'Calc personalizzata'!AY388))</f>
        <v/>
      </c>
      <c r="V365" s="70" t="str">
        <f>IF($A365="","",ROUND(N(W364)*(1+'Calc base'!N388),2)-W365)</f>
        <v/>
      </c>
      <c r="W365" s="75" t="str">
        <f>IF($A365="","",CHOOSE('Calc riepilogo'!$B$2,'Calc valanga'!AZ388,'Calc palla di neve'!AZ388,'Calc personalizzata'!AZ388))</f>
        <v/>
      </c>
      <c r="X365" s="70" t="str">
        <f>IF($A365="","",ROUND(N(Y364)*(1+'Calc base'!O388),2)-Y365)</f>
        <v/>
      </c>
      <c r="Y365" s="75" t="str">
        <f>IF($A365="","",CHOOSE('Calc riepilogo'!$B$2,'Calc valanga'!BA388,'Calc palla di neve'!BA388,'Calc personalizzata'!BA388))</f>
        <v/>
      </c>
      <c r="Z365" s="70" t="str">
        <f>IF($A365="","",ROUND(N(AA364)*(1+'Calc base'!P388),2)-AA365)</f>
        <v/>
      </c>
      <c r="AA365" s="75" t="str">
        <f>IF($A365="","",CHOOSE('Calc riepilogo'!$B$2,'Calc valanga'!BB388,'Calc palla di neve'!BB388,'Calc personalizzata'!BB388))</f>
        <v/>
      </c>
      <c r="AB365" s="70" t="str">
        <f>IF($A365="","",ROUND(N(AC364)*(1+'Calc base'!Q388),2)-AC365)</f>
        <v/>
      </c>
      <c r="AC365" s="75" t="str">
        <f>IF($A365="","",CHOOSE('Calc riepilogo'!$B$2,'Calc valanga'!BC388,'Calc palla di neve'!BC388,'Calc personalizzata'!BC388))</f>
        <v/>
      </c>
      <c r="AD365" s="70" t="str">
        <f>IF($A365="","",ROUND(N(AE364)*(1+'Calc base'!R388),2)-AE365)</f>
        <v/>
      </c>
      <c r="AE365" s="75" t="str">
        <f>IF($A365="","",CHOOSE('Calc riepilogo'!$B$2,'Calc valanga'!BD388,'Calc palla di neve'!BD388,'Calc personalizzata'!BD388))</f>
        <v/>
      </c>
      <c r="AF365" s="70" t="str">
        <f>IF($A365="","",ROUND(N(AG364)*(1+'Calc base'!S388),2)-AG365)</f>
        <v/>
      </c>
      <c r="AG365" s="75" t="str">
        <f>IF($A365="","",CHOOSE('Calc riepilogo'!$B$2,'Calc valanga'!BE388,'Calc palla di neve'!BE388,'Calc personalizzata'!BE388))</f>
        <v/>
      </c>
      <c r="AI365" t="n">
        <v>358</v>
      </c>
    </row>
    <row r="366">
      <c r="A366" s="68" t="str">
        <f>IF(359&gt;'Calc riepilogo'!$B$7,"",'Calc base'!$B389)</f>
        <v/>
      </c>
      <c r="B366" s="69" t="str">
        <f>IF($A366="","",'Calc base'!$C389)</f>
        <v/>
      </c>
      <c r="C366" s="69" t="str">
        <f>IF($A366="","",'Calc base'!$E389)</f>
        <v/>
      </c>
      <c r="D366" s="70" t="str">
        <f>IF($A366="","",J366+L366+N366+P366+R366+T366+V366+X366+Z366+AB366+AD366+AF366)</f>
        <v/>
      </c>
      <c r="E366" s="70" t="str">
        <f>IF($A366="","",CHOOSE('Calc riepilogo'!$B$2,'Calc valanga'!$H389,'Calc palla di neve'!$H389,'Calc personalizzata'!$H389))</f>
        <v/>
      </c>
      <c r="F366" s="71" t="str">
        <f>IF($A366="","",CHOOSE('Calc riepilogo'!$B$2,'Calc valanga'!$G389,'Calc palla di neve'!$G389,'Calc personalizzata'!$G389))</f>
        <v/>
      </c>
      <c r="G366" s="72" t="n"/>
      <c r="H366" s="73" t="n"/>
      <c r="I366" s="74" t="str">
        <f>IF($A366="","",TRIM(IF(AND(N(K365)&gt;0,N(K366)&lt;=0.004),"✓ "&amp;'Calc base'!C$6&amp;"   ","")&amp;IF(AND(N(M365)&gt;0,N(M366)&lt;=0.004),"✓ "&amp;'Calc base'!D$6&amp;"   ","")&amp;IF(AND(N(O365)&gt;0,N(O366)&lt;=0.004),"✓ "&amp;'Calc base'!E$6&amp;"   ","")&amp;IF(AND(N(Q365)&gt;0,N(Q366)&lt;=0.004),"✓ "&amp;'Calc base'!F$6&amp;"   ","")&amp;IF(AND(N(S365)&gt;0,N(S366)&lt;=0.004),"✓ "&amp;'Calc base'!G$6&amp;"   ","")&amp;IF(AND(N(U365)&gt;0,N(U366)&lt;=0.004),"✓ "&amp;'Calc base'!H$6&amp;"   ","")&amp;IF(AND(N(W365)&gt;0,N(W366)&lt;=0.004),"✓ "&amp;'Calc base'!I$6&amp;"   ","")&amp;IF(AND(N(Y365)&gt;0,N(Y366)&lt;=0.004),"✓ "&amp;'Calc base'!J$6&amp;"   ","")&amp;IF(AND(N(AA365)&gt;0,N(AA366)&lt;=0.004),"✓ "&amp;'Calc base'!K$6&amp;"   ","")&amp;IF(AND(N(AC365)&gt;0,N(AC366)&lt;=0.004),"✓ "&amp;'Calc base'!L$6&amp;"   ","")&amp;IF(AND(N(AE365)&gt;0,N(AE366)&lt;=0.004),"✓ "&amp;'Calc base'!M$6&amp;"   ","")&amp;IF(AND(N(AG365)&gt;0,N(AG366)&lt;=0.004),"✓ "&amp;'Calc base'!N$6&amp;"   ","")))</f>
        <v/>
      </c>
      <c r="J366" s="70" t="str">
        <f>IF($A366="","",ROUND(N(K365)*(1+'Calc base'!H389),2)-K366)</f>
        <v/>
      </c>
      <c r="K366" s="75" t="str">
        <f>IF($A366="","",CHOOSE('Calc riepilogo'!$B$2,'Calc valanga'!AT389,'Calc palla di neve'!AT389,'Calc personalizzata'!AT389))</f>
        <v/>
      </c>
      <c r="L366" s="70" t="str">
        <f>IF($A366="","",ROUND(N(M365)*(1+'Calc base'!I389),2)-M366)</f>
        <v/>
      </c>
      <c r="M366" s="75" t="str">
        <f>IF($A366="","",CHOOSE('Calc riepilogo'!$B$2,'Calc valanga'!AU389,'Calc palla di neve'!AU389,'Calc personalizzata'!AU389))</f>
        <v/>
      </c>
      <c r="N366" s="70" t="str">
        <f>IF($A366="","",ROUND(N(O365)*(1+'Calc base'!J389),2)-O366)</f>
        <v/>
      </c>
      <c r="O366" s="75" t="str">
        <f>IF($A366="","",CHOOSE('Calc riepilogo'!$B$2,'Calc valanga'!AV389,'Calc palla di neve'!AV389,'Calc personalizzata'!AV389))</f>
        <v/>
      </c>
      <c r="P366" s="70" t="str">
        <f>IF($A366="","",ROUND(N(Q365)*(1+'Calc base'!K389),2)-Q366)</f>
        <v/>
      </c>
      <c r="Q366" s="75" t="str">
        <f>IF($A366="","",CHOOSE('Calc riepilogo'!$B$2,'Calc valanga'!AW389,'Calc palla di neve'!AW389,'Calc personalizzata'!AW389))</f>
        <v/>
      </c>
      <c r="R366" s="70" t="str">
        <f>IF($A366="","",ROUND(N(S365)*(1+'Calc base'!L389),2)-S366)</f>
        <v/>
      </c>
      <c r="S366" s="75" t="str">
        <f>IF($A366="","",CHOOSE('Calc riepilogo'!$B$2,'Calc valanga'!AX389,'Calc palla di neve'!AX389,'Calc personalizzata'!AX389))</f>
        <v/>
      </c>
      <c r="T366" s="70" t="str">
        <f>IF($A366="","",ROUND(N(U365)*(1+'Calc base'!M389),2)-U366)</f>
        <v/>
      </c>
      <c r="U366" s="75" t="str">
        <f>IF($A366="","",CHOOSE('Calc riepilogo'!$B$2,'Calc valanga'!AY389,'Calc palla di neve'!AY389,'Calc personalizzata'!AY389))</f>
        <v/>
      </c>
      <c r="V366" s="70" t="str">
        <f>IF($A366="","",ROUND(N(W365)*(1+'Calc base'!N389),2)-W366)</f>
        <v/>
      </c>
      <c r="W366" s="75" t="str">
        <f>IF($A366="","",CHOOSE('Calc riepilogo'!$B$2,'Calc valanga'!AZ389,'Calc palla di neve'!AZ389,'Calc personalizzata'!AZ389))</f>
        <v/>
      </c>
      <c r="X366" s="70" t="str">
        <f>IF($A366="","",ROUND(N(Y365)*(1+'Calc base'!O389),2)-Y366)</f>
        <v/>
      </c>
      <c r="Y366" s="75" t="str">
        <f>IF($A366="","",CHOOSE('Calc riepilogo'!$B$2,'Calc valanga'!BA389,'Calc palla di neve'!BA389,'Calc personalizzata'!BA389))</f>
        <v/>
      </c>
      <c r="Z366" s="70" t="str">
        <f>IF($A366="","",ROUND(N(AA365)*(1+'Calc base'!P389),2)-AA366)</f>
        <v/>
      </c>
      <c r="AA366" s="75" t="str">
        <f>IF($A366="","",CHOOSE('Calc riepilogo'!$B$2,'Calc valanga'!BB389,'Calc palla di neve'!BB389,'Calc personalizzata'!BB389))</f>
        <v/>
      </c>
      <c r="AB366" s="70" t="str">
        <f>IF($A366="","",ROUND(N(AC365)*(1+'Calc base'!Q389),2)-AC366)</f>
        <v/>
      </c>
      <c r="AC366" s="75" t="str">
        <f>IF($A366="","",CHOOSE('Calc riepilogo'!$B$2,'Calc valanga'!BC389,'Calc palla di neve'!BC389,'Calc personalizzata'!BC389))</f>
        <v/>
      </c>
      <c r="AD366" s="70" t="str">
        <f>IF($A366="","",ROUND(N(AE365)*(1+'Calc base'!R389),2)-AE366)</f>
        <v/>
      </c>
      <c r="AE366" s="75" t="str">
        <f>IF($A366="","",CHOOSE('Calc riepilogo'!$B$2,'Calc valanga'!BD389,'Calc palla di neve'!BD389,'Calc personalizzata'!BD389))</f>
        <v/>
      </c>
      <c r="AF366" s="70" t="str">
        <f>IF($A366="","",ROUND(N(AG365)*(1+'Calc base'!S389),2)-AG366)</f>
        <v/>
      </c>
      <c r="AG366" s="75" t="str">
        <f>IF($A366="","",CHOOSE('Calc riepilogo'!$B$2,'Calc valanga'!BE389,'Calc palla di neve'!BE389,'Calc personalizzata'!BE389))</f>
        <v/>
      </c>
      <c r="AI366" t="n">
        <v>359</v>
      </c>
    </row>
    <row r="367">
      <c r="A367" s="68" t="str">
        <f>IF(360&gt;'Calc riepilogo'!$B$7,"",'Calc base'!$B390)</f>
        <v/>
      </c>
      <c r="B367" s="69" t="str">
        <f>IF($A367="","",'Calc base'!$C390)</f>
        <v/>
      </c>
      <c r="C367" s="69" t="str">
        <f>IF($A367="","",'Calc base'!$E390)</f>
        <v/>
      </c>
      <c r="D367" s="70" t="str">
        <f>IF($A367="","",J367+L367+N367+P367+R367+T367+V367+X367+Z367+AB367+AD367+AF367)</f>
        <v/>
      </c>
      <c r="E367" s="70" t="str">
        <f>IF($A367="","",CHOOSE('Calc riepilogo'!$B$2,'Calc valanga'!$H390,'Calc palla di neve'!$H390,'Calc personalizzata'!$H390))</f>
        <v/>
      </c>
      <c r="F367" s="71" t="str">
        <f>IF($A367="","",CHOOSE('Calc riepilogo'!$B$2,'Calc valanga'!$G390,'Calc palla di neve'!$G390,'Calc personalizzata'!$G390))</f>
        <v/>
      </c>
      <c r="G367" s="72" t="n"/>
      <c r="H367" s="73" t="n"/>
      <c r="I367" s="74" t="str">
        <f>IF($A367="","",TRIM(IF(AND(N(K366)&gt;0,N(K367)&lt;=0.004),"✓ "&amp;'Calc base'!C$6&amp;"   ","")&amp;IF(AND(N(M366)&gt;0,N(M367)&lt;=0.004),"✓ "&amp;'Calc base'!D$6&amp;"   ","")&amp;IF(AND(N(O366)&gt;0,N(O367)&lt;=0.004),"✓ "&amp;'Calc base'!E$6&amp;"   ","")&amp;IF(AND(N(Q366)&gt;0,N(Q367)&lt;=0.004),"✓ "&amp;'Calc base'!F$6&amp;"   ","")&amp;IF(AND(N(S366)&gt;0,N(S367)&lt;=0.004),"✓ "&amp;'Calc base'!G$6&amp;"   ","")&amp;IF(AND(N(U366)&gt;0,N(U367)&lt;=0.004),"✓ "&amp;'Calc base'!H$6&amp;"   ","")&amp;IF(AND(N(W366)&gt;0,N(W367)&lt;=0.004),"✓ "&amp;'Calc base'!I$6&amp;"   ","")&amp;IF(AND(N(Y366)&gt;0,N(Y367)&lt;=0.004),"✓ "&amp;'Calc base'!J$6&amp;"   ","")&amp;IF(AND(N(AA366)&gt;0,N(AA367)&lt;=0.004),"✓ "&amp;'Calc base'!K$6&amp;"   ","")&amp;IF(AND(N(AC366)&gt;0,N(AC367)&lt;=0.004),"✓ "&amp;'Calc base'!L$6&amp;"   ","")&amp;IF(AND(N(AE366)&gt;0,N(AE367)&lt;=0.004),"✓ "&amp;'Calc base'!M$6&amp;"   ","")&amp;IF(AND(N(AG366)&gt;0,N(AG367)&lt;=0.004),"✓ "&amp;'Calc base'!N$6&amp;"   ","")))</f>
        <v/>
      </c>
      <c r="J367" s="70" t="str">
        <f>IF($A367="","",ROUND(N(K366)*(1+'Calc base'!H390),2)-K367)</f>
        <v/>
      </c>
      <c r="K367" s="75" t="str">
        <f>IF($A367="","",CHOOSE('Calc riepilogo'!$B$2,'Calc valanga'!AT390,'Calc palla di neve'!AT390,'Calc personalizzata'!AT390))</f>
        <v/>
      </c>
      <c r="L367" s="70" t="str">
        <f>IF($A367="","",ROUND(N(M366)*(1+'Calc base'!I390),2)-M367)</f>
        <v/>
      </c>
      <c r="M367" s="75" t="str">
        <f>IF($A367="","",CHOOSE('Calc riepilogo'!$B$2,'Calc valanga'!AU390,'Calc palla di neve'!AU390,'Calc personalizzata'!AU390))</f>
        <v/>
      </c>
      <c r="N367" s="70" t="str">
        <f>IF($A367="","",ROUND(N(O366)*(1+'Calc base'!J390),2)-O367)</f>
        <v/>
      </c>
      <c r="O367" s="75" t="str">
        <f>IF($A367="","",CHOOSE('Calc riepilogo'!$B$2,'Calc valanga'!AV390,'Calc palla di neve'!AV390,'Calc personalizzata'!AV390))</f>
        <v/>
      </c>
      <c r="P367" s="70" t="str">
        <f>IF($A367="","",ROUND(N(Q366)*(1+'Calc base'!K390),2)-Q367)</f>
        <v/>
      </c>
      <c r="Q367" s="75" t="str">
        <f>IF($A367="","",CHOOSE('Calc riepilogo'!$B$2,'Calc valanga'!AW390,'Calc palla di neve'!AW390,'Calc personalizzata'!AW390))</f>
        <v/>
      </c>
      <c r="R367" s="70" t="str">
        <f>IF($A367="","",ROUND(N(S366)*(1+'Calc base'!L390),2)-S367)</f>
        <v/>
      </c>
      <c r="S367" s="75" t="str">
        <f>IF($A367="","",CHOOSE('Calc riepilogo'!$B$2,'Calc valanga'!AX390,'Calc palla di neve'!AX390,'Calc personalizzata'!AX390))</f>
        <v/>
      </c>
      <c r="T367" s="70" t="str">
        <f>IF($A367="","",ROUND(N(U366)*(1+'Calc base'!M390),2)-U367)</f>
        <v/>
      </c>
      <c r="U367" s="75" t="str">
        <f>IF($A367="","",CHOOSE('Calc riepilogo'!$B$2,'Calc valanga'!AY390,'Calc palla di neve'!AY390,'Calc personalizzata'!AY390))</f>
        <v/>
      </c>
      <c r="V367" s="70" t="str">
        <f>IF($A367="","",ROUND(N(W366)*(1+'Calc base'!N390),2)-W367)</f>
        <v/>
      </c>
      <c r="W367" s="75" t="str">
        <f>IF($A367="","",CHOOSE('Calc riepilogo'!$B$2,'Calc valanga'!AZ390,'Calc palla di neve'!AZ390,'Calc personalizzata'!AZ390))</f>
        <v/>
      </c>
      <c r="X367" s="70" t="str">
        <f>IF($A367="","",ROUND(N(Y366)*(1+'Calc base'!O390),2)-Y367)</f>
        <v/>
      </c>
      <c r="Y367" s="75" t="str">
        <f>IF($A367="","",CHOOSE('Calc riepilogo'!$B$2,'Calc valanga'!BA390,'Calc palla di neve'!BA390,'Calc personalizzata'!BA390))</f>
        <v/>
      </c>
      <c r="Z367" s="70" t="str">
        <f>IF($A367="","",ROUND(N(AA366)*(1+'Calc base'!P390),2)-AA367)</f>
        <v/>
      </c>
      <c r="AA367" s="75" t="str">
        <f>IF($A367="","",CHOOSE('Calc riepilogo'!$B$2,'Calc valanga'!BB390,'Calc palla di neve'!BB390,'Calc personalizzata'!BB390))</f>
        <v/>
      </c>
      <c r="AB367" s="70" t="str">
        <f>IF($A367="","",ROUND(N(AC366)*(1+'Calc base'!Q390),2)-AC367)</f>
        <v/>
      </c>
      <c r="AC367" s="75" t="str">
        <f>IF($A367="","",CHOOSE('Calc riepilogo'!$B$2,'Calc valanga'!BC390,'Calc palla di neve'!BC390,'Calc personalizzata'!BC390))</f>
        <v/>
      </c>
      <c r="AD367" s="70" t="str">
        <f>IF($A367="","",ROUND(N(AE366)*(1+'Calc base'!R390),2)-AE367)</f>
        <v/>
      </c>
      <c r="AE367" s="75" t="str">
        <f>IF($A367="","",CHOOSE('Calc riepilogo'!$B$2,'Calc valanga'!BD390,'Calc palla di neve'!BD390,'Calc personalizzata'!BD390))</f>
        <v/>
      </c>
      <c r="AF367" s="70" t="str">
        <f>IF($A367="","",ROUND(N(AG366)*(1+'Calc base'!S390),2)-AG367)</f>
        <v/>
      </c>
      <c r="AG367" s="75" t="str">
        <f>IF($A367="","",CHOOSE('Calc riepilogo'!$B$2,'Calc valanga'!BE390,'Calc palla di neve'!BE390,'Calc personalizzata'!BE390))</f>
        <v/>
      </c>
      <c r="AI367" t="n">
        <v>360</v>
      </c>
    </row>
  </sheetData>
  <mergeCells count="15">
    <mergeCell ref="V6:W6"/>
    <mergeCell ref="Z6:AA6"/>
    <mergeCell ref="X6:Y6"/>
    <mergeCell ref="L6:M6"/>
    <mergeCell ref="J6:K6"/>
    <mergeCell ref="P6:Q6"/>
    <mergeCell ref="N6:O6"/>
    <mergeCell ref="T6:U6"/>
    <mergeCell ref="R6:S6"/>
    <mergeCell ref="AB6:AC6"/>
    <mergeCell ref="AD6:AE6"/>
    <mergeCell ref="A6:F6"/>
    <mergeCell ref="B5:I5"/>
    <mergeCell ref="AF6:AG6"/>
    <mergeCell ref="G6:H6"/>
  </mergeCells>
  <conditionalFormatting sqref="A8:F367 I8:AG367">
    <cfRule type="expression" priority="1" dxfId="2">
      <formula>$I8&lt;&gt;""</formula>
    </cfRule>
  </conditionalFormatting>
  <conditionalFormatting sqref="A8:AG367">
    <cfRule type="expression" priority="2" dxfId="3">
      <formula>$G8="✓"</formula>
    </cfRule>
  </conditionalFormatting>
  <conditionalFormatting sqref="H8:H367">
    <cfRule type="expression" priority="3" dxfId="4">
      <formula>AND(ISNUMBER(H8),ISNUMBER(F8),H8&gt;F8+0.5)</formula>
    </cfRule>
    <cfRule type="expression" priority="4" dxfId="5">
      <formula>AND(ISNUMBER(H8),ISNUMBER(F8),H8&lt;=F8+0.5)</formula>
    </cfRule>
  </conditionalFormatting>
  <dataValidations count="2">
    <dataValidation sqref="G8:G367" showDropDown="0" showInputMessage="0" showErrorMessage="1" allowBlank="1" errorTitle="Solo ✓" error="Scegli ✓ dal menu per segnare il mese come fatto." type="list">
      <formula1>"✓"</formula1>
    </dataValidation>
    <dataValidation sqref="H8:H367" showDropDown="0" showInputMessage="0" showErrorMessage="1" allowBlank="1" errorTitle="Importo non valido" error="Scrivi quanto devi davvero in tutto, in euro." type="decimal" operator="greaterThanOrEqual">
      <formula1>0</formula1>
    </dataValidation>
  </dataValidations>
  <hyperlinks>
    <hyperlink ref="A3" location="'Riepilogo'!A1" display="← Torna al Riepilogo"/>
  </hyperlink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tabColor rgb="00B9C2D1"/>
    <outlinePr summaryBelow="1" summaryRight="1"/>
    <pageSetUpPr/>
  </sheetPr>
  <dimension ref="A1:Q24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3" customWidth="1" min="3" max="3"/>
    <col width="9" customWidth="1" min="4" max="4"/>
    <col width="11" customWidth="1" min="5" max="5"/>
    <col width="12" customWidth="1" min="6" max="6"/>
    <col width="10" customWidth="1" min="7" max="7"/>
    <col width="14" customWidth="1" min="8" max="8"/>
    <col width="13" customWidth="1" min="9" max="9"/>
    <col width="9" customWidth="1" min="10" max="10"/>
    <col width="36" customWidth="1" min="11" max="11"/>
    <col width="11" customWidth="1" min="12" max="12"/>
    <col width="11" customWidth="1" min="13" max="13"/>
    <col width="34" customWidth="1" min="14" max="14"/>
    <col width="10" customWidth="1" min="15" max="15"/>
    <col width="12" customWidth="1" min="16" max="16"/>
    <col width="12" customWidth="1" min="17" max="17"/>
  </cols>
  <sheetData>
    <row r="1">
      <c r="A1" s="58" t="inlineStr">
        <is>
          <t>Debiti</t>
        </is>
      </c>
    </row>
    <row r="2">
      <c r="A2" s="59" t="inlineStr">
        <is>
          <t>Un debito per riga: quanto devi oggi, il tasso (TAN) e la rata minima. Le colonne grigie si calcolano da sole.</t>
        </is>
      </c>
    </row>
    <row r="3">
      <c r="A3" s="60" t="inlineStr">
        <is>
          <t>← Torna al Riepilogo</t>
        </is>
      </c>
      <c r="D3" s="76" t="inlineStr">
        <is>
          <t>I debiti di Sara sono un esempio inventato: cancellali (colonne da A a K) prima di iniziare.</t>
        </is>
      </c>
    </row>
    <row r="4">
      <c r="A4" s="63" t="inlineStr">
        <is>
          <t>Da compilare</t>
        </is>
      </c>
      <c r="B4" s="62" t="inlineStr">
        <is>
          <t>← le celle gialle sono le uniche da personalizzare; tutte le altre si calcolano da sole.</t>
        </is>
      </c>
    </row>
    <row r="5">
      <c r="A5" s="64" t="inlineStr">
        <is>
          <t>I TUOI DATI</t>
        </is>
      </c>
      <c r="L5" s="64" t="inlineStr">
        <is>
          <t>SI CALCOLANO DA SOLI</t>
        </is>
      </c>
    </row>
    <row r="6" ht="44" customHeight="1">
      <c r="A6" s="66" t="inlineStr">
        <is>
          <t>Debito</t>
        </is>
      </c>
      <c r="B6" s="67" t="inlineStr">
        <is>
          <t>Tipo</t>
        </is>
      </c>
      <c r="C6" s="67" t="inlineStr">
        <is>
          <t>Debito residuo oggi</t>
        </is>
      </c>
      <c r="D6" s="67" t="inlineStr">
        <is>
          <t>TAN annuo</t>
        </is>
      </c>
      <c r="E6" s="67" t="inlineStr">
        <is>
          <t>Rata minima (€)</t>
        </is>
      </c>
      <c r="F6" s="67" t="inlineStr">
        <is>
          <t>Rata minima (% del debito)</t>
        </is>
      </c>
      <c r="G6" s="67" t="inlineStr">
        <is>
          <t>Riceve gli extra?</t>
        </is>
      </c>
      <c r="H6" s="67" t="inlineStr">
        <is>
          <t>Priorità (strategia Personalizzata)</t>
        </is>
      </c>
      <c r="I6" s="67" t="inlineStr">
        <is>
          <t>Cambio di tasso dal mese</t>
        </is>
      </c>
      <c r="J6" s="67" t="inlineStr">
        <is>
          <t>Nuovo TAN</t>
        </is>
      </c>
      <c r="K6" s="67" t="inlineStr">
        <is>
          <t>Note</t>
        </is>
      </c>
      <c r="L6" s="77" t="inlineStr">
        <is>
          <t>Interessi del 1° mese</t>
        </is>
      </c>
      <c r="M6" s="77" t="inlineStr">
        <is>
          <t>Rata del 1° mese</t>
        </is>
      </c>
      <c r="N6" s="77" t="inlineStr">
        <is>
          <t>Controllo</t>
        </is>
      </c>
      <c r="O6" s="77" t="inlineStr">
        <is>
          <t>Ordine di chiusura</t>
        </is>
      </c>
      <c r="P6" s="77" t="inlineStr">
        <is>
          <t>Chiuso a</t>
        </is>
      </c>
      <c r="Q6" s="77" t="inlineStr">
        <is>
          <t>Interessi totali</t>
        </is>
      </c>
    </row>
    <row r="7">
      <c r="A7" s="78" t="inlineStr">
        <is>
          <t>Carta revolving</t>
        </is>
      </c>
      <c r="B7" s="78" t="inlineStr">
        <is>
          <t>Carta revolving</t>
        </is>
      </c>
      <c r="C7" s="79" t="n">
        <v>2400</v>
      </c>
      <c r="D7" s="80" t="n">
        <v>0.189</v>
      </c>
      <c r="E7" s="79" t="n">
        <v>30</v>
      </c>
      <c r="F7" s="80" t="n">
        <v>0.03</v>
      </c>
      <c r="G7" s="81" t="inlineStr">
        <is>
          <t>Sì</t>
        </is>
      </c>
      <c r="H7" s="82" t="n">
        <v>2</v>
      </c>
      <c r="I7" s="83" t="n"/>
      <c r="J7" s="80" t="n"/>
      <c r="K7" s="84" t="inlineStr">
        <is>
          <t>Rata minima: il 3% del debito, almeno 30 €</t>
        </is>
      </c>
      <c r="L7" s="85">
        <f>IF(OR(A7="",N(C7)&lt;=0),"",ROUND(N(C7)*N(D7)/12,2))</f>
        <v>37.8</v>
      </c>
      <c r="M7" s="85">
        <f>IF(L7="","",IF(ROUND(N(C7)*(1+N(D7)/12),2)-MAX(N(E7),ROUND(N(F7)*N(C7),2))&lt;1,ROUND(N(C7)*(1+N(D7)/12),2),MAX(N(E7),ROUND(N(F7)*N(C7),2))))</f>
        <v>72</v>
      </c>
      <c r="N7" s="86" t="str">
        <f>IF(A7="","",IF(N(C7)&lt;=0,"Manca il debito residuo",IF(AND(N(E7)=0,N(F7)=0),IF(G7="No","⚠ Senza rata e senza extra: non si chiude","Senza rata: si chiude con gli extra"),IF(M7&lt;=L7,"⚠ La rata non copre gli interessi","✓ OK"))))</f>
        <v>✓ OK</v>
      </c>
      <c r="O7" s="87">
        <f>'Calc riepilogo'!I24</f>
        <v>2</v>
      </c>
      <c r="P7" s="88">
        <f>'Calc riepilogo'!D24</f>
        <v>46600.0</v>
      </c>
      <c r="Q7" s="89">
        <f>'Calc riepilogo'!E24</f>
        <v>198.32</v>
      </c>
    </row>
    <row r="8">
      <c r="A8" s="78" t="inlineStr">
        <is>
          <t>Carta del negozio</t>
        </is>
      </c>
      <c r="B8" s="78" t="inlineStr">
        <is>
          <t>Carta di credito</t>
        </is>
      </c>
      <c r="C8" s="79" t="n">
        <v>850</v>
      </c>
      <c r="D8" s="80" t="n">
        <v>0</v>
      </c>
      <c r="E8" s="79" t="n">
        <v>25</v>
      </c>
      <c r="F8" s="80" t="n">
        <v>0.04</v>
      </c>
      <c r="G8" s="81" t="inlineStr">
        <is>
          <t>Sì</t>
        </is>
      </c>
      <c r="H8" s="82" t="n">
        <v>1</v>
      </c>
      <c r="I8" s="83" t="n">
        <v>46478</v>
      </c>
      <c r="J8" s="80" t="n">
        <v>0.219</v>
      </c>
      <c r="K8" s="84" t="inlineStr">
        <is>
          <t>Tasso zero fino a marzo 2027, poi 21,9%</t>
        </is>
      </c>
      <c r="L8" s="85">
        <f>IF(OR(A8="",N(C8)&lt;=0),"",ROUND(N(C8)*N(D8)/12,2))</f>
        <v>0</v>
      </c>
      <c r="M8" s="85">
        <f>IF(L8="","",IF(ROUND(N(C8)*(1+N(D8)/12),2)-MAX(N(E8),ROUND(N(F8)*N(C8),2))&lt;1,ROUND(N(C8)*(1+N(D8)/12),2),MAX(N(E8),ROUND(N(F8)*N(C8),2))))</f>
        <v>34</v>
      </c>
      <c r="N8" s="86" t="str">
        <f>IF(A8="","",IF(N(C8)&lt;=0,"Manca il debito residuo",IF(AND(N(E8)=0,N(F8)=0),IF(G8="No","⚠ Senza rata e senza extra: non si chiude","Senza rata: si chiude con gli extra"),IF(M8&lt;=L8,"⚠ La rata non copre gli interessi","✓ OK"))))</f>
        <v>✓ OK</v>
      </c>
      <c r="O8" s="87">
        <f>'Calc riepilogo'!I25</f>
        <v>1</v>
      </c>
      <c r="P8" s="88">
        <f>'Calc riepilogo'!D25</f>
        <v>46508.0</v>
      </c>
      <c r="Q8" s="89">
        <f>'Calc riepilogo'!E25</f>
        <v>7.16999999999996</v>
      </c>
    </row>
    <row r="9">
      <c r="A9" s="78" t="inlineStr">
        <is>
          <t>Prestito personale</t>
        </is>
      </c>
      <c r="B9" s="78" t="inlineStr">
        <is>
          <t>Prestito personale</t>
        </is>
      </c>
      <c r="C9" s="79" t="n">
        <v>6800</v>
      </c>
      <c r="D9" s="80" t="n">
        <v>0.092</v>
      </c>
      <c r="E9" s="79" t="n">
        <v>210</v>
      </c>
      <c r="F9" s="80" t="n"/>
      <c r="G9" s="81" t="inlineStr">
        <is>
          <t>Sì</t>
        </is>
      </c>
      <c r="H9" s="82" t="n">
        <v>3</v>
      </c>
      <c r="I9" s="83" t="n"/>
      <c r="J9" s="80" t="n"/>
      <c r="K9" s="84" t="inlineStr">
        <is>
          <t>Rata fissa</t>
        </is>
      </c>
      <c r="L9" s="85">
        <f>IF(OR(A9="",N(C9)&lt;=0),"",ROUND(N(C9)*N(D9)/12,2))</f>
        <v>52.13</v>
      </c>
      <c r="M9" s="85">
        <f>IF(L9="","",IF(ROUND(N(C9)*(1+N(D9)/12),2)-MAX(N(E9),ROUND(N(F9)*N(C9),2))&lt;1,ROUND(N(C9)*(1+N(D9)/12),2),MAX(N(E9),ROUND(N(F9)*N(C9),2))))</f>
        <v>210</v>
      </c>
      <c r="N9" s="86" t="str">
        <f>IF(A9="","",IF(N(C9)&lt;=0,"Manca il debito residuo",IF(AND(N(E9)=0,N(F9)=0),IF(G9="No","⚠ Senza rata e senza extra: non si chiude","Senza rata: si chiude con gli extra"),IF(M9&lt;=L9,"⚠ La rata non copre gli interessi","✓ OK"))))</f>
        <v>✓ OK</v>
      </c>
      <c r="O9" s="87">
        <f>'Calc riepilogo'!I26</f>
        <v>4</v>
      </c>
      <c r="P9" s="88">
        <f>'Calc riepilogo'!D26</f>
        <v>46844.0</v>
      </c>
      <c r="Q9" s="89">
        <f>'Calc riepilogo'!E26</f>
        <v>631.08</v>
      </c>
    </row>
    <row r="10">
      <c r="A10" s="78" t="inlineStr">
        <is>
          <t>Prestito dell’auto</t>
        </is>
      </c>
      <c r="B10" s="78" t="inlineStr">
        <is>
          <t>Prestito auto</t>
        </is>
      </c>
      <c r="C10" s="79" t="n">
        <v>9500</v>
      </c>
      <c r="D10" s="80" t="n">
        <v>0.064</v>
      </c>
      <c r="E10" s="79" t="n">
        <v>265</v>
      </c>
      <c r="F10" s="80" t="n"/>
      <c r="G10" s="81" t="inlineStr">
        <is>
          <t>Sì</t>
        </is>
      </c>
      <c r="H10" s="82" t="n">
        <v>4</v>
      </c>
      <c r="I10" s="83" t="n"/>
      <c r="J10" s="80" t="n"/>
      <c r="K10" s="84" t="inlineStr">
        <is>
          <t>Rata fissa</t>
        </is>
      </c>
      <c r="L10" s="85">
        <f>IF(OR(A10="",N(C10)&lt;=0),"",ROUND(N(C10)*N(D10)/12,2))</f>
        <v>50.67</v>
      </c>
      <c r="M10" s="85">
        <f>IF(L10="","",IF(ROUND(N(C10)*(1+N(D10)/12),2)-MAX(N(E10),ROUND(N(F10)*N(C10),2))&lt;1,ROUND(N(C10)*(1+N(D10)/12),2),MAX(N(E10),ROUND(N(F10)*N(C10),2))))</f>
        <v>265</v>
      </c>
      <c r="N10" s="86" t="str">
        <f>IF(A10="","",IF(N(C10)&lt;=0,"Manca il debito residuo",IF(AND(N(E10)=0,N(F10)=0),IF(G10="No","⚠ Senza rata e senza extra: non si chiude","Senza rata: si chiude con gli extra"),IF(M10&lt;=L10,"⚠ La rata non copre gli interessi","✓ OK"))))</f>
        <v>✓ OK</v>
      </c>
      <c r="O10" s="87">
        <f>'Calc riepilogo'!I27</f>
        <v>5</v>
      </c>
      <c r="P10" s="88">
        <f>'Calc riepilogo'!D27</f>
        <v>47058.0</v>
      </c>
      <c r="Q10" s="89">
        <f>'Calc riepilogo'!E27</f>
        <v>837.38</v>
      </c>
    </row>
    <row r="11">
      <c r="A11" s="78" t="inlineStr">
        <is>
          <t>Smartphone a rate</t>
        </is>
      </c>
      <c r="B11" s="78" t="inlineStr">
        <is>
          <t>Acquisto a rate</t>
        </is>
      </c>
      <c r="C11" s="79" t="n">
        <v>540</v>
      </c>
      <c r="D11" s="80" t="n">
        <v>0</v>
      </c>
      <c r="E11" s="79" t="n">
        <v>45</v>
      </c>
      <c r="F11" s="80" t="n"/>
      <c r="G11" s="81" t="inlineStr">
        <is>
          <t>Sì</t>
        </is>
      </c>
      <c r="H11" s="82" t="n">
        <v>5</v>
      </c>
      <c r="I11" s="83" t="n"/>
      <c r="J11" s="80" t="n"/>
      <c r="K11" s="84" t="inlineStr">
        <is>
          <t>Tasso zero, 12 rate da 45 €</t>
        </is>
      </c>
      <c r="L11" s="85">
        <f>IF(OR(A11="",N(C11)&lt;=0),"",ROUND(N(C11)*N(D11)/12,2))</f>
        <v>0</v>
      </c>
      <c r="M11" s="85">
        <f>IF(L11="","",IF(ROUND(N(C11)*(1+N(D11)/12),2)-MAX(N(E11),ROUND(N(F11)*N(C11),2))&lt;1,ROUND(N(C11)*(1+N(D11)/12),2),MAX(N(E11),ROUND(N(F11)*N(C11),2))))</f>
        <v>45</v>
      </c>
      <c r="N11" s="86" t="str">
        <f>IF(A11="","",IF(N(C11)&lt;=0,"Manca il debito residuo",IF(AND(N(E11)=0,N(F11)=0),IF(G11="No","⚠ Senza rata e senza extra: non si chiude","Senza rata: si chiude con gli extra"),IF(M11&lt;=L11,"⚠ La rata non copre gli interessi","✓ OK"))))</f>
        <v>✓ OK</v>
      </c>
      <c r="O11" s="87">
        <f>'Calc riepilogo'!I28</f>
        <v>3</v>
      </c>
      <c r="P11" s="88">
        <f>'Calc riepilogo'!D28</f>
        <v>46661.0</v>
      </c>
      <c r="Q11" s="89">
        <f>'Calc riepilogo'!E28</f>
        <v>0</v>
      </c>
    </row>
    <row r="12">
      <c r="A12" s="78" t="inlineStr">
        <is>
          <t>Prestito dei genitori</t>
        </is>
      </c>
      <c r="B12" s="78" t="inlineStr">
        <is>
          <t>Debito con familiari</t>
        </is>
      </c>
      <c r="C12" s="79" t="n">
        <v>1500</v>
      </c>
      <c r="D12" s="80" t="n">
        <v>0</v>
      </c>
      <c r="E12" s="79" t="n">
        <v>50</v>
      </c>
      <c r="F12" s="80" t="n"/>
      <c r="G12" s="81" t="inlineStr">
        <is>
          <t>Sì</t>
        </is>
      </c>
      <c r="H12" s="82" t="n">
        <v>6</v>
      </c>
      <c r="I12" s="83" t="n"/>
      <c r="J12" s="80" t="n"/>
      <c r="K12" s="84" t="inlineStr">
        <is>
          <t>Senza interessi: restituisco 50 € al mese</t>
        </is>
      </c>
      <c r="L12" s="85">
        <f>IF(OR(A12="",N(C12)&lt;=0),"",ROUND(N(C12)*N(D12)/12,2))</f>
        <v>0</v>
      </c>
      <c r="M12" s="85">
        <f>IF(L12="","",IF(ROUND(N(C12)*(1+N(D12)/12),2)-MAX(N(E12),ROUND(N(F12)*N(C12),2))&lt;1,ROUND(N(C12)*(1+N(D12)/12),2),MAX(N(E12),ROUND(N(F12)*N(C12),2))))</f>
        <v>50</v>
      </c>
      <c r="N12" s="86" t="str">
        <f>IF(A12="","",IF(N(C12)&lt;=0,"Manca il debito residuo",IF(AND(N(E12)=0,N(F12)=0),IF(G12="No","⚠ Senza rata e senza extra: non si chiude","Senza rata: si chiude con gli extra"),IF(M12&lt;=L12,"⚠ La rata non copre gli interessi","✓ OK"))))</f>
        <v>✓ OK</v>
      </c>
      <c r="O12" s="87">
        <f>'Calc riepilogo'!I29</f>
        <v>6</v>
      </c>
      <c r="P12" s="88">
        <f>'Calc riepilogo'!D29</f>
        <v>47058.0</v>
      </c>
      <c r="Q12" s="89">
        <f>'Calc riepilogo'!E29</f>
        <v>0</v>
      </c>
    </row>
    <row r="13">
      <c r="A13" s="78" t="n"/>
      <c r="B13" s="78" t="n"/>
      <c r="C13" s="79" t="n"/>
      <c r="D13" s="80" t="n"/>
      <c r="E13" s="79" t="n"/>
      <c r="F13" s="80" t="n"/>
      <c r="G13" s="81" t="n"/>
      <c r="H13" s="82" t="n"/>
      <c r="I13" s="83" t="n"/>
      <c r="J13" s="80" t="n"/>
      <c r="K13" s="84" t="n"/>
      <c r="L13" s="85" t="str">
        <f>IF(OR(A13="",N(C13)&lt;=0),"",ROUND(N(C13)*N(D13)/12,2))</f>
        <v/>
      </c>
      <c r="M13" s="85" t="str">
        <f>IF(L13="","",IF(ROUND(N(C13)*(1+N(D13)/12),2)-MAX(N(E13),ROUND(N(F13)*N(C13),2))&lt;1,ROUND(N(C13)*(1+N(D13)/12),2),MAX(N(E13),ROUND(N(F13)*N(C13),2))))</f>
        <v/>
      </c>
      <c r="N13" s="86" t="str">
        <f>IF(A13="","",IF(N(C13)&lt;=0,"Manca il debito residuo",IF(AND(N(E13)=0,N(F13)=0),IF(G13="No","⚠ Senza rata e senza extra: non si chiude","Senza rata: si chiude con gli extra"),IF(M13&lt;=L13,"⚠ La rata non copre gli interessi","✓ OK"))))</f>
        <v/>
      </c>
      <c r="O13" s="87" t="str">
        <f>'Calc riepilogo'!I30</f>
        <v/>
      </c>
      <c r="P13" s="88" t="str">
        <f>'Calc riepilogo'!D30</f>
        <v/>
      </c>
      <c r="Q13" s="89" t="str">
        <f>'Calc riepilogo'!E30</f>
        <v/>
      </c>
    </row>
    <row r="14">
      <c r="A14" s="78" t="n"/>
      <c r="B14" s="78" t="n"/>
      <c r="C14" s="79" t="n"/>
      <c r="D14" s="80" t="n"/>
      <c r="E14" s="79" t="n"/>
      <c r="F14" s="80" t="n"/>
      <c r="G14" s="81" t="n"/>
      <c r="H14" s="82" t="n"/>
      <c r="I14" s="83" t="n"/>
      <c r="J14" s="80" t="n"/>
      <c r="K14" s="84" t="n"/>
      <c r="L14" s="85" t="str">
        <f>IF(OR(A14="",N(C14)&lt;=0),"",ROUND(N(C14)*N(D14)/12,2))</f>
        <v/>
      </c>
      <c r="M14" s="85" t="str">
        <f>IF(L14="","",IF(ROUND(N(C14)*(1+N(D14)/12),2)-MAX(N(E14),ROUND(N(F14)*N(C14),2))&lt;1,ROUND(N(C14)*(1+N(D14)/12),2),MAX(N(E14),ROUND(N(F14)*N(C14),2))))</f>
        <v/>
      </c>
      <c r="N14" s="86" t="str">
        <f>IF(A14="","",IF(N(C14)&lt;=0,"Manca il debito residuo",IF(AND(N(E14)=0,N(F14)=0),IF(G14="No","⚠ Senza rata e senza extra: non si chiude","Senza rata: si chiude con gli extra"),IF(M14&lt;=L14,"⚠ La rata non copre gli interessi","✓ OK"))))</f>
        <v/>
      </c>
      <c r="O14" s="87" t="str">
        <f>'Calc riepilogo'!I31</f>
        <v/>
      </c>
      <c r="P14" s="88" t="str">
        <f>'Calc riepilogo'!D31</f>
        <v/>
      </c>
      <c r="Q14" s="89" t="str">
        <f>'Calc riepilogo'!E31</f>
        <v/>
      </c>
    </row>
    <row r="15">
      <c r="A15" s="78" t="n"/>
      <c r="B15" s="78" t="n"/>
      <c r="C15" s="79" t="n"/>
      <c r="D15" s="80" t="n"/>
      <c r="E15" s="79" t="n"/>
      <c r="F15" s="80" t="n"/>
      <c r="G15" s="81" t="n"/>
      <c r="H15" s="82" t="n"/>
      <c r="I15" s="83" t="n"/>
      <c r="J15" s="80" t="n"/>
      <c r="K15" s="84" t="n"/>
      <c r="L15" s="85" t="str">
        <f>IF(OR(A15="",N(C15)&lt;=0),"",ROUND(N(C15)*N(D15)/12,2))</f>
        <v/>
      </c>
      <c r="M15" s="85" t="str">
        <f>IF(L15="","",IF(ROUND(N(C15)*(1+N(D15)/12),2)-MAX(N(E15),ROUND(N(F15)*N(C15),2))&lt;1,ROUND(N(C15)*(1+N(D15)/12),2),MAX(N(E15),ROUND(N(F15)*N(C15),2))))</f>
        <v/>
      </c>
      <c r="N15" s="86" t="str">
        <f>IF(A15="","",IF(N(C15)&lt;=0,"Manca il debito residuo",IF(AND(N(E15)=0,N(F15)=0),IF(G15="No","⚠ Senza rata e senza extra: non si chiude","Senza rata: si chiude con gli extra"),IF(M15&lt;=L15,"⚠ La rata non copre gli interessi","✓ OK"))))</f>
        <v/>
      </c>
      <c r="O15" s="87" t="str">
        <f>'Calc riepilogo'!I32</f>
        <v/>
      </c>
      <c r="P15" s="88" t="str">
        <f>'Calc riepilogo'!D32</f>
        <v/>
      </c>
      <c r="Q15" s="89" t="str">
        <f>'Calc riepilogo'!E32</f>
        <v/>
      </c>
    </row>
    <row r="16">
      <c r="A16" s="78" t="n"/>
      <c r="B16" s="78" t="n"/>
      <c r="C16" s="79" t="n"/>
      <c r="D16" s="80" t="n"/>
      <c r="E16" s="79" t="n"/>
      <c r="F16" s="80" t="n"/>
      <c r="G16" s="81" t="n"/>
      <c r="H16" s="82" t="n"/>
      <c r="I16" s="83" t="n"/>
      <c r="J16" s="80" t="n"/>
      <c r="K16" s="84" t="n"/>
      <c r="L16" s="85" t="str">
        <f>IF(OR(A16="",N(C16)&lt;=0),"",ROUND(N(C16)*N(D16)/12,2))</f>
        <v/>
      </c>
      <c r="M16" s="85" t="str">
        <f>IF(L16="","",IF(ROUND(N(C16)*(1+N(D16)/12),2)-MAX(N(E16),ROUND(N(F16)*N(C16),2))&lt;1,ROUND(N(C16)*(1+N(D16)/12),2),MAX(N(E16),ROUND(N(F16)*N(C16),2))))</f>
        <v/>
      </c>
      <c r="N16" s="86" t="str">
        <f>IF(A16="","",IF(N(C16)&lt;=0,"Manca il debito residuo",IF(AND(N(E16)=0,N(F16)=0),IF(G16="No","⚠ Senza rata e senza extra: non si chiude","Senza rata: si chiude con gli extra"),IF(M16&lt;=L16,"⚠ La rata non copre gli interessi","✓ OK"))))</f>
        <v/>
      </c>
      <c r="O16" s="87" t="str">
        <f>'Calc riepilogo'!I33</f>
        <v/>
      </c>
      <c r="P16" s="88" t="str">
        <f>'Calc riepilogo'!D33</f>
        <v/>
      </c>
      <c r="Q16" s="89" t="str">
        <f>'Calc riepilogo'!E33</f>
        <v/>
      </c>
    </row>
    <row r="17">
      <c r="A17" s="78" t="n"/>
      <c r="B17" s="78" t="n"/>
      <c r="C17" s="79" t="n"/>
      <c r="D17" s="80" t="n"/>
      <c r="E17" s="79" t="n"/>
      <c r="F17" s="80" t="n"/>
      <c r="G17" s="81" t="n"/>
      <c r="H17" s="82" t="n"/>
      <c r="I17" s="83" t="n"/>
      <c r="J17" s="80" t="n"/>
      <c r="K17" s="84" t="n"/>
      <c r="L17" s="85" t="str">
        <f>IF(OR(A17="",N(C17)&lt;=0),"",ROUND(N(C17)*N(D17)/12,2))</f>
        <v/>
      </c>
      <c r="M17" s="85" t="str">
        <f>IF(L17="","",IF(ROUND(N(C17)*(1+N(D17)/12),2)-MAX(N(E17),ROUND(N(F17)*N(C17),2))&lt;1,ROUND(N(C17)*(1+N(D17)/12),2),MAX(N(E17),ROUND(N(F17)*N(C17),2))))</f>
        <v/>
      </c>
      <c r="N17" s="86" t="str">
        <f>IF(A17="","",IF(N(C17)&lt;=0,"Manca il debito residuo",IF(AND(N(E17)=0,N(F17)=0),IF(G17="No","⚠ Senza rata e senza extra: non si chiude","Senza rata: si chiude con gli extra"),IF(M17&lt;=L17,"⚠ La rata non copre gli interessi","✓ OK"))))</f>
        <v/>
      </c>
      <c r="O17" s="87" t="str">
        <f>'Calc riepilogo'!I34</f>
        <v/>
      </c>
      <c r="P17" s="88" t="str">
        <f>'Calc riepilogo'!D34</f>
        <v/>
      </c>
      <c r="Q17" s="89" t="str">
        <f>'Calc riepilogo'!E34</f>
        <v/>
      </c>
    </row>
    <row r="18">
      <c r="A18" s="78" t="n"/>
      <c r="B18" s="78" t="n"/>
      <c r="C18" s="79" t="n"/>
      <c r="D18" s="80" t="n"/>
      <c r="E18" s="79" t="n"/>
      <c r="F18" s="80" t="n"/>
      <c r="G18" s="81" t="n"/>
      <c r="H18" s="82" t="n"/>
      <c r="I18" s="83" t="n"/>
      <c r="J18" s="80" t="n"/>
      <c r="K18" s="84" t="n"/>
      <c r="L18" s="85" t="str">
        <f>IF(OR(A18="",N(C18)&lt;=0),"",ROUND(N(C18)*N(D18)/12,2))</f>
        <v/>
      </c>
      <c r="M18" s="85" t="str">
        <f>IF(L18="","",IF(ROUND(N(C18)*(1+N(D18)/12),2)-MAX(N(E18),ROUND(N(F18)*N(C18),2))&lt;1,ROUND(N(C18)*(1+N(D18)/12),2),MAX(N(E18),ROUND(N(F18)*N(C18),2))))</f>
        <v/>
      </c>
      <c r="N18" s="86" t="str">
        <f>IF(A18="","",IF(N(C18)&lt;=0,"Manca il debito residuo",IF(AND(N(E18)=0,N(F18)=0),IF(G18="No","⚠ Senza rata e senza extra: non si chiude","Senza rata: si chiude con gli extra"),IF(M18&lt;=L18,"⚠ La rata non copre gli interessi","✓ OK"))))</f>
        <v/>
      </c>
      <c r="O18" s="87" t="str">
        <f>'Calc riepilogo'!I35</f>
        <v/>
      </c>
      <c r="P18" s="88" t="str">
        <f>'Calc riepilogo'!D35</f>
        <v/>
      </c>
      <c r="Q18" s="89" t="str">
        <f>'Calc riepilogo'!E35</f>
        <v/>
      </c>
    </row>
    <row r="20">
      <c r="A20" s="62" t="inlineStr">
        <is>
          <t>TAN: il tasso annuo nominale, lo trovi nel contratto o nell’estratto conto. Gli interessi si calcolano ogni mese con il TAN diviso 12.</t>
        </is>
      </c>
    </row>
    <row r="21">
      <c r="A21" s="62" t="inlineStr">
        <is>
          <t>Rata minima: la rata fissa del prestito, o il minimo della carta. Per le revolving puoi indicare anche la percentuale: vale la più alta delle due.</t>
        </is>
      </c>
    </row>
    <row r="22">
      <c r="A22" s="62" t="inlineStr">
        <is>
          <t>Riceve gli extra? Scegli «No» per i debiti da pagare solo con la rata, per esempio un mutuo a tasso basso o un prestito a tasso zero.</t>
        </is>
      </c>
    </row>
    <row r="23">
      <c r="A23" s="62" t="inlineStr">
        <is>
          <t>Priorità: conta solo con la strategia Personalizzata. 1 è il primo debito a ricevere gli extra; a parità di numero, conta l’ordine delle righe.</t>
        </is>
      </c>
    </row>
    <row r="24">
      <c r="A24" s="62" t="inlineStr">
        <is>
          <t>Cambio di tasso: per le promozioni a tasso zero che finiscono o per un tasso variabile. Dal mese indicato vale il nuovo TAN.</t>
        </is>
      </c>
    </row>
  </sheetData>
  <mergeCells count="2">
    <mergeCell ref="A5:K5"/>
    <mergeCell ref="L5:Q5"/>
  </mergeCells>
  <conditionalFormatting sqref="A7:A18">
    <cfRule type="expression" priority="1" dxfId="6">
      <formula>AND(A7&lt;&gt;"",COUNTIF($A$7:$A$18,A7)&gt;1)</formula>
    </cfRule>
  </conditionalFormatting>
  <conditionalFormatting sqref="N7:N18">
    <cfRule type="expression" priority="2" dxfId="4">
      <formula>LEFT(N7,1)="⚠"</formula>
    </cfRule>
    <cfRule type="expression" priority="3" dxfId="7">
      <formula>LEFT(N7,1)="✓"</formula>
    </cfRule>
  </conditionalFormatting>
  <dataValidations count="8">
    <dataValidation sqref="B7:B18" showDropDown="0" showInputMessage="0" showErrorMessage="0" allowBlank="1" type="list">
      <formula1>Impostazioni!$E$5:$E$16</formula1>
    </dataValidation>
    <dataValidation sqref="C7:C18" showDropDown="0" showInputMessage="0" showErrorMessage="1" allowBlank="1" errorTitle="Importo non valido" error="Scrivi quanto devi oggi, in euro." type="decimal" operator="greaterThanOrEqual">
      <formula1>0</formula1>
    </dataValidation>
    <dataValidation sqref="D7:D18 J7:J18" showDropDown="0" showInputMessage="0" showErrorMessage="1" allowBlank="1" errorTitle="Tasso non valido" error="Scrivi il tasso con il simbolo %, per esempio 9,5%." type="decimal" operator="between">
      <formula1>0</formula1>
      <formula2>1</formula2>
    </dataValidation>
    <dataValidation sqref="E7:E18" showDropDown="0" showInputMessage="0" showErrorMessage="1" allowBlank="1" errorTitle="Importo non valido" error="Scrivi la rata minima in euro." type="decimal" operator="greaterThanOrEqual">
      <formula1>0</formula1>
    </dataValidation>
    <dataValidation sqref="F7:F18" showDropDown="0" showInputMessage="0" showErrorMessage="1" allowBlank="1" errorTitle="Percentuale non valida" error="Scrivi la percentuale con il simbolo %, per esempio 3%." type="decimal" operator="between">
      <formula1>0</formula1>
      <formula2>1</formula2>
    </dataValidation>
    <dataValidation sqref="G7:G18" showDropDown="0" showInputMessage="0" showErrorMessage="1" allowBlank="1" errorTitle="Scegli Sì o No" error="Sì: il debito riceve gli extra secondo la strategia. No: paghi solo la rata." type="list">
      <formula1>"Sì,No"</formula1>
    </dataValidation>
    <dataValidation sqref="H7:H18" showDropDown="0" showInputMessage="0" showErrorMessage="1" allowBlank="1" errorTitle="Priorità non valida" error="Scrivi un numero: 1 è il primo debito da chiudere." type="decimal" operator="greaterThanOrEqual">
      <formula1>0</formula1>
    </dataValidation>
    <dataValidation sqref="I7:I18" showDropDown="0" showInputMessage="0" showErrorMessage="1" allowBlank="1" errorTitle="Data non valida" error="Scrivi il mese, per esempio 01/04/2027." type="date" operator="between">
      <formula1>DATE(2000,1,1)</formula1>
      <formula2>DATE(2100,12,31)</formula2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9C2D1"/>
    <outlinePr summaryBelow="1" summaryRight="1"/>
    <pageSetUpPr/>
  </sheetPr>
  <dimension ref="A1:J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6" customWidth="1" min="3" max="3"/>
    <col hidden="1" width="6" customWidth="1" min="4" max="4"/>
    <col width="3" customWidth="1" min="5" max="5"/>
    <col width="13" customWidth="1" min="6" max="6"/>
    <col width="12" customWidth="1" min="7" max="7"/>
    <col width="24" customWidth="1" min="8" max="8"/>
    <col width="40" customWidth="1" min="9" max="9"/>
    <col hidden="1" width="13" customWidth="1" min="10" max="10"/>
  </cols>
  <sheetData>
    <row r="1">
      <c r="A1" s="58" t="inlineStr">
        <is>
          <t>Budget ed extra</t>
        </is>
      </c>
    </row>
    <row r="2">
      <c r="A2" s="59" t="inlineStr">
        <is>
          <t>Se il budget cambierà, da quale mese. E i pagamenti una tantum: tredicesima, rimborso del 730, premi.</t>
        </is>
      </c>
    </row>
    <row r="3">
      <c r="A3" s="60" t="inlineStr">
        <is>
          <t>← Torna al Riepilogo</t>
        </is>
      </c>
    </row>
    <row r="4">
      <c r="A4" s="63" t="inlineStr">
        <is>
          <t>Da compilare</t>
        </is>
      </c>
      <c r="B4" s="62" t="inlineStr">
        <is>
          <t>← le celle gialle sono le uniche da personalizzare; tutte le altre si calcolano da sole.</t>
        </is>
      </c>
    </row>
    <row r="5">
      <c r="A5" s="61" t="inlineStr">
        <is>
          <t>CAMBI DI BUDGET</t>
        </is>
      </c>
      <c r="F5" s="61" t="inlineStr">
        <is>
          <t>PAGAMENTI EXTRA UNA TANTUM</t>
        </is>
      </c>
    </row>
    <row r="6" ht="30" customHeight="1">
      <c r="A6" s="66" t="inlineStr">
        <is>
          <t>Dal mese</t>
        </is>
      </c>
      <c r="B6" s="67" t="inlineStr">
        <is>
          <t>Nuovo budget mensile</t>
        </is>
      </c>
      <c r="C6" s="67" t="inlineStr">
        <is>
          <t>Perché</t>
        </is>
      </c>
      <c r="F6" s="66" t="inlineStr">
        <is>
          <t>Mese</t>
        </is>
      </c>
      <c r="G6" s="67" t="inlineStr">
        <is>
          <t>Importo</t>
        </is>
      </c>
      <c r="H6" s="67" t="inlineStr">
        <is>
          <t>Su quale debito</t>
        </is>
      </c>
      <c r="I6" s="67" t="inlineStr">
        <is>
          <t>Descrizione</t>
        </is>
      </c>
    </row>
    <row r="7">
      <c r="A7" s="83" t="n">
        <v>46569</v>
      </c>
      <c r="B7" s="90" t="n">
        <v>900</v>
      </c>
      <c r="C7" s="78" t="inlineStr">
        <is>
          <t>Aumento di stipendio</t>
        </is>
      </c>
      <c r="D7">
        <f>IF(OR(A7="",B7=""),0,IFERROR(MAX(1,(YEAR(A7)-'Calc base'!$B$2)*12+MONTH(A7)-'Calc base'!$B$3+1),0))</f>
        <v>9</v>
      </c>
      <c r="F7" s="83" t="n">
        <v>46357</v>
      </c>
      <c r="G7" s="90" t="n">
        <v>500</v>
      </c>
      <c r="H7" s="78" t="inlineStr">
        <is>
          <t>Secondo la strategia</t>
        </is>
      </c>
      <c r="I7" s="78" t="inlineStr">
        <is>
          <t>Tredicesima</t>
        </is>
      </c>
      <c r="J7">
        <f>IF(OR(F7="",G7=""),0,IFERROR((YEAR(F7)-'Calc base'!$B$2)*12+MONTH(F7)-'Calc base'!$B$3+1,-1))</f>
        <v>2</v>
      </c>
    </row>
    <row r="8">
      <c r="A8" s="83" t="n"/>
      <c r="B8" s="90" t="n"/>
      <c r="C8" s="78" t="n"/>
      <c r="D8">
        <f>IF(OR(A8="",B8=""),0,IFERROR(MAX(1,(YEAR(A8)-'Calc base'!$B$2)*12+MONTH(A8)-'Calc base'!$B$3+1),0))</f>
        <v>0</v>
      </c>
      <c r="F8" s="83" t="n">
        <v>46447</v>
      </c>
      <c r="G8" s="90" t="n">
        <v>400</v>
      </c>
      <c r="H8" s="78" t="inlineStr">
        <is>
          <t>Carta del negozio</t>
        </is>
      </c>
      <c r="I8" s="78" t="inlineStr">
        <is>
          <t>Premio: chiudo la carta prima che finisca il tasso zero</t>
        </is>
      </c>
      <c r="J8">
        <f>IF(OR(F8="",G8=""),0,IFERROR((YEAR(F8)-'Calc base'!$B$2)*12+MONTH(F8)-'Calc base'!$B$3+1,-1))</f>
        <v>5</v>
      </c>
    </row>
    <row r="9">
      <c r="A9" s="83" t="n"/>
      <c r="B9" s="90" t="n"/>
      <c r="C9" s="78" t="n"/>
      <c r="D9">
        <f>IF(OR(A9="",B9=""),0,IFERROR(MAX(1,(YEAR(A9)-'Calc base'!$B$2)*12+MONTH(A9)-'Calc base'!$B$3+1),0))</f>
        <v>0</v>
      </c>
      <c r="F9" s="83" t="n">
        <v>46569</v>
      </c>
      <c r="G9" s="90" t="n">
        <v>350</v>
      </c>
      <c r="H9" s="78" t="inlineStr">
        <is>
          <t>Secondo la strategia</t>
        </is>
      </c>
      <c r="I9" s="78" t="inlineStr">
        <is>
          <t>Rimborso del 730</t>
        </is>
      </c>
      <c r="J9">
        <f>IF(OR(F9="",G9=""),0,IFERROR((YEAR(F9)-'Calc base'!$B$2)*12+MONTH(F9)-'Calc base'!$B$3+1,-1))</f>
        <v>9</v>
      </c>
    </row>
    <row r="10">
      <c r="A10" s="83" t="n"/>
      <c r="B10" s="90" t="n"/>
      <c r="C10" s="78" t="n"/>
      <c r="D10">
        <f>IF(OR(A10="",B10=""),0,IFERROR(MAX(1,(YEAR(A10)-'Calc base'!$B$2)*12+MONTH(A10)-'Calc base'!$B$3+1),0))</f>
        <v>0</v>
      </c>
      <c r="F10" s="83" t="n">
        <v>46722</v>
      </c>
      <c r="G10" s="90" t="n">
        <v>600</v>
      </c>
      <c r="H10" s="78" t="inlineStr">
        <is>
          <t>Secondo la strategia</t>
        </is>
      </c>
      <c r="I10" s="78" t="inlineStr">
        <is>
          <t>Tredicesima</t>
        </is>
      </c>
      <c r="J10">
        <f>IF(OR(F10="",G10=""),0,IFERROR((YEAR(F10)-'Calc base'!$B$2)*12+MONTH(F10)-'Calc base'!$B$3+1,-1))</f>
        <v>14</v>
      </c>
    </row>
    <row r="11">
      <c r="A11" s="83" t="n"/>
      <c r="B11" s="90" t="n"/>
      <c r="C11" s="78" t="n"/>
      <c r="D11">
        <f>IF(OR(A11="",B11=""),0,IFERROR(MAX(1,(YEAR(A11)-'Calc base'!$B$2)*12+MONTH(A11)-'Calc base'!$B$3+1),0))</f>
        <v>0</v>
      </c>
      <c r="F11" s="83" t="n">
        <v>47088</v>
      </c>
      <c r="G11" s="90" t="n">
        <v>600</v>
      </c>
      <c r="H11" s="78" t="inlineStr">
        <is>
          <t>Secondo la strategia</t>
        </is>
      </c>
      <c r="I11" s="78" t="inlineStr">
        <is>
          <t>Tredicesima</t>
        </is>
      </c>
      <c r="J11">
        <f>IF(OR(F11="",G11=""),0,IFERROR((YEAR(F11)-'Calc base'!$B$2)*12+MONTH(F11)-'Calc base'!$B$3+1,-1))</f>
        <v>26</v>
      </c>
    </row>
    <row r="12">
      <c r="A12" s="83" t="n"/>
      <c r="B12" s="90" t="n"/>
      <c r="C12" s="78" t="n"/>
      <c r="D12">
        <f>IF(OR(A12="",B12=""),0,IFERROR(MAX(1,(YEAR(A12)-'Calc base'!$B$2)*12+MONTH(A12)-'Calc base'!$B$3+1),0))</f>
        <v>0</v>
      </c>
      <c r="F12" s="83" t="n"/>
      <c r="G12" s="90" t="n"/>
      <c r="H12" s="78" t="n"/>
      <c r="I12" s="78" t="n"/>
      <c r="J12">
        <f>IF(OR(F12="",G12=""),0,IFERROR((YEAR(F12)-'Calc base'!$B$2)*12+MONTH(F12)-'Calc base'!$B$3+1,-1))</f>
        <v>0</v>
      </c>
    </row>
    <row r="13">
      <c r="A13" s="83" t="n"/>
      <c r="B13" s="90" t="n"/>
      <c r="C13" s="78" t="n"/>
      <c r="D13">
        <f>IF(OR(A13="",B13=""),0,IFERROR(MAX(1,(YEAR(A13)-'Calc base'!$B$2)*12+MONTH(A13)-'Calc base'!$B$3+1),0))</f>
        <v>0</v>
      </c>
      <c r="F13" s="83" t="n"/>
      <c r="G13" s="90" t="n"/>
      <c r="H13" s="78" t="n"/>
      <c r="I13" s="78" t="n"/>
      <c r="J13">
        <f>IF(OR(F13="",G13=""),0,IFERROR((YEAR(F13)-'Calc base'!$B$2)*12+MONTH(F13)-'Calc base'!$B$3+1,-1))</f>
        <v>0</v>
      </c>
    </row>
    <row r="14">
      <c r="A14" s="83" t="n"/>
      <c r="B14" s="90" t="n"/>
      <c r="C14" s="78" t="n"/>
      <c r="D14">
        <f>IF(OR(A14="",B14=""),0,IFERROR(MAX(1,(YEAR(A14)-'Calc base'!$B$2)*12+MONTH(A14)-'Calc base'!$B$3+1),0))</f>
        <v>0</v>
      </c>
      <c r="F14" s="83" t="n"/>
      <c r="G14" s="90" t="n"/>
      <c r="H14" s="78" t="n"/>
      <c r="I14" s="78" t="n"/>
      <c r="J14">
        <f>IF(OR(F14="",G14=""),0,IFERROR((YEAR(F14)-'Calc base'!$B$2)*12+MONTH(F14)-'Calc base'!$B$3+1,-1))</f>
        <v>0</v>
      </c>
    </row>
    <row r="15">
      <c r="A15" s="83" t="n"/>
      <c r="B15" s="90" t="n"/>
      <c r="C15" s="78" t="n"/>
      <c r="D15">
        <f>IF(OR(A15="",B15=""),0,IFERROR(MAX(1,(YEAR(A15)-'Calc base'!$B$2)*12+MONTH(A15)-'Calc base'!$B$3+1),0))</f>
        <v>0</v>
      </c>
      <c r="F15" s="83" t="n"/>
      <c r="G15" s="90" t="n"/>
      <c r="H15" s="78" t="n"/>
      <c r="I15" s="78" t="n"/>
      <c r="J15">
        <f>IF(OR(F15="",G15=""),0,IFERROR((YEAR(F15)-'Calc base'!$B$2)*12+MONTH(F15)-'Calc base'!$B$3+1,-1))</f>
        <v>0</v>
      </c>
    </row>
    <row r="16">
      <c r="A16" s="83" t="n"/>
      <c r="B16" s="90" t="n"/>
      <c r="C16" s="78" t="n"/>
      <c r="D16">
        <f>IF(OR(A16="",B16=""),0,IFERROR(MAX(1,(YEAR(A16)-'Calc base'!$B$2)*12+MONTH(A16)-'Calc base'!$B$3+1),0))</f>
        <v>0</v>
      </c>
      <c r="F16" s="83" t="n"/>
      <c r="G16" s="90" t="n"/>
      <c r="H16" s="78" t="n"/>
      <c r="I16" s="78" t="n"/>
      <c r="J16">
        <f>IF(OR(F16="",G16=""),0,IFERROR((YEAR(F16)-'Calc base'!$B$2)*12+MONTH(F16)-'Calc base'!$B$3+1,-1))</f>
        <v>0</v>
      </c>
    </row>
    <row r="17">
      <c r="A17" s="83" t="n"/>
      <c r="B17" s="90" t="n"/>
      <c r="C17" s="78" t="n"/>
      <c r="D17">
        <f>IF(OR(A17="",B17=""),0,IFERROR(MAX(1,(YEAR(A17)-'Calc base'!$B$2)*12+MONTH(A17)-'Calc base'!$B$3+1),0))</f>
        <v>0</v>
      </c>
      <c r="F17" s="83" t="n"/>
      <c r="G17" s="90" t="n"/>
      <c r="H17" s="78" t="n"/>
      <c r="I17" s="78" t="n"/>
      <c r="J17">
        <f>IF(OR(F17="",G17=""),0,IFERROR((YEAR(F17)-'Calc base'!$B$2)*12+MONTH(F17)-'Calc base'!$B$3+1,-1))</f>
        <v>0</v>
      </c>
    </row>
    <row r="18">
      <c r="A18" s="83" t="n"/>
      <c r="B18" s="90" t="n"/>
      <c r="C18" s="78" t="n"/>
      <c r="D18">
        <f>IF(OR(A18="",B18=""),0,IFERROR(MAX(1,(YEAR(A18)-'Calc base'!$B$2)*12+MONTH(A18)-'Calc base'!$B$3+1),0))</f>
        <v>0</v>
      </c>
      <c r="F18" s="83" t="n"/>
      <c r="G18" s="90" t="n"/>
      <c r="H18" s="78" t="n"/>
      <c r="I18" s="78" t="n"/>
      <c r="J18">
        <f>IF(OR(F18="",G18=""),0,IFERROR((YEAR(F18)-'Calc base'!$B$2)*12+MONTH(F18)-'Calc base'!$B$3+1,-1))</f>
        <v>0</v>
      </c>
    </row>
    <row r="19">
      <c r="F19" s="83" t="n"/>
      <c r="G19" s="90" t="n"/>
      <c r="H19" s="78" t="n"/>
      <c r="I19" s="78" t="n"/>
      <c r="J19">
        <f>IF(OR(F19="",G19=""),0,IFERROR((YEAR(F19)-'Calc base'!$B$2)*12+MONTH(F19)-'Calc base'!$B$3+1,-1))</f>
        <v>0</v>
      </c>
    </row>
    <row r="20" ht="26" customHeight="1">
      <c r="A20" s="91" t="inlineStr">
        <is>
          <t>Il budget del foglio Impostazioni vale fino al primo cambio; ogni cambio vale fino al successivo.</t>
        </is>
      </c>
      <c r="F20" s="83" t="n"/>
      <c r="G20" s="90" t="n"/>
      <c r="H20" s="78" t="n"/>
      <c r="I20" s="78" t="n"/>
      <c r="J20">
        <f>IF(OR(F20="",G20=""),0,IFERROR((YEAR(F20)-'Calc base'!$B$2)*12+MONTH(F20)-'Calc base'!$B$3+1,-1))</f>
        <v>0</v>
      </c>
    </row>
    <row r="21" ht="26" customHeight="1">
      <c r="A21" s="91" t="inlineStr">
        <is>
          <t>Gli extra «Secondo la strategia» vanno al debito che ha la precedenza in quel mese.</t>
        </is>
      </c>
      <c r="F21" s="83" t="n"/>
      <c r="G21" s="90" t="n"/>
      <c r="H21" s="78" t="n"/>
      <c r="I21" s="78" t="n"/>
      <c r="J21">
        <f>IF(OR(F21="",G21=""),0,IFERROR((YEAR(F21)-'Calc base'!$B$2)*12+MONTH(F21)-'Calc base'!$B$3+1,-1))</f>
        <v>0</v>
      </c>
    </row>
    <row r="22" ht="26" customHeight="1">
      <c r="A22" s="91" t="inlineStr">
        <is>
          <t>Un extra su un debito preciso va prima a quello; se avanza, passa agli altri.</t>
        </is>
      </c>
      <c r="F22" s="83" t="n"/>
      <c r="G22" s="90" t="n"/>
      <c r="H22" s="78" t="n"/>
      <c r="I22" s="78" t="n"/>
      <c r="J22">
        <f>IF(OR(F22="",G22=""),0,IFERROR((YEAR(F22)-'Calc base'!$B$2)*12+MONTH(F22)-'Calc base'!$B$3+1,-1))</f>
        <v>0</v>
      </c>
    </row>
    <row r="23" ht="26" customHeight="1">
      <c r="A23" s="91" t="inlineStr">
        <is>
          <t>In rosso e barrati: extra con una data fuori dal piano (prima del primo mese o dopo 30 anni), non vengono contati.</t>
        </is>
      </c>
      <c r="F23" s="83" t="n"/>
      <c r="G23" s="90" t="n"/>
      <c r="H23" s="78" t="n"/>
      <c r="I23" s="78" t="n"/>
      <c r="J23">
        <f>IF(OR(F23="",G23=""),0,IFERROR((YEAR(F23)-'Calc base'!$B$2)*12+MONTH(F23)-'Calc base'!$B$3+1,-1))</f>
        <v>0</v>
      </c>
    </row>
    <row r="24">
      <c r="F24" s="83" t="n"/>
      <c r="G24" s="90" t="n"/>
      <c r="H24" s="78" t="n"/>
      <c r="I24" s="78" t="n"/>
      <c r="J24">
        <f>IF(OR(F24="",G24=""),0,IFERROR((YEAR(F24)-'Calc base'!$B$2)*12+MONTH(F24)-'Calc base'!$B$3+1,-1))</f>
        <v>0</v>
      </c>
    </row>
    <row r="25">
      <c r="F25" s="83" t="n"/>
      <c r="G25" s="90" t="n"/>
      <c r="H25" s="78" t="n"/>
      <c r="I25" s="78" t="n"/>
      <c r="J25">
        <f>IF(OR(F25="",G25=""),0,IFERROR((YEAR(F25)-'Calc base'!$B$2)*12+MONTH(F25)-'Calc base'!$B$3+1,-1))</f>
        <v>0</v>
      </c>
    </row>
    <row r="26">
      <c r="F26" s="83" t="n"/>
      <c r="G26" s="90" t="n"/>
      <c r="H26" s="78" t="n"/>
      <c r="I26" s="78" t="n"/>
      <c r="J26">
        <f>IF(OR(F26="",G26=""),0,IFERROR((YEAR(F26)-'Calc base'!$B$2)*12+MONTH(F26)-'Calc base'!$B$3+1,-1))</f>
        <v>0</v>
      </c>
    </row>
    <row r="27">
      <c r="F27" s="83" t="n"/>
      <c r="G27" s="90" t="n"/>
      <c r="H27" s="78" t="n"/>
      <c r="I27" s="78" t="n"/>
      <c r="J27">
        <f>IF(OR(F27="",G27=""),0,IFERROR((YEAR(F27)-'Calc base'!$B$2)*12+MONTH(F27)-'Calc base'!$B$3+1,-1))</f>
        <v>0</v>
      </c>
    </row>
    <row r="28">
      <c r="F28" s="83" t="n"/>
      <c r="G28" s="90" t="n"/>
      <c r="H28" s="78" t="n"/>
      <c r="I28" s="78" t="n"/>
      <c r="J28">
        <f>IF(OR(F28="",G28=""),0,IFERROR((YEAR(F28)-'Calc base'!$B$2)*12+MONTH(F28)-'Calc base'!$B$3+1,-1))</f>
        <v>0</v>
      </c>
    </row>
    <row r="29">
      <c r="F29" s="83" t="n"/>
      <c r="G29" s="90" t="n"/>
      <c r="H29" s="78" t="n"/>
      <c r="I29" s="78" t="n"/>
      <c r="J29">
        <f>IF(OR(F29="",G29=""),0,IFERROR((YEAR(F29)-'Calc base'!$B$2)*12+MONTH(F29)-'Calc base'!$B$3+1,-1))</f>
        <v>0</v>
      </c>
    </row>
    <row r="30">
      <c r="F30" s="83" t="n"/>
      <c r="G30" s="90" t="n"/>
      <c r="H30" s="78" t="n"/>
      <c r="I30" s="78" t="n"/>
      <c r="J30">
        <f>IF(OR(F30="",G30=""),0,IFERROR((YEAR(F30)-'Calc base'!$B$2)*12+MONTH(F30)-'Calc base'!$B$3+1,-1))</f>
        <v>0</v>
      </c>
    </row>
    <row r="31">
      <c r="F31" s="83" t="n"/>
      <c r="G31" s="90" t="n"/>
      <c r="H31" s="78" t="n"/>
      <c r="I31" s="78" t="n"/>
      <c r="J31">
        <f>IF(OR(F31="",G31=""),0,IFERROR((YEAR(F31)-'Calc base'!$B$2)*12+MONTH(F31)-'Calc base'!$B$3+1,-1))</f>
        <v>0</v>
      </c>
    </row>
    <row r="32">
      <c r="F32" s="83" t="n"/>
      <c r="G32" s="90" t="n"/>
      <c r="H32" s="78" t="n"/>
      <c r="I32" s="78" t="n"/>
      <c r="J32">
        <f>IF(OR(F32="",G32=""),0,IFERROR((YEAR(F32)-'Calc base'!$B$2)*12+MONTH(F32)-'Calc base'!$B$3+1,-1))</f>
        <v>0</v>
      </c>
    </row>
    <row r="33">
      <c r="F33" s="83" t="n"/>
      <c r="G33" s="90" t="n"/>
      <c r="H33" s="78" t="n"/>
      <c r="I33" s="78" t="n"/>
      <c r="J33">
        <f>IF(OR(F33="",G33=""),0,IFERROR((YEAR(F33)-'Calc base'!$B$2)*12+MONTH(F33)-'Calc base'!$B$3+1,-1))</f>
        <v>0</v>
      </c>
    </row>
    <row r="34">
      <c r="F34" s="83" t="n"/>
      <c r="G34" s="90" t="n"/>
      <c r="H34" s="78" t="n"/>
      <c r="I34" s="78" t="n"/>
      <c r="J34">
        <f>IF(OR(F34="",G34=""),0,IFERROR((YEAR(F34)-'Calc base'!$B$2)*12+MONTH(F34)-'Calc base'!$B$3+1,-1))</f>
        <v>0</v>
      </c>
    </row>
    <row r="35">
      <c r="F35" s="83" t="n"/>
      <c r="G35" s="90" t="n"/>
      <c r="H35" s="78" t="n"/>
      <c r="I35" s="78" t="n"/>
      <c r="J35">
        <f>IF(OR(F35="",G35=""),0,IFERROR((YEAR(F35)-'Calc base'!$B$2)*12+MONTH(F35)-'Calc base'!$B$3+1,-1))</f>
        <v>0</v>
      </c>
    </row>
    <row r="36">
      <c r="F36" s="83" t="n"/>
      <c r="G36" s="90" t="n"/>
      <c r="H36" s="78" t="n"/>
      <c r="I36" s="78" t="n"/>
      <c r="J36">
        <f>IF(OR(F36="",G36=""),0,IFERROR((YEAR(F36)-'Calc base'!$B$2)*12+MONTH(F36)-'Calc base'!$B$3+1,-1))</f>
        <v>0</v>
      </c>
    </row>
    <row r="37">
      <c r="F37" s="83" t="n"/>
      <c r="G37" s="90" t="n"/>
      <c r="H37" s="78" t="n"/>
      <c r="I37" s="78" t="n"/>
      <c r="J37">
        <f>IF(OR(F37="",G37=""),0,IFERROR((YEAR(F37)-'Calc base'!$B$2)*12+MONTH(F37)-'Calc base'!$B$3+1,-1))</f>
        <v>0</v>
      </c>
    </row>
    <row r="38">
      <c r="F38" s="83" t="n"/>
      <c r="G38" s="90" t="n"/>
      <c r="H38" s="78" t="n"/>
      <c r="I38" s="78" t="n"/>
      <c r="J38">
        <f>IF(OR(F38="",G38=""),0,IFERROR((YEAR(F38)-'Calc base'!$B$2)*12+MONTH(F38)-'Calc base'!$B$3+1,-1))</f>
        <v>0</v>
      </c>
    </row>
    <row r="39">
      <c r="F39" s="83" t="n"/>
      <c r="G39" s="90" t="n"/>
      <c r="H39" s="78" t="n"/>
      <c r="I39" s="78" t="n"/>
      <c r="J39">
        <f>IF(OR(F39="",G39=""),0,IFERROR((YEAR(F39)-'Calc base'!$B$2)*12+MONTH(F39)-'Calc base'!$B$3+1,-1))</f>
        <v>0</v>
      </c>
    </row>
    <row r="40">
      <c r="F40" s="83" t="n"/>
      <c r="G40" s="90" t="n"/>
      <c r="H40" s="78" t="n"/>
      <c r="I40" s="78" t="n"/>
      <c r="J40">
        <f>IF(OR(F40="",G40=""),0,IFERROR((YEAR(F40)-'Calc base'!$B$2)*12+MONTH(F40)-'Calc base'!$B$3+1,-1))</f>
        <v>0</v>
      </c>
    </row>
    <row r="41">
      <c r="F41" s="83" t="n"/>
      <c r="G41" s="90" t="n"/>
      <c r="H41" s="78" t="n"/>
      <c r="I41" s="78" t="n"/>
      <c r="J41">
        <f>IF(OR(F41="",G41=""),0,IFERROR((YEAR(F41)-'Calc base'!$B$2)*12+MONTH(F41)-'Calc base'!$B$3+1,-1))</f>
        <v>0</v>
      </c>
    </row>
    <row r="42">
      <c r="F42" s="83" t="n"/>
      <c r="G42" s="90" t="n"/>
      <c r="H42" s="78" t="n"/>
      <c r="I42" s="78" t="n"/>
      <c r="J42">
        <f>IF(OR(F42="",G42=""),0,IFERROR((YEAR(F42)-'Calc base'!$B$2)*12+MONTH(F42)-'Calc base'!$B$3+1,-1))</f>
        <v>0</v>
      </c>
    </row>
  </sheetData>
  <mergeCells count="4">
    <mergeCell ref="A23:C23"/>
    <mergeCell ref="A20:C20"/>
    <mergeCell ref="A21:C21"/>
    <mergeCell ref="A22:C22"/>
  </mergeCells>
  <conditionalFormatting sqref="F7:G42">
    <cfRule type="expression" priority="1" dxfId="6">
      <formula>AND($F7&lt;&gt;"",$G7&lt;&gt;"",OR($J7&lt;1,$J7&gt;360))</formula>
    </cfRule>
  </conditionalFormatting>
  <dataValidations count="3">
    <dataValidation sqref="A7:A18 F7:F42" showDropDown="0" showInputMessage="0" showErrorMessage="1" allowBlank="1" errorTitle="Data non valida" error="Scrivi il mese, per esempio 01/07/2027." type="date" operator="between">
      <formula1>DATE(2000,1,1)</formula1>
      <formula2>DATE(2100,12,31)</formula2>
    </dataValidation>
    <dataValidation sqref="B7:B18 G7:G42" showDropDown="0" showInputMessage="0" showErrorMessage="1" allowBlank="1" errorTitle="Importo non valido" error="Scrivi un importo positivo in euro." type="decimal" operator="greaterThanOrEqual">
      <formula1>0</formula1>
    </dataValidation>
    <dataValidation sqref="H7:H42" showDropDown="0" showInputMessage="0" showErrorMessage="1" allowBlank="1" errorTitle="Debito non trovato" error="Scegli un debito dal menu, o «Secondo la strategia»." type="list">
      <formula1>'Calc base'!$AH$6:$AH$18</formula1>
    </dataValidation>
  </dataValidations>
  <hyperlinks>
    <hyperlink ref="A3" location="'Riepilogo'!A1" display="← Torna al Riepilogo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9C2D1"/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3" customWidth="1" min="4" max="4"/>
    <col width="26" customWidth="1" min="5" max="5"/>
    <col width="40" customWidth="1" min="6" max="6"/>
  </cols>
  <sheetData>
    <row r="1">
      <c r="A1" s="58" t="inlineStr">
        <is>
          <t>Impostazioni</t>
        </is>
      </c>
    </row>
    <row r="2">
      <c r="A2" s="59" t="inlineStr">
        <is>
          <t>Da quale mese parte il piano, quanto puoi pagare ogni mese e come usare le rate dei debiti che chiudi.</t>
        </is>
      </c>
    </row>
    <row r="3">
      <c r="A3" s="60" t="inlineStr">
        <is>
          <t>← Torna al Riepilogo</t>
        </is>
      </c>
    </row>
    <row r="4">
      <c r="A4" s="63" t="inlineStr">
        <is>
          <t>Da compilare</t>
        </is>
      </c>
      <c r="B4" s="62" t="inlineStr">
        <is>
          <t>← le celle gialle sono le uniche da personalizzare; tutte le altre si calcolano da sole.</t>
        </is>
      </c>
      <c r="E4" s="61" t="inlineStr">
        <is>
          <t>Tipi di debito</t>
        </is>
      </c>
      <c r="F4" s="62" t="inlineStr">
        <is>
          <t>Compaiono nel menu «Tipo» del foglio Debiti: cambiali o aggiungine di tuoi.</t>
        </is>
      </c>
    </row>
    <row r="5" ht="30" customHeight="1">
      <c r="A5" s="92" t="inlineStr">
        <is>
          <t>Primo mese del piano</t>
        </is>
      </c>
      <c r="B5" s="93" t="n">
        <v>46327</v>
      </c>
      <c r="C5" s="94" t="inlineStr">
        <is>
          <t>Il mese del primo pagamento. Scrivi una data qualsiasi di quel mese, per esempio 01/11/2026.</t>
        </is>
      </c>
      <c r="E5" s="78" t="inlineStr">
        <is>
          <t>Carta revolving</t>
        </is>
      </c>
    </row>
    <row r="6" ht="30" customHeight="1">
      <c r="A6" s="92" t="inlineStr">
        <is>
          <t>Budget mensile per i debiti</t>
        </is>
      </c>
      <c r="B6" s="95" t="n">
        <v>800</v>
      </c>
      <c r="C6" s="94" t="inlineStr">
        <is>
          <t>Quanto puoi pagare ogni mese per tutti i debiti insieme, rate minime comprese.</t>
        </is>
      </c>
      <c r="E6" s="78" t="inlineStr">
        <is>
          <t>Carta di credito</t>
        </is>
      </c>
    </row>
    <row r="7" ht="30" customHeight="1">
      <c r="A7" s="92" t="inlineStr">
        <is>
          <t>Effetto valanga</t>
        </is>
      </c>
      <c r="B7" s="96" t="inlineStr">
        <is>
          <t>Sì</t>
        </is>
      </c>
      <c r="C7" s="94" t="inlineStr">
        <is>
          <t>Sì: quando chiudi un debito, la sua rata passa al successivo e il totale che paghi resta uguale. No: la rata liberata la tieni tu.</t>
        </is>
      </c>
      <c r="E7" s="78" t="inlineStr">
        <is>
          <t>Prestito personale</t>
        </is>
      </c>
    </row>
    <row r="8" ht="30" customHeight="1">
      <c r="A8" s="92" t="inlineStr">
        <is>
          <t>Strategia</t>
        </is>
      </c>
      <c r="B8" s="97" t="str">
        <f>Riepilogo!$Q$2</f>
        <v>Valanga</v>
      </c>
      <c r="C8" s="98" t="inlineStr">
        <is>
          <t>La scegli in alto a destra nel Riepilogo →</t>
        </is>
      </c>
      <c r="E8" s="78" t="inlineStr">
        <is>
          <t>Prestito auto</t>
        </is>
      </c>
    </row>
    <row r="9">
      <c r="E9" s="78" t="inlineStr">
        <is>
          <t>Mutuo</t>
        </is>
      </c>
    </row>
    <row r="10">
      <c r="E10" s="78" t="inlineStr">
        <is>
          <t>Acquisto a rate</t>
        </is>
      </c>
    </row>
    <row r="11">
      <c r="E11" s="78" t="inlineStr">
        <is>
          <t>Scoperto di conto</t>
        </is>
      </c>
    </row>
    <row r="12">
      <c r="E12" s="78" t="inlineStr">
        <is>
          <t>Cessione del quinto</t>
        </is>
      </c>
    </row>
    <row r="13">
      <c r="E13" s="78" t="inlineStr">
        <is>
          <t>Debito con familiari</t>
        </is>
      </c>
    </row>
    <row r="14">
      <c r="E14" s="78" t="inlineStr">
        <is>
          <t>Debito con il fisco</t>
        </is>
      </c>
    </row>
    <row r="15">
      <c r="E15" s="78" t="inlineStr">
        <is>
          <t>Altro</t>
        </is>
      </c>
    </row>
    <row r="16">
      <c r="E16" s="78" t="n"/>
    </row>
  </sheetData>
  <dataValidations count="3">
    <dataValidation sqref="B5" showDropDown="0" showInputMessage="0" showErrorMessage="1" allowBlank="0" errorTitle="Data non valida" error="Scrivi una data, per esempio 01/11/2026." type="date" operator="between">
      <formula1>DATE(2000,1,1)</formula1>
      <formula2>DATE(2100,12,31)</formula2>
    </dataValidation>
    <dataValidation sqref="B6" showDropDown="0" showInputMessage="0" showErrorMessage="1" allowBlank="1" errorTitle="Importo non valido" error="Scrivi un importo positivo in euro." type="decimal" operator="greaterThanOrEqual">
      <formula1>0</formula1>
    </dataValidation>
    <dataValidation sqref="B7" showDropDown="0" showInputMessage="0" showErrorMessage="1" allowBlank="0" errorTitle="Scegli Sì o No" error="Scegli Sì o No dal menu." type="list">
      <formula1>"Sì,No"</formula1>
    </dataValidation>
  </dataValidations>
  <hyperlinks>
    <hyperlink ref="A3" location="'Riepilogo'!A1" display="← Torna al Riepilogo"/>
    <hyperlink ref="C8" location="'Riepilogo'!A1" display="La scegli in alto a destra nel Riepilogo →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H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Calcoli comuni a tutte le strategie (non modificare)</t>
        </is>
      </c>
    </row>
    <row r="2">
      <c r="A2" t="inlineStr">
        <is>
          <t>Anno di inizio</t>
        </is>
      </c>
      <c r="B2">
        <f>IFERROR(YEAR(Impostazioni!$B$5),YEAR(TODAY()))</f>
        <v>2026</v>
      </c>
    </row>
    <row r="3">
      <c r="A3" t="inlineStr">
        <is>
          <t>Mese di inizio</t>
        </is>
      </c>
      <c r="B3">
        <f>IFERROR(MONTH(Impostazioni!$B$5),MONTH(TODAY()))</f>
        <v>11</v>
      </c>
    </row>
    <row r="6">
      <c r="A6" t="inlineStr">
        <is>
          <t>Nome</t>
        </is>
      </c>
      <c r="C6" t="str">
        <f>IF(Debiti!$A$7="","",Debiti!$A$7)</f>
        <v>Carta revolving</v>
      </c>
      <c r="D6" t="str">
        <f>IF(Debiti!$A$8="","",Debiti!$A$8)</f>
        <v>Carta del negozio</v>
      </c>
      <c r="E6" t="str">
        <f>IF(Debiti!$A$9="","",Debiti!$A$9)</f>
        <v>Prestito personale</v>
      </c>
      <c r="F6" t="str">
        <f>IF(Debiti!$A$10="","",Debiti!$A$10)</f>
        <v>Prestito dell’auto</v>
      </c>
      <c r="G6" t="str">
        <f>IF(Debiti!$A$11="","",Debiti!$A$11)</f>
        <v>Smartphone a rate</v>
      </c>
      <c r="H6" t="str">
        <f>IF(Debiti!$A$12="","",Debiti!$A$12)</f>
        <v>Prestito dei genitori</v>
      </c>
      <c r="I6" t="str">
        <f>IF(Debiti!$A$13="","",Debiti!$A$13)</f>
        <v/>
      </c>
      <c r="J6" t="str">
        <f>IF(Debiti!$A$14="","",Debiti!$A$14)</f>
        <v/>
      </c>
      <c r="K6" t="str">
        <f>IF(Debiti!$A$15="","",Debiti!$A$15)</f>
        <v/>
      </c>
      <c r="L6" t="str">
        <f>IF(Debiti!$A$16="","",Debiti!$A$16)</f>
        <v/>
      </c>
      <c r="M6" t="str">
        <f>IF(Debiti!$A$17="","",Debiti!$A$17)</f>
        <v/>
      </c>
      <c r="N6" t="str">
        <f>IF(Debiti!$A$18="","",Debiti!$A$18)</f>
        <v/>
      </c>
      <c r="AH6" t="inlineStr">
        <is>
          <t>Secondo la strategia</t>
        </is>
      </c>
    </row>
    <row r="7">
      <c r="A7" t="inlineStr">
        <is>
          <t>Attivo</t>
        </is>
      </c>
      <c r="C7">
        <f>IF(AND(C6&lt;&gt;"",N(Debiti!$C$7)&gt;0),1,0)</f>
        <v>1</v>
      </c>
      <c r="D7">
        <f>IF(AND(D6&lt;&gt;"",N(Debiti!$C$8)&gt;0),1,0)</f>
        <v>1</v>
      </c>
      <c r="E7">
        <f>IF(AND(E6&lt;&gt;"",N(Debiti!$C$9)&gt;0),1,0)</f>
        <v>1</v>
      </c>
      <c r="F7">
        <f>IF(AND(F6&lt;&gt;"",N(Debiti!$C$10)&gt;0),1,0)</f>
        <v>1</v>
      </c>
      <c r="G7">
        <f>IF(AND(G6&lt;&gt;"",N(Debiti!$C$11)&gt;0),1,0)</f>
        <v>1</v>
      </c>
      <c r="H7">
        <f>IF(AND(H6&lt;&gt;"",N(Debiti!$C$12)&gt;0),1,0)</f>
        <v>1</v>
      </c>
      <c r="I7">
        <f>IF(AND(I6&lt;&gt;"",N(Debiti!$C$13)&gt;0),1,0)</f>
        <v>0</v>
      </c>
      <c r="J7">
        <f>IF(AND(J6&lt;&gt;"",N(Debiti!$C$14)&gt;0),1,0)</f>
        <v>0</v>
      </c>
      <c r="K7">
        <f>IF(AND(K6&lt;&gt;"",N(Debiti!$C$15)&gt;0),1,0)</f>
        <v>0</v>
      </c>
      <c r="L7">
        <f>IF(AND(L6&lt;&gt;"",N(Debiti!$C$16)&gt;0),1,0)</f>
        <v>0</v>
      </c>
      <c r="M7">
        <f>IF(AND(M6&lt;&gt;"",N(Debiti!$C$17)&gt;0),1,0)</f>
        <v>0</v>
      </c>
      <c r="N7">
        <f>IF(AND(N6&lt;&gt;"",N(Debiti!$C$18)&gt;0),1,0)</f>
        <v>0</v>
      </c>
      <c r="AH7" t="str">
        <f>C6</f>
        <v>Carta revolving</v>
      </c>
    </row>
    <row r="8">
      <c r="A8" t="inlineStr">
        <is>
          <t>Debito iniziale</t>
        </is>
      </c>
      <c r="C8">
        <f>IF(C7=1,ROUND(N(Debiti!$C$7),2),0)</f>
        <v>2400</v>
      </c>
      <c r="D8">
        <f>IF(D7=1,ROUND(N(Debiti!$C$8),2),0)</f>
        <v>850</v>
      </c>
      <c r="E8">
        <f>IF(E7=1,ROUND(N(Debiti!$C$9),2),0)</f>
        <v>6800</v>
      </c>
      <c r="F8">
        <f>IF(F7=1,ROUND(N(Debiti!$C$10),2),0)</f>
        <v>9500</v>
      </c>
      <c r="G8">
        <f>IF(G7=1,ROUND(N(Debiti!$C$11),2),0)</f>
        <v>540</v>
      </c>
      <c r="H8">
        <f>IF(H7=1,ROUND(N(Debiti!$C$12),2),0)</f>
        <v>1500</v>
      </c>
      <c r="I8">
        <f>IF(I7=1,ROUND(N(Debiti!$C$13),2),0)</f>
        <v>0</v>
      </c>
      <c r="J8">
        <f>IF(J7=1,ROUND(N(Debiti!$C$14),2),0)</f>
        <v>0</v>
      </c>
      <c r="K8">
        <f>IF(K7=1,ROUND(N(Debiti!$C$15),2),0)</f>
        <v>0</v>
      </c>
      <c r="L8">
        <f>IF(L7=1,ROUND(N(Debiti!$C$16),2),0)</f>
        <v>0</v>
      </c>
      <c r="M8">
        <f>IF(M7=1,ROUND(N(Debiti!$C$17),2),0)</f>
        <v>0</v>
      </c>
      <c r="N8">
        <f>IF(N7=1,ROUND(N(Debiti!$C$18),2),0)</f>
        <v>0</v>
      </c>
      <c r="AH8" t="str">
        <f>D6</f>
        <v>Carta del negozio</v>
      </c>
    </row>
    <row r="9">
      <c r="A9" t="inlineStr">
        <is>
          <t>TAN</t>
        </is>
      </c>
      <c r="C9">
        <f>N(Debiti!$D$7)</f>
        <v>0.189</v>
      </c>
      <c r="D9">
        <f>N(Debiti!$D$8)</f>
        <v>0</v>
      </c>
      <c r="E9">
        <f>N(Debiti!$D$9)</f>
        <v>0.092</v>
      </c>
      <c r="F9">
        <f>N(Debiti!$D$10)</f>
        <v>0.064</v>
      </c>
      <c r="G9">
        <f>N(Debiti!$D$11)</f>
        <v>0</v>
      </c>
      <c r="H9">
        <f>N(Debiti!$D$12)</f>
        <v>0</v>
      </c>
      <c r="I9">
        <f>N(Debiti!$D$13)</f>
        <v>0</v>
      </c>
      <c r="J9">
        <f>N(Debiti!$D$14)</f>
        <v>0</v>
      </c>
      <c r="K9">
        <f>N(Debiti!$D$15)</f>
        <v>0</v>
      </c>
      <c r="L9">
        <f>N(Debiti!$D$16)</f>
        <v>0</v>
      </c>
      <c r="M9">
        <f>N(Debiti!$D$17)</f>
        <v>0</v>
      </c>
      <c r="N9">
        <f>N(Debiti!$D$18)</f>
        <v>0</v>
      </c>
      <c r="AH9" t="str">
        <f>E6</f>
        <v>Prestito personale</v>
      </c>
    </row>
    <row r="10">
      <c r="A10" t="inlineStr">
        <is>
          <t>Mese del cambio di tasso</t>
        </is>
      </c>
      <c r="C10">
        <f>IF(OR(Debiti!$I$7="",Debiti!$J$7=""),9999,IFERROR(MAX(1,(YEAR(Debiti!$I$7)-$B$2)*12+MONTH(Debiti!$I$7)-$B$3+1),9999))</f>
        <v>9999</v>
      </c>
      <c r="D10">
        <f>IF(OR(Debiti!$I$8="",Debiti!$J$8=""),9999,IFERROR(MAX(1,(YEAR(Debiti!$I$8)-$B$2)*12+MONTH(Debiti!$I$8)-$B$3+1),9999))</f>
        <v>6</v>
      </c>
      <c r="E10">
        <f>IF(OR(Debiti!$I$9="",Debiti!$J$9=""),9999,IFERROR(MAX(1,(YEAR(Debiti!$I$9)-$B$2)*12+MONTH(Debiti!$I$9)-$B$3+1),9999))</f>
        <v>9999</v>
      </c>
      <c r="F10">
        <f>IF(OR(Debiti!$I$10="",Debiti!$J$10=""),9999,IFERROR(MAX(1,(YEAR(Debiti!$I$10)-$B$2)*12+MONTH(Debiti!$I$10)-$B$3+1),9999))</f>
        <v>9999</v>
      </c>
      <c r="G10">
        <f>IF(OR(Debiti!$I$11="",Debiti!$J$11=""),9999,IFERROR(MAX(1,(YEAR(Debiti!$I$11)-$B$2)*12+MONTH(Debiti!$I$11)-$B$3+1),9999))</f>
        <v>9999</v>
      </c>
      <c r="H10">
        <f>IF(OR(Debiti!$I$12="",Debiti!$J$12=""),9999,IFERROR(MAX(1,(YEAR(Debiti!$I$12)-$B$2)*12+MONTH(Debiti!$I$12)-$B$3+1),9999))</f>
        <v>9999</v>
      </c>
      <c r="I10">
        <f>IF(OR(Debiti!$I$13="",Debiti!$J$13=""),9999,IFERROR(MAX(1,(YEAR(Debiti!$I$13)-$B$2)*12+MONTH(Debiti!$I$13)-$B$3+1),9999))</f>
        <v>9999</v>
      </c>
      <c r="J10">
        <f>IF(OR(Debiti!$I$14="",Debiti!$J$14=""),9999,IFERROR(MAX(1,(YEAR(Debiti!$I$14)-$B$2)*12+MONTH(Debiti!$I$14)-$B$3+1),9999))</f>
        <v>9999</v>
      </c>
      <c r="K10">
        <f>IF(OR(Debiti!$I$15="",Debiti!$J$15=""),9999,IFERROR(MAX(1,(YEAR(Debiti!$I$15)-$B$2)*12+MONTH(Debiti!$I$15)-$B$3+1),9999))</f>
        <v>9999</v>
      </c>
      <c r="L10">
        <f>IF(OR(Debiti!$I$16="",Debiti!$J$16=""),9999,IFERROR(MAX(1,(YEAR(Debiti!$I$16)-$B$2)*12+MONTH(Debiti!$I$16)-$B$3+1),9999))</f>
        <v>9999</v>
      </c>
      <c r="M10">
        <f>IF(OR(Debiti!$I$17="",Debiti!$J$17=""),9999,IFERROR(MAX(1,(YEAR(Debiti!$I$17)-$B$2)*12+MONTH(Debiti!$I$17)-$B$3+1),9999))</f>
        <v>9999</v>
      </c>
      <c r="N10">
        <f>IF(OR(Debiti!$I$18="",Debiti!$J$18=""),9999,IFERROR(MAX(1,(YEAR(Debiti!$I$18)-$B$2)*12+MONTH(Debiti!$I$18)-$B$3+1),9999))</f>
        <v>9999</v>
      </c>
      <c r="AH10" t="str">
        <f>F6</f>
        <v>Prestito dell’auto</v>
      </c>
    </row>
    <row r="11">
      <c r="A11" t="inlineStr">
        <is>
          <t>TAN dopo il cambio</t>
        </is>
      </c>
      <c r="C11">
        <f>IF(C10&lt;9999,N(Debiti!$J$7),C9)</f>
        <v>0.189</v>
      </c>
      <c r="D11">
        <f>IF(D10&lt;9999,N(Debiti!$J$8),D9)</f>
        <v>0.219</v>
      </c>
      <c r="E11">
        <f>IF(E10&lt;9999,N(Debiti!$J$9),E9)</f>
        <v>0.092</v>
      </c>
      <c r="F11">
        <f>IF(F10&lt;9999,N(Debiti!$J$10),F9)</f>
        <v>0.064</v>
      </c>
      <c r="G11">
        <f>IF(G10&lt;9999,N(Debiti!$J$11),G9)</f>
        <v>0</v>
      </c>
      <c r="H11">
        <f>IF(H10&lt;9999,N(Debiti!$J$12),H9)</f>
        <v>0</v>
      </c>
      <c r="I11">
        <f>IF(I10&lt;9999,N(Debiti!$J$13),I9)</f>
        <v>0</v>
      </c>
      <c r="J11">
        <f>IF(J10&lt;9999,N(Debiti!$J$14),J9)</f>
        <v>0</v>
      </c>
      <c r="K11">
        <f>IF(K10&lt;9999,N(Debiti!$J$15),K9)</f>
        <v>0</v>
      </c>
      <c r="L11">
        <f>IF(L10&lt;9999,N(Debiti!$J$16),L9)</f>
        <v>0</v>
      </c>
      <c r="M11">
        <f>IF(M10&lt;9999,N(Debiti!$J$17),M9)</f>
        <v>0</v>
      </c>
      <c r="N11">
        <f>IF(N10&lt;9999,N(Debiti!$J$18),N9)</f>
        <v>0</v>
      </c>
      <c r="AH11" t="str">
        <f>G6</f>
        <v>Smartphone a rate</v>
      </c>
    </row>
    <row r="12">
      <c r="A12" t="inlineStr">
        <is>
          <t>Rata minima €</t>
        </is>
      </c>
      <c r="C12">
        <f>N(Debiti!$E$7)</f>
        <v>30</v>
      </c>
      <c r="D12">
        <f>N(Debiti!$E$8)</f>
        <v>25</v>
      </c>
      <c r="E12">
        <f>N(Debiti!$E$9)</f>
        <v>210</v>
      </c>
      <c r="F12">
        <f>N(Debiti!$E$10)</f>
        <v>265</v>
      </c>
      <c r="G12">
        <f>N(Debiti!$E$11)</f>
        <v>45</v>
      </c>
      <c r="H12">
        <f>N(Debiti!$E$12)</f>
        <v>50</v>
      </c>
      <c r="I12">
        <f>N(Debiti!$E$13)</f>
        <v>0</v>
      </c>
      <c r="J12">
        <f>N(Debiti!$E$14)</f>
        <v>0</v>
      </c>
      <c r="K12">
        <f>N(Debiti!$E$15)</f>
        <v>0</v>
      </c>
      <c r="L12">
        <f>N(Debiti!$E$16)</f>
        <v>0</v>
      </c>
      <c r="M12">
        <f>N(Debiti!$E$17)</f>
        <v>0</v>
      </c>
      <c r="N12">
        <f>N(Debiti!$E$18)</f>
        <v>0</v>
      </c>
      <c r="AH12" t="str">
        <f>H6</f>
        <v>Prestito dei genitori</v>
      </c>
    </row>
    <row r="13">
      <c r="A13" t="inlineStr">
        <is>
          <t>Rata minima %</t>
        </is>
      </c>
      <c r="C13">
        <f>N(Debiti!$F$7)</f>
        <v>0.03</v>
      </c>
      <c r="D13">
        <f>N(Debiti!$F$8)</f>
        <v>0.04</v>
      </c>
      <c r="E13">
        <f>N(Debiti!$F$9)</f>
        <v>0</v>
      </c>
      <c r="F13">
        <f>N(Debiti!$F$10)</f>
        <v>0</v>
      </c>
      <c r="G13">
        <f>N(Debiti!$F$11)</f>
        <v>0</v>
      </c>
      <c r="H13">
        <f>N(Debiti!$F$12)</f>
        <v>0</v>
      </c>
      <c r="I13">
        <f>N(Debiti!$F$13)</f>
        <v>0</v>
      </c>
      <c r="J13">
        <f>N(Debiti!$F$14)</f>
        <v>0</v>
      </c>
      <c r="K13">
        <f>N(Debiti!$F$15)</f>
        <v>0</v>
      </c>
      <c r="L13">
        <f>N(Debiti!$F$16)</f>
        <v>0</v>
      </c>
      <c r="M13">
        <f>N(Debiti!$F$17)</f>
        <v>0</v>
      </c>
      <c r="N13">
        <f>N(Debiti!$F$18)</f>
        <v>0</v>
      </c>
      <c r="AH13" t="str">
        <f>I6</f>
        <v/>
      </c>
    </row>
    <row r="14">
      <c r="A14" t="inlineStr">
        <is>
          <t>Riceve extra</t>
        </is>
      </c>
      <c r="C14">
        <f>IF(AND(C7=1,Debiti!$G$7&lt;&gt;"No"),1,0)</f>
        <v>1</v>
      </c>
      <c r="D14">
        <f>IF(AND(D7=1,Debiti!$G$8&lt;&gt;"No"),1,0)</f>
        <v>1</v>
      </c>
      <c r="E14">
        <f>IF(AND(E7=1,Debiti!$G$9&lt;&gt;"No"),1,0)</f>
        <v>1</v>
      </c>
      <c r="F14">
        <f>IF(AND(F7=1,Debiti!$G$10&lt;&gt;"No"),1,0)</f>
        <v>1</v>
      </c>
      <c r="G14">
        <f>IF(AND(G7=1,Debiti!$G$11&lt;&gt;"No"),1,0)</f>
        <v>1</v>
      </c>
      <c r="H14">
        <f>IF(AND(H7=1,Debiti!$G$12&lt;&gt;"No"),1,0)</f>
        <v>1</v>
      </c>
      <c r="I14">
        <f>IF(AND(I7=1,Debiti!$G$13&lt;&gt;"No"),1,0)</f>
        <v>0</v>
      </c>
      <c r="J14">
        <f>IF(AND(J7=1,Debiti!$G$14&lt;&gt;"No"),1,0)</f>
        <v>0</v>
      </c>
      <c r="K14">
        <f>IF(AND(K7=1,Debiti!$G$15&lt;&gt;"No"),1,0)</f>
        <v>0</v>
      </c>
      <c r="L14">
        <f>IF(AND(L7=1,Debiti!$G$16&lt;&gt;"No"),1,0)</f>
        <v>0</v>
      </c>
      <c r="M14">
        <f>IF(AND(M7=1,Debiti!$G$17&lt;&gt;"No"),1,0)</f>
        <v>0</v>
      </c>
      <c r="N14">
        <f>IF(AND(N7=1,Debiti!$G$18&lt;&gt;"No"),1,0)</f>
        <v>0</v>
      </c>
      <c r="AH14" t="str">
        <f>J6</f>
        <v/>
      </c>
    </row>
    <row r="15">
      <c r="A15" t="inlineStr">
        <is>
          <t>Indice</t>
        </is>
      </c>
      <c r="C15" t="n">
        <v>1</v>
      </c>
      <c r="D15" t="n">
        <v>2</v>
      </c>
      <c r="E15" t="n">
        <v>3</v>
      </c>
      <c r="F15" t="n">
        <v>4</v>
      </c>
      <c r="G15" t="n">
        <v>5</v>
      </c>
      <c r="H15" t="n">
        <v>6</v>
      </c>
      <c r="I15" t="n">
        <v>7</v>
      </c>
      <c r="J15" t="n">
        <v>8</v>
      </c>
      <c r="K15" t="n">
        <v>9</v>
      </c>
      <c r="L15" t="n">
        <v>10</v>
      </c>
      <c r="M15" t="n">
        <v>11</v>
      </c>
      <c r="N15" t="n">
        <v>12</v>
      </c>
      <c r="AH15" t="str">
        <f>K6</f>
        <v/>
      </c>
    </row>
    <row r="16">
      <c r="A16" t="inlineStr">
        <is>
          <t>Chiave palla di neve</t>
        </is>
      </c>
      <c r="C16">
        <f>IF(C7=1,C8+C15/1000000,1000000000000+C15)</f>
        <v>2400.000001</v>
      </c>
      <c r="D16">
        <f>IF(D7=1,D8+D15/1000000,1000000000000+D15)</f>
        <v>850.000002</v>
      </c>
      <c r="E16">
        <f>IF(E7=1,E8+E15/1000000,1000000000000+E15)</f>
        <v>6800.000003</v>
      </c>
      <c r="F16">
        <f>IF(F7=1,F8+F15/1000000,1000000000000+F15)</f>
        <v>9500.000004</v>
      </c>
      <c r="G16">
        <f>IF(G7=1,G8+G15/1000000,1000000000000+G15)</f>
        <v>540.000005</v>
      </c>
      <c r="H16">
        <f>IF(H7=1,H8+H15/1000000,1000000000000+H15)</f>
        <v>1500.000006</v>
      </c>
      <c r="I16">
        <f>IF(I7=1,I8+I15/1000000,1000000000000+I15)</f>
        <v>1000000000007</v>
      </c>
      <c r="J16">
        <f>IF(J7=1,J8+J15/1000000,1000000000000+J15)</f>
        <v>1000000000008</v>
      </c>
      <c r="K16">
        <f>IF(K7=1,K8+K15/1000000,1000000000000+K15)</f>
        <v>1000000000009</v>
      </c>
      <c r="L16">
        <f>IF(L7=1,L8+L15/1000000,1000000000000+L15)</f>
        <v>1000000000010</v>
      </c>
      <c r="M16">
        <f>IF(M7=1,M8+M15/1000000,1000000000000+M15)</f>
        <v>1000000000011</v>
      </c>
      <c r="N16">
        <f>IF(N7=1,N8+N15/1000000,1000000000000+N15)</f>
        <v>1000000000012</v>
      </c>
      <c r="AH16" t="str">
        <f>L6</f>
        <v/>
      </c>
    </row>
    <row r="17">
      <c r="A17" t="inlineStr">
        <is>
          <t>Ordine palla di neve</t>
        </is>
      </c>
      <c r="C17">
        <f>SUMPRODUCT(($C$16:$N$16&lt;C16)*1)+1</f>
        <v>4</v>
      </c>
      <c r="D17">
        <f>SUMPRODUCT(($C$16:$N$16&lt;D16)*1)+1</f>
        <v>2</v>
      </c>
      <c r="E17">
        <f>SUMPRODUCT(($C$16:$N$16&lt;E16)*1)+1</f>
        <v>5</v>
      </c>
      <c r="F17">
        <f>SUMPRODUCT(($C$16:$N$16&lt;F16)*1)+1</f>
        <v>6</v>
      </c>
      <c r="G17">
        <f>SUMPRODUCT(($C$16:$N$16&lt;G16)*1)+1</f>
        <v>1</v>
      </c>
      <c r="H17">
        <f>SUMPRODUCT(($C$16:$N$16&lt;H16)*1)+1</f>
        <v>3</v>
      </c>
      <c r="I17">
        <f>SUMPRODUCT(($C$16:$N$16&lt;I16)*1)+1</f>
        <v>7</v>
      </c>
      <c r="J17">
        <f>SUMPRODUCT(($C$16:$N$16&lt;J16)*1)+1</f>
        <v>8</v>
      </c>
      <c r="K17">
        <f>SUMPRODUCT(($C$16:$N$16&lt;K16)*1)+1</f>
        <v>9</v>
      </c>
      <c r="L17">
        <f>SUMPRODUCT(($C$16:$N$16&lt;L16)*1)+1</f>
        <v>10</v>
      </c>
      <c r="M17">
        <f>SUMPRODUCT(($C$16:$N$16&lt;M16)*1)+1</f>
        <v>11</v>
      </c>
      <c r="N17">
        <f>SUMPRODUCT(($C$16:$N$16&lt;N16)*1)+1</f>
        <v>12</v>
      </c>
      <c r="AH17" t="str">
        <f>M6</f>
        <v/>
      </c>
    </row>
    <row r="18">
      <c r="A18" t="inlineStr">
        <is>
          <t>Chiave personalizzata</t>
        </is>
      </c>
      <c r="C18">
        <f>IF(C7=1,IF(Debiti!$H$7="",1000,N(Debiti!$H$7))+C15/10000,1000000000000+C15)</f>
        <v>2.0001</v>
      </c>
      <c r="D18">
        <f>IF(D7=1,IF(Debiti!$H$8="",1000,N(Debiti!$H$8))+D15/10000,1000000000000+D15)</f>
        <v>1.0002</v>
      </c>
      <c r="E18">
        <f>IF(E7=1,IF(Debiti!$H$9="",1000,N(Debiti!$H$9))+E15/10000,1000000000000+E15)</f>
        <v>3.0003</v>
      </c>
      <c r="F18">
        <f>IF(F7=1,IF(Debiti!$H$10="",1000,N(Debiti!$H$10))+F15/10000,1000000000000+F15)</f>
        <v>4.0004</v>
      </c>
      <c r="G18">
        <f>IF(G7=1,IF(Debiti!$H$11="",1000,N(Debiti!$H$11))+G15/10000,1000000000000+G15)</f>
        <v>5.0005</v>
      </c>
      <c r="H18">
        <f>IF(H7=1,IF(Debiti!$H$12="",1000,N(Debiti!$H$12))+H15/10000,1000000000000+H15)</f>
        <v>6.0006</v>
      </c>
      <c r="I18">
        <f>IF(I7=1,IF(Debiti!$H$13="",1000,N(Debiti!$H$13))+I15/10000,1000000000000+I15)</f>
        <v>1000000000007</v>
      </c>
      <c r="J18">
        <f>IF(J7=1,IF(Debiti!$H$14="",1000,N(Debiti!$H$14))+J15/10000,1000000000000+J15)</f>
        <v>1000000000008</v>
      </c>
      <c r="K18">
        <f>IF(K7=1,IF(Debiti!$H$15="",1000,N(Debiti!$H$15))+K15/10000,1000000000000+K15)</f>
        <v>1000000000009</v>
      </c>
      <c r="L18">
        <f>IF(L7=1,IF(Debiti!$H$16="",1000,N(Debiti!$H$16))+L15/10000,1000000000000+L15)</f>
        <v>1000000000010</v>
      </c>
      <c r="M18">
        <f>IF(M7=1,IF(Debiti!$H$17="",1000,N(Debiti!$H$17))+M15/10000,1000000000000+M15)</f>
        <v>1000000000011</v>
      </c>
      <c r="N18">
        <f>IF(N7=1,IF(Debiti!$H$18="",1000,N(Debiti!$H$18))+N15/10000,1000000000000+N15)</f>
        <v>1000000000012</v>
      </c>
      <c r="AH18" t="str">
        <f>N6</f>
        <v/>
      </c>
    </row>
    <row r="19">
      <c r="A19" t="inlineStr">
        <is>
          <t>Ordine personalizzata</t>
        </is>
      </c>
      <c r="C19">
        <f>SUMPRODUCT(($C$18:$N$18&lt;C18)*1)+1</f>
        <v>2</v>
      </c>
      <c r="D19">
        <f>SUMPRODUCT(($C$18:$N$18&lt;D18)*1)+1</f>
        <v>1</v>
      </c>
      <c r="E19">
        <f>SUMPRODUCT(($C$18:$N$18&lt;E18)*1)+1</f>
        <v>3</v>
      </c>
      <c r="F19">
        <f>SUMPRODUCT(($C$18:$N$18&lt;F18)*1)+1</f>
        <v>4</v>
      </c>
      <c r="G19">
        <f>SUMPRODUCT(($C$18:$N$18&lt;G18)*1)+1</f>
        <v>5</v>
      </c>
      <c r="H19">
        <f>SUMPRODUCT(($C$18:$N$18&lt;H18)*1)+1</f>
        <v>6</v>
      </c>
      <c r="I19">
        <f>SUMPRODUCT(($C$18:$N$18&lt;I18)*1)+1</f>
        <v>7</v>
      </c>
      <c r="J19">
        <f>SUMPRODUCT(($C$18:$N$18&lt;J18)*1)+1</f>
        <v>8</v>
      </c>
      <c r="K19">
        <f>SUMPRODUCT(($C$18:$N$18&lt;K18)*1)+1</f>
        <v>9</v>
      </c>
      <c r="L19">
        <f>SUMPRODUCT(($C$18:$N$18&lt;L18)*1)+1</f>
        <v>10</v>
      </c>
      <c r="M19">
        <f>SUMPRODUCT(($C$18:$N$18&lt;M18)*1)+1</f>
        <v>11</v>
      </c>
      <c r="N19">
        <f>SUMPRODUCT(($C$18:$N$18&lt;N18)*1)+1</f>
        <v>12</v>
      </c>
    </row>
    <row r="20">
      <c r="A20" t="inlineStr">
        <is>
          <t>Chiave valanga</t>
        </is>
      </c>
      <c r="C20">
        <f>IF(C7=1,-C9*100+C17/1000,1000000000000+C15)</f>
        <v>-18.896</v>
      </c>
      <c r="D20">
        <f>IF(D7=1,-D9*100+D17/1000,1000000000000+D15)</f>
        <v>0.002</v>
      </c>
      <c r="E20">
        <f>IF(E7=1,-E9*100+E17/1000,1000000000000+E15)</f>
        <v>-9.195</v>
      </c>
      <c r="F20">
        <f>IF(F7=1,-F9*100+F17/1000,1000000000000+F15)</f>
        <v>-6.394</v>
      </c>
      <c r="G20">
        <f>IF(G7=1,-G9*100+G17/1000,1000000000000+G15)</f>
        <v>0.001</v>
      </c>
      <c r="H20">
        <f>IF(H7=1,-H9*100+H17/1000,1000000000000+H15)</f>
        <v>0.003</v>
      </c>
      <c r="I20">
        <f>IF(I7=1,-I9*100+I17/1000,1000000000000+I15)</f>
        <v>1000000000007</v>
      </c>
      <c r="J20">
        <f>IF(J7=1,-J9*100+J17/1000,1000000000000+J15)</f>
        <v>1000000000008</v>
      </c>
      <c r="K20">
        <f>IF(K7=1,-K9*100+K17/1000,1000000000000+K15)</f>
        <v>1000000000009</v>
      </c>
      <c r="L20">
        <f>IF(L7=1,-L9*100+L17/1000,1000000000000+L15)</f>
        <v>1000000000010</v>
      </c>
      <c r="M20">
        <f>IF(M7=1,-M9*100+M17/1000,1000000000000+M15)</f>
        <v>1000000000011</v>
      </c>
      <c r="N20">
        <f>IF(N7=1,-N9*100+N17/1000,1000000000000+N15)</f>
        <v>1000000000012</v>
      </c>
    </row>
    <row r="21">
      <c r="A21" t="inlineStr">
        <is>
          <t>Ordine valanga</t>
        </is>
      </c>
      <c r="C21">
        <f>SUMPRODUCT(($C$20:$N$20&lt;C20)*1)+1</f>
        <v>1</v>
      </c>
      <c r="D21">
        <f>SUMPRODUCT(($C$20:$N$20&lt;D20)*1)+1</f>
        <v>5</v>
      </c>
      <c r="E21">
        <f>SUMPRODUCT(($C$20:$N$20&lt;E20)*1)+1</f>
        <v>2</v>
      </c>
      <c r="F21">
        <f>SUMPRODUCT(($C$20:$N$20&lt;F20)*1)+1</f>
        <v>3</v>
      </c>
      <c r="G21">
        <f>SUMPRODUCT(($C$20:$N$20&lt;G20)*1)+1</f>
        <v>4</v>
      </c>
      <c r="H21">
        <f>SUMPRODUCT(($C$20:$N$20&lt;H20)*1)+1</f>
        <v>6</v>
      </c>
      <c r="I21">
        <f>SUMPRODUCT(($C$20:$N$20&lt;I20)*1)+1</f>
        <v>7</v>
      </c>
      <c r="J21">
        <f>SUMPRODUCT(($C$20:$N$20&lt;J20)*1)+1</f>
        <v>8</v>
      </c>
      <c r="K21">
        <f>SUMPRODUCT(($C$20:$N$20&lt;K20)*1)+1</f>
        <v>9</v>
      </c>
      <c r="L21">
        <f>SUMPRODUCT(($C$20:$N$20&lt;L20)*1)+1</f>
        <v>10</v>
      </c>
      <c r="M21">
        <f>SUMPRODUCT(($C$20:$N$20&lt;M20)*1)+1</f>
        <v>11</v>
      </c>
      <c r="N21">
        <f>SUMPRODUCT(($C$20:$N$20&lt;N20)*1)+1</f>
        <v>12</v>
      </c>
    </row>
    <row r="29">
      <c r="A29" t="inlineStr">
        <is>
          <t>Mese</t>
        </is>
      </c>
      <c r="B29" t="inlineStr">
        <is>
          <t>Data</t>
        </is>
      </c>
      <c r="C29" t="inlineStr">
        <is>
          <t>Budget</t>
        </is>
      </c>
      <c r="D29" t="inlineStr">
        <is>
          <t>Ultimo cambio di budget</t>
        </is>
      </c>
      <c r="E29" t="inlineStr">
        <is>
          <t>Extra del mese</t>
        </is>
      </c>
      <c r="F29" t="inlineStr">
        <is>
          <t>Extra mirati</t>
        </is>
      </c>
      <c r="G29" t="inlineStr">
        <is>
          <t>Extra secondo la strategia</t>
        </is>
      </c>
      <c r="H29" t="inlineStr">
        <is>
          <t>Tasso mensile per debito →</t>
        </is>
      </c>
      <c r="T29" t="inlineStr">
        <is>
          <t>Extra mirati per debito →</t>
        </is>
      </c>
    </row>
    <row r="30">
      <c r="A30" t="n">
        <v>0</v>
      </c>
    </row>
    <row r="31">
      <c r="A31" t="n">
        <v>1</v>
      </c>
      <c r="B31">
        <f>DATE($B$2,$B$3+A31-1,1)</f>
        <v>46327.0</v>
      </c>
      <c r="C31">
        <f>IF(D31=0,N(Impostazioni!$B$6),SUMIFS('Budget ed extra'!$B$7:$B$18,'Budget ed extra'!$D$7:$D$18,D31)/COUNTIFS('Budget ed extra'!$D$7:$D$18,D31))</f>
        <v>800</v>
      </c>
      <c r="D31">
        <f>SUMPRODUCT(MAX(('Budget ed extra'!$D$7:$D$18&lt;=A31)*'Budget ed extra'!$D$7:$D$18))</f>
        <v>0</v>
      </c>
      <c r="E31">
        <f>SUMIFS('Budget ed extra'!$G$7:$G$42,'Budget ed extra'!$J$7:$J$42,A31)</f>
        <v>0</v>
      </c>
      <c r="F31">
        <f>SUM(T31:AE31)</f>
        <v>0</v>
      </c>
      <c r="G31">
        <f>MAX(0,E31-F31)</f>
        <v>0</v>
      </c>
      <c r="H31">
        <f>IF($A31&gt;=C$10,C$11,C$9)/12</f>
        <v>0.01575</v>
      </c>
      <c r="I31">
        <f>IF($A31&gt;=D$10,D$11,D$9)/12</f>
        <v>0</v>
      </c>
      <c r="J31">
        <f>IF($A31&gt;=E$10,E$11,E$9)/12</f>
        <v>0.00766666666666667</v>
      </c>
      <c r="K31">
        <f>IF($A31&gt;=F$10,F$11,F$9)/12</f>
        <v>0.00533333333333333</v>
      </c>
      <c r="L31">
        <f>IF($A31&gt;=G$10,G$11,G$9)/12</f>
        <v>0</v>
      </c>
      <c r="M31">
        <f>IF($A31&gt;=H$10,H$11,H$9)/12</f>
        <v>0</v>
      </c>
      <c r="N31">
        <f>IF($A31&gt;=I$10,I$11,I$9)/12</f>
        <v>0</v>
      </c>
      <c r="O31">
        <f>IF($A31&gt;=J$10,J$11,J$9)/12</f>
        <v>0</v>
      </c>
      <c r="P31">
        <f>IF($A31&gt;=K$10,K$11,K$9)/12</f>
        <v>0</v>
      </c>
      <c r="Q31">
        <f>IF($A31&gt;=L$10,L$11,L$9)/12</f>
        <v>0</v>
      </c>
      <c r="R31">
        <f>IF($A31&gt;=M$10,M$11,M$9)/12</f>
        <v>0</v>
      </c>
      <c r="S31">
        <f>IF($A31&gt;=N$10,N$11,N$9)/12</f>
        <v>0</v>
      </c>
      <c r="T31">
        <f>IF(C$6="",0,SUMIFS('Budget ed extra'!$G$7:$G$42,'Budget ed extra'!$J$7:$J$42,$A31,'Budget ed extra'!$H$7:$H$42,C$6))</f>
        <v>0</v>
      </c>
      <c r="U31">
        <f>IF(D$6="",0,SUMIFS('Budget ed extra'!$G$7:$G$42,'Budget ed extra'!$J$7:$J$42,$A31,'Budget ed extra'!$H$7:$H$42,D$6))</f>
        <v>0</v>
      </c>
      <c r="V31">
        <f>IF(E$6="",0,SUMIFS('Budget ed extra'!$G$7:$G$42,'Budget ed extra'!$J$7:$J$42,$A31,'Budget ed extra'!$H$7:$H$42,E$6))</f>
        <v>0</v>
      </c>
      <c r="W31">
        <f>IF(F$6="",0,SUMIFS('Budget ed extra'!$G$7:$G$42,'Budget ed extra'!$J$7:$J$42,$A31,'Budget ed extra'!$H$7:$H$42,F$6))</f>
        <v>0</v>
      </c>
      <c r="X31">
        <f>IF(G$6="",0,SUMIFS('Budget ed extra'!$G$7:$G$42,'Budget ed extra'!$J$7:$J$42,$A31,'Budget ed extra'!$H$7:$H$42,G$6))</f>
        <v>0</v>
      </c>
      <c r="Y31">
        <f>IF(H$6="",0,SUMIFS('Budget ed extra'!$G$7:$G$42,'Budget ed extra'!$J$7:$J$42,$A31,'Budget ed extra'!$H$7:$H$42,H$6))</f>
        <v>0</v>
      </c>
      <c r="Z31">
        <f>IF(I$6="",0,SUMIFS('Budget ed extra'!$G$7:$G$42,'Budget ed extra'!$J$7:$J$42,$A31,'Budget ed extra'!$H$7:$H$42,I$6))</f>
        <v>0</v>
      </c>
      <c r="AA31">
        <f>IF(J$6="",0,SUMIFS('Budget ed extra'!$G$7:$G$42,'Budget ed extra'!$J$7:$J$42,$A31,'Budget ed extra'!$H$7:$H$42,J$6))</f>
        <v>0</v>
      </c>
      <c r="AB31">
        <f>IF(K$6="",0,SUMIFS('Budget ed extra'!$G$7:$G$42,'Budget ed extra'!$J$7:$J$42,$A31,'Budget ed extra'!$H$7:$H$42,K$6))</f>
        <v>0</v>
      </c>
      <c r="AC31">
        <f>IF(L$6="",0,SUMIFS('Budget ed extra'!$G$7:$G$42,'Budget ed extra'!$J$7:$J$42,$A31,'Budget ed extra'!$H$7:$H$42,L$6))</f>
        <v>0</v>
      </c>
      <c r="AD31">
        <f>IF(M$6="",0,SUMIFS('Budget ed extra'!$G$7:$G$42,'Budget ed extra'!$J$7:$J$42,$A31,'Budget ed extra'!$H$7:$H$42,M$6))</f>
        <v>0</v>
      </c>
      <c r="AE31">
        <f>IF(N$6="",0,SUMIFS('Budget ed extra'!$G$7:$G$42,'Budget ed extra'!$J$7:$J$42,$A31,'Budget ed extra'!$H$7:$H$42,N$6))</f>
        <v>0</v>
      </c>
    </row>
    <row r="32">
      <c r="A32" t="n">
        <v>2</v>
      </c>
      <c r="B32">
        <f>DATE($B$2,$B$3+A32-1,1)</f>
        <v>46357.0</v>
      </c>
      <c r="C32">
        <f>IF(D32=0,N(Impostazioni!$B$6),SUMIFS('Budget ed extra'!$B$7:$B$18,'Budget ed extra'!$D$7:$D$18,D32)/COUNTIFS('Budget ed extra'!$D$7:$D$18,D32))</f>
        <v>800</v>
      </c>
      <c r="D32">
        <f>SUMPRODUCT(MAX(('Budget ed extra'!$D$7:$D$18&lt;=A32)*'Budget ed extra'!$D$7:$D$18))</f>
        <v>0</v>
      </c>
      <c r="E32">
        <f>SUMIFS('Budget ed extra'!$G$7:$G$42,'Budget ed extra'!$J$7:$J$42,A32)</f>
        <v>500</v>
      </c>
      <c r="F32">
        <f>SUM(T32:AE32)</f>
        <v>0</v>
      </c>
      <c r="G32">
        <f>MAX(0,E32-F32)</f>
        <v>500</v>
      </c>
      <c r="H32">
        <f>IF($A32&gt;=C$10,C$11,C$9)/12</f>
        <v>0.01575</v>
      </c>
      <c r="I32">
        <f>IF($A32&gt;=D$10,D$11,D$9)/12</f>
        <v>0</v>
      </c>
      <c r="J32">
        <f>IF($A32&gt;=E$10,E$11,E$9)/12</f>
        <v>0.00766666666666667</v>
      </c>
      <c r="K32">
        <f>IF($A32&gt;=F$10,F$11,F$9)/12</f>
        <v>0.00533333333333333</v>
      </c>
      <c r="L32">
        <f>IF($A32&gt;=G$10,G$11,G$9)/12</f>
        <v>0</v>
      </c>
      <c r="M32">
        <f>IF($A32&gt;=H$10,H$11,H$9)/12</f>
        <v>0</v>
      </c>
      <c r="N32">
        <f>IF($A32&gt;=I$10,I$11,I$9)/12</f>
        <v>0</v>
      </c>
      <c r="O32">
        <f>IF($A32&gt;=J$10,J$11,J$9)/12</f>
        <v>0</v>
      </c>
      <c r="P32">
        <f>IF($A32&gt;=K$10,K$11,K$9)/12</f>
        <v>0</v>
      </c>
      <c r="Q32">
        <f>IF($A32&gt;=L$10,L$11,L$9)/12</f>
        <v>0</v>
      </c>
      <c r="R32">
        <f>IF($A32&gt;=M$10,M$11,M$9)/12</f>
        <v>0</v>
      </c>
      <c r="S32">
        <f>IF($A32&gt;=N$10,N$11,N$9)/12</f>
        <v>0</v>
      </c>
      <c r="T32">
        <f>IF(C$6="",0,SUMIFS('Budget ed extra'!$G$7:$G$42,'Budget ed extra'!$J$7:$J$42,$A32,'Budget ed extra'!$H$7:$H$42,C$6))</f>
        <v>0</v>
      </c>
      <c r="U32">
        <f>IF(D$6="",0,SUMIFS('Budget ed extra'!$G$7:$G$42,'Budget ed extra'!$J$7:$J$42,$A32,'Budget ed extra'!$H$7:$H$42,D$6))</f>
        <v>0</v>
      </c>
      <c r="V32">
        <f>IF(E$6="",0,SUMIFS('Budget ed extra'!$G$7:$G$42,'Budget ed extra'!$J$7:$J$42,$A32,'Budget ed extra'!$H$7:$H$42,E$6))</f>
        <v>0</v>
      </c>
      <c r="W32">
        <f>IF(F$6="",0,SUMIFS('Budget ed extra'!$G$7:$G$42,'Budget ed extra'!$J$7:$J$42,$A32,'Budget ed extra'!$H$7:$H$42,F$6))</f>
        <v>0</v>
      </c>
      <c r="X32">
        <f>IF(G$6="",0,SUMIFS('Budget ed extra'!$G$7:$G$42,'Budget ed extra'!$J$7:$J$42,$A32,'Budget ed extra'!$H$7:$H$42,G$6))</f>
        <v>0</v>
      </c>
      <c r="Y32">
        <f>IF(H$6="",0,SUMIFS('Budget ed extra'!$G$7:$G$42,'Budget ed extra'!$J$7:$J$42,$A32,'Budget ed extra'!$H$7:$H$42,H$6))</f>
        <v>0</v>
      </c>
      <c r="Z32">
        <f>IF(I$6="",0,SUMIFS('Budget ed extra'!$G$7:$G$42,'Budget ed extra'!$J$7:$J$42,$A32,'Budget ed extra'!$H$7:$H$42,I$6))</f>
        <v>0</v>
      </c>
      <c r="AA32">
        <f>IF(J$6="",0,SUMIFS('Budget ed extra'!$G$7:$G$42,'Budget ed extra'!$J$7:$J$42,$A32,'Budget ed extra'!$H$7:$H$42,J$6))</f>
        <v>0</v>
      </c>
      <c r="AB32">
        <f>IF(K$6="",0,SUMIFS('Budget ed extra'!$G$7:$G$42,'Budget ed extra'!$J$7:$J$42,$A32,'Budget ed extra'!$H$7:$H$42,K$6))</f>
        <v>0</v>
      </c>
      <c r="AC32">
        <f>IF(L$6="",0,SUMIFS('Budget ed extra'!$G$7:$G$42,'Budget ed extra'!$J$7:$J$42,$A32,'Budget ed extra'!$H$7:$H$42,L$6))</f>
        <v>0</v>
      </c>
      <c r="AD32">
        <f>IF(M$6="",0,SUMIFS('Budget ed extra'!$G$7:$G$42,'Budget ed extra'!$J$7:$J$42,$A32,'Budget ed extra'!$H$7:$H$42,M$6))</f>
        <v>0</v>
      </c>
      <c r="AE32">
        <f>IF(N$6="",0,SUMIFS('Budget ed extra'!$G$7:$G$42,'Budget ed extra'!$J$7:$J$42,$A32,'Budget ed extra'!$H$7:$H$42,N$6))</f>
        <v>0</v>
      </c>
    </row>
    <row r="33">
      <c r="A33" t="n">
        <v>3</v>
      </c>
      <c r="B33">
        <f>DATE($B$2,$B$3+A33-1,1)</f>
        <v>46388.0</v>
      </c>
      <c r="C33">
        <f>IF(D33=0,N(Impostazioni!$B$6),SUMIFS('Budget ed extra'!$B$7:$B$18,'Budget ed extra'!$D$7:$D$18,D33)/COUNTIFS('Budget ed extra'!$D$7:$D$18,D33))</f>
        <v>800</v>
      </c>
      <c r="D33">
        <f>SUMPRODUCT(MAX(('Budget ed extra'!$D$7:$D$18&lt;=A33)*'Budget ed extra'!$D$7:$D$18))</f>
        <v>0</v>
      </c>
      <c r="E33">
        <f>SUMIFS('Budget ed extra'!$G$7:$G$42,'Budget ed extra'!$J$7:$J$42,A33)</f>
        <v>0</v>
      </c>
      <c r="F33">
        <f>SUM(T33:AE33)</f>
        <v>0</v>
      </c>
      <c r="G33">
        <f>MAX(0,E33-F33)</f>
        <v>0</v>
      </c>
      <c r="H33">
        <f>IF($A33&gt;=C$10,C$11,C$9)/12</f>
        <v>0.01575</v>
      </c>
      <c r="I33">
        <f>IF($A33&gt;=D$10,D$11,D$9)/12</f>
        <v>0</v>
      </c>
      <c r="J33">
        <f>IF($A33&gt;=E$10,E$11,E$9)/12</f>
        <v>0.00766666666666667</v>
      </c>
      <c r="K33">
        <f>IF($A33&gt;=F$10,F$11,F$9)/12</f>
        <v>0.00533333333333333</v>
      </c>
      <c r="L33">
        <f>IF($A33&gt;=G$10,G$11,G$9)/12</f>
        <v>0</v>
      </c>
      <c r="M33">
        <f>IF($A33&gt;=H$10,H$11,H$9)/12</f>
        <v>0</v>
      </c>
      <c r="N33">
        <f>IF($A33&gt;=I$10,I$11,I$9)/12</f>
        <v>0</v>
      </c>
      <c r="O33">
        <f>IF($A33&gt;=J$10,J$11,J$9)/12</f>
        <v>0</v>
      </c>
      <c r="P33">
        <f>IF($A33&gt;=K$10,K$11,K$9)/12</f>
        <v>0</v>
      </c>
      <c r="Q33">
        <f>IF($A33&gt;=L$10,L$11,L$9)/12</f>
        <v>0</v>
      </c>
      <c r="R33">
        <f>IF($A33&gt;=M$10,M$11,M$9)/12</f>
        <v>0</v>
      </c>
      <c r="S33">
        <f>IF($A33&gt;=N$10,N$11,N$9)/12</f>
        <v>0</v>
      </c>
      <c r="T33">
        <f>IF(C$6="",0,SUMIFS('Budget ed extra'!$G$7:$G$42,'Budget ed extra'!$J$7:$J$42,$A33,'Budget ed extra'!$H$7:$H$42,C$6))</f>
        <v>0</v>
      </c>
      <c r="U33">
        <f>IF(D$6="",0,SUMIFS('Budget ed extra'!$G$7:$G$42,'Budget ed extra'!$J$7:$J$42,$A33,'Budget ed extra'!$H$7:$H$42,D$6))</f>
        <v>0</v>
      </c>
      <c r="V33">
        <f>IF(E$6="",0,SUMIFS('Budget ed extra'!$G$7:$G$42,'Budget ed extra'!$J$7:$J$42,$A33,'Budget ed extra'!$H$7:$H$42,E$6))</f>
        <v>0</v>
      </c>
      <c r="W33">
        <f>IF(F$6="",0,SUMIFS('Budget ed extra'!$G$7:$G$42,'Budget ed extra'!$J$7:$J$42,$A33,'Budget ed extra'!$H$7:$H$42,F$6))</f>
        <v>0</v>
      </c>
      <c r="X33">
        <f>IF(G$6="",0,SUMIFS('Budget ed extra'!$G$7:$G$42,'Budget ed extra'!$J$7:$J$42,$A33,'Budget ed extra'!$H$7:$H$42,G$6))</f>
        <v>0</v>
      </c>
      <c r="Y33">
        <f>IF(H$6="",0,SUMIFS('Budget ed extra'!$G$7:$G$42,'Budget ed extra'!$J$7:$J$42,$A33,'Budget ed extra'!$H$7:$H$42,H$6))</f>
        <v>0</v>
      </c>
      <c r="Z33">
        <f>IF(I$6="",0,SUMIFS('Budget ed extra'!$G$7:$G$42,'Budget ed extra'!$J$7:$J$42,$A33,'Budget ed extra'!$H$7:$H$42,I$6))</f>
        <v>0</v>
      </c>
      <c r="AA33">
        <f>IF(J$6="",0,SUMIFS('Budget ed extra'!$G$7:$G$42,'Budget ed extra'!$J$7:$J$42,$A33,'Budget ed extra'!$H$7:$H$42,J$6))</f>
        <v>0</v>
      </c>
      <c r="AB33">
        <f>IF(K$6="",0,SUMIFS('Budget ed extra'!$G$7:$G$42,'Budget ed extra'!$J$7:$J$42,$A33,'Budget ed extra'!$H$7:$H$42,K$6))</f>
        <v>0</v>
      </c>
      <c r="AC33">
        <f>IF(L$6="",0,SUMIFS('Budget ed extra'!$G$7:$G$42,'Budget ed extra'!$J$7:$J$42,$A33,'Budget ed extra'!$H$7:$H$42,L$6))</f>
        <v>0</v>
      </c>
      <c r="AD33">
        <f>IF(M$6="",0,SUMIFS('Budget ed extra'!$G$7:$G$42,'Budget ed extra'!$J$7:$J$42,$A33,'Budget ed extra'!$H$7:$H$42,M$6))</f>
        <v>0</v>
      </c>
      <c r="AE33">
        <f>IF(N$6="",0,SUMIFS('Budget ed extra'!$G$7:$G$42,'Budget ed extra'!$J$7:$J$42,$A33,'Budget ed extra'!$H$7:$H$42,N$6))</f>
        <v>0</v>
      </c>
    </row>
    <row r="34">
      <c r="A34" t="n">
        <v>4</v>
      </c>
      <c r="B34">
        <f>DATE($B$2,$B$3+A34-1,1)</f>
        <v>46419.0</v>
      </c>
      <c r="C34">
        <f>IF(D34=0,N(Impostazioni!$B$6),SUMIFS('Budget ed extra'!$B$7:$B$18,'Budget ed extra'!$D$7:$D$18,D34)/COUNTIFS('Budget ed extra'!$D$7:$D$18,D34))</f>
        <v>800</v>
      </c>
      <c r="D34">
        <f>SUMPRODUCT(MAX(('Budget ed extra'!$D$7:$D$18&lt;=A34)*'Budget ed extra'!$D$7:$D$18))</f>
        <v>0</v>
      </c>
      <c r="E34">
        <f>SUMIFS('Budget ed extra'!$G$7:$G$42,'Budget ed extra'!$J$7:$J$42,A34)</f>
        <v>0</v>
      </c>
      <c r="F34">
        <f>SUM(T34:AE34)</f>
        <v>0</v>
      </c>
      <c r="G34">
        <f>MAX(0,E34-F34)</f>
        <v>0</v>
      </c>
      <c r="H34">
        <f>IF($A34&gt;=C$10,C$11,C$9)/12</f>
        <v>0.01575</v>
      </c>
      <c r="I34">
        <f>IF($A34&gt;=D$10,D$11,D$9)/12</f>
        <v>0</v>
      </c>
      <c r="J34">
        <f>IF($A34&gt;=E$10,E$11,E$9)/12</f>
        <v>0.00766666666666667</v>
      </c>
      <c r="K34">
        <f>IF($A34&gt;=F$10,F$11,F$9)/12</f>
        <v>0.00533333333333333</v>
      </c>
      <c r="L34">
        <f>IF($A34&gt;=G$10,G$11,G$9)/12</f>
        <v>0</v>
      </c>
      <c r="M34">
        <f>IF($A34&gt;=H$10,H$11,H$9)/12</f>
        <v>0</v>
      </c>
      <c r="N34">
        <f>IF($A34&gt;=I$10,I$11,I$9)/12</f>
        <v>0</v>
      </c>
      <c r="O34">
        <f>IF($A34&gt;=J$10,J$11,J$9)/12</f>
        <v>0</v>
      </c>
      <c r="P34">
        <f>IF($A34&gt;=K$10,K$11,K$9)/12</f>
        <v>0</v>
      </c>
      <c r="Q34">
        <f>IF($A34&gt;=L$10,L$11,L$9)/12</f>
        <v>0</v>
      </c>
      <c r="R34">
        <f>IF($A34&gt;=M$10,M$11,M$9)/12</f>
        <v>0</v>
      </c>
      <c r="S34">
        <f>IF($A34&gt;=N$10,N$11,N$9)/12</f>
        <v>0</v>
      </c>
      <c r="T34">
        <f>IF(C$6="",0,SUMIFS('Budget ed extra'!$G$7:$G$42,'Budget ed extra'!$J$7:$J$42,$A34,'Budget ed extra'!$H$7:$H$42,C$6))</f>
        <v>0</v>
      </c>
      <c r="U34">
        <f>IF(D$6="",0,SUMIFS('Budget ed extra'!$G$7:$G$42,'Budget ed extra'!$J$7:$J$42,$A34,'Budget ed extra'!$H$7:$H$42,D$6))</f>
        <v>0</v>
      </c>
      <c r="V34">
        <f>IF(E$6="",0,SUMIFS('Budget ed extra'!$G$7:$G$42,'Budget ed extra'!$J$7:$J$42,$A34,'Budget ed extra'!$H$7:$H$42,E$6))</f>
        <v>0</v>
      </c>
      <c r="W34">
        <f>IF(F$6="",0,SUMIFS('Budget ed extra'!$G$7:$G$42,'Budget ed extra'!$J$7:$J$42,$A34,'Budget ed extra'!$H$7:$H$42,F$6))</f>
        <v>0</v>
      </c>
      <c r="X34">
        <f>IF(G$6="",0,SUMIFS('Budget ed extra'!$G$7:$G$42,'Budget ed extra'!$J$7:$J$42,$A34,'Budget ed extra'!$H$7:$H$42,G$6))</f>
        <v>0</v>
      </c>
      <c r="Y34">
        <f>IF(H$6="",0,SUMIFS('Budget ed extra'!$G$7:$G$42,'Budget ed extra'!$J$7:$J$42,$A34,'Budget ed extra'!$H$7:$H$42,H$6))</f>
        <v>0</v>
      </c>
      <c r="Z34">
        <f>IF(I$6="",0,SUMIFS('Budget ed extra'!$G$7:$G$42,'Budget ed extra'!$J$7:$J$42,$A34,'Budget ed extra'!$H$7:$H$42,I$6))</f>
        <v>0</v>
      </c>
      <c r="AA34">
        <f>IF(J$6="",0,SUMIFS('Budget ed extra'!$G$7:$G$42,'Budget ed extra'!$J$7:$J$42,$A34,'Budget ed extra'!$H$7:$H$42,J$6))</f>
        <v>0</v>
      </c>
      <c r="AB34">
        <f>IF(K$6="",0,SUMIFS('Budget ed extra'!$G$7:$G$42,'Budget ed extra'!$J$7:$J$42,$A34,'Budget ed extra'!$H$7:$H$42,K$6))</f>
        <v>0</v>
      </c>
      <c r="AC34">
        <f>IF(L$6="",0,SUMIFS('Budget ed extra'!$G$7:$G$42,'Budget ed extra'!$J$7:$J$42,$A34,'Budget ed extra'!$H$7:$H$42,L$6))</f>
        <v>0</v>
      </c>
      <c r="AD34">
        <f>IF(M$6="",0,SUMIFS('Budget ed extra'!$G$7:$G$42,'Budget ed extra'!$J$7:$J$42,$A34,'Budget ed extra'!$H$7:$H$42,M$6))</f>
        <v>0</v>
      </c>
      <c r="AE34">
        <f>IF(N$6="",0,SUMIFS('Budget ed extra'!$G$7:$G$42,'Budget ed extra'!$J$7:$J$42,$A34,'Budget ed extra'!$H$7:$H$42,N$6))</f>
        <v>0</v>
      </c>
    </row>
    <row r="35">
      <c r="A35" t="n">
        <v>5</v>
      </c>
      <c r="B35">
        <f>DATE($B$2,$B$3+A35-1,1)</f>
        <v>46447.0</v>
      </c>
      <c r="C35">
        <f>IF(D35=0,N(Impostazioni!$B$6),SUMIFS('Budget ed extra'!$B$7:$B$18,'Budget ed extra'!$D$7:$D$18,D35)/COUNTIFS('Budget ed extra'!$D$7:$D$18,D35))</f>
        <v>800</v>
      </c>
      <c r="D35">
        <f>SUMPRODUCT(MAX(('Budget ed extra'!$D$7:$D$18&lt;=A35)*'Budget ed extra'!$D$7:$D$18))</f>
        <v>0</v>
      </c>
      <c r="E35">
        <f>SUMIFS('Budget ed extra'!$G$7:$G$42,'Budget ed extra'!$J$7:$J$42,A35)</f>
        <v>400</v>
      </c>
      <c r="F35">
        <f>SUM(T35:AE35)</f>
        <v>400</v>
      </c>
      <c r="G35">
        <f>MAX(0,E35-F35)</f>
        <v>0</v>
      </c>
      <c r="H35">
        <f>IF($A35&gt;=C$10,C$11,C$9)/12</f>
        <v>0.01575</v>
      </c>
      <c r="I35">
        <f>IF($A35&gt;=D$10,D$11,D$9)/12</f>
        <v>0</v>
      </c>
      <c r="J35">
        <f>IF($A35&gt;=E$10,E$11,E$9)/12</f>
        <v>0.00766666666666667</v>
      </c>
      <c r="K35">
        <f>IF($A35&gt;=F$10,F$11,F$9)/12</f>
        <v>0.00533333333333333</v>
      </c>
      <c r="L35">
        <f>IF($A35&gt;=G$10,G$11,G$9)/12</f>
        <v>0</v>
      </c>
      <c r="M35">
        <f>IF($A35&gt;=H$10,H$11,H$9)/12</f>
        <v>0</v>
      </c>
      <c r="N35">
        <f>IF($A35&gt;=I$10,I$11,I$9)/12</f>
        <v>0</v>
      </c>
      <c r="O35">
        <f>IF($A35&gt;=J$10,J$11,J$9)/12</f>
        <v>0</v>
      </c>
      <c r="P35">
        <f>IF($A35&gt;=K$10,K$11,K$9)/12</f>
        <v>0</v>
      </c>
      <c r="Q35">
        <f>IF($A35&gt;=L$10,L$11,L$9)/12</f>
        <v>0</v>
      </c>
      <c r="R35">
        <f>IF($A35&gt;=M$10,M$11,M$9)/12</f>
        <v>0</v>
      </c>
      <c r="S35">
        <f>IF($A35&gt;=N$10,N$11,N$9)/12</f>
        <v>0</v>
      </c>
      <c r="T35">
        <f>IF(C$6="",0,SUMIFS('Budget ed extra'!$G$7:$G$42,'Budget ed extra'!$J$7:$J$42,$A35,'Budget ed extra'!$H$7:$H$42,C$6))</f>
        <v>0</v>
      </c>
      <c r="U35">
        <f>IF(D$6="",0,SUMIFS('Budget ed extra'!$G$7:$G$42,'Budget ed extra'!$J$7:$J$42,$A35,'Budget ed extra'!$H$7:$H$42,D$6))</f>
        <v>400</v>
      </c>
      <c r="V35">
        <f>IF(E$6="",0,SUMIFS('Budget ed extra'!$G$7:$G$42,'Budget ed extra'!$J$7:$J$42,$A35,'Budget ed extra'!$H$7:$H$42,E$6))</f>
        <v>0</v>
      </c>
      <c r="W35">
        <f>IF(F$6="",0,SUMIFS('Budget ed extra'!$G$7:$G$42,'Budget ed extra'!$J$7:$J$42,$A35,'Budget ed extra'!$H$7:$H$42,F$6))</f>
        <v>0</v>
      </c>
      <c r="X35">
        <f>IF(G$6="",0,SUMIFS('Budget ed extra'!$G$7:$G$42,'Budget ed extra'!$J$7:$J$42,$A35,'Budget ed extra'!$H$7:$H$42,G$6))</f>
        <v>0</v>
      </c>
      <c r="Y35">
        <f>IF(H$6="",0,SUMIFS('Budget ed extra'!$G$7:$G$42,'Budget ed extra'!$J$7:$J$42,$A35,'Budget ed extra'!$H$7:$H$42,H$6))</f>
        <v>0</v>
      </c>
      <c r="Z35">
        <f>IF(I$6="",0,SUMIFS('Budget ed extra'!$G$7:$G$42,'Budget ed extra'!$J$7:$J$42,$A35,'Budget ed extra'!$H$7:$H$42,I$6))</f>
        <v>0</v>
      </c>
      <c r="AA35">
        <f>IF(J$6="",0,SUMIFS('Budget ed extra'!$G$7:$G$42,'Budget ed extra'!$J$7:$J$42,$A35,'Budget ed extra'!$H$7:$H$42,J$6))</f>
        <v>0</v>
      </c>
      <c r="AB35">
        <f>IF(K$6="",0,SUMIFS('Budget ed extra'!$G$7:$G$42,'Budget ed extra'!$J$7:$J$42,$A35,'Budget ed extra'!$H$7:$H$42,K$6))</f>
        <v>0</v>
      </c>
      <c r="AC35">
        <f>IF(L$6="",0,SUMIFS('Budget ed extra'!$G$7:$G$42,'Budget ed extra'!$J$7:$J$42,$A35,'Budget ed extra'!$H$7:$H$42,L$6))</f>
        <v>0</v>
      </c>
      <c r="AD35">
        <f>IF(M$6="",0,SUMIFS('Budget ed extra'!$G$7:$G$42,'Budget ed extra'!$J$7:$J$42,$A35,'Budget ed extra'!$H$7:$H$42,M$6))</f>
        <v>0</v>
      </c>
      <c r="AE35">
        <f>IF(N$6="",0,SUMIFS('Budget ed extra'!$G$7:$G$42,'Budget ed extra'!$J$7:$J$42,$A35,'Budget ed extra'!$H$7:$H$42,N$6))</f>
        <v>0</v>
      </c>
    </row>
    <row r="36">
      <c r="A36" t="n">
        <v>6</v>
      </c>
      <c r="B36">
        <f>DATE($B$2,$B$3+A36-1,1)</f>
        <v>46478.0</v>
      </c>
      <c r="C36">
        <f>IF(D36=0,N(Impostazioni!$B$6),SUMIFS('Budget ed extra'!$B$7:$B$18,'Budget ed extra'!$D$7:$D$18,D36)/COUNTIFS('Budget ed extra'!$D$7:$D$18,D36))</f>
        <v>800</v>
      </c>
      <c r="D36">
        <f>SUMPRODUCT(MAX(('Budget ed extra'!$D$7:$D$18&lt;=A36)*'Budget ed extra'!$D$7:$D$18))</f>
        <v>0</v>
      </c>
      <c r="E36">
        <f>SUMIFS('Budget ed extra'!$G$7:$G$42,'Budget ed extra'!$J$7:$J$42,A36)</f>
        <v>0</v>
      </c>
      <c r="F36">
        <f>SUM(T36:AE36)</f>
        <v>0</v>
      </c>
      <c r="G36">
        <f>MAX(0,E36-F36)</f>
        <v>0</v>
      </c>
      <c r="H36">
        <f>IF($A36&gt;=C$10,C$11,C$9)/12</f>
        <v>0.01575</v>
      </c>
      <c r="I36">
        <f>IF($A36&gt;=D$10,D$11,D$9)/12</f>
        <v>0.01825</v>
      </c>
      <c r="J36">
        <f>IF($A36&gt;=E$10,E$11,E$9)/12</f>
        <v>0.00766666666666667</v>
      </c>
      <c r="K36">
        <f>IF($A36&gt;=F$10,F$11,F$9)/12</f>
        <v>0.00533333333333333</v>
      </c>
      <c r="L36">
        <f>IF($A36&gt;=G$10,G$11,G$9)/12</f>
        <v>0</v>
      </c>
      <c r="M36">
        <f>IF($A36&gt;=H$10,H$11,H$9)/12</f>
        <v>0</v>
      </c>
      <c r="N36">
        <f>IF($A36&gt;=I$10,I$11,I$9)/12</f>
        <v>0</v>
      </c>
      <c r="O36">
        <f>IF($A36&gt;=J$10,J$11,J$9)/12</f>
        <v>0</v>
      </c>
      <c r="P36">
        <f>IF($A36&gt;=K$10,K$11,K$9)/12</f>
        <v>0</v>
      </c>
      <c r="Q36">
        <f>IF($A36&gt;=L$10,L$11,L$9)/12</f>
        <v>0</v>
      </c>
      <c r="R36">
        <f>IF($A36&gt;=M$10,M$11,M$9)/12</f>
        <v>0</v>
      </c>
      <c r="S36">
        <f>IF($A36&gt;=N$10,N$11,N$9)/12</f>
        <v>0</v>
      </c>
      <c r="T36">
        <f>IF(C$6="",0,SUMIFS('Budget ed extra'!$G$7:$G$42,'Budget ed extra'!$J$7:$J$42,$A36,'Budget ed extra'!$H$7:$H$42,C$6))</f>
        <v>0</v>
      </c>
      <c r="U36">
        <f>IF(D$6="",0,SUMIFS('Budget ed extra'!$G$7:$G$42,'Budget ed extra'!$J$7:$J$42,$A36,'Budget ed extra'!$H$7:$H$42,D$6))</f>
        <v>0</v>
      </c>
      <c r="V36">
        <f>IF(E$6="",0,SUMIFS('Budget ed extra'!$G$7:$G$42,'Budget ed extra'!$J$7:$J$42,$A36,'Budget ed extra'!$H$7:$H$42,E$6))</f>
        <v>0</v>
      </c>
      <c r="W36">
        <f>IF(F$6="",0,SUMIFS('Budget ed extra'!$G$7:$G$42,'Budget ed extra'!$J$7:$J$42,$A36,'Budget ed extra'!$H$7:$H$42,F$6))</f>
        <v>0</v>
      </c>
      <c r="X36">
        <f>IF(G$6="",0,SUMIFS('Budget ed extra'!$G$7:$G$42,'Budget ed extra'!$J$7:$J$42,$A36,'Budget ed extra'!$H$7:$H$42,G$6))</f>
        <v>0</v>
      </c>
      <c r="Y36">
        <f>IF(H$6="",0,SUMIFS('Budget ed extra'!$G$7:$G$42,'Budget ed extra'!$J$7:$J$42,$A36,'Budget ed extra'!$H$7:$H$42,H$6))</f>
        <v>0</v>
      </c>
      <c r="Z36">
        <f>IF(I$6="",0,SUMIFS('Budget ed extra'!$G$7:$G$42,'Budget ed extra'!$J$7:$J$42,$A36,'Budget ed extra'!$H$7:$H$42,I$6))</f>
        <v>0</v>
      </c>
      <c r="AA36">
        <f>IF(J$6="",0,SUMIFS('Budget ed extra'!$G$7:$G$42,'Budget ed extra'!$J$7:$J$42,$A36,'Budget ed extra'!$H$7:$H$42,J$6))</f>
        <v>0</v>
      </c>
      <c r="AB36">
        <f>IF(K$6="",0,SUMIFS('Budget ed extra'!$G$7:$G$42,'Budget ed extra'!$J$7:$J$42,$A36,'Budget ed extra'!$H$7:$H$42,K$6))</f>
        <v>0</v>
      </c>
      <c r="AC36">
        <f>IF(L$6="",0,SUMIFS('Budget ed extra'!$G$7:$G$42,'Budget ed extra'!$J$7:$J$42,$A36,'Budget ed extra'!$H$7:$H$42,L$6))</f>
        <v>0</v>
      </c>
      <c r="AD36">
        <f>IF(M$6="",0,SUMIFS('Budget ed extra'!$G$7:$G$42,'Budget ed extra'!$J$7:$J$42,$A36,'Budget ed extra'!$H$7:$H$42,M$6))</f>
        <v>0</v>
      </c>
      <c r="AE36">
        <f>IF(N$6="",0,SUMIFS('Budget ed extra'!$G$7:$G$42,'Budget ed extra'!$J$7:$J$42,$A36,'Budget ed extra'!$H$7:$H$42,N$6))</f>
        <v>0</v>
      </c>
    </row>
    <row r="37">
      <c r="A37" t="n">
        <v>7</v>
      </c>
      <c r="B37">
        <f>DATE($B$2,$B$3+A37-1,1)</f>
        <v>46508.0</v>
      </c>
      <c r="C37">
        <f>IF(D37=0,N(Impostazioni!$B$6),SUMIFS('Budget ed extra'!$B$7:$B$18,'Budget ed extra'!$D$7:$D$18,D37)/COUNTIFS('Budget ed extra'!$D$7:$D$18,D37))</f>
        <v>800</v>
      </c>
      <c r="D37">
        <f>SUMPRODUCT(MAX(('Budget ed extra'!$D$7:$D$18&lt;=A37)*'Budget ed extra'!$D$7:$D$18))</f>
        <v>0</v>
      </c>
      <c r="E37">
        <f>SUMIFS('Budget ed extra'!$G$7:$G$42,'Budget ed extra'!$J$7:$J$42,A37)</f>
        <v>0</v>
      </c>
      <c r="F37">
        <f>SUM(T37:AE37)</f>
        <v>0</v>
      </c>
      <c r="G37">
        <f>MAX(0,E37-F37)</f>
        <v>0</v>
      </c>
      <c r="H37">
        <f>IF($A37&gt;=C$10,C$11,C$9)/12</f>
        <v>0.01575</v>
      </c>
      <c r="I37">
        <f>IF($A37&gt;=D$10,D$11,D$9)/12</f>
        <v>0.01825</v>
      </c>
      <c r="J37">
        <f>IF($A37&gt;=E$10,E$11,E$9)/12</f>
        <v>0.00766666666666667</v>
      </c>
      <c r="K37">
        <f>IF($A37&gt;=F$10,F$11,F$9)/12</f>
        <v>0.00533333333333333</v>
      </c>
      <c r="L37">
        <f>IF($A37&gt;=G$10,G$11,G$9)/12</f>
        <v>0</v>
      </c>
      <c r="M37">
        <f>IF($A37&gt;=H$10,H$11,H$9)/12</f>
        <v>0</v>
      </c>
      <c r="N37">
        <f>IF($A37&gt;=I$10,I$11,I$9)/12</f>
        <v>0</v>
      </c>
      <c r="O37">
        <f>IF($A37&gt;=J$10,J$11,J$9)/12</f>
        <v>0</v>
      </c>
      <c r="P37">
        <f>IF($A37&gt;=K$10,K$11,K$9)/12</f>
        <v>0</v>
      </c>
      <c r="Q37">
        <f>IF($A37&gt;=L$10,L$11,L$9)/12</f>
        <v>0</v>
      </c>
      <c r="R37">
        <f>IF($A37&gt;=M$10,M$11,M$9)/12</f>
        <v>0</v>
      </c>
      <c r="S37">
        <f>IF($A37&gt;=N$10,N$11,N$9)/12</f>
        <v>0</v>
      </c>
      <c r="T37">
        <f>IF(C$6="",0,SUMIFS('Budget ed extra'!$G$7:$G$42,'Budget ed extra'!$J$7:$J$42,$A37,'Budget ed extra'!$H$7:$H$42,C$6))</f>
        <v>0</v>
      </c>
      <c r="U37">
        <f>IF(D$6="",0,SUMIFS('Budget ed extra'!$G$7:$G$42,'Budget ed extra'!$J$7:$J$42,$A37,'Budget ed extra'!$H$7:$H$42,D$6))</f>
        <v>0</v>
      </c>
      <c r="V37">
        <f>IF(E$6="",0,SUMIFS('Budget ed extra'!$G$7:$G$42,'Budget ed extra'!$J$7:$J$42,$A37,'Budget ed extra'!$H$7:$H$42,E$6))</f>
        <v>0</v>
      </c>
      <c r="W37">
        <f>IF(F$6="",0,SUMIFS('Budget ed extra'!$G$7:$G$42,'Budget ed extra'!$J$7:$J$42,$A37,'Budget ed extra'!$H$7:$H$42,F$6))</f>
        <v>0</v>
      </c>
      <c r="X37">
        <f>IF(G$6="",0,SUMIFS('Budget ed extra'!$G$7:$G$42,'Budget ed extra'!$J$7:$J$42,$A37,'Budget ed extra'!$H$7:$H$42,G$6))</f>
        <v>0</v>
      </c>
      <c r="Y37">
        <f>IF(H$6="",0,SUMIFS('Budget ed extra'!$G$7:$G$42,'Budget ed extra'!$J$7:$J$42,$A37,'Budget ed extra'!$H$7:$H$42,H$6))</f>
        <v>0</v>
      </c>
      <c r="Z37">
        <f>IF(I$6="",0,SUMIFS('Budget ed extra'!$G$7:$G$42,'Budget ed extra'!$J$7:$J$42,$A37,'Budget ed extra'!$H$7:$H$42,I$6))</f>
        <v>0</v>
      </c>
      <c r="AA37">
        <f>IF(J$6="",0,SUMIFS('Budget ed extra'!$G$7:$G$42,'Budget ed extra'!$J$7:$J$42,$A37,'Budget ed extra'!$H$7:$H$42,J$6))</f>
        <v>0</v>
      </c>
      <c r="AB37">
        <f>IF(K$6="",0,SUMIFS('Budget ed extra'!$G$7:$G$42,'Budget ed extra'!$J$7:$J$42,$A37,'Budget ed extra'!$H$7:$H$42,K$6))</f>
        <v>0</v>
      </c>
      <c r="AC37">
        <f>IF(L$6="",0,SUMIFS('Budget ed extra'!$G$7:$G$42,'Budget ed extra'!$J$7:$J$42,$A37,'Budget ed extra'!$H$7:$H$42,L$6))</f>
        <v>0</v>
      </c>
      <c r="AD37">
        <f>IF(M$6="",0,SUMIFS('Budget ed extra'!$G$7:$G$42,'Budget ed extra'!$J$7:$J$42,$A37,'Budget ed extra'!$H$7:$H$42,M$6))</f>
        <v>0</v>
      </c>
      <c r="AE37">
        <f>IF(N$6="",0,SUMIFS('Budget ed extra'!$G$7:$G$42,'Budget ed extra'!$J$7:$J$42,$A37,'Budget ed extra'!$H$7:$H$42,N$6))</f>
        <v>0</v>
      </c>
    </row>
    <row r="38">
      <c r="A38" t="n">
        <v>8</v>
      </c>
      <c r="B38">
        <f>DATE($B$2,$B$3+A38-1,1)</f>
        <v>46539.0</v>
      </c>
      <c r="C38">
        <f>IF(D38=0,N(Impostazioni!$B$6),SUMIFS('Budget ed extra'!$B$7:$B$18,'Budget ed extra'!$D$7:$D$18,D38)/COUNTIFS('Budget ed extra'!$D$7:$D$18,D38))</f>
        <v>800</v>
      </c>
      <c r="D38">
        <f>SUMPRODUCT(MAX(('Budget ed extra'!$D$7:$D$18&lt;=A38)*'Budget ed extra'!$D$7:$D$18))</f>
        <v>0</v>
      </c>
      <c r="E38">
        <f>SUMIFS('Budget ed extra'!$G$7:$G$42,'Budget ed extra'!$J$7:$J$42,A38)</f>
        <v>0</v>
      </c>
      <c r="F38">
        <f>SUM(T38:AE38)</f>
        <v>0</v>
      </c>
      <c r="G38">
        <f>MAX(0,E38-F38)</f>
        <v>0</v>
      </c>
      <c r="H38">
        <f>IF($A38&gt;=C$10,C$11,C$9)/12</f>
        <v>0.01575</v>
      </c>
      <c r="I38">
        <f>IF($A38&gt;=D$10,D$11,D$9)/12</f>
        <v>0.01825</v>
      </c>
      <c r="J38">
        <f>IF($A38&gt;=E$10,E$11,E$9)/12</f>
        <v>0.00766666666666667</v>
      </c>
      <c r="K38">
        <f>IF($A38&gt;=F$10,F$11,F$9)/12</f>
        <v>0.00533333333333333</v>
      </c>
      <c r="L38">
        <f>IF($A38&gt;=G$10,G$11,G$9)/12</f>
        <v>0</v>
      </c>
      <c r="M38">
        <f>IF($A38&gt;=H$10,H$11,H$9)/12</f>
        <v>0</v>
      </c>
      <c r="N38">
        <f>IF($A38&gt;=I$10,I$11,I$9)/12</f>
        <v>0</v>
      </c>
      <c r="O38">
        <f>IF($A38&gt;=J$10,J$11,J$9)/12</f>
        <v>0</v>
      </c>
      <c r="P38">
        <f>IF($A38&gt;=K$10,K$11,K$9)/12</f>
        <v>0</v>
      </c>
      <c r="Q38">
        <f>IF($A38&gt;=L$10,L$11,L$9)/12</f>
        <v>0</v>
      </c>
      <c r="R38">
        <f>IF($A38&gt;=M$10,M$11,M$9)/12</f>
        <v>0</v>
      </c>
      <c r="S38">
        <f>IF($A38&gt;=N$10,N$11,N$9)/12</f>
        <v>0</v>
      </c>
      <c r="T38">
        <f>IF(C$6="",0,SUMIFS('Budget ed extra'!$G$7:$G$42,'Budget ed extra'!$J$7:$J$42,$A38,'Budget ed extra'!$H$7:$H$42,C$6))</f>
        <v>0</v>
      </c>
      <c r="U38">
        <f>IF(D$6="",0,SUMIFS('Budget ed extra'!$G$7:$G$42,'Budget ed extra'!$J$7:$J$42,$A38,'Budget ed extra'!$H$7:$H$42,D$6))</f>
        <v>0</v>
      </c>
      <c r="V38">
        <f>IF(E$6="",0,SUMIFS('Budget ed extra'!$G$7:$G$42,'Budget ed extra'!$J$7:$J$42,$A38,'Budget ed extra'!$H$7:$H$42,E$6))</f>
        <v>0</v>
      </c>
      <c r="W38">
        <f>IF(F$6="",0,SUMIFS('Budget ed extra'!$G$7:$G$42,'Budget ed extra'!$J$7:$J$42,$A38,'Budget ed extra'!$H$7:$H$42,F$6))</f>
        <v>0</v>
      </c>
      <c r="X38">
        <f>IF(G$6="",0,SUMIFS('Budget ed extra'!$G$7:$G$42,'Budget ed extra'!$J$7:$J$42,$A38,'Budget ed extra'!$H$7:$H$42,G$6))</f>
        <v>0</v>
      </c>
      <c r="Y38">
        <f>IF(H$6="",0,SUMIFS('Budget ed extra'!$G$7:$G$42,'Budget ed extra'!$J$7:$J$42,$A38,'Budget ed extra'!$H$7:$H$42,H$6))</f>
        <v>0</v>
      </c>
      <c r="Z38">
        <f>IF(I$6="",0,SUMIFS('Budget ed extra'!$G$7:$G$42,'Budget ed extra'!$J$7:$J$42,$A38,'Budget ed extra'!$H$7:$H$42,I$6))</f>
        <v>0</v>
      </c>
      <c r="AA38">
        <f>IF(J$6="",0,SUMIFS('Budget ed extra'!$G$7:$G$42,'Budget ed extra'!$J$7:$J$42,$A38,'Budget ed extra'!$H$7:$H$42,J$6))</f>
        <v>0</v>
      </c>
      <c r="AB38">
        <f>IF(K$6="",0,SUMIFS('Budget ed extra'!$G$7:$G$42,'Budget ed extra'!$J$7:$J$42,$A38,'Budget ed extra'!$H$7:$H$42,K$6))</f>
        <v>0</v>
      </c>
      <c r="AC38">
        <f>IF(L$6="",0,SUMIFS('Budget ed extra'!$G$7:$G$42,'Budget ed extra'!$J$7:$J$42,$A38,'Budget ed extra'!$H$7:$H$42,L$6))</f>
        <v>0</v>
      </c>
      <c r="AD38">
        <f>IF(M$6="",0,SUMIFS('Budget ed extra'!$G$7:$G$42,'Budget ed extra'!$J$7:$J$42,$A38,'Budget ed extra'!$H$7:$H$42,M$6))</f>
        <v>0</v>
      </c>
      <c r="AE38">
        <f>IF(N$6="",0,SUMIFS('Budget ed extra'!$G$7:$G$42,'Budget ed extra'!$J$7:$J$42,$A38,'Budget ed extra'!$H$7:$H$42,N$6))</f>
        <v>0</v>
      </c>
    </row>
    <row r="39">
      <c r="A39" t="n">
        <v>9</v>
      </c>
      <c r="B39">
        <f>DATE($B$2,$B$3+A39-1,1)</f>
        <v>46569.0</v>
      </c>
      <c r="C39">
        <f>IF(D39=0,N(Impostazioni!$B$6),SUMIFS('Budget ed extra'!$B$7:$B$18,'Budget ed extra'!$D$7:$D$18,D39)/COUNTIFS('Budget ed extra'!$D$7:$D$18,D39))</f>
        <v>900</v>
      </c>
      <c r="D39">
        <f>SUMPRODUCT(MAX(('Budget ed extra'!$D$7:$D$18&lt;=A39)*'Budget ed extra'!$D$7:$D$18))</f>
        <v>9</v>
      </c>
      <c r="E39">
        <f>SUMIFS('Budget ed extra'!$G$7:$G$42,'Budget ed extra'!$J$7:$J$42,A39)</f>
        <v>350</v>
      </c>
      <c r="F39">
        <f>SUM(T39:AE39)</f>
        <v>0</v>
      </c>
      <c r="G39">
        <f>MAX(0,E39-F39)</f>
        <v>350</v>
      </c>
      <c r="H39">
        <f>IF($A39&gt;=C$10,C$11,C$9)/12</f>
        <v>0.01575</v>
      </c>
      <c r="I39">
        <f>IF($A39&gt;=D$10,D$11,D$9)/12</f>
        <v>0.01825</v>
      </c>
      <c r="J39">
        <f>IF($A39&gt;=E$10,E$11,E$9)/12</f>
        <v>0.00766666666666667</v>
      </c>
      <c r="K39">
        <f>IF($A39&gt;=F$10,F$11,F$9)/12</f>
        <v>0.00533333333333333</v>
      </c>
      <c r="L39">
        <f>IF($A39&gt;=G$10,G$11,G$9)/12</f>
        <v>0</v>
      </c>
      <c r="M39">
        <f>IF($A39&gt;=H$10,H$11,H$9)/12</f>
        <v>0</v>
      </c>
      <c r="N39">
        <f>IF($A39&gt;=I$10,I$11,I$9)/12</f>
        <v>0</v>
      </c>
      <c r="O39">
        <f>IF($A39&gt;=J$10,J$11,J$9)/12</f>
        <v>0</v>
      </c>
      <c r="P39">
        <f>IF($A39&gt;=K$10,K$11,K$9)/12</f>
        <v>0</v>
      </c>
      <c r="Q39">
        <f>IF($A39&gt;=L$10,L$11,L$9)/12</f>
        <v>0</v>
      </c>
      <c r="R39">
        <f>IF($A39&gt;=M$10,M$11,M$9)/12</f>
        <v>0</v>
      </c>
      <c r="S39">
        <f>IF($A39&gt;=N$10,N$11,N$9)/12</f>
        <v>0</v>
      </c>
      <c r="T39">
        <f>IF(C$6="",0,SUMIFS('Budget ed extra'!$G$7:$G$42,'Budget ed extra'!$J$7:$J$42,$A39,'Budget ed extra'!$H$7:$H$42,C$6))</f>
        <v>0</v>
      </c>
      <c r="U39">
        <f>IF(D$6="",0,SUMIFS('Budget ed extra'!$G$7:$G$42,'Budget ed extra'!$J$7:$J$42,$A39,'Budget ed extra'!$H$7:$H$42,D$6))</f>
        <v>0</v>
      </c>
      <c r="V39">
        <f>IF(E$6="",0,SUMIFS('Budget ed extra'!$G$7:$G$42,'Budget ed extra'!$J$7:$J$42,$A39,'Budget ed extra'!$H$7:$H$42,E$6))</f>
        <v>0</v>
      </c>
      <c r="W39">
        <f>IF(F$6="",0,SUMIFS('Budget ed extra'!$G$7:$G$42,'Budget ed extra'!$J$7:$J$42,$A39,'Budget ed extra'!$H$7:$H$42,F$6))</f>
        <v>0</v>
      </c>
      <c r="X39">
        <f>IF(G$6="",0,SUMIFS('Budget ed extra'!$G$7:$G$42,'Budget ed extra'!$J$7:$J$42,$A39,'Budget ed extra'!$H$7:$H$42,G$6))</f>
        <v>0</v>
      </c>
      <c r="Y39">
        <f>IF(H$6="",0,SUMIFS('Budget ed extra'!$G$7:$G$42,'Budget ed extra'!$J$7:$J$42,$A39,'Budget ed extra'!$H$7:$H$42,H$6))</f>
        <v>0</v>
      </c>
      <c r="Z39">
        <f>IF(I$6="",0,SUMIFS('Budget ed extra'!$G$7:$G$42,'Budget ed extra'!$J$7:$J$42,$A39,'Budget ed extra'!$H$7:$H$42,I$6))</f>
        <v>0</v>
      </c>
      <c r="AA39">
        <f>IF(J$6="",0,SUMIFS('Budget ed extra'!$G$7:$G$42,'Budget ed extra'!$J$7:$J$42,$A39,'Budget ed extra'!$H$7:$H$42,J$6))</f>
        <v>0</v>
      </c>
      <c r="AB39">
        <f>IF(K$6="",0,SUMIFS('Budget ed extra'!$G$7:$G$42,'Budget ed extra'!$J$7:$J$42,$A39,'Budget ed extra'!$H$7:$H$42,K$6))</f>
        <v>0</v>
      </c>
      <c r="AC39">
        <f>IF(L$6="",0,SUMIFS('Budget ed extra'!$G$7:$G$42,'Budget ed extra'!$J$7:$J$42,$A39,'Budget ed extra'!$H$7:$H$42,L$6))</f>
        <v>0</v>
      </c>
      <c r="AD39">
        <f>IF(M$6="",0,SUMIFS('Budget ed extra'!$G$7:$G$42,'Budget ed extra'!$J$7:$J$42,$A39,'Budget ed extra'!$H$7:$H$42,M$6))</f>
        <v>0</v>
      </c>
      <c r="AE39">
        <f>IF(N$6="",0,SUMIFS('Budget ed extra'!$G$7:$G$42,'Budget ed extra'!$J$7:$J$42,$A39,'Budget ed extra'!$H$7:$H$42,N$6))</f>
        <v>0</v>
      </c>
    </row>
    <row r="40">
      <c r="A40" t="n">
        <v>10</v>
      </c>
      <c r="B40">
        <f>DATE($B$2,$B$3+A40-1,1)</f>
        <v>46600.0</v>
      </c>
      <c r="C40">
        <f>IF(D40=0,N(Impostazioni!$B$6),SUMIFS('Budget ed extra'!$B$7:$B$18,'Budget ed extra'!$D$7:$D$18,D40)/COUNTIFS('Budget ed extra'!$D$7:$D$18,D40))</f>
        <v>900</v>
      </c>
      <c r="D40">
        <f>SUMPRODUCT(MAX(('Budget ed extra'!$D$7:$D$18&lt;=A40)*'Budget ed extra'!$D$7:$D$18))</f>
        <v>9</v>
      </c>
      <c r="E40">
        <f>SUMIFS('Budget ed extra'!$G$7:$G$42,'Budget ed extra'!$J$7:$J$42,A40)</f>
        <v>0</v>
      </c>
      <c r="F40">
        <f>SUM(T40:AE40)</f>
        <v>0</v>
      </c>
      <c r="G40">
        <f>MAX(0,E40-F40)</f>
        <v>0</v>
      </c>
      <c r="H40">
        <f>IF($A40&gt;=C$10,C$11,C$9)/12</f>
        <v>0.01575</v>
      </c>
      <c r="I40">
        <f>IF($A40&gt;=D$10,D$11,D$9)/12</f>
        <v>0.01825</v>
      </c>
      <c r="J40">
        <f>IF($A40&gt;=E$10,E$11,E$9)/12</f>
        <v>0.00766666666666667</v>
      </c>
      <c r="K40">
        <f>IF($A40&gt;=F$10,F$11,F$9)/12</f>
        <v>0.00533333333333333</v>
      </c>
      <c r="L40">
        <f>IF($A40&gt;=G$10,G$11,G$9)/12</f>
        <v>0</v>
      </c>
      <c r="M40">
        <f>IF($A40&gt;=H$10,H$11,H$9)/12</f>
        <v>0</v>
      </c>
      <c r="N40">
        <f>IF($A40&gt;=I$10,I$11,I$9)/12</f>
        <v>0</v>
      </c>
      <c r="O40">
        <f>IF($A40&gt;=J$10,J$11,J$9)/12</f>
        <v>0</v>
      </c>
      <c r="P40">
        <f>IF($A40&gt;=K$10,K$11,K$9)/12</f>
        <v>0</v>
      </c>
      <c r="Q40">
        <f>IF($A40&gt;=L$10,L$11,L$9)/12</f>
        <v>0</v>
      </c>
      <c r="R40">
        <f>IF($A40&gt;=M$10,M$11,M$9)/12</f>
        <v>0</v>
      </c>
      <c r="S40">
        <f>IF($A40&gt;=N$10,N$11,N$9)/12</f>
        <v>0</v>
      </c>
      <c r="T40">
        <f>IF(C$6="",0,SUMIFS('Budget ed extra'!$G$7:$G$42,'Budget ed extra'!$J$7:$J$42,$A40,'Budget ed extra'!$H$7:$H$42,C$6))</f>
        <v>0</v>
      </c>
      <c r="U40">
        <f>IF(D$6="",0,SUMIFS('Budget ed extra'!$G$7:$G$42,'Budget ed extra'!$J$7:$J$42,$A40,'Budget ed extra'!$H$7:$H$42,D$6))</f>
        <v>0</v>
      </c>
      <c r="V40">
        <f>IF(E$6="",0,SUMIFS('Budget ed extra'!$G$7:$G$42,'Budget ed extra'!$J$7:$J$42,$A40,'Budget ed extra'!$H$7:$H$42,E$6))</f>
        <v>0</v>
      </c>
      <c r="W40">
        <f>IF(F$6="",0,SUMIFS('Budget ed extra'!$G$7:$G$42,'Budget ed extra'!$J$7:$J$42,$A40,'Budget ed extra'!$H$7:$H$42,F$6))</f>
        <v>0</v>
      </c>
      <c r="X40">
        <f>IF(G$6="",0,SUMIFS('Budget ed extra'!$G$7:$G$42,'Budget ed extra'!$J$7:$J$42,$A40,'Budget ed extra'!$H$7:$H$42,G$6))</f>
        <v>0</v>
      </c>
      <c r="Y40">
        <f>IF(H$6="",0,SUMIFS('Budget ed extra'!$G$7:$G$42,'Budget ed extra'!$J$7:$J$42,$A40,'Budget ed extra'!$H$7:$H$42,H$6))</f>
        <v>0</v>
      </c>
      <c r="Z40">
        <f>IF(I$6="",0,SUMIFS('Budget ed extra'!$G$7:$G$42,'Budget ed extra'!$J$7:$J$42,$A40,'Budget ed extra'!$H$7:$H$42,I$6))</f>
        <v>0</v>
      </c>
      <c r="AA40">
        <f>IF(J$6="",0,SUMIFS('Budget ed extra'!$G$7:$G$42,'Budget ed extra'!$J$7:$J$42,$A40,'Budget ed extra'!$H$7:$H$42,J$6))</f>
        <v>0</v>
      </c>
      <c r="AB40">
        <f>IF(K$6="",0,SUMIFS('Budget ed extra'!$G$7:$G$42,'Budget ed extra'!$J$7:$J$42,$A40,'Budget ed extra'!$H$7:$H$42,K$6))</f>
        <v>0</v>
      </c>
      <c r="AC40">
        <f>IF(L$6="",0,SUMIFS('Budget ed extra'!$G$7:$G$42,'Budget ed extra'!$J$7:$J$42,$A40,'Budget ed extra'!$H$7:$H$42,L$6))</f>
        <v>0</v>
      </c>
      <c r="AD40">
        <f>IF(M$6="",0,SUMIFS('Budget ed extra'!$G$7:$G$42,'Budget ed extra'!$J$7:$J$42,$A40,'Budget ed extra'!$H$7:$H$42,M$6))</f>
        <v>0</v>
      </c>
      <c r="AE40">
        <f>IF(N$6="",0,SUMIFS('Budget ed extra'!$G$7:$G$42,'Budget ed extra'!$J$7:$J$42,$A40,'Budget ed extra'!$H$7:$H$42,N$6))</f>
        <v>0</v>
      </c>
    </row>
    <row r="41">
      <c r="A41" t="n">
        <v>11</v>
      </c>
      <c r="B41">
        <f>DATE($B$2,$B$3+A41-1,1)</f>
        <v>46631.0</v>
      </c>
      <c r="C41">
        <f>IF(D41=0,N(Impostazioni!$B$6),SUMIFS('Budget ed extra'!$B$7:$B$18,'Budget ed extra'!$D$7:$D$18,D41)/COUNTIFS('Budget ed extra'!$D$7:$D$18,D41))</f>
        <v>900</v>
      </c>
      <c r="D41">
        <f>SUMPRODUCT(MAX(('Budget ed extra'!$D$7:$D$18&lt;=A41)*'Budget ed extra'!$D$7:$D$18))</f>
        <v>9</v>
      </c>
      <c r="E41">
        <f>SUMIFS('Budget ed extra'!$G$7:$G$42,'Budget ed extra'!$J$7:$J$42,A41)</f>
        <v>0</v>
      </c>
      <c r="F41">
        <f>SUM(T41:AE41)</f>
        <v>0</v>
      </c>
      <c r="G41">
        <f>MAX(0,E41-F41)</f>
        <v>0</v>
      </c>
      <c r="H41">
        <f>IF($A41&gt;=C$10,C$11,C$9)/12</f>
        <v>0.01575</v>
      </c>
      <c r="I41">
        <f>IF($A41&gt;=D$10,D$11,D$9)/12</f>
        <v>0.01825</v>
      </c>
      <c r="J41">
        <f>IF($A41&gt;=E$10,E$11,E$9)/12</f>
        <v>0.00766666666666667</v>
      </c>
      <c r="K41">
        <f>IF($A41&gt;=F$10,F$11,F$9)/12</f>
        <v>0.00533333333333333</v>
      </c>
      <c r="L41">
        <f>IF($A41&gt;=G$10,G$11,G$9)/12</f>
        <v>0</v>
      </c>
      <c r="M41">
        <f>IF($A41&gt;=H$10,H$11,H$9)/12</f>
        <v>0</v>
      </c>
      <c r="N41">
        <f>IF($A41&gt;=I$10,I$11,I$9)/12</f>
        <v>0</v>
      </c>
      <c r="O41">
        <f>IF($A41&gt;=J$10,J$11,J$9)/12</f>
        <v>0</v>
      </c>
      <c r="P41">
        <f>IF($A41&gt;=K$10,K$11,K$9)/12</f>
        <v>0</v>
      </c>
      <c r="Q41">
        <f>IF($A41&gt;=L$10,L$11,L$9)/12</f>
        <v>0</v>
      </c>
      <c r="R41">
        <f>IF($A41&gt;=M$10,M$11,M$9)/12</f>
        <v>0</v>
      </c>
      <c r="S41">
        <f>IF($A41&gt;=N$10,N$11,N$9)/12</f>
        <v>0</v>
      </c>
      <c r="T41">
        <f>IF(C$6="",0,SUMIFS('Budget ed extra'!$G$7:$G$42,'Budget ed extra'!$J$7:$J$42,$A41,'Budget ed extra'!$H$7:$H$42,C$6))</f>
        <v>0</v>
      </c>
      <c r="U41">
        <f>IF(D$6="",0,SUMIFS('Budget ed extra'!$G$7:$G$42,'Budget ed extra'!$J$7:$J$42,$A41,'Budget ed extra'!$H$7:$H$42,D$6))</f>
        <v>0</v>
      </c>
      <c r="V41">
        <f>IF(E$6="",0,SUMIFS('Budget ed extra'!$G$7:$G$42,'Budget ed extra'!$J$7:$J$42,$A41,'Budget ed extra'!$H$7:$H$42,E$6))</f>
        <v>0</v>
      </c>
      <c r="W41">
        <f>IF(F$6="",0,SUMIFS('Budget ed extra'!$G$7:$G$42,'Budget ed extra'!$J$7:$J$42,$A41,'Budget ed extra'!$H$7:$H$42,F$6))</f>
        <v>0</v>
      </c>
      <c r="X41">
        <f>IF(G$6="",0,SUMIFS('Budget ed extra'!$G$7:$G$42,'Budget ed extra'!$J$7:$J$42,$A41,'Budget ed extra'!$H$7:$H$42,G$6))</f>
        <v>0</v>
      </c>
      <c r="Y41">
        <f>IF(H$6="",0,SUMIFS('Budget ed extra'!$G$7:$G$42,'Budget ed extra'!$J$7:$J$42,$A41,'Budget ed extra'!$H$7:$H$42,H$6))</f>
        <v>0</v>
      </c>
      <c r="Z41">
        <f>IF(I$6="",0,SUMIFS('Budget ed extra'!$G$7:$G$42,'Budget ed extra'!$J$7:$J$42,$A41,'Budget ed extra'!$H$7:$H$42,I$6))</f>
        <v>0</v>
      </c>
      <c r="AA41">
        <f>IF(J$6="",0,SUMIFS('Budget ed extra'!$G$7:$G$42,'Budget ed extra'!$J$7:$J$42,$A41,'Budget ed extra'!$H$7:$H$42,J$6))</f>
        <v>0</v>
      </c>
      <c r="AB41">
        <f>IF(K$6="",0,SUMIFS('Budget ed extra'!$G$7:$G$42,'Budget ed extra'!$J$7:$J$42,$A41,'Budget ed extra'!$H$7:$H$42,K$6))</f>
        <v>0</v>
      </c>
      <c r="AC41">
        <f>IF(L$6="",0,SUMIFS('Budget ed extra'!$G$7:$G$42,'Budget ed extra'!$J$7:$J$42,$A41,'Budget ed extra'!$H$7:$H$42,L$6))</f>
        <v>0</v>
      </c>
      <c r="AD41">
        <f>IF(M$6="",0,SUMIFS('Budget ed extra'!$G$7:$G$42,'Budget ed extra'!$J$7:$J$42,$A41,'Budget ed extra'!$H$7:$H$42,M$6))</f>
        <v>0</v>
      </c>
      <c r="AE41">
        <f>IF(N$6="",0,SUMIFS('Budget ed extra'!$G$7:$G$42,'Budget ed extra'!$J$7:$J$42,$A41,'Budget ed extra'!$H$7:$H$42,N$6))</f>
        <v>0</v>
      </c>
    </row>
    <row r="42">
      <c r="A42" t="n">
        <v>12</v>
      </c>
      <c r="B42">
        <f>DATE($B$2,$B$3+A42-1,1)</f>
        <v>46661.0</v>
      </c>
      <c r="C42">
        <f>IF(D42=0,N(Impostazioni!$B$6),SUMIFS('Budget ed extra'!$B$7:$B$18,'Budget ed extra'!$D$7:$D$18,D42)/COUNTIFS('Budget ed extra'!$D$7:$D$18,D42))</f>
        <v>900</v>
      </c>
      <c r="D42">
        <f>SUMPRODUCT(MAX(('Budget ed extra'!$D$7:$D$18&lt;=A42)*'Budget ed extra'!$D$7:$D$18))</f>
        <v>9</v>
      </c>
      <c r="E42">
        <f>SUMIFS('Budget ed extra'!$G$7:$G$42,'Budget ed extra'!$J$7:$J$42,A42)</f>
        <v>0</v>
      </c>
      <c r="F42">
        <f>SUM(T42:AE42)</f>
        <v>0</v>
      </c>
      <c r="G42">
        <f>MAX(0,E42-F42)</f>
        <v>0</v>
      </c>
      <c r="H42">
        <f>IF($A42&gt;=C$10,C$11,C$9)/12</f>
        <v>0.01575</v>
      </c>
      <c r="I42">
        <f>IF($A42&gt;=D$10,D$11,D$9)/12</f>
        <v>0.01825</v>
      </c>
      <c r="J42">
        <f>IF($A42&gt;=E$10,E$11,E$9)/12</f>
        <v>0.00766666666666667</v>
      </c>
      <c r="K42">
        <f>IF($A42&gt;=F$10,F$11,F$9)/12</f>
        <v>0.00533333333333333</v>
      </c>
      <c r="L42">
        <f>IF($A42&gt;=G$10,G$11,G$9)/12</f>
        <v>0</v>
      </c>
      <c r="M42">
        <f>IF($A42&gt;=H$10,H$11,H$9)/12</f>
        <v>0</v>
      </c>
      <c r="N42">
        <f>IF($A42&gt;=I$10,I$11,I$9)/12</f>
        <v>0</v>
      </c>
      <c r="O42">
        <f>IF($A42&gt;=J$10,J$11,J$9)/12</f>
        <v>0</v>
      </c>
      <c r="P42">
        <f>IF($A42&gt;=K$10,K$11,K$9)/12</f>
        <v>0</v>
      </c>
      <c r="Q42">
        <f>IF($A42&gt;=L$10,L$11,L$9)/12</f>
        <v>0</v>
      </c>
      <c r="R42">
        <f>IF($A42&gt;=M$10,M$11,M$9)/12</f>
        <v>0</v>
      </c>
      <c r="S42">
        <f>IF($A42&gt;=N$10,N$11,N$9)/12</f>
        <v>0</v>
      </c>
      <c r="T42">
        <f>IF(C$6="",0,SUMIFS('Budget ed extra'!$G$7:$G$42,'Budget ed extra'!$J$7:$J$42,$A42,'Budget ed extra'!$H$7:$H$42,C$6))</f>
        <v>0</v>
      </c>
      <c r="U42">
        <f>IF(D$6="",0,SUMIFS('Budget ed extra'!$G$7:$G$42,'Budget ed extra'!$J$7:$J$42,$A42,'Budget ed extra'!$H$7:$H$42,D$6))</f>
        <v>0</v>
      </c>
      <c r="V42">
        <f>IF(E$6="",0,SUMIFS('Budget ed extra'!$G$7:$G$42,'Budget ed extra'!$J$7:$J$42,$A42,'Budget ed extra'!$H$7:$H$42,E$6))</f>
        <v>0</v>
      </c>
      <c r="W42">
        <f>IF(F$6="",0,SUMIFS('Budget ed extra'!$G$7:$G$42,'Budget ed extra'!$J$7:$J$42,$A42,'Budget ed extra'!$H$7:$H$42,F$6))</f>
        <v>0</v>
      </c>
      <c r="X42">
        <f>IF(G$6="",0,SUMIFS('Budget ed extra'!$G$7:$G$42,'Budget ed extra'!$J$7:$J$42,$A42,'Budget ed extra'!$H$7:$H$42,G$6))</f>
        <v>0</v>
      </c>
      <c r="Y42">
        <f>IF(H$6="",0,SUMIFS('Budget ed extra'!$G$7:$G$42,'Budget ed extra'!$J$7:$J$42,$A42,'Budget ed extra'!$H$7:$H$42,H$6))</f>
        <v>0</v>
      </c>
      <c r="Z42">
        <f>IF(I$6="",0,SUMIFS('Budget ed extra'!$G$7:$G$42,'Budget ed extra'!$J$7:$J$42,$A42,'Budget ed extra'!$H$7:$H$42,I$6))</f>
        <v>0</v>
      </c>
      <c r="AA42">
        <f>IF(J$6="",0,SUMIFS('Budget ed extra'!$G$7:$G$42,'Budget ed extra'!$J$7:$J$42,$A42,'Budget ed extra'!$H$7:$H$42,J$6))</f>
        <v>0</v>
      </c>
      <c r="AB42">
        <f>IF(K$6="",0,SUMIFS('Budget ed extra'!$G$7:$G$42,'Budget ed extra'!$J$7:$J$42,$A42,'Budget ed extra'!$H$7:$H$42,K$6))</f>
        <v>0</v>
      </c>
      <c r="AC42">
        <f>IF(L$6="",0,SUMIFS('Budget ed extra'!$G$7:$G$42,'Budget ed extra'!$J$7:$J$42,$A42,'Budget ed extra'!$H$7:$H$42,L$6))</f>
        <v>0</v>
      </c>
      <c r="AD42">
        <f>IF(M$6="",0,SUMIFS('Budget ed extra'!$G$7:$G$42,'Budget ed extra'!$J$7:$J$42,$A42,'Budget ed extra'!$H$7:$H$42,M$6))</f>
        <v>0</v>
      </c>
      <c r="AE42">
        <f>IF(N$6="",0,SUMIFS('Budget ed extra'!$G$7:$G$42,'Budget ed extra'!$J$7:$J$42,$A42,'Budget ed extra'!$H$7:$H$42,N$6))</f>
        <v>0</v>
      </c>
    </row>
    <row r="43">
      <c r="A43" t="n">
        <v>13</v>
      </c>
      <c r="B43">
        <f>DATE($B$2,$B$3+A43-1,1)</f>
        <v>46692.0</v>
      </c>
      <c r="C43">
        <f>IF(D43=0,N(Impostazioni!$B$6),SUMIFS('Budget ed extra'!$B$7:$B$18,'Budget ed extra'!$D$7:$D$18,D43)/COUNTIFS('Budget ed extra'!$D$7:$D$18,D43))</f>
        <v>900</v>
      </c>
      <c r="D43">
        <f>SUMPRODUCT(MAX(('Budget ed extra'!$D$7:$D$18&lt;=A43)*'Budget ed extra'!$D$7:$D$18))</f>
        <v>9</v>
      </c>
      <c r="E43">
        <f>SUMIFS('Budget ed extra'!$G$7:$G$42,'Budget ed extra'!$J$7:$J$42,A43)</f>
        <v>0</v>
      </c>
      <c r="F43">
        <f>SUM(T43:AE43)</f>
        <v>0</v>
      </c>
      <c r="G43">
        <f>MAX(0,E43-F43)</f>
        <v>0</v>
      </c>
      <c r="H43">
        <f>IF($A43&gt;=C$10,C$11,C$9)/12</f>
        <v>0.01575</v>
      </c>
      <c r="I43">
        <f>IF($A43&gt;=D$10,D$11,D$9)/12</f>
        <v>0.01825</v>
      </c>
      <c r="J43">
        <f>IF($A43&gt;=E$10,E$11,E$9)/12</f>
        <v>0.00766666666666667</v>
      </c>
      <c r="K43">
        <f>IF($A43&gt;=F$10,F$11,F$9)/12</f>
        <v>0.00533333333333333</v>
      </c>
      <c r="L43">
        <f>IF($A43&gt;=G$10,G$11,G$9)/12</f>
        <v>0</v>
      </c>
      <c r="M43">
        <f>IF($A43&gt;=H$10,H$11,H$9)/12</f>
        <v>0</v>
      </c>
      <c r="N43">
        <f>IF($A43&gt;=I$10,I$11,I$9)/12</f>
        <v>0</v>
      </c>
      <c r="O43">
        <f>IF($A43&gt;=J$10,J$11,J$9)/12</f>
        <v>0</v>
      </c>
      <c r="P43">
        <f>IF($A43&gt;=K$10,K$11,K$9)/12</f>
        <v>0</v>
      </c>
      <c r="Q43">
        <f>IF($A43&gt;=L$10,L$11,L$9)/12</f>
        <v>0</v>
      </c>
      <c r="R43">
        <f>IF($A43&gt;=M$10,M$11,M$9)/12</f>
        <v>0</v>
      </c>
      <c r="S43">
        <f>IF($A43&gt;=N$10,N$11,N$9)/12</f>
        <v>0</v>
      </c>
      <c r="T43">
        <f>IF(C$6="",0,SUMIFS('Budget ed extra'!$G$7:$G$42,'Budget ed extra'!$J$7:$J$42,$A43,'Budget ed extra'!$H$7:$H$42,C$6))</f>
        <v>0</v>
      </c>
      <c r="U43">
        <f>IF(D$6="",0,SUMIFS('Budget ed extra'!$G$7:$G$42,'Budget ed extra'!$J$7:$J$42,$A43,'Budget ed extra'!$H$7:$H$42,D$6))</f>
        <v>0</v>
      </c>
      <c r="V43">
        <f>IF(E$6="",0,SUMIFS('Budget ed extra'!$G$7:$G$42,'Budget ed extra'!$J$7:$J$42,$A43,'Budget ed extra'!$H$7:$H$42,E$6))</f>
        <v>0</v>
      </c>
      <c r="W43">
        <f>IF(F$6="",0,SUMIFS('Budget ed extra'!$G$7:$G$42,'Budget ed extra'!$J$7:$J$42,$A43,'Budget ed extra'!$H$7:$H$42,F$6))</f>
        <v>0</v>
      </c>
      <c r="X43">
        <f>IF(G$6="",0,SUMIFS('Budget ed extra'!$G$7:$G$42,'Budget ed extra'!$J$7:$J$42,$A43,'Budget ed extra'!$H$7:$H$42,G$6))</f>
        <v>0</v>
      </c>
      <c r="Y43">
        <f>IF(H$6="",0,SUMIFS('Budget ed extra'!$G$7:$G$42,'Budget ed extra'!$J$7:$J$42,$A43,'Budget ed extra'!$H$7:$H$42,H$6))</f>
        <v>0</v>
      </c>
      <c r="Z43">
        <f>IF(I$6="",0,SUMIFS('Budget ed extra'!$G$7:$G$42,'Budget ed extra'!$J$7:$J$42,$A43,'Budget ed extra'!$H$7:$H$42,I$6))</f>
        <v>0</v>
      </c>
      <c r="AA43">
        <f>IF(J$6="",0,SUMIFS('Budget ed extra'!$G$7:$G$42,'Budget ed extra'!$J$7:$J$42,$A43,'Budget ed extra'!$H$7:$H$42,J$6))</f>
        <v>0</v>
      </c>
      <c r="AB43">
        <f>IF(K$6="",0,SUMIFS('Budget ed extra'!$G$7:$G$42,'Budget ed extra'!$J$7:$J$42,$A43,'Budget ed extra'!$H$7:$H$42,K$6))</f>
        <v>0</v>
      </c>
      <c r="AC43">
        <f>IF(L$6="",0,SUMIFS('Budget ed extra'!$G$7:$G$42,'Budget ed extra'!$J$7:$J$42,$A43,'Budget ed extra'!$H$7:$H$42,L$6))</f>
        <v>0</v>
      </c>
      <c r="AD43">
        <f>IF(M$6="",0,SUMIFS('Budget ed extra'!$G$7:$G$42,'Budget ed extra'!$J$7:$J$42,$A43,'Budget ed extra'!$H$7:$H$42,M$6))</f>
        <v>0</v>
      </c>
      <c r="AE43">
        <f>IF(N$6="",0,SUMIFS('Budget ed extra'!$G$7:$G$42,'Budget ed extra'!$J$7:$J$42,$A43,'Budget ed extra'!$H$7:$H$42,N$6))</f>
        <v>0</v>
      </c>
    </row>
    <row r="44">
      <c r="A44" t="n">
        <v>14</v>
      </c>
      <c r="B44">
        <f>DATE($B$2,$B$3+A44-1,1)</f>
        <v>46722.0</v>
      </c>
      <c r="C44">
        <f>IF(D44=0,N(Impostazioni!$B$6),SUMIFS('Budget ed extra'!$B$7:$B$18,'Budget ed extra'!$D$7:$D$18,D44)/COUNTIFS('Budget ed extra'!$D$7:$D$18,D44))</f>
        <v>900</v>
      </c>
      <c r="D44">
        <f>SUMPRODUCT(MAX(('Budget ed extra'!$D$7:$D$18&lt;=A44)*'Budget ed extra'!$D$7:$D$18))</f>
        <v>9</v>
      </c>
      <c r="E44">
        <f>SUMIFS('Budget ed extra'!$G$7:$G$42,'Budget ed extra'!$J$7:$J$42,A44)</f>
        <v>600</v>
      </c>
      <c r="F44">
        <f>SUM(T44:AE44)</f>
        <v>0</v>
      </c>
      <c r="G44">
        <f>MAX(0,E44-F44)</f>
        <v>600</v>
      </c>
      <c r="H44">
        <f>IF($A44&gt;=C$10,C$11,C$9)/12</f>
        <v>0.01575</v>
      </c>
      <c r="I44">
        <f>IF($A44&gt;=D$10,D$11,D$9)/12</f>
        <v>0.01825</v>
      </c>
      <c r="J44">
        <f>IF($A44&gt;=E$10,E$11,E$9)/12</f>
        <v>0.00766666666666667</v>
      </c>
      <c r="K44">
        <f>IF($A44&gt;=F$10,F$11,F$9)/12</f>
        <v>0.00533333333333333</v>
      </c>
      <c r="L44">
        <f>IF($A44&gt;=G$10,G$11,G$9)/12</f>
        <v>0</v>
      </c>
      <c r="M44">
        <f>IF($A44&gt;=H$10,H$11,H$9)/12</f>
        <v>0</v>
      </c>
      <c r="N44">
        <f>IF($A44&gt;=I$10,I$11,I$9)/12</f>
        <v>0</v>
      </c>
      <c r="O44">
        <f>IF($A44&gt;=J$10,J$11,J$9)/12</f>
        <v>0</v>
      </c>
      <c r="P44">
        <f>IF($A44&gt;=K$10,K$11,K$9)/12</f>
        <v>0</v>
      </c>
      <c r="Q44">
        <f>IF($A44&gt;=L$10,L$11,L$9)/12</f>
        <v>0</v>
      </c>
      <c r="R44">
        <f>IF($A44&gt;=M$10,M$11,M$9)/12</f>
        <v>0</v>
      </c>
      <c r="S44">
        <f>IF($A44&gt;=N$10,N$11,N$9)/12</f>
        <v>0</v>
      </c>
      <c r="T44">
        <f>IF(C$6="",0,SUMIFS('Budget ed extra'!$G$7:$G$42,'Budget ed extra'!$J$7:$J$42,$A44,'Budget ed extra'!$H$7:$H$42,C$6))</f>
        <v>0</v>
      </c>
      <c r="U44">
        <f>IF(D$6="",0,SUMIFS('Budget ed extra'!$G$7:$G$42,'Budget ed extra'!$J$7:$J$42,$A44,'Budget ed extra'!$H$7:$H$42,D$6))</f>
        <v>0</v>
      </c>
      <c r="V44">
        <f>IF(E$6="",0,SUMIFS('Budget ed extra'!$G$7:$G$42,'Budget ed extra'!$J$7:$J$42,$A44,'Budget ed extra'!$H$7:$H$42,E$6))</f>
        <v>0</v>
      </c>
      <c r="W44">
        <f>IF(F$6="",0,SUMIFS('Budget ed extra'!$G$7:$G$42,'Budget ed extra'!$J$7:$J$42,$A44,'Budget ed extra'!$H$7:$H$42,F$6))</f>
        <v>0</v>
      </c>
      <c r="X44">
        <f>IF(G$6="",0,SUMIFS('Budget ed extra'!$G$7:$G$42,'Budget ed extra'!$J$7:$J$42,$A44,'Budget ed extra'!$H$7:$H$42,G$6))</f>
        <v>0</v>
      </c>
      <c r="Y44">
        <f>IF(H$6="",0,SUMIFS('Budget ed extra'!$G$7:$G$42,'Budget ed extra'!$J$7:$J$42,$A44,'Budget ed extra'!$H$7:$H$42,H$6))</f>
        <v>0</v>
      </c>
      <c r="Z44">
        <f>IF(I$6="",0,SUMIFS('Budget ed extra'!$G$7:$G$42,'Budget ed extra'!$J$7:$J$42,$A44,'Budget ed extra'!$H$7:$H$42,I$6))</f>
        <v>0</v>
      </c>
      <c r="AA44">
        <f>IF(J$6="",0,SUMIFS('Budget ed extra'!$G$7:$G$42,'Budget ed extra'!$J$7:$J$42,$A44,'Budget ed extra'!$H$7:$H$42,J$6))</f>
        <v>0</v>
      </c>
      <c r="AB44">
        <f>IF(K$6="",0,SUMIFS('Budget ed extra'!$G$7:$G$42,'Budget ed extra'!$J$7:$J$42,$A44,'Budget ed extra'!$H$7:$H$42,K$6))</f>
        <v>0</v>
      </c>
      <c r="AC44">
        <f>IF(L$6="",0,SUMIFS('Budget ed extra'!$G$7:$G$42,'Budget ed extra'!$J$7:$J$42,$A44,'Budget ed extra'!$H$7:$H$42,L$6))</f>
        <v>0</v>
      </c>
      <c r="AD44">
        <f>IF(M$6="",0,SUMIFS('Budget ed extra'!$G$7:$G$42,'Budget ed extra'!$J$7:$J$42,$A44,'Budget ed extra'!$H$7:$H$42,M$6))</f>
        <v>0</v>
      </c>
      <c r="AE44">
        <f>IF(N$6="",0,SUMIFS('Budget ed extra'!$G$7:$G$42,'Budget ed extra'!$J$7:$J$42,$A44,'Budget ed extra'!$H$7:$H$42,N$6))</f>
        <v>0</v>
      </c>
    </row>
    <row r="45">
      <c r="A45" t="n">
        <v>15</v>
      </c>
      <c r="B45">
        <f>DATE($B$2,$B$3+A45-1,1)</f>
        <v>46753.0</v>
      </c>
      <c r="C45">
        <f>IF(D45=0,N(Impostazioni!$B$6),SUMIFS('Budget ed extra'!$B$7:$B$18,'Budget ed extra'!$D$7:$D$18,D45)/COUNTIFS('Budget ed extra'!$D$7:$D$18,D45))</f>
        <v>900</v>
      </c>
      <c r="D45">
        <f>SUMPRODUCT(MAX(('Budget ed extra'!$D$7:$D$18&lt;=A45)*'Budget ed extra'!$D$7:$D$18))</f>
        <v>9</v>
      </c>
      <c r="E45">
        <f>SUMIFS('Budget ed extra'!$G$7:$G$42,'Budget ed extra'!$J$7:$J$42,A45)</f>
        <v>0</v>
      </c>
      <c r="F45">
        <f>SUM(T45:AE45)</f>
        <v>0</v>
      </c>
      <c r="G45">
        <f>MAX(0,E45-F45)</f>
        <v>0</v>
      </c>
      <c r="H45">
        <f>IF($A45&gt;=C$10,C$11,C$9)/12</f>
        <v>0.01575</v>
      </c>
      <c r="I45">
        <f>IF($A45&gt;=D$10,D$11,D$9)/12</f>
        <v>0.01825</v>
      </c>
      <c r="J45">
        <f>IF($A45&gt;=E$10,E$11,E$9)/12</f>
        <v>0.00766666666666667</v>
      </c>
      <c r="K45">
        <f>IF($A45&gt;=F$10,F$11,F$9)/12</f>
        <v>0.00533333333333333</v>
      </c>
      <c r="L45">
        <f>IF($A45&gt;=G$10,G$11,G$9)/12</f>
        <v>0</v>
      </c>
      <c r="M45">
        <f>IF($A45&gt;=H$10,H$11,H$9)/12</f>
        <v>0</v>
      </c>
      <c r="N45">
        <f>IF($A45&gt;=I$10,I$11,I$9)/12</f>
        <v>0</v>
      </c>
      <c r="O45">
        <f>IF($A45&gt;=J$10,J$11,J$9)/12</f>
        <v>0</v>
      </c>
      <c r="P45">
        <f>IF($A45&gt;=K$10,K$11,K$9)/12</f>
        <v>0</v>
      </c>
      <c r="Q45">
        <f>IF($A45&gt;=L$10,L$11,L$9)/12</f>
        <v>0</v>
      </c>
      <c r="R45">
        <f>IF($A45&gt;=M$10,M$11,M$9)/12</f>
        <v>0</v>
      </c>
      <c r="S45">
        <f>IF($A45&gt;=N$10,N$11,N$9)/12</f>
        <v>0</v>
      </c>
      <c r="T45">
        <f>IF(C$6="",0,SUMIFS('Budget ed extra'!$G$7:$G$42,'Budget ed extra'!$J$7:$J$42,$A45,'Budget ed extra'!$H$7:$H$42,C$6))</f>
        <v>0</v>
      </c>
      <c r="U45">
        <f>IF(D$6="",0,SUMIFS('Budget ed extra'!$G$7:$G$42,'Budget ed extra'!$J$7:$J$42,$A45,'Budget ed extra'!$H$7:$H$42,D$6))</f>
        <v>0</v>
      </c>
      <c r="V45">
        <f>IF(E$6="",0,SUMIFS('Budget ed extra'!$G$7:$G$42,'Budget ed extra'!$J$7:$J$42,$A45,'Budget ed extra'!$H$7:$H$42,E$6))</f>
        <v>0</v>
      </c>
      <c r="W45">
        <f>IF(F$6="",0,SUMIFS('Budget ed extra'!$G$7:$G$42,'Budget ed extra'!$J$7:$J$42,$A45,'Budget ed extra'!$H$7:$H$42,F$6))</f>
        <v>0</v>
      </c>
      <c r="X45">
        <f>IF(G$6="",0,SUMIFS('Budget ed extra'!$G$7:$G$42,'Budget ed extra'!$J$7:$J$42,$A45,'Budget ed extra'!$H$7:$H$42,G$6))</f>
        <v>0</v>
      </c>
      <c r="Y45">
        <f>IF(H$6="",0,SUMIFS('Budget ed extra'!$G$7:$G$42,'Budget ed extra'!$J$7:$J$42,$A45,'Budget ed extra'!$H$7:$H$42,H$6))</f>
        <v>0</v>
      </c>
      <c r="Z45">
        <f>IF(I$6="",0,SUMIFS('Budget ed extra'!$G$7:$G$42,'Budget ed extra'!$J$7:$J$42,$A45,'Budget ed extra'!$H$7:$H$42,I$6))</f>
        <v>0</v>
      </c>
      <c r="AA45">
        <f>IF(J$6="",0,SUMIFS('Budget ed extra'!$G$7:$G$42,'Budget ed extra'!$J$7:$J$42,$A45,'Budget ed extra'!$H$7:$H$42,J$6))</f>
        <v>0</v>
      </c>
      <c r="AB45">
        <f>IF(K$6="",0,SUMIFS('Budget ed extra'!$G$7:$G$42,'Budget ed extra'!$J$7:$J$42,$A45,'Budget ed extra'!$H$7:$H$42,K$6))</f>
        <v>0</v>
      </c>
      <c r="AC45">
        <f>IF(L$6="",0,SUMIFS('Budget ed extra'!$G$7:$G$42,'Budget ed extra'!$J$7:$J$42,$A45,'Budget ed extra'!$H$7:$H$42,L$6))</f>
        <v>0</v>
      </c>
      <c r="AD45">
        <f>IF(M$6="",0,SUMIFS('Budget ed extra'!$G$7:$G$42,'Budget ed extra'!$J$7:$J$42,$A45,'Budget ed extra'!$H$7:$H$42,M$6))</f>
        <v>0</v>
      </c>
      <c r="AE45">
        <f>IF(N$6="",0,SUMIFS('Budget ed extra'!$G$7:$G$42,'Budget ed extra'!$J$7:$J$42,$A45,'Budget ed extra'!$H$7:$H$42,N$6))</f>
        <v>0</v>
      </c>
    </row>
    <row r="46">
      <c r="A46" t="n">
        <v>16</v>
      </c>
      <c r="B46">
        <f>DATE($B$2,$B$3+A46-1,1)</f>
        <v>46784.0</v>
      </c>
      <c r="C46">
        <f>IF(D46=0,N(Impostazioni!$B$6),SUMIFS('Budget ed extra'!$B$7:$B$18,'Budget ed extra'!$D$7:$D$18,D46)/COUNTIFS('Budget ed extra'!$D$7:$D$18,D46))</f>
        <v>900</v>
      </c>
      <c r="D46">
        <f>SUMPRODUCT(MAX(('Budget ed extra'!$D$7:$D$18&lt;=A46)*'Budget ed extra'!$D$7:$D$18))</f>
        <v>9</v>
      </c>
      <c r="E46">
        <f>SUMIFS('Budget ed extra'!$G$7:$G$42,'Budget ed extra'!$J$7:$J$42,A46)</f>
        <v>0</v>
      </c>
      <c r="F46">
        <f>SUM(T46:AE46)</f>
        <v>0</v>
      </c>
      <c r="G46">
        <f>MAX(0,E46-F46)</f>
        <v>0</v>
      </c>
      <c r="H46">
        <f>IF($A46&gt;=C$10,C$11,C$9)/12</f>
        <v>0.01575</v>
      </c>
      <c r="I46">
        <f>IF($A46&gt;=D$10,D$11,D$9)/12</f>
        <v>0.01825</v>
      </c>
      <c r="J46">
        <f>IF($A46&gt;=E$10,E$11,E$9)/12</f>
        <v>0.00766666666666667</v>
      </c>
      <c r="K46">
        <f>IF($A46&gt;=F$10,F$11,F$9)/12</f>
        <v>0.00533333333333333</v>
      </c>
      <c r="L46">
        <f>IF($A46&gt;=G$10,G$11,G$9)/12</f>
        <v>0</v>
      </c>
      <c r="M46">
        <f>IF($A46&gt;=H$10,H$11,H$9)/12</f>
        <v>0</v>
      </c>
      <c r="N46">
        <f>IF($A46&gt;=I$10,I$11,I$9)/12</f>
        <v>0</v>
      </c>
      <c r="O46">
        <f>IF($A46&gt;=J$10,J$11,J$9)/12</f>
        <v>0</v>
      </c>
      <c r="P46">
        <f>IF($A46&gt;=K$10,K$11,K$9)/12</f>
        <v>0</v>
      </c>
      <c r="Q46">
        <f>IF($A46&gt;=L$10,L$11,L$9)/12</f>
        <v>0</v>
      </c>
      <c r="R46">
        <f>IF($A46&gt;=M$10,M$11,M$9)/12</f>
        <v>0</v>
      </c>
      <c r="S46">
        <f>IF($A46&gt;=N$10,N$11,N$9)/12</f>
        <v>0</v>
      </c>
      <c r="T46">
        <f>IF(C$6="",0,SUMIFS('Budget ed extra'!$G$7:$G$42,'Budget ed extra'!$J$7:$J$42,$A46,'Budget ed extra'!$H$7:$H$42,C$6))</f>
        <v>0</v>
      </c>
      <c r="U46">
        <f>IF(D$6="",0,SUMIFS('Budget ed extra'!$G$7:$G$42,'Budget ed extra'!$J$7:$J$42,$A46,'Budget ed extra'!$H$7:$H$42,D$6))</f>
        <v>0</v>
      </c>
      <c r="V46">
        <f>IF(E$6="",0,SUMIFS('Budget ed extra'!$G$7:$G$42,'Budget ed extra'!$J$7:$J$42,$A46,'Budget ed extra'!$H$7:$H$42,E$6))</f>
        <v>0</v>
      </c>
      <c r="W46">
        <f>IF(F$6="",0,SUMIFS('Budget ed extra'!$G$7:$G$42,'Budget ed extra'!$J$7:$J$42,$A46,'Budget ed extra'!$H$7:$H$42,F$6))</f>
        <v>0</v>
      </c>
      <c r="X46">
        <f>IF(G$6="",0,SUMIFS('Budget ed extra'!$G$7:$G$42,'Budget ed extra'!$J$7:$J$42,$A46,'Budget ed extra'!$H$7:$H$42,G$6))</f>
        <v>0</v>
      </c>
      <c r="Y46">
        <f>IF(H$6="",0,SUMIFS('Budget ed extra'!$G$7:$G$42,'Budget ed extra'!$J$7:$J$42,$A46,'Budget ed extra'!$H$7:$H$42,H$6))</f>
        <v>0</v>
      </c>
      <c r="Z46">
        <f>IF(I$6="",0,SUMIFS('Budget ed extra'!$G$7:$G$42,'Budget ed extra'!$J$7:$J$42,$A46,'Budget ed extra'!$H$7:$H$42,I$6))</f>
        <v>0</v>
      </c>
      <c r="AA46">
        <f>IF(J$6="",0,SUMIFS('Budget ed extra'!$G$7:$G$42,'Budget ed extra'!$J$7:$J$42,$A46,'Budget ed extra'!$H$7:$H$42,J$6))</f>
        <v>0</v>
      </c>
      <c r="AB46">
        <f>IF(K$6="",0,SUMIFS('Budget ed extra'!$G$7:$G$42,'Budget ed extra'!$J$7:$J$42,$A46,'Budget ed extra'!$H$7:$H$42,K$6))</f>
        <v>0</v>
      </c>
      <c r="AC46">
        <f>IF(L$6="",0,SUMIFS('Budget ed extra'!$G$7:$G$42,'Budget ed extra'!$J$7:$J$42,$A46,'Budget ed extra'!$H$7:$H$42,L$6))</f>
        <v>0</v>
      </c>
      <c r="AD46">
        <f>IF(M$6="",0,SUMIFS('Budget ed extra'!$G$7:$G$42,'Budget ed extra'!$J$7:$J$42,$A46,'Budget ed extra'!$H$7:$H$42,M$6))</f>
        <v>0</v>
      </c>
      <c r="AE46">
        <f>IF(N$6="",0,SUMIFS('Budget ed extra'!$G$7:$G$42,'Budget ed extra'!$J$7:$J$42,$A46,'Budget ed extra'!$H$7:$H$42,N$6))</f>
        <v>0</v>
      </c>
    </row>
    <row r="47">
      <c r="A47" t="n">
        <v>17</v>
      </c>
      <c r="B47">
        <f>DATE($B$2,$B$3+A47-1,1)</f>
        <v>46813.0</v>
      </c>
      <c r="C47">
        <f>IF(D47=0,N(Impostazioni!$B$6),SUMIFS('Budget ed extra'!$B$7:$B$18,'Budget ed extra'!$D$7:$D$18,D47)/COUNTIFS('Budget ed extra'!$D$7:$D$18,D47))</f>
        <v>900</v>
      </c>
      <c r="D47">
        <f>SUMPRODUCT(MAX(('Budget ed extra'!$D$7:$D$18&lt;=A47)*'Budget ed extra'!$D$7:$D$18))</f>
        <v>9</v>
      </c>
      <c r="E47">
        <f>SUMIFS('Budget ed extra'!$G$7:$G$42,'Budget ed extra'!$J$7:$J$42,A47)</f>
        <v>0</v>
      </c>
      <c r="F47">
        <f>SUM(T47:AE47)</f>
        <v>0</v>
      </c>
      <c r="G47">
        <f>MAX(0,E47-F47)</f>
        <v>0</v>
      </c>
      <c r="H47">
        <f>IF($A47&gt;=C$10,C$11,C$9)/12</f>
        <v>0.01575</v>
      </c>
      <c r="I47">
        <f>IF($A47&gt;=D$10,D$11,D$9)/12</f>
        <v>0.01825</v>
      </c>
      <c r="J47">
        <f>IF($A47&gt;=E$10,E$11,E$9)/12</f>
        <v>0.00766666666666667</v>
      </c>
      <c r="K47">
        <f>IF($A47&gt;=F$10,F$11,F$9)/12</f>
        <v>0.00533333333333333</v>
      </c>
      <c r="L47">
        <f>IF($A47&gt;=G$10,G$11,G$9)/12</f>
        <v>0</v>
      </c>
      <c r="M47">
        <f>IF($A47&gt;=H$10,H$11,H$9)/12</f>
        <v>0</v>
      </c>
      <c r="N47">
        <f>IF($A47&gt;=I$10,I$11,I$9)/12</f>
        <v>0</v>
      </c>
      <c r="O47">
        <f>IF($A47&gt;=J$10,J$11,J$9)/12</f>
        <v>0</v>
      </c>
      <c r="P47">
        <f>IF($A47&gt;=K$10,K$11,K$9)/12</f>
        <v>0</v>
      </c>
      <c r="Q47">
        <f>IF($A47&gt;=L$10,L$11,L$9)/12</f>
        <v>0</v>
      </c>
      <c r="R47">
        <f>IF($A47&gt;=M$10,M$11,M$9)/12</f>
        <v>0</v>
      </c>
      <c r="S47">
        <f>IF($A47&gt;=N$10,N$11,N$9)/12</f>
        <v>0</v>
      </c>
      <c r="T47">
        <f>IF(C$6="",0,SUMIFS('Budget ed extra'!$G$7:$G$42,'Budget ed extra'!$J$7:$J$42,$A47,'Budget ed extra'!$H$7:$H$42,C$6))</f>
        <v>0</v>
      </c>
      <c r="U47">
        <f>IF(D$6="",0,SUMIFS('Budget ed extra'!$G$7:$G$42,'Budget ed extra'!$J$7:$J$42,$A47,'Budget ed extra'!$H$7:$H$42,D$6))</f>
        <v>0</v>
      </c>
      <c r="V47">
        <f>IF(E$6="",0,SUMIFS('Budget ed extra'!$G$7:$G$42,'Budget ed extra'!$J$7:$J$42,$A47,'Budget ed extra'!$H$7:$H$42,E$6))</f>
        <v>0</v>
      </c>
      <c r="W47">
        <f>IF(F$6="",0,SUMIFS('Budget ed extra'!$G$7:$G$42,'Budget ed extra'!$J$7:$J$42,$A47,'Budget ed extra'!$H$7:$H$42,F$6))</f>
        <v>0</v>
      </c>
      <c r="X47">
        <f>IF(G$6="",0,SUMIFS('Budget ed extra'!$G$7:$G$42,'Budget ed extra'!$J$7:$J$42,$A47,'Budget ed extra'!$H$7:$H$42,G$6))</f>
        <v>0</v>
      </c>
      <c r="Y47">
        <f>IF(H$6="",0,SUMIFS('Budget ed extra'!$G$7:$G$42,'Budget ed extra'!$J$7:$J$42,$A47,'Budget ed extra'!$H$7:$H$42,H$6))</f>
        <v>0</v>
      </c>
      <c r="Z47">
        <f>IF(I$6="",0,SUMIFS('Budget ed extra'!$G$7:$G$42,'Budget ed extra'!$J$7:$J$42,$A47,'Budget ed extra'!$H$7:$H$42,I$6))</f>
        <v>0</v>
      </c>
      <c r="AA47">
        <f>IF(J$6="",0,SUMIFS('Budget ed extra'!$G$7:$G$42,'Budget ed extra'!$J$7:$J$42,$A47,'Budget ed extra'!$H$7:$H$42,J$6))</f>
        <v>0</v>
      </c>
      <c r="AB47">
        <f>IF(K$6="",0,SUMIFS('Budget ed extra'!$G$7:$G$42,'Budget ed extra'!$J$7:$J$42,$A47,'Budget ed extra'!$H$7:$H$42,K$6))</f>
        <v>0</v>
      </c>
      <c r="AC47">
        <f>IF(L$6="",0,SUMIFS('Budget ed extra'!$G$7:$G$42,'Budget ed extra'!$J$7:$J$42,$A47,'Budget ed extra'!$H$7:$H$42,L$6))</f>
        <v>0</v>
      </c>
      <c r="AD47">
        <f>IF(M$6="",0,SUMIFS('Budget ed extra'!$G$7:$G$42,'Budget ed extra'!$J$7:$J$42,$A47,'Budget ed extra'!$H$7:$H$42,M$6))</f>
        <v>0</v>
      </c>
      <c r="AE47">
        <f>IF(N$6="",0,SUMIFS('Budget ed extra'!$G$7:$G$42,'Budget ed extra'!$J$7:$J$42,$A47,'Budget ed extra'!$H$7:$H$42,N$6))</f>
        <v>0</v>
      </c>
    </row>
    <row r="48">
      <c r="A48" t="n">
        <v>18</v>
      </c>
      <c r="B48">
        <f>DATE($B$2,$B$3+A48-1,1)</f>
        <v>46844.0</v>
      </c>
      <c r="C48">
        <f>IF(D48=0,N(Impostazioni!$B$6),SUMIFS('Budget ed extra'!$B$7:$B$18,'Budget ed extra'!$D$7:$D$18,D48)/COUNTIFS('Budget ed extra'!$D$7:$D$18,D48))</f>
        <v>900</v>
      </c>
      <c r="D48">
        <f>SUMPRODUCT(MAX(('Budget ed extra'!$D$7:$D$18&lt;=A48)*'Budget ed extra'!$D$7:$D$18))</f>
        <v>9</v>
      </c>
      <c r="E48">
        <f>SUMIFS('Budget ed extra'!$G$7:$G$42,'Budget ed extra'!$J$7:$J$42,A48)</f>
        <v>0</v>
      </c>
      <c r="F48">
        <f>SUM(T48:AE48)</f>
        <v>0</v>
      </c>
      <c r="G48">
        <f>MAX(0,E48-F48)</f>
        <v>0</v>
      </c>
      <c r="H48">
        <f>IF($A48&gt;=C$10,C$11,C$9)/12</f>
        <v>0.01575</v>
      </c>
      <c r="I48">
        <f>IF($A48&gt;=D$10,D$11,D$9)/12</f>
        <v>0.01825</v>
      </c>
      <c r="J48">
        <f>IF($A48&gt;=E$10,E$11,E$9)/12</f>
        <v>0.00766666666666667</v>
      </c>
      <c r="K48">
        <f>IF($A48&gt;=F$10,F$11,F$9)/12</f>
        <v>0.00533333333333333</v>
      </c>
      <c r="L48">
        <f>IF($A48&gt;=G$10,G$11,G$9)/12</f>
        <v>0</v>
      </c>
      <c r="M48">
        <f>IF($A48&gt;=H$10,H$11,H$9)/12</f>
        <v>0</v>
      </c>
      <c r="N48">
        <f>IF($A48&gt;=I$10,I$11,I$9)/12</f>
        <v>0</v>
      </c>
      <c r="O48">
        <f>IF($A48&gt;=J$10,J$11,J$9)/12</f>
        <v>0</v>
      </c>
      <c r="P48">
        <f>IF($A48&gt;=K$10,K$11,K$9)/12</f>
        <v>0</v>
      </c>
      <c r="Q48">
        <f>IF($A48&gt;=L$10,L$11,L$9)/12</f>
        <v>0</v>
      </c>
      <c r="R48">
        <f>IF($A48&gt;=M$10,M$11,M$9)/12</f>
        <v>0</v>
      </c>
      <c r="S48">
        <f>IF($A48&gt;=N$10,N$11,N$9)/12</f>
        <v>0</v>
      </c>
      <c r="T48">
        <f>IF(C$6="",0,SUMIFS('Budget ed extra'!$G$7:$G$42,'Budget ed extra'!$J$7:$J$42,$A48,'Budget ed extra'!$H$7:$H$42,C$6))</f>
        <v>0</v>
      </c>
      <c r="U48">
        <f>IF(D$6="",0,SUMIFS('Budget ed extra'!$G$7:$G$42,'Budget ed extra'!$J$7:$J$42,$A48,'Budget ed extra'!$H$7:$H$42,D$6))</f>
        <v>0</v>
      </c>
      <c r="V48">
        <f>IF(E$6="",0,SUMIFS('Budget ed extra'!$G$7:$G$42,'Budget ed extra'!$J$7:$J$42,$A48,'Budget ed extra'!$H$7:$H$42,E$6))</f>
        <v>0</v>
      </c>
      <c r="W48">
        <f>IF(F$6="",0,SUMIFS('Budget ed extra'!$G$7:$G$42,'Budget ed extra'!$J$7:$J$42,$A48,'Budget ed extra'!$H$7:$H$42,F$6))</f>
        <v>0</v>
      </c>
      <c r="X48">
        <f>IF(G$6="",0,SUMIFS('Budget ed extra'!$G$7:$G$42,'Budget ed extra'!$J$7:$J$42,$A48,'Budget ed extra'!$H$7:$H$42,G$6))</f>
        <v>0</v>
      </c>
      <c r="Y48">
        <f>IF(H$6="",0,SUMIFS('Budget ed extra'!$G$7:$G$42,'Budget ed extra'!$J$7:$J$42,$A48,'Budget ed extra'!$H$7:$H$42,H$6))</f>
        <v>0</v>
      </c>
      <c r="Z48">
        <f>IF(I$6="",0,SUMIFS('Budget ed extra'!$G$7:$G$42,'Budget ed extra'!$J$7:$J$42,$A48,'Budget ed extra'!$H$7:$H$42,I$6))</f>
        <v>0</v>
      </c>
      <c r="AA48">
        <f>IF(J$6="",0,SUMIFS('Budget ed extra'!$G$7:$G$42,'Budget ed extra'!$J$7:$J$42,$A48,'Budget ed extra'!$H$7:$H$42,J$6))</f>
        <v>0</v>
      </c>
      <c r="AB48">
        <f>IF(K$6="",0,SUMIFS('Budget ed extra'!$G$7:$G$42,'Budget ed extra'!$J$7:$J$42,$A48,'Budget ed extra'!$H$7:$H$42,K$6))</f>
        <v>0</v>
      </c>
      <c r="AC48">
        <f>IF(L$6="",0,SUMIFS('Budget ed extra'!$G$7:$G$42,'Budget ed extra'!$J$7:$J$42,$A48,'Budget ed extra'!$H$7:$H$42,L$6))</f>
        <v>0</v>
      </c>
      <c r="AD48">
        <f>IF(M$6="",0,SUMIFS('Budget ed extra'!$G$7:$G$42,'Budget ed extra'!$J$7:$J$42,$A48,'Budget ed extra'!$H$7:$H$42,M$6))</f>
        <v>0</v>
      </c>
      <c r="AE48">
        <f>IF(N$6="",0,SUMIFS('Budget ed extra'!$G$7:$G$42,'Budget ed extra'!$J$7:$J$42,$A48,'Budget ed extra'!$H$7:$H$42,N$6))</f>
        <v>0</v>
      </c>
    </row>
    <row r="49">
      <c r="A49" t="n">
        <v>19</v>
      </c>
      <c r="B49">
        <f>DATE($B$2,$B$3+A49-1,1)</f>
        <v>46874.0</v>
      </c>
      <c r="C49">
        <f>IF(D49=0,N(Impostazioni!$B$6),SUMIFS('Budget ed extra'!$B$7:$B$18,'Budget ed extra'!$D$7:$D$18,D49)/COUNTIFS('Budget ed extra'!$D$7:$D$18,D49))</f>
        <v>900</v>
      </c>
      <c r="D49">
        <f>SUMPRODUCT(MAX(('Budget ed extra'!$D$7:$D$18&lt;=A49)*'Budget ed extra'!$D$7:$D$18))</f>
        <v>9</v>
      </c>
      <c r="E49">
        <f>SUMIFS('Budget ed extra'!$G$7:$G$42,'Budget ed extra'!$J$7:$J$42,A49)</f>
        <v>0</v>
      </c>
      <c r="F49">
        <f>SUM(T49:AE49)</f>
        <v>0</v>
      </c>
      <c r="G49">
        <f>MAX(0,E49-F49)</f>
        <v>0</v>
      </c>
      <c r="H49">
        <f>IF($A49&gt;=C$10,C$11,C$9)/12</f>
        <v>0.01575</v>
      </c>
      <c r="I49">
        <f>IF($A49&gt;=D$10,D$11,D$9)/12</f>
        <v>0.01825</v>
      </c>
      <c r="J49">
        <f>IF($A49&gt;=E$10,E$11,E$9)/12</f>
        <v>0.00766666666666667</v>
      </c>
      <c r="K49">
        <f>IF($A49&gt;=F$10,F$11,F$9)/12</f>
        <v>0.00533333333333333</v>
      </c>
      <c r="L49">
        <f>IF($A49&gt;=G$10,G$11,G$9)/12</f>
        <v>0</v>
      </c>
      <c r="M49">
        <f>IF($A49&gt;=H$10,H$11,H$9)/12</f>
        <v>0</v>
      </c>
      <c r="N49">
        <f>IF($A49&gt;=I$10,I$11,I$9)/12</f>
        <v>0</v>
      </c>
      <c r="O49">
        <f>IF($A49&gt;=J$10,J$11,J$9)/12</f>
        <v>0</v>
      </c>
      <c r="P49">
        <f>IF($A49&gt;=K$10,K$11,K$9)/12</f>
        <v>0</v>
      </c>
      <c r="Q49">
        <f>IF($A49&gt;=L$10,L$11,L$9)/12</f>
        <v>0</v>
      </c>
      <c r="R49">
        <f>IF($A49&gt;=M$10,M$11,M$9)/12</f>
        <v>0</v>
      </c>
      <c r="S49">
        <f>IF($A49&gt;=N$10,N$11,N$9)/12</f>
        <v>0</v>
      </c>
      <c r="T49">
        <f>IF(C$6="",0,SUMIFS('Budget ed extra'!$G$7:$G$42,'Budget ed extra'!$J$7:$J$42,$A49,'Budget ed extra'!$H$7:$H$42,C$6))</f>
        <v>0</v>
      </c>
      <c r="U49">
        <f>IF(D$6="",0,SUMIFS('Budget ed extra'!$G$7:$G$42,'Budget ed extra'!$J$7:$J$42,$A49,'Budget ed extra'!$H$7:$H$42,D$6))</f>
        <v>0</v>
      </c>
      <c r="V49">
        <f>IF(E$6="",0,SUMIFS('Budget ed extra'!$G$7:$G$42,'Budget ed extra'!$J$7:$J$42,$A49,'Budget ed extra'!$H$7:$H$42,E$6))</f>
        <v>0</v>
      </c>
      <c r="W49">
        <f>IF(F$6="",0,SUMIFS('Budget ed extra'!$G$7:$G$42,'Budget ed extra'!$J$7:$J$42,$A49,'Budget ed extra'!$H$7:$H$42,F$6))</f>
        <v>0</v>
      </c>
      <c r="X49">
        <f>IF(G$6="",0,SUMIFS('Budget ed extra'!$G$7:$G$42,'Budget ed extra'!$J$7:$J$42,$A49,'Budget ed extra'!$H$7:$H$42,G$6))</f>
        <v>0</v>
      </c>
      <c r="Y49">
        <f>IF(H$6="",0,SUMIFS('Budget ed extra'!$G$7:$G$42,'Budget ed extra'!$J$7:$J$42,$A49,'Budget ed extra'!$H$7:$H$42,H$6))</f>
        <v>0</v>
      </c>
      <c r="Z49">
        <f>IF(I$6="",0,SUMIFS('Budget ed extra'!$G$7:$G$42,'Budget ed extra'!$J$7:$J$42,$A49,'Budget ed extra'!$H$7:$H$42,I$6))</f>
        <v>0</v>
      </c>
      <c r="AA49">
        <f>IF(J$6="",0,SUMIFS('Budget ed extra'!$G$7:$G$42,'Budget ed extra'!$J$7:$J$42,$A49,'Budget ed extra'!$H$7:$H$42,J$6))</f>
        <v>0</v>
      </c>
      <c r="AB49">
        <f>IF(K$6="",0,SUMIFS('Budget ed extra'!$G$7:$G$42,'Budget ed extra'!$J$7:$J$42,$A49,'Budget ed extra'!$H$7:$H$42,K$6))</f>
        <v>0</v>
      </c>
      <c r="AC49">
        <f>IF(L$6="",0,SUMIFS('Budget ed extra'!$G$7:$G$42,'Budget ed extra'!$J$7:$J$42,$A49,'Budget ed extra'!$H$7:$H$42,L$6))</f>
        <v>0</v>
      </c>
      <c r="AD49">
        <f>IF(M$6="",0,SUMIFS('Budget ed extra'!$G$7:$G$42,'Budget ed extra'!$J$7:$J$42,$A49,'Budget ed extra'!$H$7:$H$42,M$6))</f>
        <v>0</v>
      </c>
      <c r="AE49">
        <f>IF(N$6="",0,SUMIFS('Budget ed extra'!$G$7:$G$42,'Budget ed extra'!$J$7:$J$42,$A49,'Budget ed extra'!$H$7:$H$42,N$6))</f>
        <v>0</v>
      </c>
    </row>
    <row r="50">
      <c r="A50" t="n">
        <v>20</v>
      </c>
      <c r="B50">
        <f>DATE($B$2,$B$3+A50-1,1)</f>
        <v>46905.0</v>
      </c>
      <c r="C50">
        <f>IF(D50=0,N(Impostazioni!$B$6),SUMIFS('Budget ed extra'!$B$7:$B$18,'Budget ed extra'!$D$7:$D$18,D50)/COUNTIFS('Budget ed extra'!$D$7:$D$18,D50))</f>
        <v>900</v>
      </c>
      <c r="D50">
        <f>SUMPRODUCT(MAX(('Budget ed extra'!$D$7:$D$18&lt;=A50)*'Budget ed extra'!$D$7:$D$18))</f>
        <v>9</v>
      </c>
      <c r="E50">
        <f>SUMIFS('Budget ed extra'!$G$7:$G$42,'Budget ed extra'!$J$7:$J$42,A50)</f>
        <v>0</v>
      </c>
      <c r="F50">
        <f>SUM(T50:AE50)</f>
        <v>0</v>
      </c>
      <c r="G50">
        <f>MAX(0,E50-F50)</f>
        <v>0</v>
      </c>
      <c r="H50">
        <f>IF($A50&gt;=C$10,C$11,C$9)/12</f>
        <v>0.01575</v>
      </c>
      <c r="I50">
        <f>IF($A50&gt;=D$10,D$11,D$9)/12</f>
        <v>0.01825</v>
      </c>
      <c r="J50">
        <f>IF($A50&gt;=E$10,E$11,E$9)/12</f>
        <v>0.00766666666666667</v>
      </c>
      <c r="K50">
        <f>IF($A50&gt;=F$10,F$11,F$9)/12</f>
        <v>0.00533333333333333</v>
      </c>
      <c r="L50">
        <f>IF($A50&gt;=G$10,G$11,G$9)/12</f>
        <v>0</v>
      </c>
      <c r="M50">
        <f>IF($A50&gt;=H$10,H$11,H$9)/12</f>
        <v>0</v>
      </c>
      <c r="N50">
        <f>IF($A50&gt;=I$10,I$11,I$9)/12</f>
        <v>0</v>
      </c>
      <c r="O50">
        <f>IF($A50&gt;=J$10,J$11,J$9)/12</f>
        <v>0</v>
      </c>
      <c r="P50">
        <f>IF($A50&gt;=K$10,K$11,K$9)/12</f>
        <v>0</v>
      </c>
      <c r="Q50">
        <f>IF($A50&gt;=L$10,L$11,L$9)/12</f>
        <v>0</v>
      </c>
      <c r="R50">
        <f>IF($A50&gt;=M$10,M$11,M$9)/12</f>
        <v>0</v>
      </c>
      <c r="S50">
        <f>IF($A50&gt;=N$10,N$11,N$9)/12</f>
        <v>0</v>
      </c>
      <c r="T50">
        <f>IF(C$6="",0,SUMIFS('Budget ed extra'!$G$7:$G$42,'Budget ed extra'!$J$7:$J$42,$A50,'Budget ed extra'!$H$7:$H$42,C$6))</f>
        <v>0</v>
      </c>
      <c r="U50">
        <f>IF(D$6="",0,SUMIFS('Budget ed extra'!$G$7:$G$42,'Budget ed extra'!$J$7:$J$42,$A50,'Budget ed extra'!$H$7:$H$42,D$6))</f>
        <v>0</v>
      </c>
      <c r="V50">
        <f>IF(E$6="",0,SUMIFS('Budget ed extra'!$G$7:$G$42,'Budget ed extra'!$J$7:$J$42,$A50,'Budget ed extra'!$H$7:$H$42,E$6))</f>
        <v>0</v>
      </c>
      <c r="W50">
        <f>IF(F$6="",0,SUMIFS('Budget ed extra'!$G$7:$G$42,'Budget ed extra'!$J$7:$J$42,$A50,'Budget ed extra'!$H$7:$H$42,F$6))</f>
        <v>0</v>
      </c>
      <c r="X50">
        <f>IF(G$6="",0,SUMIFS('Budget ed extra'!$G$7:$G$42,'Budget ed extra'!$J$7:$J$42,$A50,'Budget ed extra'!$H$7:$H$42,G$6))</f>
        <v>0</v>
      </c>
      <c r="Y50">
        <f>IF(H$6="",0,SUMIFS('Budget ed extra'!$G$7:$G$42,'Budget ed extra'!$J$7:$J$42,$A50,'Budget ed extra'!$H$7:$H$42,H$6))</f>
        <v>0</v>
      </c>
      <c r="Z50">
        <f>IF(I$6="",0,SUMIFS('Budget ed extra'!$G$7:$G$42,'Budget ed extra'!$J$7:$J$42,$A50,'Budget ed extra'!$H$7:$H$42,I$6))</f>
        <v>0</v>
      </c>
      <c r="AA50">
        <f>IF(J$6="",0,SUMIFS('Budget ed extra'!$G$7:$G$42,'Budget ed extra'!$J$7:$J$42,$A50,'Budget ed extra'!$H$7:$H$42,J$6))</f>
        <v>0</v>
      </c>
      <c r="AB50">
        <f>IF(K$6="",0,SUMIFS('Budget ed extra'!$G$7:$G$42,'Budget ed extra'!$J$7:$J$42,$A50,'Budget ed extra'!$H$7:$H$42,K$6))</f>
        <v>0</v>
      </c>
      <c r="AC50">
        <f>IF(L$6="",0,SUMIFS('Budget ed extra'!$G$7:$G$42,'Budget ed extra'!$J$7:$J$42,$A50,'Budget ed extra'!$H$7:$H$42,L$6))</f>
        <v>0</v>
      </c>
      <c r="AD50">
        <f>IF(M$6="",0,SUMIFS('Budget ed extra'!$G$7:$G$42,'Budget ed extra'!$J$7:$J$42,$A50,'Budget ed extra'!$H$7:$H$42,M$6))</f>
        <v>0</v>
      </c>
      <c r="AE50">
        <f>IF(N$6="",0,SUMIFS('Budget ed extra'!$G$7:$G$42,'Budget ed extra'!$J$7:$J$42,$A50,'Budget ed extra'!$H$7:$H$42,N$6))</f>
        <v>0</v>
      </c>
    </row>
    <row r="51">
      <c r="A51" t="n">
        <v>21</v>
      </c>
      <c r="B51">
        <f>DATE($B$2,$B$3+A51-1,1)</f>
        <v>46935.0</v>
      </c>
      <c r="C51">
        <f>IF(D51=0,N(Impostazioni!$B$6),SUMIFS('Budget ed extra'!$B$7:$B$18,'Budget ed extra'!$D$7:$D$18,D51)/COUNTIFS('Budget ed extra'!$D$7:$D$18,D51))</f>
        <v>900</v>
      </c>
      <c r="D51">
        <f>SUMPRODUCT(MAX(('Budget ed extra'!$D$7:$D$18&lt;=A51)*'Budget ed extra'!$D$7:$D$18))</f>
        <v>9</v>
      </c>
      <c r="E51">
        <f>SUMIFS('Budget ed extra'!$G$7:$G$42,'Budget ed extra'!$J$7:$J$42,A51)</f>
        <v>0</v>
      </c>
      <c r="F51">
        <f>SUM(T51:AE51)</f>
        <v>0</v>
      </c>
      <c r="G51">
        <f>MAX(0,E51-F51)</f>
        <v>0</v>
      </c>
      <c r="H51">
        <f>IF($A51&gt;=C$10,C$11,C$9)/12</f>
        <v>0.01575</v>
      </c>
      <c r="I51">
        <f>IF($A51&gt;=D$10,D$11,D$9)/12</f>
        <v>0.01825</v>
      </c>
      <c r="J51">
        <f>IF($A51&gt;=E$10,E$11,E$9)/12</f>
        <v>0.00766666666666667</v>
      </c>
      <c r="K51">
        <f>IF($A51&gt;=F$10,F$11,F$9)/12</f>
        <v>0.00533333333333333</v>
      </c>
      <c r="L51">
        <f>IF($A51&gt;=G$10,G$11,G$9)/12</f>
        <v>0</v>
      </c>
      <c r="M51">
        <f>IF($A51&gt;=H$10,H$11,H$9)/12</f>
        <v>0</v>
      </c>
      <c r="N51">
        <f>IF($A51&gt;=I$10,I$11,I$9)/12</f>
        <v>0</v>
      </c>
      <c r="O51">
        <f>IF($A51&gt;=J$10,J$11,J$9)/12</f>
        <v>0</v>
      </c>
      <c r="P51">
        <f>IF($A51&gt;=K$10,K$11,K$9)/12</f>
        <v>0</v>
      </c>
      <c r="Q51">
        <f>IF($A51&gt;=L$10,L$11,L$9)/12</f>
        <v>0</v>
      </c>
      <c r="R51">
        <f>IF($A51&gt;=M$10,M$11,M$9)/12</f>
        <v>0</v>
      </c>
      <c r="S51">
        <f>IF($A51&gt;=N$10,N$11,N$9)/12</f>
        <v>0</v>
      </c>
      <c r="T51">
        <f>IF(C$6="",0,SUMIFS('Budget ed extra'!$G$7:$G$42,'Budget ed extra'!$J$7:$J$42,$A51,'Budget ed extra'!$H$7:$H$42,C$6))</f>
        <v>0</v>
      </c>
      <c r="U51">
        <f>IF(D$6="",0,SUMIFS('Budget ed extra'!$G$7:$G$42,'Budget ed extra'!$J$7:$J$42,$A51,'Budget ed extra'!$H$7:$H$42,D$6))</f>
        <v>0</v>
      </c>
      <c r="V51">
        <f>IF(E$6="",0,SUMIFS('Budget ed extra'!$G$7:$G$42,'Budget ed extra'!$J$7:$J$42,$A51,'Budget ed extra'!$H$7:$H$42,E$6))</f>
        <v>0</v>
      </c>
      <c r="W51">
        <f>IF(F$6="",0,SUMIFS('Budget ed extra'!$G$7:$G$42,'Budget ed extra'!$J$7:$J$42,$A51,'Budget ed extra'!$H$7:$H$42,F$6))</f>
        <v>0</v>
      </c>
      <c r="X51">
        <f>IF(G$6="",0,SUMIFS('Budget ed extra'!$G$7:$G$42,'Budget ed extra'!$J$7:$J$42,$A51,'Budget ed extra'!$H$7:$H$42,G$6))</f>
        <v>0</v>
      </c>
      <c r="Y51">
        <f>IF(H$6="",0,SUMIFS('Budget ed extra'!$G$7:$G$42,'Budget ed extra'!$J$7:$J$42,$A51,'Budget ed extra'!$H$7:$H$42,H$6))</f>
        <v>0</v>
      </c>
      <c r="Z51">
        <f>IF(I$6="",0,SUMIFS('Budget ed extra'!$G$7:$G$42,'Budget ed extra'!$J$7:$J$42,$A51,'Budget ed extra'!$H$7:$H$42,I$6))</f>
        <v>0</v>
      </c>
      <c r="AA51">
        <f>IF(J$6="",0,SUMIFS('Budget ed extra'!$G$7:$G$42,'Budget ed extra'!$J$7:$J$42,$A51,'Budget ed extra'!$H$7:$H$42,J$6))</f>
        <v>0</v>
      </c>
      <c r="AB51">
        <f>IF(K$6="",0,SUMIFS('Budget ed extra'!$G$7:$G$42,'Budget ed extra'!$J$7:$J$42,$A51,'Budget ed extra'!$H$7:$H$42,K$6))</f>
        <v>0</v>
      </c>
      <c r="AC51">
        <f>IF(L$6="",0,SUMIFS('Budget ed extra'!$G$7:$G$42,'Budget ed extra'!$J$7:$J$42,$A51,'Budget ed extra'!$H$7:$H$42,L$6))</f>
        <v>0</v>
      </c>
      <c r="AD51">
        <f>IF(M$6="",0,SUMIFS('Budget ed extra'!$G$7:$G$42,'Budget ed extra'!$J$7:$J$42,$A51,'Budget ed extra'!$H$7:$H$42,M$6))</f>
        <v>0</v>
      </c>
      <c r="AE51">
        <f>IF(N$6="",0,SUMIFS('Budget ed extra'!$G$7:$G$42,'Budget ed extra'!$J$7:$J$42,$A51,'Budget ed extra'!$H$7:$H$42,N$6))</f>
        <v>0</v>
      </c>
    </row>
    <row r="52">
      <c r="A52" t="n">
        <v>22</v>
      </c>
      <c r="B52">
        <f>DATE($B$2,$B$3+A52-1,1)</f>
        <v>46966.0</v>
      </c>
      <c r="C52">
        <f>IF(D52=0,N(Impostazioni!$B$6),SUMIFS('Budget ed extra'!$B$7:$B$18,'Budget ed extra'!$D$7:$D$18,D52)/COUNTIFS('Budget ed extra'!$D$7:$D$18,D52))</f>
        <v>900</v>
      </c>
      <c r="D52">
        <f>SUMPRODUCT(MAX(('Budget ed extra'!$D$7:$D$18&lt;=A52)*'Budget ed extra'!$D$7:$D$18))</f>
        <v>9</v>
      </c>
      <c r="E52">
        <f>SUMIFS('Budget ed extra'!$G$7:$G$42,'Budget ed extra'!$J$7:$J$42,A52)</f>
        <v>0</v>
      </c>
      <c r="F52">
        <f>SUM(T52:AE52)</f>
        <v>0</v>
      </c>
      <c r="G52">
        <f>MAX(0,E52-F52)</f>
        <v>0</v>
      </c>
      <c r="H52">
        <f>IF($A52&gt;=C$10,C$11,C$9)/12</f>
        <v>0.01575</v>
      </c>
      <c r="I52">
        <f>IF($A52&gt;=D$10,D$11,D$9)/12</f>
        <v>0.01825</v>
      </c>
      <c r="J52">
        <f>IF($A52&gt;=E$10,E$11,E$9)/12</f>
        <v>0.00766666666666667</v>
      </c>
      <c r="K52">
        <f>IF($A52&gt;=F$10,F$11,F$9)/12</f>
        <v>0.00533333333333333</v>
      </c>
      <c r="L52">
        <f>IF($A52&gt;=G$10,G$11,G$9)/12</f>
        <v>0</v>
      </c>
      <c r="M52">
        <f>IF($A52&gt;=H$10,H$11,H$9)/12</f>
        <v>0</v>
      </c>
      <c r="N52">
        <f>IF($A52&gt;=I$10,I$11,I$9)/12</f>
        <v>0</v>
      </c>
      <c r="O52">
        <f>IF($A52&gt;=J$10,J$11,J$9)/12</f>
        <v>0</v>
      </c>
      <c r="P52">
        <f>IF($A52&gt;=K$10,K$11,K$9)/12</f>
        <v>0</v>
      </c>
      <c r="Q52">
        <f>IF($A52&gt;=L$10,L$11,L$9)/12</f>
        <v>0</v>
      </c>
      <c r="R52">
        <f>IF($A52&gt;=M$10,M$11,M$9)/12</f>
        <v>0</v>
      </c>
      <c r="S52">
        <f>IF($A52&gt;=N$10,N$11,N$9)/12</f>
        <v>0</v>
      </c>
      <c r="T52">
        <f>IF(C$6="",0,SUMIFS('Budget ed extra'!$G$7:$G$42,'Budget ed extra'!$J$7:$J$42,$A52,'Budget ed extra'!$H$7:$H$42,C$6))</f>
        <v>0</v>
      </c>
      <c r="U52">
        <f>IF(D$6="",0,SUMIFS('Budget ed extra'!$G$7:$G$42,'Budget ed extra'!$J$7:$J$42,$A52,'Budget ed extra'!$H$7:$H$42,D$6))</f>
        <v>0</v>
      </c>
      <c r="V52">
        <f>IF(E$6="",0,SUMIFS('Budget ed extra'!$G$7:$G$42,'Budget ed extra'!$J$7:$J$42,$A52,'Budget ed extra'!$H$7:$H$42,E$6))</f>
        <v>0</v>
      </c>
      <c r="W52">
        <f>IF(F$6="",0,SUMIFS('Budget ed extra'!$G$7:$G$42,'Budget ed extra'!$J$7:$J$42,$A52,'Budget ed extra'!$H$7:$H$42,F$6))</f>
        <v>0</v>
      </c>
      <c r="X52">
        <f>IF(G$6="",0,SUMIFS('Budget ed extra'!$G$7:$G$42,'Budget ed extra'!$J$7:$J$42,$A52,'Budget ed extra'!$H$7:$H$42,G$6))</f>
        <v>0</v>
      </c>
      <c r="Y52">
        <f>IF(H$6="",0,SUMIFS('Budget ed extra'!$G$7:$G$42,'Budget ed extra'!$J$7:$J$42,$A52,'Budget ed extra'!$H$7:$H$42,H$6))</f>
        <v>0</v>
      </c>
      <c r="Z52">
        <f>IF(I$6="",0,SUMIFS('Budget ed extra'!$G$7:$G$42,'Budget ed extra'!$J$7:$J$42,$A52,'Budget ed extra'!$H$7:$H$42,I$6))</f>
        <v>0</v>
      </c>
      <c r="AA52">
        <f>IF(J$6="",0,SUMIFS('Budget ed extra'!$G$7:$G$42,'Budget ed extra'!$J$7:$J$42,$A52,'Budget ed extra'!$H$7:$H$42,J$6))</f>
        <v>0</v>
      </c>
      <c r="AB52">
        <f>IF(K$6="",0,SUMIFS('Budget ed extra'!$G$7:$G$42,'Budget ed extra'!$J$7:$J$42,$A52,'Budget ed extra'!$H$7:$H$42,K$6))</f>
        <v>0</v>
      </c>
      <c r="AC52">
        <f>IF(L$6="",0,SUMIFS('Budget ed extra'!$G$7:$G$42,'Budget ed extra'!$J$7:$J$42,$A52,'Budget ed extra'!$H$7:$H$42,L$6))</f>
        <v>0</v>
      </c>
      <c r="AD52">
        <f>IF(M$6="",0,SUMIFS('Budget ed extra'!$G$7:$G$42,'Budget ed extra'!$J$7:$J$42,$A52,'Budget ed extra'!$H$7:$H$42,M$6))</f>
        <v>0</v>
      </c>
      <c r="AE52">
        <f>IF(N$6="",0,SUMIFS('Budget ed extra'!$G$7:$G$42,'Budget ed extra'!$J$7:$J$42,$A52,'Budget ed extra'!$H$7:$H$42,N$6))</f>
        <v>0</v>
      </c>
    </row>
    <row r="53">
      <c r="A53" t="n">
        <v>23</v>
      </c>
      <c r="B53">
        <f>DATE($B$2,$B$3+A53-1,1)</f>
        <v>46997.0</v>
      </c>
      <c r="C53">
        <f>IF(D53=0,N(Impostazioni!$B$6),SUMIFS('Budget ed extra'!$B$7:$B$18,'Budget ed extra'!$D$7:$D$18,D53)/COUNTIFS('Budget ed extra'!$D$7:$D$18,D53))</f>
        <v>900</v>
      </c>
      <c r="D53">
        <f>SUMPRODUCT(MAX(('Budget ed extra'!$D$7:$D$18&lt;=A53)*'Budget ed extra'!$D$7:$D$18))</f>
        <v>9</v>
      </c>
      <c r="E53">
        <f>SUMIFS('Budget ed extra'!$G$7:$G$42,'Budget ed extra'!$J$7:$J$42,A53)</f>
        <v>0</v>
      </c>
      <c r="F53">
        <f>SUM(T53:AE53)</f>
        <v>0</v>
      </c>
      <c r="G53">
        <f>MAX(0,E53-F53)</f>
        <v>0</v>
      </c>
      <c r="H53">
        <f>IF($A53&gt;=C$10,C$11,C$9)/12</f>
        <v>0.01575</v>
      </c>
      <c r="I53">
        <f>IF($A53&gt;=D$10,D$11,D$9)/12</f>
        <v>0.01825</v>
      </c>
      <c r="J53">
        <f>IF($A53&gt;=E$10,E$11,E$9)/12</f>
        <v>0.00766666666666667</v>
      </c>
      <c r="K53">
        <f>IF($A53&gt;=F$10,F$11,F$9)/12</f>
        <v>0.00533333333333333</v>
      </c>
      <c r="L53">
        <f>IF($A53&gt;=G$10,G$11,G$9)/12</f>
        <v>0</v>
      </c>
      <c r="M53">
        <f>IF($A53&gt;=H$10,H$11,H$9)/12</f>
        <v>0</v>
      </c>
      <c r="N53">
        <f>IF($A53&gt;=I$10,I$11,I$9)/12</f>
        <v>0</v>
      </c>
      <c r="O53">
        <f>IF($A53&gt;=J$10,J$11,J$9)/12</f>
        <v>0</v>
      </c>
      <c r="P53">
        <f>IF($A53&gt;=K$10,K$11,K$9)/12</f>
        <v>0</v>
      </c>
      <c r="Q53">
        <f>IF($A53&gt;=L$10,L$11,L$9)/12</f>
        <v>0</v>
      </c>
      <c r="R53">
        <f>IF($A53&gt;=M$10,M$11,M$9)/12</f>
        <v>0</v>
      </c>
      <c r="S53">
        <f>IF($A53&gt;=N$10,N$11,N$9)/12</f>
        <v>0</v>
      </c>
      <c r="T53">
        <f>IF(C$6="",0,SUMIFS('Budget ed extra'!$G$7:$G$42,'Budget ed extra'!$J$7:$J$42,$A53,'Budget ed extra'!$H$7:$H$42,C$6))</f>
        <v>0</v>
      </c>
      <c r="U53">
        <f>IF(D$6="",0,SUMIFS('Budget ed extra'!$G$7:$G$42,'Budget ed extra'!$J$7:$J$42,$A53,'Budget ed extra'!$H$7:$H$42,D$6))</f>
        <v>0</v>
      </c>
      <c r="V53">
        <f>IF(E$6="",0,SUMIFS('Budget ed extra'!$G$7:$G$42,'Budget ed extra'!$J$7:$J$42,$A53,'Budget ed extra'!$H$7:$H$42,E$6))</f>
        <v>0</v>
      </c>
      <c r="W53">
        <f>IF(F$6="",0,SUMIFS('Budget ed extra'!$G$7:$G$42,'Budget ed extra'!$J$7:$J$42,$A53,'Budget ed extra'!$H$7:$H$42,F$6))</f>
        <v>0</v>
      </c>
      <c r="X53">
        <f>IF(G$6="",0,SUMIFS('Budget ed extra'!$G$7:$G$42,'Budget ed extra'!$J$7:$J$42,$A53,'Budget ed extra'!$H$7:$H$42,G$6))</f>
        <v>0</v>
      </c>
      <c r="Y53">
        <f>IF(H$6="",0,SUMIFS('Budget ed extra'!$G$7:$G$42,'Budget ed extra'!$J$7:$J$42,$A53,'Budget ed extra'!$H$7:$H$42,H$6))</f>
        <v>0</v>
      </c>
      <c r="Z53">
        <f>IF(I$6="",0,SUMIFS('Budget ed extra'!$G$7:$G$42,'Budget ed extra'!$J$7:$J$42,$A53,'Budget ed extra'!$H$7:$H$42,I$6))</f>
        <v>0</v>
      </c>
      <c r="AA53">
        <f>IF(J$6="",0,SUMIFS('Budget ed extra'!$G$7:$G$42,'Budget ed extra'!$J$7:$J$42,$A53,'Budget ed extra'!$H$7:$H$42,J$6))</f>
        <v>0</v>
      </c>
      <c r="AB53">
        <f>IF(K$6="",0,SUMIFS('Budget ed extra'!$G$7:$G$42,'Budget ed extra'!$J$7:$J$42,$A53,'Budget ed extra'!$H$7:$H$42,K$6))</f>
        <v>0</v>
      </c>
      <c r="AC53">
        <f>IF(L$6="",0,SUMIFS('Budget ed extra'!$G$7:$G$42,'Budget ed extra'!$J$7:$J$42,$A53,'Budget ed extra'!$H$7:$H$42,L$6))</f>
        <v>0</v>
      </c>
      <c r="AD53">
        <f>IF(M$6="",0,SUMIFS('Budget ed extra'!$G$7:$G$42,'Budget ed extra'!$J$7:$J$42,$A53,'Budget ed extra'!$H$7:$H$42,M$6))</f>
        <v>0</v>
      </c>
      <c r="AE53">
        <f>IF(N$6="",0,SUMIFS('Budget ed extra'!$G$7:$G$42,'Budget ed extra'!$J$7:$J$42,$A53,'Budget ed extra'!$H$7:$H$42,N$6))</f>
        <v>0</v>
      </c>
    </row>
    <row r="54">
      <c r="A54" t="n">
        <v>24</v>
      </c>
      <c r="B54">
        <f>DATE($B$2,$B$3+A54-1,1)</f>
        <v>47027.0</v>
      </c>
      <c r="C54">
        <f>IF(D54=0,N(Impostazioni!$B$6),SUMIFS('Budget ed extra'!$B$7:$B$18,'Budget ed extra'!$D$7:$D$18,D54)/COUNTIFS('Budget ed extra'!$D$7:$D$18,D54))</f>
        <v>900</v>
      </c>
      <c r="D54">
        <f>SUMPRODUCT(MAX(('Budget ed extra'!$D$7:$D$18&lt;=A54)*'Budget ed extra'!$D$7:$D$18))</f>
        <v>9</v>
      </c>
      <c r="E54">
        <f>SUMIFS('Budget ed extra'!$G$7:$G$42,'Budget ed extra'!$J$7:$J$42,A54)</f>
        <v>0</v>
      </c>
      <c r="F54">
        <f>SUM(T54:AE54)</f>
        <v>0</v>
      </c>
      <c r="G54">
        <f>MAX(0,E54-F54)</f>
        <v>0</v>
      </c>
      <c r="H54">
        <f>IF($A54&gt;=C$10,C$11,C$9)/12</f>
        <v>0.01575</v>
      </c>
      <c r="I54">
        <f>IF($A54&gt;=D$10,D$11,D$9)/12</f>
        <v>0.01825</v>
      </c>
      <c r="J54">
        <f>IF($A54&gt;=E$10,E$11,E$9)/12</f>
        <v>0.00766666666666667</v>
      </c>
      <c r="K54">
        <f>IF($A54&gt;=F$10,F$11,F$9)/12</f>
        <v>0.00533333333333333</v>
      </c>
      <c r="L54">
        <f>IF($A54&gt;=G$10,G$11,G$9)/12</f>
        <v>0</v>
      </c>
      <c r="M54">
        <f>IF($A54&gt;=H$10,H$11,H$9)/12</f>
        <v>0</v>
      </c>
      <c r="N54">
        <f>IF($A54&gt;=I$10,I$11,I$9)/12</f>
        <v>0</v>
      </c>
      <c r="O54">
        <f>IF($A54&gt;=J$10,J$11,J$9)/12</f>
        <v>0</v>
      </c>
      <c r="P54">
        <f>IF($A54&gt;=K$10,K$11,K$9)/12</f>
        <v>0</v>
      </c>
      <c r="Q54">
        <f>IF($A54&gt;=L$10,L$11,L$9)/12</f>
        <v>0</v>
      </c>
      <c r="R54">
        <f>IF($A54&gt;=M$10,M$11,M$9)/12</f>
        <v>0</v>
      </c>
      <c r="S54">
        <f>IF($A54&gt;=N$10,N$11,N$9)/12</f>
        <v>0</v>
      </c>
      <c r="T54">
        <f>IF(C$6="",0,SUMIFS('Budget ed extra'!$G$7:$G$42,'Budget ed extra'!$J$7:$J$42,$A54,'Budget ed extra'!$H$7:$H$42,C$6))</f>
        <v>0</v>
      </c>
      <c r="U54">
        <f>IF(D$6="",0,SUMIFS('Budget ed extra'!$G$7:$G$42,'Budget ed extra'!$J$7:$J$42,$A54,'Budget ed extra'!$H$7:$H$42,D$6))</f>
        <v>0</v>
      </c>
      <c r="V54">
        <f>IF(E$6="",0,SUMIFS('Budget ed extra'!$G$7:$G$42,'Budget ed extra'!$J$7:$J$42,$A54,'Budget ed extra'!$H$7:$H$42,E$6))</f>
        <v>0</v>
      </c>
      <c r="W54">
        <f>IF(F$6="",0,SUMIFS('Budget ed extra'!$G$7:$G$42,'Budget ed extra'!$J$7:$J$42,$A54,'Budget ed extra'!$H$7:$H$42,F$6))</f>
        <v>0</v>
      </c>
      <c r="X54">
        <f>IF(G$6="",0,SUMIFS('Budget ed extra'!$G$7:$G$42,'Budget ed extra'!$J$7:$J$42,$A54,'Budget ed extra'!$H$7:$H$42,G$6))</f>
        <v>0</v>
      </c>
      <c r="Y54">
        <f>IF(H$6="",0,SUMIFS('Budget ed extra'!$G$7:$G$42,'Budget ed extra'!$J$7:$J$42,$A54,'Budget ed extra'!$H$7:$H$42,H$6))</f>
        <v>0</v>
      </c>
      <c r="Z54">
        <f>IF(I$6="",0,SUMIFS('Budget ed extra'!$G$7:$G$42,'Budget ed extra'!$J$7:$J$42,$A54,'Budget ed extra'!$H$7:$H$42,I$6))</f>
        <v>0</v>
      </c>
      <c r="AA54">
        <f>IF(J$6="",0,SUMIFS('Budget ed extra'!$G$7:$G$42,'Budget ed extra'!$J$7:$J$42,$A54,'Budget ed extra'!$H$7:$H$42,J$6))</f>
        <v>0</v>
      </c>
      <c r="AB54">
        <f>IF(K$6="",0,SUMIFS('Budget ed extra'!$G$7:$G$42,'Budget ed extra'!$J$7:$J$42,$A54,'Budget ed extra'!$H$7:$H$42,K$6))</f>
        <v>0</v>
      </c>
      <c r="AC54">
        <f>IF(L$6="",0,SUMIFS('Budget ed extra'!$G$7:$G$42,'Budget ed extra'!$J$7:$J$42,$A54,'Budget ed extra'!$H$7:$H$42,L$6))</f>
        <v>0</v>
      </c>
      <c r="AD54">
        <f>IF(M$6="",0,SUMIFS('Budget ed extra'!$G$7:$G$42,'Budget ed extra'!$J$7:$J$42,$A54,'Budget ed extra'!$H$7:$H$42,M$6))</f>
        <v>0</v>
      </c>
      <c r="AE54">
        <f>IF(N$6="",0,SUMIFS('Budget ed extra'!$G$7:$G$42,'Budget ed extra'!$J$7:$J$42,$A54,'Budget ed extra'!$H$7:$H$42,N$6))</f>
        <v>0</v>
      </c>
    </row>
    <row r="55">
      <c r="A55" t="n">
        <v>25</v>
      </c>
      <c r="B55">
        <f>DATE($B$2,$B$3+A55-1,1)</f>
        <v>47058.0</v>
      </c>
      <c r="C55">
        <f>IF(D55=0,N(Impostazioni!$B$6),SUMIFS('Budget ed extra'!$B$7:$B$18,'Budget ed extra'!$D$7:$D$18,D55)/COUNTIFS('Budget ed extra'!$D$7:$D$18,D55))</f>
        <v>900</v>
      </c>
      <c r="D55">
        <f>SUMPRODUCT(MAX(('Budget ed extra'!$D$7:$D$18&lt;=A55)*'Budget ed extra'!$D$7:$D$18))</f>
        <v>9</v>
      </c>
      <c r="E55">
        <f>SUMIFS('Budget ed extra'!$G$7:$G$42,'Budget ed extra'!$J$7:$J$42,A55)</f>
        <v>0</v>
      </c>
      <c r="F55">
        <f>SUM(T55:AE55)</f>
        <v>0</v>
      </c>
      <c r="G55">
        <f>MAX(0,E55-F55)</f>
        <v>0</v>
      </c>
      <c r="H55">
        <f>IF($A55&gt;=C$10,C$11,C$9)/12</f>
        <v>0.01575</v>
      </c>
      <c r="I55">
        <f>IF($A55&gt;=D$10,D$11,D$9)/12</f>
        <v>0.01825</v>
      </c>
      <c r="J55">
        <f>IF($A55&gt;=E$10,E$11,E$9)/12</f>
        <v>0.00766666666666667</v>
      </c>
      <c r="K55">
        <f>IF($A55&gt;=F$10,F$11,F$9)/12</f>
        <v>0.00533333333333333</v>
      </c>
      <c r="L55">
        <f>IF($A55&gt;=G$10,G$11,G$9)/12</f>
        <v>0</v>
      </c>
      <c r="M55">
        <f>IF($A55&gt;=H$10,H$11,H$9)/12</f>
        <v>0</v>
      </c>
      <c r="N55">
        <f>IF($A55&gt;=I$10,I$11,I$9)/12</f>
        <v>0</v>
      </c>
      <c r="O55">
        <f>IF($A55&gt;=J$10,J$11,J$9)/12</f>
        <v>0</v>
      </c>
      <c r="P55">
        <f>IF($A55&gt;=K$10,K$11,K$9)/12</f>
        <v>0</v>
      </c>
      <c r="Q55">
        <f>IF($A55&gt;=L$10,L$11,L$9)/12</f>
        <v>0</v>
      </c>
      <c r="R55">
        <f>IF($A55&gt;=M$10,M$11,M$9)/12</f>
        <v>0</v>
      </c>
      <c r="S55">
        <f>IF($A55&gt;=N$10,N$11,N$9)/12</f>
        <v>0</v>
      </c>
      <c r="T55">
        <f>IF(C$6="",0,SUMIFS('Budget ed extra'!$G$7:$G$42,'Budget ed extra'!$J$7:$J$42,$A55,'Budget ed extra'!$H$7:$H$42,C$6))</f>
        <v>0</v>
      </c>
      <c r="U55">
        <f>IF(D$6="",0,SUMIFS('Budget ed extra'!$G$7:$G$42,'Budget ed extra'!$J$7:$J$42,$A55,'Budget ed extra'!$H$7:$H$42,D$6))</f>
        <v>0</v>
      </c>
      <c r="V55">
        <f>IF(E$6="",0,SUMIFS('Budget ed extra'!$G$7:$G$42,'Budget ed extra'!$J$7:$J$42,$A55,'Budget ed extra'!$H$7:$H$42,E$6))</f>
        <v>0</v>
      </c>
      <c r="W55">
        <f>IF(F$6="",0,SUMIFS('Budget ed extra'!$G$7:$G$42,'Budget ed extra'!$J$7:$J$42,$A55,'Budget ed extra'!$H$7:$H$42,F$6))</f>
        <v>0</v>
      </c>
      <c r="X55">
        <f>IF(G$6="",0,SUMIFS('Budget ed extra'!$G$7:$G$42,'Budget ed extra'!$J$7:$J$42,$A55,'Budget ed extra'!$H$7:$H$42,G$6))</f>
        <v>0</v>
      </c>
      <c r="Y55">
        <f>IF(H$6="",0,SUMIFS('Budget ed extra'!$G$7:$G$42,'Budget ed extra'!$J$7:$J$42,$A55,'Budget ed extra'!$H$7:$H$42,H$6))</f>
        <v>0</v>
      </c>
      <c r="Z55">
        <f>IF(I$6="",0,SUMIFS('Budget ed extra'!$G$7:$G$42,'Budget ed extra'!$J$7:$J$42,$A55,'Budget ed extra'!$H$7:$H$42,I$6))</f>
        <v>0</v>
      </c>
      <c r="AA55">
        <f>IF(J$6="",0,SUMIFS('Budget ed extra'!$G$7:$G$42,'Budget ed extra'!$J$7:$J$42,$A55,'Budget ed extra'!$H$7:$H$42,J$6))</f>
        <v>0</v>
      </c>
      <c r="AB55">
        <f>IF(K$6="",0,SUMIFS('Budget ed extra'!$G$7:$G$42,'Budget ed extra'!$J$7:$J$42,$A55,'Budget ed extra'!$H$7:$H$42,K$6))</f>
        <v>0</v>
      </c>
      <c r="AC55">
        <f>IF(L$6="",0,SUMIFS('Budget ed extra'!$G$7:$G$42,'Budget ed extra'!$J$7:$J$42,$A55,'Budget ed extra'!$H$7:$H$42,L$6))</f>
        <v>0</v>
      </c>
      <c r="AD55">
        <f>IF(M$6="",0,SUMIFS('Budget ed extra'!$G$7:$G$42,'Budget ed extra'!$J$7:$J$42,$A55,'Budget ed extra'!$H$7:$H$42,M$6))</f>
        <v>0</v>
      </c>
      <c r="AE55">
        <f>IF(N$6="",0,SUMIFS('Budget ed extra'!$G$7:$G$42,'Budget ed extra'!$J$7:$J$42,$A55,'Budget ed extra'!$H$7:$H$42,N$6))</f>
        <v>0</v>
      </c>
    </row>
    <row r="56">
      <c r="A56" t="n">
        <v>26</v>
      </c>
      <c r="B56">
        <f>DATE($B$2,$B$3+A56-1,1)</f>
        <v>47088.0</v>
      </c>
      <c r="C56">
        <f>IF(D56=0,N(Impostazioni!$B$6),SUMIFS('Budget ed extra'!$B$7:$B$18,'Budget ed extra'!$D$7:$D$18,D56)/COUNTIFS('Budget ed extra'!$D$7:$D$18,D56))</f>
        <v>900</v>
      </c>
      <c r="D56">
        <f>SUMPRODUCT(MAX(('Budget ed extra'!$D$7:$D$18&lt;=A56)*'Budget ed extra'!$D$7:$D$18))</f>
        <v>9</v>
      </c>
      <c r="E56">
        <f>SUMIFS('Budget ed extra'!$G$7:$G$42,'Budget ed extra'!$J$7:$J$42,A56)</f>
        <v>600</v>
      </c>
      <c r="F56">
        <f>SUM(T56:AE56)</f>
        <v>0</v>
      </c>
      <c r="G56">
        <f>MAX(0,E56-F56)</f>
        <v>600</v>
      </c>
      <c r="H56">
        <f>IF($A56&gt;=C$10,C$11,C$9)/12</f>
        <v>0.01575</v>
      </c>
      <c r="I56">
        <f>IF($A56&gt;=D$10,D$11,D$9)/12</f>
        <v>0.01825</v>
      </c>
      <c r="J56">
        <f>IF($A56&gt;=E$10,E$11,E$9)/12</f>
        <v>0.00766666666666667</v>
      </c>
      <c r="K56">
        <f>IF($A56&gt;=F$10,F$11,F$9)/12</f>
        <v>0.00533333333333333</v>
      </c>
      <c r="L56">
        <f>IF($A56&gt;=G$10,G$11,G$9)/12</f>
        <v>0</v>
      </c>
      <c r="M56">
        <f>IF($A56&gt;=H$10,H$11,H$9)/12</f>
        <v>0</v>
      </c>
      <c r="N56">
        <f>IF($A56&gt;=I$10,I$11,I$9)/12</f>
        <v>0</v>
      </c>
      <c r="O56">
        <f>IF($A56&gt;=J$10,J$11,J$9)/12</f>
        <v>0</v>
      </c>
      <c r="P56">
        <f>IF($A56&gt;=K$10,K$11,K$9)/12</f>
        <v>0</v>
      </c>
      <c r="Q56">
        <f>IF($A56&gt;=L$10,L$11,L$9)/12</f>
        <v>0</v>
      </c>
      <c r="R56">
        <f>IF($A56&gt;=M$10,M$11,M$9)/12</f>
        <v>0</v>
      </c>
      <c r="S56">
        <f>IF($A56&gt;=N$10,N$11,N$9)/12</f>
        <v>0</v>
      </c>
      <c r="T56">
        <f>IF(C$6="",0,SUMIFS('Budget ed extra'!$G$7:$G$42,'Budget ed extra'!$J$7:$J$42,$A56,'Budget ed extra'!$H$7:$H$42,C$6))</f>
        <v>0</v>
      </c>
      <c r="U56">
        <f>IF(D$6="",0,SUMIFS('Budget ed extra'!$G$7:$G$42,'Budget ed extra'!$J$7:$J$42,$A56,'Budget ed extra'!$H$7:$H$42,D$6))</f>
        <v>0</v>
      </c>
      <c r="V56">
        <f>IF(E$6="",0,SUMIFS('Budget ed extra'!$G$7:$G$42,'Budget ed extra'!$J$7:$J$42,$A56,'Budget ed extra'!$H$7:$H$42,E$6))</f>
        <v>0</v>
      </c>
      <c r="W56">
        <f>IF(F$6="",0,SUMIFS('Budget ed extra'!$G$7:$G$42,'Budget ed extra'!$J$7:$J$42,$A56,'Budget ed extra'!$H$7:$H$42,F$6))</f>
        <v>0</v>
      </c>
      <c r="X56">
        <f>IF(G$6="",0,SUMIFS('Budget ed extra'!$G$7:$G$42,'Budget ed extra'!$J$7:$J$42,$A56,'Budget ed extra'!$H$7:$H$42,G$6))</f>
        <v>0</v>
      </c>
      <c r="Y56">
        <f>IF(H$6="",0,SUMIFS('Budget ed extra'!$G$7:$G$42,'Budget ed extra'!$J$7:$J$42,$A56,'Budget ed extra'!$H$7:$H$42,H$6))</f>
        <v>0</v>
      </c>
      <c r="Z56">
        <f>IF(I$6="",0,SUMIFS('Budget ed extra'!$G$7:$G$42,'Budget ed extra'!$J$7:$J$42,$A56,'Budget ed extra'!$H$7:$H$42,I$6))</f>
        <v>0</v>
      </c>
      <c r="AA56">
        <f>IF(J$6="",0,SUMIFS('Budget ed extra'!$G$7:$G$42,'Budget ed extra'!$J$7:$J$42,$A56,'Budget ed extra'!$H$7:$H$42,J$6))</f>
        <v>0</v>
      </c>
      <c r="AB56">
        <f>IF(K$6="",0,SUMIFS('Budget ed extra'!$G$7:$G$42,'Budget ed extra'!$J$7:$J$42,$A56,'Budget ed extra'!$H$7:$H$42,K$6))</f>
        <v>0</v>
      </c>
      <c r="AC56">
        <f>IF(L$6="",0,SUMIFS('Budget ed extra'!$G$7:$G$42,'Budget ed extra'!$J$7:$J$42,$A56,'Budget ed extra'!$H$7:$H$42,L$6))</f>
        <v>0</v>
      </c>
      <c r="AD56">
        <f>IF(M$6="",0,SUMIFS('Budget ed extra'!$G$7:$G$42,'Budget ed extra'!$J$7:$J$42,$A56,'Budget ed extra'!$H$7:$H$42,M$6))</f>
        <v>0</v>
      </c>
      <c r="AE56">
        <f>IF(N$6="",0,SUMIFS('Budget ed extra'!$G$7:$G$42,'Budget ed extra'!$J$7:$J$42,$A56,'Budget ed extra'!$H$7:$H$42,N$6))</f>
        <v>0</v>
      </c>
    </row>
    <row r="57">
      <c r="A57" t="n">
        <v>27</v>
      </c>
      <c r="B57">
        <f>DATE($B$2,$B$3+A57-1,1)</f>
        <v>47119.0</v>
      </c>
      <c r="C57">
        <f>IF(D57=0,N(Impostazioni!$B$6),SUMIFS('Budget ed extra'!$B$7:$B$18,'Budget ed extra'!$D$7:$D$18,D57)/COUNTIFS('Budget ed extra'!$D$7:$D$18,D57))</f>
        <v>900</v>
      </c>
      <c r="D57">
        <f>SUMPRODUCT(MAX(('Budget ed extra'!$D$7:$D$18&lt;=A57)*'Budget ed extra'!$D$7:$D$18))</f>
        <v>9</v>
      </c>
      <c r="E57">
        <f>SUMIFS('Budget ed extra'!$G$7:$G$42,'Budget ed extra'!$J$7:$J$42,A57)</f>
        <v>0</v>
      </c>
      <c r="F57">
        <f>SUM(T57:AE57)</f>
        <v>0</v>
      </c>
      <c r="G57">
        <f>MAX(0,E57-F57)</f>
        <v>0</v>
      </c>
      <c r="H57">
        <f>IF($A57&gt;=C$10,C$11,C$9)/12</f>
        <v>0.01575</v>
      </c>
      <c r="I57">
        <f>IF($A57&gt;=D$10,D$11,D$9)/12</f>
        <v>0.01825</v>
      </c>
      <c r="J57">
        <f>IF($A57&gt;=E$10,E$11,E$9)/12</f>
        <v>0.00766666666666667</v>
      </c>
      <c r="K57">
        <f>IF($A57&gt;=F$10,F$11,F$9)/12</f>
        <v>0.00533333333333333</v>
      </c>
      <c r="L57">
        <f>IF($A57&gt;=G$10,G$11,G$9)/12</f>
        <v>0</v>
      </c>
      <c r="M57">
        <f>IF($A57&gt;=H$10,H$11,H$9)/12</f>
        <v>0</v>
      </c>
      <c r="N57">
        <f>IF($A57&gt;=I$10,I$11,I$9)/12</f>
        <v>0</v>
      </c>
      <c r="O57">
        <f>IF($A57&gt;=J$10,J$11,J$9)/12</f>
        <v>0</v>
      </c>
      <c r="P57">
        <f>IF($A57&gt;=K$10,K$11,K$9)/12</f>
        <v>0</v>
      </c>
      <c r="Q57">
        <f>IF($A57&gt;=L$10,L$11,L$9)/12</f>
        <v>0</v>
      </c>
      <c r="R57">
        <f>IF($A57&gt;=M$10,M$11,M$9)/12</f>
        <v>0</v>
      </c>
      <c r="S57">
        <f>IF($A57&gt;=N$10,N$11,N$9)/12</f>
        <v>0</v>
      </c>
      <c r="T57">
        <f>IF(C$6="",0,SUMIFS('Budget ed extra'!$G$7:$G$42,'Budget ed extra'!$J$7:$J$42,$A57,'Budget ed extra'!$H$7:$H$42,C$6))</f>
        <v>0</v>
      </c>
      <c r="U57">
        <f>IF(D$6="",0,SUMIFS('Budget ed extra'!$G$7:$G$42,'Budget ed extra'!$J$7:$J$42,$A57,'Budget ed extra'!$H$7:$H$42,D$6))</f>
        <v>0</v>
      </c>
      <c r="V57">
        <f>IF(E$6="",0,SUMIFS('Budget ed extra'!$G$7:$G$42,'Budget ed extra'!$J$7:$J$42,$A57,'Budget ed extra'!$H$7:$H$42,E$6))</f>
        <v>0</v>
      </c>
      <c r="W57">
        <f>IF(F$6="",0,SUMIFS('Budget ed extra'!$G$7:$G$42,'Budget ed extra'!$J$7:$J$42,$A57,'Budget ed extra'!$H$7:$H$42,F$6))</f>
        <v>0</v>
      </c>
      <c r="X57">
        <f>IF(G$6="",0,SUMIFS('Budget ed extra'!$G$7:$G$42,'Budget ed extra'!$J$7:$J$42,$A57,'Budget ed extra'!$H$7:$H$42,G$6))</f>
        <v>0</v>
      </c>
      <c r="Y57">
        <f>IF(H$6="",0,SUMIFS('Budget ed extra'!$G$7:$G$42,'Budget ed extra'!$J$7:$J$42,$A57,'Budget ed extra'!$H$7:$H$42,H$6))</f>
        <v>0</v>
      </c>
      <c r="Z57">
        <f>IF(I$6="",0,SUMIFS('Budget ed extra'!$G$7:$G$42,'Budget ed extra'!$J$7:$J$42,$A57,'Budget ed extra'!$H$7:$H$42,I$6))</f>
        <v>0</v>
      </c>
      <c r="AA57">
        <f>IF(J$6="",0,SUMIFS('Budget ed extra'!$G$7:$G$42,'Budget ed extra'!$J$7:$J$42,$A57,'Budget ed extra'!$H$7:$H$42,J$6))</f>
        <v>0</v>
      </c>
      <c r="AB57">
        <f>IF(K$6="",0,SUMIFS('Budget ed extra'!$G$7:$G$42,'Budget ed extra'!$J$7:$J$42,$A57,'Budget ed extra'!$H$7:$H$42,K$6))</f>
        <v>0</v>
      </c>
      <c r="AC57">
        <f>IF(L$6="",0,SUMIFS('Budget ed extra'!$G$7:$G$42,'Budget ed extra'!$J$7:$J$42,$A57,'Budget ed extra'!$H$7:$H$42,L$6))</f>
        <v>0</v>
      </c>
      <c r="AD57">
        <f>IF(M$6="",0,SUMIFS('Budget ed extra'!$G$7:$G$42,'Budget ed extra'!$J$7:$J$42,$A57,'Budget ed extra'!$H$7:$H$42,M$6))</f>
        <v>0</v>
      </c>
      <c r="AE57">
        <f>IF(N$6="",0,SUMIFS('Budget ed extra'!$G$7:$G$42,'Budget ed extra'!$J$7:$J$42,$A57,'Budget ed extra'!$H$7:$H$42,N$6))</f>
        <v>0</v>
      </c>
    </row>
    <row r="58">
      <c r="A58" t="n">
        <v>28</v>
      </c>
      <c r="B58">
        <f>DATE($B$2,$B$3+A58-1,1)</f>
        <v>47150.0</v>
      </c>
      <c r="C58">
        <f>IF(D58=0,N(Impostazioni!$B$6),SUMIFS('Budget ed extra'!$B$7:$B$18,'Budget ed extra'!$D$7:$D$18,D58)/COUNTIFS('Budget ed extra'!$D$7:$D$18,D58))</f>
        <v>900</v>
      </c>
      <c r="D58">
        <f>SUMPRODUCT(MAX(('Budget ed extra'!$D$7:$D$18&lt;=A58)*'Budget ed extra'!$D$7:$D$18))</f>
        <v>9</v>
      </c>
      <c r="E58">
        <f>SUMIFS('Budget ed extra'!$G$7:$G$42,'Budget ed extra'!$J$7:$J$42,A58)</f>
        <v>0</v>
      </c>
      <c r="F58">
        <f>SUM(T58:AE58)</f>
        <v>0</v>
      </c>
      <c r="G58">
        <f>MAX(0,E58-F58)</f>
        <v>0</v>
      </c>
      <c r="H58">
        <f>IF($A58&gt;=C$10,C$11,C$9)/12</f>
        <v>0.01575</v>
      </c>
      <c r="I58">
        <f>IF($A58&gt;=D$10,D$11,D$9)/12</f>
        <v>0.01825</v>
      </c>
      <c r="J58">
        <f>IF($A58&gt;=E$10,E$11,E$9)/12</f>
        <v>0.00766666666666667</v>
      </c>
      <c r="K58">
        <f>IF($A58&gt;=F$10,F$11,F$9)/12</f>
        <v>0.00533333333333333</v>
      </c>
      <c r="L58">
        <f>IF($A58&gt;=G$10,G$11,G$9)/12</f>
        <v>0</v>
      </c>
      <c r="M58">
        <f>IF($A58&gt;=H$10,H$11,H$9)/12</f>
        <v>0</v>
      </c>
      <c r="N58">
        <f>IF($A58&gt;=I$10,I$11,I$9)/12</f>
        <v>0</v>
      </c>
      <c r="O58">
        <f>IF($A58&gt;=J$10,J$11,J$9)/12</f>
        <v>0</v>
      </c>
      <c r="P58">
        <f>IF($A58&gt;=K$10,K$11,K$9)/12</f>
        <v>0</v>
      </c>
      <c r="Q58">
        <f>IF($A58&gt;=L$10,L$11,L$9)/12</f>
        <v>0</v>
      </c>
      <c r="R58">
        <f>IF($A58&gt;=M$10,M$11,M$9)/12</f>
        <v>0</v>
      </c>
      <c r="S58">
        <f>IF($A58&gt;=N$10,N$11,N$9)/12</f>
        <v>0</v>
      </c>
      <c r="T58">
        <f>IF(C$6="",0,SUMIFS('Budget ed extra'!$G$7:$G$42,'Budget ed extra'!$J$7:$J$42,$A58,'Budget ed extra'!$H$7:$H$42,C$6))</f>
        <v>0</v>
      </c>
      <c r="U58">
        <f>IF(D$6="",0,SUMIFS('Budget ed extra'!$G$7:$G$42,'Budget ed extra'!$J$7:$J$42,$A58,'Budget ed extra'!$H$7:$H$42,D$6))</f>
        <v>0</v>
      </c>
      <c r="V58">
        <f>IF(E$6="",0,SUMIFS('Budget ed extra'!$G$7:$G$42,'Budget ed extra'!$J$7:$J$42,$A58,'Budget ed extra'!$H$7:$H$42,E$6))</f>
        <v>0</v>
      </c>
      <c r="W58">
        <f>IF(F$6="",0,SUMIFS('Budget ed extra'!$G$7:$G$42,'Budget ed extra'!$J$7:$J$42,$A58,'Budget ed extra'!$H$7:$H$42,F$6))</f>
        <v>0</v>
      </c>
      <c r="X58">
        <f>IF(G$6="",0,SUMIFS('Budget ed extra'!$G$7:$G$42,'Budget ed extra'!$J$7:$J$42,$A58,'Budget ed extra'!$H$7:$H$42,G$6))</f>
        <v>0</v>
      </c>
      <c r="Y58">
        <f>IF(H$6="",0,SUMIFS('Budget ed extra'!$G$7:$G$42,'Budget ed extra'!$J$7:$J$42,$A58,'Budget ed extra'!$H$7:$H$42,H$6))</f>
        <v>0</v>
      </c>
      <c r="Z58">
        <f>IF(I$6="",0,SUMIFS('Budget ed extra'!$G$7:$G$42,'Budget ed extra'!$J$7:$J$42,$A58,'Budget ed extra'!$H$7:$H$42,I$6))</f>
        <v>0</v>
      </c>
      <c r="AA58">
        <f>IF(J$6="",0,SUMIFS('Budget ed extra'!$G$7:$G$42,'Budget ed extra'!$J$7:$J$42,$A58,'Budget ed extra'!$H$7:$H$42,J$6))</f>
        <v>0</v>
      </c>
      <c r="AB58">
        <f>IF(K$6="",0,SUMIFS('Budget ed extra'!$G$7:$G$42,'Budget ed extra'!$J$7:$J$42,$A58,'Budget ed extra'!$H$7:$H$42,K$6))</f>
        <v>0</v>
      </c>
      <c r="AC58">
        <f>IF(L$6="",0,SUMIFS('Budget ed extra'!$G$7:$G$42,'Budget ed extra'!$J$7:$J$42,$A58,'Budget ed extra'!$H$7:$H$42,L$6))</f>
        <v>0</v>
      </c>
      <c r="AD58">
        <f>IF(M$6="",0,SUMIFS('Budget ed extra'!$G$7:$G$42,'Budget ed extra'!$J$7:$J$42,$A58,'Budget ed extra'!$H$7:$H$42,M$6))</f>
        <v>0</v>
      </c>
      <c r="AE58">
        <f>IF(N$6="",0,SUMIFS('Budget ed extra'!$G$7:$G$42,'Budget ed extra'!$J$7:$J$42,$A58,'Budget ed extra'!$H$7:$H$42,N$6))</f>
        <v>0</v>
      </c>
    </row>
    <row r="59">
      <c r="A59" t="n">
        <v>29</v>
      </c>
      <c r="B59">
        <f>DATE($B$2,$B$3+A59-1,1)</f>
        <v>47178.0</v>
      </c>
      <c r="C59">
        <f>IF(D59=0,N(Impostazioni!$B$6),SUMIFS('Budget ed extra'!$B$7:$B$18,'Budget ed extra'!$D$7:$D$18,D59)/COUNTIFS('Budget ed extra'!$D$7:$D$18,D59))</f>
        <v>900</v>
      </c>
      <c r="D59">
        <f>SUMPRODUCT(MAX(('Budget ed extra'!$D$7:$D$18&lt;=A59)*'Budget ed extra'!$D$7:$D$18))</f>
        <v>9</v>
      </c>
      <c r="E59">
        <f>SUMIFS('Budget ed extra'!$G$7:$G$42,'Budget ed extra'!$J$7:$J$42,A59)</f>
        <v>0</v>
      </c>
      <c r="F59">
        <f>SUM(T59:AE59)</f>
        <v>0</v>
      </c>
      <c r="G59">
        <f>MAX(0,E59-F59)</f>
        <v>0</v>
      </c>
      <c r="H59">
        <f>IF($A59&gt;=C$10,C$11,C$9)/12</f>
        <v>0.01575</v>
      </c>
      <c r="I59">
        <f>IF($A59&gt;=D$10,D$11,D$9)/12</f>
        <v>0.01825</v>
      </c>
      <c r="J59">
        <f>IF($A59&gt;=E$10,E$11,E$9)/12</f>
        <v>0.00766666666666667</v>
      </c>
      <c r="K59">
        <f>IF($A59&gt;=F$10,F$11,F$9)/12</f>
        <v>0.00533333333333333</v>
      </c>
      <c r="L59">
        <f>IF($A59&gt;=G$10,G$11,G$9)/12</f>
        <v>0</v>
      </c>
      <c r="M59">
        <f>IF($A59&gt;=H$10,H$11,H$9)/12</f>
        <v>0</v>
      </c>
      <c r="N59">
        <f>IF($A59&gt;=I$10,I$11,I$9)/12</f>
        <v>0</v>
      </c>
      <c r="O59">
        <f>IF($A59&gt;=J$10,J$11,J$9)/12</f>
        <v>0</v>
      </c>
      <c r="P59">
        <f>IF($A59&gt;=K$10,K$11,K$9)/12</f>
        <v>0</v>
      </c>
      <c r="Q59">
        <f>IF($A59&gt;=L$10,L$11,L$9)/12</f>
        <v>0</v>
      </c>
      <c r="R59">
        <f>IF($A59&gt;=M$10,M$11,M$9)/12</f>
        <v>0</v>
      </c>
      <c r="S59">
        <f>IF($A59&gt;=N$10,N$11,N$9)/12</f>
        <v>0</v>
      </c>
      <c r="T59">
        <f>IF(C$6="",0,SUMIFS('Budget ed extra'!$G$7:$G$42,'Budget ed extra'!$J$7:$J$42,$A59,'Budget ed extra'!$H$7:$H$42,C$6))</f>
        <v>0</v>
      </c>
      <c r="U59">
        <f>IF(D$6="",0,SUMIFS('Budget ed extra'!$G$7:$G$42,'Budget ed extra'!$J$7:$J$42,$A59,'Budget ed extra'!$H$7:$H$42,D$6))</f>
        <v>0</v>
      </c>
      <c r="V59">
        <f>IF(E$6="",0,SUMIFS('Budget ed extra'!$G$7:$G$42,'Budget ed extra'!$J$7:$J$42,$A59,'Budget ed extra'!$H$7:$H$42,E$6))</f>
        <v>0</v>
      </c>
      <c r="W59">
        <f>IF(F$6="",0,SUMIFS('Budget ed extra'!$G$7:$G$42,'Budget ed extra'!$J$7:$J$42,$A59,'Budget ed extra'!$H$7:$H$42,F$6))</f>
        <v>0</v>
      </c>
      <c r="X59">
        <f>IF(G$6="",0,SUMIFS('Budget ed extra'!$G$7:$G$42,'Budget ed extra'!$J$7:$J$42,$A59,'Budget ed extra'!$H$7:$H$42,G$6))</f>
        <v>0</v>
      </c>
      <c r="Y59">
        <f>IF(H$6="",0,SUMIFS('Budget ed extra'!$G$7:$G$42,'Budget ed extra'!$J$7:$J$42,$A59,'Budget ed extra'!$H$7:$H$42,H$6))</f>
        <v>0</v>
      </c>
      <c r="Z59">
        <f>IF(I$6="",0,SUMIFS('Budget ed extra'!$G$7:$G$42,'Budget ed extra'!$J$7:$J$42,$A59,'Budget ed extra'!$H$7:$H$42,I$6))</f>
        <v>0</v>
      </c>
      <c r="AA59">
        <f>IF(J$6="",0,SUMIFS('Budget ed extra'!$G$7:$G$42,'Budget ed extra'!$J$7:$J$42,$A59,'Budget ed extra'!$H$7:$H$42,J$6))</f>
        <v>0</v>
      </c>
      <c r="AB59">
        <f>IF(K$6="",0,SUMIFS('Budget ed extra'!$G$7:$G$42,'Budget ed extra'!$J$7:$J$42,$A59,'Budget ed extra'!$H$7:$H$42,K$6))</f>
        <v>0</v>
      </c>
      <c r="AC59">
        <f>IF(L$6="",0,SUMIFS('Budget ed extra'!$G$7:$G$42,'Budget ed extra'!$J$7:$J$42,$A59,'Budget ed extra'!$H$7:$H$42,L$6))</f>
        <v>0</v>
      </c>
      <c r="AD59">
        <f>IF(M$6="",0,SUMIFS('Budget ed extra'!$G$7:$G$42,'Budget ed extra'!$J$7:$J$42,$A59,'Budget ed extra'!$H$7:$H$42,M$6))</f>
        <v>0</v>
      </c>
      <c r="AE59">
        <f>IF(N$6="",0,SUMIFS('Budget ed extra'!$G$7:$G$42,'Budget ed extra'!$J$7:$J$42,$A59,'Budget ed extra'!$H$7:$H$42,N$6))</f>
        <v>0</v>
      </c>
    </row>
    <row r="60">
      <c r="A60" t="n">
        <v>30</v>
      </c>
      <c r="B60">
        <f>DATE($B$2,$B$3+A60-1,1)</f>
        <v>47209.0</v>
      </c>
      <c r="C60">
        <f>IF(D60=0,N(Impostazioni!$B$6),SUMIFS('Budget ed extra'!$B$7:$B$18,'Budget ed extra'!$D$7:$D$18,D60)/COUNTIFS('Budget ed extra'!$D$7:$D$18,D60))</f>
        <v>900</v>
      </c>
      <c r="D60">
        <f>SUMPRODUCT(MAX(('Budget ed extra'!$D$7:$D$18&lt;=A60)*'Budget ed extra'!$D$7:$D$18))</f>
        <v>9</v>
      </c>
      <c r="E60">
        <f>SUMIFS('Budget ed extra'!$G$7:$G$42,'Budget ed extra'!$J$7:$J$42,A60)</f>
        <v>0</v>
      </c>
      <c r="F60">
        <f>SUM(T60:AE60)</f>
        <v>0</v>
      </c>
      <c r="G60">
        <f>MAX(0,E60-F60)</f>
        <v>0</v>
      </c>
      <c r="H60">
        <f>IF($A60&gt;=C$10,C$11,C$9)/12</f>
        <v>0.01575</v>
      </c>
      <c r="I60">
        <f>IF($A60&gt;=D$10,D$11,D$9)/12</f>
        <v>0.01825</v>
      </c>
      <c r="J60">
        <f>IF($A60&gt;=E$10,E$11,E$9)/12</f>
        <v>0.00766666666666667</v>
      </c>
      <c r="K60">
        <f>IF($A60&gt;=F$10,F$11,F$9)/12</f>
        <v>0.00533333333333333</v>
      </c>
      <c r="L60">
        <f>IF($A60&gt;=G$10,G$11,G$9)/12</f>
        <v>0</v>
      </c>
      <c r="M60">
        <f>IF($A60&gt;=H$10,H$11,H$9)/12</f>
        <v>0</v>
      </c>
      <c r="N60">
        <f>IF($A60&gt;=I$10,I$11,I$9)/12</f>
        <v>0</v>
      </c>
      <c r="O60">
        <f>IF($A60&gt;=J$10,J$11,J$9)/12</f>
        <v>0</v>
      </c>
      <c r="P60">
        <f>IF($A60&gt;=K$10,K$11,K$9)/12</f>
        <v>0</v>
      </c>
      <c r="Q60">
        <f>IF($A60&gt;=L$10,L$11,L$9)/12</f>
        <v>0</v>
      </c>
      <c r="R60">
        <f>IF($A60&gt;=M$10,M$11,M$9)/12</f>
        <v>0</v>
      </c>
      <c r="S60">
        <f>IF($A60&gt;=N$10,N$11,N$9)/12</f>
        <v>0</v>
      </c>
      <c r="T60">
        <f>IF(C$6="",0,SUMIFS('Budget ed extra'!$G$7:$G$42,'Budget ed extra'!$J$7:$J$42,$A60,'Budget ed extra'!$H$7:$H$42,C$6))</f>
        <v>0</v>
      </c>
      <c r="U60">
        <f>IF(D$6="",0,SUMIFS('Budget ed extra'!$G$7:$G$42,'Budget ed extra'!$J$7:$J$42,$A60,'Budget ed extra'!$H$7:$H$42,D$6))</f>
        <v>0</v>
      </c>
      <c r="V60">
        <f>IF(E$6="",0,SUMIFS('Budget ed extra'!$G$7:$G$42,'Budget ed extra'!$J$7:$J$42,$A60,'Budget ed extra'!$H$7:$H$42,E$6))</f>
        <v>0</v>
      </c>
      <c r="W60">
        <f>IF(F$6="",0,SUMIFS('Budget ed extra'!$G$7:$G$42,'Budget ed extra'!$J$7:$J$42,$A60,'Budget ed extra'!$H$7:$H$42,F$6))</f>
        <v>0</v>
      </c>
      <c r="X60">
        <f>IF(G$6="",0,SUMIFS('Budget ed extra'!$G$7:$G$42,'Budget ed extra'!$J$7:$J$42,$A60,'Budget ed extra'!$H$7:$H$42,G$6))</f>
        <v>0</v>
      </c>
      <c r="Y60">
        <f>IF(H$6="",0,SUMIFS('Budget ed extra'!$G$7:$G$42,'Budget ed extra'!$J$7:$J$42,$A60,'Budget ed extra'!$H$7:$H$42,H$6))</f>
        <v>0</v>
      </c>
      <c r="Z60">
        <f>IF(I$6="",0,SUMIFS('Budget ed extra'!$G$7:$G$42,'Budget ed extra'!$J$7:$J$42,$A60,'Budget ed extra'!$H$7:$H$42,I$6))</f>
        <v>0</v>
      </c>
      <c r="AA60">
        <f>IF(J$6="",0,SUMIFS('Budget ed extra'!$G$7:$G$42,'Budget ed extra'!$J$7:$J$42,$A60,'Budget ed extra'!$H$7:$H$42,J$6))</f>
        <v>0</v>
      </c>
      <c r="AB60">
        <f>IF(K$6="",0,SUMIFS('Budget ed extra'!$G$7:$G$42,'Budget ed extra'!$J$7:$J$42,$A60,'Budget ed extra'!$H$7:$H$42,K$6))</f>
        <v>0</v>
      </c>
      <c r="AC60">
        <f>IF(L$6="",0,SUMIFS('Budget ed extra'!$G$7:$G$42,'Budget ed extra'!$J$7:$J$42,$A60,'Budget ed extra'!$H$7:$H$42,L$6))</f>
        <v>0</v>
      </c>
      <c r="AD60">
        <f>IF(M$6="",0,SUMIFS('Budget ed extra'!$G$7:$G$42,'Budget ed extra'!$J$7:$J$42,$A60,'Budget ed extra'!$H$7:$H$42,M$6))</f>
        <v>0</v>
      </c>
      <c r="AE60">
        <f>IF(N$6="",0,SUMIFS('Budget ed extra'!$G$7:$G$42,'Budget ed extra'!$J$7:$J$42,$A60,'Budget ed extra'!$H$7:$H$42,N$6))</f>
        <v>0</v>
      </c>
    </row>
    <row r="61">
      <c r="A61" t="n">
        <v>31</v>
      </c>
      <c r="B61">
        <f>DATE($B$2,$B$3+A61-1,1)</f>
        <v>47239.0</v>
      </c>
      <c r="C61">
        <f>IF(D61=0,N(Impostazioni!$B$6),SUMIFS('Budget ed extra'!$B$7:$B$18,'Budget ed extra'!$D$7:$D$18,D61)/COUNTIFS('Budget ed extra'!$D$7:$D$18,D61))</f>
        <v>900</v>
      </c>
      <c r="D61">
        <f>SUMPRODUCT(MAX(('Budget ed extra'!$D$7:$D$18&lt;=A61)*'Budget ed extra'!$D$7:$D$18))</f>
        <v>9</v>
      </c>
      <c r="E61">
        <f>SUMIFS('Budget ed extra'!$G$7:$G$42,'Budget ed extra'!$J$7:$J$42,A61)</f>
        <v>0</v>
      </c>
      <c r="F61">
        <f>SUM(T61:AE61)</f>
        <v>0</v>
      </c>
      <c r="G61">
        <f>MAX(0,E61-F61)</f>
        <v>0</v>
      </c>
      <c r="H61">
        <f>IF($A61&gt;=C$10,C$11,C$9)/12</f>
        <v>0.01575</v>
      </c>
      <c r="I61">
        <f>IF($A61&gt;=D$10,D$11,D$9)/12</f>
        <v>0.01825</v>
      </c>
      <c r="J61">
        <f>IF($A61&gt;=E$10,E$11,E$9)/12</f>
        <v>0.00766666666666667</v>
      </c>
      <c r="K61">
        <f>IF($A61&gt;=F$10,F$11,F$9)/12</f>
        <v>0.00533333333333333</v>
      </c>
      <c r="L61">
        <f>IF($A61&gt;=G$10,G$11,G$9)/12</f>
        <v>0</v>
      </c>
      <c r="M61">
        <f>IF($A61&gt;=H$10,H$11,H$9)/12</f>
        <v>0</v>
      </c>
      <c r="N61">
        <f>IF($A61&gt;=I$10,I$11,I$9)/12</f>
        <v>0</v>
      </c>
      <c r="O61">
        <f>IF($A61&gt;=J$10,J$11,J$9)/12</f>
        <v>0</v>
      </c>
      <c r="P61">
        <f>IF($A61&gt;=K$10,K$11,K$9)/12</f>
        <v>0</v>
      </c>
      <c r="Q61">
        <f>IF($A61&gt;=L$10,L$11,L$9)/12</f>
        <v>0</v>
      </c>
      <c r="R61">
        <f>IF($A61&gt;=M$10,M$11,M$9)/12</f>
        <v>0</v>
      </c>
      <c r="S61">
        <f>IF($A61&gt;=N$10,N$11,N$9)/12</f>
        <v>0</v>
      </c>
      <c r="T61">
        <f>IF(C$6="",0,SUMIFS('Budget ed extra'!$G$7:$G$42,'Budget ed extra'!$J$7:$J$42,$A61,'Budget ed extra'!$H$7:$H$42,C$6))</f>
        <v>0</v>
      </c>
      <c r="U61">
        <f>IF(D$6="",0,SUMIFS('Budget ed extra'!$G$7:$G$42,'Budget ed extra'!$J$7:$J$42,$A61,'Budget ed extra'!$H$7:$H$42,D$6))</f>
        <v>0</v>
      </c>
      <c r="V61">
        <f>IF(E$6="",0,SUMIFS('Budget ed extra'!$G$7:$G$42,'Budget ed extra'!$J$7:$J$42,$A61,'Budget ed extra'!$H$7:$H$42,E$6))</f>
        <v>0</v>
      </c>
      <c r="W61">
        <f>IF(F$6="",0,SUMIFS('Budget ed extra'!$G$7:$G$42,'Budget ed extra'!$J$7:$J$42,$A61,'Budget ed extra'!$H$7:$H$42,F$6))</f>
        <v>0</v>
      </c>
      <c r="X61">
        <f>IF(G$6="",0,SUMIFS('Budget ed extra'!$G$7:$G$42,'Budget ed extra'!$J$7:$J$42,$A61,'Budget ed extra'!$H$7:$H$42,G$6))</f>
        <v>0</v>
      </c>
      <c r="Y61">
        <f>IF(H$6="",0,SUMIFS('Budget ed extra'!$G$7:$G$42,'Budget ed extra'!$J$7:$J$42,$A61,'Budget ed extra'!$H$7:$H$42,H$6))</f>
        <v>0</v>
      </c>
      <c r="Z61">
        <f>IF(I$6="",0,SUMIFS('Budget ed extra'!$G$7:$G$42,'Budget ed extra'!$J$7:$J$42,$A61,'Budget ed extra'!$H$7:$H$42,I$6))</f>
        <v>0</v>
      </c>
      <c r="AA61">
        <f>IF(J$6="",0,SUMIFS('Budget ed extra'!$G$7:$G$42,'Budget ed extra'!$J$7:$J$42,$A61,'Budget ed extra'!$H$7:$H$42,J$6))</f>
        <v>0</v>
      </c>
      <c r="AB61">
        <f>IF(K$6="",0,SUMIFS('Budget ed extra'!$G$7:$G$42,'Budget ed extra'!$J$7:$J$42,$A61,'Budget ed extra'!$H$7:$H$42,K$6))</f>
        <v>0</v>
      </c>
      <c r="AC61">
        <f>IF(L$6="",0,SUMIFS('Budget ed extra'!$G$7:$G$42,'Budget ed extra'!$J$7:$J$42,$A61,'Budget ed extra'!$H$7:$H$42,L$6))</f>
        <v>0</v>
      </c>
      <c r="AD61">
        <f>IF(M$6="",0,SUMIFS('Budget ed extra'!$G$7:$G$42,'Budget ed extra'!$J$7:$J$42,$A61,'Budget ed extra'!$H$7:$H$42,M$6))</f>
        <v>0</v>
      </c>
      <c r="AE61">
        <f>IF(N$6="",0,SUMIFS('Budget ed extra'!$G$7:$G$42,'Budget ed extra'!$J$7:$J$42,$A61,'Budget ed extra'!$H$7:$H$42,N$6))</f>
        <v>0</v>
      </c>
    </row>
    <row r="62">
      <c r="A62" t="n">
        <v>32</v>
      </c>
      <c r="B62">
        <f>DATE($B$2,$B$3+A62-1,1)</f>
        <v>47270.0</v>
      </c>
      <c r="C62">
        <f>IF(D62=0,N(Impostazioni!$B$6),SUMIFS('Budget ed extra'!$B$7:$B$18,'Budget ed extra'!$D$7:$D$18,D62)/COUNTIFS('Budget ed extra'!$D$7:$D$18,D62))</f>
        <v>900</v>
      </c>
      <c r="D62">
        <f>SUMPRODUCT(MAX(('Budget ed extra'!$D$7:$D$18&lt;=A62)*'Budget ed extra'!$D$7:$D$18))</f>
        <v>9</v>
      </c>
      <c r="E62">
        <f>SUMIFS('Budget ed extra'!$G$7:$G$42,'Budget ed extra'!$J$7:$J$42,A62)</f>
        <v>0</v>
      </c>
      <c r="F62">
        <f>SUM(T62:AE62)</f>
        <v>0</v>
      </c>
      <c r="G62">
        <f>MAX(0,E62-F62)</f>
        <v>0</v>
      </c>
      <c r="H62">
        <f>IF($A62&gt;=C$10,C$11,C$9)/12</f>
        <v>0.01575</v>
      </c>
      <c r="I62">
        <f>IF($A62&gt;=D$10,D$11,D$9)/12</f>
        <v>0.01825</v>
      </c>
      <c r="J62">
        <f>IF($A62&gt;=E$10,E$11,E$9)/12</f>
        <v>0.00766666666666667</v>
      </c>
      <c r="K62">
        <f>IF($A62&gt;=F$10,F$11,F$9)/12</f>
        <v>0.00533333333333333</v>
      </c>
      <c r="L62">
        <f>IF($A62&gt;=G$10,G$11,G$9)/12</f>
        <v>0</v>
      </c>
      <c r="M62">
        <f>IF($A62&gt;=H$10,H$11,H$9)/12</f>
        <v>0</v>
      </c>
      <c r="N62">
        <f>IF($A62&gt;=I$10,I$11,I$9)/12</f>
        <v>0</v>
      </c>
      <c r="O62">
        <f>IF($A62&gt;=J$10,J$11,J$9)/12</f>
        <v>0</v>
      </c>
      <c r="P62">
        <f>IF($A62&gt;=K$10,K$11,K$9)/12</f>
        <v>0</v>
      </c>
      <c r="Q62">
        <f>IF($A62&gt;=L$10,L$11,L$9)/12</f>
        <v>0</v>
      </c>
      <c r="R62">
        <f>IF($A62&gt;=M$10,M$11,M$9)/12</f>
        <v>0</v>
      </c>
      <c r="S62">
        <f>IF($A62&gt;=N$10,N$11,N$9)/12</f>
        <v>0</v>
      </c>
      <c r="T62">
        <f>IF(C$6="",0,SUMIFS('Budget ed extra'!$G$7:$G$42,'Budget ed extra'!$J$7:$J$42,$A62,'Budget ed extra'!$H$7:$H$42,C$6))</f>
        <v>0</v>
      </c>
      <c r="U62">
        <f>IF(D$6="",0,SUMIFS('Budget ed extra'!$G$7:$G$42,'Budget ed extra'!$J$7:$J$42,$A62,'Budget ed extra'!$H$7:$H$42,D$6))</f>
        <v>0</v>
      </c>
      <c r="V62">
        <f>IF(E$6="",0,SUMIFS('Budget ed extra'!$G$7:$G$42,'Budget ed extra'!$J$7:$J$42,$A62,'Budget ed extra'!$H$7:$H$42,E$6))</f>
        <v>0</v>
      </c>
      <c r="W62">
        <f>IF(F$6="",0,SUMIFS('Budget ed extra'!$G$7:$G$42,'Budget ed extra'!$J$7:$J$42,$A62,'Budget ed extra'!$H$7:$H$42,F$6))</f>
        <v>0</v>
      </c>
      <c r="X62">
        <f>IF(G$6="",0,SUMIFS('Budget ed extra'!$G$7:$G$42,'Budget ed extra'!$J$7:$J$42,$A62,'Budget ed extra'!$H$7:$H$42,G$6))</f>
        <v>0</v>
      </c>
      <c r="Y62">
        <f>IF(H$6="",0,SUMIFS('Budget ed extra'!$G$7:$G$42,'Budget ed extra'!$J$7:$J$42,$A62,'Budget ed extra'!$H$7:$H$42,H$6))</f>
        <v>0</v>
      </c>
      <c r="Z62">
        <f>IF(I$6="",0,SUMIFS('Budget ed extra'!$G$7:$G$42,'Budget ed extra'!$J$7:$J$42,$A62,'Budget ed extra'!$H$7:$H$42,I$6))</f>
        <v>0</v>
      </c>
      <c r="AA62">
        <f>IF(J$6="",0,SUMIFS('Budget ed extra'!$G$7:$G$42,'Budget ed extra'!$J$7:$J$42,$A62,'Budget ed extra'!$H$7:$H$42,J$6))</f>
        <v>0</v>
      </c>
      <c r="AB62">
        <f>IF(K$6="",0,SUMIFS('Budget ed extra'!$G$7:$G$42,'Budget ed extra'!$J$7:$J$42,$A62,'Budget ed extra'!$H$7:$H$42,K$6))</f>
        <v>0</v>
      </c>
      <c r="AC62">
        <f>IF(L$6="",0,SUMIFS('Budget ed extra'!$G$7:$G$42,'Budget ed extra'!$J$7:$J$42,$A62,'Budget ed extra'!$H$7:$H$42,L$6))</f>
        <v>0</v>
      </c>
      <c r="AD62">
        <f>IF(M$6="",0,SUMIFS('Budget ed extra'!$G$7:$G$42,'Budget ed extra'!$J$7:$J$42,$A62,'Budget ed extra'!$H$7:$H$42,M$6))</f>
        <v>0</v>
      </c>
      <c r="AE62">
        <f>IF(N$6="",0,SUMIFS('Budget ed extra'!$G$7:$G$42,'Budget ed extra'!$J$7:$J$42,$A62,'Budget ed extra'!$H$7:$H$42,N$6))</f>
        <v>0</v>
      </c>
    </row>
    <row r="63">
      <c r="A63" t="n">
        <v>33</v>
      </c>
      <c r="B63">
        <f>DATE($B$2,$B$3+A63-1,1)</f>
        <v>47300.0</v>
      </c>
      <c r="C63">
        <f>IF(D63=0,N(Impostazioni!$B$6),SUMIFS('Budget ed extra'!$B$7:$B$18,'Budget ed extra'!$D$7:$D$18,D63)/COUNTIFS('Budget ed extra'!$D$7:$D$18,D63))</f>
        <v>900</v>
      </c>
      <c r="D63">
        <f>SUMPRODUCT(MAX(('Budget ed extra'!$D$7:$D$18&lt;=A63)*'Budget ed extra'!$D$7:$D$18))</f>
        <v>9</v>
      </c>
      <c r="E63">
        <f>SUMIFS('Budget ed extra'!$G$7:$G$42,'Budget ed extra'!$J$7:$J$42,A63)</f>
        <v>0</v>
      </c>
      <c r="F63">
        <f>SUM(T63:AE63)</f>
        <v>0</v>
      </c>
      <c r="G63">
        <f>MAX(0,E63-F63)</f>
        <v>0</v>
      </c>
      <c r="H63">
        <f>IF($A63&gt;=C$10,C$11,C$9)/12</f>
        <v>0.01575</v>
      </c>
      <c r="I63">
        <f>IF($A63&gt;=D$10,D$11,D$9)/12</f>
        <v>0.01825</v>
      </c>
      <c r="J63">
        <f>IF($A63&gt;=E$10,E$11,E$9)/12</f>
        <v>0.00766666666666667</v>
      </c>
      <c r="K63">
        <f>IF($A63&gt;=F$10,F$11,F$9)/12</f>
        <v>0.00533333333333333</v>
      </c>
      <c r="L63">
        <f>IF($A63&gt;=G$10,G$11,G$9)/12</f>
        <v>0</v>
      </c>
      <c r="M63">
        <f>IF($A63&gt;=H$10,H$11,H$9)/12</f>
        <v>0</v>
      </c>
      <c r="N63">
        <f>IF($A63&gt;=I$10,I$11,I$9)/12</f>
        <v>0</v>
      </c>
      <c r="O63">
        <f>IF($A63&gt;=J$10,J$11,J$9)/12</f>
        <v>0</v>
      </c>
      <c r="P63">
        <f>IF($A63&gt;=K$10,K$11,K$9)/12</f>
        <v>0</v>
      </c>
      <c r="Q63">
        <f>IF($A63&gt;=L$10,L$11,L$9)/12</f>
        <v>0</v>
      </c>
      <c r="R63">
        <f>IF($A63&gt;=M$10,M$11,M$9)/12</f>
        <v>0</v>
      </c>
      <c r="S63">
        <f>IF($A63&gt;=N$10,N$11,N$9)/12</f>
        <v>0</v>
      </c>
      <c r="T63">
        <f>IF(C$6="",0,SUMIFS('Budget ed extra'!$G$7:$G$42,'Budget ed extra'!$J$7:$J$42,$A63,'Budget ed extra'!$H$7:$H$42,C$6))</f>
        <v>0</v>
      </c>
      <c r="U63">
        <f>IF(D$6="",0,SUMIFS('Budget ed extra'!$G$7:$G$42,'Budget ed extra'!$J$7:$J$42,$A63,'Budget ed extra'!$H$7:$H$42,D$6))</f>
        <v>0</v>
      </c>
      <c r="V63">
        <f>IF(E$6="",0,SUMIFS('Budget ed extra'!$G$7:$G$42,'Budget ed extra'!$J$7:$J$42,$A63,'Budget ed extra'!$H$7:$H$42,E$6))</f>
        <v>0</v>
      </c>
      <c r="W63">
        <f>IF(F$6="",0,SUMIFS('Budget ed extra'!$G$7:$G$42,'Budget ed extra'!$J$7:$J$42,$A63,'Budget ed extra'!$H$7:$H$42,F$6))</f>
        <v>0</v>
      </c>
      <c r="X63">
        <f>IF(G$6="",0,SUMIFS('Budget ed extra'!$G$7:$G$42,'Budget ed extra'!$J$7:$J$42,$A63,'Budget ed extra'!$H$7:$H$42,G$6))</f>
        <v>0</v>
      </c>
      <c r="Y63">
        <f>IF(H$6="",0,SUMIFS('Budget ed extra'!$G$7:$G$42,'Budget ed extra'!$J$7:$J$42,$A63,'Budget ed extra'!$H$7:$H$42,H$6))</f>
        <v>0</v>
      </c>
      <c r="Z63">
        <f>IF(I$6="",0,SUMIFS('Budget ed extra'!$G$7:$G$42,'Budget ed extra'!$J$7:$J$42,$A63,'Budget ed extra'!$H$7:$H$42,I$6))</f>
        <v>0</v>
      </c>
      <c r="AA63">
        <f>IF(J$6="",0,SUMIFS('Budget ed extra'!$G$7:$G$42,'Budget ed extra'!$J$7:$J$42,$A63,'Budget ed extra'!$H$7:$H$42,J$6))</f>
        <v>0</v>
      </c>
      <c r="AB63">
        <f>IF(K$6="",0,SUMIFS('Budget ed extra'!$G$7:$G$42,'Budget ed extra'!$J$7:$J$42,$A63,'Budget ed extra'!$H$7:$H$42,K$6))</f>
        <v>0</v>
      </c>
      <c r="AC63">
        <f>IF(L$6="",0,SUMIFS('Budget ed extra'!$G$7:$G$42,'Budget ed extra'!$J$7:$J$42,$A63,'Budget ed extra'!$H$7:$H$42,L$6))</f>
        <v>0</v>
      </c>
      <c r="AD63">
        <f>IF(M$6="",0,SUMIFS('Budget ed extra'!$G$7:$G$42,'Budget ed extra'!$J$7:$J$42,$A63,'Budget ed extra'!$H$7:$H$42,M$6))</f>
        <v>0</v>
      </c>
      <c r="AE63">
        <f>IF(N$6="",0,SUMIFS('Budget ed extra'!$G$7:$G$42,'Budget ed extra'!$J$7:$J$42,$A63,'Budget ed extra'!$H$7:$H$42,N$6))</f>
        <v>0</v>
      </c>
    </row>
    <row r="64">
      <c r="A64" t="n">
        <v>34</v>
      </c>
      <c r="B64">
        <f>DATE($B$2,$B$3+A64-1,1)</f>
        <v>47331.0</v>
      </c>
      <c r="C64">
        <f>IF(D64=0,N(Impostazioni!$B$6),SUMIFS('Budget ed extra'!$B$7:$B$18,'Budget ed extra'!$D$7:$D$18,D64)/COUNTIFS('Budget ed extra'!$D$7:$D$18,D64))</f>
        <v>900</v>
      </c>
      <c r="D64">
        <f>SUMPRODUCT(MAX(('Budget ed extra'!$D$7:$D$18&lt;=A64)*'Budget ed extra'!$D$7:$D$18))</f>
        <v>9</v>
      </c>
      <c r="E64">
        <f>SUMIFS('Budget ed extra'!$G$7:$G$42,'Budget ed extra'!$J$7:$J$42,A64)</f>
        <v>0</v>
      </c>
      <c r="F64">
        <f>SUM(T64:AE64)</f>
        <v>0</v>
      </c>
      <c r="G64">
        <f>MAX(0,E64-F64)</f>
        <v>0</v>
      </c>
      <c r="H64">
        <f>IF($A64&gt;=C$10,C$11,C$9)/12</f>
        <v>0.01575</v>
      </c>
      <c r="I64">
        <f>IF($A64&gt;=D$10,D$11,D$9)/12</f>
        <v>0.01825</v>
      </c>
      <c r="J64">
        <f>IF($A64&gt;=E$10,E$11,E$9)/12</f>
        <v>0.00766666666666667</v>
      </c>
      <c r="K64">
        <f>IF($A64&gt;=F$10,F$11,F$9)/12</f>
        <v>0.00533333333333333</v>
      </c>
      <c r="L64">
        <f>IF($A64&gt;=G$10,G$11,G$9)/12</f>
        <v>0</v>
      </c>
      <c r="M64">
        <f>IF($A64&gt;=H$10,H$11,H$9)/12</f>
        <v>0</v>
      </c>
      <c r="N64">
        <f>IF($A64&gt;=I$10,I$11,I$9)/12</f>
        <v>0</v>
      </c>
      <c r="O64">
        <f>IF($A64&gt;=J$10,J$11,J$9)/12</f>
        <v>0</v>
      </c>
      <c r="P64">
        <f>IF($A64&gt;=K$10,K$11,K$9)/12</f>
        <v>0</v>
      </c>
      <c r="Q64">
        <f>IF($A64&gt;=L$10,L$11,L$9)/12</f>
        <v>0</v>
      </c>
      <c r="R64">
        <f>IF($A64&gt;=M$10,M$11,M$9)/12</f>
        <v>0</v>
      </c>
      <c r="S64">
        <f>IF($A64&gt;=N$10,N$11,N$9)/12</f>
        <v>0</v>
      </c>
      <c r="T64">
        <f>IF(C$6="",0,SUMIFS('Budget ed extra'!$G$7:$G$42,'Budget ed extra'!$J$7:$J$42,$A64,'Budget ed extra'!$H$7:$H$42,C$6))</f>
        <v>0</v>
      </c>
      <c r="U64">
        <f>IF(D$6="",0,SUMIFS('Budget ed extra'!$G$7:$G$42,'Budget ed extra'!$J$7:$J$42,$A64,'Budget ed extra'!$H$7:$H$42,D$6))</f>
        <v>0</v>
      </c>
      <c r="V64">
        <f>IF(E$6="",0,SUMIFS('Budget ed extra'!$G$7:$G$42,'Budget ed extra'!$J$7:$J$42,$A64,'Budget ed extra'!$H$7:$H$42,E$6))</f>
        <v>0</v>
      </c>
      <c r="W64">
        <f>IF(F$6="",0,SUMIFS('Budget ed extra'!$G$7:$G$42,'Budget ed extra'!$J$7:$J$42,$A64,'Budget ed extra'!$H$7:$H$42,F$6))</f>
        <v>0</v>
      </c>
      <c r="X64">
        <f>IF(G$6="",0,SUMIFS('Budget ed extra'!$G$7:$G$42,'Budget ed extra'!$J$7:$J$42,$A64,'Budget ed extra'!$H$7:$H$42,G$6))</f>
        <v>0</v>
      </c>
      <c r="Y64">
        <f>IF(H$6="",0,SUMIFS('Budget ed extra'!$G$7:$G$42,'Budget ed extra'!$J$7:$J$42,$A64,'Budget ed extra'!$H$7:$H$42,H$6))</f>
        <v>0</v>
      </c>
      <c r="Z64">
        <f>IF(I$6="",0,SUMIFS('Budget ed extra'!$G$7:$G$42,'Budget ed extra'!$J$7:$J$42,$A64,'Budget ed extra'!$H$7:$H$42,I$6))</f>
        <v>0</v>
      </c>
      <c r="AA64">
        <f>IF(J$6="",0,SUMIFS('Budget ed extra'!$G$7:$G$42,'Budget ed extra'!$J$7:$J$42,$A64,'Budget ed extra'!$H$7:$H$42,J$6))</f>
        <v>0</v>
      </c>
      <c r="AB64">
        <f>IF(K$6="",0,SUMIFS('Budget ed extra'!$G$7:$G$42,'Budget ed extra'!$J$7:$J$42,$A64,'Budget ed extra'!$H$7:$H$42,K$6))</f>
        <v>0</v>
      </c>
      <c r="AC64">
        <f>IF(L$6="",0,SUMIFS('Budget ed extra'!$G$7:$G$42,'Budget ed extra'!$J$7:$J$42,$A64,'Budget ed extra'!$H$7:$H$42,L$6))</f>
        <v>0</v>
      </c>
      <c r="AD64">
        <f>IF(M$6="",0,SUMIFS('Budget ed extra'!$G$7:$G$42,'Budget ed extra'!$J$7:$J$42,$A64,'Budget ed extra'!$H$7:$H$42,M$6))</f>
        <v>0</v>
      </c>
      <c r="AE64">
        <f>IF(N$6="",0,SUMIFS('Budget ed extra'!$G$7:$G$42,'Budget ed extra'!$J$7:$J$42,$A64,'Budget ed extra'!$H$7:$H$42,N$6))</f>
        <v>0</v>
      </c>
    </row>
    <row r="65">
      <c r="A65" t="n">
        <v>35</v>
      </c>
      <c r="B65">
        <f>DATE($B$2,$B$3+A65-1,1)</f>
        <v>47362.0</v>
      </c>
      <c r="C65">
        <f>IF(D65=0,N(Impostazioni!$B$6),SUMIFS('Budget ed extra'!$B$7:$B$18,'Budget ed extra'!$D$7:$D$18,D65)/COUNTIFS('Budget ed extra'!$D$7:$D$18,D65))</f>
        <v>900</v>
      </c>
      <c r="D65">
        <f>SUMPRODUCT(MAX(('Budget ed extra'!$D$7:$D$18&lt;=A65)*'Budget ed extra'!$D$7:$D$18))</f>
        <v>9</v>
      </c>
      <c r="E65">
        <f>SUMIFS('Budget ed extra'!$G$7:$G$42,'Budget ed extra'!$J$7:$J$42,A65)</f>
        <v>0</v>
      </c>
      <c r="F65">
        <f>SUM(T65:AE65)</f>
        <v>0</v>
      </c>
      <c r="G65">
        <f>MAX(0,E65-F65)</f>
        <v>0</v>
      </c>
      <c r="H65">
        <f>IF($A65&gt;=C$10,C$11,C$9)/12</f>
        <v>0.01575</v>
      </c>
      <c r="I65">
        <f>IF($A65&gt;=D$10,D$11,D$9)/12</f>
        <v>0.01825</v>
      </c>
      <c r="J65">
        <f>IF($A65&gt;=E$10,E$11,E$9)/12</f>
        <v>0.00766666666666667</v>
      </c>
      <c r="K65">
        <f>IF($A65&gt;=F$10,F$11,F$9)/12</f>
        <v>0.00533333333333333</v>
      </c>
      <c r="L65">
        <f>IF($A65&gt;=G$10,G$11,G$9)/12</f>
        <v>0</v>
      </c>
      <c r="M65">
        <f>IF($A65&gt;=H$10,H$11,H$9)/12</f>
        <v>0</v>
      </c>
      <c r="N65">
        <f>IF($A65&gt;=I$10,I$11,I$9)/12</f>
        <v>0</v>
      </c>
      <c r="O65">
        <f>IF($A65&gt;=J$10,J$11,J$9)/12</f>
        <v>0</v>
      </c>
      <c r="P65">
        <f>IF($A65&gt;=K$10,K$11,K$9)/12</f>
        <v>0</v>
      </c>
      <c r="Q65">
        <f>IF($A65&gt;=L$10,L$11,L$9)/12</f>
        <v>0</v>
      </c>
      <c r="R65">
        <f>IF($A65&gt;=M$10,M$11,M$9)/12</f>
        <v>0</v>
      </c>
      <c r="S65">
        <f>IF($A65&gt;=N$10,N$11,N$9)/12</f>
        <v>0</v>
      </c>
      <c r="T65">
        <f>IF(C$6="",0,SUMIFS('Budget ed extra'!$G$7:$G$42,'Budget ed extra'!$J$7:$J$42,$A65,'Budget ed extra'!$H$7:$H$42,C$6))</f>
        <v>0</v>
      </c>
      <c r="U65">
        <f>IF(D$6="",0,SUMIFS('Budget ed extra'!$G$7:$G$42,'Budget ed extra'!$J$7:$J$42,$A65,'Budget ed extra'!$H$7:$H$42,D$6))</f>
        <v>0</v>
      </c>
      <c r="V65">
        <f>IF(E$6="",0,SUMIFS('Budget ed extra'!$G$7:$G$42,'Budget ed extra'!$J$7:$J$42,$A65,'Budget ed extra'!$H$7:$H$42,E$6))</f>
        <v>0</v>
      </c>
      <c r="W65">
        <f>IF(F$6="",0,SUMIFS('Budget ed extra'!$G$7:$G$42,'Budget ed extra'!$J$7:$J$42,$A65,'Budget ed extra'!$H$7:$H$42,F$6))</f>
        <v>0</v>
      </c>
      <c r="X65">
        <f>IF(G$6="",0,SUMIFS('Budget ed extra'!$G$7:$G$42,'Budget ed extra'!$J$7:$J$42,$A65,'Budget ed extra'!$H$7:$H$42,G$6))</f>
        <v>0</v>
      </c>
      <c r="Y65">
        <f>IF(H$6="",0,SUMIFS('Budget ed extra'!$G$7:$G$42,'Budget ed extra'!$J$7:$J$42,$A65,'Budget ed extra'!$H$7:$H$42,H$6))</f>
        <v>0</v>
      </c>
      <c r="Z65">
        <f>IF(I$6="",0,SUMIFS('Budget ed extra'!$G$7:$G$42,'Budget ed extra'!$J$7:$J$42,$A65,'Budget ed extra'!$H$7:$H$42,I$6))</f>
        <v>0</v>
      </c>
      <c r="AA65">
        <f>IF(J$6="",0,SUMIFS('Budget ed extra'!$G$7:$G$42,'Budget ed extra'!$J$7:$J$42,$A65,'Budget ed extra'!$H$7:$H$42,J$6))</f>
        <v>0</v>
      </c>
      <c r="AB65">
        <f>IF(K$6="",0,SUMIFS('Budget ed extra'!$G$7:$G$42,'Budget ed extra'!$J$7:$J$42,$A65,'Budget ed extra'!$H$7:$H$42,K$6))</f>
        <v>0</v>
      </c>
      <c r="AC65">
        <f>IF(L$6="",0,SUMIFS('Budget ed extra'!$G$7:$G$42,'Budget ed extra'!$J$7:$J$42,$A65,'Budget ed extra'!$H$7:$H$42,L$6))</f>
        <v>0</v>
      </c>
      <c r="AD65">
        <f>IF(M$6="",0,SUMIFS('Budget ed extra'!$G$7:$G$42,'Budget ed extra'!$J$7:$J$42,$A65,'Budget ed extra'!$H$7:$H$42,M$6))</f>
        <v>0</v>
      </c>
      <c r="AE65">
        <f>IF(N$6="",0,SUMIFS('Budget ed extra'!$G$7:$G$42,'Budget ed extra'!$J$7:$J$42,$A65,'Budget ed extra'!$H$7:$H$42,N$6))</f>
        <v>0</v>
      </c>
    </row>
    <row r="66">
      <c r="A66" t="n">
        <v>36</v>
      </c>
      <c r="B66">
        <f>DATE($B$2,$B$3+A66-1,1)</f>
        <v>47392.0</v>
      </c>
      <c r="C66">
        <f>IF(D66=0,N(Impostazioni!$B$6),SUMIFS('Budget ed extra'!$B$7:$B$18,'Budget ed extra'!$D$7:$D$18,D66)/COUNTIFS('Budget ed extra'!$D$7:$D$18,D66))</f>
        <v>900</v>
      </c>
      <c r="D66">
        <f>SUMPRODUCT(MAX(('Budget ed extra'!$D$7:$D$18&lt;=A66)*'Budget ed extra'!$D$7:$D$18))</f>
        <v>9</v>
      </c>
      <c r="E66">
        <f>SUMIFS('Budget ed extra'!$G$7:$G$42,'Budget ed extra'!$J$7:$J$42,A66)</f>
        <v>0</v>
      </c>
      <c r="F66">
        <f>SUM(T66:AE66)</f>
        <v>0</v>
      </c>
      <c r="G66">
        <f>MAX(0,E66-F66)</f>
        <v>0</v>
      </c>
      <c r="H66">
        <f>IF($A66&gt;=C$10,C$11,C$9)/12</f>
        <v>0.01575</v>
      </c>
      <c r="I66">
        <f>IF($A66&gt;=D$10,D$11,D$9)/12</f>
        <v>0.01825</v>
      </c>
      <c r="J66">
        <f>IF($A66&gt;=E$10,E$11,E$9)/12</f>
        <v>0.00766666666666667</v>
      </c>
      <c r="K66">
        <f>IF($A66&gt;=F$10,F$11,F$9)/12</f>
        <v>0.00533333333333333</v>
      </c>
      <c r="L66">
        <f>IF($A66&gt;=G$10,G$11,G$9)/12</f>
        <v>0</v>
      </c>
      <c r="M66">
        <f>IF($A66&gt;=H$10,H$11,H$9)/12</f>
        <v>0</v>
      </c>
      <c r="N66">
        <f>IF($A66&gt;=I$10,I$11,I$9)/12</f>
        <v>0</v>
      </c>
      <c r="O66">
        <f>IF($A66&gt;=J$10,J$11,J$9)/12</f>
        <v>0</v>
      </c>
      <c r="P66">
        <f>IF($A66&gt;=K$10,K$11,K$9)/12</f>
        <v>0</v>
      </c>
      <c r="Q66">
        <f>IF($A66&gt;=L$10,L$11,L$9)/12</f>
        <v>0</v>
      </c>
      <c r="R66">
        <f>IF($A66&gt;=M$10,M$11,M$9)/12</f>
        <v>0</v>
      </c>
      <c r="S66">
        <f>IF($A66&gt;=N$10,N$11,N$9)/12</f>
        <v>0</v>
      </c>
      <c r="T66">
        <f>IF(C$6="",0,SUMIFS('Budget ed extra'!$G$7:$G$42,'Budget ed extra'!$J$7:$J$42,$A66,'Budget ed extra'!$H$7:$H$42,C$6))</f>
        <v>0</v>
      </c>
      <c r="U66">
        <f>IF(D$6="",0,SUMIFS('Budget ed extra'!$G$7:$G$42,'Budget ed extra'!$J$7:$J$42,$A66,'Budget ed extra'!$H$7:$H$42,D$6))</f>
        <v>0</v>
      </c>
      <c r="V66">
        <f>IF(E$6="",0,SUMIFS('Budget ed extra'!$G$7:$G$42,'Budget ed extra'!$J$7:$J$42,$A66,'Budget ed extra'!$H$7:$H$42,E$6))</f>
        <v>0</v>
      </c>
      <c r="W66">
        <f>IF(F$6="",0,SUMIFS('Budget ed extra'!$G$7:$G$42,'Budget ed extra'!$J$7:$J$42,$A66,'Budget ed extra'!$H$7:$H$42,F$6))</f>
        <v>0</v>
      </c>
      <c r="X66">
        <f>IF(G$6="",0,SUMIFS('Budget ed extra'!$G$7:$G$42,'Budget ed extra'!$J$7:$J$42,$A66,'Budget ed extra'!$H$7:$H$42,G$6))</f>
        <v>0</v>
      </c>
      <c r="Y66">
        <f>IF(H$6="",0,SUMIFS('Budget ed extra'!$G$7:$G$42,'Budget ed extra'!$J$7:$J$42,$A66,'Budget ed extra'!$H$7:$H$42,H$6))</f>
        <v>0</v>
      </c>
      <c r="Z66">
        <f>IF(I$6="",0,SUMIFS('Budget ed extra'!$G$7:$G$42,'Budget ed extra'!$J$7:$J$42,$A66,'Budget ed extra'!$H$7:$H$42,I$6))</f>
        <v>0</v>
      </c>
      <c r="AA66">
        <f>IF(J$6="",0,SUMIFS('Budget ed extra'!$G$7:$G$42,'Budget ed extra'!$J$7:$J$42,$A66,'Budget ed extra'!$H$7:$H$42,J$6))</f>
        <v>0</v>
      </c>
      <c r="AB66">
        <f>IF(K$6="",0,SUMIFS('Budget ed extra'!$G$7:$G$42,'Budget ed extra'!$J$7:$J$42,$A66,'Budget ed extra'!$H$7:$H$42,K$6))</f>
        <v>0</v>
      </c>
      <c r="AC66">
        <f>IF(L$6="",0,SUMIFS('Budget ed extra'!$G$7:$G$42,'Budget ed extra'!$J$7:$J$42,$A66,'Budget ed extra'!$H$7:$H$42,L$6))</f>
        <v>0</v>
      </c>
      <c r="AD66">
        <f>IF(M$6="",0,SUMIFS('Budget ed extra'!$G$7:$G$42,'Budget ed extra'!$J$7:$J$42,$A66,'Budget ed extra'!$H$7:$H$42,M$6))</f>
        <v>0</v>
      </c>
      <c r="AE66">
        <f>IF(N$6="",0,SUMIFS('Budget ed extra'!$G$7:$G$42,'Budget ed extra'!$J$7:$J$42,$A66,'Budget ed extra'!$H$7:$H$42,N$6))</f>
        <v>0</v>
      </c>
    </row>
    <row r="67">
      <c r="A67" t="n">
        <v>37</v>
      </c>
      <c r="B67">
        <f>DATE($B$2,$B$3+A67-1,1)</f>
        <v>47423.0</v>
      </c>
      <c r="C67">
        <f>IF(D67=0,N(Impostazioni!$B$6),SUMIFS('Budget ed extra'!$B$7:$B$18,'Budget ed extra'!$D$7:$D$18,D67)/COUNTIFS('Budget ed extra'!$D$7:$D$18,D67))</f>
        <v>900</v>
      </c>
      <c r="D67">
        <f>SUMPRODUCT(MAX(('Budget ed extra'!$D$7:$D$18&lt;=A67)*'Budget ed extra'!$D$7:$D$18))</f>
        <v>9</v>
      </c>
      <c r="E67">
        <f>SUMIFS('Budget ed extra'!$G$7:$G$42,'Budget ed extra'!$J$7:$J$42,A67)</f>
        <v>0</v>
      </c>
      <c r="F67">
        <f>SUM(T67:AE67)</f>
        <v>0</v>
      </c>
      <c r="G67">
        <f>MAX(0,E67-F67)</f>
        <v>0</v>
      </c>
      <c r="H67">
        <f>IF($A67&gt;=C$10,C$11,C$9)/12</f>
        <v>0.01575</v>
      </c>
      <c r="I67">
        <f>IF($A67&gt;=D$10,D$11,D$9)/12</f>
        <v>0.01825</v>
      </c>
      <c r="J67">
        <f>IF($A67&gt;=E$10,E$11,E$9)/12</f>
        <v>0.00766666666666667</v>
      </c>
      <c r="K67">
        <f>IF($A67&gt;=F$10,F$11,F$9)/12</f>
        <v>0.00533333333333333</v>
      </c>
      <c r="L67">
        <f>IF($A67&gt;=G$10,G$11,G$9)/12</f>
        <v>0</v>
      </c>
      <c r="M67">
        <f>IF($A67&gt;=H$10,H$11,H$9)/12</f>
        <v>0</v>
      </c>
      <c r="N67">
        <f>IF($A67&gt;=I$10,I$11,I$9)/12</f>
        <v>0</v>
      </c>
      <c r="O67">
        <f>IF($A67&gt;=J$10,J$11,J$9)/12</f>
        <v>0</v>
      </c>
      <c r="P67">
        <f>IF($A67&gt;=K$10,K$11,K$9)/12</f>
        <v>0</v>
      </c>
      <c r="Q67">
        <f>IF($A67&gt;=L$10,L$11,L$9)/12</f>
        <v>0</v>
      </c>
      <c r="R67">
        <f>IF($A67&gt;=M$10,M$11,M$9)/12</f>
        <v>0</v>
      </c>
      <c r="S67">
        <f>IF($A67&gt;=N$10,N$11,N$9)/12</f>
        <v>0</v>
      </c>
      <c r="T67">
        <f>IF(C$6="",0,SUMIFS('Budget ed extra'!$G$7:$G$42,'Budget ed extra'!$J$7:$J$42,$A67,'Budget ed extra'!$H$7:$H$42,C$6))</f>
        <v>0</v>
      </c>
      <c r="U67">
        <f>IF(D$6="",0,SUMIFS('Budget ed extra'!$G$7:$G$42,'Budget ed extra'!$J$7:$J$42,$A67,'Budget ed extra'!$H$7:$H$42,D$6))</f>
        <v>0</v>
      </c>
      <c r="V67">
        <f>IF(E$6="",0,SUMIFS('Budget ed extra'!$G$7:$G$42,'Budget ed extra'!$J$7:$J$42,$A67,'Budget ed extra'!$H$7:$H$42,E$6))</f>
        <v>0</v>
      </c>
      <c r="W67">
        <f>IF(F$6="",0,SUMIFS('Budget ed extra'!$G$7:$G$42,'Budget ed extra'!$J$7:$J$42,$A67,'Budget ed extra'!$H$7:$H$42,F$6))</f>
        <v>0</v>
      </c>
      <c r="X67">
        <f>IF(G$6="",0,SUMIFS('Budget ed extra'!$G$7:$G$42,'Budget ed extra'!$J$7:$J$42,$A67,'Budget ed extra'!$H$7:$H$42,G$6))</f>
        <v>0</v>
      </c>
      <c r="Y67">
        <f>IF(H$6="",0,SUMIFS('Budget ed extra'!$G$7:$G$42,'Budget ed extra'!$J$7:$J$42,$A67,'Budget ed extra'!$H$7:$H$42,H$6))</f>
        <v>0</v>
      </c>
      <c r="Z67">
        <f>IF(I$6="",0,SUMIFS('Budget ed extra'!$G$7:$G$42,'Budget ed extra'!$J$7:$J$42,$A67,'Budget ed extra'!$H$7:$H$42,I$6))</f>
        <v>0</v>
      </c>
      <c r="AA67">
        <f>IF(J$6="",0,SUMIFS('Budget ed extra'!$G$7:$G$42,'Budget ed extra'!$J$7:$J$42,$A67,'Budget ed extra'!$H$7:$H$42,J$6))</f>
        <v>0</v>
      </c>
      <c r="AB67">
        <f>IF(K$6="",0,SUMIFS('Budget ed extra'!$G$7:$G$42,'Budget ed extra'!$J$7:$J$42,$A67,'Budget ed extra'!$H$7:$H$42,K$6))</f>
        <v>0</v>
      </c>
      <c r="AC67">
        <f>IF(L$6="",0,SUMIFS('Budget ed extra'!$G$7:$G$42,'Budget ed extra'!$J$7:$J$42,$A67,'Budget ed extra'!$H$7:$H$42,L$6))</f>
        <v>0</v>
      </c>
      <c r="AD67">
        <f>IF(M$6="",0,SUMIFS('Budget ed extra'!$G$7:$G$42,'Budget ed extra'!$J$7:$J$42,$A67,'Budget ed extra'!$H$7:$H$42,M$6))</f>
        <v>0</v>
      </c>
      <c r="AE67">
        <f>IF(N$6="",0,SUMIFS('Budget ed extra'!$G$7:$G$42,'Budget ed extra'!$J$7:$J$42,$A67,'Budget ed extra'!$H$7:$H$42,N$6))</f>
        <v>0</v>
      </c>
    </row>
    <row r="68">
      <c r="A68" t="n">
        <v>38</v>
      </c>
      <c r="B68">
        <f>DATE($B$2,$B$3+A68-1,1)</f>
        <v>47453.0</v>
      </c>
      <c r="C68">
        <f>IF(D68=0,N(Impostazioni!$B$6),SUMIFS('Budget ed extra'!$B$7:$B$18,'Budget ed extra'!$D$7:$D$18,D68)/COUNTIFS('Budget ed extra'!$D$7:$D$18,D68))</f>
        <v>900</v>
      </c>
      <c r="D68">
        <f>SUMPRODUCT(MAX(('Budget ed extra'!$D$7:$D$18&lt;=A68)*'Budget ed extra'!$D$7:$D$18))</f>
        <v>9</v>
      </c>
      <c r="E68">
        <f>SUMIFS('Budget ed extra'!$G$7:$G$42,'Budget ed extra'!$J$7:$J$42,A68)</f>
        <v>0</v>
      </c>
      <c r="F68">
        <f>SUM(T68:AE68)</f>
        <v>0</v>
      </c>
      <c r="G68">
        <f>MAX(0,E68-F68)</f>
        <v>0</v>
      </c>
      <c r="H68">
        <f>IF($A68&gt;=C$10,C$11,C$9)/12</f>
        <v>0.01575</v>
      </c>
      <c r="I68">
        <f>IF($A68&gt;=D$10,D$11,D$9)/12</f>
        <v>0.01825</v>
      </c>
      <c r="J68">
        <f>IF($A68&gt;=E$10,E$11,E$9)/12</f>
        <v>0.00766666666666667</v>
      </c>
      <c r="K68">
        <f>IF($A68&gt;=F$10,F$11,F$9)/12</f>
        <v>0.00533333333333333</v>
      </c>
      <c r="L68">
        <f>IF($A68&gt;=G$10,G$11,G$9)/12</f>
        <v>0</v>
      </c>
      <c r="M68">
        <f>IF($A68&gt;=H$10,H$11,H$9)/12</f>
        <v>0</v>
      </c>
      <c r="N68">
        <f>IF($A68&gt;=I$10,I$11,I$9)/12</f>
        <v>0</v>
      </c>
      <c r="O68">
        <f>IF($A68&gt;=J$10,J$11,J$9)/12</f>
        <v>0</v>
      </c>
      <c r="P68">
        <f>IF($A68&gt;=K$10,K$11,K$9)/12</f>
        <v>0</v>
      </c>
      <c r="Q68">
        <f>IF($A68&gt;=L$10,L$11,L$9)/12</f>
        <v>0</v>
      </c>
      <c r="R68">
        <f>IF($A68&gt;=M$10,M$11,M$9)/12</f>
        <v>0</v>
      </c>
      <c r="S68">
        <f>IF($A68&gt;=N$10,N$11,N$9)/12</f>
        <v>0</v>
      </c>
      <c r="T68">
        <f>IF(C$6="",0,SUMIFS('Budget ed extra'!$G$7:$G$42,'Budget ed extra'!$J$7:$J$42,$A68,'Budget ed extra'!$H$7:$H$42,C$6))</f>
        <v>0</v>
      </c>
      <c r="U68">
        <f>IF(D$6="",0,SUMIFS('Budget ed extra'!$G$7:$G$42,'Budget ed extra'!$J$7:$J$42,$A68,'Budget ed extra'!$H$7:$H$42,D$6))</f>
        <v>0</v>
      </c>
      <c r="V68">
        <f>IF(E$6="",0,SUMIFS('Budget ed extra'!$G$7:$G$42,'Budget ed extra'!$J$7:$J$42,$A68,'Budget ed extra'!$H$7:$H$42,E$6))</f>
        <v>0</v>
      </c>
      <c r="W68">
        <f>IF(F$6="",0,SUMIFS('Budget ed extra'!$G$7:$G$42,'Budget ed extra'!$J$7:$J$42,$A68,'Budget ed extra'!$H$7:$H$42,F$6))</f>
        <v>0</v>
      </c>
      <c r="X68">
        <f>IF(G$6="",0,SUMIFS('Budget ed extra'!$G$7:$G$42,'Budget ed extra'!$J$7:$J$42,$A68,'Budget ed extra'!$H$7:$H$42,G$6))</f>
        <v>0</v>
      </c>
      <c r="Y68">
        <f>IF(H$6="",0,SUMIFS('Budget ed extra'!$G$7:$G$42,'Budget ed extra'!$J$7:$J$42,$A68,'Budget ed extra'!$H$7:$H$42,H$6))</f>
        <v>0</v>
      </c>
      <c r="Z68">
        <f>IF(I$6="",0,SUMIFS('Budget ed extra'!$G$7:$G$42,'Budget ed extra'!$J$7:$J$42,$A68,'Budget ed extra'!$H$7:$H$42,I$6))</f>
        <v>0</v>
      </c>
      <c r="AA68">
        <f>IF(J$6="",0,SUMIFS('Budget ed extra'!$G$7:$G$42,'Budget ed extra'!$J$7:$J$42,$A68,'Budget ed extra'!$H$7:$H$42,J$6))</f>
        <v>0</v>
      </c>
      <c r="AB68">
        <f>IF(K$6="",0,SUMIFS('Budget ed extra'!$G$7:$G$42,'Budget ed extra'!$J$7:$J$42,$A68,'Budget ed extra'!$H$7:$H$42,K$6))</f>
        <v>0</v>
      </c>
      <c r="AC68">
        <f>IF(L$6="",0,SUMIFS('Budget ed extra'!$G$7:$G$42,'Budget ed extra'!$J$7:$J$42,$A68,'Budget ed extra'!$H$7:$H$42,L$6))</f>
        <v>0</v>
      </c>
      <c r="AD68">
        <f>IF(M$6="",0,SUMIFS('Budget ed extra'!$G$7:$G$42,'Budget ed extra'!$J$7:$J$42,$A68,'Budget ed extra'!$H$7:$H$42,M$6))</f>
        <v>0</v>
      </c>
      <c r="AE68">
        <f>IF(N$6="",0,SUMIFS('Budget ed extra'!$G$7:$G$42,'Budget ed extra'!$J$7:$J$42,$A68,'Budget ed extra'!$H$7:$H$42,N$6))</f>
        <v>0</v>
      </c>
    </row>
    <row r="69">
      <c r="A69" t="n">
        <v>39</v>
      </c>
      <c r="B69">
        <f>DATE($B$2,$B$3+A69-1,1)</f>
        <v>47484.0</v>
      </c>
      <c r="C69">
        <f>IF(D69=0,N(Impostazioni!$B$6),SUMIFS('Budget ed extra'!$B$7:$B$18,'Budget ed extra'!$D$7:$D$18,D69)/COUNTIFS('Budget ed extra'!$D$7:$D$18,D69))</f>
        <v>900</v>
      </c>
      <c r="D69">
        <f>SUMPRODUCT(MAX(('Budget ed extra'!$D$7:$D$18&lt;=A69)*'Budget ed extra'!$D$7:$D$18))</f>
        <v>9</v>
      </c>
      <c r="E69">
        <f>SUMIFS('Budget ed extra'!$G$7:$G$42,'Budget ed extra'!$J$7:$J$42,A69)</f>
        <v>0</v>
      </c>
      <c r="F69">
        <f>SUM(T69:AE69)</f>
        <v>0</v>
      </c>
      <c r="G69">
        <f>MAX(0,E69-F69)</f>
        <v>0</v>
      </c>
      <c r="H69">
        <f>IF($A69&gt;=C$10,C$11,C$9)/12</f>
        <v>0.01575</v>
      </c>
      <c r="I69">
        <f>IF($A69&gt;=D$10,D$11,D$9)/12</f>
        <v>0.01825</v>
      </c>
      <c r="J69">
        <f>IF($A69&gt;=E$10,E$11,E$9)/12</f>
        <v>0.00766666666666667</v>
      </c>
      <c r="K69">
        <f>IF($A69&gt;=F$10,F$11,F$9)/12</f>
        <v>0.00533333333333333</v>
      </c>
      <c r="L69">
        <f>IF($A69&gt;=G$10,G$11,G$9)/12</f>
        <v>0</v>
      </c>
      <c r="M69">
        <f>IF($A69&gt;=H$10,H$11,H$9)/12</f>
        <v>0</v>
      </c>
      <c r="N69">
        <f>IF($A69&gt;=I$10,I$11,I$9)/12</f>
        <v>0</v>
      </c>
      <c r="O69">
        <f>IF($A69&gt;=J$10,J$11,J$9)/12</f>
        <v>0</v>
      </c>
      <c r="P69">
        <f>IF($A69&gt;=K$10,K$11,K$9)/12</f>
        <v>0</v>
      </c>
      <c r="Q69">
        <f>IF($A69&gt;=L$10,L$11,L$9)/12</f>
        <v>0</v>
      </c>
      <c r="R69">
        <f>IF($A69&gt;=M$10,M$11,M$9)/12</f>
        <v>0</v>
      </c>
      <c r="S69">
        <f>IF($A69&gt;=N$10,N$11,N$9)/12</f>
        <v>0</v>
      </c>
      <c r="T69">
        <f>IF(C$6="",0,SUMIFS('Budget ed extra'!$G$7:$G$42,'Budget ed extra'!$J$7:$J$42,$A69,'Budget ed extra'!$H$7:$H$42,C$6))</f>
        <v>0</v>
      </c>
      <c r="U69">
        <f>IF(D$6="",0,SUMIFS('Budget ed extra'!$G$7:$G$42,'Budget ed extra'!$J$7:$J$42,$A69,'Budget ed extra'!$H$7:$H$42,D$6))</f>
        <v>0</v>
      </c>
      <c r="V69">
        <f>IF(E$6="",0,SUMIFS('Budget ed extra'!$G$7:$G$42,'Budget ed extra'!$J$7:$J$42,$A69,'Budget ed extra'!$H$7:$H$42,E$6))</f>
        <v>0</v>
      </c>
      <c r="W69">
        <f>IF(F$6="",0,SUMIFS('Budget ed extra'!$G$7:$G$42,'Budget ed extra'!$J$7:$J$42,$A69,'Budget ed extra'!$H$7:$H$42,F$6))</f>
        <v>0</v>
      </c>
      <c r="X69">
        <f>IF(G$6="",0,SUMIFS('Budget ed extra'!$G$7:$G$42,'Budget ed extra'!$J$7:$J$42,$A69,'Budget ed extra'!$H$7:$H$42,G$6))</f>
        <v>0</v>
      </c>
      <c r="Y69">
        <f>IF(H$6="",0,SUMIFS('Budget ed extra'!$G$7:$G$42,'Budget ed extra'!$J$7:$J$42,$A69,'Budget ed extra'!$H$7:$H$42,H$6))</f>
        <v>0</v>
      </c>
      <c r="Z69">
        <f>IF(I$6="",0,SUMIFS('Budget ed extra'!$G$7:$G$42,'Budget ed extra'!$J$7:$J$42,$A69,'Budget ed extra'!$H$7:$H$42,I$6))</f>
        <v>0</v>
      </c>
      <c r="AA69">
        <f>IF(J$6="",0,SUMIFS('Budget ed extra'!$G$7:$G$42,'Budget ed extra'!$J$7:$J$42,$A69,'Budget ed extra'!$H$7:$H$42,J$6))</f>
        <v>0</v>
      </c>
      <c r="AB69">
        <f>IF(K$6="",0,SUMIFS('Budget ed extra'!$G$7:$G$42,'Budget ed extra'!$J$7:$J$42,$A69,'Budget ed extra'!$H$7:$H$42,K$6))</f>
        <v>0</v>
      </c>
      <c r="AC69">
        <f>IF(L$6="",0,SUMIFS('Budget ed extra'!$G$7:$G$42,'Budget ed extra'!$J$7:$J$42,$A69,'Budget ed extra'!$H$7:$H$42,L$6))</f>
        <v>0</v>
      </c>
      <c r="AD69">
        <f>IF(M$6="",0,SUMIFS('Budget ed extra'!$G$7:$G$42,'Budget ed extra'!$J$7:$J$42,$A69,'Budget ed extra'!$H$7:$H$42,M$6))</f>
        <v>0</v>
      </c>
      <c r="AE69">
        <f>IF(N$6="",0,SUMIFS('Budget ed extra'!$G$7:$G$42,'Budget ed extra'!$J$7:$J$42,$A69,'Budget ed extra'!$H$7:$H$42,N$6))</f>
        <v>0</v>
      </c>
    </row>
    <row r="70">
      <c r="A70" t="n">
        <v>40</v>
      </c>
      <c r="B70">
        <f>DATE($B$2,$B$3+A70-1,1)</f>
        <v>47515.0</v>
      </c>
      <c r="C70">
        <f>IF(D70=0,N(Impostazioni!$B$6),SUMIFS('Budget ed extra'!$B$7:$B$18,'Budget ed extra'!$D$7:$D$18,D70)/COUNTIFS('Budget ed extra'!$D$7:$D$18,D70))</f>
        <v>900</v>
      </c>
      <c r="D70">
        <f>SUMPRODUCT(MAX(('Budget ed extra'!$D$7:$D$18&lt;=A70)*'Budget ed extra'!$D$7:$D$18))</f>
        <v>9</v>
      </c>
      <c r="E70">
        <f>SUMIFS('Budget ed extra'!$G$7:$G$42,'Budget ed extra'!$J$7:$J$42,A70)</f>
        <v>0</v>
      </c>
      <c r="F70">
        <f>SUM(T70:AE70)</f>
        <v>0</v>
      </c>
      <c r="G70">
        <f>MAX(0,E70-F70)</f>
        <v>0</v>
      </c>
      <c r="H70">
        <f>IF($A70&gt;=C$10,C$11,C$9)/12</f>
        <v>0.01575</v>
      </c>
      <c r="I70">
        <f>IF($A70&gt;=D$10,D$11,D$9)/12</f>
        <v>0.01825</v>
      </c>
      <c r="J70">
        <f>IF($A70&gt;=E$10,E$11,E$9)/12</f>
        <v>0.00766666666666667</v>
      </c>
      <c r="K70">
        <f>IF($A70&gt;=F$10,F$11,F$9)/12</f>
        <v>0.00533333333333333</v>
      </c>
      <c r="L70">
        <f>IF($A70&gt;=G$10,G$11,G$9)/12</f>
        <v>0</v>
      </c>
      <c r="M70">
        <f>IF($A70&gt;=H$10,H$11,H$9)/12</f>
        <v>0</v>
      </c>
      <c r="N70">
        <f>IF($A70&gt;=I$10,I$11,I$9)/12</f>
        <v>0</v>
      </c>
      <c r="O70">
        <f>IF($A70&gt;=J$10,J$11,J$9)/12</f>
        <v>0</v>
      </c>
      <c r="P70">
        <f>IF($A70&gt;=K$10,K$11,K$9)/12</f>
        <v>0</v>
      </c>
      <c r="Q70">
        <f>IF($A70&gt;=L$10,L$11,L$9)/12</f>
        <v>0</v>
      </c>
      <c r="R70">
        <f>IF($A70&gt;=M$10,M$11,M$9)/12</f>
        <v>0</v>
      </c>
      <c r="S70">
        <f>IF($A70&gt;=N$10,N$11,N$9)/12</f>
        <v>0</v>
      </c>
      <c r="T70">
        <f>IF(C$6="",0,SUMIFS('Budget ed extra'!$G$7:$G$42,'Budget ed extra'!$J$7:$J$42,$A70,'Budget ed extra'!$H$7:$H$42,C$6))</f>
        <v>0</v>
      </c>
      <c r="U70">
        <f>IF(D$6="",0,SUMIFS('Budget ed extra'!$G$7:$G$42,'Budget ed extra'!$J$7:$J$42,$A70,'Budget ed extra'!$H$7:$H$42,D$6))</f>
        <v>0</v>
      </c>
      <c r="V70">
        <f>IF(E$6="",0,SUMIFS('Budget ed extra'!$G$7:$G$42,'Budget ed extra'!$J$7:$J$42,$A70,'Budget ed extra'!$H$7:$H$42,E$6))</f>
        <v>0</v>
      </c>
      <c r="W70">
        <f>IF(F$6="",0,SUMIFS('Budget ed extra'!$G$7:$G$42,'Budget ed extra'!$J$7:$J$42,$A70,'Budget ed extra'!$H$7:$H$42,F$6))</f>
        <v>0</v>
      </c>
      <c r="X70">
        <f>IF(G$6="",0,SUMIFS('Budget ed extra'!$G$7:$G$42,'Budget ed extra'!$J$7:$J$42,$A70,'Budget ed extra'!$H$7:$H$42,G$6))</f>
        <v>0</v>
      </c>
      <c r="Y70">
        <f>IF(H$6="",0,SUMIFS('Budget ed extra'!$G$7:$G$42,'Budget ed extra'!$J$7:$J$42,$A70,'Budget ed extra'!$H$7:$H$42,H$6))</f>
        <v>0</v>
      </c>
      <c r="Z70">
        <f>IF(I$6="",0,SUMIFS('Budget ed extra'!$G$7:$G$42,'Budget ed extra'!$J$7:$J$42,$A70,'Budget ed extra'!$H$7:$H$42,I$6))</f>
        <v>0</v>
      </c>
      <c r="AA70">
        <f>IF(J$6="",0,SUMIFS('Budget ed extra'!$G$7:$G$42,'Budget ed extra'!$J$7:$J$42,$A70,'Budget ed extra'!$H$7:$H$42,J$6))</f>
        <v>0</v>
      </c>
      <c r="AB70">
        <f>IF(K$6="",0,SUMIFS('Budget ed extra'!$G$7:$G$42,'Budget ed extra'!$J$7:$J$42,$A70,'Budget ed extra'!$H$7:$H$42,K$6))</f>
        <v>0</v>
      </c>
      <c r="AC70">
        <f>IF(L$6="",0,SUMIFS('Budget ed extra'!$G$7:$G$42,'Budget ed extra'!$J$7:$J$42,$A70,'Budget ed extra'!$H$7:$H$42,L$6))</f>
        <v>0</v>
      </c>
      <c r="AD70">
        <f>IF(M$6="",0,SUMIFS('Budget ed extra'!$G$7:$G$42,'Budget ed extra'!$J$7:$J$42,$A70,'Budget ed extra'!$H$7:$H$42,M$6))</f>
        <v>0</v>
      </c>
      <c r="AE70">
        <f>IF(N$6="",0,SUMIFS('Budget ed extra'!$G$7:$G$42,'Budget ed extra'!$J$7:$J$42,$A70,'Budget ed extra'!$H$7:$H$42,N$6))</f>
        <v>0</v>
      </c>
    </row>
    <row r="71">
      <c r="A71" t="n">
        <v>41</v>
      </c>
      <c r="B71">
        <f>DATE($B$2,$B$3+A71-1,1)</f>
        <v>47543.0</v>
      </c>
      <c r="C71">
        <f>IF(D71=0,N(Impostazioni!$B$6),SUMIFS('Budget ed extra'!$B$7:$B$18,'Budget ed extra'!$D$7:$D$18,D71)/COUNTIFS('Budget ed extra'!$D$7:$D$18,D71))</f>
        <v>900</v>
      </c>
      <c r="D71">
        <f>SUMPRODUCT(MAX(('Budget ed extra'!$D$7:$D$18&lt;=A71)*'Budget ed extra'!$D$7:$D$18))</f>
        <v>9</v>
      </c>
      <c r="E71">
        <f>SUMIFS('Budget ed extra'!$G$7:$G$42,'Budget ed extra'!$J$7:$J$42,A71)</f>
        <v>0</v>
      </c>
      <c r="F71">
        <f>SUM(T71:AE71)</f>
        <v>0</v>
      </c>
      <c r="G71">
        <f>MAX(0,E71-F71)</f>
        <v>0</v>
      </c>
      <c r="H71">
        <f>IF($A71&gt;=C$10,C$11,C$9)/12</f>
        <v>0.01575</v>
      </c>
      <c r="I71">
        <f>IF($A71&gt;=D$10,D$11,D$9)/12</f>
        <v>0.01825</v>
      </c>
      <c r="J71">
        <f>IF($A71&gt;=E$10,E$11,E$9)/12</f>
        <v>0.00766666666666667</v>
      </c>
      <c r="K71">
        <f>IF($A71&gt;=F$10,F$11,F$9)/12</f>
        <v>0.00533333333333333</v>
      </c>
      <c r="L71">
        <f>IF($A71&gt;=G$10,G$11,G$9)/12</f>
        <v>0</v>
      </c>
      <c r="M71">
        <f>IF($A71&gt;=H$10,H$11,H$9)/12</f>
        <v>0</v>
      </c>
      <c r="N71">
        <f>IF($A71&gt;=I$10,I$11,I$9)/12</f>
        <v>0</v>
      </c>
      <c r="O71">
        <f>IF($A71&gt;=J$10,J$11,J$9)/12</f>
        <v>0</v>
      </c>
      <c r="P71">
        <f>IF($A71&gt;=K$10,K$11,K$9)/12</f>
        <v>0</v>
      </c>
      <c r="Q71">
        <f>IF($A71&gt;=L$10,L$11,L$9)/12</f>
        <v>0</v>
      </c>
      <c r="R71">
        <f>IF($A71&gt;=M$10,M$11,M$9)/12</f>
        <v>0</v>
      </c>
      <c r="S71">
        <f>IF($A71&gt;=N$10,N$11,N$9)/12</f>
        <v>0</v>
      </c>
      <c r="T71">
        <f>IF(C$6="",0,SUMIFS('Budget ed extra'!$G$7:$G$42,'Budget ed extra'!$J$7:$J$42,$A71,'Budget ed extra'!$H$7:$H$42,C$6))</f>
        <v>0</v>
      </c>
      <c r="U71">
        <f>IF(D$6="",0,SUMIFS('Budget ed extra'!$G$7:$G$42,'Budget ed extra'!$J$7:$J$42,$A71,'Budget ed extra'!$H$7:$H$42,D$6))</f>
        <v>0</v>
      </c>
      <c r="V71">
        <f>IF(E$6="",0,SUMIFS('Budget ed extra'!$G$7:$G$42,'Budget ed extra'!$J$7:$J$42,$A71,'Budget ed extra'!$H$7:$H$42,E$6))</f>
        <v>0</v>
      </c>
      <c r="W71">
        <f>IF(F$6="",0,SUMIFS('Budget ed extra'!$G$7:$G$42,'Budget ed extra'!$J$7:$J$42,$A71,'Budget ed extra'!$H$7:$H$42,F$6))</f>
        <v>0</v>
      </c>
      <c r="X71">
        <f>IF(G$6="",0,SUMIFS('Budget ed extra'!$G$7:$G$42,'Budget ed extra'!$J$7:$J$42,$A71,'Budget ed extra'!$H$7:$H$42,G$6))</f>
        <v>0</v>
      </c>
      <c r="Y71">
        <f>IF(H$6="",0,SUMIFS('Budget ed extra'!$G$7:$G$42,'Budget ed extra'!$J$7:$J$42,$A71,'Budget ed extra'!$H$7:$H$42,H$6))</f>
        <v>0</v>
      </c>
      <c r="Z71">
        <f>IF(I$6="",0,SUMIFS('Budget ed extra'!$G$7:$G$42,'Budget ed extra'!$J$7:$J$42,$A71,'Budget ed extra'!$H$7:$H$42,I$6))</f>
        <v>0</v>
      </c>
      <c r="AA71">
        <f>IF(J$6="",0,SUMIFS('Budget ed extra'!$G$7:$G$42,'Budget ed extra'!$J$7:$J$42,$A71,'Budget ed extra'!$H$7:$H$42,J$6))</f>
        <v>0</v>
      </c>
      <c r="AB71">
        <f>IF(K$6="",0,SUMIFS('Budget ed extra'!$G$7:$G$42,'Budget ed extra'!$J$7:$J$42,$A71,'Budget ed extra'!$H$7:$H$42,K$6))</f>
        <v>0</v>
      </c>
      <c r="AC71">
        <f>IF(L$6="",0,SUMIFS('Budget ed extra'!$G$7:$G$42,'Budget ed extra'!$J$7:$J$42,$A71,'Budget ed extra'!$H$7:$H$42,L$6))</f>
        <v>0</v>
      </c>
      <c r="AD71">
        <f>IF(M$6="",0,SUMIFS('Budget ed extra'!$G$7:$G$42,'Budget ed extra'!$J$7:$J$42,$A71,'Budget ed extra'!$H$7:$H$42,M$6))</f>
        <v>0</v>
      </c>
      <c r="AE71">
        <f>IF(N$6="",0,SUMIFS('Budget ed extra'!$G$7:$G$42,'Budget ed extra'!$J$7:$J$42,$A71,'Budget ed extra'!$H$7:$H$42,N$6))</f>
        <v>0</v>
      </c>
    </row>
    <row r="72">
      <c r="A72" t="n">
        <v>42</v>
      </c>
      <c r="B72">
        <f>DATE($B$2,$B$3+A72-1,1)</f>
        <v>47574.0</v>
      </c>
      <c r="C72">
        <f>IF(D72=0,N(Impostazioni!$B$6),SUMIFS('Budget ed extra'!$B$7:$B$18,'Budget ed extra'!$D$7:$D$18,D72)/COUNTIFS('Budget ed extra'!$D$7:$D$18,D72))</f>
        <v>900</v>
      </c>
      <c r="D72">
        <f>SUMPRODUCT(MAX(('Budget ed extra'!$D$7:$D$18&lt;=A72)*'Budget ed extra'!$D$7:$D$18))</f>
        <v>9</v>
      </c>
      <c r="E72">
        <f>SUMIFS('Budget ed extra'!$G$7:$G$42,'Budget ed extra'!$J$7:$J$42,A72)</f>
        <v>0</v>
      </c>
      <c r="F72">
        <f>SUM(T72:AE72)</f>
        <v>0</v>
      </c>
      <c r="G72">
        <f>MAX(0,E72-F72)</f>
        <v>0</v>
      </c>
      <c r="H72">
        <f>IF($A72&gt;=C$10,C$11,C$9)/12</f>
        <v>0.01575</v>
      </c>
      <c r="I72">
        <f>IF($A72&gt;=D$10,D$11,D$9)/12</f>
        <v>0.01825</v>
      </c>
      <c r="J72">
        <f>IF($A72&gt;=E$10,E$11,E$9)/12</f>
        <v>0.00766666666666667</v>
      </c>
      <c r="K72">
        <f>IF($A72&gt;=F$10,F$11,F$9)/12</f>
        <v>0.00533333333333333</v>
      </c>
      <c r="L72">
        <f>IF($A72&gt;=G$10,G$11,G$9)/12</f>
        <v>0</v>
      </c>
      <c r="M72">
        <f>IF($A72&gt;=H$10,H$11,H$9)/12</f>
        <v>0</v>
      </c>
      <c r="N72">
        <f>IF($A72&gt;=I$10,I$11,I$9)/12</f>
        <v>0</v>
      </c>
      <c r="O72">
        <f>IF($A72&gt;=J$10,J$11,J$9)/12</f>
        <v>0</v>
      </c>
      <c r="P72">
        <f>IF($A72&gt;=K$10,K$11,K$9)/12</f>
        <v>0</v>
      </c>
      <c r="Q72">
        <f>IF($A72&gt;=L$10,L$11,L$9)/12</f>
        <v>0</v>
      </c>
      <c r="R72">
        <f>IF($A72&gt;=M$10,M$11,M$9)/12</f>
        <v>0</v>
      </c>
      <c r="S72">
        <f>IF($A72&gt;=N$10,N$11,N$9)/12</f>
        <v>0</v>
      </c>
      <c r="T72">
        <f>IF(C$6="",0,SUMIFS('Budget ed extra'!$G$7:$G$42,'Budget ed extra'!$J$7:$J$42,$A72,'Budget ed extra'!$H$7:$H$42,C$6))</f>
        <v>0</v>
      </c>
      <c r="U72">
        <f>IF(D$6="",0,SUMIFS('Budget ed extra'!$G$7:$G$42,'Budget ed extra'!$J$7:$J$42,$A72,'Budget ed extra'!$H$7:$H$42,D$6))</f>
        <v>0</v>
      </c>
      <c r="V72">
        <f>IF(E$6="",0,SUMIFS('Budget ed extra'!$G$7:$G$42,'Budget ed extra'!$J$7:$J$42,$A72,'Budget ed extra'!$H$7:$H$42,E$6))</f>
        <v>0</v>
      </c>
      <c r="W72">
        <f>IF(F$6="",0,SUMIFS('Budget ed extra'!$G$7:$G$42,'Budget ed extra'!$J$7:$J$42,$A72,'Budget ed extra'!$H$7:$H$42,F$6))</f>
        <v>0</v>
      </c>
      <c r="X72">
        <f>IF(G$6="",0,SUMIFS('Budget ed extra'!$G$7:$G$42,'Budget ed extra'!$J$7:$J$42,$A72,'Budget ed extra'!$H$7:$H$42,G$6))</f>
        <v>0</v>
      </c>
      <c r="Y72">
        <f>IF(H$6="",0,SUMIFS('Budget ed extra'!$G$7:$G$42,'Budget ed extra'!$J$7:$J$42,$A72,'Budget ed extra'!$H$7:$H$42,H$6))</f>
        <v>0</v>
      </c>
      <c r="Z72">
        <f>IF(I$6="",0,SUMIFS('Budget ed extra'!$G$7:$G$42,'Budget ed extra'!$J$7:$J$42,$A72,'Budget ed extra'!$H$7:$H$42,I$6))</f>
        <v>0</v>
      </c>
      <c r="AA72">
        <f>IF(J$6="",0,SUMIFS('Budget ed extra'!$G$7:$G$42,'Budget ed extra'!$J$7:$J$42,$A72,'Budget ed extra'!$H$7:$H$42,J$6))</f>
        <v>0</v>
      </c>
      <c r="AB72">
        <f>IF(K$6="",0,SUMIFS('Budget ed extra'!$G$7:$G$42,'Budget ed extra'!$J$7:$J$42,$A72,'Budget ed extra'!$H$7:$H$42,K$6))</f>
        <v>0</v>
      </c>
      <c r="AC72">
        <f>IF(L$6="",0,SUMIFS('Budget ed extra'!$G$7:$G$42,'Budget ed extra'!$J$7:$J$42,$A72,'Budget ed extra'!$H$7:$H$42,L$6))</f>
        <v>0</v>
      </c>
      <c r="AD72">
        <f>IF(M$6="",0,SUMIFS('Budget ed extra'!$G$7:$G$42,'Budget ed extra'!$J$7:$J$42,$A72,'Budget ed extra'!$H$7:$H$42,M$6))</f>
        <v>0</v>
      </c>
      <c r="AE72">
        <f>IF(N$6="",0,SUMIFS('Budget ed extra'!$G$7:$G$42,'Budget ed extra'!$J$7:$J$42,$A72,'Budget ed extra'!$H$7:$H$42,N$6))</f>
        <v>0</v>
      </c>
    </row>
    <row r="73">
      <c r="A73" t="n">
        <v>43</v>
      </c>
      <c r="B73">
        <f>DATE($B$2,$B$3+A73-1,1)</f>
        <v>47604.0</v>
      </c>
      <c r="C73">
        <f>IF(D73=0,N(Impostazioni!$B$6),SUMIFS('Budget ed extra'!$B$7:$B$18,'Budget ed extra'!$D$7:$D$18,D73)/COUNTIFS('Budget ed extra'!$D$7:$D$18,D73))</f>
        <v>900</v>
      </c>
      <c r="D73">
        <f>SUMPRODUCT(MAX(('Budget ed extra'!$D$7:$D$18&lt;=A73)*'Budget ed extra'!$D$7:$D$18))</f>
        <v>9</v>
      </c>
      <c r="E73">
        <f>SUMIFS('Budget ed extra'!$G$7:$G$42,'Budget ed extra'!$J$7:$J$42,A73)</f>
        <v>0</v>
      </c>
      <c r="F73">
        <f>SUM(T73:AE73)</f>
        <v>0</v>
      </c>
      <c r="G73">
        <f>MAX(0,E73-F73)</f>
        <v>0</v>
      </c>
      <c r="H73">
        <f>IF($A73&gt;=C$10,C$11,C$9)/12</f>
        <v>0.01575</v>
      </c>
      <c r="I73">
        <f>IF($A73&gt;=D$10,D$11,D$9)/12</f>
        <v>0.01825</v>
      </c>
      <c r="J73">
        <f>IF($A73&gt;=E$10,E$11,E$9)/12</f>
        <v>0.00766666666666667</v>
      </c>
      <c r="K73">
        <f>IF($A73&gt;=F$10,F$11,F$9)/12</f>
        <v>0.00533333333333333</v>
      </c>
      <c r="L73">
        <f>IF($A73&gt;=G$10,G$11,G$9)/12</f>
        <v>0</v>
      </c>
      <c r="M73">
        <f>IF($A73&gt;=H$10,H$11,H$9)/12</f>
        <v>0</v>
      </c>
      <c r="N73">
        <f>IF($A73&gt;=I$10,I$11,I$9)/12</f>
        <v>0</v>
      </c>
      <c r="O73">
        <f>IF($A73&gt;=J$10,J$11,J$9)/12</f>
        <v>0</v>
      </c>
      <c r="P73">
        <f>IF($A73&gt;=K$10,K$11,K$9)/12</f>
        <v>0</v>
      </c>
      <c r="Q73">
        <f>IF($A73&gt;=L$10,L$11,L$9)/12</f>
        <v>0</v>
      </c>
      <c r="R73">
        <f>IF($A73&gt;=M$10,M$11,M$9)/12</f>
        <v>0</v>
      </c>
      <c r="S73">
        <f>IF($A73&gt;=N$10,N$11,N$9)/12</f>
        <v>0</v>
      </c>
      <c r="T73">
        <f>IF(C$6="",0,SUMIFS('Budget ed extra'!$G$7:$G$42,'Budget ed extra'!$J$7:$J$42,$A73,'Budget ed extra'!$H$7:$H$42,C$6))</f>
        <v>0</v>
      </c>
      <c r="U73">
        <f>IF(D$6="",0,SUMIFS('Budget ed extra'!$G$7:$G$42,'Budget ed extra'!$J$7:$J$42,$A73,'Budget ed extra'!$H$7:$H$42,D$6))</f>
        <v>0</v>
      </c>
      <c r="V73">
        <f>IF(E$6="",0,SUMIFS('Budget ed extra'!$G$7:$G$42,'Budget ed extra'!$J$7:$J$42,$A73,'Budget ed extra'!$H$7:$H$42,E$6))</f>
        <v>0</v>
      </c>
      <c r="W73">
        <f>IF(F$6="",0,SUMIFS('Budget ed extra'!$G$7:$G$42,'Budget ed extra'!$J$7:$J$42,$A73,'Budget ed extra'!$H$7:$H$42,F$6))</f>
        <v>0</v>
      </c>
      <c r="X73">
        <f>IF(G$6="",0,SUMIFS('Budget ed extra'!$G$7:$G$42,'Budget ed extra'!$J$7:$J$42,$A73,'Budget ed extra'!$H$7:$H$42,G$6))</f>
        <v>0</v>
      </c>
      <c r="Y73">
        <f>IF(H$6="",0,SUMIFS('Budget ed extra'!$G$7:$G$42,'Budget ed extra'!$J$7:$J$42,$A73,'Budget ed extra'!$H$7:$H$42,H$6))</f>
        <v>0</v>
      </c>
      <c r="Z73">
        <f>IF(I$6="",0,SUMIFS('Budget ed extra'!$G$7:$G$42,'Budget ed extra'!$J$7:$J$42,$A73,'Budget ed extra'!$H$7:$H$42,I$6))</f>
        <v>0</v>
      </c>
      <c r="AA73">
        <f>IF(J$6="",0,SUMIFS('Budget ed extra'!$G$7:$G$42,'Budget ed extra'!$J$7:$J$42,$A73,'Budget ed extra'!$H$7:$H$42,J$6))</f>
        <v>0</v>
      </c>
      <c r="AB73">
        <f>IF(K$6="",0,SUMIFS('Budget ed extra'!$G$7:$G$42,'Budget ed extra'!$J$7:$J$42,$A73,'Budget ed extra'!$H$7:$H$42,K$6))</f>
        <v>0</v>
      </c>
      <c r="AC73">
        <f>IF(L$6="",0,SUMIFS('Budget ed extra'!$G$7:$G$42,'Budget ed extra'!$J$7:$J$42,$A73,'Budget ed extra'!$H$7:$H$42,L$6))</f>
        <v>0</v>
      </c>
      <c r="AD73">
        <f>IF(M$6="",0,SUMIFS('Budget ed extra'!$G$7:$G$42,'Budget ed extra'!$J$7:$J$42,$A73,'Budget ed extra'!$H$7:$H$42,M$6))</f>
        <v>0</v>
      </c>
      <c r="AE73">
        <f>IF(N$6="",0,SUMIFS('Budget ed extra'!$G$7:$G$42,'Budget ed extra'!$J$7:$J$42,$A73,'Budget ed extra'!$H$7:$H$42,N$6))</f>
        <v>0</v>
      </c>
    </row>
    <row r="74">
      <c r="A74" t="n">
        <v>44</v>
      </c>
      <c r="B74">
        <f>DATE($B$2,$B$3+A74-1,1)</f>
        <v>47635.0</v>
      </c>
      <c r="C74">
        <f>IF(D74=0,N(Impostazioni!$B$6),SUMIFS('Budget ed extra'!$B$7:$B$18,'Budget ed extra'!$D$7:$D$18,D74)/COUNTIFS('Budget ed extra'!$D$7:$D$18,D74))</f>
        <v>900</v>
      </c>
      <c r="D74">
        <f>SUMPRODUCT(MAX(('Budget ed extra'!$D$7:$D$18&lt;=A74)*'Budget ed extra'!$D$7:$D$18))</f>
        <v>9</v>
      </c>
      <c r="E74">
        <f>SUMIFS('Budget ed extra'!$G$7:$G$42,'Budget ed extra'!$J$7:$J$42,A74)</f>
        <v>0</v>
      </c>
      <c r="F74">
        <f>SUM(T74:AE74)</f>
        <v>0</v>
      </c>
      <c r="G74">
        <f>MAX(0,E74-F74)</f>
        <v>0</v>
      </c>
      <c r="H74">
        <f>IF($A74&gt;=C$10,C$11,C$9)/12</f>
        <v>0.01575</v>
      </c>
      <c r="I74">
        <f>IF($A74&gt;=D$10,D$11,D$9)/12</f>
        <v>0.01825</v>
      </c>
      <c r="J74">
        <f>IF($A74&gt;=E$10,E$11,E$9)/12</f>
        <v>0.00766666666666667</v>
      </c>
      <c r="K74">
        <f>IF($A74&gt;=F$10,F$11,F$9)/12</f>
        <v>0.00533333333333333</v>
      </c>
      <c r="L74">
        <f>IF($A74&gt;=G$10,G$11,G$9)/12</f>
        <v>0</v>
      </c>
      <c r="M74">
        <f>IF($A74&gt;=H$10,H$11,H$9)/12</f>
        <v>0</v>
      </c>
      <c r="N74">
        <f>IF($A74&gt;=I$10,I$11,I$9)/12</f>
        <v>0</v>
      </c>
      <c r="O74">
        <f>IF($A74&gt;=J$10,J$11,J$9)/12</f>
        <v>0</v>
      </c>
      <c r="P74">
        <f>IF($A74&gt;=K$10,K$11,K$9)/12</f>
        <v>0</v>
      </c>
      <c r="Q74">
        <f>IF($A74&gt;=L$10,L$11,L$9)/12</f>
        <v>0</v>
      </c>
      <c r="R74">
        <f>IF($A74&gt;=M$10,M$11,M$9)/12</f>
        <v>0</v>
      </c>
      <c r="S74">
        <f>IF($A74&gt;=N$10,N$11,N$9)/12</f>
        <v>0</v>
      </c>
      <c r="T74">
        <f>IF(C$6="",0,SUMIFS('Budget ed extra'!$G$7:$G$42,'Budget ed extra'!$J$7:$J$42,$A74,'Budget ed extra'!$H$7:$H$42,C$6))</f>
        <v>0</v>
      </c>
      <c r="U74">
        <f>IF(D$6="",0,SUMIFS('Budget ed extra'!$G$7:$G$42,'Budget ed extra'!$J$7:$J$42,$A74,'Budget ed extra'!$H$7:$H$42,D$6))</f>
        <v>0</v>
      </c>
      <c r="V74">
        <f>IF(E$6="",0,SUMIFS('Budget ed extra'!$G$7:$G$42,'Budget ed extra'!$J$7:$J$42,$A74,'Budget ed extra'!$H$7:$H$42,E$6))</f>
        <v>0</v>
      </c>
      <c r="W74">
        <f>IF(F$6="",0,SUMIFS('Budget ed extra'!$G$7:$G$42,'Budget ed extra'!$J$7:$J$42,$A74,'Budget ed extra'!$H$7:$H$42,F$6))</f>
        <v>0</v>
      </c>
      <c r="X74">
        <f>IF(G$6="",0,SUMIFS('Budget ed extra'!$G$7:$G$42,'Budget ed extra'!$J$7:$J$42,$A74,'Budget ed extra'!$H$7:$H$42,G$6))</f>
        <v>0</v>
      </c>
      <c r="Y74">
        <f>IF(H$6="",0,SUMIFS('Budget ed extra'!$G$7:$G$42,'Budget ed extra'!$J$7:$J$42,$A74,'Budget ed extra'!$H$7:$H$42,H$6))</f>
        <v>0</v>
      </c>
      <c r="Z74">
        <f>IF(I$6="",0,SUMIFS('Budget ed extra'!$G$7:$G$42,'Budget ed extra'!$J$7:$J$42,$A74,'Budget ed extra'!$H$7:$H$42,I$6))</f>
        <v>0</v>
      </c>
      <c r="AA74">
        <f>IF(J$6="",0,SUMIFS('Budget ed extra'!$G$7:$G$42,'Budget ed extra'!$J$7:$J$42,$A74,'Budget ed extra'!$H$7:$H$42,J$6))</f>
        <v>0</v>
      </c>
      <c r="AB74">
        <f>IF(K$6="",0,SUMIFS('Budget ed extra'!$G$7:$G$42,'Budget ed extra'!$J$7:$J$42,$A74,'Budget ed extra'!$H$7:$H$42,K$6))</f>
        <v>0</v>
      </c>
      <c r="AC74">
        <f>IF(L$6="",0,SUMIFS('Budget ed extra'!$G$7:$G$42,'Budget ed extra'!$J$7:$J$42,$A74,'Budget ed extra'!$H$7:$H$42,L$6))</f>
        <v>0</v>
      </c>
      <c r="AD74">
        <f>IF(M$6="",0,SUMIFS('Budget ed extra'!$G$7:$G$42,'Budget ed extra'!$J$7:$J$42,$A74,'Budget ed extra'!$H$7:$H$42,M$6))</f>
        <v>0</v>
      </c>
      <c r="AE74">
        <f>IF(N$6="",0,SUMIFS('Budget ed extra'!$G$7:$G$42,'Budget ed extra'!$J$7:$J$42,$A74,'Budget ed extra'!$H$7:$H$42,N$6))</f>
        <v>0</v>
      </c>
    </row>
    <row r="75">
      <c r="A75" t="n">
        <v>45</v>
      </c>
      <c r="B75">
        <f>DATE($B$2,$B$3+A75-1,1)</f>
        <v>47665.0</v>
      </c>
      <c r="C75">
        <f>IF(D75=0,N(Impostazioni!$B$6),SUMIFS('Budget ed extra'!$B$7:$B$18,'Budget ed extra'!$D$7:$D$18,D75)/COUNTIFS('Budget ed extra'!$D$7:$D$18,D75))</f>
        <v>900</v>
      </c>
      <c r="D75">
        <f>SUMPRODUCT(MAX(('Budget ed extra'!$D$7:$D$18&lt;=A75)*'Budget ed extra'!$D$7:$D$18))</f>
        <v>9</v>
      </c>
      <c r="E75">
        <f>SUMIFS('Budget ed extra'!$G$7:$G$42,'Budget ed extra'!$J$7:$J$42,A75)</f>
        <v>0</v>
      </c>
      <c r="F75">
        <f>SUM(T75:AE75)</f>
        <v>0</v>
      </c>
      <c r="G75">
        <f>MAX(0,E75-F75)</f>
        <v>0</v>
      </c>
      <c r="H75">
        <f>IF($A75&gt;=C$10,C$11,C$9)/12</f>
        <v>0.01575</v>
      </c>
      <c r="I75">
        <f>IF($A75&gt;=D$10,D$11,D$9)/12</f>
        <v>0.01825</v>
      </c>
      <c r="J75">
        <f>IF($A75&gt;=E$10,E$11,E$9)/12</f>
        <v>0.00766666666666667</v>
      </c>
      <c r="K75">
        <f>IF($A75&gt;=F$10,F$11,F$9)/12</f>
        <v>0.00533333333333333</v>
      </c>
      <c r="L75">
        <f>IF($A75&gt;=G$10,G$11,G$9)/12</f>
        <v>0</v>
      </c>
      <c r="M75">
        <f>IF($A75&gt;=H$10,H$11,H$9)/12</f>
        <v>0</v>
      </c>
      <c r="N75">
        <f>IF($A75&gt;=I$10,I$11,I$9)/12</f>
        <v>0</v>
      </c>
      <c r="O75">
        <f>IF($A75&gt;=J$10,J$11,J$9)/12</f>
        <v>0</v>
      </c>
      <c r="P75">
        <f>IF($A75&gt;=K$10,K$11,K$9)/12</f>
        <v>0</v>
      </c>
      <c r="Q75">
        <f>IF($A75&gt;=L$10,L$11,L$9)/12</f>
        <v>0</v>
      </c>
      <c r="R75">
        <f>IF($A75&gt;=M$10,M$11,M$9)/12</f>
        <v>0</v>
      </c>
      <c r="S75">
        <f>IF($A75&gt;=N$10,N$11,N$9)/12</f>
        <v>0</v>
      </c>
      <c r="T75">
        <f>IF(C$6="",0,SUMIFS('Budget ed extra'!$G$7:$G$42,'Budget ed extra'!$J$7:$J$42,$A75,'Budget ed extra'!$H$7:$H$42,C$6))</f>
        <v>0</v>
      </c>
      <c r="U75">
        <f>IF(D$6="",0,SUMIFS('Budget ed extra'!$G$7:$G$42,'Budget ed extra'!$J$7:$J$42,$A75,'Budget ed extra'!$H$7:$H$42,D$6))</f>
        <v>0</v>
      </c>
      <c r="V75">
        <f>IF(E$6="",0,SUMIFS('Budget ed extra'!$G$7:$G$42,'Budget ed extra'!$J$7:$J$42,$A75,'Budget ed extra'!$H$7:$H$42,E$6))</f>
        <v>0</v>
      </c>
      <c r="W75">
        <f>IF(F$6="",0,SUMIFS('Budget ed extra'!$G$7:$G$42,'Budget ed extra'!$J$7:$J$42,$A75,'Budget ed extra'!$H$7:$H$42,F$6))</f>
        <v>0</v>
      </c>
      <c r="X75">
        <f>IF(G$6="",0,SUMIFS('Budget ed extra'!$G$7:$G$42,'Budget ed extra'!$J$7:$J$42,$A75,'Budget ed extra'!$H$7:$H$42,G$6))</f>
        <v>0</v>
      </c>
      <c r="Y75">
        <f>IF(H$6="",0,SUMIFS('Budget ed extra'!$G$7:$G$42,'Budget ed extra'!$J$7:$J$42,$A75,'Budget ed extra'!$H$7:$H$42,H$6))</f>
        <v>0</v>
      </c>
      <c r="Z75">
        <f>IF(I$6="",0,SUMIFS('Budget ed extra'!$G$7:$G$42,'Budget ed extra'!$J$7:$J$42,$A75,'Budget ed extra'!$H$7:$H$42,I$6))</f>
        <v>0</v>
      </c>
      <c r="AA75">
        <f>IF(J$6="",0,SUMIFS('Budget ed extra'!$G$7:$G$42,'Budget ed extra'!$J$7:$J$42,$A75,'Budget ed extra'!$H$7:$H$42,J$6))</f>
        <v>0</v>
      </c>
      <c r="AB75">
        <f>IF(K$6="",0,SUMIFS('Budget ed extra'!$G$7:$G$42,'Budget ed extra'!$J$7:$J$42,$A75,'Budget ed extra'!$H$7:$H$42,K$6))</f>
        <v>0</v>
      </c>
      <c r="AC75">
        <f>IF(L$6="",0,SUMIFS('Budget ed extra'!$G$7:$G$42,'Budget ed extra'!$J$7:$J$42,$A75,'Budget ed extra'!$H$7:$H$42,L$6))</f>
        <v>0</v>
      </c>
      <c r="AD75">
        <f>IF(M$6="",0,SUMIFS('Budget ed extra'!$G$7:$G$42,'Budget ed extra'!$J$7:$J$42,$A75,'Budget ed extra'!$H$7:$H$42,M$6))</f>
        <v>0</v>
      </c>
      <c r="AE75">
        <f>IF(N$6="",0,SUMIFS('Budget ed extra'!$G$7:$G$42,'Budget ed extra'!$J$7:$J$42,$A75,'Budget ed extra'!$H$7:$H$42,N$6))</f>
        <v>0</v>
      </c>
    </row>
    <row r="76">
      <c r="A76" t="n">
        <v>46</v>
      </c>
      <c r="B76">
        <f>DATE($B$2,$B$3+A76-1,1)</f>
        <v>47696.0</v>
      </c>
      <c r="C76">
        <f>IF(D76=0,N(Impostazioni!$B$6),SUMIFS('Budget ed extra'!$B$7:$B$18,'Budget ed extra'!$D$7:$D$18,D76)/COUNTIFS('Budget ed extra'!$D$7:$D$18,D76))</f>
        <v>900</v>
      </c>
      <c r="D76">
        <f>SUMPRODUCT(MAX(('Budget ed extra'!$D$7:$D$18&lt;=A76)*'Budget ed extra'!$D$7:$D$18))</f>
        <v>9</v>
      </c>
      <c r="E76">
        <f>SUMIFS('Budget ed extra'!$G$7:$G$42,'Budget ed extra'!$J$7:$J$42,A76)</f>
        <v>0</v>
      </c>
      <c r="F76">
        <f>SUM(T76:AE76)</f>
        <v>0</v>
      </c>
      <c r="G76">
        <f>MAX(0,E76-F76)</f>
        <v>0</v>
      </c>
      <c r="H76">
        <f>IF($A76&gt;=C$10,C$11,C$9)/12</f>
        <v>0.01575</v>
      </c>
      <c r="I76">
        <f>IF($A76&gt;=D$10,D$11,D$9)/12</f>
        <v>0.01825</v>
      </c>
      <c r="J76">
        <f>IF($A76&gt;=E$10,E$11,E$9)/12</f>
        <v>0.00766666666666667</v>
      </c>
      <c r="K76">
        <f>IF($A76&gt;=F$10,F$11,F$9)/12</f>
        <v>0.00533333333333333</v>
      </c>
      <c r="L76">
        <f>IF($A76&gt;=G$10,G$11,G$9)/12</f>
        <v>0</v>
      </c>
      <c r="M76">
        <f>IF($A76&gt;=H$10,H$11,H$9)/12</f>
        <v>0</v>
      </c>
      <c r="N76">
        <f>IF($A76&gt;=I$10,I$11,I$9)/12</f>
        <v>0</v>
      </c>
      <c r="O76">
        <f>IF($A76&gt;=J$10,J$11,J$9)/12</f>
        <v>0</v>
      </c>
      <c r="P76">
        <f>IF($A76&gt;=K$10,K$11,K$9)/12</f>
        <v>0</v>
      </c>
      <c r="Q76">
        <f>IF($A76&gt;=L$10,L$11,L$9)/12</f>
        <v>0</v>
      </c>
      <c r="R76">
        <f>IF($A76&gt;=M$10,M$11,M$9)/12</f>
        <v>0</v>
      </c>
      <c r="S76">
        <f>IF($A76&gt;=N$10,N$11,N$9)/12</f>
        <v>0</v>
      </c>
      <c r="T76">
        <f>IF(C$6="",0,SUMIFS('Budget ed extra'!$G$7:$G$42,'Budget ed extra'!$J$7:$J$42,$A76,'Budget ed extra'!$H$7:$H$42,C$6))</f>
        <v>0</v>
      </c>
      <c r="U76">
        <f>IF(D$6="",0,SUMIFS('Budget ed extra'!$G$7:$G$42,'Budget ed extra'!$J$7:$J$42,$A76,'Budget ed extra'!$H$7:$H$42,D$6))</f>
        <v>0</v>
      </c>
      <c r="V76">
        <f>IF(E$6="",0,SUMIFS('Budget ed extra'!$G$7:$G$42,'Budget ed extra'!$J$7:$J$42,$A76,'Budget ed extra'!$H$7:$H$42,E$6))</f>
        <v>0</v>
      </c>
      <c r="W76">
        <f>IF(F$6="",0,SUMIFS('Budget ed extra'!$G$7:$G$42,'Budget ed extra'!$J$7:$J$42,$A76,'Budget ed extra'!$H$7:$H$42,F$6))</f>
        <v>0</v>
      </c>
      <c r="X76">
        <f>IF(G$6="",0,SUMIFS('Budget ed extra'!$G$7:$G$42,'Budget ed extra'!$J$7:$J$42,$A76,'Budget ed extra'!$H$7:$H$42,G$6))</f>
        <v>0</v>
      </c>
      <c r="Y76">
        <f>IF(H$6="",0,SUMIFS('Budget ed extra'!$G$7:$G$42,'Budget ed extra'!$J$7:$J$42,$A76,'Budget ed extra'!$H$7:$H$42,H$6))</f>
        <v>0</v>
      </c>
      <c r="Z76">
        <f>IF(I$6="",0,SUMIFS('Budget ed extra'!$G$7:$G$42,'Budget ed extra'!$J$7:$J$42,$A76,'Budget ed extra'!$H$7:$H$42,I$6))</f>
        <v>0</v>
      </c>
      <c r="AA76">
        <f>IF(J$6="",0,SUMIFS('Budget ed extra'!$G$7:$G$42,'Budget ed extra'!$J$7:$J$42,$A76,'Budget ed extra'!$H$7:$H$42,J$6))</f>
        <v>0</v>
      </c>
      <c r="AB76">
        <f>IF(K$6="",0,SUMIFS('Budget ed extra'!$G$7:$G$42,'Budget ed extra'!$J$7:$J$42,$A76,'Budget ed extra'!$H$7:$H$42,K$6))</f>
        <v>0</v>
      </c>
      <c r="AC76">
        <f>IF(L$6="",0,SUMIFS('Budget ed extra'!$G$7:$G$42,'Budget ed extra'!$J$7:$J$42,$A76,'Budget ed extra'!$H$7:$H$42,L$6))</f>
        <v>0</v>
      </c>
      <c r="AD76">
        <f>IF(M$6="",0,SUMIFS('Budget ed extra'!$G$7:$G$42,'Budget ed extra'!$J$7:$J$42,$A76,'Budget ed extra'!$H$7:$H$42,M$6))</f>
        <v>0</v>
      </c>
      <c r="AE76">
        <f>IF(N$6="",0,SUMIFS('Budget ed extra'!$G$7:$G$42,'Budget ed extra'!$J$7:$J$42,$A76,'Budget ed extra'!$H$7:$H$42,N$6))</f>
        <v>0</v>
      </c>
    </row>
    <row r="77">
      <c r="A77" t="n">
        <v>47</v>
      </c>
      <c r="B77">
        <f>DATE($B$2,$B$3+A77-1,1)</f>
        <v>47727.0</v>
      </c>
      <c r="C77">
        <f>IF(D77=0,N(Impostazioni!$B$6),SUMIFS('Budget ed extra'!$B$7:$B$18,'Budget ed extra'!$D$7:$D$18,D77)/COUNTIFS('Budget ed extra'!$D$7:$D$18,D77))</f>
        <v>900</v>
      </c>
      <c r="D77">
        <f>SUMPRODUCT(MAX(('Budget ed extra'!$D$7:$D$18&lt;=A77)*'Budget ed extra'!$D$7:$D$18))</f>
        <v>9</v>
      </c>
      <c r="E77">
        <f>SUMIFS('Budget ed extra'!$G$7:$G$42,'Budget ed extra'!$J$7:$J$42,A77)</f>
        <v>0</v>
      </c>
      <c r="F77">
        <f>SUM(T77:AE77)</f>
        <v>0</v>
      </c>
      <c r="G77">
        <f>MAX(0,E77-F77)</f>
        <v>0</v>
      </c>
      <c r="H77">
        <f>IF($A77&gt;=C$10,C$11,C$9)/12</f>
        <v>0.01575</v>
      </c>
      <c r="I77">
        <f>IF($A77&gt;=D$10,D$11,D$9)/12</f>
        <v>0.01825</v>
      </c>
      <c r="J77">
        <f>IF($A77&gt;=E$10,E$11,E$9)/12</f>
        <v>0.00766666666666667</v>
      </c>
      <c r="K77">
        <f>IF($A77&gt;=F$10,F$11,F$9)/12</f>
        <v>0.00533333333333333</v>
      </c>
      <c r="L77">
        <f>IF($A77&gt;=G$10,G$11,G$9)/12</f>
        <v>0</v>
      </c>
      <c r="M77">
        <f>IF($A77&gt;=H$10,H$11,H$9)/12</f>
        <v>0</v>
      </c>
      <c r="N77">
        <f>IF($A77&gt;=I$10,I$11,I$9)/12</f>
        <v>0</v>
      </c>
      <c r="O77">
        <f>IF($A77&gt;=J$10,J$11,J$9)/12</f>
        <v>0</v>
      </c>
      <c r="P77">
        <f>IF($A77&gt;=K$10,K$11,K$9)/12</f>
        <v>0</v>
      </c>
      <c r="Q77">
        <f>IF($A77&gt;=L$10,L$11,L$9)/12</f>
        <v>0</v>
      </c>
      <c r="R77">
        <f>IF($A77&gt;=M$10,M$11,M$9)/12</f>
        <v>0</v>
      </c>
      <c r="S77">
        <f>IF($A77&gt;=N$10,N$11,N$9)/12</f>
        <v>0</v>
      </c>
      <c r="T77">
        <f>IF(C$6="",0,SUMIFS('Budget ed extra'!$G$7:$G$42,'Budget ed extra'!$J$7:$J$42,$A77,'Budget ed extra'!$H$7:$H$42,C$6))</f>
        <v>0</v>
      </c>
      <c r="U77">
        <f>IF(D$6="",0,SUMIFS('Budget ed extra'!$G$7:$G$42,'Budget ed extra'!$J$7:$J$42,$A77,'Budget ed extra'!$H$7:$H$42,D$6))</f>
        <v>0</v>
      </c>
      <c r="V77">
        <f>IF(E$6="",0,SUMIFS('Budget ed extra'!$G$7:$G$42,'Budget ed extra'!$J$7:$J$42,$A77,'Budget ed extra'!$H$7:$H$42,E$6))</f>
        <v>0</v>
      </c>
      <c r="W77">
        <f>IF(F$6="",0,SUMIFS('Budget ed extra'!$G$7:$G$42,'Budget ed extra'!$J$7:$J$42,$A77,'Budget ed extra'!$H$7:$H$42,F$6))</f>
        <v>0</v>
      </c>
      <c r="X77">
        <f>IF(G$6="",0,SUMIFS('Budget ed extra'!$G$7:$G$42,'Budget ed extra'!$J$7:$J$42,$A77,'Budget ed extra'!$H$7:$H$42,G$6))</f>
        <v>0</v>
      </c>
      <c r="Y77">
        <f>IF(H$6="",0,SUMIFS('Budget ed extra'!$G$7:$G$42,'Budget ed extra'!$J$7:$J$42,$A77,'Budget ed extra'!$H$7:$H$42,H$6))</f>
        <v>0</v>
      </c>
      <c r="Z77">
        <f>IF(I$6="",0,SUMIFS('Budget ed extra'!$G$7:$G$42,'Budget ed extra'!$J$7:$J$42,$A77,'Budget ed extra'!$H$7:$H$42,I$6))</f>
        <v>0</v>
      </c>
      <c r="AA77">
        <f>IF(J$6="",0,SUMIFS('Budget ed extra'!$G$7:$G$42,'Budget ed extra'!$J$7:$J$42,$A77,'Budget ed extra'!$H$7:$H$42,J$6))</f>
        <v>0</v>
      </c>
      <c r="AB77">
        <f>IF(K$6="",0,SUMIFS('Budget ed extra'!$G$7:$G$42,'Budget ed extra'!$J$7:$J$42,$A77,'Budget ed extra'!$H$7:$H$42,K$6))</f>
        <v>0</v>
      </c>
      <c r="AC77">
        <f>IF(L$6="",0,SUMIFS('Budget ed extra'!$G$7:$G$42,'Budget ed extra'!$J$7:$J$42,$A77,'Budget ed extra'!$H$7:$H$42,L$6))</f>
        <v>0</v>
      </c>
      <c r="AD77">
        <f>IF(M$6="",0,SUMIFS('Budget ed extra'!$G$7:$G$42,'Budget ed extra'!$J$7:$J$42,$A77,'Budget ed extra'!$H$7:$H$42,M$6))</f>
        <v>0</v>
      </c>
      <c r="AE77">
        <f>IF(N$6="",0,SUMIFS('Budget ed extra'!$G$7:$G$42,'Budget ed extra'!$J$7:$J$42,$A77,'Budget ed extra'!$H$7:$H$42,N$6))</f>
        <v>0</v>
      </c>
    </row>
    <row r="78">
      <c r="A78" t="n">
        <v>48</v>
      </c>
      <c r="B78">
        <f>DATE($B$2,$B$3+A78-1,1)</f>
        <v>47757.0</v>
      </c>
      <c r="C78">
        <f>IF(D78=0,N(Impostazioni!$B$6),SUMIFS('Budget ed extra'!$B$7:$B$18,'Budget ed extra'!$D$7:$D$18,D78)/COUNTIFS('Budget ed extra'!$D$7:$D$18,D78))</f>
        <v>900</v>
      </c>
      <c r="D78">
        <f>SUMPRODUCT(MAX(('Budget ed extra'!$D$7:$D$18&lt;=A78)*'Budget ed extra'!$D$7:$D$18))</f>
        <v>9</v>
      </c>
      <c r="E78">
        <f>SUMIFS('Budget ed extra'!$G$7:$G$42,'Budget ed extra'!$J$7:$J$42,A78)</f>
        <v>0</v>
      </c>
      <c r="F78">
        <f>SUM(T78:AE78)</f>
        <v>0</v>
      </c>
      <c r="G78">
        <f>MAX(0,E78-F78)</f>
        <v>0</v>
      </c>
      <c r="H78">
        <f>IF($A78&gt;=C$10,C$11,C$9)/12</f>
        <v>0.01575</v>
      </c>
      <c r="I78">
        <f>IF($A78&gt;=D$10,D$11,D$9)/12</f>
        <v>0.01825</v>
      </c>
      <c r="J78">
        <f>IF($A78&gt;=E$10,E$11,E$9)/12</f>
        <v>0.00766666666666667</v>
      </c>
      <c r="K78">
        <f>IF($A78&gt;=F$10,F$11,F$9)/12</f>
        <v>0.00533333333333333</v>
      </c>
      <c r="L78">
        <f>IF($A78&gt;=G$10,G$11,G$9)/12</f>
        <v>0</v>
      </c>
      <c r="M78">
        <f>IF($A78&gt;=H$10,H$11,H$9)/12</f>
        <v>0</v>
      </c>
      <c r="N78">
        <f>IF($A78&gt;=I$10,I$11,I$9)/12</f>
        <v>0</v>
      </c>
      <c r="O78">
        <f>IF($A78&gt;=J$10,J$11,J$9)/12</f>
        <v>0</v>
      </c>
      <c r="P78">
        <f>IF($A78&gt;=K$10,K$11,K$9)/12</f>
        <v>0</v>
      </c>
      <c r="Q78">
        <f>IF($A78&gt;=L$10,L$11,L$9)/12</f>
        <v>0</v>
      </c>
      <c r="R78">
        <f>IF($A78&gt;=M$10,M$11,M$9)/12</f>
        <v>0</v>
      </c>
      <c r="S78">
        <f>IF($A78&gt;=N$10,N$11,N$9)/12</f>
        <v>0</v>
      </c>
      <c r="T78">
        <f>IF(C$6="",0,SUMIFS('Budget ed extra'!$G$7:$G$42,'Budget ed extra'!$J$7:$J$42,$A78,'Budget ed extra'!$H$7:$H$42,C$6))</f>
        <v>0</v>
      </c>
      <c r="U78">
        <f>IF(D$6="",0,SUMIFS('Budget ed extra'!$G$7:$G$42,'Budget ed extra'!$J$7:$J$42,$A78,'Budget ed extra'!$H$7:$H$42,D$6))</f>
        <v>0</v>
      </c>
      <c r="V78">
        <f>IF(E$6="",0,SUMIFS('Budget ed extra'!$G$7:$G$42,'Budget ed extra'!$J$7:$J$42,$A78,'Budget ed extra'!$H$7:$H$42,E$6))</f>
        <v>0</v>
      </c>
      <c r="W78">
        <f>IF(F$6="",0,SUMIFS('Budget ed extra'!$G$7:$G$42,'Budget ed extra'!$J$7:$J$42,$A78,'Budget ed extra'!$H$7:$H$42,F$6))</f>
        <v>0</v>
      </c>
      <c r="X78">
        <f>IF(G$6="",0,SUMIFS('Budget ed extra'!$G$7:$G$42,'Budget ed extra'!$J$7:$J$42,$A78,'Budget ed extra'!$H$7:$H$42,G$6))</f>
        <v>0</v>
      </c>
      <c r="Y78">
        <f>IF(H$6="",0,SUMIFS('Budget ed extra'!$G$7:$G$42,'Budget ed extra'!$J$7:$J$42,$A78,'Budget ed extra'!$H$7:$H$42,H$6))</f>
        <v>0</v>
      </c>
      <c r="Z78">
        <f>IF(I$6="",0,SUMIFS('Budget ed extra'!$G$7:$G$42,'Budget ed extra'!$J$7:$J$42,$A78,'Budget ed extra'!$H$7:$H$42,I$6))</f>
        <v>0</v>
      </c>
      <c r="AA78">
        <f>IF(J$6="",0,SUMIFS('Budget ed extra'!$G$7:$G$42,'Budget ed extra'!$J$7:$J$42,$A78,'Budget ed extra'!$H$7:$H$42,J$6))</f>
        <v>0</v>
      </c>
      <c r="AB78">
        <f>IF(K$6="",0,SUMIFS('Budget ed extra'!$G$7:$G$42,'Budget ed extra'!$J$7:$J$42,$A78,'Budget ed extra'!$H$7:$H$42,K$6))</f>
        <v>0</v>
      </c>
      <c r="AC78">
        <f>IF(L$6="",0,SUMIFS('Budget ed extra'!$G$7:$G$42,'Budget ed extra'!$J$7:$J$42,$A78,'Budget ed extra'!$H$7:$H$42,L$6))</f>
        <v>0</v>
      </c>
      <c r="AD78">
        <f>IF(M$6="",0,SUMIFS('Budget ed extra'!$G$7:$G$42,'Budget ed extra'!$J$7:$J$42,$A78,'Budget ed extra'!$H$7:$H$42,M$6))</f>
        <v>0</v>
      </c>
      <c r="AE78">
        <f>IF(N$6="",0,SUMIFS('Budget ed extra'!$G$7:$G$42,'Budget ed extra'!$J$7:$J$42,$A78,'Budget ed extra'!$H$7:$H$42,N$6))</f>
        <v>0</v>
      </c>
    </row>
    <row r="79">
      <c r="A79" t="n">
        <v>49</v>
      </c>
      <c r="B79">
        <f>DATE($B$2,$B$3+A79-1,1)</f>
        <v>47788.0</v>
      </c>
      <c r="C79">
        <f>IF(D79=0,N(Impostazioni!$B$6),SUMIFS('Budget ed extra'!$B$7:$B$18,'Budget ed extra'!$D$7:$D$18,D79)/COUNTIFS('Budget ed extra'!$D$7:$D$18,D79))</f>
        <v>900</v>
      </c>
      <c r="D79">
        <f>SUMPRODUCT(MAX(('Budget ed extra'!$D$7:$D$18&lt;=A79)*'Budget ed extra'!$D$7:$D$18))</f>
        <v>9</v>
      </c>
      <c r="E79">
        <f>SUMIFS('Budget ed extra'!$G$7:$G$42,'Budget ed extra'!$J$7:$J$42,A79)</f>
        <v>0</v>
      </c>
      <c r="F79">
        <f>SUM(T79:AE79)</f>
        <v>0</v>
      </c>
      <c r="G79">
        <f>MAX(0,E79-F79)</f>
        <v>0</v>
      </c>
      <c r="H79">
        <f>IF($A79&gt;=C$10,C$11,C$9)/12</f>
        <v>0.01575</v>
      </c>
      <c r="I79">
        <f>IF($A79&gt;=D$10,D$11,D$9)/12</f>
        <v>0.01825</v>
      </c>
      <c r="J79">
        <f>IF($A79&gt;=E$10,E$11,E$9)/12</f>
        <v>0.00766666666666667</v>
      </c>
      <c r="K79">
        <f>IF($A79&gt;=F$10,F$11,F$9)/12</f>
        <v>0.00533333333333333</v>
      </c>
      <c r="L79">
        <f>IF($A79&gt;=G$10,G$11,G$9)/12</f>
        <v>0</v>
      </c>
      <c r="M79">
        <f>IF($A79&gt;=H$10,H$11,H$9)/12</f>
        <v>0</v>
      </c>
      <c r="N79">
        <f>IF($A79&gt;=I$10,I$11,I$9)/12</f>
        <v>0</v>
      </c>
      <c r="O79">
        <f>IF($A79&gt;=J$10,J$11,J$9)/12</f>
        <v>0</v>
      </c>
      <c r="P79">
        <f>IF($A79&gt;=K$10,K$11,K$9)/12</f>
        <v>0</v>
      </c>
      <c r="Q79">
        <f>IF($A79&gt;=L$10,L$11,L$9)/12</f>
        <v>0</v>
      </c>
      <c r="R79">
        <f>IF($A79&gt;=M$10,M$11,M$9)/12</f>
        <v>0</v>
      </c>
      <c r="S79">
        <f>IF($A79&gt;=N$10,N$11,N$9)/12</f>
        <v>0</v>
      </c>
      <c r="T79">
        <f>IF(C$6="",0,SUMIFS('Budget ed extra'!$G$7:$G$42,'Budget ed extra'!$J$7:$J$42,$A79,'Budget ed extra'!$H$7:$H$42,C$6))</f>
        <v>0</v>
      </c>
      <c r="U79">
        <f>IF(D$6="",0,SUMIFS('Budget ed extra'!$G$7:$G$42,'Budget ed extra'!$J$7:$J$42,$A79,'Budget ed extra'!$H$7:$H$42,D$6))</f>
        <v>0</v>
      </c>
      <c r="V79">
        <f>IF(E$6="",0,SUMIFS('Budget ed extra'!$G$7:$G$42,'Budget ed extra'!$J$7:$J$42,$A79,'Budget ed extra'!$H$7:$H$42,E$6))</f>
        <v>0</v>
      </c>
      <c r="W79">
        <f>IF(F$6="",0,SUMIFS('Budget ed extra'!$G$7:$G$42,'Budget ed extra'!$J$7:$J$42,$A79,'Budget ed extra'!$H$7:$H$42,F$6))</f>
        <v>0</v>
      </c>
      <c r="X79">
        <f>IF(G$6="",0,SUMIFS('Budget ed extra'!$G$7:$G$42,'Budget ed extra'!$J$7:$J$42,$A79,'Budget ed extra'!$H$7:$H$42,G$6))</f>
        <v>0</v>
      </c>
      <c r="Y79">
        <f>IF(H$6="",0,SUMIFS('Budget ed extra'!$G$7:$G$42,'Budget ed extra'!$J$7:$J$42,$A79,'Budget ed extra'!$H$7:$H$42,H$6))</f>
        <v>0</v>
      </c>
      <c r="Z79">
        <f>IF(I$6="",0,SUMIFS('Budget ed extra'!$G$7:$G$42,'Budget ed extra'!$J$7:$J$42,$A79,'Budget ed extra'!$H$7:$H$42,I$6))</f>
        <v>0</v>
      </c>
      <c r="AA79">
        <f>IF(J$6="",0,SUMIFS('Budget ed extra'!$G$7:$G$42,'Budget ed extra'!$J$7:$J$42,$A79,'Budget ed extra'!$H$7:$H$42,J$6))</f>
        <v>0</v>
      </c>
      <c r="AB79">
        <f>IF(K$6="",0,SUMIFS('Budget ed extra'!$G$7:$G$42,'Budget ed extra'!$J$7:$J$42,$A79,'Budget ed extra'!$H$7:$H$42,K$6))</f>
        <v>0</v>
      </c>
      <c r="AC79">
        <f>IF(L$6="",0,SUMIFS('Budget ed extra'!$G$7:$G$42,'Budget ed extra'!$J$7:$J$42,$A79,'Budget ed extra'!$H$7:$H$42,L$6))</f>
        <v>0</v>
      </c>
      <c r="AD79">
        <f>IF(M$6="",0,SUMIFS('Budget ed extra'!$G$7:$G$42,'Budget ed extra'!$J$7:$J$42,$A79,'Budget ed extra'!$H$7:$H$42,M$6))</f>
        <v>0</v>
      </c>
      <c r="AE79">
        <f>IF(N$6="",0,SUMIFS('Budget ed extra'!$G$7:$G$42,'Budget ed extra'!$J$7:$J$42,$A79,'Budget ed extra'!$H$7:$H$42,N$6))</f>
        <v>0</v>
      </c>
    </row>
    <row r="80">
      <c r="A80" t="n">
        <v>50</v>
      </c>
      <c r="B80">
        <f>DATE($B$2,$B$3+A80-1,1)</f>
        <v>47818.0</v>
      </c>
      <c r="C80">
        <f>IF(D80=0,N(Impostazioni!$B$6),SUMIFS('Budget ed extra'!$B$7:$B$18,'Budget ed extra'!$D$7:$D$18,D80)/COUNTIFS('Budget ed extra'!$D$7:$D$18,D80))</f>
        <v>900</v>
      </c>
      <c r="D80">
        <f>SUMPRODUCT(MAX(('Budget ed extra'!$D$7:$D$18&lt;=A80)*'Budget ed extra'!$D$7:$D$18))</f>
        <v>9</v>
      </c>
      <c r="E80">
        <f>SUMIFS('Budget ed extra'!$G$7:$G$42,'Budget ed extra'!$J$7:$J$42,A80)</f>
        <v>0</v>
      </c>
      <c r="F80">
        <f>SUM(T80:AE80)</f>
        <v>0</v>
      </c>
      <c r="G80">
        <f>MAX(0,E80-F80)</f>
        <v>0</v>
      </c>
      <c r="H80">
        <f>IF($A80&gt;=C$10,C$11,C$9)/12</f>
        <v>0.01575</v>
      </c>
      <c r="I80">
        <f>IF($A80&gt;=D$10,D$11,D$9)/12</f>
        <v>0.01825</v>
      </c>
      <c r="J80">
        <f>IF($A80&gt;=E$10,E$11,E$9)/12</f>
        <v>0.00766666666666667</v>
      </c>
      <c r="K80">
        <f>IF($A80&gt;=F$10,F$11,F$9)/12</f>
        <v>0.00533333333333333</v>
      </c>
      <c r="L80">
        <f>IF($A80&gt;=G$10,G$11,G$9)/12</f>
        <v>0</v>
      </c>
      <c r="M80">
        <f>IF($A80&gt;=H$10,H$11,H$9)/12</f>
        <v>0</v>
      </c>
      <c r="N80">
        <f>IF($A80&gt;=I$10,I$11,I$9)/12</f>
        <v>0</v>
      </c>
      <c r="O80">
        <f>IF($A80&gt;=J$10,J$11,J$9)/12</f>
        <v>0</v>
      </c>
      <c r="P80">
        <f>IF($A80&gt;=K$10,K$11,K$9)/12</f>
        <v>0</v>
      </c>
      <c r="Q80">
        <f>IF($A80&gt;=L$10,L$11,L$9)/12</f>
        <v>0</v>
      </c>
      <c r="R80">
        <f>IF($A80&gt;=M$10,M$11,M$9)/12</f>
        <v>0</v>
      </c>
      <c r="S80">
        <f>IF($A80&gt;=N$10,N$11,N$9)/12</f>
        <v>0</v>
      </c>
      <c r="T80">
        <f>IF(C$6="",0,SUMIFS('Budget ed extra'!$G$7:$G$42,'Budget ed extra'!$J$7:$J$42,$A80,'Budget ed extra'!$H$7:$H$42,C$6))</f>
        <v>0</v>
      </c>
      <c r="U80">
        <f>IF(D$6="",0,SUMIFS('Budget ed extra'!$G$7:$G$42,'Budget ed extra'!$J$7:$J$42,$A80,'Budget ed extra'!$H$7:$H$42,D$6))</f>
        <v>0</v>
      </c>
      <c r="V80">
        <f>IF(E$6="",0,SUMIFS('Budget ed extra'!$G$7:$G$42,'Budget ed extra'!$J$7:$J$42,$A80,'Budget ed extra'!$H$7:$H$42,E$6))</f>
        <v>0</v>
      </c>
      <c r="W80">
        <f>IF(F$6="",0,SUMIFS('Budget ed extra'!$G$7:$G$42,'Budget ed extra'!$J$7:$J$42,$A80,'Budget ed extra'!$H$7:$H$42,F$6))</f>
        <v>0</v>
      </c>
      <c r="X80">
        <f>IF(G$6="",0,SUMIFS('Budget ed extra'!$G$7:$G$42,'Budget ed extra'!$J$7:$J$42,$A80,'Budget ed extra'!$H$7:$H$42,G$6))</f>
        <v>0</v>
      </c>
      <c r="Y80">
        <f>IF(H$6="",0,SUMIFS('Budget ed extra'!$G$7:$G$42,'Budget ed extra'!$J$7:$J$42,$A80,'Budget ed extra'!$H$7:$H$42,H$6))</f>
        <v>0</v>
      </c>
      <c r="Z80">
        <f>IF(I$6="",0,SUMIFS('Budget ed extra'!$G$7:$G$42,'Budget ed extra'!$J$7:$J$42,$A80,'Budget ed extra'!$H$7:$H$42,I$6))</f>
        <v>0</v>
      </c>
      <c r="AA80">
        <f>IF(J$6="",0,SUMIFS('Budget ed extra'!$G$7:$G$42,'Budget ed extra'!$J$7:$J$42,$A80,'Budget ed extra'!$H$7:$H$42,J$6))</f>
        <v>0</v>
      </c>
      <c r="AB80">
        <f>IF(K$6="",0,SUMIFS('Budget ed extra'!$G$7:$G$42,'Budget ed extra'!$J$7:$J$42,$A80,'Budget ed extra'!$H$7:$H$42,K$6))</f>
        <v>0</v>
      </c>
      <c r="AC80">
        <f>IF(L$6="",0,SUMIFS('Budget ed extra'!$G$7:$G$42,'Budget ed extra'!$J$7:$J$42,$A80,'Budget ed extra'!$H$7:$H$42,L$6))</f>
        <v>0</v>
      </c>
      <c r="AD80">
        <f>IF(M$6="",0,SUMIFS('Budget ed extra'!$G$7:$G$42,'Budget ed extra'!$J$7:$J$42,$A80,'Budget ed extra'!$H$7:$H$42,M$6))</f>
        <v>0</v>
      </c>
      <c r="AE80">
        <f>IF(N$6="",0,SUMIFS('Budget ed extra'!$G$7:$G$42,'Budget ed extra'!$J$7:$J$42,$A80,'Budget ed extra'!$H$7:$H$42,N$6))</f>
        <v>0</v>
      </c>
    </row>
    <row r="81">
      <c r="A81" t="n">
        <v>51</v>
      </c>
      <c r="B81">
        <f>DATE($B$2,$B$3+A81-1,1)</f>
        <v>47849.0</v>
      </c>
      <c r="C81">
        <f>IF(D81=0,N(Impostazioni!$B$6),SUMIFS('Budget ed extra'!$B$7:$B$18,'Budget ed extra'!$D$7:$D$18,D81)/COUNTIFS('Budget ed extra'!$D$7:$D$18,D81))</f>
        <v>900</v>
      </c>
      <c r="D81">
        <f>SUMPRODUCT(MAX(('Budget ed extra'!$D$7:$D$18&lt;=A81)*'Budget ed extra'!$D$7:$D$18))</f>
        <v>9</v>
      </c>
      <c r="E81">
        <f>SUMIFS('Budget ed extra'!$G$7:$G$42,'Budget ed extra'!$J$7:$J$42,A81)</f>
        <v>0</v>
      </c>
      <c r="F81">
        <f>SUM(T81:AE81)</f>
        <v>0</v>
      </c>
      <c r="G81">
        <f>MAX(0,E81-F81)</f>
        <v>0</v>
      </c>
      <c r="H81">
        <f>IF($A81&gt;=C$10,C$11,C$9)/12</f>
        <v>0.01575</v>
      </c>
      <c r="I81">
        <f>IF($A81&gt;=D$10,D$11,D$9)/12</f>
        <v>0.01825</v>
      </c>
      <c r="J81">
        <f>IF($A81&gt;=E$10,E$11,E$9)/12</f>
        <v>0.00766666666666667</v>
      </c>
      <c r="K81">
        <f>IF($A81&gt;=F$10,F$11,F$9)/12</f>
        <v>0.00533333333333333</v>
      </c>
      <c r="L81">
        <f>IF($A81&gt;=G$10,G$11,G$9)/12</f>
        <v>0</v>
      </c>
      <c r="M81">
        <f>IF($A81&gt;=H$10,H$11,H$9)/12</f>
        <v>0</v>
      </c>
      <c r="N81">
        <f>IF($A81&gt;=I$10,I$11,I$9)/12</f>
        <v>0</v>
      </c>
      <c r="O81">
        <f>IF($A81&gt;=J$10,J$11,J$9)/12</f>
        <v>0</v>
      </c>
      <c r="P81">
        <f>IF($A81&gt;=K$10,K$11,K$9)/12</f>
        <v>0</v>
      </c>
      <c r="Q81">
        <f>IF($A81&gt;=L$10,L$11,L$9)/12</f>
        <v>0</v>
      </c>
      <c r="R81">
        <f>IF($A81&gt;=M$10,M$11,M$9)/12</f>
        <v>0</v>
      </c>
      <c r="S81">
        <f>IF($A81&gt;=N$10,N$11,N$9)/12</f>
        <v>0</v>
      </c>
      <c r="T81">
        <f>IF(C$6="",0,SUMIFS('Budget ed extra'!$G$7:$G$42,'Budget ed extra'!$J$7:$J$42,$A81,'Budget ed extra'!$H$7:$H$42,C$6))</f>
        <v>0</v>
      </c>
      <c r="U81">
        <f>IF(D$6="",0,SUMIFS('Budget ed extra'!$G$7:$G$42,'Budget ed extra'!$J$7:$J$42,$A81,'Budget ed extra'!$H$7:$H$42,D$6))</f>
        <v>0</v>
      </c>
      <c r="V81">
        <f>IF(E$6="",0,SUMIFS('Budget ed extra'!$G$7:$G$42,'Budget ed extra'!$J$7:$J$42,$A81,'Budget ed extra'!$H$7:$H$42,E$6))</f>
        <v>0</v>
      </c>
      <c r="W81">
        <f>IF(F$6="",0,SUMIFS('Budget ed extra'!$G$7:$G$42,'Budget ed extra'!$J$7:$J$42,$A81,'Budget ed extra'!$H$7:$H$42,F$6))</f>
        <v>0</v>
      </c>
      <c r="X81">
        <f>IF(G$6="",0,SUMIFS('Budget ed extra'!$G$7:$G$42,'Budget ed extra'!$J$7:$J$42,$A81,'Budget ed extra'!$H$7:$H$42,G$6))</f>
        <v>0</v>
      </c>
      <c r="Y81">
        <f>IF(H$6="",0,SUMIFS('Budget ed extra'!$G$7:$G$42,'Budget ed extra'!$J$7:$J$42,$A81,'Budget ed extra'!$H$7:$H$42,H$6))</f>
        <v>0</v>
      </c>
      <c r="Z81">
        <f>IF(I$6="",0,SUMIFS('Budget ed extra'!$G$7:$G$42,'Budget ed extra'!$J$7:$J$42,$A81,'Budget ed extra'!$H$7:$H$42,I$6))</f>
        <v>0</v>
      </c>
      <c r="AA81">
        <f>IF(J$6="",0,SUMIFS('Budget ed extra'!$G$7:$G$42,'Budget ed extra'!$J$7:$J$42,$A81,'Budget ed extra'!$H$7:$H$42,J$6))</f>
        <v>0</v>
      </c>
      <c r="AB81">
        <f>IF(K$6="",0,SUMIFS('Budget ed extra'!$G$7:$G$42,'Budget ed extra'!$J$7:$J$42,$A81,'Budget ed extra'!$H$7:$H$42,K$6))</f>
        <v>0</v>
      </c>
      <c r="AC81">
        <f>IF(L$6="",0,SUMIFS('Budget ed extra'!$G$7:$G$42,'Budget ed extra'!$J$7:$J$42,$A81,'Budget ed extra'!$H$7:$H$42,L$6))</f>
        <v>0</v>
      </c>
      <c r="AD81">
        <f>IF(M$6="",0,SUMIFS('Budget ed extra'!$G$7:$G$42,'Budget ed extra'!$J$7:$J$42,$A81,'Budget ed extra'!$H$7:$H$42,M$6))</f>
        <v>0</v>
      </c>
      <c r="AE81">
        <f>IF(N$6="",0,SUMIFS('Budget ed extra'!$G$7:$G$42,'Budget ed extra'!$J$7:$J$42,$A81,'Budget ed extra'!$H$7:$H$42,N$6))</f>
        <v>0</v>
      </c>
    </row>
    <row r="82">
      <c r="A82" t="n">
        <v>52</v>
      </c>
      <c r="B82">
        <f>DATE($B$2,$B$3+A82-1,1)</f>
        <v>47880.0</v>
      </c>
      <c r="C82">
        <f>IF(D82=0,N(Impostazioni!$B$6),SUMIFS('Budget ed extra'!$B$7:$B$18,'Budget ed extra'!$D$7:$D$18,D82)/COUNTIFS('Budget ed extra'!$D$7:$D$18,D82))</f>
        <v>900</v>
      </c>
      <c r="D82">
        <f>SUMPRODUCT(MAX(('Budget ed extra'!$D$7:$D$18&lt;=A82)*'Budget ed extra'!$D$7:$D$18))</f>
        <v>9</v>
      </c>
      <c r="E82">
        <f>SUMIFS('Budget ed extra'!$G$7:$G$42,'Budget ed extra'!$J$7:$J$42,A82)</f>
        <v>0</v>
      </c>
      <c r="F82">
        <f>SUM(T82:AE82)</f>
        <v>0</v>
      </c>
      <c r="G82">
        <f>MAX(0,E82-F82)</f>
        <v>0</v>
      </c>
      <c r="H82">
        <f>IF($A82&gt;=C$10,C$11,C$9)/12</f>
        <v>0.01575</v>
      </c>
      <c r="I82">
        <f>IF($A82&gt;=D$10,D$11,D$9)/12</f>
        <v>0.01825</v>
      </c>
      <c r="J82">
        <f>IF($A82&gt;=E$10,E$11,E$9)/12</f>
        <v>0.00766666666666667</v>
      </c>
      <c r="K82">
        <f>IF($A82&gt;=F$10,F$11,F$9)/12</f>
        <v>0.00533333333333333</v>
      </c>
      <c r="L82">
        <f>IF($A82&gt;=G$10,G$11,G$9)/12</f>
        <v>0</v>
      </c>
      <c r="M82">
        <f>IF($A82&gt;=H$10,H$11,H$9)/12</f>
        <v>0</v>
      </c>
      <c r="N82">
        <f>IF($A82&gt;=I$10,I$11,I$9)/12</f>
        <v>0</v>
      </c>
      <c r="O82">
        <f>IF($A82&gt;=J$10,J$11,J$9)/12</f>
        <v>0</v>
      </c>
      <c r="P82">
        <f>IF($A82&gt;=K$10,K$11,K$9)/12</f>
        <v>0</v>
      </c>
      <c r="Q82">
        <f>IF($A82&gt;=L$10,L$11,L$9)/12</f>
        <v>0</v>
      </c>
      <c r="R82">
        <f>IF($A82&gt;=M$10,M$11,M$9)/12</f>
        <v>0</v>
      </c>
      <c r="S82">
        <f>IF($A82&gt;=N$10,N$11,N$9)/12</f>
        <v>0</v>
      </c>
      <c r="T82">
        <f>IF(C$6="",0,SUMIFS('Budget ed extra'!$G$7:$G$42,'Budget ed extra'!$J$7:$J$42,$A82,'Budget ed extra'!$H$7:$H$42,C$6))</f>
        <v>0</v>
      </c>
      <c r="U82">
        <f>IF(D$6="",0,SUMIFS('Budget ed extra'!$G$7:$G$42,'Budget ed extra'!$J$7:$J$42,$A82,'Budget ed extra'!$H$7:$H$42,D$6))</f>
        <v>0</v>
      </c>
      <c r="V82">
        <f>IF(E$6="",0,SUMIFS('Budget ed extra'!$G$7:$G$42,'Budget ed extra'!$J$7:$J$42,$A82,'Budget ed extra'!$H$7:$H$42,E$6))</f>
        <v>0</v>
      </c>
      <c r="W82">
        <f>IF(F$6="",0,SUMIFS('Budget ed extra'!$G$7:$G$42,'Budget ed extra'!$J$7:$J$42,$A82,'Budget ed extra'!$H$7:$H$42,F$6))</f>
        <v>0</v>
      </c>
      <c r="X82">
        <f>IF(G$6="",0,SUMIFS('Budget ed extra'!$G$7:$G$42,'Budget ed extra'!$J$7:$J$42,$A82,'Budget ed extra'!$H$7:$H$42,G$6))</f>
        <v>0</v>
      </c>
      <c r="Y82">
        <f>IF(H$6="",0,SUMIFS('Budget ed extra'!$G$7:$G$42,'Budget ed extra'!$J$7:$J$42,$A82,'Budget ed extra'!$H$7:$H$42,H$6))</f>
        <v>0</v>
      </c>
      <c r="Z82">
        <f>IF(I$6="",0,SUMIFS('Budget ed extra'!$G$7:$G$42,'Budget ed extra'!$J$7:$J$42,$A82,'Budget ed extra'!$H$7:$H$42,I$6))</f>
        <v>0</v>
      </c>
      <c r="AA82">
        <f>IF(J$6="",0,SUMIFS('Budget ed extra'!$G$7:$G$42,'Budget ed extra'!$J$7:$J$42,$A82,'Budget ed extra'!$H$7:$H$42,J$6))</f>
        <v>0</v>
      </c>
      <c r="AB82">
        <f>IF(K$6="",0,SUMIFS('Budget ed extra'!$G$7:$G$42,'Budget ed extra'!$J$7:$J$42,$A82,'Budget ed extra'!$H$7:$H$42,K$6))</f>
        <v>0</v>
      </c>
      <c r="AC82">
        <f>IF(L$6="",0,SUMIFS('Budget ed extra'!$G$7:$G$42,'Budget ed extra'!$J$7:$J$42,$A82,'Budget ed extra'!$H$7:$H$42,L$6))</f>
        <v>0</v>
      </c>
      <c r="AD82">
        <f>IF(M$6="",0,SUMIFS('Budget ed extra'!$G$7:$G$42,'Budget ed extra'!$J$7:$J$42,$A82,'Budget ed extra'!$H$7:$H$42,M$6))</f>
        <v>0</v>
      </c>
      <c r="AE82">
        <f>IF(N$6="",0,SUMIFS('Budget ed extra'!$G$7:$G$42,'Budget ed extra'!$J$7:$J$42,$A82,'Budget ed extra'!$H$7:$H$42,N$6))</f>
        <v>0</v>
      </c>
    </row>
    <row r="83">
      <c r="A83" t="n">
        <v>53</v>
      </c>
      <c r="B83">
        <f>DATE($B$2,$B$3+A83-1,1)</f>
        <v>47908.0</v>
      </c>
      <c r="C83">
        <f>IF(D83=0,N(Impostazioni!$B$6),SUMIFS('Budget ed extra'!$B$7:$B$18,'Budget ed extra'!$D$7:$D$18,D83)/COUNTIFS('Budget ed extra'!$D$7:$D$18,D83))</f>
        <v>900</v>
      </c>
      <c r="D83">
        <f>SUMPRODUCT(MAX(('Budget ed extra'!$D$7:$D$18&lt;=A83)*'Budget ed extra'!$D$7:$D$18))</f>
        <v>9</v>
      </c>
      <c r="E83">
        <f>SUMIFS('Budget ed extra'!$G$7:$G$42,'Budget ed extra'!$J$7:$J$42,A83)</f>
        <v>0</v>
      </c>
      <c r="F83">
        <f>SUM(T83:AE83)</f>
        <v>0</v>
      </c>
      <c r="G83">
        <f>MAX(0,E83-F83)</f>
        <v>0</v>
      </c>
      <c r="H83">
        <f>IF($A83&gt;=C$10,C$11,C$9)/12</f>
        <v>0.01575</v>
      </c>
      <c r="I83">
        <f>IF($A83&gt;=D$10,D$11,D$9)/12</f>
        <v>0.01825</v>
      </c>
      <c r="J83">
        <f>IF($A83&gt;=E$10,E$11,E$9)/12</f>
        <v>0.00766666666666667</v>
      </c>
      <c r="K83">
        <f>IF($A83&gt;=F$10,F$11,F$9)/12</f>
        <v>0.00533333333333333</v>
      </c>
      <c r="L83">
        <f>IF($A83&gt;=G$10,G$11,G$9)/12</f>
        <v>0</v>
      </c>
      <c r="M83">
        <f>IF($A83&gt;=H$10,H$11,H$9)/12</f>
        <v>0</v>
      </c>
      <c r="N83">
        <f>IF($A83&gt;=I$10,I$11,I$9)/12</f>
        <v>0</v>
      </c>
      <c r="O83">
        <f>IF($A83&gt;=J$10,J$11,J$9)/12</f>
        <v>0</v>
      </c>
      <c r="P83">
        <f>IF($A83&gt;=K$10,K$11,K$9)/12</f>
        <v>0</v>
      </c>
      <c r="Q83">
        <f>IF($A83&gt;=L$10,L$11,L$9)/12</f>
        <v>0</v>
      </c>
      <c r="R83">
        <f>IF($A83&gt;=M$10,M$11,M$9)/12</f>
        <v>0</v>
      </c>
      <c r="S83">
        <f>IF($A83&gt;=N$10,N$11,N$9)/12</f>
        <v>0</v>
      </c>
      <c r="T83">
        <f>IF(C$6="",0,SUMIFS('Budget ed extra'!$G$7:$G$42,'Budget ed extra'!$J$7:$J$42,$A83,'Budget ed extra'!$H$7:$H$42,C$6))</f>
        <v>0</v>
      </c>
      <c r="U83">
        <f>IF(D$6="",0,SUMIFS('Budget ed extra'!$G$7:$G$42,'Budget ed extra'!$J$7:$J$42,$A83,'Budget ed extra'!$H$7:$H$42,D$6))</f>
        <v>0</v>
      </c>
      <c r="V83">
        <f>IF(E$6="",0,SUMIFS('Budget ed extra'!$G$7:$G$42,'Budget ed extra'!$J$7:$J$42,$A83,'Budget ed extra'!$H$7:$H$42,E$6))</f>
        <v>0</v>
      </c>
      <c r="W83">
        <f>IF(F$6="",0,SUMIFS('Budget ed extra'!$G$7:$G$42,'Budget ed extra'!$J$7:$J$42,$A83,'Budget ed extra'!$H$7:$H$42,F$6))</f>
        <v>0</v>
      </c>
      <c r="X83">
        <f>IF(G$6="",0,SUMIFS('Budget ed extra'!$G$7:$G$42,'Budget ed extra'!$J$7:$J$42,$A83,'Budget ed extra'!$H$7:$H$42,G$6))</f>
        <v>0</v>
      </c>
      <c r="Y83">
        <f>IF(H$6="",0,SUMIFS('Budget ed extra'!$G$7:$G$42,'Budget ed extra'!$J$7:$J$42,$A83,'Budget ed extra'!$H$7:$H$42,H$6))</f>
        <v>0</v>
      </c>
      <c r="Z83">
        <f>IF(I$6="",0,SUMIFS('Budget ed extra'!$G$7:$G$42,'Budget ed extra'!$J$7:$J$42,$A83,'Budget ed extra'!$H$7:$H$42,I$6))</f>
        <v>0</v>
      </c>
      <c r="AA83">
        <f>IF(J$6="",0,SUMIFS('Budget ed extra'!$G$7:$G$42,'Budget ed extra'!$J$7:$J$42,$A83,'Budget ed extra'!$H$7:$H$42,J$6))</f>
        <v>0</v>
      </c>
      <c r="AB83">
        <f>IF(K$6="",0,SUMIFS('Budget ed extra'!$G$7:$G$42,'Budget ed extra'!$J$7:$J$42,$A83,'Budget ed extra'!$H$7:$H$42,K$6))</f>
        <v>0</v>
      </c>
      <c r="AC83">
        <f>IF(L$6="",0,SUMIFS('Budget ed extra'!$G$7:$G$42,'Budget ed extra'!$J$7:$J$42,$A83,'Budget ed extra'!$H$7:$H$42,L$6))</f>
        <v>0</v>
      </c>
      <c r="AD83">
        <f>IF(M$6="",0,SUMIFS('Budget ed extra'!$G$7:$G$42,'Budget ed extra'!$J$7:$J$42,$A83,'Budget ed extra'!$H$7:$H$42,M$6))</f>
        <v>0</v>
      </c>
      <c r="AE83">
        <f>IF(N$6="",0,SUMIFS('Budget ed extra'!$G$7:$G$42,'Budget ed extra'!$J$7:$J$42,$A83,'Budget ed extra'!$H$7:$H$42,N$6))</f>
        <v>0</v>
      </c>
    </row>
    <row r="84">
      <c r="A84" t="n">
        <v>54</v>
      </c>
      <c r="B84">
        <f>DATE($B$2,$B$3+A84-1,1)</f>
        <v>47939.0</v>
      </c>
      <c r="C84">
        <f>IF(D84=0,N(Impostazioni!$B$6),SUMIFS('Budget ed extra'!$B$7:$B$18,'Budget ed extra'!$D$7:$D$18,D84)/COUNTIFS('Budget ed extra'!$D$7:$D$18,D84))</f>
        <v>900</v>
      </c>
      <c r="D84">
        <f>SUMPRODUCT(MAX(('Budget ed extra'!$D$7:$D$18&lt;=A84)*'Budget ed extra'!$D$7:$D$18))</f>
        <v>9</v>
      </c>
      <c r="E84">
        <f>SUMIFS('Budget ed extra'!$G$7:$G$42,'Budget ed extra'!$J$7:$J$42,A84)</f>
        <v>0</v>
      </c>
      <c r="F84">
        <f>SUM(T84:AE84)</f>
        <v>0</v>
      </c>
      <c r="G84">
        <f>MAX(0,E84-F84)</f>
        <v>0</v>
      </c>
      <c r="H84">
        <f>IF($A84&gt;=C$10,C$11,C$9)/12</f>
        <v>0.01575</v>
      </c>
      <c r="I84">
        <f>IF($A84&gt;=D$10,D$11,D$9)/12</f>
        <v>0.01825</v>
      </c>
      <c r="J84">
        <f>IF($A84&gt;=E$10,E$11,E$9)/12</f>
        <v>0.00766666666666667</v>
      </c>
      <c r="K84">
        <f>IF($A84&gt;=F$10,F$11,F$9)/12</f>
        <v>0.00533333333333333</v>
      </c>
      <c r="L84">
        <f>IF($A84&gt;=G$10,G$11,G$9)/12</f>
        <v>0</v>
      </c>
      <c r="M84">
        <f>IF($A84&gt;=H$10,H$11,H$9)/12</f>
        <v>0</v>
      </c>
      <c r="N84">
        <f>IF($A84&gt;=I$10,I$11,I$9)/12</f>
        <v>0</v>
      </c>
      <c r="O84">
        <f>IF($A84&gt;=J$10,J$11,J$9)/12</f>
        <v>0</v>
      </c>
      <c r="P84">
        <f>IF($A84&gt;=K$10,K$11,K$9)/12</f>
        <v>0</v>
      </c>
      <c r="Q84">
        <f>IF($A84&gt;=L$10,L$11,L$9)/12</f>
        <v>0</v>
      </c>
      <c r="R84">
        <f>IF($A84&gt;=M$10,M$11,M$9)/12</f>
        <v>0</v>
      </c>
      <c r="S84">
        <f>IF($A84&gt;=N$10,N$11,N$9)/12</f>
        <v>0</v>
      </c>
      <c r="T84">
        <f>IF(C$6="",0,SUMIFS('Budget ed extra'!$G$7:$G$42,'Budget ed extra'!$J$7:$J$42,$A84,'Budget ed extra'!$H$7:$H$42,C$6))</f>
        <v>0</v>
      </c>
      <c r="U84">
        <f>IF(D$6="",0,SUMIFS('Budget ed extra'!$G$7:$G$42,'Budget ed extra'!$J$7:$J$42,$A84,'Budget ed extra'!$H$7:$H$42,D$6))</f>
        <v>0</v>
      </c>
      <c r="V84">
        <f>IF(E$6="",0,SUMIFS('Budget ed extra'!$G$7:$G$42,'Budget ed extra'!$J$7:$J$42,$A84,'Budget ed extra'!$H$7:$H$42,E$6))</f>
        <v>0</v>
      </c>
      <c r="W84">
        <f>IF(F$6="",0,SUMIFS('Budget ed extra'!$G$7:$G$42,'Budget ed extra'!$J$7:$J$42,$A84,'Budget ed extra'!$H$7:$H$42,F$6))</f>
        <v>0</v>
      </c>
      <c r="X84">
        <f>IF(G$6="",0,SUMIFS('Budget ed extra'!$G$7:$G$42,'Budget ed extra'!$J$7:$J$42,$A84,'Budget ed extra'!$H$7:$H$42,G$6))</f>
        <v>0</v>
      </c>
      <c r="Y84">
        <f>IF(H$6="",0,SUMIFS('Budget ed extra'!$G$7:$G$42,'Budget ed extra'!$J$7:$J$42,$A84,'Budget ed extra'!$H$7:$H$42,H$6))</f>
        <v>0</v>
      </c>
      <c r="Z84">
        <f>IF(I$6="",0,SUMIFS('Budget ed extra'!$G$7:$G$42,'Budget ed extra'!$J$7:$J$42,$A84,'Budget ed extra'!$H$7:$H$42,I$6))</f>
        <v>0</v>
      </c>
      <c r="AA84">
        <f>IF(J$6="",0,SUMIFS('Budget ed extra'!$G$7:$G$42,'Budget ed extra'!$J$7:$J$42,$A84,'Budget ed extra'!$H$7:$H$42,J$6))</f>
        <v>0</v>
      </c>
      <c r="AB84">
        <f>IF(K$6="",0,SUMIFS('Budget ed extra'!$G$7:$G$42,'Budget ed extra'!$J$7:$J$42,$A84,'Budget ed extra'!$H$7:$H$42,K$6))</f>
        <v>0</v>
      </c>
      <c r="AC84">
        <f>IF(L$6="",0,SUMIFS('Budget ed extra'!$G$7:$G$42,'Budget ed extra'!$J$7:$J$42,$A84,'Budget ed extra'!$H$7:$H$42,L$6))</f>
        <v>0</v>
      </c>
      <c r="AD84">
        <f>IF(M$6="",0,SUMIFS('Budget ed extra'!$G$7:$G$42,'Budget ed extra'!$J$7:$J$42,$A84,'Budget ed extra'!$H$7:$H$42,M$6))</f>
        <v>0</v>
      </c>
      <c r="AE84">
        <f>IF(N$6="",0,SUMIFS('Budget ed extra'!$G$7:$G$42,'Budget ed extra'!$J$7:$J$42,$A84,'Budget ed extra'!$H$7:$H$42,N$6))</f>
        <v>0</v>
      </c>
    </row>
    <row r="85">
      <c r="A85" t="n">
        <v>55</v>
      </c>
      <c r="B85">
        <f>DATE($B$2,$B$3+A85-1,1)</f>
        <v>47969.0</v>
      </c>
      <c r="C85">
        <f>IF(D85=0,N(Impostazioni!$B$6),SUMIFS('Budget ed extra'!$B$7:$B$18,'Budget ed extra'!$D$7:$D$18,D85)/COUNTIFS('Budget ed extra'!$D$7:$D$18,D85))</f>
        <v>900</v>
      </c>
      <c r="D85">
        <f>SUMPRODUCT(MAX(('Budget ed extra'!$D$7:$D$18&lt;=A85)*'Budget ed extra'!$D$7:$D$18))</f>
        <v>9</v>
      </c>
      <c r="E85">
        <f>SUMIFS('Budget ed extra'!$G$7:$G$42,'Budget ed extra'!$J$7:$J$42,A85)</f>
        <v>0</v>
      </c>
      <c r="F85">
        <f>SUM(T85:AE85)</f>
        <v>0</v>
      </c>
      <c r="G85">
        <f>MAX(0,E85-F85)</f>
        <v>0</v>
      </c>
      <c r="H85">
        <f>IF($A85&gt;=C$10,C$11,C$9)/12</f>
        <v>0.01575</v>
      </c>
      <c r="I85">
        <f>IF($A85&gt;=D$10,D$11,D$9)/12</f>
        <v>0.01825</v>
      </c>
      <c r="J85">
        <f>IF($A85&gt;=E$10,E$11,E$9)/12</f>
        <v>0.00766666666666667</v>
      </c>
      <c r="K85">
        <f>IF($A85&gt;=F$10,F$11,F$9)/12</f>
        <v>0.00533333333333333</v>
      </c>
      <c r="L85">
        <f>IF($A85&gt;=G$10,G$11,G$9)/12</f>
        <v>0</v>
      </c>
      <c r="M85">
        <f>IF($A85&gt;=H$10,H$11,H$9)/12</f>
        <v>0</v>
      </c>
      <c r="N85">
        <f>IF($A85&gt;=I$10,I$11,I$9)/12</f>
        <v>0</v>
      </c>
      <c r="O85">
        <f>IF($A85&gt;=J$10,J$11,J$9)/12</f>
        <v>0</v>
      </c>
      <c r="P85">
        <f>IF($A85&gt;=K$10,K$11,K$9)/12</f>
        <v>0</v>
      </c>
      <c r="Q85">
        <f>IF($A85&gt;=L$10,L$11,L$9)/12</f>
        <v>0</v>
      </c>
      <c r="R85">
        <f>IF($A85&gt;=M$10,M$11,M$9)/12</f>
        <v>0</v>
      </c>
      <c r="S85">
        <f>IF($A85&gt;=N$10,N$11,N$9)/12</f>
        <v>0</v>
      </c>
      <c r="T85">
        <f>IF(C$6="",0,SUMIFS('Budget ed extra'!$G$7:$G$42,'Budget ed extra'!$J$7:$J$42,$A85,'Budget ed extra'!$H$7:$H$42,C$6))</f>
        <v>0</v>
      </c>
      <c r="U85">
        <f>IF(D$6="",0,SUMIFS('Budget ed extra'!$G$7:$G$42,'Budget ed extra'!$J$7:$J$42,$A85,'Budget ed extra'!$H$7:$H$42,D$6))</f>
        <v>0</v>
      </c>
      <c r="V85">
        <f>IF(E$6="",0,SUMIFS('Budget ed extra'!$G$7:$G$42,'Budget ed extra'!$J$7:$J$42,$A85,'Budget ed extra'!$H$7:$H$42,E$6))</f>
        <v>0</v>
      </c>
      <c r="W85">
        <f>IF(F$6="",0,SUMIFS('Budget ed extra'!$G$7:$G$42,'Budget ed extra'!$J$7:$J$42,$A85,'Budget ed extra'!$H$7:$H$42,F$6))</f>
        <v>0</v>
      </c>
      <c r="X85">
        <f>IF(G$6="",0,SUMIFS('Budget ed extra'!$G$7:$G$42,'Budget ed extra'!$J$7:$J$42,$A85,'Budget ed extra'!$H$7:$H$42,G$6))</f>
        <v>0</v>
      </c>
      <c r="Y85">
        <f>IF(H$6="",0,SUMIFS('Budget ed extra'!$G$7:$G$42,'Budget ed extra'!$J$7:$J$42,$A85,'Budget ed extra'!$H$7:$H$42,H$6))</f>
        <v>0</v>
      </c>
      <c r="Z85">
        <f>IF(I$6="",0,SUMIFS('Budget ed extra'!$G$7:$G$42,'Budget ed extra'!$J$7:$J$42,$A85,'Budget ed extra'!$H$7:$H$42,I$6))</f>
        <v>0</v>
      </c>
      <c r="AA85">
        <f>IF(J$6="",0,SUMIFS('Budget ed extra'!$G$7:$G$42,'Budget ed extra'!$J$7:$J$42,$A85,'Budget ed extra'!$H$7:$H$42,J$6))</f>
        <v>0</v>
      </c>
      <c r="AB85">
        <f>IF(K$6="",0,SUMIFS('Budget ed extra'!$G$7:$G$42,'Budget ed extra'!$J$7:$J$42,$A85,'Budget ed extra'!$H$7:$H$42,K$6))</f>
        <v>0</v>
      </c>
      <c r="AC85">
        <f>IF(L$6="",0,SUMIFS('Budget ed extra'!$G$7:$G$42,'Budget ed extra'!$J$7:$J$42,$A85,'Budget ed extra'!$H$7:$H$42,L$6))</f>
        <v>0</v>
      </c>
      <c r="AD85">
        <f>IF(M$6="",0,SUMIFS('Budget ed extra'!$G$7:$G$42,'Budget ed extra'!$J$7:$J$42,$A85,'Budget ed extra'!$H$7:$H$42,M$6))</f>
        <v>0</v>
      </c>
      <c r="AE85">
        <f>IF(N$6="",0,SUMIFS('Budget ed extra'!$G$7:$G$42,'Budget ed extra'!$J$7:$J$42,$A85,'Budget ed extra'!$H$7:$H$42,N$6))</f>
        <v>0</v>
      </c>
    </row>
    <row r="86">
      <c r="A86" t="n">
        <v>56</v>
      </c>
      <c r="B86">
        <f>DATE($B$2,$B$3+A86-1,1)</f>
        <v>48000.0</v>
      </c>
      <c r="C86">
        <f>IF(D86=0,N(Impostazioni!$B$6),SUMIFS('Budget ed extra'!$B$7:$B$18,'Budget ed extra'!$D$7:$D$18,D86)/COUNTIFS('Budget ed extra'!$D$7:$D$18,D86))</f>
        <v>900</v>
      </c>
      <c r="D86">
        <f>SUMPRODUCT(MAX(('Budget ed extra'!$D$7:$D$18&lt;=A86)*'Budget ed extra'!$D$7:$D$18))</f>
        <v>9</v>
      </c>
      <c r="E86">
        <f>SUMIFS('Budget ed extra'!$G$7:$G$42,'Budget ed extra'!$J$7:$J$42,A86)</f>
        <v>0</v>
      </c>
      <c r="F86">
        <f>SUM(T86:AE86)</f>
        <v>0</v>
      </c>
      <c r="G86">
        <f>MAX(0,E86-F86)</f>
        <v>0</v>
      </c>
      <c r="H86">
        <f>IF($A86&gt;=C$10,C$11,C$9)/12</f>
        <v>0.01575</v>
      </c>
      <c r="I86">
        <f>IF($A86&gt;=D$10,D$11,D$9)/12</f>
        <v>0.01825</v>
      </c>
      <c r="J86">
        <f>IF($A86&gt;=E$10,E$11,E$9)/12</f>
        <v>0.00766666666666667</v>
      </c>
      <c r="K86">
        <f>IF($A86&gt;=F$10,F$11,F$9)/12</f>
        <v>0.00533333333333333</v>
      </c>
      <c r="L86">
        <f>IF($A86&gt;=G$10,G$11,G$9)/12</f>
        <v>0</v>
      </c>
      <c r="M86">
        <f>IF($A86&gt;=H$10,H$11,H$9)/12</f>
        <v>0</v>
      </c>
      <c r="N86">
        <f>IF($A86&gt;=I$10,I$11,I$9)/12</f>
        <v>0</v>
      </c>
      <c r="O86">
        <f>IF($A86&gt;=J$10,J$11,J$9)/12</f>
        <v>0</v>
      </c>
      <c r="P86">
        <f>IF($A86&gt;=K$10,K$11,K$9)/12</f>
        <v>0</v>
      </c>
      <c r="Q86">
        <f>IF($A86&gt;=L$10,L$11,L$9)/12</f>
        <v>0</v>
      </c>
      <c r="R86">
        <f>IF($A86&gt;=M$10,M$11,M$9)/12</f>
        <v>0</v>
      </c>
      <c r="S86">
        <f>IF($A86&gt;=N$10,N$11,N$9)/12</f>
        <v>0</v>
      </c>
      <c r="T86">
        <f>IF(C$6="",0,SUMIFS('Budget ed extra'!$G$7:$G$42,'Budget ed extra'!$J$7:$J$42,$A86,'Budget ed extra'!$H$7:$H$42,C$6))</f>
        <v>0</v>
      </c>
      <c r="U86">
        <f>IF(D$6="",0,SUMIFS('Budget ed extra'!$G$7:$G$42,'Budget ed extra'!$J$7:$J$42,$A86,'Budget ed extra'!$H$7:$H$42,D$6))</f>
        <v>0</v>
      </c>
      <c r="V86">
        <f>IF(E$6="",0,SUMIFS('Budget ed extra'!$G$7:$G$42,'Budget ed extra'!$J$7:$J$42,$A86,'Budget ed extra'!$H$7:$H$42,E$6))</f>
        <v>0</v>
      </c>
      <c r="W86">
        <f>IF(F$6="",0,SUMIFS('Budget ed extra'!$G$7:$G$42,'Budget ed extra'!$J$7:$J$42,$A86,'Budget ed extra'!$H$7:$H$42,F$6))</f>
        <v>0</v>
      </c>
      <c r="X86">
        <f>IF(G$6="",0,SUMIFS('Budget ed extra'!$G$7:$G$42,'Budget ed extra'!$J$7:$J$42,$A86,'Budget ed extra'!$H$7:$H$42,G$6))</f>
        <v>0</v>
      </c>
      <c r="Y86">
        <f>IF(H$6="",0,SUMIFS('Budget ed extra'!$G$7:$G$42,'Budget ed extra'!$J$7:$J$42,$A86,'Budget ed extra'!$H$7:$H$42,H$6))</f>
        <v>0</v>
      </c>
      <c r="Z86">
        <f>IF(I$6="",0,SUMIFS('Budget ed extra'!$G$7:$G$42,'Budget ed extra'!$J$7:$J$42,$A86,'Budget ed extra'!$H$7:$H$42,I$6))</f>
        <v>0</v>
      </c>
      <c r="AA86">
        <f>IF(J$6="",0,SUMIFS('Budget ed extra'!$G$7:$G$42,'Budget ed extra'!$J$7:$J$42,$A86,'Budget ed extra'!$H$7:$H$42,J$6))</f>
        <v>0</v>
      </c>
      <c r="AB86">
        <f>IF(K$6="",0,SUMIFS('Budget ed extra'!$G$7:$G$42,'Budget ed extra'!$J$7:$J$42,$A86,'Budget ed extra'!$H$7:$H$42,K$6))</f>
        <v>0</v>
      </c>
      <c r="AC86">
        <f>IF(L$6="",0,SUMIFS('Budget ed extra'!$G$7:$G$42,'Budget ed extra'!$J$7:$J$42,$A86,'Budget ed extra'!$H$7:$H$42,L$6))</f>
        <v>0</v>
      </c>
      <c r="AD86">
        <f>IF(M$6="",0,SUMIFS('Budget ed extra'!$G$7:$G$42,'Budget ed extra'!$J$7:$J$42,$A86,'Budget ed extra'!$H$7:$H$42,M$6))</f>
        <v>0</v>
      </c>
      <c r="AE86">
        <f>IF(N$6="",0,SUMIFS('Budget ed extra'!$G$7:$G$42,'Budget ed extra'!$J$7:$J$42,$A86,'Budget ed extra'!$H$7:$H$42,N$6))</f>
        <v>0</v>
      </c>
    </row>
    <row r="87">
      <c r="A87" t="n">
        <v>57</v>
      </c>
      <c r="B87">
        <f>DATE($B$2,$B$3+A87-1,1)</f>
        <v>48030.0</v>
      </c>
      <c r="C87">
        <f>IF(D87=0,N(Impostazioni!$B$6),SUMIFS('Budget ed extra'!$B$7:$B$18,'Budget ed extra'!$D$7:$D$18,D87)/COUNTIFS('Budget ed extra'!$D$7:$D$18,D87))</f>
        <v>900</v>
      </c>
      <c r="D87">
        <f>SUMPRODUCT(MAX(('Budget ed extra'!$D$7:$D$18&lt;=A87)*'Budget ed extra'!$D$7:$D$18))</f>
        <v>9</v>
      </c>
      <c r="E87">
        <f>SUMIFS('Budget ed extra'!$G$7:$G$42,'Budget ed extra'!$J$7:$J$42,A87)</f>
        <v>0</v>
      </c>
      <c r="F87">
        <f>SUM(T87:AE87)</f>
        <v>0</v>
      </c>
      <c r="G87">
        <f>MAX(0,E87-F87)</f>
        <v>0</v>
      </c>
      <c r="H87">
        <f>IF($A87&gt;=C$10,C$11,C$9)/12</f>
        <v>0.01575</v>
      </c>
      <c r="I87">
        <f>IF($A87&gt;=D$10,D$11,D$9)/12</f>
        <v>0.01825</v>
      </c>
      <c r="J87">
        <f>IF($A87&gt;=E$10,E$11,E$9)/12</f>
        <v>0.00766666666666667</v>
      </c>
      <c r="K87">
        <f>IF($A87&gt;=F$10,F$11,F$9)/12</f>
        <v>0.00533333333333333</v>
      </c>
      <c r="L87">
        <f>IF($A87&gt;=G$10,G$11,G$9)/12</f>
        <v>0</v>
      </c>
      <c r="M87">
        <f>IF($A87&gt;=H$10,H$11,H$9)/12</f>
        <v>0</v>
      </c>
      <c r="N87">
        <f>IF($A87&gt;=I$10,I$11,I$9)/12</f>
        <v>0</v>
      </c>
      <c r="O87">
        <f>IF($A87&gt;=J$10,J$11,J$9)/12</f>
        <v>0</v>
      </c>
      <c r="P87">
        <f>IF($A87&gt;=K$10,K$11,K$9)/12</f>
        <v>0</v>
      </c>
      <c r="Q87">
        <f>IF($A87&gt;=L$10,L$11,L$9)/12</f>
        <v>0</v>
      </c>
      <c r="R87">
        <f>IF($A87&gt;=M$10,M$11,M$9)/12</f>
        <v>0</v>
      </c>
      <c r="S87">
        <f>IF($A87&gt;=N$10,N$11,N$9)/12</f>
        <v>0</v>
      </c>
      <c r="T87">
        <f>IF(C$6="",0,SUMIFS('Budget ed extra'!$G$7:$G$42,'Budget ed extra'!$J$7:$J$42,$A87,'Budget ed extra'!$H$7:$H$42,C$6))</f>
        <v>0</v>
      </c>
      <c r="U87">
        <f>IF(D$6="",0,SUMIFS('Budget ed extra'!$G$7:$G$42,'Budget ed extra'!$J$7:$J$42,$A87,'Budget ed extra'!$H$7:$H$42,D$6))</f>
        <v>0</v>
      </c>
      <c r="V87">
        <f>IF(E$6="",0,SUMIFS('Budget ed extra'!$G$7:$G$42,'Budget ed extra'!$J$7:$J$42,$A87,'Budget ed extra'!$H$7:$H$42,E$6))</f>
        <v>0</v>
      </c>
      <c r="W87">
        <f>IF(F$6="",0,SUMIFS('Budget ed extra'!$G$7:$G$42,'Budget ed extra'!$J$7:$J$42,$A87,'Budget ed extra'!$H$7:$H$42,F$6))</f>
        <v>0</v>
      </c>
      <c r="X87">
        <f>IF(G$6="",0,SUMIFS('Budget ed extra'!$G$7:$G$42,'Budget ed extra'!$J$7:$J$42,$A87,'Budget ed extra'!$H$7:$H$42,G$6))</f>
        <v>0</v>
      </c>
      <c r="Y87">
        <f>IF(H$6="",0,SUMIFS('Budget ed extra'!$G$7:$G$42,'Budget ed extra'!$J$7:$J$42,$A87,'Budget ed extra'!$H$7:$H$42,H$6))</f>
        <v>0</v>
      </c>
      <c r="Z87">
        <f>IF(I$6="",0,SUMIFS('Budget ed extra'!$G$7:$G$42,'Budget ed extra'!$J$7:$J$42,$A87,'Budget ed extra'!$H$7:$H$42,I$6))</f>
        <v>0</v>
      </c>
      <c r="AA87">
        <f>IF(J$6="",0,SUMIFS('Budget ed extra'!$G$7:$G$42,'Budget ed extra'!$J$7:$J$42,$A87,'Budget ed extra'!$H$7:$H$42,J$6))</f>
        <v>0</v>
      </c>
      <c r="AB87">
        <f>IF(K$6="",0,SUMIFS('Budget ed extra'!$G$7:$G$42,'Budget ed extra'!$J$7:$J$42,$A87,'Budget ed extra'!$H$7:$H$42,K$6))</f>
        <v>0</v>
      </c>
      <c r="AC87">
        <f>IF(L$6="",0,SUMIFS('Budget ed extra'!$G$7:$G$42,'Budget ed extra'!$J$7:$J$42,$A87,'Budget ed extra'!$H$7:$H$42,L$6))</f>
        <v>0</v>
      </c>
      <c r="AD87">
        <f>IF(M$6="",0,SUMIFS('Budget ed extra'!$G$7:$G$42,'Budget ed extra'!$J$7:$J$42,$A87,'Budget ed extra'!$H$7:$H$42,M$6))</f>
        <v>0</v>
      </c>
      <c r="AE87">
        <f>IF(N$6="",0,SUMIFS('Budget ed extra'!$G$7:$G$42,'Budget ed extra'!$J$7:$J$42,$A87,'Budget ed extra'!$H$7:$H$42,N$6))</f>
        <v>0</v>
      </c>
    </row>
    <row r="88">
      <c r="A88" t="n">
        <v>58</v>
      </c>
      <c r="B88">
        <f>DATE($B$2,$B$3+A88-1,1)</f>
        <v>48061.0</v>
      </c>
      <c r="C88">
        <f>IF(D88=0,N(Impostazioni!$B$6),SUMIFS('Budget ed extra'!$B$7:$B$18,'Budget ed extra'!$D$7:$D$18,D88)/COUNTIFS('Budget ed extra'!$D$7:$D$18,D88))</f>
        <v>900</v>
      </c>
      <c r="D88">
        <f>SUMPRODUCT(MAX(('Budget ed extra'!$D$7:$D$18&lt;=A88)*'Budget ed extra'!$D$7:$D$18))</f>
        <v>9</v>
      </c>
      <c r="E88">
        <f>SUMIFS('Budget ed extra'!$G$7:$G$42,'Budget ed extra'!$J$7:$J$42,A88)</f>
        <v>0</v>
      </c>
      <c r="F88">
        <f>SUM(T88:AE88)</f>
        <v>0</v>
      </c>
      <c r="G88">
        <f>MAX(0,E88-F88)</f>
        <v>0</v>
      </c>
      <c r="H88">
        <f>IF($A88&gt;=C$10,C$11,C$9)/12</f>
        <v>0.01575</v>
      </c>
      <c r="I88">
        <f>IF($A88&gt;=D$10,D$11,D$9)/12</f>
        <v>0.01825</v>
      </c>
      <c r="J88">
        <f>IF($A88&gt;=E$10,E$11,E$9)/12</f>
        <v>0.00766666666666667</v>
      </c>
      <c r="K88">
        <f>IF($A88&gt;=F$10,F$11,F$9)/12</f>
        <v>0.00533333333333333</v>
      </c>
      <c r="L88">
        <f>IF($A88&gt;=G$10,G$11,G$9)/12</f>
        <v>0</v>
      </c>
      <c r="M88">
        <f>IF($A88&gt;=H$10,H$11,H$9)/12</f>
        <v>0</v>
      </c>
      <c r="N88">
        <f>IF($A88&gt;=I$10,I$11,I$9)/12</f>
        <v>0</v>
      </c>
      <c r="O88">
        <f>IF($A88&gt;=J$10,J$11,J$9)/12</f>
        <v>0</v>
      </c>
      <c r="P88">
        <f>IF($A88&gt;=K$10,K$11,K$9)/12</f>
        <v>0</v>
      </c>
      <c r="Q88">
        <f>IF($A88&gt;=L$10,L$11,L$9)/12</f>
        <v>0</v>
      </c>
      <c r="R88">
        <f>IF($A88&gt;=M$10,M$11,M$9)/12</f>
        <v>0</v>
      </c>
      <c r="S88">
        <f>IF($A88&gt;=N$10,N$11,N$9)/12</f>
        <v>0</v>
      </c>
      <c r="T88">
        <f>IF(C$6="",0,SUMIFS('Budget ed extra'!$G$7:$G$42,'Budget ed extra'!$J$7:$J$42,$A88,'Budget ed extra'!$H$7:$H$42,C$6))</f>
        <v>0</v>
      </c>
      <c r="U88">
        <f>IF(D$6="",0,SUMIFS('Budget ed extra'!$G$7:$G$42,'Budget ed extra'!$J$7:$J$42,$A88,'Budget ed extra'!$H$7:$H$42,D$6))</f>
        <v>0</v>
      </c>
      <c r="V88">
        <f>IF(E$6="",0,SUMIFS('Budget ed extra'!$G$7:$G$42,'Budget ed extra'!$J$7:$J$42,$A88,'Budget ed extra'!$H$7:$H$42,E$6))</f>
        <v>0</v>
      </c>
      <c r="W88">
        <f>IF(F$6="",0,SUMIFS('Budget ed extra'!$G$7:$G$42,'Budget ed extra'!$J$7:$J$42,$A88,'Budget ed extra'!$H$7:$H$42,F$6))</f>
        <v>0</v>
      </c>
      <c r="X88">
        <f>IF(G$6="",0,SUMIFS('Budget ed extra'!$G$7:$G$42,'Budget ed extra'!$J$7:$J$42,$A88,'Budget ed extra'!$H$7:$H$42,G$6))</f>
        <v>0</v>
      </c>
      <c r="Y88">
        <f>IF(H$6="",0,SUMIFS('Budget ed extra'!$G$7:$G$42,'Budget ed extra'!$J$7:$J$42,$A88,'Budget ed extra'!$H$7:$H$42,H$6))</f>
        <v>0</v>
      </c>
      <c r="Z88">
        <f>IF(I$6="",0,SUMIFS('Budget ed extra'!$G$7:$G$42,'Budget ed extra'!$J$7:$J$42,$A88,'Budget ed extra'!$H$7:$H$42,I$6))</f>
        <v>0</v>
      </c>
      <c r="AA88">
        <f>IF(J$6="",0,SUMIFS('Budget ed extra'!$G$7:$G$42,'Budget ed extra'!$J$7:$J$42,$A88,'Budget ed extra'!$H$7:$H$42,J$6))</f>
        <v>0</v>
      </c>
      <c r="AB88">
        <f>IF(K$6="",0,SUMIFS('Budget ed extra'!$G$7:$G$42,'Budget ed extra'!$J$7:$J$42,$A88,'Budget ed extra'!$H$7:$H$42,K$6))</f>
        <v>0</v>
      </c>
      <c r="AC88">
        <f>IF(L$6="",0,SUMIFS('Budget ed extra'!$G$7:$G$42,'Budget ed extra'!$J$7:$J$42,$A88,'Budget ed extra'!$H$7:$H$42,L$6))</f>
        <v>0</v>
      </c>
      <c r="AD88">
        <f>IF(M$6="",0,SUMIFS('Budget ed extra'!$G$7:$G$42,'Budget ed extra'!$J$7:$J$42,$A88,'Budget ed extra'!$H$7:$H$42,M$6))</f>
        <v>0</v>
      </c>
      <c r="AE88">
        <f>IF(N$6="",0,SUMIFS('Budget ed extra'!$G$7:$G$42,'Budget ed extra'!$J$7:$J$42,$A88,'Budget ed extra'!$H$7:$H$42,N$6))</f>
        <v>0</v>
      </c>
    </row>
    <row r="89">
      <c r="A89" t="n">
        <v>59</v>
      </c>
      <c r="B89">
        <f>DATE($B$2,$B$3+A89-1,1)</f>
        <v>48092.0</v>
      </c>
      <c r="C89">
        <f>IF(D89=0,N(Impostazioni!$B$6),SUMIFS('Budget ed extra'!$B$7:$B$18,'Budget ed extra'!$D$7:$D$18,D89)/COUNTIFS('Budget ed extra'!$D$7:$D$18,D89))</f>
        <v>900</v>
      </c>
      <c r="D89">
        <f>SUMPRODUCT(MAX(('Budget ed extra'!$D$7:$D$18&lt;=A89)*'Budget ed extra'!$D$7:$D$18))</f>
        <v>9</v>
      </c>
      <c r="E89">
        <f>SUMIFS('Budget ed extra'!$G$7:$G$42,'Budget ed extra'!$J$7:$J$42,A89)</f>
        <v>0</v>
      </c>
      <c r="F89">
        <f>SUM(T89:AE89)</f>
        <v>0</v>
      </c>
      <c r="G89">
        <f>MAX(0,E89-F89)</f>
        <v>0</v>
      </c>
      <c r="H89">
        <f>IF($A89&gt;=C$10,C$11,C$9)/12</f>
        <v>0.01575</v>
      </c>
      <c r="I89">
        <f>IF($A89&gt;=D$10,D$11,D$9)/12</f>
        <v>0.01825</v>
      </c>
      <c r="J89">
        <f>IF($A89&gt;=E$10,E$11,E$9)/12</f>
        <v>0.00766666666666667</v>
      </c>
      <c r="K89">
        <f>IF($A89&gt;=F$10,F$11,F$9)/12</f>
        <v>0.00533333333333333</v>
      </c>
      <c r="L89">
        <f>IF($A89&gt;=G$10,G$11,G$9)/12</f>
        <v>0</v>
      </c>
      <c r="M89">
        <f>IF($A89&gt;=H$10,H$11,H$9)/12</f>
        <v>0</v>
      </c>
      <c r="N89">
        <f>IF($A89&gt;=I$10,I$11,I$9)/12</f>
        <v>0</v>
      </c>
      <c r="O89">
        <f>IF($A89&gt;=J$10,J$11,J$9)/12</f>
        <v>0</v>
      </c>
      <c r="P89">
        <f>IF($A89&gt;=K$10,K$11,K$9)/12</f>
        <v>0</v>
      </c>
      <c r="Q89">
        <f>IF($A89&gt;=L$10,L$11,L$9)/12</f>
        <v>0</v>
      </c>
      <c r="R89">
        <f>IF($A89&gt;=M$10,M$11,M$9)/12</f>
        <v>0</v>
      </c>
      <c r="S89">
        <f>IF($A89&gt;=N$10,N$11,N$9)/12</f>
        <v>0</v>
      </c>
      <c r="T89">
        <f>IF(C$6="",0,SUMIFS('Budget ed extra'!$G$7:$G$42,'Budget ed extra'!$J$7:$J$42,$A89,'Budget ed extra'!$H$7:$H$42,C$6))</f>
        <v>0</v>
      </c>
      <c r="U89">
        <f>IF(D$6="",0,SUMIFS('Budget ed extra'!$G$7:$G$42,'Budget ed extra'!$J$7:$J$42,$A89,'Budget ed extra'!$H$7:$H$42,D$6))</f>
        <v>0</v>
      </c>
      <c r="V89">
        <f>IF(E$6="",0,SUMIFS('Budget ed extra'!$G$7:$G$42,'Budget ed extra'!$J$7:$J$42,$A89,'Budget ed extra'!$H$7:$H$42,E$6))</f>
        <v>0</v>
      </c>
      <c r="W89">
        <f>IF(F$6="",0,SUMIFS('Budget ed extra'!$G$7:$G$42,'Budget ed extra'!$J$7:$J$42,$A89,'Budget ed extra'!$H$7:$H$42,F$6))</f>
        <v>0</v>
      </c>
      <c r="X89">
        <f>IF(G$6="",0,SUMIFS('Budget ed extra'!$G$7:$G$42,'Budget ed extra'!$J$7:$J$42,$A89,'Budget ed extra'!$H$7:$H$42,G$6))</f>
        <v>0</v>
      </c>
      <c r="Y89">
        <f>IF(H$6="",0,SUMIFS('Budget ed extra'!$G$7:$G$42,'Budget ed extra'!$J$7:$J$42,$A89,'Budget ed extra'!$H$7:$H$42,H$6))</f>
        <v>0</v>
      </c>
      <c r="Z89">
        <f>IF(I$6="",0,SUMIFS('Budget ed extra'!$G$7:$G$42,'Budget ed extra'!$J$7:$J$42,$A89,'Budget ed extra'!$H$7:$H$42,I$6))</f>
        <v>0</v>
      </c>
      <c r="AA89">
        <f>IF(J$6="",0,SUMIFS('Budget ed extra'!$G$7:$G$42,'Budget ed extra'!$J$7:$J$42,$A89,'Budget ed extra'!$H$7:$H$42,J$6))</f>
        <v>0</v>
      </c>
      <c r="AB89">
        <f>IF(K$6="",0,SUMIFS('Budget ed extra'!$G$7:$G$42,'Budget ed extra'!$J$7:$J$42,$A89,'Budget ed extra'!$H$7:$H$42,K$6))</f>
        <v>0</v>
      </c>
      <c r="AC89">
        <f>IF(L$6="",0,SUMIFS('Budget ed extra'!$G$7:$G$42,'Budget ed extra'!$J$7:$J$42,$A89,'Budget ed extra'!$H$7:$H$42,L$6))</f>
        <v>0</v>
      </c>
      <c r="AD89">
        <f>IF(M$6="",0,SUMIFS('Budget ed extra'!$G$7:$G$42,'Budget ed extra'!$J$7:$J$42,$A89,'Budget ed extra'!$H$7:$H$42,M$6))</f>
        <v>0</v>
      </c>
      <c r="AE89">
        <f>IF(N$6="",0,SUMIFS('Budget ed extra'!$G$7:$G$42,'Budget ed extra'!$J$7:$J$42,$A89,'Budget ed extra'!$H$7:$H$42,N$6))</f>
        <v>0</v>
      </c>
    </row>
    <row r="90">
      <c r="A90" t="n">
        <v>60</v>
      </c>
      <c r="B90">
        <f>DATE($B$2,$B$3+A90-1,1)</f>
        <v>48122.0</v>
      </c>
      <c r="C90">
        <f>IF(D90=0,N(Impostazioni!$B$6),SUMIFS('Budget ed extra'!$B$7:$B$18,'Budget ed extra'!$D$7:$D$18,D90)/COUNTIFS('Budget ed extra'!$D$7:$D$18,D90))</f>
        <v>900</v>
      </c>
      <c r="D90">
        <f>SUMPRODUCT(MAX(('Budget ed extra'!$D$7:$D$18&lt;=A90)*'Budget ed extra'!$D$7:$D$18))</f>
        <v>9</v>
      </c>
      <c r="E90">
        <f>SUMIFS('Budget ed extra'!$G$7:$G$42,'Budget ed extra'!$J$7:$J$42,A90)</f>
        <v>0</v>
      </c>
      <c r="F90">
        <f>SUM(T90:AE90)</f>
        <v>0</v>
      </c>
      <c r="G90">
        <f>MAX(0,E90-F90)</f>
        <v>0</v>
      </c>
      <c r="H90">
        <f>IF($A90&gt;=C$10,C$11,C$9)/12</f>
        <v>0.01575</v>
      </c>
      <c r="I90">
        <f>IF($A90&gt;=D$10,D$11,D$9)/12</f>
        <v>0.01825</v>
      </c>
      <c r="J90">
        <f>IF($A90&gt;=E$10,E$11,E$9)/12</f>
        <v>0.00766666666666667</v>
      </c>
      <c r="K90">
        <f>IF($A90&gt;=F$10,F$11,F$9)/12</f>
        <v>0.00533333333333333</v>
      </c>
      <c r="L90">
        <f>IF($A90&gt;=G$10,G$11,G$9)/12</f>
        <v>0</v>
      </c>
      <c r="M90">
        <f>IF($A90&gt;=H$10,H$11,H$9)/12</f>
        <v>0</v>
      </c>
      <c r="N90">
        <f>IF($A90&gt;=I$10,I$11,I$9)/12</f>
        <v>0</v>
      </c>
      <c r="O90">
        <f>IF($A90&gt;=J$10,J$11,J$9)/12</f>
        <v>0</v>
      </c>
      <c r="P90">
        <f>IF($A90&gt;=K$10,K$11,K$9)/12</f>
        <v>0</v>
      </c>
      <c r="Q90">
        <f>IF($A90&gt;=L$10,L$11,L$9)/12</f>
        <v>0</v>
      </c>
      <c r="R90">
        <f>IF($A90&gt;=M$10,M$11,M$9)/12</f>
        <v>0</v>
      </c>
      <c r="S90">
        <f>IF($A90&gt;=N$10,N$11,N$9)/12</f>
        <v>0</v>
      </c>
      <c r="T90">
        <f>IF(C$6="",0,SUMIFS('Budget ed extra'!$G$7:$G$42,'Budget ed extra'!$J$7:$J$42,$A90,'Budget ed extra'!$H$7:$H$42,C$6))</f>
        <v>0</v>
      </c>
      <c r="U90">
        <f>IF(D$6="",0,SUMIFS('Budget ed extra'!$G$7:$G$42,'Budget ed extra'!$J$7:$J$42,$A90,'Budget ed extra'!$H$7:$H$42,D$6))</f>
        <v>0</v>
      </c>
      <c r="V90">
        <f>IF(E$6="",0,SUMIFS('Budget ed extra'!$G$7:$G$42,'Budget ed extra'!$J$7:$J$42,$A90,'Budget ed extra'!$H$7:$H$42,E$6))</f>
        <v>0</v>
      </c>
      <c r="W90">
        <f>IF(F$6="",0,SUMIFS('Budget ed extra'!$G$7:$G$42,'Budget ed extra'!$J$7:$J$42,$A90,'Budget ed extra'!$H$7:$H$42,F$6))</f>
        <v>0</v>
      </c>
      <c r="X90">
        <f>IF(G$6="",0,SUMIFS('Budget ed extra'!$G$7:$G$42,'Budget ed extra'!$J$7:$J$42,$A90,'Budget ed extra'!$H$7:$H$42,G$6))</f>
        <v>0</v>
      </c>
      <c r="Y90">
        <f>IF(H$6="",0,SUMIFS('Budget ed extra'!$G$7:$G$42,'Budget ed extra'!$J$7:$J$42,$A90,'Budget ed extra'!$H$7:$H$42,H$6))</f>
        <v>0</v>
      </c>
      <c r="Z90">
        <f>IF(I$6="",0,SUMIFS('Budget ed extra'!$G$7:$G$42,'Budget ed extra'!$J$7:$J$42,$A90,'Budget ed extra'!$H$7:$H$42,I$6))</f>
        <v>0</v>
      </c>
      <c r="AA90">
        <f>IF(J$6="",0,SUMIFS('Budget ed extra'!$G$7:$G$42,'Budget ed extra'!$J$7:$J$42,$A90,'Budget ed extra'!$H$7:$H$42,J$6))</f>
        <v>0</v>
      </c>
      <c r="AB90">
        <f>IF(K$6="",0,SUMIFS('Budget ed extra'!$G$7:$G$42,'Budget ed extra'!$J$7:$J$42,$A90,'Budget ed extra'!$H$7:$H$42,K$6))</f>
        <v>0</v>
      </c>
      <c r="AC90">
        <f>IF(L$6="",0,SUMIFS('Budget ed extra'!$G$7:$G$42,'Budget ed extra'!$J$7:$J$42,$A90,'Budget ed extra'!$H$7:$H$42,L$6))</f>
        <v>0</v>
      </c>
      <c r="AD90">
        <f>IF(M$6="",0,SUMIFS('Budget ed extra'!$G$7:$G$42,'Budget ed extra'!$J$7:$J$42,$A90,'Budget ed extra'!$H$7:$H$42,M$6))</f>
        <v>0</v>
      </c>
      <c r="AE90">
        <f>IF(N$6="",0,SUMIFS('Budget ed extra'!$G$7:$G$42,'Budget ed extra'!$J$7:$J$42,$A90,'Budget ed extra'!$H$7:$H$42,N$6))</f>
        <v>0</v>
      </c>
    </row>
    <row r="91">
      <c r="A91" t="n">
        <v>61</v>
      </c>
      <c r="B91">
        <f>DATE($B$2,$B$3+A91-1,1)</f>
        <v>48153.0</v>
      </c>
      <c r="C91">
        <f>IF(D91=0,N(Impostazioni!$B$6),SUMIFS('Budget ed extra'!$B$7:$B$18,'Budget ed extra'!$D$7:$D$18,D91)/COUNTIFS('Budget ed extra'!$D$7:$D$18,D91))</f>
        <v>900</v>
      </c>
      <c r="D91">
        <f>SUMPRODUCT(MAX(('Budget ed extra'!$D$7:$D$18&lt;=A91)*'Budget ed extra'!$D$7:$D$18))</f>
        <v>9</v>
      </c>
      <c r="E91">
        <f>SUMIFS('Budget ed extra'!$G$7:$G$42,'Budget ed extra'!$J$7:$J$42,A91)</f>
        <v>0</v>
      </c>
      <c r="F91">
        <f>SUM(T91:AE91)</f>
        <v>0</v>
      </c>
      <c r="G91">
        <f>MAX(0,E91-F91)</f>
        <v>0</v>
      </c>
      <c r="H91">
        <f>IF($A91&gt;=C$10,C$11,C$9)/12</f>
        <v>0.01575</v>
      </c>
      <c r="I91">
        <f>IF($A91&gt;=D$10,D$11,D$9)/12</f>
        <v>0.01825</v>
      </c>
      <c r="J91">
        <f>IF($A91&gt;=E$10,E$11,E$9)/12</f>
        <v>0.00766666666666667</v>
      </c>
      <c r="K91">
        <f>IF($A91&gt;=F$10,F$11,F$9)/12</f>
        <v>0.00533333333333333</v>
      </c>
      <c r="L91">
        <f>IF($A91&gt;=G$10,G$11,G$9)/12</f>
        <v>0</v>
      </c>
      <c r="M91">
        <f>IF($A91&gt;=H$10,H$11,H$9)/12</f>
        <v>0</v>
      </c>
      <c r="N91">
        <f>IF($A91&gt;=I$10,I$11,I$9)/12</f>
        <v>0</v>
      </c>
      <c r="O91">
        <f>IF($A91&gt;=J$10,J$11,J$9)/12</f>
        <v>0</v>
      </c>
      <c r="P91">
        <f>IF($A91&gt;=K$10,K$11,K$9)/12</f>
        <v>0</v>
      </c>
      <c r="Q91">
        <f>IF($A91&gt;=L$10,L$11,L$9)/12</f>
        <v>0</v>
      </c>
      <c r="R91">
        <f>IF($A91&gt;=M$10,M$11,M$9)/12</f>
        <v>0</v>
      </c>
      <c r="S91">
        <f>IF($A91&gt;=N$10,N$11,N$9)/12</f>
        <v>0</v>
      </c>
      <c r="T91">
        <f>IF(C$6="",0,SUMIFS('Budget ed extra'!$G$7:$G$42,'Budget ed extra'!$J$7:$J$42,$A91,'Budget ed extra'!$H$7:$H$42,C$6))</f>
        <v>0</v>
      </c>
      <c r="U91">
        <f>IF(D$6="",0,SUMIFS('Budget ed extra'!$G$7:$G$42,'Budget ed extra'!$J$7:$J$42,$A91,'Budget ed extra'!$H$7:$H$42,D$6))</f>
        <v>0</v>
      </c>
      <c r="V91">
        <f>IF(E$6="",0,SUMIFS('Budget ed extra'!$G$7:$G$42,'Budget ed extra'!$J$7:$J$42,$A91,'Budget ed extra'!$H$7:$H$42,E$6))</f>
        <v>0</v>
      </c>
      <c r="W91">
        <f>IF(F$6="",0,SUMIFS('Budget ed extra'!$G$7:$G$42,'Budget ed extra'!$J$7:$J$42,$A91,'Budget ed extra'!$H$7:$H$42,F$6))</f>
        <v>0</v>
      </c>
      <c r="X91">
        <f>IF(G$6="",0,SUMIFS('Budget ed extra'!$G$7:$G$42,'Budget ed extra'!$J$7:$J$42,$A91,'Budget ed extra'!$H$7:$H$42,G$6))</f>
        <v>0</v>
      </c>
      <c r="Y91">
        <f>IF(H$6="",0,SUMIFS('Budget ed extra'!$G$7:$G$42,'Budget ed extra'!$J$7:$J$42,$A91,'Budget ed extra'!$H$7:$H$42,H$6))</f>
        <v>0</v>
      </c>
      <c r="Z91">
        <f>IF(I$6="",0,SUMIFS('Budget ed extra'!$G$7:$G$42,'Budget ed extra'!$J$7:$J$42,$A91,'Budget ed extra'!$H$7:$H$42,I$6))</f>
        <v>0</v>
      </c>
      <c r="AA91">
        <f>IF(J$6="",0,SUMIFS('Budget ed extra'!$G$7:$G$42,'Budget ed extra'!$J$7:$J$42,$A91,'Budget ed extra'!$H$7:$H$42,J$6))</f>
        <v>0</v>
      </c>
      <c r="AB91">
        <f>IF(K$6="",0,SUMIFS('Budget ed extra'!$G$7:$G$42,'Budget ed extra'!$J$7:$J$42,$A91,'Budget ed extra'!$H$7:$H$42,K$6))</f>
        <v>0</v>
      </c>
      <c r="AC91">
        <f>IF(L$6="",0,SUMIFS('Budget ed extra'!$G$7:$G$42,'Budget ed extra'!$J$7:$J$42,$A91,'Budget ed extra'!$H$7:$H$42,L$6))</f>
        <v>0</v>
      </c>
      <c r="AD91">
        <f>IF(M$6="",0,SUMIFS('Budget ed extra'!$G$7:$G$42,'Budget ed extra'!$J$7:$J$42,$A91,'Budget ed extra'!$H$7:$H$42,M$6))</f>
        <v>0</v>
      </c>
      <c r="AE91">
        <f>IF(N$6="",0,SUMIFS('Budget ed extra'!$G$7:$G$42,'Budget ed extra'!$J$7:$J$42,$A91,'Budget ed extra'!$H$7:$H$42,N$6))</f>
        <v>0</v>
      </c>
    </row>
    <row r="92">
      <c r="A92" t="n">
        <v>62</v>
      </c>
      <c r="B92">
        <f>DATE($B$2,$B$3+A92-1,1)</f>
        <v>48183.0</v>
      </c>
      <c r="C92">
        <f>IF(D92=0,N(Impostazioni!$B$6),SUMIFS('Budget ed extra'!$B$7:$B$18,'Budget ed extra'!$D$7:$D$18,D92)/COUNTIFS('Budget ed extra'!$D$7:$D$18,D92))</f>
        <v>900</v>
      </c>
      <c r="D92">
        <f>SUMPRODUCT(MAX(('Budget ed extra'!$D$7:$D$18&lt;=A92)*'Budget ed extra'!$D$7:$D$18))</f>
        <v>9</v>
      </c>
      <c r="E92">
        <f>SUMIFS('Budget ed extra'!$G$7:$G$42,'Budget ed extra'!$J$7:$J$42,A92)</f>
        <v>0</v>
      </c>
      <c r="F92">
        <f>SUM(T92:AE92)</f>
        <v>0</v>
      </c>
      <c r="G92">
        <f>MAX(0,E92-F92)</f>
        <v>0</v>
      </c>
      <c r="H92">
        <f>IF($A92&gt;=C$10,C$11,C$9)/12</f>
        <v>0.01575</v>
      </c>
      <c r="I92">
        <f>IF($A92&gt;=D$10,D$11,D$9)/12</f>
        <v>0.01825</v>
      </c>
      <c r="J92">
        <f>IF($A92&gt;=E$10,E$11,E$9)/12</f>
        <v>0.00766666666666667</v>
      </c>
      <c r="K92">
        <f>IF($A92&gt;=F$10,F$11,F$9)/12</f>
        <v>0.00533333333333333</v>
      </c>
      <c r="L92">
        <f>IF($A92&gt;=G$10,G$11,G$9)/12</f>
        <v>0</v>
      </c>
      <c r="M92">
        <f>IF($A92&gt;=H$10,H$11,H$9)/12</f>
        <v>0</v>
      </c>
      <c r="N92">
        <f>IF($A92&gt;=I$10,I$11,I$9)/12</f>
        <v>0</v>
      </c>
      <c r="O92">
        <f>IF($A92&gt;=J$10,J$11,J$9)/12</f>
        <v>0</v>
      </c>
      <c r="P92">
        <f>IF($A92&gt;=K$10,K$11,K$9)/12</f>
        <v>0</v>
      </c>
      <c r="Q92">
        <f>IF($A92&gt;=L$10,L$11,L$9)/12</f>
        <v>0</v>
      </c>
      <c r="R92">
        <f>IF($A92&gt;=M$10,M$11,M$9)/12</f>
        <v>0</v>
      </c>
      <c r="S92">
        <f>IF($A92&gt;=N$10,N$11,N$9)/12</f>
        <v>0</v>
      </c>
      <c r="T92">
        <f>IF(C$6="",0,SUMIFS('Budget ed extra'!$G$7:$G$42,'Budget ed extra'!$J$7:$J$42,$A92,'Budget ed extra'!$H$7:$H$42,C$6))</f>
        <v>0</v>
      </c>
      <c r="U92">
        <f>IF(D$6="",0,SUMIFS('Budget ed extra'!$G$7:$G$42,'Budget ed extra'!$J$7:$J$42,$A92,'Budget ed extra'!$H$7:$H$42,D$6))</f>
        <v>0</v>
      </c>
      <c r="V92">
        <f>IF(E$6="",0,SUMIFS('Budget ed extra'!$G$7:$G$42,'Budget ed extra'!$J$7:$J$42,$A92,'Budget ed extra'!$H$7:$H$42,E$6))</f>
        <v>0</v>
      </c>
      <c r="W92">
        <f>IF(F$6="",0,SUMIFS('Budget ed extra'!$G$7:$G$42,'Budget ed extra'!$J$7:$J$42,$A92,'Budget ed extra'!$H$7:$H$42,F$6))</f>
        <v>0</v>
      </c>
      <c r="X92">
        <f>IF(G$6="",0,SUMIFS('Budget ed extra'!$G$7:$G$42,'Budget ed extra'!$J$7:$J$42,$A92,'Budget ed extra'!$H$7:$H$42,G$6))</f>
        <v>0</v>
      </c>
      <c r="Y92">
        <f>IF(H$6="",0,SUMIFS('Budget ed extra'!$G$7:$G$42,'Budget ed extra'!$J$7:$J$42,$A92,'Budget ed extra'!$H$7:$H$42,H$6))</f>
        <v>0</v>
      </c>
      <c r="Z92">
        <f>IF(I$6="",0,SUMIFS('Budget ed extra'!$G$7:$G$42,'Budget ed extra'!$J$7:$J$42,$A92,'Budget ed extra'!$H$7:$H$42,I$6))</f>
        <v>0</v>
      </c>
      <c r="AA92">
        <f>IF(J$6="",0,SUMIFS('Budget ed extra'!$G$7:$G$42,'Budget ed extra'!$J$7:$J$42,$A92,'Budget ed extra'!$H$7:$H$42,J$6))</f>
        <v>0</v>
      </c>
      <c r="AB92">
        <f>IF(K$6="",0,SUMIFS('Budget ed extra'!$G$7:$G$42,'Budget ed extra'!$J$7:$J$42,$A92,'Budget ed extra'!$H$7:$H$42,K$6))</f>
        <v>0</v>
      </c>
      <c r="AC92">
        <f>IF(L$6="",0,SUMIFS('Budget ed extra'!$G$7:$G$42,'Budget ed extra'!$J$7:$J$42,$A92,'Budget ed extra'!$H$7:$H$42,L$6))</f>
        <v>0</v>
      </c>
      <c r="AD92">
        <f>IF(M$6="",0,SUMIFS('Budget ed extra'!$G$7:$G$42,'Budget ed extra'!$J$7:$J$42,$A92,'Budget ed extra'!$H$7:$H$42,M$6))</f>
        <v>0</v>
      </c>
      <c r="AE92">
        <f>IF(N$6="",0,SUMIFS('Budget ed extra'!$G$7:$G$42,'Budget ed extra'!$J$7:$J$42,$A92,'Budget ed extra'!$H$7:$H$42,N$6))</f>
        <v>0</v>
      </c>
    </row>
    <row r="93">
      <c r="A93" t="n">
        <v>63</v>
      </c>
      <c r="B93">
        <f>DATE($B$2,$B$3+A93-1,1)</f>
        <v>48214.0</v>
      </c>
      <c r="C93">
        <f>IF(D93=0,N(Impostazioni!$B$6),SUMIFS('Budget ed extra'!$B$7:$B$18,'Budget ed extra'!$D$7:$D$18,D93)/COUNTIFS('Budget ed extra'!$D$7:$D$18,D93))</f>
        <v>900</v>
      </c>
      <c r="D93">
        <f>SUMPRODUCT(MAX(('Budget ed extra'!$D$7:$D$18&lt;=A93)*'Budget ed extra'!$D$7:$D$18))</f>
        <v>9</v>
      </c>
      <c r="E93">
        <f>SUMIFS('Budget ed extra'!$G$7:$G$42,'Budget ed extra'!$J$7:$J$42,A93)</f>
        <v>0</v>
      </c>
      <c r="F93">
        <f>SUM(T93:AE93)</f>
        <v>0</v>
      </c>
      <c r="G93">
        <f>MAX(0,E93-F93)</f>
        <v>0</v>
      </c>
      <c r="H93">
        <f>IF($A93&gt;=C$10,C$11,C$9)/12</f>
        <v>0.01575</v>
      </c>
      <c r="I93">
        <f>IF($A93&gt;=D$10,D$11,D$9)/12</f>
        <v>0.01825</v>
      </c>
      <c r="J93">
        <f>IF($A93&gt;=E$10,E$11,E$9)/12</f>
        <v>0.00766666666666667</v>
      </c>
      <c r="K93">
        <f>IF($A93&gt;=F$10,F$11,F$9)/12</f>
        <v>0.00533333333333333</v>
      </c>
      <c r="L93">
        <f>IF($A93&gt;=G$10,G$11,G$9)/12</f>
        <v>0</v>
      </c>
      <c r="M93">
        <f>IF($A93&gt;=H$10,H$11,H$9)/12</f>
        <v>0</v>
      </c>
      <c r="N93">
        <f>IF($A93&gt;=I$10,I$11,I$9)/12</f>
        <v>0</v>
      </c>
      <c r="O93">
        <f>IF($A93&gt;=J$10,J$11,J$9)/12</f>
        <v>0</v>
      </c>
      <c r="P93">
        <f>IF($A93&gt;=K$10,K$11,K$9)/12</f>
        <v>0</v>
      </c>
      <c r="Q93">
        <f>IF($A93&gt;=L$10,L$11,L$9)/12</f>
        <v>0</v>
      </c>
      <c r="R93">
        <f>IF($A93&gt;=M$10,M$11,M$9)/12</f>
        <v>0</v>
      </c>
      <c r="S93">
        <f>IF($A93&gt;=N$10,N$11,N$9)/12</f>
        <v>0</v>
      </c>
      <c r="T93">
        <f>IF(C$6="",0,SUMIFS('Budget ed extra'!$G$7:$G$42,'Budget ed extra'!$J$7:$J$42,$A93,'Budget ed extra'!$H$7:$H$42,C$6))</f>
        <v>0</v>
      </c>
      <c r="U93">
        <f>IF(D$6="",0,SUMIFS('Budget ed extra'!$G$7:$G$42,'Budget ed extra'!$J$7:$J$42,$A93,'Budget ed extra'!$H$7:$H$42,D$6))</f>
        <v>0</v>
      </c>
      <c r="V93">
        <f>IF(E$6="",0,SUMIFS('Budget ed extra'!$G$7:$G$42,'Budget ed extra'!$J$7:$J$42,$A93,'Budget ed extra'!$H$7:$H$42,E$6))</f>
        <v>0</v>
      </c>
      <c r="W93">
        <f>IF(F$6="",0,SUMIFS('Budget ed extra'!$G$7:$G$42,'Budget ed extra'!$J$7:$J$42,$A93,'Budget ed extra'!$H$7:$H$42,F$6))</f>
        <v>0</v>
      </c>
      <c r="X93">
        <f>IF(G$6="",0,SUMIFS('Budget ed extra'!$G$7:$G$42,'Budget ed extra'!$J$7:$J$42,$A93,'Budget ed extra'!$H$7:$H$42,G$6))</f>
        <v>0</v>
      </c>
      <c r="Y93">
        <f>IF(H$6="",0,SUMIFS('Budget ed extra'!$G$7:$G$42,'Budget ed extra'!$J$7:$J$42,$A93,'Budget ed extra'!$H$7:$H$42,H$6))</f>
        <v>0</v>
      </c>
      <c r="Z93">
        <f>IF(I$6="",0,SUMIFS('Budget ed extra'!$G$7:$G$42,'Budget ed extra'!$J$7:$J$42,$A93,'Budget ed extra'!$H$7:$H$42,I$6))</f>
        <v>0</v>
      </c>
      <c r="AA93">
        <f>IF(J$6="",0,SUMIFS('Budget ed extra'!$G$7:$G$42,'Budget ed extra'!$J$7:$J$42,$A93,'Budget ed extra'!$H$7:$H$42,J$6))</f>
        <v>0</v>
      </c>
      <c r="AB93">
        <f>IF(K$6="",0,SUMIFS('Budget ed extra'!$G$7:$G$42,'Budget ed extra'!$J$7:$J$42,$A93,'Budget ed extra'!$H$7:$H$42,K$6))</f>
        <v>0</v>
      </c>
      <c r="AC93">
        <f>IF(L$6="",0,SUMIFS('Budget ed extra'!$G$7:$G$42,'Budget ed extra'!$J$7:$J$42,$A93,'Budget ed extra'!$H$7:$H$42,L$6))</f>
        <v>0</v>
      </c>
      <c r="AD93">
        <f>IF(M$6="",0,SUMIFS('Budget ed extra'!$G$7:$G$42,'Budget ed extra'!$J$7:$J$42,$A93,'Budget ed extra'!$H$7:$H$42,M$6))</f>
        <v>0</v>
      </c>
      <c r="AE93">
        <f>IF(N$6="",0,SUMIFS('Budget ed extra'!$G$7:$G$42,'Budget ed extra'!$J$7:$J$42,$A93,'Budget ed extra'!$H$7:$H$42,N$6))</f>
        <v>0</v>
      </c>
    </row>
    <row r="94">
      <c r="A94" t="n">
        <v>64</v>
      </c>
      <c r="B94">
        <f>DATE($B$2,$B$3+A94-1,1)</f>
        <v>48245.0</v>
      </c>
      <c r="C94">
        <f>IF(D94=0,N(Impostazioni!$B$6),SUMIFS('Budget ed extra'!$B$7:$B$18,'Budget ed extra'!$D$7:$D$18,D94)/COUNTIFS('Budget ed extra'!$D$7:$D$18,D94))</f>
        <v>900</v>
      </c>
      <c r="D94">
        <f>SUMPRODUCT(MAX(('Budget ed extra'!$D$7:$D$18&lt;=A94)*'Budget ed extra'!$D$7:$D$18))</f>
        <v>9</v>
      </c>
      <c r="E94">
        <f>SUMIFS('Budget ed extra'!$G$7:$G$42,'Budget ed extra'!$J$7:$J$42,A94)</f>
        <v>0</v>
      </c>
      <c r="F94">
        <f>SUM(T94:AE94)</f>
        <v>0</v>
      </c>
      <c r="G94">
        <f>MAX(0,E94-F94)</f>
        <v>0</v>
      </c>
      <c r="H94">
        <f>IF($A94&gt;=C$10,C$11,C$9)/12</f>
        <v>0.01575</v>
      </c>
      <c r="I94">
        <f>IF($A94&gt;=D$10,D$11,D$9)/12</f>
        <v>0.01825</v>
      </c>
      <c r="J94">
        <f>IF($A94&gt;=E$10,E$11,E$9)/12</f>
        <v>0.00766666666666667</v>
      </c>
      <c r="K94">
        <f>IF($A94&gt;=F$10,F$11,F$9)/12</f>
        <v>0.00533333333333333</v>
      </c>
      <c r="L94">
        <f>IF($A94&gt;=G$10,G$11,G$9)/12</f>
        <v>0</v>
      </c>
      <c r="M94">
        <f>IF($A94&gt;=H$10,H$11,H$9)/12</f>
        <v>0</v>
      </c>
      <c r="N94">
        <f>IF($A94&gt;=I$10,I$11,I$9)/12</f>
        <v>0</v>
      </c>
      <c r="O94">
        <f>IF($A94&gt;=J$10,J$11,J$9)/12</f>
        <v>0</v>
      </c>
      <c r="P94">
        <f>IF($A94&gt;=K$10,K$11,K$9)/12</f>
        <v>0</v>
      </c>
      <c r="Q94">
        <f>IF($A94&gt;=L$10,L$11,L$9)/12</f>
        <v>0</v>
      </c>
      <c r="R94">
        <f>IF($A94&gt;=M$10,M$11,M$9)/12</f>
        <v>0</v>
      </c>
      <c r="S94">
        <f>IF($A94&gt;=N$10,N$11,N$9)/12</f>
        <v>0</v>
      </c>
      <c r="T94">
        <f>IF(C$6="",0,SUMIFS('Budget ed extra'!$G$7:$G$42,'Budget ed extra'!$J$7:$J$42,$A94,'Budget ed extra'!$H$7:$H$42,C$6))</f>
        <v>0</v>
      </c>
      <c r="U94">
        <f>IF(D$6="",0,SUMIFS('Budget ed extra'!$G$7:$G$42,'Budget ed extra'!$J$7:$J$42,$A94,'Budget ed extra'!$H$7:$H$42,D$6))</f>
        <v>0</v>
      </c>
      <c r="V94">
        <f>IF(E$6="",0,SUMIFS('Budget ed extra'!$G$7:$G$42,'Budget ed extra'!$J$7:$J$42,$A94,'Budget ed extra'!$H$7:$H$42,E$6))</f>
        <v>0</v>
      </c>
      <c r="W94">
        <f>IF(F$6="",0,SUMIFS('Budget ed extra'!$G$7:$G$42,'Budget ed extra'!$J$7:$J$42,$A94,'Budget ed extra'!$H$7:$H$42,F$6))</f>
        <v>0</v>
      </c>
      <c r="X94">
        <f>IF(G$6="",0,SUMIFS('Budget ed extra'!$G$7:$G$42,'Budget ed extra'!$J$7:$J$42,$A94,'Budget ed extra'!$H$7:$H$42,G$6))</f>
        <v>0</v>
      </c>
      <c r="Y94">
        <f>IF(H$6="",0,SUMIFS('Budget ed extra'!$G$7:$G$42,'Budget ed extra'!$J$7:$J$42,$A94,'Budget ed extra'!$H$7:$H$42,H$6))</f>
        <v>0</v>
      </c>
      <c r="Z94">
        <f>IF(I$6="",0,SUMIFS('Budget ed extra'!$G$7:$G$42,'Budget ed extra'!$J$7:$J$42,$A94,'Budget ed extra'!$H$7:$H$42,I$6))</f>
        <v>0</v>
      </c>
      <c r="AA94">
        <f>IF(J$6="",0,SUMIFS('Budget ed extra'!$G$7:$G$42,'Budget ed extra'!$J$7:$J$42,$A94,'Budget ed extra'!$H$7:$H$42,J$6))</f>
        <v>0</v>
      </c>
      <c r="AB94">
        <f>IF(K$6="",0,SUMIFS('Budget ed extra'!$G$7:$G$42,'Budget ed extra'!$J$7:$J$42,$A94,'Budget ed extra'!$H$7:$H$42,K$6))</f>
        <v>0</v>
      </c>
      <c r="AC94">
        <f>IF(L$6="",0,SUMIFS('Budget ed extra'!$G$7:$G$42,'Budget ed extra'!$J$7:$J$42,$A94,'Budget ed extra'!$H$7:$H$42,L$6))</f>
        <v>0</v>
      </c>
      <c r="AD94">
        <f>IF(M$6="",0,SUMIFS('Budget ed extra'!$G$7:$G$42,'Budget ed extra'!$J$7:$J$42,$A94,'Budget ed extra'!$H$7:$H$42,M$6))</f>
        <v>0</v>
      </c>
      <c r="AE94">
        <f>IF(N$6="",0,SUMIFS('Budget ed extra'!$G$7:$G$42,'Budget ed extra'!$J$7:$J$42,$A94,'Budget ed extra'!$H$7:$H$42,N$6))</f>
        <v>0</v>
      </c>
    </row>
    <row r="95">
      <c r="A95" t="n">
        <v>65</v>
      </c>
      <c r="B95">
        <f>DATE($B$2,$B$3+A95-1,1)</f>
        <v>48274.0</v>
      </c>
      <c r="C95">
        <f>IF(D95=0,N(Impostazioni!$B$6),SUMIFS('Budget ed extra'!$B$7:$B$18,'Budget ed extra'!$D$7:$D$18,D95)/COUNTIFS('Budget ed extra'!$D$7:$D$18,D95))</f>
        <v>900</v>
      </c>
      <c r="D95">
        <f>SUMPRODUCT(MAX(('Budget ed extra'!$D$7:$D$18&lt;=A95)*'Budget ed extra'!$D$7:$D$18))</f>
        <v>9</v>
      </c>
      <c r="E95">
        <f>SUMIFS('Budget ed extra'!$G$7:$G$42,'Budget ed extra'!$J$7:$J$42,A95)</f>
        <v>0</v>
      </c>
      <c r="F95">
        <f>SUM(T95:AE95)</f>
        <v>0</v>
      </c>
      <c r="G95">
        <f>MAX(0,E95-F95)</f>
        <v>0</v>
      </c>
      <c r="H95">
        <f>IF($A95&gt;=C$10,C$11,C$9)/12</f>
        <v>0.01575</v>
      </c>
      <c r="I95">
        <f>IF($A95&gt;=D$10,D$11,D$9)/12</f>
        <v>0.01825</v>
      </c>
      <c r="J95">
        <f>IF($A95&gt;=E$10,E$11,E$9)/12</f>
        <v>0.00766666666666667</v>
      </c>
      <c r="K95">
        <f>IF($A95&gt;=F$10,F$11,F$9)/12</f>
        <v>0.00533333333333333</v>
      </c>
      <c r="L95">
        <f>IF($A95&gt;=G$10,G$11,G$9)/12</f>
        <v>0</v>
      </c>
      <c r="M95">
        <f>IF($A95&gt;=H$10,H$11,H$9)/12</f>
        <v>0</v>
      </c>
      <c r="N95">
        <f>IF($A95&gt;=I$10,I$11,I$9)/12</f>
        <v>0</v>
      </c>
      <c r="O95">
        <f>IF($A95&gt;=J$10,J$11,J$9)/12</f>
        <v>0</v>
      </c>
      <c r="P95">
        <f>IF($A95&gt;=K$10,K$11,K$9)/12</f>
        <v>0</v>
      </c>
      <c r="Q95">
        <f>IF($A95&gt;=L$10,L$11,L$9)/12</f>
        <v>0</v>
      </c>
      <c r="R95">
        <f>IF($A95&gt;=M$10,M$11,M$9)/12</f>
        <v>0</v>
      </c>
      <c r="S95">
        <f>IF($A95&gt;=N$10,N$11,N$9)/12</f>
        <v>0</v>
      </c>
      <c r="T95">
        <f>IF(C$6="",0,SUMIFS('Budget ed extra'!$G$7:$G$42,'Budget ed extra'!$J$7:$J$42,$A95,'Budget ed extra'!$H$7:$H$42,C$6))</f>
        <v>0</v>
      </c>
      <c r="U95">
        <f>IF(D$6="",0,SUMIFS('Budget ed extra'!$G$7:$G$42,'Budget ed extra'!$J$7:$J$42,$A95,'Budget ed extra'!$H$7:$H$42,D$6))</f>
        <v>0</v>
      </c>
      <c r="V95">
        <f>IF(E$6="",0,SUMIFS('Budget ed extra'!$G$7:$G$42,'Budget ed extra'!$J$7:$J$42,$A95,'Budget ed extra'!$H$7:$H$42,E$6))</f>
        <v>0</v>
      </c>
      <c r="W95">
        <f>IF(F$6="",0,SUMIFS('Budget ed extra'!$G$7:$G$42,'Budget ed extra'!$J$7:$J$42,$A95,'Budget ed extra'!$H$7:$H$42,F$6))</f>
        <v>0</v>
      </c>
      <c r="X95">
        <f>IF(G$6="",0,SUMIFS('Budget ed extra'!$G$7:$G$42,'Budget ed extra'!$J$7:$J$42,$A95,'Budget ed extra'!$H$7:$H$42,G$6))</f>
        <v>0</v>
      </c>
      <c r="Y95">
        <f>IF(H$6="",0,SUMIFS('Budget ed extra'!$G$7:$G$42,'Budget ed extra'!$J$7:$J$42,$A95,'Budget ed extra'!$H$7:$H$42,H$6))</f>
        <v>0</v>
      </c>
      <c r="Z95">
        <f>IF(I$6="",0,SUMIFS('Budget ed extra'!$G$7:$G$42,'Budget ed extra'!$J$7:$J$42,$A95,'Budget ed extra'!$H$7:$H$42,I$6))</f>
        <v>0</v>
      </c>
      <c r="AA95">
        <f>IF(J$6="",0,SUMIFS('Budget ed extra'!$G$7:$G$42,'Budget ed extra'!$J$7:$J$42,$A95,'Budget ed extra'!$H$7:$H$42,J$6))</f>
        <v>0</v>
      </c>
      <c r="AB95">
        <f>IF(K$6="",0,SUMIFS('Budget ed extra'!$G$7:$G$42,'Budget ed extra'!$J$7:$J$42,$A95,'Budget ed extra'!$H$7:$H$42,K$6))</f>
        <v>0</v>
      </c>
      <c r="AC95">
        <f>IF(L$6="",0,SUMIFS('Budget ed extra'!$G$7:$G$42,'Budget ed extra'!$J$7:$J$42,$A95,'Budget ed extra'!$H$7:$H$42,L$6))</f>
        <v>0</v>
      </c>
      <c r="AD95">
        <f>IF(M$6="",0,SUMIFS('Budget ed extra'!$G$7:$G$42,'Budget ed extra'!$J$7:$J$42,$A95,'Budget ed extra'!$H$7:$H$42,M$6))</f>
        <v>0</v>
      </c>
      <c r="AE95">
        <f>IF(N$6="",0,SUMIFS('Budget ed extra'!$G$7:$G$42,'Budget ed extra'!$J$7:$J$42,$A95,'Budget ed extra'!$H$7:$H$42,N$6))</f>
        <v>0</v>
      </c>
    </row>
    <row r="96">
      <c r="A96" t="n">
        <v>66</v>
      </c>
      <c r="B96">
        <f>DATE($B$2,$B$3+A96-1,1)</f>
        <v>48305.0</v>
      </c>
      <c r="C96">
        <f>IF(D96=0,N(Impostazioni!$B$6),SUMIFS('Budget ed extra'!$B$7:$B$18,'Budget ed extra'!$D$7:$D$18,D96)/COUNTIFS('Budget ed extra'!$D$7:$D$18,D96))</f>
        <v>900</v>
      </c>
      <c r="D96">
        <f>SUMPRODUCT(MAX(('Budget ed extra'!$D$7:$D$18&lt;=A96)*'Budget ed extra'!$D$7:$D$18))</f>
        <v>9</v>
      </c>
      <c r="E96">
        <f>SUMIFS('Budget ed extra'!$G$7:$G$42,'Budget ed extra'!$J$7:$J$42,A96)</f>
        <v>0</v>
      </c>
      <c r="F96">
        <f>SUM(T96:AE96)</f>
        <v>0</v>
      </c>
      <c r="G96">
        <f>MAX(0,E96-F96)</f>
        <v>0</v>
      </c>
      <c r="H96">
        <f>IF($A96&gt;=C$10,C$11,C$9)/12</f>
        <v>0.01575</v>
      </c>
      <c r="I96">
        <f>IF($A96&gt;=D$10,D$11,D$9)/12</f>
        <v>0.01825</v>
      </c>
      <c r="J96">
        <f>IF($A96&gt;=E$10,E$11,E$9)/12</f>
        <v>0.00766666666666667</v>
      </c>
      <c r="K96">
        <f>IF($A96&gt;=F$10,F$11,F$9)/12</f>
        <v>0.00533333333333333</v>
      </c>
      <c r="L96">
        <f>IF($A96&gt;=G$10,G$11,G$9)/12</f>
        <v>0</v>
      </c>
      <c r="M96">
        <f>IF($A96&gt;=H$10,H$11,H$9)/12</f>
        <v>0</v>
      </c>
      <c r="N96">
        <f>IF($A96&gt;=I$10,I$11,I$9)/12</f>
        <v>0</v>
      </c>
      <c r="O96">
        <f>IF($A96&gt;=J$10,J$11,J$9)/12</f>
        <v>0</v>
      </c>
      <c r="P96">
        <f>IF($A96&gt;=K$10,K$11,K$9)/12</f>
        <v>0</v>
      </c>
      <c r="Q96">
        <f>IF($A96&gt;=L$10,L$11,L$9)/12</f>
        <v>0</v>
      </c>
      <c r="R96">
        <f>IF($A96&gt;=M$10,M$11,M$9)/12</f>
        <v>0</v>
      </c>
      <c r="S96">
        <f>IF($A96&gt;=N$10,N$11,N$9)/12</f>
        <v>0</v>
      </c>
      <c r="T96">
        <f>IF(C$6="",0,SUMIFS('Budget ed extra'!$G$7:$G$42,'Budget ed extra'!$J$7:$J$42,$A96,'Budget ed extra'!$H$7:$H$42,C$6))</f>
        <v>0</v>
      </c>
      <c r="U96">
        <f>IF(D$6="",0,SUMIFS('Budget ed extra'!$G$7:$G$42,'Budget ed extra'!$J$7:$J$42,$A96,'Budget ed extra'!$H$7:$H$42,D$6))</f>
        <v>0</v>
      </c>
      <c r="V96">
        <f>IF(E$6="",0,SUMIFS('Budget ed extra'!$G$7:$G$42,'Budget ed extra'!$J$7:$J$42,$A96,'Budget ed extra'!$H$7:$H$42,E$6))</f>
        <v>0</v>
      </c>
      <c r="W96">
        <f>IF(F$6="",0,SUMIFS('Budget ed extra'!$G$7:$G$42,'Budget ed extra'!$J$7:$J$42,$A96,'Budget ed extra'!$H$7:$H$42,F$6))</f>
        <v>0</v>
      </c>
      <c r="X96">
        <f>IF(G$6="",0,SUMIFS('Budget ed extra'!$G$7:$G$42,'Budget ed extra'!$J$7:$J$42,$A96,'Budget ed extra'!$H$7:$H$42,G$6))</f>
        <v>0</v>
      </c>
      <c r="Y96">
        <f>IF(H$6="",0,SUMIFS('Budget ed extra'!$G$7:$G$42,'Budget ed extra'!$J$7:$J$42,$A96,'Budget ed extra'!$H$7:$H$42,H$6))</f>
        <v>0</v>
      </c>
      <c r="Z96">
        <f>IF(I$6="",0,SUMIFS('Budget ed extra'!$G$7:$G$42,'Budget ed extra'!$J$7:$J$42,$A96,'Budget ed extra'!$H$7:$H$42,I$6))</f>
        <v>0</v>
      </c>
      <c r="AA96">
        <f>IF(J$6="",0,SUMIFS('Budget ed extra'!$G$7:$G$42,'Budget ed extra'!$J$7:$J$42,$A96,'Budget ed extra'!$H$7:$H$42,J$6))</f>
        <v>0</v>
      </c>
      <c r="AB96">
        <f>IF(K$6="",0,SUMIFS('Budget ed extra'!$G$7:$G$42,'Budget ed extra'!$J$7:$J$42,$A96,'Budget ed extra'!$H$7:$H$42,K$6))</f>
        <v>0</v>
      </c>
      <c r="AC96">
        <f>IF(L$6="",0,SUMIFS('Budget ed extra'!$G$7:$G$42,'Budget ed extra'!$J$7:$J$42,$A96,'Budget ed extra'!$H$7:$H$42,L$6))</f>
        <v>0</v>
      </c>
      <c r="AD96">
        <f>IF(M$6="",0,SUMIFS('Budget ed extra'!$G$7:$G$42,'Budget ed extra'!$J$7:$J$42,$A96,'Budget ed extra'!$H$7:$H$42,M$6))</f>
        <v>0</v>
      </c>
      <c r="AE96">
        <f>IF(N$6="",0,SUMIFS('Budget ed extra'!$G$7:$G$42,'Budget ed extra'!$J$7:$J$42,$A96,'Budget ed extra'!$H$7:$H$42,N$6))</f>
        <v>0</v>
      </c>
    </row>
    <row r="97">
      <c r="A97" t="n">
        <v>67</v>
      </c>
      <c r="B97">
        <f>DATE($B$2,$B$3+A97-1,1)</f>
        <v>48335.0</v>
      </c>
      <c r="C97">
        <f>IF(D97=0,N(Impostazioni!$B$6),SUMIFS('Budget ed extra'!$B$7:$B$18,'Budget ed extra'!$D$7:$D$18,D97)/COUNTIFS('Budget ed extra'!$D$7:$D$18,D97))</f>
        <v>900</v>
      </c>
      <c r="D97">
        <f>SUMPRODUCT(MAX(('Budget ed extra'!$D$7:$D$18&lt;=A97)*'Budget ed extra'!$D$7:$D$18))</f>
        <v>9</v>
      </c>
      <c r="E97">
        <f>SUMIFS('Budget ed extra'!$G$7:$G$42,'Budget ed extra'!$J$7:$J$42,A97)</f>
        <v>0</v>
      </c>
      <c r="F97">
        <f>SUM(T97:AE97)</f>
        <v>0</v>
      </c>
      <c r="G97">
        <f>MAX(0,E97-F97)</f>
        <v>0</v>
      </c>
      <c r="H97">
        <f>IF($A97&gt;=C$10,C$11,C$9)/12</f>
        <v>0.01575</v>
      </c>
      <c r="I97">
        <f>IF($A97&gt;=D$10,D$11,D$9)/12</f>
        <v>0.01825</v>
      </c>
      <c r="J97">
        <f>IF($A97&gt;=E$10,E$11,E$9)/12</f>
        <v>0.00766666666666667</v>
      </c>
      <c r="K97">
        <f>IF($A97&gt;=F$10,F$11,F$9)/12</f>
        <v>0.00533333333333333</v>
      </c>
      <c r="L97">
        <f>IF($A97&gt;=G$10,G$11,G$9)/12</f>
        <v>0</v>
      </c>
      <c r="M97">
        <f>IF($A97&gt;=H$10,H$11,H$9)/12</f>
        <v>0</v>
      </c>
      <c r="N97">
        <f>IF($A97&gt;=I$10,I$11,I$9)/12</f>
        <v>0</v>
      </c>
      <c r="O97">
        <f>IF($A97&gt;=J$10,J$11,J$9)/12</f>
        <v>0</v>
      </c>
      <c r="P97">
        <f>IF($A97&gt;=K$10,K$11,K$9)/12</f>
        <v>0</v>
      </c>
      <c r="Q97">
        <f>IF($A97&gt;=L$10,L$11,L$9)/12</f>
        <v>0</v>
      </c>
      <c r="R97">
        <f>IF($A97&gt;=M$10,M$11,M$9)/12</f>
        <v>0</v>
      </c>
      <c r="S97">
        <f>IF($A97&gt;=N$10,N$11,N$9)/12</f>
        <v>0</v>
      </c>
      <c r="T97">
        <f>IF(C$6="",0,SUMIFS('Budget ed extra'!$G$7:$G$42,'Budget ed extra'!$J$7:$J$42,$A97,'Budget ed extra'!$H$7:$H$42,C$6))</f>
        <v>0</v>
      </c>
      <c r="U97">
        <f>IF(D$6="",0,SUMIFS('Budget ed extra'!$G$7:$G$42,'Budget ed extra'!$J$7:$J$42,$A97,'Budget ed extra'!$H$7:$H$42,D$6))</f>
        <v>0</v>
      </c>
      <c r="V97">
        <f>IF(E$6="",0,SUMIFS('Budget ed extra'!$G$7:$G$42,'Budget ed extra'!$J$7:$J$42,$A97,'Budget ed extra'!$H$7:$H$42,E$6))</f>
        <v>0</v>
      </c>
      <c r="W97">
        <f>IF(F$6="",0,SUMIFS('Budget ed extra'!$G$7:$G$42,'Budget ed extra'!$J$7:$J$42,$A97,'Budget ed extra'!$H$7:$H$42,F$6))</f>
        <v>0</v>
      </c>
      <c r="X97">
        <f>IF(G$6="",0,SUMIFS('Budget ed extra'!$G$7:$G$42,'Budget ed extra'!$J$7:$J$42,$A97,'Budget ed extra'!$H$7:$H$42,G$6))</f>
        <v>0</v>
      </c>
      <c r="Y97">
        <f>IF(H$6="",0,SUMIFS('Budget ed extra'!$G$7:$G$42,'Budget ed extra'!$J$7:$J$42,$A97,'Budget ed extra'!$H$7:$H$42,H$6))</f>
        <v>0</v>
      </c>
      <c r="Z97">
        <f>IF(I$6="",0,SUMIFS('Budget ed extra'!$G$7:$G$42,'Budget ed extra'!$J$7:$J$42,$A97,'Budget ed extra'!$H$7:$H$42,I$6))</f>
        <v>0</v>
      </c>
      <c r="AA97">
        <f>IF(J$6="",0,SUMIFS('Budget ed extra'!$G$7:$G$42,'Budget ed extra'!$J$7:$J$42,$A97,'Budget ed extra'!$H$7:$H$42,J$6))</f>
        <v>0</v>
      </c>
      <c r="AB97">
        <f>IF(K$6="",0,SUMIFS('Budget ed extra'!$G$7:$G$42,'Budget ed extra'!$J$7:$J$42,$A97,'Budget ed extra'!$H$7:$H$42,K$6))</f>
        <v>0</v>
      </c>
      <c r="AC97">
        <f>IF(L$6="",0,SUMIFS('Budget ed extra'!$G$7:$G$42,'Budget ed extra'!$J$7:$J$42,$A97,'Budget ed extra'!$H$7:$H$42,L$6))</f>
        <v>0</v>
      </c>
      <c r="AD97">
        <f>IF(M$6="",0,SUMIFS('Budget ed extra'!$G$7:$G$42,'Budget ed extra'!$J$7:$J$42,$A97,'Budget ed extra'!$H$7:$H$42,M$6))</f>
        <v>0</v>
      </c>
      <c r="AE97">
        <f>IF(N$6="",0,SUMIFS('Budget ed extra'!$G$7:$G$42,'Budget ed extra'!$J$7:$J$42,$A97,'Budget ed extra'!$H$7:$H$42,N$6))</f>
        <v>0</v>
      </c>
    </row>
    <row r="98">
      <c r="A98" t="n">
        <v>68</v>
      </c>
      <c r="B98">
        <f>DATE($B$2,$B$3+A98-1,1)</f>
        <v>48366.0</v>
      </c>
      <c r="C98">
        <f>IF(D98=0,N(Impostazioni!$B$6),SUMIFS('Budget ed extra'!$B$7:$B$18,'Budget ed extra'!$D$7:$D$18,D98)/COUNTIFS('Budget ed extra'!$D$7:$D$18,D98))</f>
        <v>900</v>
      </c>
      <c r="D98">
        <f>SUMPRODUCT(MAX(('Budget ed extra'!$D$7:$D$18&lt;=A98)*'Budget ed extra'!$D$7:$D$18))</f>
        <v>9</v>
      </c>
      <c r="E98">
        <f>SUMIFS('Budget ed extra'!$G$7:$G$42,'Budget ed extra'!$J$7:$J$42,A98)</f>
        <v>0</v>
      </c>
      <c r="F98">
        <f>SUM(T98:AE98)</f>
        <v>0</v>
      </c>
      <c r="G98">
        <f>MAX(0,E98-F98)</f>
        <v>0</v>
      </c>
      <c r="H98">
        <f>IF($A98&gt;=C$10,C$11,C$9)/12</f>
        <v>0.01575</v>
      </c>
      <c r="I98">
        <f>IF($A98&gt;=D$10,D$11,D$9)/12</f>
        <v>0.01825</v>
      </c>
      <c r="J98">
        <f>IF($A98&gt;=E$10,E$11,E$9)/12</f>
        <v>0.00766666666666667</v>
      </c>
      <c r="K98">
        <f>IF($A98&gt;=F$10,F$11,F$9)/12</f>
        <v>0.00533333333333333</v>
      </c>
      <c r="L98">
        <f>IF($A98&gt;=G$10,G$11,G$9)/12</f>
        <v>0</v>
      </c>
      <c r="M98">
        <f>IF($A98&gt;=H$10,H$11,H$9)/12</f>
        <v>0</v>
      </c>
      <c r="N98">
        <f>IF($A98&gt;=I$10,I$11,I$9)/12</f>
        <v>0</v>
      </c>
      <c r="O98">
        <f>IF($A98&gt;=J$10,J$11,J$9)/12</f>
        <v>0</v>
      </c>
      <c r="P98">
        <f>IF($A98&gt;=K$10,K$11,K$9)/12</f>
        <v>0</v>
      </c>
      <c r="Q98">
        <f>IF($A98&gt;=L$10,L$11,L$9)/12</f>
        <v>0</v>
      </c>
      <c r="R98">
        <f>IF($A98&gt;=M$10,M$11,M$9)/12</f>
        <v>0</v>
      </c>
      <c r="S98">
        <f>IF($A98&gt;=N$10,N$11,N$9)/12</f>
        <v>0</v>
      </c>
      <c r="T98">
        <f>IF(C$6="",0,SUMIFS('Budget ed extra'!$G$7:$G$42,'Budget ed extra'!$J$7:$J$42,$A98,'Budget ed extra'!$H$7:$H$42,C$6))</f>
        <v>0</v>
      </c>
      <c r="U98">
        <f>IF(D$6="",0,SUMIFS('Budget ed extra'!$G$7:$G$42,'Budget ed extra'!$J$7:$J$42,$A98,'Budget ed extra'!$H$7:$H$42,D$6))</f>
        <v>0</v>
      </c>
      <c r="V98">
        <f>IF(E$6="",0,SUMIFS('Budget ed extra'!$G$7:$G$42,'Budget ed extra'!$J$7:$J$42,$A98,'Budget ed extra'!$H$7:$H$42,E$6))</f>
        <v>0</v>
      </c>
      <c r="W98">
        <f>IF(F$6="",0,SUMIFS('Budget ed extra'!$G$7:$G$42,'Budget ed extra'!$J$7:$J$42,$A98,'Budget ed extra'!$H$7:$H$42,F$6))</f>
        <v>0</v>
      </c>
      <c r="X98">
        <f>IF(G$6="",0,SUMIFS('Budget ed extra'!$G$7:$G$42,'Budget ed extra'!$J$7:$J$42,$A98,'Budget ed extra'!$H$7:$H$42,G$6))</f>
        <v>0</v>
      </c>
      <c r="Y98">
        <f>IF(H$6="",0,SUMIFS('Budget ed extra'!$G$7:$G$42,'Budget ed extra'!$J$7:$J$42,$A98,'Budget ed extra'!$H$7:$H$42,H$6))</f>
        <v>0</v>
      </c>
      <c r="Z98">
        <f>IF(I$6="",0,SUMIFS('Budget ed extra'!$G$7:$G$42,'Budget ed extra'!$J$7:$J$42,$A98,'Budget ed extra'!$H$7:$H$42,I$6))</f>
        <v>0</v>
      </c>
      <c r="AA98">
        <f>IF(J$6="",0,SUMIFS('Budget ed extra'!$G$7:$G$42,'Budget ed extra'!$J$7:$J$42,$A98,'Budget ed extra'!$H$7:$H$42,J$6))</f>
        <v>0</v>
      </c>
      <c r="AB98">
        <f>IF(K$6="",0,SUMIFS('Budget ed extra'!$G$7:$G$42,'Budget ed extra'!$J$7:$J$42,$A98,'Budget ed extra'!$H$7:$H$42,K$6))</f>
        <v>0</v>
      </c>
      <c r="AC98">
        <f>IF(L$6="",0,SUMIFS('Budget ed extra'!$G$7:$G$42,'Budget ed extra'!$J$7:$J$42,$A98,'Budget ed extra'!$H$7:$H$42,L$6))</f>
        <v>0</v>
      </c>
      <c r="AD98">
        <f>IF(M$6="",0,SUMIFS('Budget ed extra'!$G$7:$G$42,'Budget ed extra'!$J$7:$J$42,$A98,'Budget ed extra'!$H$7:$H$42,M$6))</f>
        <v>0</v>
      </c>
      <c r="AE98">
        <f>IF(N$6="",0,SUMIFS('Budget ed extra'!$G$7:$G$42,'Budget ed extra'!$J$7:$J$42,$A98,'Budget ed extra'!$H$7:$H$42,N$6))</f>
        <v>0</v>
      </c>
    </row>
    <row r="99">
      <c r="A99" t="n">
        <v>69</v>
      </c>
      <c r="B99">
        <f>DATE($B$2,$B$3+A99-1,1)</f>
        <v>48396.0</v>
      </c>
      <c r="C99">
        <f>IF(D99=0,N(Impostazioni!$B$6),SUMIFS('Budget ed extra'!$B$7:$B$18,'Budget ed extra'!$D$7:$D$18,D99)/COUNTIFS('Budget ed extra'!$D$7:$D$18,D99))</f>
        <v>900</v>
      </c>
      <c r="D99">
        <f>SUMPRODUCT(MAX(('Budget ed extra'!$D$7:$D$18&lt;=A99)*'Budget ed extra'!$D$7:$D$18))</f>
        <v>9</v>
      </c>
      <c r="E99">
        <f>SUMIFS('Budget ed extra'!$G$7:$G$42,'Budget ed extra'!$J$7:$J$42,A99)</f>
        <v>0</v>
      </c>
      <c r="F99">
        <f>SUM(T99:AE99)</f>
        <v>0</v>
      </c>
      <c r="G99">
        <f>MAX(0,E99-F99)</f>
        <v>0</v>
      </c>
      <c r="H99">
        <f>IF($A99&gt;=C$10,C$11,C$9)/12</f>
        <v>0.01575</v>
      </c>
      <c r="I99">
        <f>IF($A99&gt;=D$10,D$11,D$9)/12</f>
        <v>0.01825</v>
      </c>
      <c r="J99">
        <f>IF($A99&gt;=E$10,E$11,E$9)/12</f>
        <v>0.00766666666666667</v>
      </c>
      <c r="K99">
        <f>IF($A99&gt;=F$10,F$11,F$9)/12</f>
        <v>0.00533333333333333</v>
      </c>
      <c r="L99">
        <f>IF($A99&gt;=G$10,G$11,G$9)/12</f>
        <v>0</v>
      </c>
      <c r="M99">
        <f>IF($A99&gt;=H$10,H$11,H$9)/12</f>
        <v>0</v>
      </c>
      <c r="N99">
        <f>IF($A99&gt;=I$10,I$11,I$9)/12</f>
        <v>0</v>
      </c>
      <c r="O99">
        <f>IF($A99&gt;=J$10,J$11,J$9)/12</f>
        <v>0</v>
      </c>
      <c r="P99">
        <f>IF($A99&gt;=K$10,K$11,K$9)/12</f>
        <v>0</v>
      </c>
      <c r="Q99">
        <f>IF($A99&gt;=L$10,L$11,L$9)/12</f>
        <v>0</v>
      </c>
      <c r="R99">
        <f>IF($A99&gt;=M$10,M$11,M$9)/12</f>
        <v>0</v>
      </c>
      <c r="S99">
        <f>IF($A99&gt;=N$10,N$11,N$9)/12</f>
        <v>0</v>
      </c>
      <c r="T99">
        <f>IF(C$6="",0,SUMIFS('Budget ed extra'!$G$7:$G$42,'Budget ed extra'!$J$7:$J$42,$A99,'Budget ed extra'!$H$7:$H$42,C$6))</f>
        <v>0</v>
      </c>
      <c r="U99">
        <f>IF(D$6="",0,SUMIFS('Budget ed extra'!$G$7:$G$42,'Budget ed extra'!$J$7:$J$42,$A99,'Budget ed extra'!$H$7:$H$42,D$6))</f>
        <v>0</v>
      </c>
      <c r="V99">
        <f>IF(E$6="",0,SUMIFS('Budget ed extra'!$G$7:$G$42,'Budget ed extra'!$J$7:$J$42,$A99,'Budget ed extra'!$H$7:$H$42,E$6))</f>
        <v>0</v>
      </c>
      <c r="W99">
        <f>IF(F$6="",0,SUMIFS('Budget ed extra'!$G$7:$G$42,'Budget ed extra'!$J$7:$J$42,$A99,'Budget ed extra'!$H$7:$H$42,F$6))</f>
        <v>0</v>
      </c>
      <c r="X99">
        <f>IF(G$6="",0,SUMIFS('Budget ed extra'!$G$7:$G$42,'Budget ed extra'!$J$7:$J$42,$A99,'Budget ed extra'!$H$7:$H$42,G$6))</f>
        <v>0</v>
      </c>
      <c r="Y99">
        <f>IF(H$6="",0,SUMIFS('Budget ed extra'!$G$7:$G$42,'Budget ed extra'!$J$7:$J$42,$A99,'Budget ed extra'!$H$7:$H$42,H$6))</f>
        <v>0</v>
      </c>
      <c r="Z99">
        <f>IF(I$6="",0,SUMIFS('Budget ed extra'!$G$7:$G$42,'Budget ed extra'!$J$7:$J$42,$A99,'Budget ed extra'!$H$7:$H$42,I$6))</f>
        <v>0</v>
      </c>
      <c r="AA99">
        <f>IF(J$6="",0,SUMIFS('Budget ed extra'!$G$7:$G$42,'Budget ed extra'!$J$7:$J$42,$A99,'Budget ed extra'!$H$7:$H$42,J$6))</f>
        <v>0</v>
      </c>
      <c r="AB99">
        <f>IF(K$6="",0,SUMIFS('Budget ed extra'!$G$7:$G$42,'Budget ed extra'!$J$7:$J$42,$A99,'Budget ed extra'!$H$7:$H$42,K$6))</f>
        <v>0</v>
      </c>
      <c r="AC99">
        <f>IF(L$6="",0,SUMIFS('Budget ed extra'!$G$7:$G$42,'Budget ed extra'!$J$7:$J$42,$A99,'Budget ed extra'!$H$7:$H$42,L$6))</f>
        <v>0</v>
      </c>
      <c r="AD99">
        <f>IF(M$6="",0,SUMIFS('Budget ed extra'!$G$7:$G$42,'Budget ed extra'!$J$7:$J$42,$A99,'Budget ed extra'!$H$7:$H$42,M$6))</f>
        <v>0</v>
      </c>
      <c r="AE99">
        <f>IF(N$6="",0,SUMIFS('Budget ed extra'!$G$7:$G$42,'Budget ed extra'!$J$7:$J$42,$A99,'Budget ed extra'!$H$7:$H$42,N$6))</f>
        <v>0</v>
      </c>
    </row>
    <row r="100">
      <c r="A100" t="n">
        <v>70</v>
      </c>
      <c r="B100">
        <f>DATE($B$2,$B$3+A100-1,1)</f>
        <v>48427.0</v>
      </c>
      <c r="C100">
        <f>IF(D100=0,N(Impostazioni!$B$6),SUMIFS('Budget ed extra'!$B$7:$B$18,'Budget ed extra'!$D$7:$D$18,D100)/COUNTIFS('Budget ed extra'!$D$7:$D$18,D100))</f>
        <v>900</v>
      </c>
      <c r="D100">
        <f>SUMPRODUCT(MAX(('Budget ed extra'!$D$7:$D$18&lt;=A100)*'Budget ed extra'!$D$7:$D$18))</f>
        <v>9</v>
      </c>
      <c r="E100">
        <f>SUMIFS('Budget ed extra'!$G$7:$G$42,'Budget ed extra'!$J$7:$J$42,A100)</f>
        <v>0</v>
      </c>
      <c r="F100">
        <f>SUM(T100:AE100)</f>
        <v>0</v>
      </c>
      <c r="G100">
        <f>MAX(0,E100-F100)</f>
        <v>0</v>
      </c>
      <c r="H100">
        <f>IF($A100&gt;=C$10,C$11,C$9)/12</f>
        <v>0.01575</v>
      </c>
      <c r="I100">
        <f>IF($A100&gt;=D$10,D$11,D$9)/12</f>
        <v>0.01825</v>
      </c>
      <c r="J100">
        <f>IF($A100&gt;=E$10,E$11,E$9)/12</f>
        <v>0.00766666666666667</v>
      </c>
      <c r="K100">
        <f>IF($A100&gt;=F$10,F$11,F$9)/12</f>
        <v>0.00533333333333333</v>
      </c>
      <c r="L100">
        <f>IF($A100&gt;=G$10,G$11,G$9)/12</f>
        <v>0</v>
      </c>
      <c r="M100">
        <f>IF($A100&gt;=H$10,H$11,H$9)/12</f>
        <v>0</v>
      </c>
      <c r="N100">
        <f>IF($A100&gt;=I$10,I$11,I$9)/12</f>
        <v>0</v>
      </c>
      <c r="O100">
        <f>IF($A100&gt;=J$10,J$11,J$9)/12</f>
        <v>0</v>
      </c>
      <c r="P100">
        <f>IF($A100&gt;=K$10,K$11,K$9)/12</f>
        <v>0</v>
      </c>
      <c r="Q100">
        <f>IF($A100&gt;=L$10,L$11,L$9)/12</f>
        <v>0</v>
      </c>
      <c r="R100">
        <f>IF($A100&gt;=M$10,M$11,M$9)/12</f>
        <v>0</v>
      </c>
      <c r="S100">
        <f>IF($A100&gt;=N$10,N$11,N$9)/12</f>
        <v>0</v>
      </c>
      <c r="T100">
        <f>IF(C$6="",0,SUMIFS('Budget ed extra'!$G$7:$G$42,'Budget ed extra'!$J$7:$J$42,$A100,'Budget ed extra'!$H$7:$H$42,C$6))</f>
        <v>0</v>
      </c>
      <c r="U100">
        <f>IF(D$6="",0,SUMIFS('Budget ed extra'!$G$7:$G$42,'Budget ed extra'!$J$7:$J$42,$A100,'Budget ed extra'!$H$7:$H$42,D$6))</f>
        <v>0</v>
      </c>
      <c r="V100">
        <f>IF(E$6="",0,SUMIFS('Budget ed extra'!$G$7:$G$42,'Budget ed extra'!$J$7:$J$42,$A100,'Budget ed extra'!$H$7:$H$42,E$6))</f>
        <v>0</v>
      </c>
      <c r="W100">
        <f>IF(F$6="",0,SUMIFS('Budget ed extra'!$G$7:$G$42,'Budget ed extra'!$J$7:$J$42,$A100,'Budget ed extra'!$H$7:$H$42,F$6))</f>
        <v>0</v>
      </c>
      <c r="X100">
        <f>IF(G$6="",0,SUMIFS('Budget ed extra'!$G$7:$G$42,'Budget ed extra'!$J$7:$J$42,$A100,'Budget ed extra'!$H$7:$H$42,G$6))</f>
        <v>0</v>
      </c>
      <c r="Y100">
        <f>IF(H$6="",0,SUMIFS('Budget ed extra'!$G$7:$G$42,'Budget ed extra'!$J$7:$J$42,$A100,'Budget ed extra'!$H$7:$H$42,H$6))</f>
        <v>0</v>
      </c>
      <c r="Z100">
        <f>IF(I$6="",0,SUMIFS('Budget ed extra'!$G$7:$G$42,'Budget ed extra'!$J$7:$J$42,$A100,'Budget ed extra'!$H$7:$H$42,I$6))</f>
        <v>0</v>
      </c>
      <c r="AA100">
        <f>IF(J$6="",0,SUMIFS('Budget ed extra'!$G$7:$G$42,'Budget ed extra'!$J$7:$J$42,$A100,'Budget ed extra'!$H$7:$H$42,J$6))</f>
        <v>0</v>
      </c>
      <c r="AB100">
        <f>IF(K$6="",0,SUMIFS('Budget ed extra'!$G$7:$G$42,'Budget ed extra'!$J$7:$J$42,$A100,'Budget ed extra'!$H$7:$H$42,K$6))</f>
        <v>0</v>
      </c>
      <c r="AC100">
        <f>IF(L$6="",0,SUMIFS('Budget ed extra'!$G$7:$G$42,'Budget ed extra'!$J$7:$J$42,$A100,'Budget ed extra'!$H$7:$H$42,L$6))</f>
        <v>0</v>
      </c>
      <c r="AD100">
        <f>IF(M$6="",0,SUMIFS('Budget ed extra'!$G$7:$G$42,'Budget ed extra'!$J$7:$J$42,$A100,'Budget ed extra'!$H$7:$H$42,M$6))</f>
        <v>0</v>
      </c>
      <c r="AE100">
        <f>IF(N$6="",0,SUMIFS('Budget ed extra'!$G$7:$G$42,'Budget ed extra'!$J$7:$J$42,$A100,'Budget ed extra'!$H$7:$H$42,N$6))</f>
        <v>0</v>
      </c>
    </row>
    <row r="101">
      <c r="A101" t="n">
        <v>71</v>
      </c>
      <c r="B101">
        <f>DATE($B$2,$B$3+A101-1,1)</f>
        <v>48458.0</v>
      </c>
      <c r="C101">
        <f>IF(D101=0,N(Impostazioni!$B$6),SUMIFS('Budget ed extra'!$B$7:$B$18,'Budget ed extra'!$D$7:$D$18,D101)/COUNTIFS('Budget ed extra'!$D$7:$D$18,D101))</f>
        <v>900</v>
      </c>
      <c r="D101">
        <f>SUMPRODUCT(MAX(('Budget ed extra'!$D$7:$D$18&lt;=A101)*'Budget ed extra'!$D$7:$D$18))</f>
        <v>9</v>
      </c>
      <c r="E101">
        <f>SUMIFS('Budget ed extra'!$G$7:$G$42,'Budget ed extra'!$J$7:$J$42,A101)</f>
        <v>0</v>
      </c>
      <c r="F101">
        <f>SUM(T101:AE101)</f>
        <v>0</v>
      </c>
      <c r="G101">
        <f>MAX(0,E101-F101)</f>
        <v>0</v>
      </c>
      <c r="H101">
        <f>IF($A101&gt;=C$10,C$11,C$9)/12</f>
        <v>0.01575</v>
      </c>
      <c r="I101">
        <f>IF($A101&gt;=D$10,D$11,D$9)/12</f>
        <v>0.01825</v>
      </c>
      <c r="J101">
        <f>IF($A101&gt;=E$10,E$11,E$9)/12</f>
        <v>0.00766666666666667</v>
      </c>
      <c r="K101">
        <f>IF($A101&gt;=F$10,F$11,F$9)/12</f>
        <v>0.00533333333333333</v>
      </c>
      <c r="L101">
        <f>IF($A101&gt;=G$10,G$11,G$9)/12</f>
        <v>0</v>
      </c>
      <c r="M101">
        <f>IF($A101&gt;=H$10,H$11,H$9)/12</f>
        <v>0</v>
      </c>
      <c r="N101">
        <f>IF($A101&gt;=I$10,I$11,I$9)/12</f>
        <v>0</v>
      </c>
      <c r="O101">
        <f>IF($A101&gt;=J$10,J$11,J$9)/12</f>
        <v>0</v>
      </c>
      <c r="P101">
        <f>IF($A101&gt;=K$10,K$11,K$9)/12</f>
        <v>0</v>
      </c>
      <c r="Q101">
        <f>IF($A101&gt;=L$10,L$11,L$9)/12</f>
        <v>0</v>
      </c>
      <c r="R101">
        <f>IF($A101&gt;=M$10,M$11,M$9)/12</f>
        <v>0</v>
      </c>
      <c r="S101">
        <f>IF($A101&gt;=N$10,N$11,N$9)/12</f>
        <v>0</v>
      </c>
      <c r="T101">
        <f>IF(C$6="",0,SUMIFS('Budget ed extra'!$G$7:$G$42,'Budget ed extra'!$J$7:$J$42,$A101,'Budget ed extra'!$H$7:$H$42,C$6))</f>
        <v>0</v>
      </c>
      <c r="U101">
        <f>IF(D$6="",0,SUMIFS('Budget ed extra'!$G$7:$G$42,'Budget ed extra'!$J$7:$J$42,$A101,'Budget ed extra'!$H$7:$H$42,D$6))</f>
        <v>0</v>
      </c>
      <c r="V101">
        <f>IF(E$6="",0,SUMIFS('Budget ed extra'!$G$7:$G$42,'Budget ed extra'!$J$7:$J$42,$A101,'Budget ed extra'!$H$7:$H$42,E$6))</f>
        <v>0</v>
      </c>
      <c r="W101">
        <f>IF(F$6="",0,SUMIFS('Budget ed extra'!$G$7:$G$42,'Budget ed extra'!$J$7:$J$42,$A101,'Budget ed extra'!$H$7:$H$42,F$6))</f>
        <v>0</v>
      </c>
      <c r="X101">
        <f>IF(G$6="",0,SUMIFS('Budget ed extra'!$G$7:$G$42,'Budget ed extra'!$J$7:$J$42,$A101,'Budget ed extra'!$H$7:$H$42,G$6))</f>
        <v>0</v>
      </c>
      <c r="Y101">
        <f>IF(H$6="",0,SUMIFS('Budget ed extra'!$G$7:$G$42,'Budget ed extra'!$J$7:$J$42,$A101,'Budget ed extra'!$H$7:$H$42,H$6))</f>
        <v>0</v>
      </c>
      <c r="Z101">
        <f>IF(I$6="",0,SUMIFS('Budget ed extra'!$G$7:$G$42,'Budget ed extra'!$J$7:$J$42,$A101,'Budget ed extra'!$H$7:$H$42,I$6))</f>
        <v>0</v>
      </c>
      <c r="AA101">
        <f>IF(J$6="",0,SUMIFS('Budget ed extra'!$G$7:$G$42,'Budget ed extra'!$J$7:$J$42,$A101,'Budget ed extra'!$H$7:$H$42,J$6))</f>
        <v>0</v>
      </c>
      <c r="AB101">
        <f>IF(K$6="",0,SUMIFS('Budget ed extra'!$G$7:$G$42,'Budget ed extra'!$J$7:$J$42,$A101,'Budget ed extra'!$H$7:$H$42,K$6))</f>
        <v>0</v>
      </c>
      <c r="AC101">
        <f>IF(L$6="",0,SUMIFS('Budget ed extra'!$G$7:$G$42,'Budget ed extra'!$J$7:$J$42,$A101,'Budget ed extra'!$H$7:$H$42,L$6))</f>
        <v>0</v>
      </c>
      <c r="AD101">
        <f>IF(M$6="",0,SUMIFS('Budget ed extra'!$G$7:$G$42,'Budget ed extra'!$J$7:$J$42,$A101,'Budget ed extra'!$H$7:$H$42,M$6))</f>
        <v>0</v>
      </c>
      <c r="AE101">
        <f>IF(N$6="",0,SUMIFS('Budget ed extra'!$G$7:$G$42,'Budget ed extra'!$J$7:$J$42,$A101,'Budget ed extra'!$H$7:$H$42,N$6))</f>
        <v>0</v>
      </c>
    </row>
    <row r="102">
      <c r="A102" t="n">
        <v>72</v>
      </c>
      <c r="B102">
        <f>DATE($B$2,$B$3+A102-1,1)</f>
        <v>48488.0</v>
      </c>
      <c r="C102">
        <f>IF(D102=0,N(Impostazioni!$B$6),SUMIFS('Budget ed extra'!$B$7:$B$18,'Budget ed extra'!$D$7:$D$18,D102)/COUNTIFS('Budget ed extra'!$D$7:$D$18,D102))</f>
        <v>900</v>
      </c>
      <c r="D102">
        <f>SUMPRODUCT(MAX(('Budget ed extra'!$D$7:$D$18&lt;=A102)*'Budget ed extra'!$D$7:$D$18))</f>
        <v>9</v>
      </c>
      <c r="E102">
        <f>SUMIFS('Budget ed extra'!$G$7:$G$42,'Budget ed extra'!$J$7:$J$42,A102)</f>
        <v>0</v>
      </c>
      <c r="F102">
        <f>SUM(T102:AE102)</f>
        <v>0</v>
      </c>
      <c r="G102">
        <f>MAX(0,E102-F102)</f>
        <v>0</v>
      </c>
      <c r="H102">
        <f>IF($A102&gt;=C$10,C$11,C$9)/12</f>
        <v>0.01575</v>
      </c>
      <c r="I102">
        <f>IF($A102&gt;=D$10,D$11,D$9)/12</f>
        <v>0.01825</v>
      </c>
      <c r="J102">
        <f>IF($A102&gt;=E$10,E$11,E$9)/12</f>
        <v>0.00766666666666667</v>
      </c>
      <c r="K102">
        <f>IF($A102&gt;=F$10,F$11,F$9)/12</f>
        <v>0.00533333333333333</v>
      </c>
      <c r="L102">
        <f>IF($A102&gt;=G$10,G$11,G$9)/12</f>
        <v>0</v>
      </c>
      <c r="M102">
        <f>IF($A102&gt;=H$10,H$11,H$9)/12</f>
        <v>0</v>
      </c>
      <c r="N102">
        <f>IF($A102&gt;=I$10,I$11,I$9)/12</f>
        <v>0</v>
      </c>
      <c r="O102">
        <f>IF($A102&gt;=J$10,J$11,J$9)/12</f>
        <v>0</v>
      </c>
      <c r="P102">
        <f>IF($A102&gt;=K$10,K$11,K$9)/12</f>
        <v>0</v>
      </c>
      <c r="Q102">
        <f>IF($A102&gt;=L$10,L$11,L$9)/12</f>
        <v>0</v>
      </c>
      <c r="R102">
        <f>IF($A102&gt;=M$10,M$11,M$9)/12</f>
        <v>0</v>
      </c>
      <c r="S102">
        <f>IF($A102&gt;=N$10,N$11,N$9)/12</f>
        <v>0</v>
      </c>
      <c r="T102">
        <f>IF(C$6="",0,SUMIFS('Budget ed extra'!$G$7:$G$42,'Budget ed extra'!$J$7:$J$42,$A102,'Budget ed extra'!$H$7:$H$42,C$6))</f>
        <v>0</v>
      </c>
      <c r="U102">
        <f>IF(D$6="",0,SUMIFS('Budget ed extra'!$G$7:$G$42,'Budget ed extra'!$J$7:$J$42,$A102,'Budget ed extra'!$H$7:$H$42,D$6))</f>
        <v>0</v>
      </c>
      <c r="V102">
        <f>IF(E$6="",0,SUMIFS('Budget ed extra'!$G$7:$G$42,'Budget ed extra'!$J$7:$J$42,$A102,'Budget ed extra'!$H$7:$H$42,E$6))</f>
        <v>0</v>
      </c>
      <c r="W102">
        <f>IF(F$6="",0,SUMIFS('Budget ed extra'!$G$7:$G$42,'Budget ed extra'!$J$7:$J$42,$A102,'Budget ed extra'!$H$7:$H$42,F$6))</f>
        <v>0</v>
      </c>
      <c r="X102">
        <f>IF(G$6="",0,SUMIFS('Budget ed extra'!$G$7:$G$42,'Budget ed extra'!$J$7:$J$42,$A102,'Budget ed extra'!$H$7:$H$42,G$6))</f>
        <v>0</v>
      </c>
      <c r="Y102">
        <f>IF(H$6="",0,SUMIFS('Budget ed extra'!$G$7:$G$42,'Budget ed extra'!$J$7:$J$42,$A102,'Budget ed extra'!$H$7:$H$42,H$6))</f>
        <v>0</v>
      </c>
      <c r="Z102">
        <f>IF(I$6="",0,SUMIFS('Budget ed extra'!$G$7:$G$42,'Budget ed extra'!$J$7:$J$42,$A102,'Budget ed extra'!$H$7:$H$42,I$6))</f>
        <v>0</v>
      </c>
      <c r="AA102">
        <f>IF(J$6="",0,SUMIFS('Budget ed extra'!$G$7:$G$42,'Budget ed extra'!$J$7:$J$42,$A102,'Budget ed extra'!$H$7:$H$42,J$6))</f>
        <v>0</v>
      </c>
      <c r="AB102">
        <f>IF(K$6="",0,SUMIFS('Budget ed extra'!$G$7:$G$42,'Budget ed extra'!$J$7:$J$42,$A102,'Budget ed extra'!$H$7:$H$42,K$6))</f>
        <v>0</v>
      </c>
      <c r="AC102">
        <f>IF(L$6="",0,SUMIFS('Budget ed extra'!$G$7:$G$42,'Budget ed extra'!$J$7:$J$42,$A102,'Budget ed extra'!$H$7:$H$42,L$6))</f>
        <v>0</v>
      </c>
      <c r="AD102">
        <f>IF(M$6="",0,SUMIFS('Budget ed extra'!$G$7:$G$42,'Budget ed extra'!$J$7:$J$42,$A102,'Budget ed extra'!$H$7:$H$42,M$6))</f>
        <v>0</v>
      </c>
      <c r="AE102">
        <f>IF(N$6="",0,SUMIFS('Budget ed extra'!$G$7:$G$42,'Budget ed extra'!$J$7:$J$42,$A102,'Budget ed extra'!$H$7:$H$42,N$6))</f>
        <v>0</v>
      </c>
    </row>
    <row r="103">
      <c r="A103" t="n">
        <v>73</v>
      </c>
      <c r="B103">
        <f>DATE($B$2,$B$3+A103-1,1)</f>
        <v>48519.0</v>
      </c>
      <c r="C103">
        <f>IF(D103=0,N(Impostazioni!$B$6),SUMIFS('Budget ed extra'!$B$7:$B$18,'Budget ed extra'!$D$7:$D$18,D103)/COUNTIFS('Budget ed extra'!$D$7:$D$18,D103))</f>
        <v>900</v>
      </c>
      <c r="D103">
        <f>SUMPRODUCT(MAX(('Budget ed extra'!$D$7:$D$18&lt;=A103)*'Budget ed extra'!$D$7:$D$18))</f>
        <v>9</v>
      </c>
      <c r="E103">
        <f>SUMIFS('Budget ed extra'!$G$7:$G$42,'Budget ed extra'!$J$7:$J$42,A103)</f>
        <v>0</v>
      </c>
      <c r="F103">
        <f>SUM(T103:AE103)</f>
        <v>0</v>
      </c>
      <c r="G103">
        <f>MAX(0,E103-F103)</f>
        <v>0</v>
      </c>
      <c r="H103">
        <f>IF($A103&gt;=C$10,C$11,C$9)/12</f>
        <v>0.01575</v>
      </c>
      <c r="I103">
        <f>IF($A103&gt;=D$10,D$11,D$9)/12</f>
        <v>0.01825</v>
      </c>
      <c r="J103">
        <f>IF($A103&gt;=E$10,E$11,E$9)/12</f>
        <v>0.00766666666666667</v>
      </c>
      <c r="K103">
        <f>IF($A103&gt;=F$10,F$11,F$9)/12</f>
        <v>0.00533333333333333</v>
      </c>
      <c r="L103">
        <f>IF($A103&gt;=G$10,G$11,G$9)/12</f>
        <v>0</v>
      </c>
      <c r="M103">
        <f>IF($A103&gt;=H$10,H$11,H$9)/12</f>
        <v>0</v>
      </c>
      <c r="N103">
        <f>IF($A103&gt;=I$10,I$11,I$9)/12</f>
        <v>0</v>
      </c>
      <c r="O103">
        <f>IF($A103&gt;=J$10,J$11,J$9)/12</f>
        <v>0</v>
      </c>
      <c r="P103">
        <f>IF($A103&gt;=K$10,K$11,K$9)/12</f>
        <v>0</v>
      </c>
      <c r="Q103">
        <f>IF($A103&gt;=L$10,L$11,L$9)/12</f>
        <v>0</v>
      </c>
      <c r="R103">
        <f>IF($A103&gt;=M$10,M$11,M$9)/12</f>
        <v>0</v>
      </c>
      <c r="S103">
        <f>IF($A103&gt;=N$10,N$11,N$9)/12</f>
        <v>0</v>
      </c>
      <c r="T103">
        <f>IF(C$6="",0,SUMIFS('Budget ed extra'!$G$7:$G$42,'Budget ed extra'!$J$7:$J$42,$A103,'Budget ed extra'!$H$7:$H$42,C$6))</f>
        <v>0</v>
      </c>
      <c r="U103">
        <f>IF(D$6="",0,SUMIFS('Budget ed extra'!$G$7:$G$42,'Budget ed extra'!$J$7:$J$42,$A103,'Budget ed extra'!$H$7:$H$42,D$6))</f>
        <v>0</v>
      </c>
      <c r="V103">
        <f>IF(E$6="",0,SUMIFS('Budget ed extra'!$G$7:$G$42,'Budget ed extra'!$J$7:$J$42,$A103,'Budget ed extra'!$H$7:$H$42,E$6))</f>
        <v>0</v>
      </c>
      <c r="W103">
        <f>IF(F$6="",0,SUMIFS('Budget ed extra'!$G$7:$G$42,'Budget ed extra'!$J$7:$J$42,$A103,'Budget ed extra'!$H$7:$H$42,F$6))</f>
        <v>0</v>
      </c>
      <c r="X103">
        <f>IF(G$6="",0,SUMIFS('Budget ed extra'!$G$7:$G$42,'Budget ed extra'!$J$7:$J$42,$A103,'Budget ed extra'!$H$7:$H$42,G$6))</f>
        <v>0</v>
      </c>
      <c r="Y103">
        <f>IF(H$6="",0,SUMIFS('Budget ed extra'!$G$7:$G$42,'Budget ed extra'!$J$7:$J$42,$A103,'Budget ed extra'!$H$7:$H$42,H$6))</f>
        <v>0</v>
      </c>
      <c r="Z103">
        <f>IF(I$6="",0,SUMIFS('Budget ed extra'!$G$7:$G$42,'Budget ed extra'!$J$7:$J$42,$A103,'Budget ed extra'!$H$7:$H$42,I$6))</f>
        <v>0</v>
      </c>
      <c r="AA103">
        <f>IF(J$6="",0,SUMIFS('Budget ed extra'!$G$7:$G$42,'Budget ed extra'!$J$7:$J$42,$A103,'Budget ed extra'!$H$7:$H$42,J$6))</f>
        <v>0</v>
      </c>
      <c r="AB103">
        <f>IF(K$6="",0,SUMIFS('Budget ed extra'!$G$7:$G$42,'Budget ed extra'!$J$7:$J$42,$A103,'Budget ed extra'!$H$7:$H$42,K$6))</f>
        <v>0</v>
      </c>
      <c r="AC103">
        <f>IF(L$6="",0,SUMIFS('Budget ed extra'!$G$7:$G$42,'Budget ed extra'!$J$7:$J$42,$A103,'Budget ed extra'!$H$7:$H$42,L$6))</f>
        <v>0</v>
      </c>
      <c r="AD103">
        <f>IF(M$6="",0,SUMIFS('Budget ed extra'!$G$7:$G$42,'Budget ed extra'!$J$7:$J$42,$A103,'Budget ed extra'!$H$7:$H$42,M$6))</f>
        <v>0</v>
      </c>
      <c r="AE103">
        <f>IF(N$6="",0,SUMIFS('Budget ed extra'!$G$7:$G$42,'Budget ed extra'!$J$7:$J$42,$A103,'Budget ed extra'!$H$7:$H$42,N$6))</f>
        <v>0</v>
      </c>
    </row>
    <row r="104">
      <c r="A104" t="n">
        <v>74</v>
      </c>
      <c r="B104">
        <f>DATE($B$2,$B$3+A104-1,1)</f>
        <v>48549.0</v>
      </c>
      <c r="C104">
        <f>IF(D104=0,N(Impostazioni!$B$6),SUMIFS('Budget ed extra'!$B$7:$B$18,'Budget ed extra'!$D$7:$D$18,D104)/COUNTIFS('Budget ed extra'!$D$7:$D$18,D104))</f>
        <v>900</v>
      </c>
      <c r="D104">
        <f>SUMPRODUCT(MAX(('Budget ed extra'!$D$7:$D$18&lt;=A104)*'Budget ed extra'!$D$7:$D$18))</f>
        <v>9</v>
      </c>
      <c r="E104">
        <f>SUMIFS('Budget ed extra'!$G$7:$G$42,'Budget ed extra'!$J$7:$J$42,A104)</f>
        <v>0</v>
      </c>
      <c r="F104">
        <f>SUM(T104:AE104)</f>
        <v>0</v>
      </c>
      <c r="G104">
        <f>MAX(0,E104-F104)</f>
        <v>0</v>
      </c>
      <c r="H104">
        <f>IF($A104&gt;=C$10,C$11,C$9)/12</f>
        <v>0.01575</v>
      </c>
      <c r="I104">
        <f>IF($A104&gt;=D$10,D$11,D$9)/12</f>
        <v>0.01825</v>
      </c>
      <c r="J104">
        <f>IF($A104&gt;=E$10,E$11,E$9)/12</f>
        <v>0.00766666666666667</v>
      </c>
      <c r="K104">
        <f>IF($A104&gt;=F$10,F$11,F$9)/12</f>
        <v>0.00533333333333333</v>
      </c>
      <c r="L104">
        <f>IF($A104&gt;=G$10,G$11,G$9)/12</f>
        <v>0</v>
      </c>
      <c r="M104">
        <f>IF($A104&gt;=H$10,H$11,H$9)/12</f>
        <v>0</v>
      </c>
      <c r="N104">
        <f>IF($A104&gt;=I$10,I$11,I$9)/12</f>
        <v>0</v>
      </c>
      <c r="O104">
        <f>IF($A104&gt;=J$10,J$11,J$9)/12</f>
        <v>0</v>
      </c>
      <c r="P104">
        <f>IF($A104&gt;=K$10,K$11,K$9)/12</f>
        <v>0</v>
      </c>
      <c r="Q104">
        <f>IF($A104&gt;=L$10,L$11,L$9)/12</f>
        <v>0</v>
      </c>
      <c r="R104">
        <f>IF($A104&gt;=M$10,M$11,M$9)/12</f>
        <v>0</v>
      </c>
      <c r="S104">
        <f>IF($A104&gt;=N$10,N$11,N$9)/12</f>
        <v>0</v>
      </c>
      <c r="T104">
        <f>IF(C$6="",0,SUMIFS('Budget ed extra'!$G$7:$G$42,'Budget ed extra'!$J$7:$J$42,$A104,'Budget ed extra'!$H$7:$H$42,C$6))</f>
        <v>0</v>
      </c>
      <c r="U104">
        <f>IF(D$6="",0,SUMIFS('Budget ed extra'!$G$7:$G$42,'Budget ed extra'!$J$7:$J$42,$A104,'Budget ed extra'!$H$7:$H$42,D$6))</f>
        <v>0</v>
      </c>
      <c r="V104">
        <f>IF(E$6="",0,SUMIFS('Budget ed extra'!$G$7:$G$42,'Budget ed extra'!$J$7:$J$42,$A104,'Budget ed extra'!$H$7:$H$42,E$6))</f>
        <v>0</v>
      </c>
      <c r="W104">
        <f>IF(F$6="",0,SUMIFS('Budget ed extra'!$G$7:$G$42,'Budget ed extra'!$J$7:$J$42,$A104,'Budget ed extra'!$H$7:$H$42,F$6))</f>
        <v>0</v>
      </c>
      <c r="X104">
        <f>IF(G$6="",0,SUMIFS('Budget ed extra'!$G$7:$G$42,'Budget ed extra'!$J$7:$J$42,$A104,'Budget ed extra'!$H$7:$H$42,G$6))</f>
        <v>0</v>
      </c>
      <c r="Y104">
        <f>IF(H$6="",0,SUMIFS('Budget ed extra'!$G$7:$G$42,'Budget ed extra'!$J$7:$J$42,$A104,'Budget ed extra'!$H$7:$H$42,H$6))</f>
        <v>0</v>
      </c>
      <c r="Z104">
        <f>IF(I$6="",0,SUMIFS('Budget ed extra'!$G$7:$G$42,'Budget ed extra'!$J$7:$J$42,$A104,'Budget ed extra'!$H$7:$H$42,I$6))</f>
        <v>0</v>
      </c>
      <c r="AA104">
        <f>IF(J$6="",0,SUMIFS('Budget ed extra'!$G$7:$G$42,'Budget ed extra'!$J$7:$J$42,$A104,'Budget ed extra'!$H$7:$H$42,J$6))</f>
        <v>0</v>
      </c>
      <c r="AB104">
        <f>IF(K$6="",0,SUMIFS('Budget ed extra'!$G$7:$G$42,'Budget ed extra'!$J$7:$J$42,$A104,'Budget ed extra'!$H$7:$H$42,K$6))</f>
        <v>0</v>
      </c>
      <c r="AC104">
        <f>IF(L$6="",0,SUMIFS('Budget ed extra'!$G$7:$G$42,'Budget ed extra'!$J$7:$J$42,$A104,'Budget ed extra'!$H$7:$H$42,L$6))</f>
        <v>0</v>
      </c>
      <c r="AD104">
        <f>IF(M$6="",0,SUMIFS('Budget ed extra'!$G$7:$G$42,'Budget ed extra'!$J$7:$J$42,$A104,'Budget ed extra'!$H$7:$H$42,M$6))</f>
        <v>0</v>
      </c>
      <c r="AE104">
        <f>IF(N$6="",0,SUMIFS('Budget ed extra'!$G$7:$G$42,'Budget ed extra'!$J$7:$J$42,$A104,'Budget ed extra'!$H$7:$H$42,N$6))</f>
        <v>0</v>
      </c>
    </row>
    <row r="105">
      <c r="A105" t="n">
        <v>75</v>
      </c>
      <c r="B105">
        <f>DATE($B$2,$B$3+A105-1,1)</f>
        <v>48580.0</v>
      </c>
      <c r="C105">
        <f>IF(D105=0,N(Impostazioni!$B$6),SUMIFS('Budget ed extra'!$B$7:$B$18,'Budget ed extra'!$D$7:$D$18,D105)/COUNTIFS('Budget ed extra'!$D$7:$D$18,D105))</f>
        <v>900</v>
      </c>
      <c r="D105">
        <f>SUMPRODUCT(MAX(('Budget ed extra'!$D$7:$D$18&lt;=A105)*'Budget ed extra'!$D$7:$D$18))</f>
        <v>9</v>
      </c>
      <c r="E105">
        <f>SUMIFS('Budget ed extra'!$G$7:$G$42,'Budget ed extra'!$J$7:$J$42,A105)</f>
        <v>0</v>
      </c>
      <c r="F105">
        <f>SUM(T105:AE105)</f>
        <v>0</v>
      </c>
      <c r="G105">
        <f>MAX(0,E105-F105)</f>
        <v>0</v>
      </c>
      <c r="H105">
        <f>IF($A105&gt;=C$10,C$11,C$9)/12</f>
        <v>0.01575</v>
      </c>
      <c r="I105">
        <f>IF($A105&gt;=D$10,D$11,D$9)/12</f>
        <v>0.01825</v>
      </c>
      <c r="J105">
        <f>IF($A105&gt;=E$10,E$11,E$9)/12</f>
        <v>0.00766666666666667</v>
      </c>
      <c r="K105">
        <f>IF($A105&gt;=F$10,F$11,F$9)/12</f>
        <v>0.00533333333333333</v>
      </c>
      <c r="L105">
        <f>IF($A105&gt;=G$10,G$11,G$9)/12</f>
        <v>0</v>
      </c>
      <c r="M105">
        <f>IF($A105&gt;=H$10,H$11,H$9)/12</f>
        <v>0</v>
      </c>
      <c r="N105">
        <f>IF($A105&gt;=I$10,I$11,I$9)/12</f>
        <v>0</v>
      </c>
      <c r="O105">
        <f>IF($A105&gt;=J$10,J$11,J$9)/12</f>
        <v>0</v>
      </c>
      <c r="P105">
        <f>IF($A105&gt;=K$10,K$11,K$9)/12</f>
        <v>0</v>
      </c>
      <c r="Q105">
        <f>IF($A105&gt;=L$10,L$11,L$9)/12</f>
        <v>0</v>
      </c>
      <c r="R105">
        <f>IF($A105&gt;=M$10,M$11,M$9)/12</f>
        <v>0</v>
      </c>
      <c r="S105">
        <f>IF($A105&gt;=N$10,N$11,N$9)/12</f>
        <v>0</v>
      </c>
      <c r="T105">
        <f>IF(C$6="",0,SUMIFS('Budget ed extra'!$G$7:$G$42,'Budget ed extra'!$J$7:$J$42,$A105,'Budget ed extra'!$H$7:$H$42,C$6))</f>
        <v>0</v>
      </c>
      <c r="U105">
        <f>IF(D$6="",0,SUMIFS('Budget ed extra'!$G$7:$G$42,'Budget ed extra'!$J$7:$J$42,$A105,'Budget ed extra'!$H$7:$H$42,D$6))</f>
        <v>0</v>
      </c>
      <c r="V105">
        <f>IF(E$6="",0,SUMIFS('Budget ed extra'!$G$7:$G$42,'Budget ed extra'!$J$7:$J$42,$A105,'Budget ed extra'!$H$7:$H$42,E$6))</f>
        <v>0</v>
      </c>
      <c r="W105">
        <f>IF(F$6="",0,SUMIFS('Budget ed extra'!$G$7:$G$42,'Budget ed extra'!$J$7:$J$42,$A105,'Budget ed extra'!$H$7:$H$42,F$6))</f>
        <v>0</v>
      </c>
      <c r="X105">
        <f>IF(G$6="",0,SUMIFS('Budget ed extra'!$G$7:$G$42,'Budget ed extra'!$J$7:$J$42,$A105,'Budget ed extra'!$H$7:$H$42,G$6))</f>
        <v>0</v>
      </c>
      <c r="Y105">
        <f>IF(H$6="",0,SUMIFS('Budget ed extra'!$G$7:$G$42,'Budget ed extra'!$J$7:$J$42,$A105,'Budget ed extra'!$H$7:$H$42,H$6))</f>
        <v>0</v>
      </c>
      <c r="Z105">
        <f>IF(I$6="",0,SUMIFS('Budget ed extra'!$G$7:$G$42,'Budget ed extra'!$J$7:$J$42,$A105,'Budget ed extra'!$H$7:$H$42,I$6))</f>
        <v>0</v>
      </c>
      <c r="AA105">
        <f>IF(J$6="",0,SUMIFS('Budget ed extra'!$G$7:$G$42,'Budget ed extra'!$J$7:$J$42,$A105,'Budget ed extra'!$H$7:$H$42,J$6))</f>
        <v>0</v>
      </c>
      <c r="AB105">
        <f>IF(K$6="",0,SUMIFS('Budget ed extra'!$G$7:$G$42,'Budget ed extra'!$J$7:$J$42,$A105,'Budget ed extra'!$H$7:$H$42,K$6))</f>
        <v>0</v>
      </c>
      <c r="AC105">
        <f>IF(L$6="",0,SUMIFS('Budget ed extra'!$G$7:$G$42,'Budget ed extra'!$J$7:$J$42,$A105,'Budget ed extra'!$H$7:$H$42,L$6))</f>
        <v>0</v>
      </c>
      <c r="AD105">
        <f>IF(M$6="",0,SUMIFS('Budget ed extra'!$G$7:$G$42,'Budget ed extra'!$J$7:$J$42,$A105,'Budget ed extra'!$H$7:$H$42,M$6))</f>
        <v>0</v>
      </c>
      <c r="AE105">
        <f>IF(N$6="",0,SUMIFS('Budget ed extra'!$G$7:$G$42,'Budget ed extra'!$J$7:$J$42,$A105,'Budget ed extra'!$H$7:$H$42,N$6))</f>
        <v>0</v>
      </c>
    </row>
    <row r="106">
      <c r="A106" t="n">
        <v>76</v>
      </c>
      <c r="B106">
        <f>DATE($B$2,$B$3+A106-1,1)</f>
        <v>48611.0</v>
      </c>
      <c r="C106">
        <f>IF(D106=0,N(Impostazioni!$B$6),SUMIFS('Budget ed extra'!$B$7:$B$18,'Budget ed extra'!$D$7:$D$18,D106)/COUNTIFS('Budget ed extra'!$D$7:$D$18,D106))</f>
        <v>900</v>
      </c>
      <c r="D106">
        <f>SUMPRODUCT(MAX(('Budget ed extra'!$D$7:$D$18&lt;=A106)*'Budget ed extra'!$D$7:$D$18))</f>
        <v>9</v>
      </c>
      <c r="E106">
        <f>SUMIFS('Budget ed extra'!$G$7:$G$42,'Budget ed extra'!$J$7:$J$42,A106)</f>
        <v>0</v>
      </c>
      <c r="F106">
        <f>SUM(T106:AE106)</f>
        <v>0</v>
      </c>
      <c r="G106">
        <f>MAX(0,E106-F106)</f>
        <v>0</v>
      </c>
      <c r="H106">
        <f>IF($A106&gt;=C$10,C$11,C$9)/12</f>
        <v>0.01575</v>
      </c>
      <c r="I106">
        <f>IF($A106&gt;=D$10,D$11,D$9)/12</f>
        <v>0.01825</v>
      </c>
      <c r="J106">
        <f>IF($A106&gt;=E$10,E$11,E$9)/12</f>
        <v>0.00766666666666667</v>
      </c>
      <c r="K106">
        <f>IF($A106&gt;=F$10,F$11,F$9)/12</f>
        <v>0.00533333333333333</v>
      </c>
      <c r="L106">
        <f>IF($A106&gt;=G$10,G$11,G$9)/12</f>
        <v>0</v>
      </c>
      <c r="M106">
        <f>IF($A106&gt;=H$10,H$11,H$9)/12</f>
        <v>0</v>
      </c>
      <c r="N106">
        <f>IF($A106&gt;=I$10,I$11,I$9)/12</f>
        <v>0</v>
      </c>
      <c r="O106">
        <f>IF($A106&gt;=J$10,J$11,J$9)/12</f>
        <v>0</v>
      </c>
      <c r="P106">
        <f>IF($A106&gt;=K$10,K$11,K$9)/12</f>
        <v>0</v>
      </c>
      <c r="Q106">
        <f>IF($A106&gt;=L$10,L$11,L$9)/12</f>
        <v>0</v>
      </c>
      <c r="R106">
        <f>IF($A106&gt;=M$10,M$11,M$9)/12</f>
        <v>0</v>
      </c>
      <c r="S106">
        <f>IF($A106&gt;=N$10,N$11,N$9)/12</f>
        <v>0</v>
      </c>
      <c r="T106">
        <f>IF(C$6="",0,SUMIFS('Budget ed extra'!$G$7:$G$42,'Budget ed extra'!$J$7:$J$42,$A106,'Budget ed extra'!$H$7:$H$42,C$6))</f>
        <v>0</v>
      </c>
      <c r="U106">
        <f>IF(D$6="",0,SUMIFS('Budget ed extra'!$G$7:$G$42,'Budget ed extra'!$J$7:$J$42,$A106,'Budget ed extra'!$H$7:$H$42,D$6))</f>
        <v>0</v>
      </c>
      <c r="V106">
        <f>IF(E$6="",0,SUMIFS('Budget ed extra'!$G$7:$G$42,'Budget ed extra'!$J$7:$J$42,$A106,'Budget ed extra'!$H$7:$H$42,E$6))</f>
        <v>0</v>
      </c>
      <c r="W106">
        <f>IF(F$6="",0,SUMIFS('Budget ed extra'!$G$7:$G$42,'Budget ed extra'!$J$7:$J$42,$A106,'Budget ed extra'!$H$7:$H$42,F$6))</f>
        <v>0</v>
      </c>
      <c r="X106">
        <f>IF(G$6="",0,SUMIFS('Budget ed extra'!$G$7:$G$42,'Budget ed extra'!$J$7:$J$42,$A106,'Budget ed extra'!$H$7:$H$42,G$6))</f>
        <v>0</v>
      </c>
      <c r="Y106">
        <f>IF(H$6="",0,SUMIFS('Budget ed extra'!$G$7:$G$42,'Budget ed extra'!$J$7:$J$42,$A106,'Budget ed extra'!$H$7:$H$42,H$6))</f>
        <v>0</v>
      </c>
      <c r="Z106">
        <f>IF(I$6="",0,SUMIFS('Budget ed extra'!$G$7:$G$42,'Budget ed extra'!$J$7:$J$42,$A106,'Budget ed extra'!$H$7:$H$42,I$6))</f>
        <v>0</v>
      </c>
      <c r="AA106">
        <f>IF(J$6="",0,SUMIFS('Budget ed extra'!$G$7:$G$42,'Budget ed extra'!$J$7:$J$42,$A106,'Budget ed extra'!$H$7:$H$42,J$6))</f>
        <v>0</v>
      </c>
      <c r="AB106">
        <f>IF(K$6="",0,SUMIFS('Budget ed extra'!$G$7:$G$42,'Budget ed extra'!$J$7:$J$42,$A106,'Budget ed extra'!$H$7:$H$42,K$6))</f>
        <v>0</v>
      </c>
      <c r="AC106">
        <f>IF(L$6="",0,SUMIFS('Budget ed extra'!$G$7:$G$42,'Budget ed extra'!$J$7:$J$42,$A106,'Budget ed extra'!$H$7:$H$42,L$6))</f>
        <v>0</v>
      </c>
      <c r="AD106">
        <f>IF(M$6="",0,SUMIFS('Budget ed extra'!$G$7:$G$42,'Budget ed extra'!$J$7:$J$42,$A106,'Budget ed extra'!$H$7:$H$42,M$6))</f>
        <v>0</v>
      </c>
      <c r="AE106">
        <f>IF(N$6="",0,SUMIFS('Budget ed extra'!$G$7:$G$42,'Budget ed extra'!$J$7:$J$42,$A106,'Budget ed extra'!$H$7:$H$42,N$6))</f>
        <v>0</v>
      </c>
    </row>
    <row r="107">
      <c r="A107" t="n">
        <v>77</v>
      </c>
      <c r="B107">
        <f>DATE($B$2,$B$3+A107-1,1)</f>
        <v>48639.0</v>
      </c>
      <c r="C107">
        <f>IF(D107=0,N(Impostazioni!$B$6),SUMIFS('Budget ed extra'!$B$7:$B$18,'Budget ed extra'!$D$7:$D$18,D107)/COUNTIFS('Budget ed extra'!$D$7:$D$18,D107))</f>
        <v>900</v>
      </c>
      <c r="D107">
        <f>SUMPRODUCT(MAX(('Budget ed extra'!$D$7:$D$18&lt;=A107)*'Budget ed extra'!$D$7:$D$18))</f>
        <v>9</v>
      </c>
      <c r="E107">
        <f>SUMIFS('Budget ed extra'!$G$7:$G$42,'Budget ed extra'!$J$7:$J$42,A107)</f>
        <v>0</v>
      </c>
      <c r="F107">
        <f>SUM(T107:AE107)</f>
        <v>0</v>
      </c>
      <c r="G107">
        <f>MAX(0,E107-F107)</f>
        <v>0</v>
      </c>
      <c r="H107">
        <f>IF($A107&gt;=C$10,C$11,C$9)/12</f>
        <v>0.01575</v>
      </c>
      <c r="I107">
        <f>IF($A107&gt;=D$10,D$11,D$9)/12</f>
        <v>0.01825</v>
      </c>
      <c r="J107">
        <f>IF($A107&gt;=E$10,E$11,E$9)/12</f>
        <v>0.00766666666666667</v>
      </c>
      <c r="K107">
        <f>IF($A107&gt;=F$10,F$11,F$9)/12</f>
        <v>0.00533333333333333</v>
      </c>
      <c r="L107">
        <f>IF($A107&gt;=G$10,G$11,G$9)/12</f>
        <v>0</v>
      </c>
      <c r="M107">
        <f>IF($A107&gt;=H$10,H$11,H$9)/12</f>
        <v>0</v>
      </c>
      <c r="N107">
        <f>IF($A107&gt;=I$10,I$11,I$9)/12</f>
        <v>0</v>
      </c>
      <c r="O107">
        <f>IF($A107&gt;=J$10,J$11,J$9)/12</f>
        <v>0</v>
      </c>
      <c r="P107">
        <f>IF($A107&gt;=K$10,K$11,K$9)/12</f>
        <v>0</v>
      </c>
      <c r="Q107">
        <f>IF($A107&gt;=L$10,L$11,L$9)/12</f>
        <v>0</v>
      </c>
      <c r="R107">
        <f>IF($A107&gt;=M$10,M$11,M$9)/12</f>
        <v>0</v>
      </c>
      <c r="S107">
        <f>IF($A107&gt;=N$10,N$11,N$9)/12</f>
        <v>0</v>
      </c>
      <c r="T107">
        <f>IF(C$6="",0,SUMIFS('Budget ed extra'!$G$7:$G$42,'Budget ed extra'!$J$7:$J$42,$A107,'Budget ed extra'!$H$7:$H$42,C$6))</f>
        <v>0</v>
      </c>
      <c r="U107">
        <f>IF(D$6="",0,SUMIFS('Budget ed extra'!$G$7:$G$42,'Budget ed extra'!$J$7:$J$42,$A107,'Budget ed extra'!$H$7:$H$42,D$6))</f>
        <v>0</v>
      </c>
      <c r="V107">
        <f>IF(E$6="",0,SUMIFS('Budget ed extra'!$G$7:$G$42,'Budget ed extra'!$J$7:$J$42,$A107,'Budget ed extra'!$H$7:$H$42,E$6))</f>
        <v>0</v>
      </c>
      <c r="W107">
        <f>IF(F$6="",0,SUMIFS('Budget ed extra'!$G$7:$G$42,'Budget ed extra'!$J$7:$J$42,$A107,'Budget ed extra'!$H$7:$H$42,F$6))</f>
        <v>0</v>
      </c>
      <c r="X107">
        <f>IF(G$6="",0,SUMIFS('Budget ed extra'!$G$7:$G$42,'Budget ed extra'!$J$7:$J$42,$A107,'Budget ed extra'!$H$7:$H$42,G$6))</f>
        <v>0</v>
      </c>
      <c r="Y107">
        <f>IF(H$6="",0,SUMIFS('Budget ed extra'!$G$7:$G$42,'Budget ed extra'!$J$7:$J$42,$A107,'Budget ed extra'!$H$7:$H$42,H$6))</f>
        <v>0</v>
      </c>
      <c r="Z107">
        <f>IF(I$6="",0,SUMIFS('Budget ed extra'!$G$7:$G$42,'Budget ed extra'!$J$7:$J$42,$A107,'Budget ed extra'!$H$7:$H$42,I$6))</f>
        <v>0</v>
      </c>
      <c r="AA107">
        <f>IF(J$6="",0,SUMIFS('Budget ed extra'!$G$7:$G$42,'Budget ed extra'!$J$7:$J$42,$A107,'Budget ed extra'!$H$7:$H$42,J$6))</f>
        <v>0</v>
      </c>
      <c r="AB107">
        <f>IF(K$6="",0,SUMIFS('Budget ed extra'!$G$7:$G$42,'Budget ed extra'!$J$7:$J$42,$A107,'Budget ed extra'!$H$7:$H$42,K$6))</f>
        <v>0</v>
      </c>
      <c r="AC107">
        <f>IF(L$6="",0,SUMIFS('Budget ed extra'!$G$7:$G$42,'Budget ed extra'!$J$7:$J$42,$A107,'Budget ed extra'!$H$7:$H$42,L$6))</f>
        <v>0</v>
      </c>
      <c r="AD107">
        <f>IF(M$6="",0,SUMIFS('Budget ed extra'!$G$7:$G$42,'Budget ed extra'!$J$7:$J$42,$A107,'Budget ed extra'!$H$7:$H$42,M$6))</f>
        <v>0</v>
      </c>
      <c r="AE107">
        <f>IF(N$6="",0,SUMIFS('Budget ed extra'!$G$7:$G$42,'Budget ed extra'!$J$7:$J$42,$A107,'Budget ed extra'!$H$7:$H$42,N$6))</f>
        <v>0</v>
      </c>
    </row>
    <row r="108">
      <c r="A108" t="n">
        <v>78</v>
      </c>
      <c r="B108">
        <f>DATE($B$2,$B$3+A108-1,1)</f>
        <v>48670.0</v>
      </c>
      <c r="C108">
        <f>IF(D108=0,N(Impostazioni!$B$6),SUMIFS('Budget ed extra'!$B$7:$B$18,'Budget ed extra'!$D$7:$D$18,D108)/COUNTIFS('Budget ed extra'!$D$7:$D$18,D108))</f>
        <v>900</v>
      </c>
      <c r="D108">
        <f>SUMPRODUCT(MAX(('Budget ed extra'!$D$7:$D$18&lt;=A108)*'Budget ed extra'!$D$7:$D$18))</f>
        <v>9</v>
      </c>
      <c r="E108">
        <f>SUMIFS('Budget ed extra'!$G$7:$G$42,'Budget ed extra'!$J$7:$J$42,A108)</f>
        <v>0</v>
      </c>
      <c r="F108">
        <f>SUM(T108:AE108)</f>
        <v>0</v>
      </c>
      <c r="G108">
        <f>MAX(0,E108-F108)</f>
        <v>0</v>
      </c>
      <c r="H108">
        <f>IF($A108&gt;=C$10,C$11,C$9)/12</f>
        <v>0.01575</v>
      </c>
      <c r="I108">
        <f>IF($A108&gt;=D$10,D$11,D$9)/12</f>
        <v>0.01825</v>
      </c>
      <c r="J108">
        <f>IF($A108&gt;=E$10,E$11,E$9)/12</f>
        <v>0.00766666666666667</v>
      </c>
      <c r="K108">
        <f>IF($A108&gt;=F$10,F$11,F$9)/12</f>
        <v>0.00533333333333333</v>
      </c>
      <c r="L108">
        <f>IF($A108&gt;=G$10,G$11,G$9)/12</f>
        <v>0</v>
      </c>
      <c r="M108">
        <f>IF($A108&gt;=H$10,H$11,H$9)/12</f>
        <v>0</v>
      </c>
      <c r="N108">
        <f>IF($A108&gt;=I$10,I$11,I$9)/12</f>
        <v>0</v>
      </c>
      <c r="O108">
        <f>IF($A108&gt;=J$10,J$11,J$9)/12</f>
        <v>0</v>
      </c>
      <c r="P108">
        <f>IF($A108&gt;=K$10,K$11,K$9)/12</f>
        <v>0</v>
      </c>
      <c r="Q108">
        <f>IF($A108&gt;=L$10,L$11,L$9)/12</f>
        <v>0</v>
      </c>
      <c r="R108">
        <f>IF($A108&gt;=M$10,M$11,M$9)/12</f>
        <v>0</v>
      </c>
      <c r="S108">
        <f>IF($A108&gt;=N$10,N$11,N$9)/12</f>
        <v>0</v>
      </c>
      <c r="T108">
        <f>IF(C$6="",0,SUMIFS('Budget ed extra'!$G$7:$G$42,'Budget ed extra'!$J$7:$J$42,$A108,'Budget ed extra'!$H$7:$H$42,C$6))</f>
        <v>0</v>
      </c>
      <c r="U108">
        <f>IF(D$6="",0,SUMIFS('Budget ed extra'!$G$7:$G$42,'Budget ed extra'!$J$7:$J$42,$A108,'Budget ed extra'!$H$7:$H$42,D$6))</f>
        <v>0</v>
      </c>
      <c r="V108">
        <f>IF(E$6="",0,SUMIFS('Budget ed extra'!$G$7:$G$42,'Budget ed extra'!$J$7:$J$42,$A108,'Budget ed extra'!$H$7:$H$42,E$6))</f>
        <v>0</v>
      </c>
      <c r="W108">
        <f>IF(F$6="",0,SUMIFS('Budget ed extra'!$G$7:$G$42,'Budget ed extra'!$J$7:$J$42,$A108,'Budget ed extra'!$H$7:$H$42,F$6))</f>
        <v>0</v>
      </c>
      <c r="X108">
        <f>IF(G$6="",0,SUMIFS('Budget ed extra'!$G$7:$G$42,'Budget ed extra'!$J$7:$J$42,$A108,'Budget ed extra'!$H$7:$H$42,G$6))</f>
        <v>0</v>
      </c>
      <c r="Y108">
        <f>IF(H$6="",0,SUMIFS('Budget ed extra'!$G$7:$G$42,'Budget ed extra'!$J$7:$J$42,$A108,'Budget ed extra'!$H$7:$H$42,H$6))</f>
        <v>0</v>
      </c>
      <c r="Z108">
        <f>IF(I$6="",0,SUMIFS('Budget ed extra'!$G$7:$G$42,'Budget ed extra'!$J$7:$J$42,$A108,'Budget ed extra'!$H$7:$H$42,I$6))</f>
        <v>0</v>
      </c>
      <c r="AA108">
        <f>IF(J$6="",0,SUMIFS('Budget ed extra'!$G$7:$G$42,'Budget ed extra'!$J$7:$J$42,$A108,'Budget ed extra'!$H$7:$H$42,J$6))</f>
        <v>0</v>
      </c>
      <c r="AB108">
        <f>IF(K$6="",0,SUMIFS('Budget ed extra'!$G$7:$G$42,'Budget ed extra'!$J$7:$J$42,$A108,'Budget ed extra'!$H$7:$H$42,K$6))</f>
        <v>0</v>
      </c>
      <c r="AC108">
        <f>IF(L$6="",0,SUMIFS('Budget ed extra'!$G$7:$G$42,'Budget ed extra'!$J$7:$J$42,$A108,'Budget ed extra'!$H$7:$H$42,L$6))</f>
        <v>0</v>
      </c>
      <c r="AD108">
        <f>IF(M$6="",0,SUMIFS('Budget ed extra'!$G$7:$G$42,'Budget ed extra'!$J$7:$J$42,$A108,'Budget ed extra'!$H$7:$H$42,M$6))</f>
        <v>0</v>
      </c>
      <c r="AE108">
        <f>IF(N$6="",0,SUMIFS('Budget ed extra'!$G$7:$G$42,'Budget ed extra'!$J$7:$J$42,$A108,'Budget ed extra'!$H$7:$H$42,N$6))</f>
        <v>0</v>
      </c>
    </row>
    <row r="109">
      <c r="A109" t="n">
        <v>79</v>
      </c>
      <c r="B109">
        <f>DATE($B$2,$B$3+A109-1,1)</f>
        <v>48700.0</v>
      </c>
      <c r="C109">
        <f>IF(D109=0,N(Impostazioni!$B$6),SUMIFS('Budget ed extra'!$B$7:$B$18,'Budget ed extra'!$D$7:$D$18,D109)/COUNTIFS('Budget ed extra'!$D$7:$D$18,D109))</f>
        <v>900</v>
      </c>
      <c r="D109">
        <f>SUMPRODUCT(MAX(('Budget ed extra'!$D$7:$D$18&lt;=A109)*'Budget ed extra'!$D$7:$D$18))</f>
        <v>9</v>
      </c>
      <c r="E109">
        <f>SUMIFS('Budget ed extra'!$G$7:$G$42,'Budget ed extra'!$J$7:$J$42,A109)</f>
        <v>0</v>
      </c>
      <c r="F109">
        <f>SUM(T109:AE109)</f>
        <v>0</v>
      </c>
      <c r="G109">
        <f>MAX(0,E109-F109)</f>
        <v>0</v>
      </c>
      <c r="H109">
        <f>IF($A109&gt;=C$10,C$11,C$9)/12</f>
        <v>0.01575</v>
      </c>
      <c r="I109">
        <f>IF($A109&gt;=D$10,D$11,D$9)/12</f>
        <v>0.01825</v>
      </c>
      <c r="J109">
        <f>IF($A109&gt;=E$10,E$11,E$9)/12</f>
        <v>0.00766666666666667</v>
      </c>
      <c r="K109">
        <f>IF($A109&gt;=F$10,F$11,F$9)/12</f>
        <v>0.00533333333333333</v>
      </c>
      <c r="L109">
        <f>IF($A109&gt;=G$10,G$11,G$9)/12</f>
        <v>0</v>
      </c>
      <c r="M109">
        <f>IF($A109&gt;=H$10,H$11,H$9)/12</f>
        <v>0</v>
      </c>
      <c r="N109">
        <f>IF($A109&gt;=I$10,I$11,I$9)/12</f>
        <v>0</v>
      </c>
      <c r="O109">
        <f>IF($A109&gt;=J$10,J$11,J$9)/12</f>
        <v>0</v>
      </c>
      <c r="P109">
        <f>IF($A109&gt;=K$10,K$11,K$9)/12</f>
        <v>0</v>
      </c>
      <c r="Q109">
        <f>IF($A109&gt;=L$10,L$11,L$9)/12</f>
        <v>0</v>
      </c>
      <c r="R109">
        <f>IF($A109&gt;=M$10,M$11,M$9)/12</f>
        <v>0</v>
      </c>
      <c r="S109">
        <f>IF($A109&gt;=N$10,N$11,N$9)/12</f>
        <v>0</v>
      </c>
      <c r="T109">
        <f>IF(C$6="",0,SUMIFS('Budget ed extra'!$G$7:$G$42,'Budget ed extra'!$J$7:$J$42,$A109,'Budget ed extra'!$H$7:$H$42,C$6))</f>
        <v>0</v>
      </c>
      <c r="U109">
        <f>IF(D$6="",0,SUMIFS('Budget ed extra'!$G$7:$G$42,'Budget ed extra'!$J$7:$J$42,$A109,'Budget ed extra'!$H$7:$H$42,D$6))</f>
        <v>0</v>
      </c>
      <c r="V109">
        <f>IF(E$6="",0,SUMIFS('Budget ed extra'!$G$7:$G$42,'Budget ed extra'!$J$7:$J$42,$A109,'Budget ed extra'!$H$7:$H$42,E$6))</f>
        <v>0</v>
      </c>
      <c r="W109">
        <f>IF(F$6="",0,SUMIFS('Budget ed extra'!$G$7:$G$42,'Budget ed extra'!$J$7:$J$42,$A109,'Budget ed extra'!$H$7:$H$42,F$6))</f>
        <v>0</v>
      </c>
      <c r="X109">
        <f>IF(G$6="",0,SUMIFS('Budget ed extra'!$G$7:$G$42,'Budget ed extra'!$J$7:$J$42,$A109,'Budget ed extra'!$H$7:$H$42,G$6))</f>
        <v>0</v>
      </c>
      <c r="Y109">
        <f>IF(H$6="",0,SUMIFS('Budget ed extra'!$G$7:$G$42,'Budget ed extra'!$J$7:$J$42,$A109,'Budget ed extra'!$H$7:$H$42,H$6))</f>
        <v>0</v>
      </c>
      <c r="Z109">
        <f>IF(I$6="",0,SUMIFS('Budget ed extra'!$G$7:$G$42,'Budget ed extra'!$J$7:$J$42,$A109,'Budget ed extra'!$H$7:$H$42,I$6))</f>
        <v>0</v>
      </c>
      <c r="AA109">
        <f>IF(J$6="",0,SUMIFS('Budget ed extra'!$G$7:$G$42,'Budget ed extra'!$J$7:$J$42,$A109,'Budget ed extra'!$H$7:$H$42,J$6))</f>
        <v>0</v>
      </c>
      <c r="AB109">
        <f>IF(K$6="",0,SUMIFS('Budget ed extra'!$G$7:$G$42,'Budget ed extra'!$J$7:$J$42,$A109,'Budget ed extra'!$H$7:$H$42,K$6))</f>
        <v>0</v>
      </c>
      <c r="AC109">
        <f>IF(L$6="",0,SUMIFS('Budget ed extra'!$G$7:$G$42,'Budget ed extra'!$J$7:$J$42,$A109,'Budget ed extra'!$H$7:$H$42,L$6))</f>
        <v>0</v>
      </c>
      <c r="AD109">
        <f>IF(M$6="",0,SUMIFS('Budget ed extra'!$G$7:$G$42,'Budget ed extra'!$J$7:$J$42,$A109,'Budget ed extra'!$H$7:$H$42,M$6))</f>
        <v>0</v>
      </c>
      <c r="AE109">
        <f>IF(N$6="",0,SUMIFS('Budget ed extra'!$G$7:$G$42,'Budget ed extra'!$J$7:$J$42,$A109,'Budget ed extra'!$H$7:$H$42,N$6))</f>
        <v>0</v>
      </c>
    </row>
    <row r="110">
      <c r="A110" t="n">
        <v>80</v>
      </c>
      <c r="B110">
        <f>DATE($B$2,$B$3+A110-1,1)</f>
        <v>48731.0</v>
      </c>
      <c r="C110">
        <f>IF(D110=0,N(Impostazioni!$B$6),SUMIFS('Budget ed extra'!$B$7:$B$18,'Budget ed extra'!$D$7:$D$18,D110)/COUNTIFS('Budget ed extra'!$D$7:$D$18,D110))</f>
        <v>900</v>
      </c>
      <c r="D110">
        <f>SUMPRODUCT(MAX(('Budget ed extra'!$D$7:$D$18&lt;=A110)*'Budget ed extra'!$D$7:$D$18))</f>
        <v>9</v>
      </c>
      <c r="E110">
        <f>SUMIFS('Budget ed extra'!$G$7:$G$42,'Budget ed extra'!$J$7:$J$42,A110)</f>
        <v>0</v>
      </c>
      <c r="F110">
        <f>SUM(T110:AE110)</f>
        <v>0</v>
      </c>
      <c r="G110">
        <f>MAX(0,E110-F110)</f>
        <v>0</v>
      </c>
      <c r="H110">
        <f>IF($A110&gt;=C$10,C$11,C$9)/12</f>
        <v>0.01575</v>
      </c>
      <c r="I110">
        <f>IF($A110&gt;=D$10,D$11,D$9)/12</f>
        <v>0.01825</v>
      </c>
      <c r="J110">
        <f>IF($A110&gt;=E$10,E$11,E$9)/12</f>
        <v>0.00766666666666667</v>
      </c>
      <c r="K110">
        <f>IF($A110&gt;=F$10,F$11,F$9)/12</f>
        <v>0.00533333333333333</v>
      </c>
      <c r="L110">
        <f>IF($A110&gt;=G$10,G$11,G$9)/12</f>
        <v>0</v>
      </c>
      <c r="M110">
        <f>IF($A110&gt;=H$10,H$11,H$9)/12</f>
        <v>0</v>
      </c>
      <c r="N110">
        <f>IF($A110&gt;=I$10,I$11,I$9)/12</f>
        <v>0</v>
      </c>
      <c r="O110">
        <f>IF($A110&gt;=J$10,J$11,J$9)/12</f>
        <v>0</v>
      </c>
      <c r="P110">
        <f>IF($A110&gt;=K$10,K$11,K$9)/12</f>
        <v>0</v>
      </c>
      <c r="Q110">
        <f>IF($A110&gt;=L$10,L$11,L$9)/12</f>
        <v>0</v>
      </c>
      <c r="R110">
        <f>IF($A110&gt;=M$10,M$11,M$9)/12</f>
        <v>0</v>
      </c>
      <c r="S110">
        <f>IF($A110&gt;=N$10,N$11,N$9)/12</f>
        <v>0</v>
      </c>
      <c r="T110">
        <f>IF(C$6="",0,SUMIFS('Budget ed extra'!$G$7:$G$42,'Budget ed extra'!$J$7:$J$42,$A110,'Budget ed extra'!$H$7:$H$42,C$6))</f>
        <v>0</v>
      </c>
      <c r="U110">
        <f>IF(D$6="",0,SUMIFS('Budget ed extra'!$G$7:$G$42,'Budget ed extra'!$J$7:$J$42,$A110,'Budget ed extra'!$H$7:$H$42,D$6))</f>
        <v>0</v>
      </c>
      <c r="V110">
        <f>IF(E$6="",0,SUMIFS('Budget ed extra'!$G$7:$G$42,'Budget ed extra'!$J$7:$J$42,$A110,'Budget ed extra'!$H$7:$H$42,E$6))</f>
        <v>0</v>
      </c>
      <c r="W110">
        <f>IF(F$6="",0,SUMIFS('Budget ed extra'!$G$7:$G$42,'Budget ed extra'!$J$7:$J$42,$A110,'Budget ed extra'!$H$7:$H$42,F$6))</f>
        <v>0</v>
      </c>
      <c r="X110">
        <f>IF(G$6="",0,SUMIFS('Budget ed extra'!$G$7:$G$42,'Budget ed extra'!$J$7:$J$42,$A110,'Budget ed extra'!$H$7:$H$42,G$6))</f>
        <v>0</v>
      </c>
      <c r="Y110">
        <f>IF(H$6="",0,SUMIFS('Budget ed extra'!$G$7:$G$42,'Budget ed extra'!$J$7:$J$42,$A110,'Budget ed extra'!$H$7:$H$42,H$6))</f>
        <v>0</v>
      </c>
      <c r="Z110">
        <f>IF(I$6="",0,SUMIFS('Budget ed extra'!$G$7:$G$42,'Budget ed extra'!$J$7:$J$42,$A110,'Budget ed extra'!$H$7:$H$42,I$6))</f>
        <v>0</v>
      </c>
      <c r="AA110">
        <f>IF(J$6="",0,SUMIFS('Budget ed extra'!$G$7:$G$42,'Budget ed extra'!$J$7:$J$42,$A110,'Budget ed extra'!$H$7:$H$42,J$6))</f>
        <v>0</v>
      </c>
      <c r="AB110">
        <f>IF(K$6="",0,SUMIFS('Budget ed extra'!$G$7:$G$42,'Budget ed extra'!$J$7:$J$42,$A110,'Budget ed extra'!$H$7:$H$42,K$6))</f>
        <v>0</v>
      </c>
      <c r="AC110">
        <f>IF(L$6="",0,SUMIFS('Budget ed extra'!$G$7:$G$42,'Budget ed extra'!$J$7:$J$42,$A110,'Budget ed extra'!$H$7:$H$42,L$6))</f>
        <v>0</v>
      </c>
      <c r="AD110">
        <f>IF(M$6="",0,SUMIFS('Budget ed extra'!$G$7:$G$42,'Budget ed extra'!$J$7:$J$42,$A110,'Budget ed extra'!$H$7:$H$42,M$6))</f>
        <v>0</v>
      </c>
      <c r="AE110">
        <f>IF(N$6="",0,SUMIFS('Budget ed extra'!$G$7:$G$42,'Budget ed extra'!$J$7:$J$42,$A110,'Budget ed extra'!$H$7:$H$42,N$6))</f>
        <v>0</v>
      </c>
    </row>
    <row r="111">
      <c r="A111" t="n">
        <v>81</v>
      </c>
      <c r="B111">
        <f>DATE($B$2,$B$3+A111-1,1)</f>
        <v>48761.0</v>
      </c>
      <c r="C111">
        <f>IF(D111=0,N(Impostazioni!$B$6),SUMIFS('Budget ed extra'!$B$7:$B$18,'Budget ed extra'!$D$7:$D$18,D111)/COUNTIFS('Budget ed extra'!$D$7:$D$18,D111))</f>
        <v>900</v>
      </c>
      <c r="D111">
        <f>SUMPRODUCT(MAX(('Budget ed extra'!$D$7:$D$18&lt;=A111)*'Budget ed extra'!$D$7:$D$18))</f>
        <v>9</v>
      </c>
      <c r="E111">
        <f>SUMIFS('Budget ed extra'!$G$7:$G$42,'Budget ed extra'!$J$7:$J$42,A111)</f>
        <v>0</v>
      </c>
      <c r="F111">
        <f>SUM(T111:AE111)</f>
        <v>0</v>
      </c>
      <c r="G111">
        <f>MAX(0,E111-F111)</f>
        <v>0</v>
      </c>
      <c r="H111">
        <f>IF($A111&gt;=C$10,C$11,C$9)/12</f>
        <v>0.01575</v>
      </c>
      <c r="I111">
        <f>IF($A111&gt;=D$10,D$11,D$9)/12</f>
        <v>0.01825</v>
      </c>
      <c r="J111">
        <f>IF($A111&gt;=E$10,E$11,E$9)/12</f>
        <v>0.00766666666666667</v>
      </c>
      <c r="K111">
        <f>IF($A111&gt;=F$10,F$11,F$9)/12</f>
        <v>0.00533333333333333</v>
      </c>
      <c r="L111">
        <f>IF($A111&gt;=G$10,G$11,G$9)/12</f>
        <v>0</v>
      </c>
      <c r="M111">
        <f>IF($A111&gt;=H$10,H$11,H$9)/12</f>
        <v>0</v>
      </c>
      <c r="N111">
        <f>IF($A111&gt;=I$10,I$11,I$9)/12</f>
        <v>0</v>
      </c>
      <c r="O111">
        <f>IF($A111&gt;=J$10,J$11,J$9)/12</f>
        <v>0</v>
      </c>
      <c r="P111">
        <f>IF($A111&gt;=K$10,K$11,K$9)/12</f>
        <v>0</v>
      </c>
      <c r="Q111">
        <f>IF($A111&gt;=L$10,L$11,L$9)/12</f>
        <v>0</v>
      </c>
      <c r="R111">
        <f>IF($A111&gt;=M$10,M$11,M$9)/12</f>
        <v>0</v>
      </c>
      <c r="S111">
        <f>IF($A111&gt;=N$10,N$11,N$9)/12</f>
        <v>0</v>
      </c>
      <c r="T111">
        <f>IF(C$6="",0,SUMIFS('Budget ed extra'!$G$7:$G$42,'Budget ed extra'!$J$7:$J$42,$A111,'Budget ed extra'!$H$7:$H$42,C$6))</f>
        <v>0</v>
      </c>
      <c r="U111">
        <f>IF(D$6="",0,SUMIFS('Budget ed extra'!$G$7:$G$42,'Budget ed extra'!$J$7:$J$42,$A111,'Budget ed extra'!$H$7:$H$42,D$6))</f>
        <v>0</v>
      </c>
      <c r="V111">
        <f>IF(E$6="",0,SUMIFS('Budget ed extra'!$G$7:$G$42,'Budget ed extra'!$J$7:$J$42,$A111,'Budget ed extra'!$H$7:$H$42,E$6))</f>
        <v>0</v>
      </c>
      <c r="W111">
        <f>IF(F$6="",0,SUMIFS('Budget ed extra'!$G$7:$G$42,'Budget ed extra'!$J$7:$J$42,$A111,'Budget ed extra'!$H$7:$H$42,F$6))</f>
        <v>0</v>
      </c>
      <c r="X111">
        <f>IF(G$6="",0,SUMIFS('Budget ed extra'!$G$7:$G$42,'Budget ed extra'!$J$7:$J$42,$A111,'Budget ed extra'!$H$7:$H$42,G$6))</f>
        <v>0</v>
      </c>
      <c r="Y111">
        <f>IF(H$6="",0,SUMIFS('Budget ed extra'!$G$7:$G$42,'Budget ed extra'!$J$7:$J$42,$A111,'Budget ed extra'!$H$7:$H$42,H$6))</f>
        <v>0</v>
      </c>
      <c r="Z111">
        <f>IF(I$6="",0,SUMIFS('Budget ed extra'!$G$7:$G$42,'Budget ed extra'!$J$7:$J$42,$A111,'Budget ed extra'!$H$7:$H$42,I$6))</f>
        <v>0</v>
      </c>
      <c r="AA111">
        <f>IF(J$6="",0,SUMIFS('Budget ed extra'!$G$7:$G$42,'Budget ed extra'!$J$7:$J$42,$A111,'Budget ed extra'!$H$7:$H$42,J$6))</f>
        <v>0</v>
      </c>
      <c r="AB111">
        <f>IF(K$6="",0,SUMIFS('Budget ed extra'!$G$7:$G$42,'Budget ed extra'!$J$7:$J$42,$A111,'Budget ed extra'!$H$7:$H$42,K$6))</f>
        <v>0</v>
      </c>
      <c r="AC111">
        <f>IF(L$6="",0,SUMIFS('Budget ed extra'!$G$7:$G$42,'Budget ed extra'!$J$7:$J$42,$A111,'Budget ed extra'!$H$7:$H$42,L$6))</f>
        <v>0</v>
      </c>
      <c r="AD111">
        <f>IF(M$6="",0,SUMIFS('Budget ed extra'!$G$7:$G$42,'Budget ed extra'!$J$7:$J$42,$A111,'Budget ed extra'!$H$7:$H$42,M$6))</f>
        <v>0</v>
      </c>
      <c r="AE111">
        <f>IF(N$6="",0,SUMIFS('Budget ed extra'!$G$7:$G$42,'Budget ed extra'!$J$7:$J$42,$A111,'Budget ed extra'!$H$7:$H$42,N$6))</f>
        <v>0</v>
      </c>
    </row>
    <row r="112">
      <c r="A112" t="n">
        <v>82</v>
      </c>
      <c r="B112">
        <f>DATE($B$2,$B$3+A112-1,1)</f>
        <v>48792.0</v>
      </c>
      <c r="C112">
        <f>IF(D112=0,N(Impostazioni!$B$6),SUMIFS('Budget ed extra'!$B$7:$B$18,'Budget ed extra'!$D$7:$D$18,D112)/COUNTIFS('Budget ed extra'!$D$7:$D$18,D112))</f>
        <v>900</v>
      </c>
      <c r="D112">
        <f>SUMPRODUCT(MAX(('Budget ed extra'!$D$7:$D$18&lt;=A112)*'Budget ed extra'!$D$7:$D$18))</f>
        <v>9</v>
      </c>
      <c r="E112">
        <f>SUMIFS('Budget ed extra'!$G$7:$G$42,'Budget ed extra'!$J$7:$J$42,A112)</f>
        <v>0</v>
      </c>
      <c r="F112">
        <f>SUM(T112:AE112)</f>
        <v>0</v>
      </c>
      <c r="G112">
        <f>MAX(0,E112-F112)</f>
        <v>0</v>
      </c>
      <c r="H112">
        <f>IF($A112&gt;=C$10,C$11,C$9)/12</f>
        <v>0.01575</v>
      </c>
      <c r="I112">
        <f>IF($A112&gt;=D$10,D$11,D$9)/12</f>
        <v>0.01825</v>
      </c>
      <c r="J112">
        <f>IF($A112&gt;=E$10,E$11,E$9)/12</f>
        <v>0.00766666666666667</v>
      </c>
      <c r="K112">
        <f>IF($A112&gt;=F$10,F$11,F$9)/12</f>
        <v>0.00533333333333333</v>
      </c>
      <c r="L112">
        <f>IF($A112&gt;=G$10,G$11,G$9)/12</f>
        <v>0</v>
      </c>
      <c r="M112">
        <f>IF($A112&gt;=H$10,H$11,H$9)/12</f>
        <v>0</v>
      </c>
      <c r="N112">
        <f>IF($A112&gt;=I$10,I$11,I$9)/12</f>
        <v>0</v>
      </c>
      <c r="O112">
        <f>IF($A112&gt;=J$10,J$11,J$9)/12</f>
        <v>0</v>
      </c>
      <c r="P112">
        <f>IF($A112&gt;=K$10,K$11,K$9)/12</f>
        <v>0</v>
      </c>
      <c r="Q112">
        <f>IF($A112&gt;=L$10,L$11,L$9)/12</f>
        <v>0</v>
      </c>
      <c r="R112">
        <f>IF($A112&gt;=M$10,M$11,M$9)/12</f>
        <v>0</v>
      </c>
      <c r="S112">
        <f>IF($A112&gt;=N$10,N$11,N$9)/12</f>
        <v>0</v>
      </c>
      <c r="T112">
        <f>IF(C$6="",0,SUMIFS('Budget ed extra'!$G$7:$G$42,'Budget ed extra'!$J$7:$J$42,$A112,'Budget ed extra'!$H$7:$H$42,C$6))</f>
        <v>0</v>
      </c>
      <c r="U112">
        <f>IF(D$6="",0,SUMIFS('Budget ed extra'!$G$7:$G$42,'Budget ed extra'!$J$7:$J$42,$A112,'Budget ed extra'!$H$7:$H$42,D$6))</f>
        <v>0</v>
      </c>
      <c r="V112">
        <f>IF(E$6="",0,SUMIFS('Budget ed extra'!$G$7:$G$42,'Budget ed extra'!$J$7:$J$42,$A112,'Budget ed extra'!$H$7:$H$42,E$6))</f>
        <v>0</v>
      </c>
      <c r="W112">
        <f>IF(F$6="",0,SUMIFS('Budget ed extra'!$G$7:$G$42,'Budget ed extra'!$J$7:$J$42,$A112,'Budget ed extra'!$H$7:$H$42,F$6))</f>
        <v>0</v>
      </c>
      <c r="X112">
        <f>IF(G$6="",0,SUMIFS('Budget ed extra'!$G$7:$G$42,'Budget ed extra'!$J$7:$J$42,$A112,'Budget ed extra'!$H$7:$H$42,G$6))</f>
        <v>0</v>
      </c>
      <c r="Y112">
        <f>IF(H$6="",0,SUMIFS('Budget ed extra'!$G$7:$G$42,'Budget ed extra'!$J$7:$J$42,$A112,'Budget ed extra'!$H$7:$H$42,H$6))</f>
        <v>0</v>
      </c>
      <c r="Z112">
        <f>IF(I$6="",0,SUMIFS('Budget ed extra'!$G$7:$G$42,'Budget ed extra'!$J$7:$J$42,$A112,'Budget ed extra'!$H$7:$H$42,I$6))</f>
        <v>0</v>
      </c>
      <c r="AA112">
        <f>IF(J$6="",0,SUMIFS('Budget ed extra'!$G$7:$G$42,'Budget ed extra'!$J$7:$J$42,$A112,'Budget ed extra'!$H$7:$H$42,J$6))</f>
        <v>0</v>
      </c>
      <c r="AB112">
        <f>IF(K$6="",0,SUMIFS('Budget ed extra'!$G$7:$G$42,'Budget ed extra'!$J$7:$J$42,$A112,'Budget ed extra'!$H$7:$H$42,K$6))</f>
        <v>0</v>
      </c>
      <c r="AC112">
        <f>IF(L$6="",0,SUMIFS('Budget ed extra'!$G$7:$G$42,'Budget ed extra'!$J$7:$J$42,$A112,'Budget ed extra'!$H$7:$H$42,L$6))</f>
        <v>0</v>
      </c>
      <c r="AD112">
        <f>IF(M$6="",0,SUMIFS('Budget ed extra'!$G$7:$G$42,'Budget ed extra'!$J$7:$J$42,$A112,'Budget ed extra'!$H$7:$H$42,M$6))</f>
        <v>0</v>
      </c>
      <c r="AE112">
        <f>IF(N$6="",0,SUMIFS('Budget ed extra'!$G$7:$G$42,'Budget ed extra'!$J$7:$J$42,$A112,'Budget ed extra'!$H$7:$H$42,N$6))</f>
        <v>0</v>
      </c>
    </row>
    <row r="113">
      <c r="A113" t="n">
        <v>83</v>
      </c>
      <c r="B113">
        <f>DATE($B$2,$B$3+A113-1,1)</f>
        <v>48823.0</v>
      </c>
      <c r="C113">
        <f>IF(D113=0,N(Impostazioni!$B$6),SUMIFS('Budget ed extra'!$B$7:$B$18,'Budget ed extra'!$D$7:$D$18,D113)/COUNTIFS('Budget ed extra'!$D$7:$D$18,D113))</f>
        <v>900</v>
      </c>
      <c r="D113">
        <f>SUMPRODUCT(MAX(('Budget ed extra'!$D$7:$D$18&lt;=A113)*'Budget ed extra'!$D$7:$D$18))</f>
        <v>9</v>
      </c>
      <c r="E113">
        <f>SUMIFS('Budget ed extra'!$G$7:$G$42,'Budget ed extra'!$J$7:$J$42,A113)</f>
        <v>0</v>
      </c>
      <c r="F113">
        <f>SUM(T113:AE113)</f>
        <v>0</v>
      </c>
      <c r="G113">
        <f>MAX(0,E113-F113)</f>
        <v>0</v>
      </c>
      <c r="H113">
        <f>IF($A113&gt;=C$10,C$11,C$9)/12</f>
        <v>0.01575</v>
      </c>
      <c r="I113">
        <f>IF($A113&gt;=D$10,D$11,D$9)/12</f>
        <v>0.01825</v>
      </c>
      <c r="J113">
        <f>IF($A113&gt;=E$10,E$11,E$9)/12</f>
        <v>0.00766666666666667</v>
      </c>
      <c r="K113">
        <f>IF($A113&gt;=F$10,F$11,F$9)/12</f>
        <v>0.00533333333333333</v>
      </c>
      <c r="L113">
        <f>IF($A113&gt;=G$10,G$11,G$9)/12</f>
        <v>0</v>
      </c>
      <c r="M113">
        <f>IF($A113&gt;=H$10,H$11,H$9)/12</f>
        <v>0</v>
      </c>
      <c r="N113">
        <f>IF($A113&gt;=I$10,I$11,I$9)/12</f>
        <v>0</v>
      </c>
      <c r="O113">
        <f>IF($A113&gt;=J$10,J$11,J$9)/12</f>
        <v>0</v>
      </c>
      <c r="P113">
        <f>IF($A113&gt;=K$10,K$11,K$9)/12</f>
        <v>0</v>
      </c>
      <c r="Q113">
        <f>IF($A113&gt;=L$10,L$11,L$9)/12</f>
        <v>0</v>
      </c>
      <c r="R113">
        <f>IF($A113&gt;=M$10,M$11,M$9)/12</f>
        <v>0</v>
      </c>
      <c r="S113">
        <f>IF($A113&gt;=N$10,N$11,N$9)/12</f>
        <v>0</v>
      </c>
      <c r="T113">
        <f>IF(C$6="",0,SUMIFS('Budget ed extra'!$G$7:$G$42,'Budget ed extra'!$J$7:$J$42,$A113,'Budget ed extra'!$H$7:$H$42,C$6))</f>
        <v>0</v>
      </c>
      <c r="U113">
        <f>IF(D$6="",0,SUMIFS('Budget ed extra'!$G$7:$G$42,'Budget ed extra'!$J$7:$J$42,$A113,'Budget ed extra'!$H$7:$H$42,D$6))</f>
        <v>0</v>
      </c>
      <c r="V113">
        <f>IF(E$6="",0,SUMIFS('Budget ed extra'!$G$7:$G$42,'Budget ed extra'!$J$7:$J$42,$A113,'Budget ed extra'!$H$7:$H$42,E$6))</f>
        <v>0</v>
      </c>
      <c r="W113">
        <f>IF(F$6="",0,SUMIFS('Budget ed extra'!$G$7:$G$42,'Budget ed extra'!$J$7:$J$42,$A113,'Budget ed extra'!$H$7:$H$42,F$6))</f>
        <v>0</v>
      </c>
      <c r="X113">
        <f>IF(G$6="",0,SUMIFS('Budget ed extra'!$G$7:$G$42,'Budget ed extra'!$J$7:$J$42,$A113,'Budget ed extra'!$H$7:$H$42,G$6))</f>
        <v>0</v>
      </c>
      <c r="Y113">
        <f>IF(H$6="",0,SUMIFS('Budget ed extra'!$G$7:$G$42,'Budget ed extra'!$J$7:$J$42,$A113,'Budget ed extra'!$H$7:$H$42,H$6))</f>
        <v>0</v>
      </c>
      <c r="Z113">
        <f>IF(I$6="",0,SUMIFS('Budget ed extra'!$G$7:$G$42,'Budget ed extra'!$J$7:$J$42,$A113,'Budget ed extra'!$H$7:$H$42,I$6))</f>
        <v>0</v>
      </c>
      <c r="AA113">
        <f>IF(J$6="",0,SUMIFS('Budget ed extra'!$G$7:$G$42,'Budget ed extra'!$J$7:$J$42,$A113,'Budget ed extra'!$H$7:$H$42,J$6))</f>
        <v>0</v>
      </c>
      <c r="AB113">
        <f>IF(K$6="",0,SUMIFS('Budget ed extra'!$G$7:$G$42,'Budget ed extra'!$J$7:$J$42,$A113,'Budget ed extra'!$H$7:$H$42,K$6))</f>
        <v>0</v>
      </c>
      <c r="AC113">
        <f>IF(L$6="",0,SUMIFS('Budget ed extra'!$G$7:$G$42,'Budget ed extra'!$J$7:$J$42,$A113,'Budget ed extra'!$H$7:$H$42,L$6))</f>
        <v>0</v>
      </c>
      <c r="AD113">
        <f>IF(M$6="",0,SUMIFS('Budget ed extra'!$G$7:$G$42,'Budget ed extra'!$J$7:$J$42,$A113,'Budget ed extra'!$H$7:$H$42,M$6))</f>
        <v>0</v>
      </c>
      <c r="AE113">
        <f>IF(N$6="",0,SUMIFS('Budget ed extra'!$G$7:$G$42,'Budget ed extra'!$J$7:$J$42,$A113,'Budget ed extra'!$H$7:$H$42,N$6))</f>
        <v>0</v>
      </c>
    </row>
    <row r="114">
      <c r="A114" t="n">
        <v>84</v>
      </c>
      <c r="B114">
        <f>DATE($B$2,$B$3+A114-1,1)</f>
        <v>48853.0</v>
      </c>
      <c r="C114">
        <f>IF(D114=0,N(Impostazioni!$B$6),SUMIFS('Budget ed extra'!$B$7:$B$18,'Budget ed extra'!$D$7:$D$18,D114)/COUNTIFS('Budget ed extra'!$D$7:$D$18,D114))</f>
        <v>900</v>
      </c>
      <c r="D114">
        <f>SUMPRODUCT(MAX(('Budget ed extra'!$D$7:$D$18&lt;=A114)*'Budget ed extra'!$D$7:$D$18))</f>
        <v>9</v>
      </c>
      <c r="E114">
        <f>SUMIFS('Budget ed extra'!$G$7:$G$42,'Budget ed extra'!$J$7:$J$42,A114)</f>
        <v>0</v>
      </c>
      <c r="F114">
        <f>SUM(T114:AE114)</f>
        <v>0</v>
      </c>
      <c r="G114">
        <f>MAX(0,E114-F114)</f>
        <v>0</v>
      </c>
      <c r="H114">
        <f>IF($A114&gt;=C$10,C$11,C$9)/12</f>
        <v>0.01575</v>
      </c>
      <c r="I114">
        <f>IF($A114&gt;=D$10,D$11,D$9)/12</f>
        <v>0.01825</v>
      </c>
      <c r="J114">
        <f>IF($A114&gt;=E$10,E$11,E$9)/12</f>
        <v>0.00766666666666667</v>
      </c>
      <c r="K114">
        <f>IF($A114&gt;=F$10,F$11,F$9)/12</f>
        <v>0.00533333333333333</v>
      </c>
      <c r="L114">
        <f>IF($A114&gt;=G$10,G$11,G$9)/12</f>
        <v>0</v>
      </c>
      <c r="M114">
        <f>IF($A114&gt;=H$10,H$11,H$9)/12</f>
        <v>0</v>
      </c>
      <c r="N114">
        <f>IF($A114&gt;=I$10,I$11,I$9)/12</f>
        <v>0</v>
      </c>
      <c r="O114">
        <f>IF($A114&gt;=J$10,J$11,J$9)/12</f>
        <v>0</v>
      </c>
      <c r="P114">
        <f>IF($A114&gt;=K$10,K$11,K$9)/12</f>
        <v>0</v>
      </c>
      <c r="Q114">
        <f>IF($A114&gt;=L$10,L$11,L$9)/12</f>
        <v>0</v>
      </c>
      <c r="R114">
        <f>IF($A114&gt;=M$10,M$11,M$9)/12</f>
        <v>0</v>
      </c>
      <c r="S114">
        <f>IF($A114&gt;=N$10,N$11,N$9)/12</f>
        <v>0</v>
      </c>
      <c r="T114">
        <f>IF(C$6="",0,SUMIFS('Budget ed extra'!$G$7:$G$42,'Budget ed extra'!$J$7:$J$42,$A114,'Budget ed extra'!$H$7:$H$42,C$6))</f>
        <v>0</v>
      </c>
      <c r="U114">
        <f>IF(D$6="",0,SUMIFS('Budget ed extra'!$G$7:$G$42,'Budget ed extra'!$J$7:$J$42,$A114,'Budget ed extra'!$H$7:$H$42,D$6))</f>
        <v>0</v>
      </c>
      <c r="V114">
        <f>IF(E$6="",0,SUMIFS('Budget ed extra'!$G$7:$G$42,'Budget ed extra'!$J$7:$J$42,$A114,'Budget ed extra'!$H$7:$H$42,E$6))</f>
        <v>0</v>
      </c>
      <c r="W114">
        <f>IF(F$6="",0,SUMIFS('Budget ed extra'!$G$7:$G$42,'Budget ed extra'!$J$7:$J$42,$A114,'Budget ed extra'!$H$7:$H$42,F$6))</f>
        <v>0</v>
      </c>
      <c r="X114">
        <f>IF(G$6="",0,SUMIFS('Budget ed extra'!$G$7:$G$42,'Budget ed extra'!$J$7:$J$42,$A114,'Budget ed extra'!$H$7:$H$42,G$6))</f>
        <v>0</v>
      </c>
      <c r="Y114">
        <f>IF(H$6="",0,SUMIFS('Budget ed extra'!$G$7:$G$42,'Budget ed extra'!$J$7:$J$42,$A114,'Budget ed extra'!$H$7:$H$42,H$6))</f>
        <v>0</v>
      </c>
      <c r="Z114">
        <f>IF(I$6="",0,SUMIFS('Budget ed extra'!$G$7:$G$42,'Budget ed extra'!$J$7:$J$42,$A114,'Budget ed extra'!$H$7:$H$42,I$6))</f>
        <v>0</v>
      </c>
      <c r="AA114">
        <f>IF(J$6="",0,SUMIFS('Budget ed extra'!$G$7:$G$42,'Budget ed extra'!$J$7:$J$42,$A114,'Budget ed extra'!$H$7:$H$42,J$6))</f>
        <v>0</v>
      </c>
      <c r="AB114">
        <f>IF(K$6="",0,SUMIFS('Budget ed extra'!$G$7:$G$42,'Budget ed extra'!$J$7:$J$42,$A114,'Budget ed extra'!$H$7:$H$42,K$6))</f>
        <v>0</v>
      </c>
      <c r="AC114">
        <f>IF(L$6="",0,SUMIFS('Budget ed extra'!$G$7:$G$42,'Budget ed extra'!$J$7:$J$42,$A114,'Budget ed extra'!$H$7:$H$42,L$6))</f>
        <v>0</v>
      </c>
      <c r="AD114">
        <f>IF(M$6="",0,SUMIFS('Budget ed extra'!$G$7:$G$42,'Budget ed extra'!$J$7:$J$42,$A114,'Budget ed extra'!$H$7:$H$42,M$6))</f>
        <v>0</v>
      </c>
      <c r="AE114">
        <f>IF(N$6="",0,SUMIFS('Budget ed extra'!$G$7:$G$42,'Budget ed extra'!$J$7:$J$42,$A114,'Budget ed extra'!$H$7:$H$42,N$6))</f>
        <v>0</v>
      </c>
    </row>
    <row r="115">
      <c r="A115" t="n">
        <v>85</v>
      </c>
      <c r="B115">
        <f>DATE($B$2,$B$3+A115-1,1)</f>
        <v>48884.0</v>
      </c>
      <c r="C115">
        <f>IF(D115=0,N(Impostazioni!$B$6),SUMIFS('Budget ed extra'!$B$7:$B$18,'Budget ed extra'!$D$7:$D$18,D115)/COUNTIFS('Budget ed extra'!$D$7:$D$18,D115))</f>
        <v>900</v>
      </c>
      <c r="D115">
        <f>SUMPRODUCT(MAX(('Budget ed extra'!$D$7:$D$18&lt;=A115)*'Budget ed extra'!$D$7:$D$18))</f>
        <v>9</v>
      </c>
      <c r="E115">
        <f>SUMIFS('Budget ed extra'!$G$7:$G$42,'Budget ed extra'!$J$7:$J$42,A115)</f>
        <v>0</v>
      </c>
      <c r="F115">
        <f>SUM(T115:AE115)</f>
        <v>0</v>
      </c>
      <c r="G115">
        <f>MAX(0,E115-F115)</f>
        <v>0</v>
      </c>
      <c r="H115">
        <f>IF($A115&gt;=C$10,C$11,C$9)/12</f>
        <v>0.01575</v>
      </c>
      <c r="I115">
        <f>IF($A115&gt;=D$10,D$11,D$9)/12</f>
        <v>0.01825</v>
      </c>
      <c r="J115">
        <f>IF($A115&gt;=E$10,E$11,E$9)/12</f>
        <v>0.00766666666666667</v>
      </c>
      <c r="K115">
        <f>IF($A115&gt;=F$10,F$11,F$9)/12</f>
        <v>0.00533333333333333</v>
      </c>
      <c r="L115">
        <f>IF($A115&gt;=G$10,G$11,G$9)/12</f>
        <v>0</v>
      </c>
      <c r="M115">
        <f>IF($A115&gt;=H$10,H$11,H$9)/12</f>
        <v>0</v>
      </c>
      <c r="N115">
        <f>IF($A115&gt;=I$10,I$11,I$9)/12</f>
        <v>0</v>
      </c>
      <c r="O115">
        <f>IF($A115&gt;=J$10,J$11,J$9)/12</f>
        <v>0</v>
      </c>
      <c r="P115">
        <f>IF($A115&gt;=K$10,K$11,K$9)/12</f>
        <v>0</v>
      </c>
      <c r="Q115">
        <f>IF($A115&gt;=L$10,L$11,L$9)/12</f>
        <v>0</v>
      </c>
      <c r="R115">
        <f>IF($A115&gt;=M$10,M$11,M$9)/12</f>
        <v>0</v>
      </c>
      <c r="S115">
        <f>IF($A115&gt;=N$10,N$11,N$9)/12</f>
        <v>0</v>
      </c>
      <c r="T115">
        <f>IF(C$6="",0,SUMIFS('Budget ed extra'!$G$7:$G$42,'Budget ed extra'!$J$7:$J$42,$A115,'Budget ed extra'!$H$7:$H$42,C$6))</f>
        <v>0</v>
      </c>
      <c r="U115">
        <f>IF(D$6="",0,SUMIFS('Budget ed extra'!$G$7:$G$42,'Budget ed extra'!$J$7:$J$42,$A115,'Budget ed extra'!$H$7:$H$42,D$6))</f>
        <v>0</v>
      </c>
      <c r="V115">
        <f>IF(E$6="",0,SUMIFS('Budget ed extra'!$G$7:$G$42,'Budget ed extra'!$J$7:$J$42,$A115,'Budget ed extra'!$H$7:$H$42,E$6))</f>
        <v>0</v>
      </c>
      <c r="W115">
        <f>IF(F$6="",0,SUMIFS('Budget ed extra'!$G$7:$G$42,'Budget ed extra'!$J$7:$J$42,$A115,'Budget ed extra'!$H$7:$H$42,F$6))</f>
        <v>0</v>
      </c>
      <c r="X115">
        <f>IF(G$6="",0,SUMIFS('Budget ed extra'!$G$7:$G$42,'Budget ed extra'!$J$7:$J$42,$A115,'Budget ed extra'!$H$7:$H$42,G$6))</f>
        <v>0</v>
      </c>
      <c r="Y115">
        <f>IF(H$6="",0,SUMIFS('Budget ed extra'!$G$7:$G$42,'Budget ed extra'!$J$7:$J$42,$A115,'Budget ed extra'!$H$7:$H$42,H$6))</f>
        <v>0</v>
      </c>
      <c r="Z115">
        <f>IF(I$6="",0,SUMIFS('Budget ed extra'!$G$7:$G$42,'Budget ed extra'!$J$7:$J$42,$A115,'Budget ed extra'!$H$7:$H$42,I$6))</f>
        <v>0</v>
      </c>
      <c r="AA115">
        <f>IF(J$6="",0,SUMIFS('Budget ed extra'!$G$7:$G$42,'Budget ed extra'!$J$7:$J$42,$A115,'Budget ed extra'!$H$7:$H$42,J$6))</f>
        <v>0</v>
      </c>
      <c r="AB115">
        <f>IF(K$6="",0,SUMIFS('Budget ed extra'!$G$7:$G$42,'Budget ed extra'!$J$7:$J$42,$A115,'Budget ed extra'!$H$7:$H$42,K$6))</f>
        <v>0</v>
      </c>
      <c r="AC115">
        <f>IF(L$6="",0,SUMIFS('Budget ed extra'!$G$7:$G$42,'Budget ed extra'!$J$7:$J$42,$A115,'Budget ed extra'!$H$7:$H$42,L$6))</f>
        <v>0</v>
      </c>
      <c r="AD115">
        <f>IF(M$6="",0,SUMIFS('Budget ed extra'!$G$7:$G$42,'Budget ed extra'!$J$7:$J$42,$A115,'Budget ed extra'!$H$7:$H$42,M$6))</f>
        <v>0</v>
      </c>
      <c r="AE115">
        <f>IF(N$6="",0,SUMIFS('Budget ed extra'!$G$7:$G$42,'Budget ed extra'!$J$7:$J$42,$A115,'Budget ed extra'!$H$7:$H$42,N$6))</f>
        <v>0</v>
      </c>
    </row>
    <row r="116">
      <c r="A116" t="n">
        <v>86</v>
      </c>
      <c r="B116">
        <f>DATE($B$2,$B$3+A116-1,1)</f>
        <v>48914.0</v>
      </c>
      <c r="C116">
        <f>IF(D116=0,N(Impostazioni!$B$6),SUMIFS('Budget ed extra'!$B$7:$B$18,'Budget ed extra'!$D$7:$D$18,D116)/COUNTIFS('Budget ed extra'!$D$7:$D$18,D116))</f>
        <v>900</v>
      </c>
      <c r="D116">
        <f>SUMPRODUCT(MAX(('Budget ed extra'!$D$7:$D$18&lt;=A116)*'Budget ed extra'!$D$7:$D$18))</f>
        <v>9</v>
      </c>
      <c r="E116">
        <f>SUMIFS('Budget ed extra'!$G$7:$G$42,'Budget ed extra'!$J$7:$J$42,A116)</f>
        <v>0</v>
      </c>
      <c r="F116">
        <f>SUM(T116:AE116)</f>
        <v>0</v>
      </c>
      <c r="G116">
        <f>MAX(0,E116-F116)</f>
        <v>0</v>
      </c>
      <c r="H116">
        <f>IF($A116&gt;=C$10,C$11,C$9)/12</f>
        <v>0.01575</v>
      </c>
      <c r="I116">
        <f>IF($A116&gt;=D$10,D$11,D$9)/12</f>
        <v>0.01825</v>
      </c>
      <c r="J116">
        <f>IF($A116&gt;=E$10,E$11,E$9)/12</f>
        <v>0.00766666666666667</v>
      </c>
      <c r="K116">
        <f>IF($A116&gt;=F$10,F$11,F$9)/12</f>
        <v>0.00533333333333333</v>
      </c>
      <c r="L116">
        <f>IF($A116&gt;=G$10,G$11,G$9)/12</f>
        <v>0</v>
      </c>
      <c r="M116">
        <f>IF($A116&gt;=H$10,H$11,H$9)/12</f>
        <v>0</v>
      </c>
      <c r="N116">
        <f>IF($A116&gt;=I$10,I$11,I$9)/12</f>
        <v>0</v>
      </c>
      <c r="O116">
        <f>IF($A116&gt;=J$10,J$11,J$9)/12</f>
        <v>0</v>
      </c>
      <c r="P116">
        <f>IF($A116&gt;=K$10,K$11,K$9)/12</f>
        <v>0</v>
      </c>
      <c r="Q116">
        <f>IF($A116&gt;=L$10,L$11,L$9)/12</f>
        <v>0</v>
      </c>
      <c r="R116">
        <f>IF($A116&gt;=M$10,M$11,M$9)/12</f>
        <v>0</v>
      </c>
      <c r="S116">
        <f>IF($A116&gt;=N$10,N$11,N$9)/12</f>
        <v>0</v>
      </c>
      <c r="T116">
        <f>IF(C$6="",0,SUMIFS('Budget ed extra'!$G$7:$G$42,'Budget ed extra'!$J$7:$J$42,$A116,'Budget ed extra'!$H$7:$H$42,C$6))</f>
        <v>0</v>
      </c>
      <c r="U116">
        <f>IF(D$6="",0,SUMIFS('Budget ed extra'!$G$7:$G$42,'Budget ed extra'!$J$7:$J$42,$A116,'Budget ed extra'!$H$7:$H$42,D$6))</f>
        <v>0</v>
      </c>
      <c r="V116">
        <f>IF(E$6="",0,SUMIFS('Budget ed extra'!$G$7:$G$42,'Budget ed extra'!$J$7:$J$42,$A116,'Budget ed extra'!$H$7:$H$42,E$6))</f>
        <v>0</v>
      </c>
      <c r="W116">
        <f>IF(F$6="",0,SUMIFS('Budget ed extra'!$G$7:$G$42,'Budget ed extra'!$J$7:$J$42,$A116,'Budget ed extra'!$H$7:$H$42,F$6))</f>
        <v>0</v>
      </c>
      <c r="X116">
        <f>IF(G$6="",0,SUMIFS('Budget ed extra'!$G$7:$G$42,'Budget ed extra'!$J$7:$J$42,$A116,'Budget ed extra'!$H$7:$H$42,G$6))</f>
        <v>0</v>
      </c>
      <c r="Y116">
        <f>IF(H$6="",0,SUMIFS('Budget ed extra'!$G$7:$G$42,'Budget ed extra'!$J$7:$J$42,$A116,'Budget ed extra'!$H$7:$H$42,H$6))</f>
        <v>0</v>
      </c>
      <c r="Z116">
        <f>IF(I$6="",0,SUMIFS('Budget ed extra'!$G$7:$G$42,'Budget ed extra'!$J$7:$J$42,$A116,'Budget ed extra'!$H$7:$H$42,I$6))</f>
        <v>0</v>
      </c>
      <c r="AA116">
        <f>IF(J$6="",0,SUMIFS('Budget ed extra'!$G$7:$G$42,'Budget ed extra'!$J$7:$J$42,$A116,'Budget ed extra'!$H$7:$H$42,J$6))</f>
        <v>0</v>
      </c>
      <c r="AB116">
        <f>IF(K$6="",0,SUMIFS('Budget ed extra'!$G$7:$G$42,'Budget ed extra'!$J$7:$J$42,$A116,'Budget ed extra'!$H$7:$H$42,K$6))</f>
        <v>0</v>
      </c>
      <c r="AC116">
        <f>IF(L$6="",0,SUMIFS('Budget ed extra'!$G$7:$G$42,'Budget ed extra'!$J$7:$J$42,$A116,'Budget ed extra'!$H$7:$H$42,L$6))</f>
        <v>0</v>
      </c>
      <c r="AD116">
        <f>IF(M$6="",0,SUMIFS('Budget ed extra'!$G$7:$G$42,'Budget ed extra'!$J$7:$J$42,$A116,'Budget ed extra'!$H$7:$H$42,M$6))</f>
        <v>0</v>
      </c>
      <c r="AE116">
        <f>IF(N$6="",0,SUMIFS('Budget ed extra'!$G$7:$G$42,'Budget ed extra'!$J$7:$J$42,$A116,'Budget ed extra'!$H$7:$H$42,N$6))</f>
        <v>0</v>
      </c>
    </row>
    <row r="117">
      <c r="A117" t="n">
        <v>87</v>
      </c>
      <c r="B117">
        <f>DATE($B$2,$B$3+A117-1,1)</f>
        <v>48945.0</v>
      </c>
      <c r="C117">
        <f>IF(D117=0,N(Impostazioni!$B$6),SUMIFS('Budget ed extra'!$B$7:$B$18,'Budget ed extra'!$D$7:$D$18,D117)/COUNTIFS('Budget ed extra'!$D$7:$D$18,D117))</f>
        <v>900</v>
      </c>
      <c r="D117">
        <f>SUMPRODUCT(MAX(('Budget ed extra'!$D$7:$D$18&lt;=A117)*'Budget ed extra'!$D$7:$D$18))</f>
        <v>9</v>
      </c>
      <c r="E117">
        <f>SUMIFS('Budget ed extra'!$G$7:$G$42,'Budget ed extra'!$J$7:$J$42,A117)</f>
        <v>0</v>
      </c>
      <c r="F117">
        <f>SUM(T117:AE117)</f>
        <v>0</v>
      </c>
      <c r="G117">
        <f>MAX(0,E117-F117)</f>
        <v>0</v>
      </c>
      <c r="H117">
        <f>IF($A117&gt;=C$10,C$11,C$9)/12</f>
        <v>0.01575</v>
      </c>
      <c r="I117">
        <f>IF($A117&gt;=D$10,D$11,D$9)/12</f>
        <v>0.01825</v>
      </c>
      <c r="J117">
        <f>IF($A117&gt;=E$10,E$11,E$9)/12</f>
        <v>0.00766666666666667</v>
      </c>
      <c r="K117">
        <f>IF($A117&gt;=F$10,F$11,F$9)/12</f>
        <v>0.00533333333333333</v>
      </c>
      <c r="L117">
        <f>IF($A117&gt;=G$10,G$11,G$9)/12</f>
        <v>0</v>
      </c>
      <c r="M117">
        <f>IF($A117&gt;=H$10,H$11,H$9)/12</f>
        <v>0</v>
      </c>
      <c r="N117">
        <f>IF($A117&gt;=I$10,I$11,I$9)/12</f>
        <v>0</v>
      </c>
      <c r="O117">
        <f>IF($A117&gt;=J$10,J$11,J$9)/12</f>
        <v>0</v>
      </c>
      <c r="P117">
        <f>IF($A117&gt;=K$10,K$11,K$9)/12</f>
        <v>0</v>
      </c>
      <c r="Q117">
        <f>IF($A117&gt;=L$10,L$11,L$9)/12</f>
        <v>0</v>
      </c>
      <c r="R117">
        <f>IF($A117&gt;=M$10,M$11,M$9)/12</f>
        <v>0</v>
      </c>
      <c r="S117">
        <f>IF($A117&gt;=N$10,N$11,N$9)/12</f>
        <v>0</v>
      </c>
      <c r="T117">
        <f>IF(C$6="",0,SUMIFS('Budget ed extra'!$G$7:$G$42,'Budget ed extra'!$J$7:$J$42,$A117,'Budget ed extra'!$H$7:$H$42,C$6))</f>
        <v>0</v>
      </c>
      <c r="U117">
        <f>IF(D$6="",0,SUMIFS('Budget ed extra'!$G$7:$G$42,'Budget ed extra'!$J$7:$J$42,$A117,'Budget ed extra'!$H$7:$H$42,D$6))</f>
        <v>0</v>
      </c>
      <c r="V117">
        <f>IF(E$6="",0,SUMIFS('Budget ed extra'!$G$7:$G$42,'Budget ed extra'!$J$7:$J$42,$A117,'Budget ed extra'!$H$7:$H$42,E$6))</f>
        <v>0</v>
      </c>
      <c r="W117">
        <f>IF(F$6="",0,SUMIFS('Budget ed extra'!$G$7:$G$42,'Budget ed extra'!$J$7:$J$42,$A117,'Budget ed extra'!$H$7:$H$42,F$6))</f>
        <v>0</v>
      </c>
      <c r="X117">
        <f>IF(G$6="",0,SUMIFS('Budget ed extra'!$G$7:$G$42,'Budget ed extra'!$J$7:$J$42,$A117,'Budget ed extra'!$H$7:$H$42,G$6))</f>
        <v>0</v>
      </c>
      <c r="Y117">
        <f>IF(H$6="",0,SUMIFS('Budget ed extra'!$G$7:$G$42,'Budget ed extra'!$J$7:$J$42,$A117,'Budget ed extra'!$H$7:$H$42,H$6))</f>
        <v>0</v>
      </c>
      <c r="Z117">
        <f>IF(I$6="",0,SUMIFS('Budget ed extra'!$G$7:$G$42,'Budget ed extra'!$J$7:$J$42,$A117,'Budget ed extra'!$H$7:$H$42,I$6))</f>
        <v>0</v>
      </c>
      <c r="AA117">
        <f>IF(J$6="",0,SUMIFS('Budget ed extra'!$G$7:$G$42,'Budget ed extra'!$J$7:$J$42,$A117,'Budget ed extra'!$H$7:$H$42,J$6))</f>
        <v>0</v>
      </c>
      <c r="AB117">
        <f>IF(K$6="",0,SUMIFS('Budget ed extra'!$G$7:$G$42,'Budget ed extra'!$J$7:$J$42,$A117,'Budget ed extra'!$H$7:$H$42,K$6))</f>
        <v>0</v>
      </c>
      <c r="AC117">
        <f>IF(L$6="",0,SUMIFS('Budget ed extra'!$G$7:$G$42,'Budget ed extra'!$J$7:$J$42,$A117,'Budget ed extra'!$H$7:$H$42,L$6))</f>
        <v>0</v>
      </c>
      <c r="AD117">
        <f>IF(M$6="",0,SUMIFS('Budget ed extra'!$G$7:$G$42,'Budget ed extra'!$J$7:$J$42,$A117,'Budget ed extra'!$H$7:$H$42,M$6))</f>
        <v>0</v>
      </c>
      <c r="AE117">
        <f>IF(N$6="",0,SUMIFS('Budget ed extra'!$G$7:$G$42,'Budget ed extra'!$J$7:$J$42,$A117,'Budget ed extra'!$H$7:$H$42,N$6))</f>
        <v>0</v>
      </c>
    </row>
    <row r="118">
      <c r="A118" t="n">
        <v>88</v>
      </c>
      <c r="B118">
        <f>DATE($B$2,$B$3+A118-1,1)</f>
        <v>48976.0</v>
      </c>
      <c r="C118">
        <f>IF(D118=0,N(Impostazioni!$B$6),SUMIFS('Budget ed extra'!$B$7:$B$18,'Budget ed extra'!$D$7:$D$18,D118)/COUNTIFS('Budget ed extra'!$D$7:$D$18,D118))</f>
        <v>900</v>
      </c>
      <c r="D118">
        <f>SUMPRODUCT(MAX(('Budget ed extra'!$D$7:$D$18&lt;=A118)*'Budget ed extra'!$D$7:$D$18))</f>
        <v>9</v>
      </c>
      <c r="E118">
        <f>SUMIFS('Budget ed extra'!$G$7:$G$42,'Budget ed extra'!$J$7:$J$42,A118)</f>
        <v>0</v>
      </c>
      <c r="F118">
        <f>SUM(T118:AE118)</f>
        <v>0</v>
      </c>
      <c r="G118">
        <f>MAX(0,E118-F118)</f>
        <v>0</v>
      </c>
      <c r="H118">
        <f>IF($A118&gt;=C$10,C$11,C$9)/12</f>
        <v>0.01575</v>
      </c>
      <c r="I118">
        <f>IF($A118&gt;=D$10,D$11,D$9)/12</f>
        <v>0.01825</v>
      </c>
      <c r="J118">
        <f>IF($A118&gt;=E$10,E$11,E$9)/12</f>
        <v>0.00766666666666667</v>
      </c>
      <c r="K118">
        <f>IF($A118&gt;=F$10,F$11,F$9)/12</f>
        <v>0.00533333333333333</v>
      </c>
      <c r="L118">
        <f>IF($A118&gt;=G$10,G$11,G$9)/12</f>
        <v>0</v>
      </c>
      <c r="M118">
        <f>IF($A118&gt;=H$10,H$11,H$9)/12</f>
        <v>0</v>
      </c>
      <c r="N118">
        <f>IF($A118&gt;=I$10,I$11,I$9)/12</f>
        <v>0</v>
      </c>
      <c r="O118">
        <f>IF($A118&gt;=J$10,J$11,J$9)/12</f>
        <v>0</v>
      </c>
      <c r="P118">
        <f>IF($A118&gt;=K$10,K$11,K$9)/12</f>
        <v>0</v>
      </c>
      <c r="Q118">
        <f>IF($A118&gt;=L$10,L$11,L$9)/12</f>
        <v>0</v>
      </c>
      <c r="R118">
        <f>IF($A118&gt;=M$10,M$11,M$9)/12</f>
        <v>0</v>
      </c>
      <c r="S118">
        <f>IF($A118&gt;=N$10,N$11,N$9)/12</f>
        <v>0</v>
      </c>
      <c r="T118">
        <f>IF(C$6="",0,SUMIFS('Budget ed extra'!$G$7:$G$42,'Budget ed extra'!$J$7:$J$42,$A118,'Budget ed extra'!$H$7:$H$42,C$6))</f>
        <v>0</v>
      </c>
      <c r="U118">
        <f>IF(D$6="",0,SUMIFS('Budget ed extra'!$G$7:$G$42,'Budget ed extra'!$J$7:$J$42,$A118,'Budget ed extra'!$H$7:$H$42,D$6))</f>
        <v>0</v>
      </c>
      <c r="V118">
        <f>IF(E$6="",0,SUMIFS('Budget ed extra'!$G$7:$G$42,'Budget ed extra'!$J$7:$J$42,$A118,'Budget ed extra'!$H$7:$H$42,E$6))</f>
        <v>0</v>
      </c>
      <c r="W118">
        <f>IF(F$6="",0,SUMIFS('Budget ed extra'!$G$7:$G$42,'Budget ed extra'!$J$7:$J$42,$A118,'Budget ed extra'!$H$7:$H$42,F$6))</f>
        <v>0</v>
      </c>
      <c r="X118">
        <f>IF(G$6="",0,SUMIFS('Budget ed extra'!$G$7:$G$42,'Budget ed extra'!$J$7:$J$42,$A118,'Budget ed extra'!$H$7:$H$42,G$6))</f>
        <v>0</v>
      </c>
      <c r="Y118">
        <f>IF(H$6="",0,SUMIFS('Budget ed extra'!$G$7:$G$42,'Budget ed extra'!$J$7:$J$42,$A118,'Budget ed extra'!$H$7:$H$42,H$6))</f>
        <v>0</v>
      </c>
      <c r="Z118">
        <f>IF(I$6="",0,SUMIFS('Budget ed extra'!$G$7:$G$42,'Budget ed extra'!$J$7:$J$42,$A118,'Budget ed extra'!$H$7:$H$42,I$6))</f>
        <v>0</v>
      </c>
      <c r="AA118">
        <f>IF(J$6="",0,SUMIFS('Budget ed extra'!$G$7:$G$42,'Budget ed extra'!$J$7:$J$42,$A118,'Budget ed extra'!$H$7:$H$42,J$6))</f>
        <v>0</v>
      </c>
      <c r="AB118">
        <f>IF(K$6="",0,SUMIFS('Budget ed extra'!$G$7:$G$42,'Budget ed extra'!$J$7:$J$42,$A118,'Budget ed extra'!$H$7:$H$42,K$6))</f>
        <v>0</v>
      </c>
      <c r="AC118">
        <f>IF(L$6="",0,SUMIFS('Budget ed extra'!$G$7:$G$42,'Budget ed extra'!$J$7:$J$42,$A118,'Budget ed extra'!$H$7:$H$42,L$6))</f>
        <v>0</v>
      </c>
      <c r="AD118">
        <f>IF(M$6="",0,SUMIFS('Budget ed extra'!$G$7:$G$42,'Budget ed extra'!$J$7:$J$42,$A118,'Budget ed extra'!$H$7:$H$42,M$6))</f>
        <v>0</v>
      </c>
      <c r="AE118">
        <f>IF(N$6="",0,SUMIFS('Budget ed extra'!$G$7:$G$42,'Budget ed extra'!$J$7:$J$42,$A118,'Budget ed extra'!$H$7:$H$42,N$6))</f>
        <v>0</v>
      </c>
    </row>
    <row r="119">
      <c r="A119" t="n">
        <v>89</v>
      </c>
      <c r="B119">
        <f>DATE($B$2,$B$3+A119-1,1)</f>
        <v>49004.0</v>
      </c>
      <c r="C119">
        <f>IF(D119=0,N(Impostazioni!$B$6),SUMIFS('Budget ed extra'!$B$7:$B$18,'Budget ed extra'!$D$7:$D$18,D119)/COUNTIFS('Budget ed extra'!$D$7:$D$18,D119))</f>
        <v>900</v>
      </c>
      <c r="D119">
        <f>SUMPRODUCT(MAX(('Budget ed extra'!$D$7:$D$18&lt;=A119)*'Budget ed extra'!$D$7:$D$18))</f>
        <v>9</v>
      </c>
      <c r="E119">
        <f>SUMIFS('Budget ed extra'!$G$7:$G$42,'Budget ed extra'!$J$7:$J$42,A119)</f>
        <v>0</v>
      </c>
      <c r="F119">
        <f>SUM(T119:AE119)</f>
        <v>0</v>
      </c>
      <c r="G119">
        <f>MAX(0,E119-F119)</f>
        <v>0</v>
      </c>
      <c r="H119">
        <f>IF($A119&gt;=C$10,C$11,C$9)/12</f>
        <v>0.01575</v>
      </c>
      <c r="I119">
        <f>IF($A119&gt;=D$10,D$11,D$9)/12</f>
        <v>0.01825</v>
      </c>
      <c r="J119">
        <f>IF($A119&gt;=E$10,E$11,E$9)/12</f>
        <v>0.00766666666666667</v>
      </c>
      <c r="K119">
        <f>IF($A119&gt;=F$10,F$11,F$9)/12</f>
        <v>0.00533333333333333</v>
      </c>
      <c r="L119">
        <f>IF($A119&gt;=G$10,G$11,G$9)/12</f>
        <v>0</v>
      </c>
      <c r="M119">
        <f>IF($A119&gt;=H$10,H$11,H$9)/12</f>
        <v>0</v>
      </c>
      <c r="N119">
        <f>IF($A119&gt;=I$10,I$11,I$9)/12</f>
        <v>0</v>
      </c>
      <c r="O119">
        <f>IF($A119&gt;=J$10,J$11,J$9)/12</f>
        <v>0</v>
      </c>
      <c r="P119">
        <f>IF($A119&gt;=K$10,K$11,K$9)/12</f>
        <v>0</v>
      </c>
      <c r="Q119">
        <f>IF($A119&gt;=L$10,L$11,L$9)/12</f>
        <v>0</v>
      </c>
      <c r="R119">
        <f>IF($A119&gt;=M$10,M$11,M$9)/12</f>
        <v>0</v>
      </c>
      <c r="S119">
        <f>IF($A119&gt;=N$10,N$11,N$9)/12</f>
        <v>0</v>
      </c>
      <c r="T119">
        <f>IF(C$6="",0,SUMIFS('Budget ed extra'!$G$7:$G$42,'Budget ed extra'!$J$7:$J$42,$A119,'Budget ed extra'!$H$7:$H$42,C$6))</f>
        <v>0</v>
      </c>
      <c r="U119">
        <f>IF(D$6="",0,SUMIFS('Budget ed extra'!$G$7:$G$42,'Budget ed extra'!$J$7:$J$42,$A119,'Budget ed extra'!$H$7:$H$42,D$6))</f>
        <v>0</v>
      </c>
      <c r="V119">
        <f>IF(E$6="",0,SUMIFS('Budget ed extra'!$G$7:$G$42,'Budget ed extra'!$J$7:$J$42,$A119,'Budget ed extra'!$H$7:$H$42,E$6))</f>
        <v>0</v>
      </c>
      <c r="W119">
        <f>IF(F$6="",0,SUMIFS('Budget ed extra'!$G$7:$G$42,'Budget ed extra'!$J$7:$J$42,$A119,'Budget ed extra'!$H$7:$H$42,F$6))</f>
        <v>0</v>
      </c>
      <c r="X119">
        <f>IF(G$6="",0,SUMIFS('Budget ed extra'!$G$7:$G$42,'Budget ed extra'!$J$7:$J$42,$A119,'Budget ed extra'!$H$7:$H$42,G$6))</f>
        <v>0</v>
      </c>
      <c r="Y119">
        <f>IF(H$6="",0,SUMIFS('Budget ed extra'!$G$7:$G$42,'Budget ed extra'!$J$7:$J$42,$A119,'Budget ed extra'!$H$7:$H$42,H$6))</f>
        <v>0</v>
      </c>
      <c r="Z119">
        <f>IF(I$6="",0,SUMIFS('Budget ed extra'!$G$7:$G$42,'Budget ed extra'!$J$7:$J$42,$A119,'Budget ed extra'!$H$7:$H$42,I$6))</f>
        <v>0</v>
      </c>
      <c r="AA119">
        <f>IF(J$6="",0,SUMIFS('Budget ed extra'!$G$7:$G$42,'Budget ed extra'!$J$7:$J$42,$A119,'Budget ed extra'!$H$7:$H$42,J$6))</f>
        <v>0</v>
      </c>
      <c r="AB119">
        <f>IF(K$6="",0,SUMIFS('Budget ed extra'!$G$7:$G$42,'Budget ed extra'!$J$7:$J$42,$A119,'Budget ed extra'!$H$7:$H$42,K$6))</f>
        <v>0</v>
      </c>
      <c r="AC119">
        <f>IF(L$6="",0,SUMIFS('Budget ed extra'!$G$7:$G$42,'Budget ed extra'!$J$7:$J$42,$A119,'Budget ed extra'!$H$7:$H$42,L$6))</f>
        <v>0</v>
      </c>
      <c r="AD119">
        <f>IF(M$6="",0,SUMIFS('Budget ed extra'!$G$7:$G$42,'Budget ed extra'!$J$7:$J$42,$A119,'Budget ed extra'!$H$7:$H$42,M$6))</f>
        <v>0</v>
      </c>
      <c r="AE119">
        <f>IF(N$6="",0,SUMIFS('Budget ed extra'!$G$7:$G$42,'Budget ed extra'!$J$7:$J$42,$A119,'Budget ed extra'!$H$7:$H$42,N$6))</f>
        <v>0</v>
      </c>
    </row>
    <row r="120">
      <c r="A120" t="n">
        <v>90</v>
      </c>
      <c r="B120">
        <f>DATE($B$2,$B$3+A120-1,1)</f>
        <v>49035.0</v>
      </c>
      <c r="C120">
        <f>IF(D120=0,N(Impostazioni!$B$6),SUMIFS('Budget ed extra'!$B$7:$B$18,'Budget ed extra'!$D$7:$D$18,D120)/COUNTIFS('Budget ed extra'!$D$7:$D$18,D120))</f>
        <v>900</v>
      </c>
      <c r="D120">
        <f>SUMPRODUCT(MAX(('Budget ed extra'!$D$7:$D$18&lt;=A120)*'Budget ed extra'!$D$7:$D$18))</f>
        <v>9</v>
      </c>
      <c r="E120">
        <f>SUMIFS('Budget ed extra'!$G$7:$G$42,'Budget ed extra'!$J$7:$J$42,A120)</f>
        <v>0</v>
      </c>
      <c r="F120">
        <f>SUM(T120:AE120)</f>
        <v>0</v>
      </c>
      <c r="G120">
        <f>MAX(0,E120-F120)</f>
        <v>0</v>
      </c>
      <c r="H120">
        <f>IF($A120&gt;=C$10,C$11,C$9)/12</f>
        <v>0.01575</v>
      </c>
      <c r="I120">
        <f>IF($A120&gt;=D$10,D$11,D$9)/12</f>
        <v>0.01825</v>
      </c>
      <c r="J120">
        <f>IF($A120&gt;=E$10,E$11,E$9)/12</f>
        <v>0.00766666666666667</v>
      </c>
      <c r="K120">
        <f>IF($A120&gt;=F$10,F$11,F$9)/12</f>
        <v>0.00533333333333333</v>
      </c>
      <c r="L120">
        <f>IF($A120&gt;=G$10,G$11,G$9)/12</f>
        <v>0</v>
      </c>
      <c r="M120">
        <f>IF($A120&gt;=H$10,H$11,H$9)/12</f>
        <v>0</v>
      </c>
      <c r="N120">
        <f>IF($A120&gt;=I$10,I$11,I$9)/12</f>
        <v>0</v>
      </c>
      <c r="O120">
        <f>IF($A120&gt;=J$10,J$11,J$9)/12</f>
        <v>0</v>
      </c>
      <c r="P120">
        <f>IF($A120&gt;=K$10,K$11,K$9)/12</f>
        <v>0</v>
      </c>
      <c r="Q120">
        <f>IF($A120&gt;=L$10,L$11,L$9)/12</f>
        <v>0</v>
      </c>
      <c r="R120">
        <f>IF($A120&gt;=M$10,M$11,M$9)/12</f>
        <v>0</v>
      </c>
      <c r="S120">
        <f>IF($A120&gt;=N$10,N$11,N$9)/12</f>
        <v>0</v>
      </c>
      <c r="T120">
        <f>IF(C$6="",0,SUMIFS('Budget ed extra'!$G$7:$G$42,'Budget ed extra'!$J$7:$J$42,$A120,'Budget ed extra'!$H$7:$H$42,C$6))</f>
        <v>0</v>
      </c>
      <c r="U120">
        <f>IF(D$6="",0,SUMIFS('Budget ed extra'!$G$7:$G$42,'Budget ed extra'!$J$7:$J$42,$A120,'Budget ed extra'!$H$7:$H$42,D$6))</f>
        <v>0</v>
      </c>
      <c r="V120">
        <f>IF(E$6="",0,SUMIFS('Budget ed extra'!$G$7:$G$42,'Budget ed extra'!$J$7:$J$42,$A120,'Budget ed extra'!$H$7:$H$42,E$6))</f>
        <v>0</v>
      </c>
      <c r="W120">
        <f>IF(F$6="",0,SUMIFS('Budget ed extra'!$G$7:$G$42,'Budget ed extra'!$J$7:$J$42,$A120,'Budget ed extra'!$H$7:$H$42,F$6))</f>
        <v>0</v>
      </c>
      <c r="X120">
        <f>IF(G$6="",0,SUMIFS('Budget ed extra'!$G$7:$G$42,'Budget ed extra'!$J$7:$J$42,$A120,'Budget ed extra'!$H$7:$H$42,G$6))</f>
        <v>0</v>
      </c>
      <c r="Y120">
        <f>IF(H$6="",0,SUMIFS('Budget ed extra'!$G$7:$G$42,'Budget ed extra'!$J$7:$J$42,$A120,'Budget ed extra'!$H$7:$H$42,H$6))</f>
        <v>0</v>
      </c>
      <c r="Z120">
        <f>IF(I$6="",0,SUMIFS('Budget ed extra'!$G$7:$G$42,'Budget ed extra'!$J$7:$J$42,$A120,'Budget ed extra'!$H$7:$H$42,I$6))</f>
        <v>0</v>
      </c>
      <c r="AA120">
        <f>IF(J$6="",0,SUMIFS('Budget ed extra'!$G$7:$G$42,'Budget ed extra'!$J$7:$J$42,$A120,'Budget ed extra'!$H$7:$H$42,J$6))</f>
        <v>0</v>
      </c>
      <c r="AB120">
        <f>IF(K$6="",0,SUMIFS('Budget ed extra'!$G$7:$G$42,'Budget ed extra'!$J$7:$J$42,$A120,'Budget ed extra'!$H$7:$H$42,K$6))</f>
        <v>0</v>
      </c>
      <c r="AC120">
        <f>IF(L$6="",0,SUMIFS('Budget ed extra'!$G$7:$G$42,'Budget ed extra'!$J$7:$J$42,$A120,'Budget ed extra'!$H$7:$H$42,L$6))</f>
        <v>0</v>
      </c>
      <c r="AD120">
        <f>IF(M$6="",0,SUMIFS('Budget ed extra'!$G$7:$G$42,'Budget ed extra'!$J$7:$J$42,$A120,'Budget ed extra'!$H$7:$H$42,M$6))</f>
        <v>0</v>
      </c>
      <c r="AE120">
        <f>IF(N$6="",0,SUMIFS('Budget ed extra'!$G$7:$G$42,'Budget ed extra'!$J$7:$J$42,$A120,'Budget ed extra'!$H$7:$H$42,N$6))</f>
        <v>0</v>
      </c>
    </row>
    <row r="121">
      <c r="A121" t="n">
        <v>91</v>
      </c>
      <c r="B121">
        <f>DATE($B$2,$B$3+A121-1,1)</f>
        <v>49065.0</v>
      </c>
      <c r="C121">
        <f>IF(D121=0,N(Impostazioni!$B$6),SUMIFS('Budget ed extra'!$B$7:$B$18,'Budget ed extra'!$D$7:$D$18,D121)/COUNTIFS('Budget ed extra'!$D$7:$D$18,D121))</f>
        <v>900</v>
      </c>
      <c r="D121">
        <f>SUMPRODUCT(MAX(('Budget ed extra'!$D$7:$D$18&lt;=A121)*'Budget ed extra'!$D$7:$D$18))</f>
        <v>9</v>
      </c>
      <c r="E121">
        <f>SUMIFS('Budget ed extra'!$G$7:$G$42,'Budget ed extra'!$J$7:$J$42,A121)</f>
        <v>0</v>
      </c>
      <c r="F121">
        <f>SUM(T121:AE121)</f>
        <v>0</v>
      </c>
      <c r="G121">
        <f>MAX(0,E121-F121)</f>
        <v>0</v>
      </c>
      <c r="H121">
        <f>IF($A121&gt;=C$10,C$11,C$9)/12</f>
        <v>0.01575</v>
      </c>
      <c r="I121">
        <f>IF($A121&gt;=D$10,D$11,D$9)/12</f>
        <v>0.01825</v>
      </c>
      <c r="J121">
        <f>IF($A121&gt;=E$10,E$11,E$9)/12</f>
        <v>0.00766666666666667</v>
      </c>
      <c r="K121">
        <f>IF($A121&gt;=F$10,F$11,F$9)/12</f>
        <v>0.00533333333333333</v>
      </c>
      <c r="L121">
        <f>IF($A121&gt;=G$10,G$11,G$9)/12</f>
        <v>0</v>
      </c>
      <c r="M121">
        <f>IF($A121&gt;=H$10,H$11,H$9)/12</f>
        <v>0</v>
      </c>
      <c r="N121">
        <f>IF($A121&gt;=I$10,I$11,I$9)/12</f>
        <v>0</v>
      </c>
      <c r="O121">
        <f>IF($A121&gt;=J$10,J$11,J$9)/12</f>
        <v>0</v>
      </c>
      <c r="P121">
        <f>IF($A121&gt;=K$10,K$11,K$9)/12</f>
        <v>0</v>
      </c>
      <c r="Q121">
        <f>IF($A121&gt;=L$10,L$11,L$9)/12</f>
        <v>0</v>
      </c>
      <c r="R121">
        <f>IF($A121&gt;=M$10,M$11,M$9)/12</f>
        <v>0</v>
      </c>
      <c r="S121">
        <f>IF($A121&gt;=N$10,N$11,N$9)/12</f>
        <v>0</v>
      </c>
      <c r="T121">
        <f>IF(C$6="",0,SUMIFS('Budget ed extra'!$G$7:$G$42,'Budget ed extra'!$J$7:$J$42,$A121,'Budget ed extra'!$H$7:$H$42,C$6))</f>
        <v>0</v>
      </c>
      <c r="U121">
        <f>IF(D$6="",0,SUMIFS('Budget ed extra'!$G$7:$G$42,'Budget ed extra'!$J$7:$J$42,$A121,'Budget ed extra'!$H$7:$H$42,D$6))</f>
        <v>0</v>
      </c>
      <c r="V121">
        <f>IF(E$6="",0,SUMIFS('Budget ed extra'!$G$7:$G$42,'Budget ed extra'!$J$7:$J$42,$A121,'Budget ed extra'!$H$7:$H$42,E$6))</f>
        <v>0</v>
      </c>
      <c r="W121">
        <f>IF(F$6="",0,SUMIFS('Budget ed extra'!$G$7:$G$42,'Budget ed extra'!$J$7:$J$42,$A121,'Budget ed extra'!$H$7:$H$42,F$6))</f>
        <v>0</v>
      </c>
      <c r="X121">
        <f>IF(G$6="",0,SUMIFS('Budget ed extra'!$G$7:$G$42,'Budget ed extra'!$J$7:$J$42,$A121,'Budget ed extra'!$H$7:$H$42,G$6))</f>
        <v>0</v>
      </c>
      <c r="Y121">
        <f>IF(H$6="",0,SUMIFS('Budget ed extra'!$G$7:$G$42,'Budget ed extra'!$J$7:$J$42,$A121,'Budget ed extra'!$H$7:$H$42,H$6))</f>
        <v>0</v>
      </c>
      <c r="Z121">
        <f>IF(I$6="",0,SUMIFS('Budget ed extra'!$G$7:$G$42,'Budget ed extra'!$J$7:$J$42,$A121,'Budget ed extra'!$H$7:$H$42,I$6))</f>
        <v>0</v>
      </c>
      <c r="AA121">
        <f>IF(J$6="",0,SUMIFS('Budget ed extra'!$G$7:$G$42,'Budget ed extra'!$J$7:$J$42,$A121,'Budget ed extra'!$H$7:$H$42,J$6))</f>
        <v>0</v>
      </c>
      <c r="AB121">
        <f>IF(K$6="",0,SUMIFS('Budget ed extra'!$G$7:$G$42,'Budget ed extra'!$J$7:$J$42,$A121,'Budget ed extra'!$H$7:$H$42,K$6))</f>
        <v>0</v>
      </c>
      <c r="AC121">
        <f>IF(L$6="",0,SUMIFS('Budget ed extra'!$G$7:$G$42,'Budget ed extra'!$J$7:$J$42,$A121,'Budget ed extra'!$H$7:$H$42,L$6))</f>
        <v>0</v>
      </c>
      <c r="AD121">
        <f>IF(M$6="",0,SUMIFS('Budget ed extra'!$G$7:$G$42,'Budget ed extra'!$J$7:$J$42,$A121,'Budget ed extra'!$H$7:$H$42,M$6))</f>
        <v>0</v>
      </c>
      <c r="AE121">
        <f>IF(N$6="",0,SUMIFS('Budget ed extra'!$G$7:$G$42,'Budget ed extra'!$J$7:$J$42,$A121,'Budget ed extra'!$H$7:$H$42,N$6))</f>
        <v>0</v>
      </c>
    </row>
    <row r="122">
      <c r="A122" t="n">
        <v>92</v>
      </c>
      <c r="B122">
        <f>DATE($B$2,$B$3+A122-1,1)</f>
        <v>49096.0</v>
      </c>
      <c r="C122">
        <f>IF(D122=0,N(Impostazioni!$B$6),SUMIFS('Budget ed extra'!$B$7:$B$18,'Budget ed extra'!$D$7:$D$18,D122)/COUNTIFS('Budget ed extra'!$D$7:$D$18,D122))</f>
        <v>900</v>
      </c>
      <c r="D122">
        <f>SUMPRODUCT(MAX(('Budget ed extra'!$D$7:$D$18&lt;=A122)*'Budget ed extra'!$D$7:$D$18))</f>
        <v>9</v>
      </c>
      <c r="E122">
        <f>SUMIFS('Budget ed extra'!$G$7:$G$42,'Budget ed extra'!$J$7:$J$42,A122)</f>
        <v>0</v>
      </c>
      <c r="F122">
        <f>SUM(T122:AE122)</f>
        <v>0</v>
      </c>
      <c r="G122">
        <f>MAX(0,E122-F122)</f>
        <v>0</v>
      </c>
      <c r="H122">
        <f>IF($A122&gt;=C$10,C$11,C$9)/12</f>
        <v>0.01575</v>
      </c>
      <c r="I122">
        <f>IF($A122&gt;=D$10,D$11,D$9)/12</f>
        <v>0.01825</v>
      </c>
      <c r="J122">
        <f>IF($A122&gt;=E$10,E$11,E$9)/12</f>
        <v>0.00766666666666667</v>
      </c>
      <c r="K122">
        <f>IF($A122&gt;=F$10,F$11,F$9)/12</f>
        <v>0.00533333333333333</v>
      </c>
      <c r="L122">
        <f>IF($A122&gt;=G$10,G$11,G$9)/12</f>
        <v>0</v>
      </c>
      <c r="M122">
        <f>IF($A122&gt;=H$10,H$11,H$9)/12</f>
        <v>0</v>
      </c>
      <c r="N122">
        <f>IF($A122&gt;=I$10,I$11,I$9)/12</f>
        <v>0</v>
      </c>
      <c r="O122">
        <f>IF($A122&gt;=J$10,J$11,J$9)/12</f>
        <v>0</v>
      </c>
      <c r="P122">
        <f>IF($A122&gt;=K$10,K$11,K$9)/12</f>
        <v>0</v>
      </c>
      <c r="Q122">
        <f>IF($A122&gt;=L$10,L$11,L$9)/12</f>
        <v>0</v>
      </c>
      <c r="R122">
        <f>IF($A122&gt;=M$10,M$11,M$9)/12</f>
        <v>0</v>
      </c>
      <c r="S122">
        <f>IF($A122&gt;=N$10,N$11,N$9)/12</f>
        <v>0</v>
      </c>
      <c r="T122">
        <f>IF(C$6="",0,SUMIFS('Budget ed extra'!$G$7:$G$42,'Budget ed extra'!$J$7:$J$42,$A122,'Budget ed extra'!$H$7:$H$42,C$6))</f>
        <v>0</v>
      </c>
      <c r="U122">
        <f>IF(D$6="",0,SUMIFS('Budget ed extra'!$G$7:$G$42,'Budget ed extra'!$J$7:$J$42,$A122,'Budget ed extra'!$H$7:$H$42,D$6))</f>
        <v>0</v>
      </c>
      <c r="V122">
        <f>IF(E$6="",0,SUMIFS('Budget ed extra'!$G$7:$G$42,'Budget ed extra'!$J$7:$J$42,$A122,'Budget ed extra'!$H$7:$H$42,E$6))</f>
        <v>0</v>
      </c>
      <c r="W122">
        <f>IF(F$6="",0,SUMIFS('Budget ed extra'!$G$7:$G$42,'Budget ed extra'!$J$7:$J$42,$A122,'Budget ed extra'!$H$7:$H$42,F$6))</f>
        <v>0</v>
      </c>
      <c r="X122">
        <f>IF(G$6="",0,SUMIFS('Budget ed extra'!$G$7:$G$42,'Budget ed extra'!$J$7:$J$42,$A122,'Budget ed extra'!$H$7:$H$42,G$6))</f>
        <v>0</v>
      </c>
      <c r="Y122">
        <f>IF(H$6="",0,SUMIFS('Budget ed extra'!$G$7:$G$42,'Budget ed extra'!$J$7:$J$42,$A122,'Budget ed extra'!$H$7:$H$42,H$6))</f>
        <v>0</v>
      </c>
      <c r="Z122">
        <f>IF(I$6="",0,SUMIFS('Budget ed extra'!$G$7:$G$42,'Budget ed extra'!$J$7:$J$42,$A122,'Budget ed extra'!$H$7:$H$42,I$6))</f>
        <v>0</v>
      </c>
      <c r="AA122">
        <f>IF(J$6="",0,SUMIFS('Budget ed extra'!$G$7:$G$42,'Budget ed extra'!$J$7:$J$42,$A122,'Budget ed extra'!$H$7:$H$42,J$6))</f>
        <v>0</v>
      </c>
      <c r="AB122">
        <f>IF(K$6="",0,SUMIFS('Budget ed extra'!$G$7:$G$42,'Budget ed extra'!$J$7:$J$42,$A122,'Budget ed extra'!$H$7:$H$42,K$6))</f>
        <v>0</v>
      </c>
      <c r="AC122">
        <f>IF(L$6="",0,SUMIFS('Budget ed extra'!$G$7:$G$42,'Budget ed extra'!$J$7:$J$42,$A122,'Budget ed extra'!$H$7:$H$42,L$6))</f>
        <v>0</v>
      </c>
      <c r="AD122">
        <f>IF(M$6="",0,SUMIFS('Budget ed extra'!$G$7:$G$42,'Budget ed extra'!$J$7:$J$42,$A122,'Budget ed extra'!$H$7:$H$42,M$6))</f>
        <v>0</v>
      </c>
      <c r="AE122">
        <f>IF(N$6="",0,SUMIFS('Budget ed extra'!$G$7:$G$42,'Budget ed extra'!$J$7:$J$42,$A122,'Budget ed extra'!$H$7:$H$42,N$6))</f>
        <v>0</v>
      </c>
    </row>
    <row r="123">
      <c r="A123" t="n">
        <v>93</v>
      </c>
      <c r="B123">
        <f>DATE($B$2,$B$3+A123-1,1)</f>
        <v>49126.0</v>
      </c>
      <c r="C123">
        <f>IF(D123=0,N(Impostazioni!$B$6),SUMIFS('Budget ed extra'!$B$7:$B$18,'Budget ed extra'!$D$7:$D$18,D123)/COUNTIFS('Budget ed extra'!$D$7:$D$18,D123))</f>
        <v>900</v>
      </c>
      <c r="D123">
        <f>SUMPRODUCT(MAX(('Budget ed extra'!$D$7:$D$18&lt;=A123)*'Budget ed extra'!$D$7:$D$18))</f>
        <v>9</v>
      </c>
      <c r="E123">
        <f>SUMIFS('Budget ed extra'!$G$7:$G$42,'Budget ed extra'!$J$7:$J$42,A123)</f>
        <v>0</v>
      </c>
      <c r="F123">
        <f>SUM(T123:AE123)</f>
        <v>0</v>
      </c>
      <c r="G123">
        <f>MAX(0,E123-F123)</f>
        <v>0</v>
      </c>
      <c r="H123">
        <f>IF($A123&gt;=C$10,C$11,C$9)/12</f>
        <v>0.01575</v>
      </c>
      <c r="I123">
        <f>IF($A123&gt;=D$10,D$11,D$9)/12</f>
        <v>0.01825</v>
      </c>
      <c r="J123">
        <f>IF($A123&gt;=E$10,E$11,E$9)/12</f>
        <v>0.00766666666666667</v>
      </c>
      <c r="K123">
        <f>IF($A123&gt;=F$10,F$11,F$9)/12</f>
        <v>0.00533333333333333</v>
      </c>
      <c r="L123">
        <f>IF($A123&gt;=G$10,G$11,G$9)/12</f>
        <v>0</v>
      </c>
      <c r="M123">
        <f>IF($A123&gt;=H$10,H$11,H$9)/12</f>
        <v>0</v>
      </c>
      <c r="N123">
        <f>IF($A123&gt;=I$10,I$11,I$9)/12</f>
        <v>0</v>
      </c>
      <c r="O123">
        <f>IF($A123&gt;=J$10,J$11,J$9)/12</f>
        <v>0</v>
      </c>
      <c r="P123">
        <f>IF($A123&gt;=K$10,K$11,K$9)/12</f>
        <v>0</v>
      </c>
      <c r="Q123">
        <f>IF($A123&gt;=L$10,L$11,L$9)/12</f>
        <v>0</v>
      </c>
      <c r="R123">
        <f>IF($A123&gt;=M$10,M$11,M$9)/12</f>
        <v>0</v>
      </c>
      <c r="S123">
        <f>IF($A123&gt;=N$10,N$11,N$9)/12</f>
        <v>0</v>
      </c>
      <c r="T123">
        <f>IF(C$6="",0,SUMIFS('Budget ed extra'!$G$7:$G$42,'Budget ed extra'!$J$7:$J$42,$A123,'Budget ed extra'!$H$7:$H$42,C$6))</f>
        <v>0</v>
      </c>
      <c r="U123">
        <f>IF(D$6="",0,SUMIFS('Budget ed extra'!$G$7:$G$42,'Budget ed extra'!$J$7:$J$42,$A123,'Budget ed extra'!$H$7:$H$42,D$6))</f>
        <v>0</v>
      </c>
      <c r="V123">
        <f>IF(E$6="",0,SUMIFS('Budget ed extra'!$G$7:$G$42,'Budget ed extra'!$J$7:$J$42,$A123,'Budget ed extra'!$H$7:$H$42,E$6))</f>
        <v>0</v>
      </c>
      <c r="W123">
        <f>IF(F$6="",0,SUMIFS('Budget ed extra'!$G$7:$G$42,'Budget ed extra'!$J$7:$J$42,$A123,'Budget ed extra'!$H$7:$H$42,F$6))</f>
        <v>0</v>
      </c>
      <c r="X123">
        <f>IF(G$6="",0,SUMIFS('Budget ed extra'!$G$7:$G$42,'Budget ed extra'!$J$7:$J$42,$A123,'Budget ed extra'!$H$7:$H$42,G$6))</f>
        <v>0</v>
      </c>
      <c r="Y123">
        <f>IF(H$6="",0,SUMIFS('Budget ed extra'!$G$7:$G$42,'Budget ed extra'!$J$7:$J$42,$A123,'Budget ed extra'!$H$7:$H$42,H$6))</f>
        <v>0</v>
      </c>
      <c r="Z123">
        <f>IF(I$6="",0,SUMIFS('Budget ed extra'!$G$7:$G$42,'Budget ed extra'!$J$7:$J$42,$A123,'Budget ed extra'!$H$7:$H$42,I$6))</f>
        <v>0</v>
      </c>
      <c r="AA123">
        <f>IF(J$6="",0,SUMIFS('Budget ed extra'!$G$7:$G$42,'Budget ed extra'!$J$7:$J$42,$A123,'Budget ed extra'!$H$7:$H$42,J$6))</f>
        <v>0</v>
      </c>
      <c r="AB123">
        <f>IF(K$6="",0,SUMIFS('Budget ed extra'!$G$7:$G$42,'Budget ed extra'!$J$7:$J$42,$A123,'Budget ed extra'!$H$7:$H$42,K$6))</f>
        <v>0</v>
      </c>
      <c r="AC123">
        <f>IF(L$6="",0,SUMIFS('Budget ed extra'!$G$7:$G$42,'Budget ed extra'!$J$7:$J$42,$A123,'Budget ed extra'!$H$7:$H$42,L$6))</f>
        <v>0</v>
      </c>
      <c r="AD123">
        <f>IF(M$6="",0,SUMIFS('Budget ed extra'!$G$7:$G$42,'Budget ed extra'!$J$7:$J$42,$A123,'Budget ed extra'!$H$7:$H$42,M$6))</f>
        <v>0</v>
      </c>
      <c r="AE123">
        <f>IF(N$6="",0,SUMIFS('Budget ed extra'!$G$7:$G$42,'Budget ed extra'!$J$7:$J$42,$A123,'Budget ed extra'!$H$7:$H$42,N$6))</f>
        <v>0</v>
      </c>
    </row>
    <row r="124">
      <c r="A124" t="n">
        <v>94</v>
      </c>
      <c r="B124">
        <f>DATE($B$2,$B$3+A124-1,1)</f>
        <v>49157.0</v>
      </c>
      <c r="C124">
        <f>IF(D124=0,N(Impostazioni!$B$6),SUMIFS('Budget ed extra'!$B$7:$B$18,'Budget ed extra'!$D$7:$D$18,D124)/COUNTIFS('Budget ed extra'!$D$7:$D$18,D124))</f>
        <v>900</v>
      </c>
      <c r="D124">
        <f>SUMPRODUCT(MAX(('Budget ed extra'!$D$7:$D$18&lt;=A124)*'Budget ed extra'!$D$7:$D$18))</f>
        <v>9</v>
      </c>
      <c r="E124">
        <f>SUMIFS('Budget ed extra'!$G$7:$G$42,'Budget ed extra'!$J$7:$J$42,A124)</f>
        <v>0</v>
      </c>
      <c r="F124">
        <f>SUM(T124:AE124)</f>
        <v>0</v>
      </c>
      <c r="G124">
        <f>MAX(0,E124-F124)</f>
        <v>0</v>
      </c>
      <c r="H124">
        <f>IF($A124&gt;=C$10,C$11,C$9)/12</f>
        <v>0.01575</v>
      </c>
      <c r="I124">
        <f>IF($A124&gt;=D$10,D$11,D$9)/12</f>
        <v>0.01825</v>
      </c>
      <c r="J124">
        <f>IF($A124&gt;=E$10,E$11,E$9)/12</f>
        <v>0.00766666666666667</v>
      </c>
      <c r="K124">
        <f>IF($A124&gt;=F$10,F$11,F$9)/12</f>
        <v>0.00533333333333333</v>
      </c>
      <c r="L124">
        <f>IF($A124&gt;=G$10,G$11,G$9)/12</f>
        <v>0</v>
      </c>
      <c r="M124">
        <f>IF($A124&gt;=H$10,H$11,H$9)/12</f>
        <v>0</v>
      </c>
      <c r="N124">
        <f>IF($A124&gt;=I$10,I$11,I$9)/12</f>
        <v>0</v>
      </c>
      <c r="O124">
        <f>IF($A124&gt;=J$10,J$11,J$9)/12</f>
        <v>0</v>
      </c>
      <c r="P124">
        <f>IF($A124&gt;=K$10,K$11,K$9)/12</f>
        <v>0</v>
      </c>
      <c r="Q124">
        <f>IF($A124&gt;=L$10,L$11,L$9)/12</f>
        <v>0</v>
      </c>
      <c r="R124">
        <f>IF($A124&gt;=M$10,M$11,M$9)/12</f>
        <v>0</v>
      </c>
      <c r="S124">
        <f>IF($A124&gt;=N$10,N$11,N$9)/12</f>
        <v>0</v>
      </c>
      <c r="T124">
        <f>IF(C$6="",0,SUMIFS('Budget ed extra'!$G$7:$G$42,'Budget ed extra'!$J$7:$J$42,$A124,'Budget ed extra'!$H$7:$H$42,C$6))</f>
        <v>0</v>
      </c>
      <c r="U124">
        <f>IF(D$6="",0,SUMIFS('Budget ed extra'!$G$7:$G$42,'Budget ed extra'!$J$7:$J$42,$A124,'Budget ed extra'!$H$7:$H$42,D$6))</f>
        <v>0</v>
      </c>
      <c r="V124">
        <f>IF(E$6="",0,SUMIFS('Budget ed extra'!$G$7:$G$42,'Budget ed extra'!$J$7:$J$42,$A124,'Budget ed extra'!$H$7:$H$42,E$6))</f>
        <v>0</v>
      </c>
      <c r="W124">
        <f>IF(F$6="",0,SUMIFS('Budget ed extra'!$G$7:$G$42,'Budget ed extra'!$J$7:$J$42,$A124,'Budget ed extra'!$H$7:$H$42,F$6))</f>
        <v>0</v>
      </c>
      <c r="X124">
        <f>IF(G$6="",0,SUMIFS('Budget ed extra'!$G$7:$G$42,'Budget ed extra'!$J$7:$J$42,$A124,'Budget ed extra'!$H$7:$H$42,G$6))</f>
        <v>0</v>
      </c>
      <c r="Y124">
        <f>IF(H$6="",0,SUMIFS('Budget ed extra'!$G$7:$G$42,'Budget ed extra'!$J$7:$J$42,$A124,'Budget ed extra'!$H$7:$H$42,H$6))</f>
        <v>0</v>
      </c>
      <c r="Z124">
        <f>IF(I$6="",0,SUMIFS('Budget ed extra'!$G$7:$G$42,'Budget ed extra'!$J$7:$J$42,$A124,'Budget ed extra'!$H$7:$H$42,I$6))</f>
        <v>0</v>
      </c>
      <c r="AA124">
        <f>IF(J$6="",0,SUMIFS('Budget ed extra'!$G$7:$G$42,'Budget ed extra'!$J$7:$J$42,$A124,'Budget ed extra'!$H$7:$H$42,J$6))</f>
        <v>0</v>
      </c>
      <c r="AB124">
        <f>IF(K$6="",0,SUMIFS('Budget ed extra'!$G$7:$G$42,'Budget ed extra'!$J$7:$J$42,$A124,'Budget ed extra'!$H$7:$H$42,K$6))</f>
        <v>0</v>
      </c>
      <c r="AC124">
        <f>IF(L$6="",0,SUMIFS('Budget ed extra'!$G$7:$G$42,'Budget ed extra'!$J$7:$J$42,$A124,'Budget ed extra'!$H$7:$H$42,L$6))</f>
        <v>0</v>
      </c>
      <c r="AD124">
        <f>IF(M$6="",0,SUMIFS('Budget ed extra'!$G$7:$G$42,'Budget ed extra'!$J$7:$J$42,$A124,'Budget ed extra'!$H$7:$H$42,M$6))</f>
        <v>0</v>
      </c>
      <c r="AE124">
        <f>IF(N$6="",0,SUMIFS('Budget ed extra'!$G$7:$G$42,'Budget ed extra'!$J$7:$J$42,$A124,'Budget ed extra'!$H$7:$H$42,N$6))</f>
        <v>0</v>
      </c>
    </row>
    <row r="125">
      <c r="A125" t="n">
        <v>95</v>
      </c>
      <c r="B125">
        <f>DATE($B$2,$B$3+A125-1,1)</f>
        <v>49188.0</v>
      </c>
      <c r="C125">
        <f>IF(D125=0,N(Impostazioni!$B$6),SUMIFS('Budget ed extra'!$B$7:$B$18,'Budget ed extra'!$D$7:$D$18,D125)/COUNTIFS('Budget ed extra'!$D$7:$D$18,D125))</f>
        <v>900</v>
      </c>
      <c r="D125">
        <f>SUMPRODUCT(MAX(('Budget ed extra'!$D$7:$D$18&lt;=A125)*'Budget ed extra'!$D$7:$D$18))</f>
        <v>9</v>
      </c>
      <c r="E125">
        <f>SUMIFS('Budget ed extra'!$G$7:$G$42,'Budget ed extra'!$J$7:$J$42,A125)</f>
        <v>0</v>
      </c>
      <c r="F125">
        <f>SUM(T125:AE125)</f>
        <v>0</v>
      </c>
      <c r="G125">
        <f>MAX(0,E125-F125)</f>
        <v>0</v>
      </c>
      <c r="H125">
        <f>IF($A125&gt;=C$10,C$11,C$9)/12</f>
        <v>0.01575</v>
      </c>
      <c r="I125">
        <f>IF($A125&gt;=D$10,D$11,D$9)/12</f>
        <v>0.01825</v>
      </c>
      <c r="J125">
        <f>IF($A125&gt;=E$10,E$11,E$9)/12</f>
        <v>0.00766666666666667</v>
      </c>
      <c r="K125">
        <f>IF($A125&gt;=F$10,F$11,F$9)/12</f>
        <v>0.00533333333333333</v>
      </c>
      <c r="L125">
        <f>IF($A125&gt;=G$10,G$11,G$9)/12</f>
        <v>0</v>
      </c>
      <c r="M125">
        <f>IF($A125&gt;=H$10,H$11,H$9)/12</f>
        <v>0</v>
      </c>
      <c r="N125">
        <f>IF($A125&gt;=I$10,I$11,I$9)/12</f>
        <v>0</v>
      </c>
      <c r="O125">
        <f>IF($A125&gt;=J$10,J$11,J$9)/12</f>
        <v>0</v>
      </c>
      <c r="P125">
        <f>IF($A125&gt;=K$10,K$11,K$9)/12</f>
        <v>0</v>
      </c>
      <c r="Q125">
        <f>IF($A125&gt;=L$10,L$11,L$9)/12</f>
        <v>0</v>
      </c>
      <c r="R125">
        <f>IF($A125&gt;=M$10,M$11,M$9)/12</f>
        <v>0</v>
      </c>
      <c r="S125">
        <f>IF($A125&gt;=N$10,N$11,N$9)/12</f>
        <v>0</v>
      </c>
      <c r="T125">
        <f>IF(C$6="",0,SUMIFS('Budget ed extra'!$G$7:$G$42,'Budget ed extra'!$J$7:$J$42,$A125,'Budget ed extra'!$H$7:$H$42,C$6))</f>
        <v>0</v>
      </c>
      <c r="U125">
        <f>IF(D$6="",0,SUMIFS('Budget ed extra'!$G$7:$G$42,'Budget ed extra'!$J$7:$J$42,$A125,'Budget ed extra'!$H$7:$H$42,D$6))</f>
        <v>0</v>
      </c>
      <c r="V125">
        <f>IF(E$6="",0,SUMIFS('Budget ed extra'!$G$7:$G$42,'Budget ed extra'!$J$7:$J$42,$A125,'Budget ed extra'!$H$7:$H$42,E$6))</f>
        <v>0</v>
      </c>
      <c r="W125">
        <f>IF(F$6="",0,SUMIFS('Budget ed extra'!$G$7:$G$42,'Budget ed extra'!$J$7:$J$42,$A125,'Budget ed extra'!$H$7:$H$42,F$6))</f>
        <v>0</v>
      </c>
      <c r="X125">
        <f>IF(G$6="",0,SUMIFS('Budget ed extra'!$G$7:$G$42,'Budget ed extra'!$J$7:$J$42,$A125,'Budget ed extra'!$H$7:$H$42,G$6))</f>
        <v>0</v>
      </c>
      <c r="Y125">
        <f>IF(H$6="",0,SUMIFS('Budget ed extra'!$G$7:$G$42,'Budget ed extra'!$J$7:$J$42,$A125,'Budget ed extra'!$H$7:$H$42,H$6))</f>
        <v>0</v>
      </c>
      <c r="Z125">
        <f>IF(I$6="",0,SUMIFS('Budget ed extra'!$G$7:$G$42,'Budget ed extra'!$J$7:$J$42,$A125,'Budget ed extra'!$H$7:$H$42,I$6))</f>
        <v>0</v>
      </c>
      <c r="AA125">
        <f>IF(J$6="",0,SUMIFS('Budget ed extra'!$G$7:$G$42,'Budget ed extra'!$J$7:$J$42,$A125,'Budget ed extra'!$H$7:$H$42,J$6))</f>
        <v>0</v>
      </c>
      <c r="AB125">
        <f>IF(K$6="",0,SUMIFS('Budget ed extra'!$G$7:$G$42,'Budget ed extra'!$J$7:$J$42,$A125,'Budget ed extra'!$H$7:$H$42,K$6))</f>
        <v>0</v>
      </c>
      <c r="AC125">
        <f>IF(L$6="",0,SUMIFS('Budget ed extra'!$G$7:$G$42,'Budget ed extra'!$J$7:$J$42,$A125,'Budget ed extra'!$H$7:$H$42,L$6))</f>
        <v>0</v>
      </c>
      <c r="AD125">
        <f>IF(M$6="",0,SUMIFS('Budget ed extra'!$G$7:$G$42,'Budget ed extra'!$J$7:$J$42,$A125,'Budget ed extra'!$H$7:$H$42,M$6))</f>
        <v>0</v>
      </c>
      <c r="AE125">
        <f>IF(N$6="",0,SUMIFS('Budget ed extra'!$G$7:$G$42,'Budget ed extra'!$J$7:$J$42,$A125,'Budget ed extra'!$H$7:$H$42,N$6))</f>
        <v>0</v>
      </c>
    </row>
    <row r="126">
      <c r="A126" t="n">
        <v>96</v>
      </c>
      <c r="B126">
        <f>DATE($B$2,$B$3+A126-1,1)</f>
        <v>49218.0</v>
      </c>
      <c r="C126">
        <f>IF(D126=0,N(Impostazioni!$B$6),SUMIFS('Budget ed extra'!$B$7:$B$18,'Budget ed extra'!$D$7:$D$18,D126)/COUNTIFS('Budget ed extra'!$D$7:$D$18,D126))</f>
        <v>900</v>
      </c>
      <c r="D126">
        <f>SUMPRODUCT(MAX(('Budget ed extra'!$D$7:$D$18&lt;=A126)*'Budget ed extra'!$D$7:$D$18))</f>
        <v>9</v>
      </c>
      <c r="E126">
        <f>SUMIFS('Budget ed extra'!$G$7:$G$42,'Budget ed extra'!$J$7:$J$42,A126)</f>
        <v>0</v>
      </c>
      <c r="F126">
        <f>SUM(T126:AE126)</f>
        <v>0</v>
      </c>
      <c r="G126">
        <f>MAX(0,E126-F126)</f>
        <v>0</v>
      </c>
      <c r="H126">
        <f>IF($A126&gt;=C$10,C$11,C$9)/12</f>
        <v>0.01575</v>
      </c>
      <c r="I126">
        <f>IF($A126&gt;=D$10,D$11,D$9)/12</f>
        <v>0.01825</v>
      </c>
      <c r="J126">
        <f>IF($A126&gt;=E$10,E$11,E$9)/12</f>
        <v>0.00766666666666667</v>
      </c>
      <c r="K126">
        <f>IF($A126&gt;=F$10,F$11,F$9)/12</f>
        <v>0.00533333333333333</v>
      </c>
      <c r="L126">
        <f>IF($A126&gt;=G$10,G$11,G$9)/12</f>
        <v>0</v>
      </c>
      <c r="M126">
        <f>IF($A126&gt;=H$10,H$11,H$9)/12</f>
        <v>0</v>
      </c>
      <c r="N126">
        <f>IF($A126&gt;=I$10,I$11,I$9)/12</f>
        <v>0</v>
      </c>
      <c r="O126">
        <f>IF($A126&gt;=J$10,J$11,J$9)/12</f>
        <v>0</v>
      </c>
      <c r="P126">
        <f>IF($A126&gt;=K$10,K$11,K$9)/12</f>
        <v>0</v>
      </c>
      <c r="Q126">
        <f>IF($A126&gt;=L$10,L$11,L$9)/12</f>
        <v>0</v>
      </c>
      <c r="R126">
        <f>IF($A126&gt;=M$10,M$11,M$9)/12</f>
        <v>0</v>
      </c>
      <c r="S126">
        <f>IF($A126&gt;=N$10,N$11,N$9)/12</f>
        <v>0</v>
      </c>
      <c r="T126">
        <f>IF(C$6="",0,SUMIFS('Budget ed extra'!$G$7:$G$42,'Budget ed extra'!$J$7:$J$42,$A126,'Budget ed extra'!$H$7:$H$42,C$6))</f>
        <v>0</v>
      </c>
      <c r="U126">
        <f>IF(D$6="",0,SUMIFS('Budget ed extra'!$G$7:$G$42,'Budget ed extra'!$J$7:$J$42,$A126,'Budget ed extra'!$H$7:$H$42,D$6))</f>
        <v>0</v>
      </c>
      <c r="V126">
        <f>IF(E$6="",0,SUMIFS('Budget ed extra'!$G$7:$G$42,'Budget ed extra'!$J$7:$J$42,$A126,'Budget ed extra'!$H$7:$H$42,E$6))</f>
        <v>0</v>
      </c>
      <c r="W126">
        <f>IF(F$6="",0,SUMIFS('Budget ed extra'!$G$7:$G$42,'Budget ed extra'!$J$7:$J$42,$A126,'Budget ed extra'!$H$7:$H$42,F$6))</f>
        <v>0</v>
      </c>
      <c r="X126">
        <f>IF(G$6="",0,SUMIFS('Budget ed extra'!$G$7:$G$42,'Budget ed extra'!$J$7:$J$42,$A126,'Budget ed extra'!$H$7:$H$42,G$6))</f>
        <v>0</v>
      </c>
      <c r="Y126">
        <f>IF(H$6="",0,SUMIFS('Budget ed extra'!$G$7:$G$42,'Budget ed extra'!$J$7:$J$42,$A126,'Budget ed extra'!$H$7:$H$42,H$6))</f>
        <v>0</v>
      </c>
      <c r="Z126">
        <f>IF(I$6="",0,SUMIFS('Budget ed extra'!$G$7:$G$42,'Budget ed extra'!$J$7:$J$42,$A126,'Budget ed extra'!$H$7:$H$42,I$6))</f>
        <v>0</v>
      </c>
      <c r="AA126">
        <f>IF(J$6="",0,SUMIFS('Budget ed extra'!$G$7:$G$42,'Budget ed extra'!$J$7:$J$42,$A126,'Budget ed extra'!$H$7:$H$42,J$6))</f>
        <v>0</v>
      </c>
      <c r="AB126">
        <f>IF(K$6="",0,SUMIFS('Budget ed extra'!$G$7:$G$42,'Budget ed extra'!$J$7:$J$42,$A126,'Budget ed extra'!$H$7:$H$42,K$6))</f>
        <v>0</v>
      </c>
      <c r="AC126">
        <f>IF(L$6="",0,SUMIFS('Budget ed extra'!$G$7:$G$42,'Budget ed extra'!$J$7:$J$42,$A126,'Budget ed extra'!$H$7:$H$42,L$6))</f>
        <v>0</v>
      </c>
      <c r="AD126">
        <f>IF(M$6="",0,SUMIFS('Budget ed extra'!$G$7:$G$42,'Budget ed extra'!$J$7:$J$42,$A126,'Budget ed extra'!$H$7:$H$42,M$6))</f>
        <v>0</v>
      </c>
      <c r="AE126">
        <f>IF(N$6="",0,SUMIFS('Budget ed extra'!$G$7:$G$42,'Budget ed extra'!$J$7:$J$42,$A126,'Budget ed extra'!$H$7:$H$42,N$6))</f>
        <v>0</v>
      </c>
    </row>
    <row r="127">
      <c r="A127" t="n">
        <v>97</v>
      </c>
      <c r="B127">
        <f>DATE($B$2,$B$3+A127-1,1)</f>
        <v>49249.0</v>
      </c>
      <c r="C127">
        <f>IF(D127=0,N(Impostazioni!$B$6),SUMIFS('Budget ed extra'!$B$7:$B$18,'Budget ed extra'!$D$7:$D$18,D127)/COUNTIFS('Budget ed extra'!$D$7:$D$18,D127))</f>
        <v>900</v>
      </c>
      <c r="D127">
        <f>SUMPRODUCT(MAX(('Budget ed extra'!$D$7:$D$18&lt;=A127)*'Budget ed extra'!$D$7:$D$18))</f>
        <v>9</v>
      </c>
      <c r="E127">
        <f>SUMIFS('Budget ed extra'!$G$7:$G$42,'Budget ed extra'!$J$7:$J$42,A127)</f>
        <v>0</v>
      </c>
      <c r="F127">
        <f>SUM(T127:AE127)</f>
        <v>0</v>
      </c>
      <c r="G127">
        <f>MAX(0,E127-F127)</f>
        <v>0</v>
      </c>
      <c r="H127">
        <f>IF($A127&gt;=C$10,C$11,C$9)/12</f>
        <v>0.01575</v>
      </c>
      <c r="I127">
        <f>IF($A127&gt;=D$10,D$11,D$9)/12</f>
        <v>0.01825</v>
      </c>
      <c r="J127">
        <f>IF($A127&gt;=E$10,E$11,E$9)/12</f>
        <v>0.00766666666666667</v>
      </c>
      <c r="K127">
        <f>IF($A127&gt;=F$10,F$11,F$9)/12</f>
        <v>0.00533333333333333</v>
      </c>
      <c r="L127">
        <f>IF($A127&gt;=G$10,G$11,G$9)/12</f>
        <v>0</v>
      </c>
      <c r="M127">
        <f>IF($A127&gt;=H$10,H$11,H$9)/12</f>
        <v>0</v>
      </c>
      <c r="N127">
        <f>IF($A127&gt;=I$10,I$11,I$9)/12</f>
        <v>0</v>
      </c>
      <c r="O127">
        <f>IF($A127&gt;=J$10,J$11,J$9)/12</f>
        <v>0</v>
      </c>
      <c r="P127">
        <f>IF($A127&gt;=K$10,K$11,K$9)/12</f>
        <v>0</v>
      </c>
      <c r="Q127">
        <f>IF($A127&gt;=L$10,L$11,L$9)/12</f>
        <v>0</v>
      </c>
      <c r="R127">
        <f>IF($A127&gt;=M$10,M$11,M$9)/12</f>
        <v>0</v>
      </c>
      <c r="S127">
        <f>IF($A127&gt;=N$10,N$11,N$9)/12</f>
        <v>0</v>
      </c>
      <c r="T127">
        <f>IF(C$6="",0,SUMIFS('Budget ed extra'!$G$7:$G$42,'Budget ed extra'!$J$7:$J$42,$A127,'Budget ed extra'!$H$7:$H$42,C$6))</f>
        <v>0</v>
      </c>
      <c r="U127">
        <f>IF(D$6="",0,SUMIFS('Budget ed extra'!$G$7:$G$42,'Budget ed extra'!$J$7:$J$42,$A127,'Budget ed extra'!$H$7:$H$42,D$6))</f>
        <v>0</v>
      </c>
      <c r="V127">
        <f>IF(E$6="",0,SUMIFS('Budget ed extra'!$G$7:$G$42,'Budget ed extra'!$J$7:$J$42,$A127,'Budget ed extra'!$H$7:$H$42,E$6))</f>
        <v>0</v>
      </c>
      <c r="W127">
        <f>IF(F$6="",0,SUMIFS('Budget ed extra'!$G$7:$G$42,'Budget ed extra'!$J$7:$J$42,$A127,'Budget ed extra'!$H$7:$H$42,F$6))</f>
        <v>0</v>
      </c>
      <c r="X127">
        <f>IF(G$6="",0,SUMIFS('Budget ed extra'!$G$7:$G$42,'Budget ed extra'!$J$7:$J$42,$A127,'Budget ed extra'!$H$7:$H$42,G$6))</f>
        <v>0</v>
      </c>
      <c r="Y127">
        <f>IF(H$6="",0,SUMIFS('Budget ed extra'!$G$7:$G$42,'Budget ed extra'!$J$7:$J$42,$A127,'Budget ed extra'!$H$7:$H$42,H$6))</f>
        <v>0</v>
      </c>
      <c r="Z127">
        <f>IF(I$6="",0,SUMIFS('Budget ed extra'!$G$7:$G$42,'Budget ed extra'!$J$7:$J$42,$A127,'Budget ed extra'!$H$7:$H$42,I$6))</f>
        <v>0</v>
      </c>
      <c r="AA127">
        <f>IF(J$6="",0,SUMIFS('Budget ed extra'!$G$7:$G$42,'Budget ed extra'!$J$7:$J$42,$A127,'Budget ed extra'!$H$7:$H$42,J$6))</f>
        <v>0</v>
      </c>
      <c r="AB127">
        <f>IF(K$6="",0,SUMIFS('Budget ed extra'!$G$7:$G$42,'Budget ed extra'!$J$7:$J$42,$A127,'Budget ed extra'!$H$7:$H$42,K$6))</f>
        <v>0</v>
      </c>
      <c r="AC127">
        <f>IF(L$6="",0,SUMIFS('Budget ed extra'!$G$7:$G$42,'Budget ed extra'!$J$7:$J$42,$A127,'Budget ed extra'!$H$7:$H$42,L$6))</f>
        <v>0</v>
      </c>
      <c r="AD127">
        <f>IF(M$6="",0,SUMIFS('Budget ed extra'!$G$7:$G$42,'Budget ed extra'!$J$7:$J$42,$A127,'Budget ed extra'!$H$7:$H$42,M$6))</f>
        <v>0</v>
      </c>
      <c r="AE127">
        <f>IF(N$6="",0,SUMIFS('Budget ed extra'!$G$7:$G$42,'Budget ed extra'!$J$7:$J$42,$A127,'Budget ed extra'!$H$7:$H$42,N$6))</f>
        <v>0</v>
      </c>
    </row>
    <row r="128">
      <c r="A128" t="n">
        <v>98</v>
      </c>
      <c r="B128">
        <f>DATE($B$2,$B$3+A128-1,1)</f>
        <v>49279.0</v>
      </c>
      <c r="C128">
        <f>IF(D128=0,N(Impostazioni!$B$6),SUMIFS('Budget ed extra'!$B$7:$B$18,'Budget ed extra'!$D$7:$D$18,D128)/COUNTIFS('Budget ed extra'!$D$7:$D$18,D128))</f>
        <v>900</v>
      </c>
      <c r="D128">
        <f>SUMPRODUCT(MAX(('Budget ed extra'!$D$7:$D$18&lt;=A128)*'Budget ed extra'!$D$7:$D$18))</f>
        <v>9</v>
      </c>
      <c r="E128">
        <f>SUMIFS('Budget ed extra'!$G$7:$G$42,'Budget ed extra'!$J$7:$J$42,A128)</f>
        <v>0</v>
      </c>
      <c r="F128">
        <f>SUM(T128:AE128)</f>
        <v>0</v>
      </c>
      <c r="G128">
        <f>MAX(0,E128-F128)</f>
        <v>0</v>
      </c>
      <c r="H128">
        <f>IF($A128&gt;=C$10,C$11,C$9)/12</f>
        <v>0.01575</v>
      </c>
      <c r="I128">
        <f>IF($A128&gt;=D$10,D$11,D$9)/12</f>
        <v>0.01825</v>
      </c>
      <c r="J128">
        <f>IF($A128&gt;=E$10,E$11,E$9)/12</f>
        <v>0.00766666666666667</v>
      </c>
      <c r="K128">
        <f>IF($A128&gt;=F$10,F$11,F$9)/12</f>
        <v>0.00533333333333333</v>
      </c>
      <c r="L128">
        <f>IF($A128&gt;=G$10,G$11,G$9)/12</f>
        <v>0</v>
      </c>
      <c r="M128">
        <f>IF($A128&gt;=H$10,H$11,H$9)/12</f>
        <v>0</v>
      </c>
      <c r="N128">
        <f>IF($A128&gt;=I$10,I$11,I$9)/12</f>
        <v>0</v>
      </c>
      <c r="O128">
        <f>IF($A128&gt;=J$10,J$11,J$9)/12</f>
        <v>0</v>
      </c>
      <c r="P128">
        <f>IF($A128&gt;=K$10,K$11,K$9)/12</f>
        <v>0</v>
      </c>
      <c r="Q128">
        <f>IF($A128&gt;=L$10,L$11,L$9)/12</f>
        <v>0</v>
      </c>
      <c r="R128">
        <f>IF($A128&gt;=M$10,M$11,M$9)/12</f>
        <v>0</v>
      </c>
      <c r="S128">
        <f>IF($A128&gt;=N$10,N$11,N$9)/12</f>
        <v>0</v>
      </c>
      <c r="T128">
        <f>IF(C$6="",0,SUMIFS('Budget ed extra'!$G$7:$G$42,'Budget ed extra'!$J$7:$J$42,$A128,'Budget ed extra'!$H$7:$H$42,C$6))</f>
        <v>0</v>
      </c>
      <c r="U128">
        <f>IF(D$6="",0,SUMIFS('Budget ed extra'!$G$7:$G$42,'Budget ed extra'!$J$7:$J$42,$A128,'Budget ed extra'!$H$7:$H$42,D$6))</f>
        <v>0</v>
      </c>
      <c r="V128">
        <f>IF(E$6="",0,SUMIFS('Budget ed extra'!$G$7:$G$42,'Budget ed extra'!$J$7:$J$42,$A128,'Budget ed extra'!$H$7:$H$42,E$6))</f>
        <v>0</v>
      </c>
      <c r="W128">
        <f>IF(F$6="",0,SUMIFS('Budget ed extra'!$G$7:$G$42,'Budget ed extra'!$J$7:$J$42,$A128,'Budget ed extra'!$H$7:$H$42,F$6))</f>
        <v>0</v>
      </c>
      <c r="X128">
        <f>IF(G$6="",0,SUMIFS('Budget ed extra'!$G$7:$G$42,'Budget ed extra'!$J$7:$J$42,$A128,'Budget ed extra'!$H$7:$H$42,G$6))</f>
        <v>0</v>
      </c>
      <c r="Y128">
        <f>IF(H$6="",0,SUMIFS('Budget ed extra'!$G$7:$G$42,'Budget ed extra'!$J$7:$J$42,$A128,'Budget ed extra'!$H$7:$H$42,H$6))</f>
        <v>0</v>
      </c>
      <c r="Z128">
        <f>IF(I$6="",0,SUMIFS('Budget ed extra'!$G$7:$G$42,'Budget ed extra'!$J$7:$J$42,$A128,'Budget ed extra'!$H$7:$H$42,I$6))</f>
        <v>0</v>
      </c>
      <c r="AA128">
        <f>IF(J$6="",0,SUMIFS('Budget ed extra'!$G$7:$G$42,'Budget ed extra'!$J$7:$J$42,$A128,'Budget ed extra'!$H$7:$H$42,J$6))</f>
        <v>0</v>
      </c>
      <c r="AB128">
        <f>IF(K$6="",0,SUMIFS('Budget ed extra'!$G$7:$G$42,'Budget ed extra'!$J$7:$J$42,$A128,'Budget ed extra'!$H$7:$H$42,K$6))</f>
        <v>0</v>
      </c>
      <c r="AC128">
        <f>IF(L$6="",0,SUMIFS('Budget ed extra'!$G$7:$G$42,'Budget ed extra'!$J$7:$J$42,$A128,'Budget ed extra'!$H$7:$H$42,L$6))</f>
        <v>0</v>
      </c>
      <c r="AD128">
        <f>IF(M$6="",0,SUMIFS('Budget ed extra'!$G$7:$G$42,'Budget ed extra'!$J$7:$J$42,$A128,'Budget ed extra'!$H$7:$H$42,M$6))</f>
        <v>0</v>
      </c>
      <c r="AE128">
        <f>IF(N$6="",0,SUMIFS('Budget ed extra'!$G$7:$G$42,'Budget ed extra'!$J$7:$J$42,$A128,'Budget ed extra'!$H$7:$H$42,N$6))</f>
        <v>0</v>
      </c>
    </row>
    <row r="129">
      <c r="A129" t="n">
        <v>99</v>
      </c>
      <c r="B129">
        <f>DATE($B$2,$B$3+A129-1,1)</f>
        <v>49310.0</v>
      </c>
      <c r="C129">
        <f>IF(D129=0,N(Impostazioni!$B$6),SUMIFS('Budget ed extra'!$B$7:$B$18,'Budget ed extra'!$D$7:$D$18,D129)/COUNTIFS('Budget ed extra'!$D$7:$D$18,D129))</f>
        <v>900</v>
      </c>
      <c r="D129">
        <f>SUMPRODUCT(MAX(('Budget ed extra'!$D$7:$D$18&lt;=A129)*'Budget ed extra'!$D$7:$D$18))</f>
        <v>9</v>
      </c>
      <c r="E129">
        <f>SUMIFS('Budget ed extra'!$G$7:$G$42,'Budget ed extra'!$J$7:$J$42,A129)</f>
        <v>0</v>
      </c>
      <c r="F129">
        <f>SUM(T129:AE129)</f>
        <v>0</v>
      </c>
      <c r="G129">
        <f>MAX(0,E129-F129)</f>
        <v>0</v>
      </c>
      <c r="H129">
        <f>IF($A129&gt;=C$10,C$11,C$9)/12</f>
        <v>0.01575</v>
      </c>
      <c r="I129">
        <f>IF($A129&gt;=D$10,D$11,D$9)/12</f>
        <v>0.01825</v>
      </c>
      <c r="J129">
        <f>IF($A129&gt;=E$10,E$11,E$9)/12</f>
        <v>0.00766666666666667</v>
      </c>
      <c r="K129">
        <f>IF($A129&gt;=F$10,F$11,F$9)/12</f>
        <v>0.00533333333333333</v>
      </c>
      <c r="L129">
        <f>IF($A129&gt;=G$10,G$11,G$9)/12</f>
        <v>0</v>
      </c>
      <c r="M129">
        <f>IF($A129&gt;=H$10,H$11,H$9)/12</f>
        <v>0</v>
      </c>
      <c r="N129">
        <f>IF($A129&gt;=I$10,I$11,I$9)/12</f>
        <v>0</v>
      </c>
      <c r="O129">
        <f>IF($A129&gt;=J$10,J$11,J$9)/12</f>
        <v>0</v>
      </c>
      <c r="P129">
        <f>IF($A129&gt;=K$10,K$11,K$9)/12</f>
        <v>0</v>
      </c>
      <c r="Q129">
        <f>IF($A129&gt;=L$10,L$11,L$9)/12</f>
        <v>0</v>
      </c>
      <c r="R129">
        <f>IF($A129&gt;=M$10,M$11,M$9)/12</f>
        <v>0</v>
      </c>
      <c r="S129">
        <f>IF($A129&gt;=N$10,N$11,N$9)/12</f>
        <v>0</v>
      </c>
      <c r="T129">
        <f>IF(C$6="",0,SUMIFS('Budget ed extra'!$G$7:$G$42,'Budget ed extra'!$J$7:$J$42,$A129,'Budget ed extra'!$H$7:$H$42,C$6))</f>
        <v>0</v>
      </c>
      <c r="U129">
        <f>IF(D$6="",0,SUMIFS('Budget ed extra'!$G$7:$G$42,'Budget ed extra'!$J$7:$J$42,$A129,'Budget ed extra'!$H$7:$H$42,D$6))</f>
        <v>0</v>
      </c>
      <c r="V129">
        <f>IF(E$6="",0,SUMIFS('Budget ed extra'!$G$7:$G$42,'Budget ed extra'!$J$7:$J$42,$A129,'Budget ed extra'!$H$7:$H$42,E$6))</f>
        <v>0</v>
      </c>
      <c r="W129">
        <f>IF(F$6="",0,SUMIFS('Budget ed extra'!$G$7:$G$42,'Budget ed extra'!$J$7:$J$42,$A129,'Budget ed extra'!$H$7:$H$42,F$6))</f>
        <v>0</v>
      </c>
      <c r="X129">
        <f>IF(G$6="",0,SUMIFS('Budget ed extra'!$G$7:$G$42,'Budget ed extra'!$J$7:$J$42,$A129,'Budget ed extra'!$H$7:$H$42,G$6))</f>
        <v>0</v>
      </c>
      <c r="Y129">
        <f>IF(H$6="",0,SUMIFS('Budget ed extra'!$G$7:$G$42,'Budget ed extra'!$J$7:$J$42,$A129,'Budget ed extra'!$H$7:$H$42,H$6))</f>
        <v>0</v>
      </c>
      <c r="Z129">
        <f>IF(I$6="",0,SUMIFS('Budget ed extra'!$G$7:$G$42,'Budget ed extra'!$J$7:$J$42,$A129,'Budget ed extra'!$H$7:$H$42,I$6))</f>
        <v>0</v>
      </c>
      <c r="AA129">
        <f>IF(J$6="",0,SUMIFS('Budget ed extra'!$G$7:$G$42,'Budget ed extra'!$J$7:$J$42,$A129,'Budget ed extra'!$H$7:$H$42,J$6))</f>
        <v>0</v>
      </c>
      <c r="AB129">
        <f>IF(K$6="",0,SUMIFS('Budget ed extra'!$G$7:$G$42,'Budget ed extra'!$J$7:$J$42,$A129,'Budget ed extra'!$H$7:$H$42,K$6))</f>
        <v>0</v>
      </c>
      <c r="AC129">
        <f>IF(L$6="",0,SUMIFS('Budget ed extra'!$G$7:$G$42,'Budget ed extra'!$J$7:$J$42,$A129,'Budget ed extra'!$H$7:$H$42,L$6))</f>
        <v>0</v>
      </c>
      <c r="AD129">
        <f>IF(M$6="",0,SUMIFS('Budget ed extra'!$G$7:$G$42,'Budget ed extra'!$J$7:$J$42,$A129,'Budget ed extra'!$H$7:$H$42,M$6))</f>
        <v>0</v>
      </c>
      <c r="AE129">
        <f>IF(N$6="",0,SUMIFS('Budget ed extra'!$G$7:$G$42,'Budget ed extra'!$J$7:$J$42,$A129,'Budget ed extra'!$H$7:$H$42,N$6))</f>
        <v>0</v>
      </c>
    </row>
    <row r="130">
      <c r="A130" t="n">
        <v>100</v>
      </c>
      <c r="B130">
        <f>DATE($B$2,$B$3+A130-1,1)</f>
        <v>49341.0</v>
      </c>
      <c r="C130">
        <f>IF(D130=0,N(Impostazioni!$B$6),SUMIFS('Budget ed extra'!$B$7:$B$18,'Budget ed extra'!$D$7:$D$18,D130)/COUNTIFS('Budget ed extra'!$D$7:$D$18,D130))</f>
        <v>900</v>
      </c>
      <c r="D130">
        <f>SUMPRODUCT(MAX(('Budget ed extra'!$D$7:$D$18&lt;=A130)*'Budget ed extra'!$D$7:$D$18))</f>
        <v>9</v>
      </c>
      <c r="E130">
        <f>SUMIFS('Budget ed extra'!$G$7:$G$42,'Budget ed extra'!$J$7:$J$42,A130)</f>
        <v>0</v>
      </c>
      <c r="F130">
        <f>SUM(T130:AE130)</f>
        <v>0</v>
      </c>
      <c r="G130">
        <f>MAX(0,E130-F130)</f>
        <v>0</v>
      </c>
      <c r="H130">
        <f>IF($A130&gt;=C$10,C$11,C$9)/12</f>
        <v>0.01575</v>
      </c>
      <c r="I130">
        <f>IF($A130&gt;=D$10,D$11,D$9)/12</f>
        <v>0.01825</v>
      </c>
      <c r="J130">
        <f>IF($A130&gt;=E$10,E$11,E$9)/12</f>
        <v>0.00766666666666667</v>
      </c>
      <c r="K130">
        <f>IF($A130&gt;=F$10,F$11,F$9)/12</f>
        <v>0.00533333333333333</v>
      </c>
      <c r="L130">
        <f>IF($A130&gt;=G$10,G$11,G$9)/12</f>
        <v>0</v>
      </c>
      <c r="M130">
        <f>IF($A130&gt;=H$10,H$11,H$9)/12</f>
        <v>0</v>
      </c>
      <c r="N130">
        <f>IF($A130&gt;=I$10,I$11,I$9)/12</f>
        <v>0</v>
      </c>
      <c r="O130">
        <f>IF($A130&gt;=J$10,J$11,J$9)/12</f>
        <v>0</v>
      </c>
      <c r="P130">
        <f>IF($A130&gt;=K$10,K$11,K$9)/12</f>
        <v>0</v>
      </c>
      <c r="Q130">
        <f>IF($A130&gt;=L$10,L$11,L$9)/12</f>
        <v>0</v>
      </c>
      <c r="R130">
        <f>IF($A130&gt;=M$10,M$11,M$9)/12</f>
        <v>0</v>
      </c>
      <c r="S130">
        <f>IF($A130&gt;=N$10,N$11,N$9)/12</f>
        <v>0</v>
      </c>
      <c r="T130">
        <f>IF(C$6="",0,SUMIFS('Budget ed extra'!$G$7:$G$42,'Budget ed extra'!$J$7:$J$42,$A130,'Budget ed extra'!$H$7:$H$42,C$6))</f>
        <v>0</v>
      </c>
      <c r="U130">
        <f>IF(D$6="",0,SUMIFS('Budget ed extra'!$G$7:$G$42,'Budget ed extra'!$J$7:$J$42,$A130,'Budget ed extra'!$H$7:$H$42,D$6))</f>
        <v>0</v>
      </c>
      <c r="V130">
        <f>IF(E$6="",0,SUMIFS('Budget ed extra'!$G$7:$G$42,'Budget ed extra'!$J$7:$J$42,$A130,'Budget ed extra'!$H$7:$H$42,E$6))</f>
        <v>0</v>
      </c>
      <c r="W130">
        <f>IF(F$6="",0,SUMIFS('Budget ed extra'!$G$7:$G$42,'Budget ed extra'!$J$7:$J$42,$A130,'Budget ed extra'!$H$7:$H$42,F$6))</f>
        <v>0</v>
      </c>
      <c r="X130">
        <f>IF(G$6="",0,SUMIFS('Budget ed extra'!$G$7:$G$42,'Budget ed extra'!$J$7:$J$42,$A130,'Budget ed extra'!$H$7:$H$42,G$6))</f>
        <v>0</v>
      </c>
      <c r="Y130">
        <f>IF(H$6="",0,SUMIFS('Budget ed extra'!$G$7:$G$42,'Budget ed extra'!$J$7:$J$42,$A130,'Budget ed extra'!$H$7:$H$42,H$6))</f>
        <v>0</v>
      </c>
      <c r="Z130">
        <f>IF(I$6="",0,SUMIFS('Budget ed extra'!$G$7:$G$42,'Budget ed extra'!$J$7:$J$42,$A130,'Budget ed extra'!$H$7:$H$42,I$6))</f>
        <v>0</v>
      </c>
      <c r="AA130">
        <f>IF(J$6="",0,SUMIFS('Budget ed extra'!$G$7:$G$42,'Budget ed extra'!$J$7:$J$42,$A130,'Budget ed extra'!$H$7:$H$42,J$6))</f>
        <v>0</v>
      </c>
      <c r="AB130">
        <f>IF(K$6="",0,SUMIFS('Budget ed extra'!$G$7:$G$42,'Budget ed extra'!$J$7:$J$42,$A130,'Budget ed extra'!$H$7:$H$42,K$6))</f>
        <v>0</v>
      </c>
      <c r="AC130">
        <f>IF(L$6="",0,SUMIFS('Budget ed extra'!$G$7:$G$42,'Budget ed extra'!$J$7:$J$42,$A130,'Budget ed extra'!$H$7:$H$42,L$6))</f>
        <v>0</v>
      </c>
      <c r="AD130">
        <f>IF(M$6="",0,SUMIFS('Budget ed extra'!$G$7:$G$42,'Budget ed extra'!$J$7:$J$42,$A130,'Budget ed extra'!$H$7:$H$42,M$6))</f>
        <v>0</v>
      </c>
      <c r="AE130">
        <f>IF(N$6="",0,SUMIFS('Budget ed extra'!$G$7:$G$42,'Budget ed extra'!$J$7:$J$42,$A130,'Budget ed extra'!$H$7:$H$42,N$6))</f>
        <v>0</v>
      </c>
    </row>
    <row r="131">
      <c r="A131" t="n">
        <v>101</v>
      </c>
      <c r="B131">
        <f>DATE($B$2,$B$3+A131-1,1)</f>
        <v>49369.0</v>
      </c>
      <c r="C131">
        <f>IF(D131=0,N(Impostazioni!$B$6),SUMIFS('Budget ed extra'!$B$7:$B$18,'Budget ed extra'!$D$7:$D$18,D131)/COUNTIFS('Budget ed extra'!$D$7:$D$18,D131))</f>
        <v>900</v>
      </c>
      <c r="D131">
        <f>SUMPRODUCT(MAX(('Budget ed extra'!$D$7:$D$18&lt;=A131)*'Budget ed extra'!$D$7:$D$18))</f>
        <v>9</v>
      </c>
      <c r="E131">
        <f>SUMIFS('Budget ed extra'!$G$7:$G$42,'Budget ed extra'!$J$7:$J$42,A131)</f>
        <v>0</v>
      </c>
      <c r="F131">
        <f>SUM(T131:AE131)</f>
        <v>0</v>
      </c>
      <c r="G131">
        <f>MAX(0,E131-F131)</f>
        <v>0</v>
      </c>
      <c r="H131">
        <f>IF($A131&gt;=C$10,C$11,C$9)/12</f>
        <v>0.01575</v>
      </c>
      <c r="I131">
        <f>IF($A131&gt;=D$10,D$11,D$9)/12</f>
        <v>0.01825</v>
      </c>
      <c r="J131">
        <f>IF($A131&gt;=E$10,E$11,E$9)/12</f>
        <v>0.00766666666666667</v>
      </c>
      <c r="K131">
        <f>IF($A131&gt;=F$10,F$11,F$9)/12</f>
        <v>0.00533333333333333</v>
      </c>
      <c r="L131">
        <f>IF($A131&gt;=G$10,G$11,G$9)/12</f>
        <v>0</v>
      </c>
      <c r="M131">
        <f>IF($A131&gt;=H$10,H$11,H$9)/12</f>
        <v>0</v>
      </c>
      <c r="N131">
        <f>IF($A131&gt;=I$10,I$11,I$9)/12</f>
        <v>0</v>
      </c>
      <c r="O131">
        <f>IF($A131&gt;=J$10,J$11,J$9)/12</f>
        <v>0</v>
      </c>
      <c r="P131">
        <f>IF($A131&gt;=K$10,K$11,K$9)/12</f>
        <v>0</v>
      </c>
      <c r="Q131">
        <f>IF($A131&gt;=L$10,L$11,L$9)/12</f>
        <v>0</v>
      </c>
      <c r="R131">
        <f>IF($A131&gt;=M$10,M$11,M$9)/12</f>
        <v>0</v>
      </c>
      <c r="S131">
        <f>IF($A131&gt;=N$10,N$11,N$9)/12</f>
        <v>0</v>
      </c>
      <c r="T131">
        <f>IF(C$6="",0,SUMIFS('Budget ed extra'!$G$7:$G$42,'Budget ed extra'!$J$7:$J$42,$A131,'Budget ed extra'!$H$7:$H$42,C$6))</f>
        <v>0</v>
      </c>
      <c r="U131">
        <f>IF(D$6="",0,SUMIFS('Budget ed extra'!$G$7:$G$42,'Budget ed extra'!$J$7:$J$42,$A131,'Budget ed extra'!$H$7:$H$42,D$6))</f>
        <v>0</v>
      </c>
      <c r="V131">
        <f>IF(E$6="",0,SUMIFS('Budget ed extra'!$G$7:$G$42,'Budget ed extra'!$J$7:$J$42,$A131,'Budget ed extra'!$H$7:$H$42,E$6))</f>
        <v>0</v>
      </c>
      <c r="W131">
        <f>IF(F$6="",0,SUMIFS('Budget ed extra'!$G$7:$G$42,'Budget ed extra'!$J$7:$J$42,$A131,'Budget ed extra'!$H$7:$H$42,F$6))</f>
        <v>0</v>
      </c>
      <c r="X131">
        <f>IF(G$6="",0,SUMIFS('Budget ed extra'!$G$7:$G$42,'Budget ed extra'!$J$7:$J$42,$A131,'Budget ed extra'!$H$7:$H$42,G$6))</f>
        <v>0</v>
      </c>
      <c r="Y131">
        <f>IF(H$6="",0,SUMIFS('Budget ed extra'!$G$7:$G$42,'Budget ed extra'!$J$7:$J$42,$A131,'Budget ed extra'!$H$7:$H$42,H$6))</f>
        <v>0</v>
      </c>
      <c r="Z131">
        <f>IF(I$6="",0,SUMIFS('Budget ed extra'!$G$7:$G$42,'Budget ed extra'!$J$7:$J$42,$A131,'Budget ed extra'!$H$7:$H$42,I$6))</f>
        <v>0</v>
      </c>
      <c r="AA131">
        <f>IF(J$6="",0,SUMIFS('Budget ed extra'!$G$7:$G$42,'Budget ed extra'!$J$7:$J$42,$A131,'Budget ed extra'!$H$7:$H$42,J$6))</f>
        <v>0</v>
      </c>
      <c r="AB131">
        <f>IF(K$6="",0,SUMIFS('Budget ed extra'!$G$7:$G$42,'Budget ed extra'!$J$7:$J$42,$A131,'Budget ed extra'!$H$7:$H$42,K$6))</f>
        <v>0</v>
      </c>
      <c r="AC131">
        <f>IF(L$6="",0,SUMIFS('Budget ed extra'!$G$7:$G$42,'Budget ed extra'!$J$7:$J$42,$A131,'Budget ed extra'!$H$7:$H$42,L$6))</f>
        <v>0</v>
      </c>
      <c r="AD131">
        <f>IF(M$6="",0,SUMIFS('Budget ed extra'!$G$7:$G$42,'Budget ed extra'!$J$7:$J$42,$A131,'Budget ed extra'!$H$7:$H$42,M$6))</f>
        <v>0</v>
      </c>
      <c r="AE131">
        <f>IF(N$6="",0,SUMIFS('Budget ed extra'!$G$7:$G$42,'Budget ed extra'!$J$7:$J$42,$A131,'Budget ed extra'!$H$7:$H$42,N$6))</f>
        <v>0</v>
      </c>
    </row>
    <row r="132">
      <c r="A132" t="n">
        <v>102</v>
      </c>
      <c r="B132">
        <f>DATE($B$2,$B$3+A132-1,1)</f>
        <v>49400.0</v>
      </c>
      <c r="C132">
        <f>IF(D132=0,N(Impostazioni!$B$6),SUMIFS('Budget ed extra'!$B$7:$B$18,'Budget ed extra'!$D$7:$D$18,D132)/COUNTIFS('Budget ed extra'!$D$7:$D$18,D132))</f>
        <v>900</v>
      </c>
      <c r="D132">
        <f>SUMPRODUCT(MAX(('Budget ed extra'!$D$7:$D$18&lt;=A132)*'Budget ed extra'!$D$7:$D$18))</f>
        <v>9</v>
      </c>
      <c r="E132">
        <f>SUMIFS('Budget ed extra'!$G$7:$G$42,'Budget ed extra'!$J$7:$J$42,A132)</f>
        <v>0</v>
      </c>
      <c r="F132">
        <f>SUM(T132:AE132)</f>
        <v>0</v>
      </c>
      <c r="G132">
        <f>MAX(0,E132-F132)</f>
        <v>0</v>
      </c>
      <c r="H132">
        <f>IF($A132&gt;=C$10,C$11,C$9)/12</f>
        <v>0.01575</v>
      </c>
      <c r="I132">
        <f>IF($A132&gt;=D$10,D$11,D$9)/12</f>
        <v>0.01825</v>
      </c>
      <c r="J132">
        <f>IF($A132&gt;=E$10,E$11,E$9)/12</f>
        <v>0.00766666666666667</v>
      </c>
      <c r="K132">
        <f>IF($A132&gt;=F$10,F$11,F$9)/12</f>
        <v>0.00533333333333333</v>
      </c>
      <c r="L132">
        <f>IF($A132&gt;=G$10,G$11,G$9)/12</f>
        <v>0</v>
      </c>
      <c r="M132">
        <f>IF($A132&gt;=H$10,H$11,H$9)/12</f>
        <v>0</v>
      </c>
      <c r="N132">
        <f>IF($A132&gt;=I$10,I$11,I$9)/12</f>
        <v>0</v>
      </c>
      <c r="O132">
        <f>IF($A132&gt;=J$10,J$11,J$9)/12</f>
        <v>0</v>
      </c>
      <c r="P132">
        <f>IF($A132&gt;=K$10,K$11,K$9)/12</f>
        <v>0</v>
      </c>
      <c r="Q132">
        <f>IF($A132&gt;=L$10,L$11,L$9)/12</f>
        <v>0</v>
      </c>
      <c r="R132">
        <f>IF($A132&gt;=M$10,M$11,M$9)/12</f>
        <v>0</v>
      </c>
      <c r="S132">
        <f>IF($A132&gt;=N$10,N$11,N$9)/12</f>
        <v>0</v>
      </c>
      <c r="T132">
        <f>IF(C$6="",0,SUMIFS('Budget ed extra'!$G$7:$G$42,'Budget ed extra'!$J$7:$J$42,$A132,'Budget ed extra'!$H$7:$H$42,C$6))</f>
        <v>0</v>
      </c>
      <c r="U132">
        <f>IF(D$6="",0,SUMIFS('Budget ed extra'!$G$7:$G$42,'Budget ed extra'!$J$7:$J$42,$A132,'Budget ed extra'!$H$7:$H$42,D$6))</f>
        <v>0</v>
      </c>
      <c r="V132">
        <f>IF(E$6="",0,SUMIFS('Budget ed extra'!$G$7:$G$42,'Budget ed extra'!$J$7:$J$42,$A132,'Budget ed extra'!$H$7:$H$42,E$6))</f>
        <v>0</v>
      </c>
      <c r="W132">
        <f>IF(F$6="",0,SUMIFS('Budget ed extra'!$G$7:$G$42,'Budget ed extra'!$J$7:$J$42,$A132,'Budget ed extra'!$H$7:$H$42,F$6))</f>
        <v>0</v>
      </c>
      <c r="X132">
        <f>IF(G$6="",0,SUMIFS('Budget ed extra'!$G$7:$G$42,'Budget ed extra'!$J$7:$J$42,$A132,'Budget ed extra'!$H$7:$H$42,G$6))</f>
        <v>0</v>
      </c>
      <c r="Y132">
        <f>IF(H$6="",0,SUMIFS('Budget ed extra'!$G$7:$G$42,'Budget ed extra'!$J$7:$J$42,$A132,'Budget ed extra'!$H$7:$H$42,H$6))</f>
        <v>0</v>
      </c>
      <c r="Z132">
        <f>IF(I$6="",0,SUMIFS('Budget ed extra'!$G$7:$G$42,'Budget ed extra'!$J$7:$J$42,$A132,'Budget ed extra'!$H$7:$H$42,I$6))</f>
        <v>0</v>
      </c>
      <c r="AA132">
        <f>IF(J$6="",0,SUMIFS('Budget ed extra'!$G$7:$G$42,'Budget ed extra'!$J$7:$J$42,$A132,'Budget ed extra'!$H$7:$H$42,J$6))</f>
        <v>0</v>
      </c>
      <c r="AB132">
        <f>IF(K$6="",0,SUMIFS('Budget ed extra'!$G$7:$G$42,'Budget ed extra'!$J$7:$J$42,$A132,'Budget ed extra'!$H$7:$H$42,K$6))</f>
        <v>0</v>
      </c>
      <c r="AC132">
        <f>IF(L$6="",0,SUMIFS('Budget ed extra'!$G$7:$G$42,'Budget ed extra'!$J$7:$J$42,$A132,'Budget ed extra'!$H$7:$H$42,L$6))</f>
        <v>0</v>
      </c>
      <c r="AD132">
        <f>IF(M$6="",0,SUMIFS('Budget ed extra'!$G$7:$G$42,'Budget ed extra'!$J$7:$J$42,$A132,'Budget ed extra'!$H$7:$H$42,M$6))</f>
        <v>0</v>
      </c>
      <c r="AE132">
        <f>IF(N$6="",0,SUMIFS('Budget ed extra'!$G$7:$G$42,'Budget ed extra'!$J$7:$J$42,$A132,'Budget ed extra'!$H$7:$H$42,N$6))</f>
        <v>0</v>
      </c>
    </row>
    <row r="133">
      <c r="A133" t="n">
        <v>103</v>
      </c>
      <c r="B133">
        <f>DATE($B$2,$B$3+A133-1,1)</f>
        <v>49430.0</v>
      </c>
      <c r="C133">
        <f>IF(D133=0,N(Impostazioni!$B$6),SUMIFS('Budget ed extra'!$B$7:$B$18,'Budget ed extra'!$D$7:$D$18,D133)/COUNTIFS('Budget ed extra'!$D$7:$D$18,D133))</f>
        <v>900</v>
      </c>
      <c r="D133">
        <f>SUMPRODUCT(MAX(('Budget ed extra'!$D$7:$D$18&lt;=A133)*'Budget ed extra'!$D$7:$D$18))</f>
        <v>9</v>
      </c>
      <c r="E133">
        <f>SUMIFS('Budget ed extra'!$G$7:$G$42,'Budget ed extra'!$J$7:$J$42,A133)</f>
        <v>0</v>
      </c>
      <c r="F133">
        <f>SUM(T133:AE133)</f>
        <v>0</v>
      </c>
      <c r="G133">
        <f>MAX(0,E133-F133)</f>
        <v>0</v>
      </c>
      <c r="H133">
        <f>IF($A133&gt;=C$10,C$11,C$9)/12</f>
        <v>0.01575</v>
      </c>
      <c r="I133">
        <f>IF($A133&gt;=D$10,D$11,D$9)/12</f>
        <v>0.01825</v>
      </c>
      <c r="J133">
        <f>IF($A133&gt;=E$10,E$11,E$9)/12</f>
        <v>0.00766666666666667</v>
      </c>
      <c r="K133">
        <f>IF($A133&gt;=F$10,F$11,F$9)/12</f>
        <v>0.00533333333333333</v>
      </c>
      <c r="L133">
        <f>IF($A133&gt;=G$10,G$11,G$9)/12</f>
        <v>0</v>
      </c>
      <c r="M133">
        <f>IF($A133&gt;=H$10,H$11,H$9)/12</f>
        <v>0</v>
      </c>
      <c r="N133">
        <f>IF($A133&gt;=I$10,I$11,I$9)/12</f>
        <v>0</v>
      </c>
      <c r="O133">
        <f>IF($A133&gt;=J$10,J$11,J$9)/12</f>
        <v>0</v>
      </c>
      <c r="P133">
        <f>IF($A133&gt;=K$10,K$11,K$9)/12</f>
        <v>0</v>
      </c>
      <c r="Q133">
        <f>IF($A133&gt;=L$10,L$11,L$9)/12</f>
        <v>0</v>
      </c>
      <c r="R133">
        <f>IF($A133&gt;=M$10,M$11,M$9)/12</f>
        <v>0</v>
      </c>
      <c r="S133">
        <f>IF($A133&gt;=N$10,N$11,N$9)/12</f>
        <v>0</v>
      </c>
      <c r="T133">
        <f>IF(C$6="",0,SUMIFS('Budget ed extra'!$G$7:$G$42,'Budget ed extra'!$J$7:$J$42,$A133,'Budget ed extra'!$H$7:$H$42,C$6))</f>
        <v>0</v>
      </c>
      <c r="U133">
        <f>IF(D$6="",0,SUMIFS('Budget ed extra'!$G$7:$G$42,'Budget ed extra'!$J$7:$J$42,$A133,'Budget ed extra'!$H$7:$H$42,D$6))</f>
        <v>0</v>
      </c>
      <c r="V133">
        <f>IF(E$6="",0,SUMIFS('Budget ed extra'!$G$7:$G$42,'Budget ed extra'!$J$7:$J$42,$A133,'Budget ed extra'!$H$7:$H$42,E$6))</f>
        <v>0</v>
      </c>
      <c r="W133">
        <f>IF(F$6="",0,SUMIFS('Budget ed extra'!$G$7:$G$42,'Budget ed extra'!$J$7:$J$42,$A133,'Budget ed extra'!$H$7:$H$42,F$6))</f>
        <v>0</v>
      </c>
      <c r="X133">
        <f>IF(G$6="",0,SUMIFS('Budget ed extra'!$G$7:$G$42,'Budget ed extra'!$J$7:$J$42,$A133,'Budget ed extra'!$H$7:$H$42,G$6))</f>
        <v>0</v>
      </c>
      <c r="Y133">
        <f>IF(H$6="",0,SUMIFS('Budget ed extra'!$G$7:$G$42,'Budget ed extra'!$J$7:$J$42,$A133,'Budget ed extra'!$H$7:$H$42,H$6))</f>
        <v>0</v>
      </c>
      <c r="Z133">
        <f>IF(I$6="",0,SUMIFS('Budget ed extra'!$G$7:$G$42,'Budget ed extra'!$J$7:$J$42,$A133,'Budget ed extra'!$H$7:$H$42,I$6))</f>
        <v>0</v>
      </c>
      <c r="AA133">
        <f>IF(J$6="",0,SUMIFS('Budget ed extra'!$G$7:$G$42,'Budget ed extra'!$J$7:$J$42,$A133,'Budget ed extra'!$H$7:$H$42,J$6))</f>
        <v>0</v>
      </c>
      <c r="AB133">
        <f>IF(K$6="",0,SUMIFS('Budget ed extra'!$G$7:$G$42,'Budget ed extra'!$J$7:$J$42,$A133,'Budget ed extra'!$H$7:$H$42,K$6))</f>
        <v>0</v>
      </c>
      <c r="AC133">
        <f>IF(L$6="",0,SUMIFS('Budget ed extra'!$G$7:$G$42,'Budget ed extra'!$J$7:$J$42,$A133,'Budget ed extra'!$H$7:$H$42,L$6))</f>
        <v>0</v>
      </c>
      <c r="AD133">
        <f>IF(M$6="",0,SUMIFS('Budget ed extra'!$G$7:$G$42,'Budget ed extra'!$J$7:$J$42,$A133,'Budget ed extra'!$H$7:$H$42,M$6))</f>
        <v>0</v>
      </c>
      <c r="AE133">
        <f>IF(N$6="",0,SUMIFS('Budget ed extra'!$G$7:$G$42,'Budget ed extra'!$J$7:$J$42,$A133,'Budget ed extra'!$H$7:$H$42,N$6))</f>
        <v>0</v>
      </c>
    </row>
    <row r="134">
      <c r="A134" t="n">
        <v>104</v>
      </c>
      <c r="B134">
        <f>DATE($B$2,$B$3+A134-1,1)</f>
        <v>49461.0</v>
      </c>
      <c r="C134">
        <f>IF(D134=0,N(Impostazioni!$B$6),SUMIFS('Budget ed extra'!$B$7:$B$18,'Budget ed extra'!$D$7:$D$18,D134)/COUNTIFS('Budget ed extra'!$D$7:$D$18,D134))</f>
        <v>900</v>
      </c>
      <c r="D134">
        <f>SUMPRODUCT(MAX(('Budget ed extra'!$D$7:$D$18&lt;=A134)*'Budget ed extra'!$D$7:$D$18))</f>
        <v>9</v>
      </c>
      <c r="E134">
        <f>SUMIFS('Budget ed extra'!$G$7:$G$42,'Budget ed extra'!$J$7:$J$42,A134)</f>
        <v>0</v>
      </c>
      <c r="F134">
        <f>SUM(T134:AE134)</f>
        <v>0</v>
      </c>
      <c r="G134">
        <f>MAX(0,E134-F134)</f>
        <v>0</v>
      </c>
      <c r="H134">
        <f>IF($A134&gt;=C$10,C$11,C$9)/12</f>
        <v>0.01575</v>
      </c>
      <c r="I134">
        <f>IF($A134&gt;=D$10,D$11,D$9)/12</f>
        <v>0.01825</v>
      </c>
      <c r="J134">
        <f>IF($A134&gt;=E$10,E$11,E$9)/12</f>
        <v>0.00766666666666667</v>
      </c>
      <c r="K134">
        <f>IF($A134&gt;=F$10,F$11,F$9)/12</f>
        <v>0.00533333333333333</v>
      </c>
      <c r="L134">
        <f>IF($A134&gt;=G$10,G$11,G$9)/12</f>
        <v>0</v>
      </c>
      <c r="M134">
        <f>IF($A134&gt;=H$10,H$11,H$9)/12</f>
        <v>0</v>
      </c>
      <c r="N134">
        <f>IF($A134&gt;=I$10,I$11,I$9)/12</f>
        <v>0</v>
      </c>
      <c r="O134">
        <f>IF($A134&gt;=J$10,J$11,J$9)/12</f>
        <v>0</v>
      </c>
      <c r="P134">
        <f>IF($A134&gt;=K$10,K$11,K$9)/12</f>
        <v>0</v>
      </c>
      <c r="Q134">
        <f>IF($A134&gt;=L$10,L$11,L$9)/12</f>
        <v>0</v>
      </c>
      <c r="R134">
        <f>IF($A134&gt;=M$10,M$11,M$9)/12</f>
        <v>0</v>
      </c>
      <c r="S134">
        <f>IF($A134&gt;=N$10,N$11,N$9)/12</f>
        <v>0</v>
      </c>
      <c r="T134">
        <f>IF(C$6="",0,SUMIFS('Budget ed extra'!$G$7:$G$42,'Budget ed extra'!$J$7:$J$42,$A134,'Budget ed extra'!$H$7:$H$42,C$6))</f>
        <v>0</v>
      </c>
      <c r="U134">
        <f>IF(D$6="",0,SUMIFS('Budget ed extra'!$G$7:$G$42,'Budget ed extra'!$J$7:$J$42,$A134,'Budget ed extra'!$H$7:$H$42,D$6))</f>
        <v>0</v>
      </c>
      <c r="V134">
        <f>IF(E$6="",0,SUMIFS('Budget ed extra'!$G$7:$G$42,'Budget ed extra'!$J$7:$J$42,$A134,'Budget ed extra'!$H$7:$H$42,E$6))</f>
        <v>0</v>
      </c>
      <c r="W134">
        <f>IF(F$6="",0,SUMIFS('Budget ed extra'!$G$7:$G$42,'Budget ed extra'!$J$7:$J$42,$A134,'Budget ed extra'!$H$7:$H$42,F$6))</f>
        <v>0</v>
      </c>
      <c r="X134">
        <f>IF(G$6="",0,SUMIFS('Budget ed extra'!$G$7:$G$42,'Budget ed extra'!$J$7:$J$42,$A134,'Budget ed extra'!$H$7:$H$42,G$6))</f>
        <v>0</v>
      </c>
      <c r="Y134">
        <f>IF(H$6="",0,SUMIFS('Budget ed extra'!$G$7:$G$42,'Budget ed extra'!$J$7:$J$42,$A134,'Budget ed extra'!$H$7:$H$42,H$6))</f>
        <v>0</v>
      </c>
      <c r="Z134">
        <f>IF(I$6="",0,SUMIFS('Budget ed extra'!$G$7:$G$42,'Budget ed extra'!$J$7:$J$42,$A134,'Budget ed extra'!$H$7:$H$42,I$6))</f>
        <v>0</v>
      </c>
      <c r="AA134">
        <f>IF(J$6="",0,SUMIFS('Budget ed extra'!$G$7:$G$42,'Budget ed extra'!$J$7:$J$42,$A134,'Budget ed extra'!$H$7:$H$42,J$6))</f>
        <v>0</v>
      </c>
      <c r="AB134">
        <f>IF(K$6="",0,SUMIFS('Budget ed extra'!$G$7:$G$42,'Budget ed extra'!$J$7:$J$42,$A134,'Budget ed extra'!$H$7:$H$42,K$6))</f>
        <v>0</v>
      </c>
      <c r="AC134">
        <f>IF(L$6="",0,SUMIFS('Budget ed extra'!$G$7:$G$42,'Budget ed extra'!$J$7:$J$42,$A134,'Budget ed extra'!$H$7:$H$42,L$6))</f>
        <v>0</v>
      </c>
      <c r="AD134">
        <f>IF(M$6="",0,SUMIFS('Budget ed extra'!$G$7:$G$42,'Budget ed extra'!$J$7:$J$42,$A134,'Budget ed extra'!$H$7:$H$42,M$6))</f>
        <v>0</v>
      </c>
      <c r="AE134">
        <f>IF(N$6="",0,SUMIFS('Budget ed extra'!$G$7:$G$42,'Budget ed extra'!$J$7:$J$42,$A134,'Budget ed extra'!$H$7:$H$42,N$6))</f>
        <v>0</v>
      </c>
    </row>
    <row r="135">
      <c r="A135" t="n">
        <v>105</v>
      </c>
      <c r="B135">
        <f>DATE($B$2,$B$3+A135-1,1)</f>
        <v>49491.0</v>
      </c>
      <c r="C135">
        <f>IF(D135=0,N(Impostazioni!$B$6),SUMIFS('Budget ed extra'!$B$7:$B$18,'Budget ed extra'!$D$7:$D$18,D135)/COUNTIFS('Budget ed extra'!$D$7:$D$18,D135))</f>
        <v>900</v>
      </c>
      <c r="D135">
        <f>SUMPRODUCT(MAX(('Budget ed extra'!$D$7:$D$18&lt;=A135)*'Budget ed extra'!$D$7:$D$18))</f>
        <v>9</v>
      </c>
      <c r="E135">
        <f>SUMIFS('Budget ed extra'!$G$7:$G$42,'Budget ed extra'!$J$7:$J$42,A135)</f>
        <v>0</v>
      </c>
      <c r="F135">
        <f>SUM(T135:AE135)</f>
        <v>0</v>
      </c>
      <c r="G135">
        <f>MAX(0,E135-F135)</f>
        <v>0</v>
      </c>
      <c r="H135">
        <f>IF($A135&gt;=C$10,C$11,C$9)/12</f>
        <v>0.01575</v>
      </c>
      <c r="I135">
        <f>IF($A135&gt;=D$10,D$11,D$9)/12</f>
        <v>0.01825</v>
      </c>
      <c r="J135">
        <f>IF($A135&gt;=E$10,E$11,E$9)/12</f>
        <v>0.00766666666666667</v>
      </c>
      <c r="K135">
        <f>IF($A135&gt;=F$10,F$11,F$9)/12</f>
        <v>0.00533333333333333</v>
      </c>
      <c r="L135">
        <f>IF($A135&gt;=G$10,G$11,G$9)/12</f>
        <v>0</v>
      </c>
      <c r="M135">
        <f>IF($A135&gt;=H$10,H$11,H$9)/12</f>
        <v>0</v>
      </c>
      <c r="N135">
        <f>IF($A135&gt;=I$10,I$11,I$9)/12</f>
        <v>0</v>
      </c>
      <c r="O135">
        <f>IF($A135&gt;=J$10,J$11,J$9)/12</f>
        <v>0</v>
      </c>
      <c r="P135">
        <f>IF($A135&gt;=K$10,K$11,K$9)/12</f>
        <v>0</v>
      </c>
      <c r="Q135">
        <f>IF($A135&gt;=L$10,L$11,L$9)/12</f>
        <v>0</v>
      </c>
      <c r="R135">
        <f>IF($A135&gt;=M$10,M$11,M$9)/12</f>
        <v>0</v>
      </c>
      <c r="S135">
        <f>IF($A135&gt;=N$10,N$11,N$9)/12</f>
        <v>0</v>
      </c>
      <c r="T135">
        <f>IF(C$6="",0,SUMIFS('Budget ed extra'!$G$7:$G$42,'Budget ed extra'!$J$7:$J$42,$A135,'Budget ed extra'!$H$7:$H$42,C$6))</f>
        <v>0</v>
      </c>
      <c r="U135">
        <f>IF(D$6="",0,SUMIFS('Budget ed extra'!$G$7:$G$42,'Budget ed extra'!$J$7:$J$42,$A135,'Budget ed extra'!$H$7:$H$42,D$6))</f>
        <v>0</v>
      </c>
      <c r="V135">
        <f>IF(E$6="",0,SUMIFS('Budget ed extra'!$G$7:$G$42,'Budget ed extra'!$J$7:$J$42,$A135,'Budget ed extra'!$H$7:$H$42,E$6))</f>
        <v>0</v>
      </c>
      <c r="W135">
        <f>IF(F$6="",0,SUMIFS('Budget ed extra'!$G$7:$G$42,'Budget ed extra'!$J$7:$J$42,$A135,'Budget ed extra'!$H$7:$H$42,F$6))</f>
        <v>0</v>
      </c>
      <c r="X135">
        <f>IF(G$6="",0,SUMIFS('Budget ed extra'!$G$7:$G$42,'Budget ed extra'!$J$7:$J$42,$A135,'Budget ed extra'!$H$7:$H$42,G$6))</f>
        <v>0</v>
      </c>
      <c r="Y135">
        <f>IF(H$6="",0,SUMIFS('Budget ed extra'!$G$7:$G$42,'Budget ed extra'!$J$7:$J$42,$A135,'Budget ed extra'!$H$7:$H$42,H$6))</f>
        <v>0</v>
      </c>
      <c r="Z135">
        <f>IF(I$6="",0,SUMIFS('Budget ed extra'!$G$7:$G$42,'Budget ed extra'!$J$7:$J$42,$A135,'Budget ed extra'!$H$7:$H$42,I$6))</f>
        <v>0</v>
      </c>
      <c r="AA135">
        <f>IF(J$6="",0,SUMIFS('Budget ed extra'!$G$7:$G$42,'Budget ed extra'!$J$7:$J$42,$A135,'Budget ed extra'!$H$7:$H$42,J$6))</f>
        <v>0</v>
      </c>
      <c r="AB135">
        <f>IF(K$6="",0,SUMIFS('Budget ed extra'!$G$7:$G$42,'Budget ed extra'!$J$7:$J$42,$A135,'Budget ed extra'!$H$7:$H$42,K$6))</f>
        <v>0</v>
      </c>
      <c r="AC135">
        <f>IF(L$6="",0,SUMIFS('Budget ed extra'!$G$7:$G$42,'Budget ed extra'!$J$7:$J$42,$A135,'Budget ed extra'!$H$7:$H$42,L$6))</f>
        <v>0</v>
      </c>
      <c r="AD135">
        <f>IF(M$6="",0,SUMIFS('Budget ed extra'!$G$7:$G$42,'Budget ed extra'!$J$7:$J$42,$A135,'Budget ed extra'!$H$7:$H$42,M$6))</f>
        <v>0</v>
      </c>
      <c r="AE135">
        <f>IF(N$6="",0,SUMIFS('Budget ed extra'!$G$7:$G$42,'Budget ed extra'!$J$7:$J$42,$A135,'Budget ed extra'!$H$7:$H$42,N$6))</f>
        <v>0</v>
      </c>
    </row>
    <row r="136">
      <c r="A136" t="n">
        <v>106</v>
      </c>
      <c r="B136">
        <f>DATE($B$2,$B$3+A136-1,1)</f>
        <v>49522.0</v>
      </c>
      <c r="C136">
        <f>IF(D136=0,N(Impostazioni!$B$6),SUMIFS('Budget ed extra'!$B$7:$B$18,'Budget ed extra'!$D$7:$D$18,D136)/COUNTIFS('Budget ed extra'!$D$7:$D$18,D136))</f>
        <v>900</v>
      </c>
      <c r="D136">
        <f>SUMPRODUCT(MAX(('Budget ed extra'!$D$7:$D$18&lt;=A136)*'Budget ed extra'!$D$7:$D$18))</f>
        <v>9</v>
      </c>
      <c r="E136">
        <f>SUMIFS('Budget ed extra'!$G$7:$G$42,'Budget ed extra'!$J$7:$J$42,A136)</f>
        <v>0</v>
      </c>
      <c r="F136">
        <f>SUM(T136:AE136)</f>
        <v>0</v>
      </c>
      <c r="G136">
        <f>MAX(0,E136-F136)</f>
        <v>0</v>
      </c>
      <c r="H136">
        <f>IF($A136&gt;=C$10,C$11,C$9)/12</f>
        <v>0.01575</v>
      </c>
      <c r="I136">
        <f>IF($A136&gt;=D$10,D$11,D$9)/12</f>
        <v>0.01825</v>
      </c>
      <c r="J136">
        <f>IF($A136&gt;=E$10,E$11,E$9)/12</f>
        <v>0.00766666666666667</v>
      </c>
      <c r="K136">
        <f>IF($A136&gt;=F$10,F$11,F$9)/12</f>
        <v>0.00533333333333333</v>
      </c>
      <c r="L136">
        <f>IF($A136&gt;=G$10,G$11,G$9)/12</f>
        <v>0</v>
      </c>
      <c r="M136">
        <f>IF($A136&gt;=H$10,H$11,H$9)/12</f>
        <v>0</v>
      </c>
      <c r="N136">
        <f>IF($A136&gt;=I$10,I$11,I$9)/12</f>
        <v>0</v>
      </c>
      <c r="O136">
        <f>IF($A136&gt;=J$10,J$11,J$9)/12</f>
        <v>0</v>
      </c>
      <c r="P136">
        <f>IF($A136&gt;=K$10,K$11,K$9)/12</f>
        <v>0</v>
      </c>
      <c r="Q136">
        <f>IF($A136&gt;=L$10,L$11,L$9)/12</f>
        <v>0</v>
      </c>
      <c r="R136">
        <f>IF($A136&gt;=M$10,M$11,M$9)/12</f>
        <v>0</v>
      </c>
      <c r="S136">
        <f>IF($A136&gt;=N$10,N$11,N$9)/12</f>
        <v>0</v>
      </c>
      <c r="T136">
        <f>IF(C$6="",0,SUMIFS('Budget ed extra'!$G$7:$G$42,'Budget ed extra'!$J$7:$J$42,$A136,'Budget ed extra'!$H$7:$H$42,C$6))</f>
        <v>0</v>
      </c>
      <c r="U136">
        <f>IF(D$6="",0,SUMIFS('Budget ed extra'!$G$7:$G$42,'Budget ed extra'!$J$7:$J$42,$A136,'Budget ed extra'!$H$7:$H$42,D$6))</f>
        <v>0</v>
      </c>
      <c r="V136">
        <f>IF(E$6="",0,SUMIFS('Budget ed extra'!$G$7:$G$42,'Budget ed extra'!$J$7:$J$42,$A136,'Budget ed extra'!$H$7:$H$42,E$6))</f>
        <v>0</v>
      </c>
      <c r="W136">
        <f>IF(F$6="",0,SUMIFS('Budget ed extra'!$G$7:$G$42,'Budget ed extra'!$J$7:$J$42,$A136,'Budget ed extra'!$H$7:$H$42,F$6))</f>
        <v>0</v>
      </c>
      <c r="X136">
        <f>IF(G$6="",0,SUMIFS('Budget ed extra'!$G$7:$G$42,'Budget ed extra'!$J$7:$J$42,$A136,'Budget ed extra'!$H$7:$H$42,G$6))</f>
        <v>0</v>
      </c>
      <c r="Y136">
        <f>IF(H$6="",0,SUMIFS('Budget ed extra'!$G$7:$G$42,'Budget ed extra'!$J$7:$J$42,$A136,'Budget ed extra'!$H$7:$H$42,H$6))</f>
        <v>0</v>
      </c>
      <c r="Z136">
        <f>IF(I$6="",0,SUMIFS('Budget ed extra'!$G$7:$G$42,'Budget ed extra'!$J$7:$J$42,$A136,'Budget ed extra'!$H$7:$H$42,I$6))</f>
        <v>0</v>
      </c>
      <c r="AA136">
        <f>IF(J$6="",0,SUMIFS('Budget ed extra'!$G$7:$G$42,'Budget ed extra'!$J$7:$J$42,$A136,'Budget ed extra'!$H$7:$H$42,J$6))</f>
        <v>0</v>
      </c>
      <c r="AB136">
        <f>IF(K$6="",0,SUMIFS('Budget ed extra'!$G$7:$G$42,'Budget ed extra'!$J$7:$J$42,$A136,'Budget ed extra'!$H$7:$H$42,K$6))</f>
        <v>0</v>
      </c>
      <c r="AC136">
        <f>IF(L$6="",0,SUMIFS('Budget ed extra'!$G$7:$G$42,'Budget ed extra'!$J$7:$J$42,$A136,'Budget ed extra'!$H$7:$H$42,L$6))</f>
        <v>0</v>
      </c>
      <c r="AD136">
        <f>IF(M$6="",0,SUMIFS('Budget ed extra'!$G$7:$G$42,'Budget ed extra'!$J$7:$J$42,$A136,'Budget ed extra'!$H$7:$H$42,M$6))</f>
        <v>0</v>
      </c>
      <c r="AE136">
        <f>IF(N$6="",0,SUMIFS('Budget ed extra'!$G$7:$G$42,'Budget ed extra'!$J$7:$J$42,$A136,'Budget ed extra'!$H$7:$H$42,N$6))</f>
        <v>0</v>
      </c>
    </row>
    <row r="137">
      <c r="A137" t="n">
        <v>107</v>
      </c>
      <c r="B137">
        <f>DATE($B$2,$B$3+A137-1,1)</f>
        <v>49553.0</v>
      </c>
      <c r="C137">
        <f>IF(D137=0,N(Impostazioni!$B$6),SUMIFS('Budget ed extra'!$B$7:$B$18,'Budget ed extra'!$D$7:$D$18,D137)/COUNTIFS('Budget ed extra'!$D$7:$D$18,D137))</f>
        <v>900</v>
      </c>
      <c r="D137">
        <f>SUMPRODUCT(MAX(('Budget ed extra'!$D$7:$D$18&lt;=A137)*'Budget ed extra'!$D$7:$D$18))</f>
        <v>9</v>
      </c>
      <c r="E137">
        <f>SUMIFS('Budget ed extra'!$G$7:$G$42,'Budget ed extra'!$J$7:$J$42,A137)</f>
        <v>0</v>
      </c>
      <c r="F137">
        <f>SUM(T137:AE137)</f>
        <v>0</v>
      </c>
      <c r="G137">
        <f>MAX(0,E137-F137)</f>
        <v>0</v>
      </c>
      <c r="H137">
        <f>IF($A137&gt;=C$10,C$11,C$9)/12</f>
        <v>0.01575</v>
      </c>
      <c r="I137">
        <f>IF($A137&gt;=D$10,D$11,D$9)/12</f>
        <v>0.01825</v>
      </c>
      <c r="J137">
        <f>IF($A137&gt;=E$10,E$11,E$9)/12</f>
        <v>0.00766666666666667</v>
      </c>
      <c r="K137">
        <f>IF($A137&gt;=F$10,F$11,F$9)/12</f>
        <v>0.00533333333333333</v>
      </c>
      <c r="L137">
        <f>IF($A137&gt;=G$10,G$11,G$9)/12</f>
        <v>0</v>
      </c>
      <c r="M137">
        <f>IF($A137&gt;=H$10,H$11,H$9)/12</f>
        <v>0</v>
      </c>
      <c r="N137">
        <f>IF($A137&gt;=I$10,I$11,I$9)/12</f>
        <v>0</v>
      </c>
      <c r="O137">
        <f>IF($A137&gt;=J$10,J$11,J$9)/12</f>
        <v>0</v>
      </c>
      <c r="P137">
        <f>IF($A137&gt;=K$10,K$11,K$9)/12</f>
        <v>0</v>
      </c>
      <c r="Q137">
        <f>IF($A137&gt;=L$10,L$11,L$9)/12</f>
        <v>0</v>
      </c>
      <c r="R137">
        <f>IF($A137&gt;=M$10,M$11,M$9)/12</f>
        <v>0</v>
      </c>
      <c r="S137">
        <f>IF($A137&gt;=N$10,N$11,N$9)/12</f>
        <v>0</v>
      </c>
      <c r="T137">
        <f>IF(C$6="",0,SUMIFS('Budget ed extra'!$G$7:$G$42,'Budget ed extra'!$J$7:$J$42,$A137,'Budget ed extra'!$H$7:$H$42,C$6))</f>
        <v>0</v>
      </c>
      <c r="U137">
        <f>IF(D$6="",0,SUMIFS('Budget ed extra'!$G$7:$G$42,'Budget ed extra'!$J$7:$J$42,$A137,'Budget ed extra'!$H$7:$H$42,D$6))</f>
        <v>0</v>
      </c>
      <c r="V137">
        <f>IF(E$6="",0,SUMIFS('Budget ed extra'!$G$7:$G$42,'Budget ed extra'!$J$7:$J$42,$A137,'Budget ed extra'!$H$7:$H$42,E$6))</f>
        <v>0</v>
      </c>
      <c r="W137">
        <f>IF(F$6="",0,SUMIFS('Budget ed extra'!$G$7:$G$42,'Budget ed extra'!$J$7:$J$42,$A137,'Budget ed extra'!$H$7:$H$42,F$6))</f>
        <v>0</v>
      </c>
      <c r="X137">
        <f>IF(G$6="",0,SUMIFS('Budget ed extra'!$G$7:$G$42,'Budget ed extra'!$J$7:$J$42,$A137,'Budget ed extra'!$H$7:$H$42,G$6))</f>
        <v>0</v>
      </c>
      <c r="Y137">
        <f>IF(H$6="",0,SUMIFS('Budget ed extra'!$G$7:$G$42,'Budget ed extra'!$J$7:$J$42,$A137,'Budget ed extra'!$H$7:$H$42,H$6))</f>
        <v>0</v>
      </c>
      <c r="Z137">
        <f>IF(I$6="",0,SUMIFS('Budget ed extra'!$G$7:$G$42,'Budget ed extra'!$J$7:$J$42,$A137,'Budget ed extra'!$H$7:$H$42,I$6))</f>
        <v>0</v>
      </c>
      <c r="AA137">
        <f>IF(J$6="",0,SUMIFS('Budget ed extra'!$G$7:$G$42,'Budget ed extra'!$J$7:$J$42,$A137,'Budget ed extra'!$H$7:$H$42,J$6))</f>
        <v>0</v>
      </c>
      <c r="AB137">
        <f>IF(K$6="",0,SUMIFS('Budget ed extra'!$G$7:$G$42,'Budget ed extra'!$J$7:$J$42,$A137,'Budget ed extra'!$H$7:$H$42,K$6))</f>
        <v>0</v>
      </c>
      <c r="AC137">
        <f>IF(L$6="",0,SUMIFS('Budget ed extra'!$G$7:$G$42,'Budget ed extra'!$J$7:$J$42,$A137,'Budget ed extra'!$H$7:$H$42,L$6))</f>
        <v>0</v>
      </c>
      <c r="AD137">
        <f>IF(M$6="",0,SUMIFS('Budget ed extra'!$G$7:$G$42,'Budget ed extra'!$J$7:$J$42,$A137,'Budget ed extra'!$H$7:$H$42,M$6))</f>
        <v>0</v>
      </c>
      <c r="AE137">
        <f>IF(N$6="",0,SUMIFS('Budget ed extra'!$G$7:$G$42,'Budget ed extra'!$J$7:$J$42,$A137,'Budget ed extra'!$H$7:$H$42,N$6))</f>
        <v>0</v>
      </c>
    </row>
    <row r="138">
      <c r="A138" t="n">
        <v>108</v>
      </c>
      <c r="B138">
        <f>DATE($B$2,$B$3+A138-1,1)</f>
        <v>49583.0</v>
      </c>
      <c r="C138">
        <f>IF(D138=0,N(Impostazioni!$B$6),SUMIFS('Budget ed extra'!$B$7:$B$18,'Budget ed extra'!$D$7:$D$18,D138)/COUNTIFS('Budget ed extra'!$D$7:$D$18,D138))</f>
        <v>900</v>
      </c>
      <c r="D138">
        <f>SUMPRODUCT(MAX(('Budget ed extra'!$D$7:$D$18&lt;=A138)*'Budget ed extra'!$D$7:$D$18))</f>
        <v>9</v>
      </c>
      <c r="E138">
        <f>SUMIFS('Budget ed extra'!$G$7:$G$42,'Budget ed extra'!$J$7:$J$42,A138)</f>
        <v>0</v>
      </c>
      <c r="F138">
        <f>SUM(T138:AE138)</f>
        <v>0</v>
      </c>
      <c r="G138">
        <f>MAX(0,E138-F138)</f>
        <v>0</v>
      </c>
      <c r="H138">
        <f>IF($A138&gt;=C$10,C$11,C$9)/12</f>
        <v>0.01575</v>
      </c>
      <c r="I138">
        <f>IF($A138&gt;=D$10,D$11,D$9)/12</f>
        <v>0.01825</v>
      </c>
      <c r="J138">
        <f>IF($A138&gt;=E$10,E$11,E$9)/12</f>
        <v>0.00766666666666667</v>
      </c>
      <c r="K138">
        <f>IF($A138&gt;=F$10,F$11,F$9)/12</f>
        <v>0.00533333333333333</v>
      </c>
      <c r="L138">
        <f>IF($A138&gt;=G$10,G$11,G$9)/12</f>
        <v>0</v>
      </c>
      <c r="M138">
        <f>IF($A138&gt;=H$10,H$11,H$9)/12</f>
        <v>0</v>
      </c>
      <c r="N138">
        <f>IF($A138&gt;=I$10,I$11,I$9)/12</f>
        <v>0</v>
      </c>
      <c r="O138">
        <f>IF($A138&gt;=J$10,J$11,J$9)/12</f>
        <v>0</v>
      </c>
      <c r="P138">
        <f>IF($A138&gt;=K$10,K$11,K$9)/12</f>
        <v>0</v>
      </c>
      <c r="Q138">
        <f>IF($A138&gt;=L$10,L$11,L$9)/12</f>
        <v>0</v>
      </c>
      <c r="R138">
        <f>IF($A138&gt;=M$10,M$11,M$9)/12</f>
        <v>0</v>
      </c>
      <c r="S138">
        <f>IF($A138&gt;=N$10,N$11,N$9)/12</f>
        <v>0</v>
      </c>
      <c r="T138">
        <f>IF(C$6="",0,SUMIFS('Budget ed extra'!$G$7:$G$42,'Budget ed extra'!$J$7:$J$42,$A138,'Budget ed extra'!$H$7:$H$42,C$6))</f>
        <v>0</v>
      </c>
      <c r="U138">
        <f>IF(D$6="",0,SUMIFS('Budget ed extra'!$G$7:$G$42,'Budget ed extra'!$J$7:$J$42,$A138,'Budget ed extra'!$H$7:$H$42,D$6))</f>
        <v>0</v>
      </c>
      <c r="V138">
        <f>IF(E$6="",0,SUMIFS('Budget ed extra'!$G$7:$G$42,'Budget ed extra'!$J$7:$J$42,$A138,'Budget ed extra'!$H$7:$H$42,E$6))</f>
        <v>0</v>
      </c>
      <c r="W138">
        <f>IF(F$6="",0,SUMIFS('Budget ed extra'!$G$7:$G$42,'Budget ed extra'!$J$7:$J$42,$A138,'Budget ed extra'!$H$7:$H$42,F$6))</f>
        <v>0</v>
      </c>
      <c r="X138">
        <f>IF(G$6="",0,SUMIFS('Budget ed extra'!$G$7:$G$42,'Budget ed extra'!$J$7:$J$42,$A138,'Budget ed extra'!$H$7:$H$42,G$6))</f>
        <v>0</v>
      </c>
      <c r="Y138">
        <f>IF(H$6="",0,SUMIFS('Budget ed extra'!$G$7:$G$42,'Budget ed extra'!$J$7:$J$42,$A138,'Budget ed extra'!$H$7:$H$42,H$6))</f>
        <v>0</v>
      </c>
      <c r="Z138">
        <f>IF(I$6="",0,SUMIFS('Budget ed extra'!$G$7:$G$42,'Budget ed extra'!$J$7:$J$42,$A138,'Budget ed extra'!$H$7:$H$42,I$6))</f>
        <v>0</v>
      </c>
      <c r="AA138">
        <f>IF(J$6="",0,SUMIFS('Budget ed extra'!$G$7:$G$42,'Budget ed extra'!$J$7:$J$42,$A138,'Budget ed extra'!$H$7:$H$42,J$6))</f>
        <v>0</v>
      </c>
      <c r="AB138">
        <f>IF(K$6="",0,SUMIFS('Budget ed extra'!$G$7:$G$42,'Budget ed extra'!$J$7:$J$42,$A138,'Budget ed extra'!$H$7:$H$42,K$6))</f>
        <v>0</v>
      </c>
      <c r="AC138">
        <f>IF(L$6="",0,SUMIFS('Budget ed extra'!$G$7:$G$42,'Budget ed extra'!$J$7:$J$42,$A138,'Budget ed extra'!$H$7:$H$42,L$6))</f>
        <v>0</v>
      </c>
      <c r="AD138">
        <f>IF(M$6="",0,SUMIFS('Budget ed extra'!$G$7:$G$42,'Budget ed extra'!$J$7:$J$42,$A138,'Budget ed extra'!$H$7:$H$42,M$6))</f>
        <v>0</v>
      </c>
      <c r="AE138">
        <f>IF(N$6="",0,SUMIFS('Budget ed extra'!$G$7:$G$42,'Budget ed extra'!$J$7:$J$42,$A138,'Budget ed extra'!$H$7:$H$42,N$6))</f>
        <v>0</v>
      </c>
    </row>
    <row r="139">
      <c r="A139" t="n">
        <v>109</v>
      </c>
      <c r="B139">
        <f>DATE($B$2,$B$3+A139-1,1)</f>
        <v>49614.0</v>
      </c>
      <c r="C139">
        <f>IF(D139=0,N(Impostazioni!$B$6),SUMIFS('Budget ed extra'!$B$7:$B$18,'Budget ed extra'!$D$7:$D$18,D139)/COUNTIFS('Budget ed extra'!$D$7:$D$18,D139))</f>
        <v>900</v>
      </c>
      <c r="D139">
        <f>SUMPRODUCT(MAX(('Budget ed extra'!$D$7:$D$18&lt;=A139)*'Budget ed extra'!$D$7:$D$18))</f>
        <v>9</v>
      </c>
      <c r="E139">
        <f>SUMIFS('Budget ed extra'!$G$7:$G$42,'Budget ed extra'!$J$7:$J$42,A139)</f>
        <v>0</v>
      </c>
      <c r="F139">
        <f>SUM(T139:AE139)</f>
        <v>0</v>
      </c>
      <c r="G139">
        <f>MAX(0,E139-F139)</f>
        <v>0</v>
      </c>
      <c r="H139">
        <f>IF($A139&gt;=C$10,C$11,C$9)/12</f>
        <v>0.01575</v>
      </c>
      <c r="I139">
        <f>IF($A139&gt;=D$10,D$11,D$9)/12</f>
        <v>0.01825</v>
      </c>
      <c r="J139">
        <f>IF($A139&gt;=E$10,E$11,E$9)/12</f>
        <v>0.00766666666666667</v>
      </c>
      <c r="K139">
        <f>IF($A139&gt;=F$10,F$11,F$9)/12</f>
        <v>0.00533333333333333</v>
      </c>
      <c r="L139">
        <f>IF($A139&gt;=G$10,G$11,G$9)/12</f>
        <v>0</v>
      </c>
      <c r="M139">
        <f>IF($A139&gt;=H$10,H$11,H$9)/12</f>
        <v>0</v>
      </c>
      <c r="N139">
        <f>IF($A139&gt;=I$10,I$11,I$9)/12</f>
        <v>0</v>
      </c>
      <c r="O139">
        <f>IF($A139&gt;=J$10,J$11,J$9)/12</f>
        <v>0</v>
      </c>
      <c r="P139">
        <f>IF($A139&gt;=K$10,K$11,K$9)/12</f>
        <v>0</v>
      </c>
      <c r="Q139">
        <f>IF($A139&gt;=L$10,L$11,L$9)/12</f>
        <v>0</v>
      </c>
      <c r="R139">
        <f>IF($A139&gt;=M$10,M$11,M$9)/12</f>
        <v>0</v>
      </c>
      <c r="S139">
        <f>IF($A139&gt;=N$10,N$11,N$9)/12</f>
        <v>0</v>
      </c>
      <c r="T139">
        <f>IF(C$6="",0,SUMIFS('Budget ed extra'!$G$7:$G$42,'Budget ed extra'!$J$7:$J$42,$A139,'Budget ed extra'!$H$7:$H$42,C$6))</f>
        <v>0</v>
      </c>
      <c r="U139">
        <f>IF(D$6="",0,SUMIFS('Budget ed extra'!$G$7:$G$42,'Budget ed extra'!$J$7:$J$42,$A139,'Budget ed extra'!$H$7:$H$42,D$6))</f>
        <v>0</v>
      </c>
      <c r="V139">
        <f>IF(E$6="",0,SUMIFS('Budget ed extra'!$G$7:$G$42,'Budget ed extra'!$J$7:$J$42,$A139,'Budget ed extra'!$H$7:$H$42,E$6))</f>
        <v>0</v>
      </c>
      <c r="W139">
        <f>IF(F$6="",0,SUMIFS('Budget ed extra'!$G$7:$G$42,'Budget ed extra'!$J$7:$J$42,$A139,'Budget ed extra'!$H$7:$H$42,F$6))</f>
        <v>0</v>
      </c>
      <c r="X139">
        <f>IF(G$6="",0,SUMIFS('Budget ed extra'!$G$7:$G$42,'Budget ed extra'!$J$7:$J$42,$A139,'Budget ed extra'!$H$7:$H$42,G$6))</f>
        <v>0</v>
      </c>
      <c r="Y139">
        <f>IF(H$6="",0,SUMIFS('Budget ed extra'!$G$7:$G$42,'Budget ed extra'!$J$7:$J$42,$A139,'Budget ed extra'!$H$7:$H$42,H$6))</f>
        <v>0</v>
      </c>
      <c r="Z139">
        <f>IF(I$6="",0,SUMIFS('Budget ed extra'!$G$7:$G$42,'Budget ed extra'!$J$7:$J$42,$A139,'Budget ed extra'!$H$7:$H$42,I$6))</f>
        <v>0</v>
      </c>
      <c r="AA139">
        <f>IF(J$6="",0,SUMIFS('Budget ed extra'!$G$7:$G$42,'Budget ed extra'!$J$7:$J$42,$A139,'Budget ed extra'!$H$7:$H$42,J$6))</f>
        <v>0</v>
      </c>
      <c r="AB139">
        <f>IF(K$6="",0,SUMIFS('Budget ed extra'!$G$7:$G$42,'Budget ed extra'!$J$7:$J$42,$A139,'Budget ed extra'!$H$7:$H$42,K$6))</f>
        <v>0</v>
      </c>
      <c r="AC139">
        <f>IF(L$6="",0,SUMIFS('Budget ed extra'!$G$7:$G$42,'Budget ed extra'!$J$7:$J$42,$A139,'Budget ed extra'!$H$7:$H$42,L$6))</f>
        <v>0</v>
      </c>
      <c r="AD139">
        <f>IF(M$6="",0,SUMIFS('Budget ed extra'!$G$7:$G$42,'Budget ed extra'!$J$7:$J$42,$A139,'Budget ed extra'!$H$7:$H$42,M$6))</f>
        <v>0</v>
      </c>
      <c r="AE139">
        <f>IF(N$6="",0,SUMIFS('Budget ed extra'!$G$7:$G$42,'Budget ed extra'!$J$7:$J$42,$A139,'Budget ed extra'!$H$7:$H$42,N$6))</f>
        <v>0</v>
      </c>
    </row>
    <row r="140">
      <c r="A140" t="n">
        <v>110</v>
      </c>
      <c r="B140">
        <f>DATE($B$2,$B$3+A140-1,1)</f>
        <v>49644.0</v>
      </c>
      <c r="C140">
        <f>IF(D140=0,N(Impostazioni!$B$6),SUMIFS('Budget ed extra'!$B$7:$B$18,'Budget ed extra'!$D$7:$D$18,D140)/COUNTIFS('Budget ed extra'!$D$7:$D$18,D140))</f>
        <v>900</v>
      </c>
      <c r="D140">
        <f>SUMPRODUCT(MAX(('Budget ed extra'!$D$7:$D$18&lt;=A140)*'Budget ed extra'!$D$7:$D$18))</f>
        <v>9</v>
      </c>
      <c r="E140">
        <f>SUMIFS('Budget ed extra'!$G$7:$G$42,'Budget ed extra'!$J$7:$J$42,A140)</f>
        <v>0</v>
      </c>
      <c r="F140">
        <f>SUM(T140:AE140)</f>
        <v>0</v>
      </c>
      <c r="G140">
        <f>MAX(0,E140-F140)</f>
        <v>0</v>
      </c>
      <c r="H140">
        <f>IF($A140&gt;=C$10,C$11,C$9)/12</f>
        <v>0.01575</v>
      </c>
      <c r="I140">
        <f>IF($A140&gt;=D$10,D$11,D$9)/12</f>
        <v>0.01825</v>
      </c>
      <c r="J140">
        <f>IF($A140&gt;=E$10,E$11,E$9)/12</f>
        <v>0.00766666666666667</v>
      </c>
      <c r="K140">
        <f>IF($A140&gt;=F$10,F$11,F$9)/12</f>
        <v>0.00533333333333333</v>
      </c>
      <c r="L140">
        <f>IF($A140&gt;=G$10,G$11,G$9)/12</f>
        <v>0</v>
      </c>
      <c r="M140">
        <f>IF($A140&gt;=H$10,H$11,H$9)/12</f>
        <v>0</v>
      </c>
      <c r="N140">
        <f>IF($A140&gt;=I$10,I$11,I$9)/12</f>
        <v>0</v>
      </c>
      <c r="O140">
        <f>IF($A140&gt;=J$10,J$11,J$9)/12</f>
        <v>0</v>
      </c>
      <c r="P140">
        <f>IF($A140&gt;=K$10,K$11,K$9)/12</f>
        <v>0</v>
      </c>
      <c r="Q140">
        <f>IF($A140&gt;=L$10,L$11,L$9)/12</f>
        <v>0</v>
      </c>
      <c r="R140">
        <f>IF($A140&gt;=M$10,M$11,M$9)/12</f>
        <v>0</v>
      </c>
      <c r="S140">
        <f>IF($A140&gt;=N$10,N$11,N$9)/12</f>
        <v>0</v>
      </c>
      <c r="T140">
        <f>IF(C$6="",0,SUMIFS('Budget ed extra'!$G$7:$G$42,'Budget ed extra'!$J$7:$J$42,$A140,'Budget ed extra'!$H$7:$H$42,C$6))</f>
        <v>0</v>
      </c>
      <c r="U140">
        <f>IF(D$6="",0,SUMIFS('Budget ed extra'!$G$7:$G$42,'Budget ed extra'!$J$7:$J$42,$A140,'Budget ed extra'!$H$7:$H$42,D$6))</f>
        <v>0</v>
      </c>
      <c r="V140">
        <f>IF(E$6="",0,SUMIFS('Budget ed extra'!$G$7:$G$42,'Budget ed extra'!$J$7:$J$42,$A140,'Budget ed extra'!$H$7:$H$42,E$6))</f>
        <v>0</v>
      </c>
      <c r="W140">
        <f>IF(F$6="",0,SUMIFS('Budget ed extra'!$G$7:$G$42,'Budget ed extra'!$J$7:$J$42,$A140,'Budget ed extra'!$H$7:$H$42,F$6))</f>
        <v>0</v>
      </c>
      <c r="X140">
        <f>IF(G$6="",0,SUMIFS('Budget ed extra'!$G$7:$G$42,'Budget ed extra'!$J$7:$J$42,$A140,'Budget ed extra'!$H$7:$H$42,G$6))</f>
        <v>0</v>
      </c>
      <c r="Y140">
        <f>IF(H$6="",0,SUMIFS('Budget ed extra'!$G$7:$G$42,'Budget ed extra'!$J$7:$J$42,$A140,'Budget ed extra'!$H$7:$H$42,H$6))</f>
        <v>0</v>
      </c>
      <c r="Z140">
        <f>IF(I$6="",0,SUMIFS('Budget ed extra'!$G$7:$G$42,'Budget ed extra'!$J$7:$J$42,$A140,'Budget ed extra'!$H$7:$H$42,I$6))</f>
        <v>0</v>
      </c>
      <c r="AA140">
        <f>IF(J$6="",0,SUMIFS('Budget ed extra'!$G$7:$G$42,'Budget ed extra'!$J$7:$J$42,$A140,'Budget ed extra'!$H$7:$H$42,J$6))</f>
        <v>0</v>
      </c>
      <c r="AB140">
        <f>IF(K$6="",0,SUMIFS('Budget ed extra'!$G$7:$G$42,'Budget ed extra'!$J$7:$J$42,$A140,'Budget ed extra'!$H$7:$H$42,K$6))</f>
        <v>0</v>
      </c>
      <c r="AC140">
        <f>IF(L$6="",0,SUMIFS('Budget ed extra'!$G$7:$G$42,'Budget ed extra'!$J$7:$J$42,$A140,'Budget ed extra'!$H$7:$H$42,L$6))</f>
        <v>0</v>
      </c>
      <c r="AD140">
        <f>IF(M$6="",0,SUMIFS('Budget ed extra'!$G$7:$G$42,'Budget ed extra'!$J$7:$J$42,$A140,'Budget ed extra'!$H$7:$H$42,M$6))</f>
        <v>0</v>
      </c>
      <c r="AE140">
        <f>IF(N$6="",0,SUMIFS('Budget ed extra'!$G$7:$G$42,'Budget ed extra'!$J$7:$J$42,$A140,'Budget ed extra'!$H$7:$H$42,N$6))</f>
        <v>0</v>
      </c>
    </row>
    <row r="141">
      <c r="A141" t="n">
        <v>111</v>
      </c>
      <c r="B141">
        <f>DATE($B$2,$B$3+A141-1,1)</f>
        <v>49675.0</v>
      </c>
      <c r="C141">
        <f>IF(D141=0,N(Impostazioni!$B$6),SUMIFS('Budget ed extra'!$B$7:$B$18,'Budget ed extra'!$D$7:$D$18,D141)/COUNTIFS('Budget ed extra'!$D$7:$D$18,D141))</f>
        <v>900</v>
      </c>
      <c r="D141">
        <f>SUMPRODUCT(MAX(('Budget ed extra'!$D$7:$D$18&lt;=A141)*'Budget ed extra'!$D$7:$D$18))</f>
        <v>9</v>
      </c>
      <c r="E141">
        <f>SUMIFS('Budget ed extra'!$G$7:$G$42,'Budget ed extra'!$J$7:$J$42,A141)</f>
        <v>0</v>
      </c>
      <c r="F141">
        <f>SUM(T141:AE141)</f>
        <v>0</v>
      </c>
      <c r="G141">
        <f>MAX(0,E141-F141)</f>
        <v>0</v>
      </c>
      <c r="H141">
        <f>IF($A141&gt;=C$10,C$11,C$9)/12</f>
        <v>0.01575</v>
      </c>
      <c r="I141">
        <f>IF($A141&gt;=D$10,D$11,D$9)/12</f>
        <v>0.01825</v>
      </c>
      <c r="J141">
        <f>IF($A141&gt;=E$10,E$11,E$9)/12</f>
        <v>0.00766666666666667</v>
      </c>
      <c r="K141">
        <f>IF($A141&gt;=F$10,F$11,F$9)/12</f>
        <v>0.00533333333333333</v>
      </c>
      <c r="L141">
        <f>IF($A141&gt;=G$10,G$11,G$9)/12</f>
        <v>0</v>
      </c>
      <c r="M141">
        <f>IF($A141&gt;=H$10,H$11,H$9)/12</f>
        <v>0</v>
      </c>
      <c r="N141">
        <f>IF($A141&gt;=I$10,I$11,I$9)/12</f>
        <v>0</v>
      </c>
      <c r="O141">
        <f>IF($A141&gt;=J$10,J$11,J$9)/12</f>
        <v>0</v>
      </c>
      <c r="P141">
        <f>IF($A141&gt;=K$10,K$11,K$9)/12</f>
        <v>0</v>
      </c>
      <c r="Q141">
        <f>IF($A141&gt;=L$10,L$11,L$9)/12</f>
        <v>0</v>
      </c>
      <c r="R141">
        <f>IF($A141&gt;=M$10,M$11,M$9)/12</f>
        <v>0</v>
      </c>
      <c r="S141">
        <f>IF($A141&gt;=N$10,N$11,N$9)/12</f>
        <v>0</v>
      </c>
      <c r="T141">
        <f>IF(C$6="",0,SUMIFS('Budget ed extra'!$G$7:$G$42,'Budget ed extra'!$J$7:$J$42,$A141,'Budget ed extra'!$H$7:$H$42,C$6))</f>
        <v>0</v>
      </c>
      <c r="U141">
        <f>IF(D$6="",0,SUMIFS('Budget ed extra'!$G$7:$G$42,'Budget ed extra'!$J$7:$J$42,$A141,'Budget ed extra'!$H$7:$H$42,D$6))</f>
        <v>0</v>
      </c>
      <c r="V141">
        <f>IF(E$6="",0,SUMIFS('Budget ed extra'!$G$7:$G$42,'Budget ed extra'!$J$7:$J$42,$A141,'Budget ed extra'!$H$7:$H$42,E$6))</f>
        <v>0</v>
      </c>
      <c r="W141">
        <f>IF(F$6="",0,SUMIFS('Budget ed extra'!$G$7:$G$42,'Budget ed extra'!$J$7:$J$42,$A141,'Budget ed extra'!$H$7:$H$42,F$6))</f>
        <v>0</v>
      </c>
      <c r="X141">
        <f>IF(G$6="",0,SUMIFS('Budget ed extra'!$G$7:$G$42,'Budget ed extra'!$J$7:$J$42,$A141,'Budget ed extra'!$H$7:$H$42,G$6))</f>
        <v>0</v>
      </c>
      <c r="Y141">
        <f>IF(H$6="",0,SUMIFS('Budget ed extra'!$G$7:$G$42,'Budget ed extra'!$J$7:$J$42,$A141,'Budget ed extra'!$H$7:$H$42,H$6))</f>
        <v>0</v>
      </c>
      <c r="Z141">
        <f>IF(I$6="",0,SUMIFS('Budget ed extra'!$G$7:$G$42,'Budget ed extra'!$J$7:$J$42,$A141,'Budget ed extra'!$H$7:$H$42,I$6))</f>
        <v>0</v>
      </c>
      <c r="AA141">
        <f>IF(J$6="",0,SUMIFS('Budget ed extra'!$G$7:$G$42,'Budget ed extra'!$J$7:$J$42,$A141,'Budget ed extra'!$H$7:$H$42,J$6))</f>
        <v>0</v>
      </c>
      <c r="AB141">
        <f>IF(K$6="",0,SUMIFS('Budget ed extra'!$G$7:$G$42,'Budget ed extra'!$J$7:$J$42,$A141,'Budget ed extra'!$H$7:$H$42,K$6))</f>
        <v>0</v>
      </c>
      <c r="AC141">
        <f>IF(L$6="",0,SUMIFS('Budget ed extra'!$G$7:$G$42,'Budget ed extra'!$J$7:$J$42,$A141,'Budget ed extra'!$H$7:$H$42,L$6))</f>
        <v>0</v>
      </c>
      <c r="AD141">
        <f>IF(M$6="",0,SUMIFS('Budget ed extra'!$G$7:$G$42,'Budget ed extra'!$J$7:$J$42,$A141,'Budget ed extra'!$H$7:$H$42,M$6))</f>
        <v>0</v>
      </c>
      <c r="AE141">
        <f>IF(N$6="",0,SUMIFS('Budget ed extra'!$G$7:$G$42,'Budget ed extra'!$J$7:$J$42,$A141,'Budget ed extra'!$H$7:$H$42,N$6))</f>
        <v>0</v>
      </c>
    </row>
    <row r="142">
      <c r="A142" t="n">
        <v>112</v>
      </c>
      <c r="B142">
        <f>DATE($B$2,$B$3+A142-1,1)</f>
        <v>49706.0</v>
      </c>
      <c r="C142">
        <f>IF(D142=0,N(Impostazioni!$B$6),SUMIFS('Budget ed extra'!$B$7:$B$18,'Budget ed extra'!$D$7:$D$18,D142)/COUNTIFS('Budget ed extra'!$D$7:$D$18,D142))</f>
        <v>900</v>
      </c>
      <c r="D142">
        <f>SUMPRODUCT(MAX(('Budget ed extra'!$D$7:$D$18&lt;=A142)*'Budget ed extra'!$D$7:$D$18))</f>
        <v>9</v>
      </c>
      <c r="E142">
        <f>SUMIFS('Budget ed extra'!$G$7:$G$42,'Budget ed extra'!$J$7:$J$42,A142)</f>
        <v>0</v>
      </c>
      <c r="F142">
        <f>SUM(T142:AE142)</f>
        <v>0</v>
      </c>
      <c r="G142">
        <f>MAX(0,E142-F142)</f>
        <v>0</v>
      </c>
      <c r="H142">
        <f>IF($A142&gt;=C$10,C$11,C$9)/12</f>
        <v>0.01575</v>
      </c>
      <c r="I142">
        <f>IF($A142&gt;=D$10,D$11,D$9)/12</f>
        <v>0.01825</v>
      </c>
      <c r="J142">
        <f>IF($A142&gt;=E$10,E$11,E$9)/12</f>
        <v>0.00766666666666667</v>
      </c>
      <c r="K142">
        <f>IF($A142&gt;=F$10,F$11,F$9)/12</f>
        <v>0.00533333333333333</v>
      </c>
      <c r="L142">
        <f>IF($A142&gt;=G$10,G$11,G$9)/12</f>
        <v>0</v>
      </c>
      <c r="M142">
        <f>IF($A142&gt;=H$10,H$11,H$9)/12</f>
        <v>0</v>
      </c>
      <c r="N142">
        <f>IF($A142&gt;=I$10,I$11,I$9)/12</f>
        <v>0</v>
      </c>
      <c r="O142">
        <f>IF($A142&gt;=J$10,J$11,J$9)/12</f>
        <v>0</v>
      </c>
      <c r="P142">
        <f>IF($A142&gt;=K$10,K$11,K$9)/12</f>
        <v>0</v>
      </c>
      <c r="Q142">
        <f>IF($A142&gt;=L$10,L$11,L$9)/12</f>
        <v>0</v>
      </c>
      <c r="R142">
        <f>IF($A142&gt;=M$10,M$11,M$9)/12</f>
        <v>0</v>
      </c>
      <c r="S142">
        <f>IF($A142&gt;=N$10,N$11,N$9)/12</f>
        <v>0</v>
      </c>
      <c r="T142">
        <f>IF(C$6="",0,SUMIFS('Budget ed extra'!$G$7:$G$42,'Budget ed extra'!$J$7:$J$42,$A142,'Budget ed extra'!$H$7:$H$42,C$6))</f>
        <v>0</v>
      </c>
      <c r="U142">
        <f>IF(D$6="",0,SUMIFS('Budget ed extra'!$G$7:$G$42,'Budget ed extra'!$J$7:$J$42,$A142,'Budget ed extra'!$H$7:$H$42,D$6))</f>
        <v>0</v>
      </c>
      <c r="V142">
        <f>IF(E$6="",0,SUMIFS('Budget ed extra'!$G$7:$G$42,'Budget ed extra'!$J$7:$J$42,$A142,'Budget ed extra'!$H$7:$H$42,E$6))</f>
        <v>0</v>
      </c>
      <c r="W142">
        <f>IF(F$6="",0,SUMIFS('Budget ed extra'!$G$7:$G$42,'Budget ed extra'!$J$7:$J$42,$A142,'Budget ed extra'!$H$7:$H$42,F$6))</f>
        <v>0</v>
      </c>
      <c r="X142">
        <f>IF(G$6="",0,SUMIFS('Budget ed extra'!$G$7:$G$42,'Budget ed extra'!$J$7:$J$42,$A142,'Budget ed extra'!$H$7:$H$42,G$6))</f>
        <v>0</v>
      </c>
      <c r="Y142">
        <f>IF(H$6="",0,SUMIFS('Budget ed extra'!$G$7:$G$42,'Budget ed extra'!$J$7:$J$42,$A142,'Budget ed extra'!$H$7:$H$42,H$6))</f>
        <v>0</v>
      </c>
      <c r="Z142">
        <f>IF(I$6="",0,SUMIFS('Budget ed extra'!$G$7:$G$42,'Budget ed extra'!$J$7:$J$42,$A142,'Budget ed extra'!$H$7:$H$42,I$6))</f>
        <v>0</v>
      </c>
      <c r="AA142">
        <f>IF(J$6="",0,SUMIFS('Budget ed extra'!$G$7:$G$42,'Budget ed extra'!$J$7:$J$42,$A142,'Budget ed extra'!$H$7:$H$42,J$6))</f>
        <v>0</v>
      </c>
      <c r="AB142">
        <f>IF(K$6="",0,SUMIFS('Budget ed extra'!$G$7:$G$42,'Budget ed extra'!$J$7:$J$42,$A142,'Budget ed extra'!$H$7:$H$42,K$6))</f>
        <v>0</v>
      </c>
      <c r="AC142">
        <f>IF(L$6="",0,SUMIFS('Budget ed extra'!$G$7:$G$42,'Budget ed extra'!$J$7:$J$42,$A142,'Budget ed extra'!$H$7:$H$42,L$6))</f>
        <v>0</v>
      </c>
      <c r="AD142">
        <f>IF(M$6="",0,SUMIFS('Budget ed extra'!$G$7:$G$42,'Budget ed extra'!$J$7:$J$42,$A142,'Budget ed extra'!$H$7:$H$42,M$6))</f>
        <v>0</v>
      </c>
      <c r="AE142">
        <f>IF(N$6="",0,SUMIFS('Budget ed extra'!$G$7:$G$42,'Budget ed extra'!$J$7:$J$42,$A142,'Budget ed extra'!$H$7:$H$42,N$6))</f>
        <v>0</v>
      </c>
    </row>
    <row r="143">
      <c r="A143" t="n">
        <v>113</v>
      </c>
      <c r="B143">
        <f>DATE($B$2,$B$3+A143-1,1)</f>
        <v>49735.0</v>
      </c>
      <c r="C143">
        <f>IF(D143=0,N(Impostazioni!$B$6),SUMIFS('Budget ed extra'!$B$7:$B$18,'Budget ed extra'!$D$7:$D$18,D143)/COUNTIFS('Budget ed extra'!$D$7:$D$18,D143))</f>
        <v>900</v>
      </c>
      <c r="D143">
        <f>SUMPRODUCT(MAX(('Budget ed extra'!$D$7:$D$18&lt;=A143)*'Budget ed extra'!$D$7:$D$18))</f>
        <v>9</v>
      </c>
      <c r="E143">
        <f>SUMIFS('Budget ed extra'!$G$7:$G$42,'Budget ed extra'!$J$7:$J$42,A143)</f>
        <v>0</v>
      </c>
      <c r="F143">
        <f>SUM(T143:AE143)</f>
        <v>0</v>
      </c>
      <c r="G143">
        <f>MAX(0,E143-F143)</f>
        <v>0</v>
      </c>
      <c r="H143">
        <f>IF($A143&gt;=C$10,C$11,C$9)/12</f>
        <v>0.01575</v>
      </c>
      <c r="I143">
        <f>IF($A143&gt;=D$10,D$11,D$9)/12</f>
        <v>0.01825</v>
      </c>
      <c r="J143">
        <f>IF($A143&gt;=E$10,E$11,E$9)/12</f>
        <v>0.00766666666666667</v>
      </c>
      <c r="K143">
        <f>IF($A143&gt;=F$10,F$11,F$9)/12</f>
        <v>0.00533333333333333</v>
      </c>
      <c r="L143">
        <f>IF($A143&gt;=G$10,G$11,G$9)/12</f>
        <v>0</v>
      </c>
      <c r="M143">
        <f>IF($A143&gt;=H$10,H$11,H$9)/12</f>
        <v>0</v>
      </c>
      <c r="N143">
        <f>IF($A143&gt;=I$10,I$11,I$9)/12</f>
        <v>0</v>
      </c>
      <c r="O143">
        <f>IF($A143&gt;=J$10,J$11,J$9)/12</f>
        <v>0</v>
      </c>
      <c r="P143">
        <f>IF($A143&gt;=K$10,K$11,K$9)/12</f>
        <v>0</v>
      </c>
      <c r="Q143">
        <f>IF($A143&gt;=L$10,L$11,L$9)/12</f>
        <v>0</v>
      </c>
      <c r="R143">
        <f>IF($A143&gt;=M$10,M$11,M$9)/12</f>
        <v>0</v>
      </c>
      <c r="S143">
        <f>IF($A143&gt;=N$10,N$11,N$9)/12</f>
        <v>0</v>
      </c>
      <c r="T143">
        <f>IF(C$6="",0,SUMIFS('Budget ed extra'!$G$7:$G$42,'Budget ed extra'!$J$7:$J$42,$A143,'Budget ed extra'!$H$7:$H$42,C$6))</f>
        <v>0</v>
      </c>
      <c r="U143">
        <f>IF(D$6="",0,SUMIFS('Budget ed extra'!$G$7:$G$42,'Budget ed extra'!$J$7:$J$42,$A143,'Budget ed extra'!$H$7:$H$42,D$6))</f>
        <v>0</v>
      </c>
      <c r="V143">
        <f>IF(E$6="",0,SUMIFS('Budget ed extra'!$G$7:$G$42,'Budget ed extra'!$J$7:$J$42,$A143,'Budget ed extra'!$H$7:$H$42,E$6))</f>
        <v>0</v>
      </c>
      <c r="W143">
        <f>IF(F$6="",0,SUMIFS('Budget ed extra'!$G$7:$G$42,'Budget ed extra'!$J$7:$J$42,$A143,'Budget ed extra'!$H$7:$H$42,F$6))</f>
        <v>0</v>
      </c>
      <c r="X143">
        <f>IF(G$6="",0,SUMIFS('Budget ed extra'!$G$7:$G$42,'Budget ed extra'!$J$7:$J$42,$A143,'Budget ed extra'!$H$7:$H$42,G$6))</f>
        <v>0</v>
      </c>
      <c r="Y143">
        <f>IF(H$6="",0,SUMIFS('Budget ed extra'!$G$7:$G$42,'Budget ed extra'!$J$7:$J$42,$A143,'Budget ed extra'!$H$7:$H$42,H$6))</f>
        <v>0</v>
      </c>
      <c r="Z143">
        <f>IF(I$6="",0,SUMIFS('Budget ed extra'!$G$7:$G$42,'Budget ed extra'!$J$7:$J$42,$A143,'Budget ed extra'!$H$7:$H$42,I$6))</f>
        <v>0</v>
      </c>
      <c r="AA143">
        <f>IF(J$6="",0,SUMIFS('Budget ed extra'!$G$7:$G$42,'Budget ed extra'!$J$7:$J$42,$A143,'Budget ed extra'!$H$7:$H$42,J$6))</f>
        <v>0</v>
      </c>
      <c r="AB143">
        <f>IF(K$6="",0,SUMIFS('Budget ed extra'!$G$7:$G$42,'Budget ed extra'!$J$7:$J$42,$A143,'Budget ed extra'!$H$7:$H$42,K$6))</f>
        <v>0</v>
      </c>
      <c r="AC143">
        <f>IF(L$6="",0,SUMIFS('Budget ed extra'!$G$7:$G$42,'Budget ed extra'!$J$7:$J$42,$A143,'Budget ed extra'!$H$7:$H$42,L$6))</f>
        <v>0</v>
      </c>
      <c r="AD143">
        <f>IF(M$6="",0,SUMIFS('Budget ed extra'!$G$7:$G$42,'Budget ed extra'!$J$7:$J$42,$A143,'Budget ed extra'!$H$7:$H$42,M$6))</f>
        <v>0</v>
      </c>
      <c r="AE143">
        <f>IF(N$6="",0,SUMIFS('Budget ed extra'!$G$7:$G$42,'Budget ed extra'!$J$7:$J$42,$A143,'Budget ed extra'!$H$7:$H$42,N$6))</f>
        <v>0</v>
      </c>
    </row>
    <row r="144">
      <c r="A144" t="n">
        <v>114</v>
      </c>
      <c r="B144">
        <f>DATE($B$2,$B$3+A144-1,1)</f>
        <v>49766.0</v>
      </c>
      <c r="C144">
        <f>IF(D144=0,N(Impostazioni!$B$6),SUMIFS('Budget ed extra'!$B$7:$B$18,'Budget ed extra'!$D$7:$D$18,D144)/COUNTIFS('Budget ed extra'!$D$7:$D$18,D144))</f>
        <v>900</v>
      </c>
      <c r="D144">
        <f>SUMPRODUCT(MAX(('Budget ed extra'!$D$7:$D$18&lt;=A144)*'Budget ed extra'!$D$7:$D$18))</f>
        <v>9</v>
      </c>
      <c r="E144">
        <f>SUMIFS('Budget ed extra'!$G$7:$G$42,'Budget ed extra'!$J$7:$J$42,A144)</f>
        <v>0</v>
      </c>
      <c r="F144">
        <f>SUM(T144:AE144)</f>
        <v>0</v>
      </c>
      <c r="G144">
        <f>MAX(0,E144-F144)</f>
        <v>0</v>
      </c>
      <c r="H144">
        <f>IF($A144&gt;=C$10,C$11,C$9)/12</f>
        <v>0.01575</v>
      </c>
      <c r="I144">
        <f>IF($A144&gt;=D$10,D$11,D$9)/12</f>
        <v>0.01825</v>
      </c>
      <c r="J144">
        <f>IF($A144&gt;=E$10,E$11,E$9)/12</f>
        <v>0.00766666666666667</v>
      </c>
      <c r="K144">
        <f>IF($A144&gt;=F$10,F$11,F$9)/12</f>
        <v>0.00533333333333333</v>
      </c>
      <c r="L144">
        <f>IF($A144&gt;=G$10,G$11,G$9)/12</f>
        <v>0</v>
      </c>
      <c r="M144">
        <f>IF($A144&gt;=H$10,H$11,H$9)/12</f>
        <v>0</v>
      </c>
      <c r="N144">
        <f>IF($A144&gt;=I$10,I$11,I$9)/12</f>
        <v>0</v>
      </c>
      <c r="O144">
        <f>IF($A144&gt;=J$10,J$11,J$9)/12</f>
        <v>0</v>
      </c>
      <c r="P144">
        <f>IF($A144&gt;=K$10,K$11,K$9)/12</f>
        <v>0</v>
      </c>
      <c r="Q144">
        <f>IF($A144&gt;=L$10,L$11,L$9)/12</f>
        <v>0</v>
      </c>
      <c r="R144">
        <f>IF($A144&gt;=M$10,M$11,M$9)/12</f>
        <v>0</v>
      </c>
      <c r="S144">
        <f>IF($A144&gt;=N$10,N$11,N$9)/12</f>
        <v>0</v>
      </c>
      <c r="T144">
        <f>IF(C$6="",0,SUMIFS('Budget ed extra'!$G$7:$G$42,'Budget ed extra'!$J$7:$J$42,$A144,'Budget ed extra'!$H$7:$H$42,C$6))</f>
        <v>0</v>
      </c>
      <c r="U144">
        <f>IF(D$6="",0,SUMIFS('Budget ed extra'!$G$7:$G$42,'Budget ed extra'!$J$7:$J$42,$A144,'Budget ed extra'!$H$7:$H$42,D$6))</f>
        <v>0</v>
      </c>
      <c r="V144">
        <f>IF(E$6="",0,SUMIFS('Budget ed extra'!$G$7:$G$42,'Budget ed extra'!$J$7:$J$42,$A144,'Budget ed extra'!$H$7:$H$42,E$6))</f>
        <v>0</v>
      </c>
      <c r="W144">
        <f>IF(F$6="",0,SUMIFS('Budget ed extra'!$G$7:$G$42,'Budget ed extra'!$J$7:$J$42,$A144,'Budget ed extra'!$H$7:$H$42,F$6))</f>
        <v>0</v>
      </c>
      <c r="X144">
        <f>IF(G$6="",0,SUMIFS('Budget ed extra'!$G$7:$G$42,'Budget ed extra'!$J$7:$J$42,$A144,'Budget ed extra'!$H$7:$H$42,G$6))</f>
        <v>0</v>
      </c>
      <c r="Y144">
        <f>IF(H$6="",0,SUMIFS('Budget ed extra'!$G$7:$G$42,'Budget ed extra'!$J$7:$J$42,$A144,'Budget ed extra'!$H$7:$H$42,H$6))</f>
        <v>0</v>
      </c>
      <c r="Z144">
        <f>IF(I$6="",0,SUMIFS('Budget ed extra'!$G$7:$G$42,'Budget ed extra'!$J$7:$J$42,$A144,'Budget ed extra'!$H$7:$H$42,I$6))</f>
        <v>0</v>
      </c>
      <c r="AA144">
        <f>IF(J$6="",0,SUMIFS('Budget ed extra'!$G$7:$G$42,'Budget ed extra'!$J$7:$J$42,$A144,'Budget ed extra'!$H$7:$H$42,J$6))</f>
        <v>0</v>
      </c>
      <c r="AB144">
        <f>IF(K$6="",0,SUMIFS('Budget ed extra'!$G$7:$G$42,'Budget ed extra'!$J$7:$J$42,$A144,'Budget ed extra'!$H$7:$H$42,K$6))</f>
        <v>0</v>
      </c>
      <c r="AC144">
        <f>IF(L$6="",0,SUMIFS('Budget ed extra'!$G$7:$G$42,'Budget ed extra'!$J$7:$J$42,$A144,'Budget ed extra'!$H$7:$H$42,L$6))</f>
        <v>0</v>
      </c>
      <c r="AD144">
        <f>IF(M$6="",0,SUMIFS('Budget ed extra'!$G$7:$G$42,'Budget ed extra'!$J$7:$J$42,$A144,'Budget ed extra'!$H$7:$H$42,M$6))</f>
        <v>0</v>
      </c>
      <c r="AE144">
        <f>IF(N$6="",0,SUMIFS('Budget ed extra'!$G$7:$G$42,'Budget ed extra'!$J$7:$J$42,$A144,'Budget ed extra'!$H$7:$H$42,N$6))</f>
        <v>0</v>
      </c>
    </row>
    <row r="145">
      <c r="A145" t="n">
        <v>115</v>
      </c>
      <c r="B145">
        <f>DATE($B$2,$B$3+A145-1,1)</f>
        <v>49796.0</v>
      </c>
      <c r="C145">
        <f>IF(D145=0,N(Impostazioni!$B$6),SUMIFS('Budget ed extra'!$B$7:$B$18,'Budget ed extra'!$D$7:$D$18,D145)/COUNTIFS('Budget ed extra'!$D$7:$D$18,D145))</f>
        <v>900</v>
      </c>
      <c r="D145">
        <f>SUMPRODUCT(MAX(('Budget ed extra'!$D$7:$D$18&lt;=A145)*'Budget ed extra'!$D$7:$D$18))</f>
        <v>9</v>
      </c>
      <c r="E145">
        <f>SUMIFS('Budget ed extra'!$G$7:$G$42,'Budget ed extra'!$J$7:$J$42,A145)</f>
        <v>0</v>
      </c>
      <c r="F145">
        <f>SUM(T145:AE145)</f>
        <v>0</v>
      </c>
      <c r="G145">
        <f>MAX(0,E145-F145)</f>
        <v>0</v>
      </c>
      <c r="H145">
        <f>IF($A145&gt;=C$10,C$11,C$9)/12</f>
        <v>0.01575</v>
      </c>
      <c r="I145">
        <f>IF($A145&gt;=D$10,D$11,D$9)/12</f>
        <v>0.01825</v>
      </c>
      <c r="J145">
        <f>IF($A145&gt;=E$10,E$11,E$9)/12</f>
        <v>0.00766666666666667</v>
      </c>
      <c r="K145">
        <f>IF($A145&gt;=F$10,F$11,F$9)/12</f>
        <v>0.00533333333333333</v>
      </c>
      <c r="L145">
        <f>IF($A145&gt;=G$10,G$11,G$9)/12</f>
        <v>0</v>
      </c>
      <c r="M145">
        <f>IF($A145&gt;=H$10,H$11,H$9)/12</f>
        <v>0</v>
      </c>
      <c r="N145">
        <f>IF($A145&gt;=I$10,I$11,I$9)/12</f>
        <v>0</v>
      </c>
      <c r="O145">
        <f>IF($A145&gt;=J$10,J$11,J$9)/12</f>
        <v>0</v>
      </c>
      <c r="P145">
        <f>IF($A145&gt;=K$10,K$11,K$9)/12</f>
        <v>0</v>
      </c>
      <c r="Q145">
        <f>IF($A145&gt;=L$10,L$11,L$9)/12</f>
        <v>0</v>
      </c>
      <c r="R145">
        <f>IF($A145&gt;=M$10,M$11,M$9)/12</f>
        <v>0</v>
      </c>
      <c r="S145">
        <f>IF($A145&gt;=N$10,N$11,N$9)/12</f>
        <v>0</v>
      </c>
      <c r="T145">
        <f>IF(C$6="",0,SUMIFS('Budget ed extra'!$G$7:$G$42,'Budget ed extra'!$J$7:$J$42,$A145,'Budget ed extra'!$H$7:$H$42,C$6))</f>
        <v>0</v>
      </c>
      <c r="U145">
        <f>IF(D$6="",0,SUMIFS('Budget ed extra'!$G$7:$G$42,'Budget ed extra'!$J$7:$J$42,$A145,'Budget ed extra'!$H$7:$H$42,D$6))</f>
        <v>0</v>
      </c>
      <c r="V145">
        <f>IF(E$6="",0,SUMIFS('Budget ed extra'!$G$7:$G$42,'Budget ed extra'!$J$7:$J$42,$A145,'Budget ed extra'!$H$7:$H$42,E$6))</f>
        <v>0</v>
      </c>
      <c r="W145">
        <f>IF(F$6="",0,SUMIFS('Budget ed extra'!$G$7:$G$42,'Budget ed extra'!$J$7:$J$42,$A145,'Budget ed extra'!$H$7:$H$42,F$6))</f>
        <v>0</v>
      </c>
      <c r="X145">
        <f>IF(G$6="",0,SUMIFS('Budget ed extra'!$G$7:$G$42,'Budget ed extra'!$J$7:$J$42,$A145,'Budget ed extra'!$H$7:$H$42,G$6))</f>
        <v>0</v>
      </c>
      <c r="Y145">
        <f>IF(H$6="",0,SUMIFS('Budget ed extra'!$G$7:$G$42,'Budget ed extra'!$J$7:$J$42,$A145,'Budget ed extra'!$H$7:$H$42,H$6))</f>
        <v>0</v>
      </c>
      <c r="Z145">
        <f>IF(I$6="",0,SUMIFS('Budget ed extra'!$G$7:$G$42,'Budget ed extra'!$J$7:$J$42,$A145,'Budget ed extra'!$H$7:$H$42,I$6))</f>
        <v>0</v>
      </c>
      <c r="AA145">
        <f>IF(J$6="",0,SUMIFS('Budget ed extra'!$G$7:$G$42,'Budget ed extra'!$J$7:$J$42,$A145,'Budget ed extra'!$H$7:$H$42,J$6))</f>
        <v>0</v>
      </c>
      <c r="AB145">
        <f>IF(K$6="",0,SUMIFS('Budget ed extra'!$G$7:$G$42,'Budget ed extra'!$J$7:$J$42,$A145,'Budget ed extra'!$H$7:$H$42,K$6))</f>
        <v>0</v>
      </c>
      <c r="AC145">
        <f>IF(L$6="",0,SUMIFS('Budget ed extra'!$G$7:$G$42,'Budget ed extra'!$J$7:$J$42,$A145,'Budget ed extra'!$H$7:$H$42,L$6))</f>
        <v>0</v>
      </c>
      <c r="AD145">
        <f>IF(M$6="",0,SUMIFS('Budget ed extra'!$G$7:$G$42,'Budget ed extra'!$J$7:$J$42,$A145,'Budget ed extra'!$H$7:$H$42,M$6))</f>
        <v>0</v>
      </c>
      <c r="AE145">
        <f>IF(N$6="",0,SUMIFS('Budget ed extra'!$G$7:$G$42,'Budget ed extra'!$J$7:$J$42,$A145,'Budget ed extra'!$H$7:$H$42,N$6))</f>
        <v>0</v>
      </c>
    </row>
    <row r="146">
      <c r="A146" t="n">
        <v>116</v>
      </c>
      <c r="B146">
        <f>DATE($B$2,$B$3+A146-1,1)</f>
        <v>49827.0</v>
      </c>
      <c r="C146">
        <f>IF(D146=0,N(Impostazioni!$B$6),SUMIFS('Budget ed extra'!$B$7:$B$18,'Budget ed extra'!$D$7:$D$18,D146)/COUNTIFS('Budget ed extra'!$D$7:$D$18,D146))</f>
        <v>900</v>
      </c>
      <c r="D146">
        <f>SUMPRODUCT(MAX(('Budget ed extra'!$D$7:$D$18&lt;=A146)*'Budget ed extra'!$D$7:$D$18))</f>
        <v>9</v>
      </c>
      <c r="E146">
        <f>SUMIFS('Budget ed extra'!$G$7:$G$42,'Budget ed extra'!$J$7:$J$42,A146)</f>
        <v>0</v>
      </c>
      <c r="F146">
        <f>SUM(T146:AE146)</f>
        <v>0</v>
      </c>
      <c r="G146">
        <f>MAX(0,E146-F146)</f>
        <v>0</v>
      </c>
      <c r="H146">
        <f>IF($A146&gt;=C$10,C$11,C$9)/12</f>
        <v>0.01575</v>
      </c>
      <c r="I146">
        <f>IF($A146&gt;=D$10,D$11,D$9)/12</f>
        <v>0.01825</v>
      </c>
      <c r="J146">
        <f>IF($A146&gt;=E$10,E$11,E$9)/12</f>
        <v>0.00766666666666667</v>
      </c>
      <c r="K146">
        <f>IF($A146&gt;=F$10,F$11,F$9)/12</f>
        <v>0.00533333333333333</v>
      </c>
      <c r="L146">
        <f>IF($A146&gt;=G$10,G$11,G$9)/12</f>
        <v>0</v>
      </c>
      <c r="M146">
        <f>IF($A146&gt;=H$10,H$11,H$9)/12</f>
        <v>0</v>
      </c>
      <c r="N146">
        <f>IF($A146&gt;=I$10,I$11,I$9)/12</f>
        <v>0</v>
      </c>
      <c r="O146">
        <f>IF($A146&gt;=J$10,J$11,J$9)/12</f>
        <v>0</v>
      </c>
      <c r="P146">
        <f>IF($A146&gt;=K$10,K$11,K$9)/12</f>
        <v>0</v>
      </c>
      <c r="Q146">
        <f>IF($A146&gt;=L$10,L$11,L$9)/12</f>
        <v>0</v>
      </c>
      <c r="R146">
        <f>IF($A146&gt;=M$10,M$11,M$9)/12</f>
        <v>0</v>
      </c>
      <c r="S146">
        <f>IF($A146&gt;=N$10,N$11,N$9)/12</f>
        <v>0</v>
      </c>
      <c r="T146">
        <f>IF(C$6="",0,SUMIFS('Budget ed extra'!$G$7:$G$42,'Budget ed extra'!$J$7:$J$42,$A146,'Budget ed extra'!$H$7:$H$42,C$6))</f>
        <v>0</v>
      </c>
      <c r="U146">
        <f>IF(D$6="",0,SUMIFS('Budget ed extra'!$G$7:$G$42,'Budget ed extra'!$J$7:$J$42,$A146,'Budget ed extra'!$H$7:$H$42,D$6))</f>
        <v>0</v>
      </c>
      <c r="V146">
        <f>IF(E$6="",0,SUMIFS('Budget ed extra'!$G$7:$G$42,'Budget ed extra'!$J$7:$J$42,$A146,'Budget ed extra'!$H$7:$H$42,E$6))</f>
        <v>0</v>
      </c>
      <c r="W146">
        <f>IF(F$6="",0,SUMIFS('Budget ed extra'!$G$7:$G$42,'Budget ed extra'!$J$7:$J$42,$A146,'Budget ed extra'!$H$7:$H$42,F$6))</f>
        <v>0</v>
      </c>
      <c r="X146">
        <f>IF(G$6="",0,SUMIFS('Budget ed extra'!$G$7:$G$42,'Budget ed extra'!$J$7:$J$42,$A146,'Budget ed extra'!$H$7:$H$42,G$6))</f>
        <v>0</v>
      </c>
      <c r="Y146">
        <f>IF(H$6="",0,SUMIFS('Budget ed extra'!$G$7:$G$42,'Budget ed extra'!$J$7:$J$42,$A146,'Budget ed extra'!$H$7:$H$42,H$6))</f>
        <v>0</v>
      </c>
      <c r="Z146">
        <f>IF(I$6="",0,SUMIFS('Budget ed extra'!$G$7:$G$42,'Budget ed extra'!$J$7:$J$42,$A146,'Budget ed extra'!$H$7:$H$42,I$6))</f>
        <v>0</v>
      </c>
      <c r="AA146">
        <f>IF(J$6="",0,SUMIFS('Budget ed extra'!$G$7:$G$42,'Budget ed extra'!$J$7:$J$42,$A146,'Budget ed extra'!$H$7:$H$42,J$6))</f>
        <v>0</v>
      </c>
      <c r="AB146">
        <f>IF(K$6="",0,SUMIFS('Budget ed extra'!$G$7:$G$42,'Budget ed extra'!$J$7:$J$42,$A146,'Budget ed extra'!$H$7:$H$42,K$6))</f>
        <v>0</v>
      </c>
      <c r="AC146">
        <f>IF(L$6="",0,SUMIFS('Budget ed extra'!$G$7:$G$42,'Budget ed extra'!$J$7:$J$42,$A146,'Budget ed extra'!$H$7:$H$42,L$6))</f>
        <v>0</v>
      </c>
      <c r="AD146">
        <f>IF(M$6="",0,SUMIFS('Budget ed extra'!$G$7:$G$42,'Budget ed extra'!$J$7:$J$42,$A146,'Budget ed extra'!$H$7:$H$42,M$6))</f>
        <v>0</v>
      </c>
      <c r="AE146">
        <f>IF(N$6="",0,SUMIFS('Budget ed extra'!$G$7:$G$42,'Budget ed extra'!$J$7:$J$42,$A146,'Budget ed extra'!$H$7:$H$42,N$6))</f>
        <v>0</v>
      </c>
    </row>
    <row r="147">
      <c r="A147" t="n">
        <v>117</v>
      </c>
      <c r="B147">
        <f>DATE($B$2,$B$3+A147-1,1)</f>
        <v>49857.0</v>
      </c>
      <c r="C147">
        <f>IF(D147=0,N(Impostazioni!$B$6),SUMIFS('Budget ed extra'!$B$7:$B$18,'Budget ed extra'!$D$7:$D$18,D147)/COUNTIFS('Budget ed extra'!$D$7:$D$18,D147))</f>
        <v>900</v>
      </c>
      <c r="D147">
        <f>SUMPRODUCT(MAX(('Budget ed extra'!$D$7:$D$18&lt;=A147)*'Budget ed extra'!$D$7:$D$18))</f>
        <v>9</v>
      </c>
      <c r="E147">
        <f>SUMIFS('Budget ed extra'!$G$7:$G$42,'Budget ed extra'!$J$7:$J$42,A147)</f>
        <v>0</v>
      </c>
      <c r="F147">
        <f>SUM(T147:AE147)</f>
        <v>0</v>
      </c>
      <c r="G147">
        <f>MAX(0,E147-F147)</f>
        <v>0</v>
      </c>
      <c r="H147">
        <f>IF($A147&gt;=C$10,C$11,C$9)/12</f>
        <v>0.01575</v>
      </c>
      <c r="I147">
        <f>IF($A147&gt;=D$10,D$11,D$9)/12</f>
        <v>0.01825</v>
      </c>
      <c r="J147">
        <f>IF($A147&gt;=E$10,E$11,E$9)/12</f>
        <v>0.00766666666666667</v>
      </c>
      <c r="K147">
        <f>IF($A147&gt;=F$10,F$11,F$9)/12</f>
        <v>0.00533333333333333</v>
      </c>
      <c r="L147">
        <f>IF($A147&gt;=G$10,G$11,G$9)/12</f>
        <v>0</v>
      </c>
      <c r="M147">
        <f>IF($A147&gt;=H$10,H$11,H$9)/12</f>
        <v>0</v>
      </c>
      <c r="N147">
        <f>IF($A147&gt;=I$10,I$11,I$9)/12</f>
        <v>0</v>
      </c>
      <c r="O147">
        <f>IF($A147&gt;=J$10,J$11,J$9)/12</f>
        <v>0</v>
      </c>
      <c r="P147">
        <f>IF($A147&gt;=K$10,K$11,K$9)/12</f>
        <v>0</v>
      </c>
      <c r="Q147">
        <f>IF($A147&gt;=L$10,L$11,L$9)/12</f>
        <v>0</v>
      </c>
      <c r="R147">
        <f>IF($A147&gt;=M$10,M$11,M$9)/12</f>
        <v>0</v>
      </c>
      <c r="S147">
        <f>IF($A147&gt;=N$10,N$11,N$9)/12</f>
        <v>0</v>
      </c>
      <c r="T147">
        <f>IF(C$6="",0,SUMIFS('Budget ed extra'!$G$7:$G$42,'Budget ed extra'!$J$7:$J$42,$A147,'Budget ed extra'!$H$7:$H$42,C$6))</f>
        <v>0</v>
      </c>
      <c r="U147">
        <f>IF(D$6="",0,SUMIFS('Budget ed extra'!$G$7:$G$42,'Budget ed extra'!$J$7:$J$42,$A147,'Budget ed extra'!$H$7:$H$42,D$6))</f>
        <v>0</v>
      </c>
      <c r="V147">
        <f>IF(E$6="",0,SUMIFS('Budget ed extra'!$G$7:$G$42,'Budget ed extra'!$J$7:$J$42,$A147,'Budget ed extra'!$H$7:$H$42,E$6))</f>
        <v>0</v>
      </c>
      <c r="W147">
        <f>IF(F$6="",0,SUMIFS('Budget ed extra'!$G$7:$G$42,'Budget ed extra'!$J$7:$J$42,$A147,'Budget ed extra'!$H$7:$H$42,F$6))</f>
        <v>0</v>
      </c>
      <c r="X147">
        <f>IF(G$6="",0,SUMIFS('Budget ed extra'!$G$7:$G$42,'Budget ed extra'!$J$7:$J$42,$A147,'Budget ed extra'!$H$7:$H$42,G$6))</f>
        <v>0</v>
      </c>
      <c r="Y147">
        <f>IF(H$6="",0,SUMIFS('Budget ed extra'!$G$7:$G$42,'Budget ed extra'!$J$7:$J$42,$A147,'Budget ed extra'!$H$7:$H$42,H$6))</f>
        <v>0</v>
      </c>
      <c r="Z147">
        <f>IF(I$6="",0,SUMIFS('Budget ed extra'!$G$7:$G$42,'Budget ed extra'!$J$7:$J$42,$A147,'Budget ed extra'!$H$7:$H$42,I$6))</f>
        <v>0</v>
      </c>
      <c r="AA147">
        <f>IF(J$6="",0,SUMIFS('Budget ed extra'!$G$7:$G$42,'Budget ed extra'!$J$7:$J$42,$A147,'Budget ed extra'!$H$7:$H$42,J$6))</f>
        <v>0</v>
      </c>
      <c r="AB147">
        <f>IF(K$6="",0,SUMIFS('Budget ed extra'!$G$7:$G$42,'Budget ed extra'!$J$7:$J$42,$A147,'Budget ed extra'!$H$7:$H$42,K$6))</f>
        <v>0</v>
      </c>
      <c r="AC147">
        <f>IF(L$6="",0,SUMIFS('Budget ed extra'!$G$7:$G$42,'Budget ed extra'!$J$7:$J$42,$A147,'Budget ed extra'!$H$7:$H$42,L$6))</f>
        <v>0</v>
      </c>
      <c r="AD147">
        <f>IF(M$6="",0,SUMIFS('Budget ed extra'!$G$7:$G$42,'Budget ed extra'!$J$7:$J$42,$A147,'Budget ed extra'!$H$7:$H$42,M$6))</f>
        <v>0</v>
      </c>
      <c r="AE147">
        <f>IF(N$6="",0,SUMIFS('Budget ed extra'!$G$7:$G$42,'Budget ed extra'!$J$7:$J$42,$A147,'Budget ed extra'!$H$7:$H$42,N$6))</f>
        <v>0</v>
      </c>
    </row>
    <row r="148">
      <c r="A148" t="n">
        <v>118</v>
      </c>
      <c r="B148">
        <f>DATE($B$2,$B$3+A148-1,1)</f>
        <v>49888.0</v>
      </c>
      <c r="C148">
        <f>IF(D148=0,N(Impostazioni!$B$6),SUMIFS('Budget ed extra'!$B$7:$B$18,'Budget ed extra'!$D$7:$D$18,D148)/COUNTIFS('Budget ed extra'!$D$7:$D$18,D148))</f>
        <v>900</v>
      </c>
      <c r="D148">
        <f>SUMPRODUCT(MAX(('Budget ed extra'!$D$7:$D$18&lt;=A148)*'Budget ed extra'!$D$7:$D$18))</f>
        <v>9</v>
      </c>
      <c r="E148">
        <f>SUMIFS('Budget ed extra'!$G$7:$G$42,'Budget ed extra'!$J$7:$J$42,A148)</f>
        <v>0</v>
      </c>
      <c r="F148">
        <f>SUM(T148:AE148)</f>
        <v>0</v>
      </c>
      <c r="G148">
        <f>MAX(0,E148-F148)</f>
        <v>0</v>
      </c>
      <c r="H148">
        <f>IF($A148&gt;=C$10,C$11,C$9)/12</f>
        <v>0.01575</v>
      </c>
      <c r="I148">
        <f>IF($A148&gt;=D$10,D$11,D$9)/12</f>
        <v>0.01825</v>
      </c>
      <c r="J148">
        <f>IF($A148&gt;=E$10,E$11,E$9)/12</f>
        <v>0.00766666666666667</v>
      </c>
      <c r="K148">
        <f>IF($A148&gt;=F$10,F$11,F$9)/12</f>
        <v>0.00533333333333333</v>
      </c>
      <c r="L148">
        <f>IF($A148&gt;=G$10,G$11,G$9)/12</f>
        <v>0</v>
      </c>
      <c r="M148">
        <f>IF($A148&gt;=H$10,H$11,H$9)/12</f>
        <v>0</v>
      </c>
      <c r="N148">
        <f>IF($A148&gt;=I$10,I$11,I$9)/12</f>
        <v>0</v>
      </c>
      <c r="O148">
        <f>IF($A148&gt;=J$10,J$11,J$9)/12</f>
        <v>0</v>
      </c>
      <c r="P148">
        <f>IF($A148&gt;=K$10,K$11,K$9)/12</f>
        <v>0</v>
      </c>
      <c r="Q148">
        <f>IF($A148&gt;=L$10,L$11,L$9)/12</f>
        <v>0</v>
      </c>
      <c r="R148">
        <f>IF($A148&gt;=M$10,M$11,M$9)/12</f>
        <v>0</v>
      </c>
      <c r="S148">
        <f>IF($A148&gt;=N$10,N$11,N$9)/12</f>
        <v>0</v>
      </c>
      <c r="T148">
        <f>IF(C$6="",0,SUMIFS('Budget ed extra'!$G$7:$G$42,'Budget ed extra'!$J$7:$J$42,$A148,'Budget ed extra'!$H$7:$H$42,C$6))</f>
        <v>0</v>
      </c>
      <c r="U148">
        <f>IF(D$6="",0,SUMIFS('Budget ed extra'!$G$7:$G$42,'Budget ed extra'!$J$7:$J$42,$A148,'Budget ed extra'!$H$7:$H$42,D$6))</f>
        <v>0</v>
      </c>
      <c r="V148">
        <f>IF(E$6="",0,SUMIFS('Budget ed extra'!$G$7:$G$42,'Budget ed extra'!$J$7:$J$42,$A148,'Budget ed extra'!$H$7:$H$42,E$6))</f>
        <v>0</v>
      </c>
      <c r="W148">
        <f>IF(F$6="",0,SUMIFS('Budget ed extra'!$G$7:$G$42,'Budget ed extra'!$J$7:$J$42,$A148,'Budget ed extra'!$H$7:$H$42,F$6))</f>
        <v>0</v>
      </c>
      <c r="X148">
        <f>IF(G$6="",0,SUMIFS('Budget ed extra'!$G$7:$G$42,'Budget ed extra'!$J$7:$J$42,$A148,'Budget ed extra'!$H$7:$H$42,G$6))</f>
        <v>0</v>
      </c>
      <c r="Y148">
        <f>IF(H$6="",0,SUMIFS('Budget ed extra'!$G$7:$G$42,'Budget ed extra'!$J$7:$J$42,$A148,'Budget ed extra'!$H$7:$H$42,H$6))</f>
        <v>0</v>
      </c>
      <c r="Z148">
        <f>IF(I$6="",0,SUMIFS('Budget ed extra'!$G$7:$G$42,'Budget ed extra'!$J$7:$J$42,$A148,'Budget ed extra'!$H$7:$H$42,I$6))</f>
        <v>0</v>
      </c>
      <c r="AA148">
        <f>IF(J$6="",0,SUMIFS('Budget ed extra'!$G$7:$G$42,'Budget ed extra'!$J$7:$J$42,$A148,'Budget ed extra'!$H$7:$H$42,J$6))</f>
        <v>0</v>
      </c>
      <c r="AB148">
        <f>IF(K$6="",0,SUMIFS('Budget ed extra'!$G$7:$G$42,'Budget ed extra'!$J$7:$J$42,$A148,'Budget ed extra'!$H$7:$H$42,K$6))</f>
        <v>0</v>
      </c>
      <c r="AC148">
        <f>IF(L$6="",0,SUMIFS('Budget ed extra'!$G$7:$G$42,'Budget ed extra'!$J$7:$J$42,$A148,'Budget ed extra'!$H$7:$H$42,L$6))</f>
        <v>0</v>
      </c>
      <c r="AD148">
        <f>IF(M$6="",0,SUMIFS('Budget ed extra'!$G$7:$G$42,'Budget ed extra'!$J$7:$J$42,$A148,'Budget ed extra'!$H$7:$H$42,M$6))</f>
        <v>0</v>
      </c>
      <c r="AE148">
        <f>IF(N$6="",0,SUMIFS('Budget ed extra'!$G$7:$G$42,'Budget ed extra'!$J$7:$J$42,$A148,'Budget ed extra'!$H$7:$H$42,N$6))</f>
        <v>0</v>
      </c>
    </row>
    <row r="149">
      <c r="A149" t="n">
        <v>119</v>
      </c>
      <c r="B149">
        <f>DATE($B$2,$B$3+A149-1,1)</f>
        <v>49919.0</v>
      </c>
      <c r="C149">
        <f>IF(D149=0,N(Impostazioni!$B$6),SUMIFS('Budget ed extra'!$B$7:$B$18,'Budget ed extra'!$D$7:$D$18,D149)/COUNTIFS('Budget ed extra'!$D$7:$D$18,D149))</f>
        <v>900</v>
      </c>
      <c r="D149">
        <f>SUMPRODUCT(MAX(('Budget ed extra'!$D$7:$D$18&lt;=A149)*'Budget ed extra'!$D$7:$D$18))</f>
        <v>9</v>
      </c>
      <c r="E149">
        <f>SUMIFS('Budget ed extra'!$G$7:$G$42,'Budget ed extra'!$J$7:$J$42,A149)</f>
        <v>0</v>
      </c>
      <c r="F149">
        <f>SUM(T149:AE149)</f>
        <v>0</v>
      </c>
      <c r="G149">
        <f>MAX(0,E149-F149)</f>
        <v>0</v>
      </c>
      <c r="H149">
        <f>IF($A149&gt;=C$10,C$11,C$9)/12</f>
        <v>0.01575</v>
      </c>
      <c r="I149">
        <f>IF($A149&gt;=D$10,D$11,D$9)/12</f>
        <v>0.01825</v>
      </c>
      <c r="J149">
        <f>IF($A149&gt;=E$10,E$11,E$9)/12</f>
        <v>0.00766666666666667</v>
      </c>
      <c r="K149">
        <f>IF($A149&gt;=F$10,F$11,F$9)/12</f>
        <v>0.00533333333333333</v>
      </c>
      <c r="L149">
        <f>IF($A149&gt;=G$10,G$11,G$9)/12</f>
        <v>0</v>
      </c>
      <c r="M149">
        <f>IF($A149&gt;=H$10,H$11,H$9)/12</f>
        <v>0</v>
      </c>
      <c r="N149">
        <f>IF($A149&gt;=I$10,I$11,I$9)/12</f>
        <v>0</v>
      </c>
      <c r="O149">
        <f>IF($A149&gt;=J$10,J$11,J$9)/12</f>
        <v>0</v>
      </c>
      <c r="P149">
        <f>IF($A149&gt;=K$10,K$11,K$9)/12</f>
        <v>0</v>
      </c>
      <c r="Q149">
        <f>IF($A149&gt;=L$10,L$11,L$9)/12</f>
        <v>0</v>
      </c>
      <c r="R149">
        <f>IF($A149&gt;=M$10,M$11,M$9)/12</f>
        <v>0</v>
      </c>
      <c r="S149">
        <f>IF($A149&gt;=N$10,N$11,N$9)/12</f>
        <v>0</v>
      </c>
      <c r="T149">
        <f>IF(C$6="",0,SUMIFS('Budget ed extra'!$G$7:$G$42,'Budget ed extra'!$J$7:$J$42,$A149,'Budget ed extra'!$H$7:$H$42,C$6))</f>
        <v>0</v>
      </c>
      <c r="U149">
        <f>IF(D$6="",0,SUMIFS('Budget ed extra'!$G$7:$G$42,'Budget ed extra'!$J$7:$J$42,$A149,'Budget ed extra'!$H$7:$H$42,D$6))</f>
        <v>0</v>
      </c>
      <c r="V149">
        <f>IF(E$6="",0,SUMIFS('Budget ed extra'!$G$7:$G$42,'Budget ed extra'!$J$7:$J$42,$A149,'Budget ed extra'!$H$7:$H$42,E$6))</f>
        <v>0</v>
      </c>
      <c r="W149">
        <f>IF(F$6="",0,SUMIFS('Budget ed extra'!$G$7:$G$42,'Budget ed extra'!$J$7:$J$42,$A149,'Budget ed extra'!$H$7:$H$42,F$6))</f>
        <v>0</v>
      </c>
      <c r="X149">
        <f>IF(G$6="",0,SUMIFS('Budget ed extra'!$G$7:$G$42,'Budget ed extra'!$J$7:$J$42,$A149,'Budget ed extra'!$H$7:$H$42,G$6))</f>
        <v>0</v>
      </c>
      <c r="Y149">
        <f>IF(H$6="",0,SUMIFS('Budget ed extra'!$G$7:$G$42,'Budget ed extra'!$J$7:$J$42,$A149,'Budget ed extra'!$H$7:$H$42,H$6))</f>
        <v>0</v>
      </c>
      <c r="Z149">
        <f>IF(I$6="",0,SUMIFS('Budget ed extra'!$G$7:$G$42,'Budget ed extra'!$J$7:$J$42,$A149,'Budget ed extra'!$H$7:$H$42,I$6))</f>
        <v>0</v>
      </c>
      <c r="AA149">
        <f>IF(J$6="",0,SUMIFS('Budget ed extra'!$G$7:$G$42,'Budget ed extra'!$J$7:$J$42,$A149,'Budget ed extra'!$H$7:$H$42,J$6))</f>
        <v>0</v>
      </c>
      <c r="AB149">
        <f>IF(K$6="",0,SUMIFS('Budget ed extra'!$G$7:$G$42,'Budget ed extra'!$J$7:$J$42,$A149,'Budget ed extra'!$H$7:$H$42,K$6))</f>
        <v>0</v>
      </c>
      <c r="AC149">
        <f>IF(L$6="",0,SUMIFS('Budget ed extra'!$G$7:$G$42,'Budget ed extra'!$J$7:$J$42,$A149,'Budget ed extra'!$H$7:$H$42,L$6))</f>
        <v>0</v>
      </c>
      <c r="AD149">
        <f>IF(M$6="",0,SUMIFS('Budget ed extra'!$G$7:$G$42,'Budget ed extra'!$J$7:$J$42,$A149,'Budget ed extra'!$H$7:$H$42,M$6))</f>
        <v>0</v>
      </c>
      <c r="AE149">
        <f>IF(N$6="",0,SUMIFS('Budget ed extra'!$G$7:$G$42,'Budget ed extra'!$J$7:$J$42,$A149,'Budget ed extra'!$H$7:$H$42,N$6))</f>
        <v>0</v>
      </c>
    </row>
    <row r="150">
      <c r="A150" t="n">
        <v>120</v>
      </c>
      <c r="B150">
        <f>DATE($B$2,$B$3+A150-1,1)</f>
        <v>49949.0</v>
      </c>
      <c r="C150">
        <f>IF(D150=0,N(Impostazioni!$B$6),SUMIFS('Budget ed extra'!$B$7:$B$18,'Budget ed extra'!$D$7:$D$18,D150)/COUNTIFS('Budget ed extra'!$D$7:$D$18,D150))</f>
        <v>900</v>
      </c>
      <c r="D150">
        <f>SUMPRODUCT(MAX(('Budget ed extra'!$D$7:$D$18&lt;=A150)*'Budget ed extra'!$D$7:$D$18))</f>
        <v>9</v>
      </c>
      <c r="E150">
        <f>SUMIFS('Budget ed extra'!$G$7:$G$42,'Budget ed extra'!$J$7:$J$42,A150)</f>
        <v>0</v>
      </c>
      <c r="F150">
        <f>SUM(T150:AE150)</f>
        <v>0</v>
      </c>
      <c r="G150">
        <f>MAX(0,E150-F150)</f>
        <v>0</v>
      </c>
      <c r="H150">
        <f>IF($A150&gt;=C$10,C$11,C$9)/12</f>
        <v>0.01575</v>
      </c>
      <c r="I150">
        <f>IF($A150&gt;=D$10,D$11,D$9)/12</f>
        <v>0.01825</v>
      </c>
      <c r="J150">
        <f>IF($A150&gt;=E$10,E$11,E$9)/12</f>
        <v>0.00766666666666667</v>
      </c>
      <c r="K150">
        <f>IF($A150&gt;=F$10,F$11,F$9)/12</f>
        <v>0.00533333333333333</v>
      </c>
      <c r="L150">
        <f>IF($A150&gt;=G$10,G$11,G$9)/12</f>
        <v>0</v>
      </c>
      <c r="M150">
        <f>IF($A150&gt;=H$10,H$11,H$9)/12</f>
        <v>0</v>
      </c>
      <c r="N150">
        <f>IF($A150&gt;=I$10,I$11,I$9)/12</f>
        <v>0</v>
      </c>
      <c r="O150">
        <f>IF($A150&gt;=J$10,J$11,J$9)/12</f>
        <v>0</v>
      </c>
      <c r="P150">
        <f>IF($A150&gt;=K$10,K$11,K$9)/12</f>
        <v>0</v>
      </c>
      <c r="Q150">
        <f>IF($A150&gt;=L$10,L$11,L$9)/12</f>
        <v>0</v>
      </c>
      <c r="R150">
        <f>IF($A150&gt;=M$10,M$11,M$9)/12</f>
        <v>0</v>
      </c>
      <c r="S150">
        <f>IF($A150&gt;=N$10,N$11,N$9)/12</f>
        <v>0</v>
      </c>
      <c r="T150">
        <f>IF(C$6="",0,SUMIFS('Budget ed extra'!$G$7:$G$42,'Budget ed extra'!$J$7:$J$42,$A150,'Budget ed extra'!$H$7:$H$42,C$6))</f>
        <v>0</v>
      </c>
      <c r="U150">
        <f>IF(D$6="",0,SUMIFS('Budget ed extra'!$G$7:$G$42,'Budget ed extra'!$J$7:$J$42,$A150,'Budget ed extra'!$H$7:$H$42,D$6))</f>
        <v>0</v>
      </c>
      <c r="V150">
        <f>IF(E$6="",0,SUMIFS('Budget ed extra'!$G$7:$G$42,'Budget ed extra'!$J$7:$J$42,$A150,'Budget ed extra'!$H$7:$H$42,E$6))</f>
        <v>0</v>
      </c>
      <c r="W150">
        <f>IF(F$6="",0,SUMIFS('Budget ed extra'!$G$7:$G$42,'Budget ed extra'!$J$7:$J$42,$A150,'Budget ed extra'!$H$7:$H$42,F$6))</f>
        <v>0</v>
      </c>
      <c r="X150">
        <f>IF(G$6="",0,SUMIFS('Budget ed extra'!$G$7:$G$42,'Budget ed extra'!$J$7:$J$42,$A150,'Budget ed extra'!$H$7:$H$42,G$6))</f>
        <v>0</v>
      </c>
      <c r="Y150">
        <f>IF(H$6="",0,SUMIFS('Budget ed extra'!$G$7:$G$42,'Budget ed extra'!$J$7:$J$42,$A150,'Budget ed extra'!$H$7:$H$42,H$6))</f>
        <v>0</v>
      </c>
      <c r="Z150">
        <f>IF(I$6="",0,SUMIFS('Budget ed extra'!$G$7:$G$42,'Budget ed extra'!$J$7:$J$42,$A150,'Budget ed extra'!$H$7:$H$42,I$6))</f>
        <v>0</v>
      </c>
      <c r="AA150">
        <f>IF(J$6="",0,SUMIFS('Budget ed extra'!$G$7:$G$42,'Budget ed extra'!$J$7:$J$42,$A150,'Budget ed extra'!$H$7:$H$42,J$6))</f>
        <v>0</v>
      </c>
      <c r="AB150">
        <f>IF(K$6="",0,SUMIFS('Budget ed extra'!$G$7:$G$42,'Budget ed extra'!$J$7:$J$42,$A150,'Budget ed extra'!$H$7:$H$42,K$6))</f>
        <v>0</v>
      </c>
      <c r="AC150">
        <f>IF(L$6="",0,SUMIFS('Budget ed extra'!$G$7:$G$42,'Budget ed extra'!$J$7:$J$42,$A150,'Budget ed extra'!$H$7:$H$42,L$6))</f>
        <v>0</v>
      </c>
      <c r="AD150">
        <f>IF(M$6="",0,SUMIFS('Budget ed extra'!$G$7:$G$42,'Budget ed extra'!$J$7:$J$42,$A150,'Budget ed extra'!$H$7:$H$42,M$6))</f>
        <v>0</v>
      </c>
      <c r="AE150">
        <f>IF(N$6="",0,SUMIFS('Budget ed extra'!$G$7:$G$42,'Budget ed extra'!$J$7:$J$42,$A150,'Budget ed extra'!$H$7:$H$42,N$6))</f>
        <v>0</v>
      </c>
    </row>
    <row r="151">
      <c r="A151" t="n">
        <v>121</v>
      </c>
      <c r="B151">
        <f>DATE($B$2,$B$3+A151-1,1)</f>
        <v>49980.0</v>
      </c>
      <c r="C151">
        <f>IF(D151=0,N(Impostazioni!$B$6),SUMIFS('Budget ed extra'!$B$7:$B$18,'Budget ed extra'!$D$7:$D$18,D151)/COUNTIFS('Budget ed extra'!$D$7:$D$18,D151))</f>
        <v>900</v>
      </c>
      <c r="D151">
        <f>SUMPRODUCT(MAX(('Budget ed extra'!$D$7:$D$18&lt;=A151)*'Budget ed extra'!$D$7:$D$18))</f>
        <v>9</v>
      </c>
      <c r="E151">
        <f>SUMIFS('Budget ed extra'!$G$7:$G$42,'Budget ed extra'!$J$7:$J$42,A151)</f>
        <v>0</v>
      </c>
      <c r="F151">
        <f>SUM(T151:AE151)</f>
        <v>0</v>
      </c>
      <c r="G151">
        <f>MAX(0,E151-F151)</f>
        <v>0</v>
      </c>
      <c r="H151">
        <f>IF($A151&gt;=C$10,C$11,C$9)/12</f>
        <v>0.01575</v>
      </c>
      <c r="I151">
        <f>IF($A151&gt;=D$10,D$11,D$9)/12</f>
        <v>0.01825</v>
      </c>
      <c r="J151">
        <f>IF($A151&gt;=E$10,E$11,E$9)/12</f>
        <v>0.00766666666666667</v>
      </c>
      <c r="K151">
        <f>IF($A151&gt;=F$10,F$11,F$9)/12</f>
        <v>0.00533333333333333</v>
      </c>
      <c r="L151">
        <f>IF($A151&gt;=G$10,G$11,G$9)/12</f>
        <v>0</v>
      </c>
      <c r="M151">
        <f>IF($A151&gt;=H$10,H$11,H$9)/12</f>
        <v>0</v>
      </c>
      <c r="N151">
        <f>IF($A151&gt;=I$10,I$11,I$9)/12</f>
        <v>0</v>
      </c>
      <c r="O151">
        <f>IF($A151&gt;=J$10,J$11,J$9)/12</f>
        <v>0</v>
      </c>
      <c r="P151">
        <f>IF($A151&gt;=K$10,K$11,K$9)/12</f>
        <v>0</v>
      </c>
      <c r="Q151">
        <f>IF($A151&gt;=L$10,L$11,L$9)/12</f>
        <v>0</v>
      </c>
      <c r="R151">
        <f>IF($A151&gt;=M$10,M$11,M$9)/12</f>
        <v>0</v>
      </c>
      <c r="S151">
        <f>IF($A151&gt;=N$10,N$11,N$9)/12</f>
        <v>0</v>
      </c>
      <c r="T151">
        <f>IF(C$6="",0,SUMIFS('Budget ed extra'!$G$7:$G$42,'Budget ed extra'!$J$7:$J$42,$A151,'Budget ed extra'!$H$7:$H$42,C$6))</f>
        <v>0</v>
      </c>
      <c r="U151">
        <f>IF(D$6="",0,SUMIFS('Budget ed extra'!$G$7:$G$42,'Budget ed extra'!$J$7:$J$42,$A151,'Budget ed extra'!$H$7:$H$42,D$6))</f>
        <v>0</v>
      </c>
      <c r="V151">
        <f>IF(E$6="",0,SUMIFS('Budget ed extra'!$G$7:$G$42,'Budget ed extra'!$J$7:$J$42,$A151,'Budget ed extra'!$H$7:$H$42,E$6))</f>
        <v>0</v>
      </c>
      <c r="W151">
        <f>IF(F$6="",0,SUMIFS('Budget ed extra'!$G$7:$G$42,'Budget ed extra'!$J$7:$J$42,$A151,'Budget ed extra'!$H$7:$H$42,F$6))</f>
        <v>0</v>
      </c>
      <c r="X151">
        <f>IF(G$6="",0,SUMIFS('Budget ed extra'!$G$7:$G$42,'Budget ed extra'!$J$7:$J$42,$A151,'Budget ed extra'!$H$7:$H$42,G$6))</f>
        <v>0</v>
      </c>
      <c r="Y151">
        <f>IF(H$6="",0,SUMIFS('Budget ed extra'!$G$7:$G$42,'Budget ed extra'!$J$7:$J$42,$A151,'Budget ed extra'!$H$7:$H$42,H$6))</f>
        <v>0</v>
      </c>
      <c r="Z151">
        <f>IF(I$6="",0,SUMIFS('Budget ed extra'!$G$7:$G$42,'Budget ed extra'!$J$7:$J$42,$A151,'Budget ed extra'!$H$7:$H$42,I$6))</f>
        <v>0</v>
      </c>
      <c r="AA151">
        <f>IF(J$6="",0,SUMIFS('Budget ed extra'!$G$7:$G$42,'Budget ed extra'!$J$7:$J$42,$A151,'Budget ed extra'!$H$7:$H$42,J$6))</f>
        <v>0</v>
      </c>
      <c r="AB151">
        <f>IF(K$6="",0,SUMIFS('Budget ed extra'!$G$7:$G$42,'Budget ed extra'!$J$7:$J$42,$A151,'Budget ed extra'!$H$7:$H$42,K$6))</f>
        <v>0</v>
      </c>
      <c r="AC151">
        <f>IF(L$6="",0,SUMIFS('Budget ed extra'!$G$7:$G$42,'Budget ed extra'!$J$7:$J$42,$A151,'Budget ed extra'!$H$7:$H$42,L$6))</f>
        <v>0</v>
      </c>
      <c r="AD151">
        <f>IF(M$6="",0,SUMIFS('Budget ed extra'!$G$7:$G$42,'Budget ed extra'!$J$7:$J$42,$A151,'Budget ed extra'!$H$7:$H$42,M$6))</f>
        <v>0</v>
      </c>
      <c r="AE151">
        <f>IF(N$6="",0,SUMIFS('Budget ed extra'!$G$7:$G$42,'Budget ed extra'!$J$7:$J$42,$A151,'Budget ed extra'!$H$7:$H$42,N$6))</f>
        <v>0</v>
      </c>
    </row>
    <row r="152">
      <c r="A152" t="n">
        <v>122</v>
      </c>
      <c r="B152">
        <f>DATE($B$2,$B$3+A152-1,1)</f>
        <v>50010.0</v>
      </c>
      <c r="C152">
        <f>IF(D152=0,N(Impostazioni!$B$6),SUMIFS('Budget ed extra'!$B$7:$B$18,'Budget ed extra'!$D$7:$D$18,D152)/COUNTIFS('Budget ed extra'!$D$7:$D$18,D152))</f>
        <v>900</v>
      </c>
      <c r="D152">
        <f>SUMPRODUCT(MAX(('Budget ed extra'!$D$7:$D$18&lt;=A152)*'Budget ed extra'!$D$7:$D$18))</f>
        <v>9</v>
      </c>
      <c r="E152">
        <f>SUMIFS('Budget ed extra'!$G$7:$G$42,'Budget ed extra'!$J$7:$J$42,A152)</f>
        <v>0</v>
      </c>
      <c r="F152">
        <f>SUM(T152:AE152)</f>
        <v>0</v>
      </c>
      <c r="G152">
        <f>MAX(0,E152-F152)</f>
        <v>0</v>
      </c>
      <c r="H152">
        <f>IF($A152&gt;=C$10,C$11,C$9)/12</f>
        <v>0.01575</v>
      </c>
      <c r="I152">
        <f>IF($A152&gt;=D$10,D$11,D$9)/12</f>
        <v>0.01825</v>
      </c>
      <c r="J152">
        <f>IF($A152&gt;=E$10,E$11,E$9)/12</f>
        <v>0.00766666666666667</v>
      </c>
      <c r="K152">
        <f>IF($A152&gt;=F$10,F$11,F$9)/12</f>
        <v>0.00533333333333333</v>
      </c>
      <c r="L152">
        <f>IF($A152&gt;=G$10,G$11,G$9)/12</f>
        <v>0</v>
      </c>
      <c r="M152">
        <f>IF($A152&gt;=H$10,H$11,H$9)/12</f>
        <v>0</v>
      </c>
      <c r="N152">
        <f>IF($A152&gt;=I$10,I$11,I$9)/12</f>
        <v>0</v>
      </c>
      <c r="O152">
        <f>IF($A152&gt;=J$10,J$11,J$9)/12</f>
        <v>0</v>
      </c>
      <c r="P152">
        <f>IF($A152&gt;=K$10,K$11,K$9)/12</f>
        <v>0</v>
      </c>
      <c r="Q152">
        <f>IF($A152&gt;=L$10,L$11,L$9)/12</f>
        <v>0</v>
      </c>
      <c r="R152">
        <f>IF($A152&gt;=M$10,M$11,M$9)/12</f>
        <v>0</v>
      </c>
      <c r="S152">
        <f>IF($A152&gt;=N$10,N$11,N$9)/12</f>
        <v>0</v>
      </c>
      <c r="T152">
        <f>IF(C$6="",0,SUMIFS('Budget ed extra'!$G$7:$G$42,'Budget ed extra'!$J$7:$J$42,$A152,'Budget ed extra'!$H$7:$H$42,C$6))</f>
        <v>0</v>
      </c>
      <c r="U152">
        <f>IF(D$6="",0,SUMIFS('Budget ed extra'!$G$7:$G$42,'Budget ed extra'!$J$7:$J$42,$A152,'Budget ed extra'!$H$7:$H$42,D$6))</f>
        <v>0</v>
      </c>
      <c r="V152">
        <f>IF(E$6="",0,SUMIFS('Budget ed extra'!$G$7:$G$42,'Budget ed extra'!$J$7:$J$42,$A152,'Budget ed extra'!$H$7:$H$42,E$6))</f>
        <v>0</v>
      </c>
      <c r="W152">
        <f>IF(F$6="",0,SUMIFS('Budget ed extra'!$G$7:$G$42,'Budget ed extra'!$J$7:$J$42,$A152,'Budget ed extra'!$H$7:$H$42,F$6))</f>
        <v>0</v>
      </c>
      <c r="X152">
        <f>IF(G$6="",0,SUMIFS('Budget ed extra'!$G$7:$G$42,'Budget ed extra'!$J$7:$J$42,$A152,'Budget ed extra'!$H$7:$H$42,G$6))</f>
        <v>0</v>
      </c>
      <c r="Y152">
        <f>IF(H$6="",0,SUMIFS('Budget ed extra'!$G$7:$G$42,'Budget ed extra'!$J$7:$J$42,$A152,'Budget ed extra'!$H$7:$H$42,H$6))</f>
        <v>0</v>
      </c>
      <c r="Z152">
        <f>IF(I$6="",0,SUMIFS('Budget ed extra'!$G$7:$G$42,'Budget ed extra'!$J$7:$J$42,$A152,'Budget ed extra'!$H$7:$H$42,I$6))</f>
        <v>0</v>
      </c>
      <c r="AA152">
        <f>IF(J$6="",0,SUMIFS('Budget ed extra'!$G$7:$G$42,'Budget ed extra'!$J$7:$J$42,$A152,'Budget ed extra'!$H$7:$H$42,J$6))</f>
        <v>0</v>
      </c>
      <c r="AB152">
        <f>IF(K$6="",0,SUMIFS('Budget ed extra'!$G$7:$G$42,'Budget ed extra'!$J$7:$J$42,$A152,'Budget ed extra'!$H$7:$H$42,K$6))</f>
        <v>0</v>
      </c>
      <c r="AC152">
        <f>IF(L$6="",0,SUMIFS('Budget ed extra'!$G$7:$G$42,'Budget ed extra'!$J$7:$J$42,$A152,'Budget ed extra'!$H$7:$H$42,L$6))</f>
        <v>0</v>
      </c>
      <c r="AD152">
        <f>IF(M$6="",0,SUMIFS('Budget ed extra'!$G$7:$G$42,'Budget ed extra'!$J$7:$J$42,$A152,'Budget ed extra'!$H$7:$H$42,M$6))</f>
        <v>0</v>
      </c>
      <c r="AE152">
        <f>IF(N$6="",0,SUMIFS('Budget ed extra'!$G$7:$G$42,'Budget ed extra'!$J$7:$J$42,$A152,'Budget ed extra'!$H$7:$H$42,N$6))</f>
        <v>0</v>
      </c>
    </row>
    <row r="153">
      <c r="A153" t="n">
        <v>123</v>
      </c>
      <c r="B153">
        <f>DATE($B$2,$B$3+A153-1,1)</f>
        <v>50041.0</v>
      </c>
      <c r="C153">
        <f>IF(D153=0,N(Impostazioni!$B$6),SUMIFS('Budget ed extra'!$B$7:$B$18,'Budget ed extra'!$D$7:$D$18,D153)/COUNTIFS('Budget ed extra'!$D$7:$D$18,D153))</f>
        <v>900</v>
      </c>
      <c r="D153">
        <f>SUMPRODUCT(MAX(('Budget ed extra'!$D$7:$D$18&lt;=A153)*'Budget ed extra'!$D$7:$D$18))</f>
        <v>9</v>
      </c>
      <c r="E153">
        <f>SUMIFS('Budget ed extra'!$G$7:$G$42,'Budget ed extra'!$J$7:$J$42,A153)</f>
        <v>0</v>
      </c>
      <c r="F153">
        <f>SUM(T153:AE153)</f>
        <v>0</v>
      </c>
      <c r="G153">
        <f>MAX(0,E153-F153)</f>
        <v>0</v>
      </c>
      <c r="H153">
        <f>IF($A153&gt;=C$10,C$11,C$9)/12</f>
        <v>0.01575</v>
      </c>
      <c r="I153">
        <f>IF($A153&gt;=D$10,D$11,D$9)/12</f>
        <v>0.01825</v>
      </c>
      <c r="J153">
        <f>IF($A153&gt;=E$10,E$11,E$9)/12</f>
        <v>0.00766666666666667</v>
      </c>
      <c r="K153">
        <f>IF($A153&gt;=F$10,F$11,F$9)/12</f>
        <v>0.00533333333333333</v>
      </c>
      <c r="L153">
        <f>IF($A153&gt;=G$10,G$11,G$9)/12</f>
        <v>0</v>
      </c>
      <c r="M153">
        <f>IF($A153&gt;=H$10,H$11,H$9)/12</f>
        <v>0</v>
      </c>
      <c r="N153">
        <f>IF($A153&gt;=I$10,I$11,I$9)/12</f>
        <v>0</v>
      </c>
      <c r="O153">
        <f>IF($A153&gt;=J$10,J$11,J$9)/12</f>
        <v>0</v>
      </c>
      <c r="P153">
        <f>IF($A153&gt;=K$10,K$11,K$9)/12</f>
        <v>0</v>
      </c>
      <c r="Q153">
        <f>IF($A153&gt;=L$10,L$11,L$9)/12</f>
        <v>0</v>
      </c>
      <c r="R153">
        <f>IF($A153&gt;=M$10,M$11,M$9)/12</f>
        <v>0</v>
      </c>
      <c r="S153">
        <f>IF($A153&gt;=N$10,N$11,N$9)/12</f>
        <v>0</v>
      </c>
      <c r="T153">
        <f>IF(C$6="",0,SUMIFS('Budget ed extra'!$G$7:$G$42,'Budget ed extra'!$J$7:$J$42,$A153,'Budget ed extra'!$H$7:$H$42,C$6))</f>
        <v>0</v>
      </c>
      <c r="U153">
        <f>IF(D$6="",0,SUMIFS('Budget ed extra'!$G$7:$G$42,'Budget ed extra'!$J$7:$J$42,$A153,'Budget ed extra'!$H$7:$H$42,D$6))</f>
        <v>0</v>
      </c>
      <c r="V153">
        <f>IF(E$6="",0,SUMIFS('Budget ed extra'!$G$7:$G$42,'Budget ed extra'!$J$7:$J$42,$A153,'Budget ed extra'!$H$7:$H$42,E$6))</f>
        <v>0</v>
      </c>
      <c r="W153">
        <f>IF(F$6="",0,SUMIFS('Budget ed extra'!$G$7:$G$42,'Budget ed extra'!$J$7:$J$42,$A153,'Budget ed extra'!$H$7:$H$42,F$6))</f>
        <v>0</v>
      </c>
      <c r="X153">
        <f>IF(G$6="",0,SUMIFS('Budget ed extra'!$G$7:$G$42,'Budget ed extra'!$J$7:$J$42,$A153,'Budget ed extra'!$H$7:$H$42,G$6))</f>
        <v>0</v>
      </c>
      <c r="Y153">
        <f>IF(H$6="",0,SUMIFS('Budget ed extra'!$G$7:$G$42,'Budget ed extra'!$J$7:$J$42,$A153,'Budget ed extra'!$H$7:$H$42,H$6))</f>
        <v>0</v>
      </c>
      <c r="Z153">
        <f>IF(I$6="",0,SUMIFS('Budget ed extra'!$G$7:$G$42,'Budget ed extra'!$J$7:$J$42,$A153,'Budget ed extra'!$H$7:$H$42,I$6))</f>
        <v>0</v>
      </c>
      <c r="AA153">
        <f>IF(J$6="",0,SUMIFS('Budget ed extra'!$G$7:$G$42,'Budget ed extra'!$J$7:$J$42,$A153,'Budget ed extra'!$H$7:$H$42,J$6))</f>
        <v>0</v>
      </c>
      <c r="AB153">
        <f>IF(K$6="",0,SUMIFS('Budget ed extra'!$G$7:$G$42,'Budget ed extra'!$J$7:$J$42,$A153,'Budget ed extra'!$H$7:$H$42,K$6))</f>
        <v>0</v>
      </c>
      <c r="AC153">
        <f>IF(L$6="",0,SUMIFS('Budget ed extra'!$G$7:$G$42,'Budget ed extra'!$J$7:$J$42,$A153,'Budget ed extra'!$H$7:$H$42,L$6))</f>
        <v>0</v>
      </c>
      <c r="AD153">
        <f>IF(M$6="",0,SUMIFS('Budget ed extra'!$G$7:$G$42,'Budget ed extra'!$J$7:$J$42,$A153,'Budget ed extra'!$H$7:$H$42,M$6))</f>
        <v>0</v>
      </c>
      <c r="AE153">
        <f>IF(N$6="",0,SUMIFS('Budget ed extra'!$G$7:$G$42,'Budget ed extra'!$J$7:$J$42,$A153,'Budget ed extra'!$H$7:$H$42,N$6))</f>
        <v>0</v>
      </c>
    </row>
    <row r="154">
      <c r="A154" t="n">
        <v>124</v>
      </c>
      <c r="B154">
        <f>DATE($B$2,$B$3+A154-1,1)</f>
        <v>50072.0</v>
      </c>
      <c r="C154">
        <f>IF(D154=0,N(Impostazioni!$B$6),SUMIFS('Budget ed extra'!$B$7:$B$18,'Budget ed extra'!$D$7:$D$18,D154)/COUNTIFS('Budget ed extra'!$D$7:$D$18,D154))</f>
        <v>900</v>
      </c>
      <c r="D154">
        <f>SUMPRODUCT(MAX(('Budget ed extra'!$D$7:$D$18&lt;=A154)*'Budget ed extra'!$D$7:$D$18))</f>
        <v>9</v>
      </c>
      <c r="E154">
        <f>SUMIFS('Budget ed extra'!$G$7:$G$42,'Budget ed extra'!$J$7:$J$42,A154)</f>
        <v>0</v>
      </c>
      <c r="F154">
        <f>SUM(T154:AE154)</f>
        <v>0</v>
      </c>
      <c r="G154">
        <f>MAX(0,E154-F154)</f>
        <v>0</v>
      </c>
      <c r="H154">
        <f>IF($A154&gt;=C$10,C$11,C$9)/12</f>
        <v>0.01575</v>
      </c>
      <c r="I154">
        <f>IF($A154&gt;=D$10,D$11,D$9)/12</f>
        <v>0.01825</v>
      </c>
      <c r="J154">
        <f>IF($A154&gt;=E$10,E$11,E$9)/12</f>
        <v>0.00766666666666667</v>
      </c>
      <c r="K154">
        <f>IF($A154&gt;=F$10,F$11,F$9)/12</f>
        <v>0.00533333333333333</v>
      </c>
      <c r="L154">
        <f>IF($A154&gt;=G$10,G$11,G$9)/12</f>
        <v>0</v>
      </c>
      <c r="M154">
        <f>IF($A154&gt;=H$10,H$11,H$9)/12</f>
        <v>0</v>
      </c>
      <c r="N154">
        <f>IF($A154&gt;=I$10,I$11,I$9)/12</f>
        <v>0</v>
      </c>
      <c r="O154">
        <f>IF($A154&gt;=J$10,J$11,J$9)/12</f>
        <v>0</v>
      </c>
      <c r="P154">
        <f>IF($A154&gt;=K$10,K$11,K$9)/12</f>
        <v>0</v>
      </c>
      <c r="Q154">
        <f>IF($A154&gt;=L$10,L$11,L$9)/12</f>
        <v>0</v>
      </c>
      <c r="R154">
        <f>IF($A154&gt;=M$10,M$11,M$9)/12</f>
        <v>0</v>
      </c>
      <c r="S154">
        <f>IF($A154&gt;=N$10,N$11,N$9)/12</f>
        <v>0</v>
      </c>
      <c r="T154">
        <f>IF(C$6="",0,SUMIFS('Budget ed extra'!$G$7:$G$42,'Budget ed extra'!$J$7:$J$42,$A154,'Budget ed extra'!$H$7:$H$42,C$6))</f>
        <v>0</v>
      </c>
      <c r="U154">
        <f>IF(D$6="",0,SUMIFS('Budget ed extra'!$G$7:$G$42,'Budget ed extra'!$J$7:$J$42,$A154,'Budget ed extra'!$H$7:$H$42,D$6))</f>
        <v>0</v>
      </c>
      <c r="V154">
        <f>IF(E$6="",0,SUMIFS('Budget ed extra'!$G$7:$G$42,'Budget ed extra'!$J$7:$J$42,$A154,'Budget ed extra'!$H$7:$H$42,E$6))</f>
        <v>0</v>
      </c>
      <c r="W154">
        <f>IF(F$6="",0,SUMIFS('Budget ed extra'!$G$7:$G$42,'Budget ed extra'!$J$7:$J$42,$A154,'Budget ed extra'!$H$7:$H$42,F$6))</f>
        <v>0</v>
      </c>
      <c r="X154">
        <f>IF(G$6="",0,SUMIFS('Budget ed extra'!$G$7:$G$42,'Budget ed extra'!$J$7:$J$42,$A154,'Budget ed extra'!$H$7:$H$42,G$6))</f>
        <v>0</v>
      </c>
      <c r="Y154">
        <f>IF(H$6="",0,SUMIFS('Budget ed extra'!$G$7:$G$42,'Budget ed extra'!$J$7:$J$42,$A154,'Budget ed extra'!$H$7:$H$42,H$6))</f>
        <v>0</v>
      </c>
      <c r="Z154">
        <f>IF(I$6="",0,SUMIFS('Budget ed extra'!$G$7:$G$42,'Budget ed extra'!$J$7:$J$42,$A154,'Budget ed extra'!$H$7:$H$42,I$6))</f>
        <v>0</v>
      </c>
      <c r="AA154">
        <f>IF(J$6="",0,SUMIFS('Budget ed extra'!$G$7:$G$42,'Budget ed extra'!$J$7:$J$42,$A154,'Budget ed extra'!$H$7:$H$42,J$6))</f>
        <v>0</v>
      </c>
      <c r="AB154">
        <f>IF(K$6="",0,SUMIFS('Budget ed extra'!$G$7:$G$42,'Budget ed extra'!$J$7:$J$42,$A154,'Budget ed extra'!$H$7:$H$42,K$6))</f>
        <v>0</v>
      </c>
      <c r="AC154">
        <f>IF(L$6="",0,SUMIFS('Budget ed extra'!$G$7:$G$42,'Budget ed extra'!$J$7:$J$42,$A154,'Budget ed extra'!$H$7:$H$42,L$6))</f>
        <v>0</v>
      </c>
      <c r="AD154">
        <f>IF(M$6="",0,SUMIFS('Budget ed extra'!$G$7:$G$42,'Budget ed extra'!$J$7:$J$42,$A154,'Budget ed extra'!$H$7:$H$42,M$6))</f>
        <v>0</v>
      </c>
      <c r="AE154">
        <f>IF(N$6="",0,SUMIFS('Budget ed extra'!$G$7:$G$42,'Budget ed extra'!$J$7:$J$42,$A154,'Budget ed extra'!$H$7:$H$42,N$6))</f>
        <v>0</v>
      </c>
    </row>
    <row r="155">
      <c r="A155" t="n">
        <v>125</v>
      </c>
      <c r="B155">
        <f>DATE($B$2,$B$3+A155-1,1)</f>
        <v>50100.0</v>
      </c>
      <c r="C155">
        <f>IF(D155=0,N(Impostazioni!$B$6),SUMIFS('Budget ed extra'!$B$7:$B$18,'Budget ed extra'!$D$7:$D$18,D155)/COUNTIFS('Budget ed extra'!$D$7:$D$18,D155))</f>
        <v>900</v>
      </c>
      <c r="D155">
        <f>SUMPRODUCT(MAX(('Budget ed extra'!$D$7:$D$18&lt;=A155)*'Budget ed extra'!$D$7:$D$18))</f>
        <v>9</v>
      </c>
      <c r="E155">
        <f>SUMIFS('Budget ed extra'!$G$7:$G$42,'Budget ed extra'!$J$7:$J$42,A155)</f>
        <v>0</v>
      </c>
      <c r="F155">
        <f>SUM(T155:AE155)</f>
        <v>0</v>
      </c>
      <c r="G155">
        <f>MAX(0,E155-F155)</f>
        <v>0</v>
      </c>
      <c r="H155">
        <f>IF($A155&gt;=C$10,C$11,C$9)/12</f>
        <v>0.01575</v>
      </c>
      <c r="I155">
        <f>IF($A155&gt;=D$10,D$11,D$9)/12</f>
        <v>0.01825</v>
      </c>
      <c r="J155">
        <f>IF($A155&gt;=E$10,E$11,E$9)/12</f>
        <v>0.00766666666666667</v>
      </c>
      <c r="K155">
        <f>IF($A155&gt;=F$10,F$11,F$9)/12</f>
        <v>0.00533333333333333</v>
      </c>
      <c r="L155">
        <f>IF($A155&gt;=G$10,G$11,G$9)/12</f>
        <v>0</v>
      </c>
      <c r="M155">
        <f>IF($A155&gt;=H$10,H$11,H$9)/12</f>
        <v>0</v>
      </c>
      <c r="N155">
        <f>IF($A155&gt;=I$10,I$11,I$9)/12</f>
        <v>0</v>
      </c>
      <c r="O155">
        <f>IF($A155&gt;=J$10,J$11,J$9)/12</f>
        <v>0</v>
      </c>
      <c r="P155">
        <f>IF($A155&gt;=K$10,K$11,K$9)/12</f>
        <v>0</v>
      </c>
      <c r="Q155">
        <f>IF($A155&gt;=L$10,L$11,L$9)/12</f>
        <v>0</v>
      </c>
      <c r="R155">
        <f>IF($A155&gt;=M$10,M$11,M$9)/12</f>
        <v>0</v>
      </c>
      <c r="S155">
        <f>IF($A155&gt;=N$10,N$11,N$9)/12</f>
        <v>0</v>
      </c>
      <c r="T155">
        <f>IF(C$6="",0,SUMIFS('Budget ed extra'!$G$7:$G$42,'Budget ed extra'!$J$7:$J$42,$A155,'Budget ed extra'!$H$7:$H$42,C$6))</f>
        <v>0</v>
      </c>
      <c r="U155">
        <f>IF(D$6="",0,SUMIFS('Budget ed extra'!$G$7:$G$42,'Budget ed extra'!$J$7:$J$42,$A155,'Budget ed extra'!$H$7:$H$42,D$6))</f>
        <v>0</v>
      </c>
      <c r="V155">
        <f>IF(E$6="",0,SUMIFS('Budget ed extra'!$G$7:$G$42,'Budget ed extra'!$J$7:$J$42,$A155,'Budget ed extra'!$H$7:$H$42,E$6))</f>
        <v>0</v>
      </c>
      <c r="W155">
        <f>IF(F$6="",0,SUMIFS('Budget ed extra'!$G$7:$G$42,'Budget ed extra'!$J$7:$J$42,$A155,'Budget ed extra'!$H$7:$H$42,F$6))</f>
        <v>0</v>
      </c>
      <c r="X155">
        <f>IF(G$6="",0,SUMIFS('Budget ed extra'!$G$7:$G$42,'Budget ed extra'!$J$7:$J$42,$A155,'Budget ed extra'!$H$7:$H$42,G$6))</f>
        <v>0</v>
      </c>
      <c r="Y155">
        <f>IF(H$6="",0,SUMIFS('Budget ed extra'!$G$7:$G$42,'Budget ed extra'!$J$7:$J$42,$A155,'Budget ed extra'!$H$7:$H$42,H$6))</f>
        <v>0</v>
      </c>
      <c r="Z155">
        <f>IF(I$6="",0,SUMIFS('Budget ed extra'!$G$7:$G$42,'Budget ed extra'!$J$7:$J$42,$A155,'Budget ed extra'!$H$7:$H$42,I$6))</f>
        <v>0</v>
      </c>
      <c r="AA155">
        <f>IF(J$6="",0,SUMIFS('Budget ed extra'!$G$7:$G$42,'Budget ed extra'!$J$7:$J$42,$A155,'Budget ed extra'!$H$7:$H$42,J$6))</f>
        <v>0</v>
      </c>
      <c r="AB155">
        <f>IF(K$6="",0,SUMIFS('Budget ed extra'!$G$7:$G$42,'Budget ed extra'!$J$7:$J$42,$A155,'Budget ed extra'!$H$7:$H$42,K$6))</f>
        <v>0</v>
      </c>
      <c r="AC155">
        <f>IF(L$6="",0,SUMIFS('Budget ed extra'!$G$7:$G$42,'Budget ed extra'!$J$7:$J$42,$A155,'Budget ed extra'!$H$7:$H$42,L$6))</f>
        <v>0</v>
      </c>
      <c r="AD155">
        <f>IF(M$6="",0,SUMIFS('Budget ed extra'!$G$7:$G$42,'Budget ed extra'!$J$7:$J$42,$A155,'Budget ed extra'!$H$7:$H$42,M$6))</f>
        <v>0</v>
      </c>
      <c r="AE155">
        <f>IF(N$6="",0,SUMIFS('Budget ed extra'!$G$7:$G$42,'Budget ed extra'!$J$7:$J$42,$A155,'Budget ed extra'!$H$7:$H$42,N$6))</f>
        <v>0</v>
      </c>
    </row>
    <row r="156">
      <c r="A156" t="n">
        <v>126</v>
      </c>
      <c r="B156">
        <f>DATE($B$2,$B$3+A156-1,1)</f>
        <v>50131.0</v>
      </c>
      <c r="C156">
        <f>IF(D156=0,N(Impostazioni!$B$6),SUMIFS('Budget ed extra'!$B$7:$B$18,'Budget ed extra'!$D$7:$D$18,D156)/COUNTIFS('Budget ed extra'!$D$7:$D$18,D156))</f>
        <v>900</v>
      </c>
      <c r="D156">
        <f>SUMPRODUCT(MAX(('Budget ed extra'!$D$7:$D$18&lt;=A156)*'Budget ed extra'!$D$7:$D$18))</f>
        <v>9</v>
      </c>
      <c r="E156">
        <f>SUMIFS('Budget ed extra'!$G$7:$G$42,'Budget ed extra'!$J$7:$J$42,A156)</f>
        <v>0</v>
      </c>
      <c r="F156">
        <f>SUM(T156:AE156)</f>
        <v>0</v>
      </c>
      <c r="G156">
        <f>MAX(0,E156-F156)</f>
        <v>0</v>
      </c>
      <c r="H156">
        <f>IF($A156&gt;=C$10,C$11,C$9)/12</f>
        <v>0.01575</v>
      </c>
      <c r="I156">
        <f>IF($A156&gt;=D$10,D$11,D$9)/12</f>
        <v>0.01825</v>
      </c>
      <c r="J156">
        <f>IF($A156&gt;=E$10,E$11,E$9)/12</f>
        <v>0.00766666666666667</v>
      </c>
      <c r="K156">
        <f>IF($A156&gt;=F$10,F$11,F$9)/12</f>
        <v>0.00533333333333333</v>
      </c>
      <c r="L156">
        <f>IF($A156&gt;=G$10,G$11,G$9)/12</f>
        <v>0</v>
      </c>
      <c r="M156">
        <f>IF($A156&gt;=H$10,H$11,H$9)/12</f>
        <v>0</v>
      </c>
      <c r="N156">
        <f>IF($A156&gt;=I$10,I$11,I$9)/12</f>
        <v>0</v>
      </c>
      <c r="O156">
        <f>IF($A156&gt;=J$10,J$11,J$9)/12</f>
        <v>0</v>
      </c>
      <c r="P156">
        <f>IF($A156&gt;=K$10,K$11,K$9)/12</f>
        <v>0</v>
      </c>
      <c r="Q156">
        <f>IF($A156&gt;=L$10,L$11,L$9)/12</f>
        <v>0</v>
      </c>
      <c r="R156">
        <f>IF($A156&gt;=M$10,M$11,M$9)/12</f>
        <v>0</v>
      </c>
      <c r="S156">
        <f>IF($A156&gt;=N$10,N$11,N$9)/12</f>
        <v>0</v>
      </c>
      <c r="T156">
        <f>IF(C$6="",0,SUMIFS('Budget ed extra'!$G$7:$G$42,'Budget ed extra'!$J$7:$J$42,$A156,'Budget ed extra'!$H$7:$H$42,C$6))</f>
        <v>0</v>
      </c>
      <c r="U156">
        <f>IF(D$6="",0,SUMIFS('Budget ed extra'!$G$7:$G$42,'Budget ed extra'!$J$7:$J$42,$A156,'Budget ed extra'!$H$7:$H$42,D$6))</f>
        <v>0</v>
      </c>
      <c r="V156">
        <f>IF(E$6="",0,SUMIFS('Budget ed extra'!$G$7:$G$42,'Budget ed extra'!$J$7:$J$42,$A156,'Budget ed extra'!$H$7:$H$42,E$6))</f>
        <v>0</v>
      </c>
      <c r="W156">
        <f>IF(F$6="",0,SUMIFS('Budget ed extra'!$G$7:$G$42,'Budget ed extra'!$J$7:$J$42,$A156,'Budget ed extra'!$H$7:$H$42,F$6))</f>
        <v>0</v>
      </c>
      <c r="X156">
        <f>IF(G$6="",0,SUMIFS('Budget ed extra'!$G$7:$G$42,'Budget ed extra'!$J$7:$J$42,$A156,'Budget ed extra'!$H$7:$H$42,G$6))</f>
        <v>0</v>
      </c>
      <c r="Y156">
        <f>IF(H$6="",0,SUMIFS('Budget ed extra'!$G$7:$G$42,'Budget ed extra'!$J$7:$J$42,$A156,'Budget ed extra'!$H$7:$H$42,H$6))</f>
        <v>0</v>
      </c>
      <c r="Z156">
        <f>IF(I$6="",0,SUMIFS('Budget ed extra'!$G$7:$G$42,'Budget ed extra'!$J$7:$J$42,$A156,'Budget ed extra'!$H$7:$H$42,I$6))</f>
        <v>0</v>
      </c>
      <c r="AA156">
        <f>IF(J$6="",0,SUMIFS('Budget ed extra'!$G$7:$G$42,'Budget ed extra'!$J$7:$J$42,$A156,'Budget ed extra'!$H$7:$H$42,J$6))</f>
        <v>0</v>
      </c>
      <c r="AB156">
        <f>IF(K$6="",0,SUMIFS('Budget ed extra'!$G$7:$G$42,'Budget ed extra'!$J$7:$J$42,$A156,'Budget ed extra'!$H$7:$H$42,K$6))</f>
        <v>0</v>
      </c>
      <c r="AC156">
        <f>IF(L$6="",0,SUMIFS('Budget ed extra'!$G$7:$G$42,'Budget ed extra'!$J$7:$J$42,$A156,'Budget ed extra'!$H$7:$H$42,L$6))</f>
        <v>0</v>
      </c>
      <c r="AD156">
        <f>IF(M$6="",0,SUMIFS('Budget ed extra'!$G$7:$G$42,'Budget ed extra'!$J$7:$J$42,$A156,'Budget ed extra'!$H$7:$H$42,M$6))</f>
        <v>0</v>
      </c>
      <c r="AE156">
        <f>IF(N$6="",0,SUMIFS('Budget ed extra'!$G$7:$G$42,'Budget ed extra'!$J$7:$J$42,$A156,'Budget ed extra'!$H$7:$H$42,N$6))</f>
        <v>0</v>
      </c>
    </row>
    <row r="157">
      <c r="A157" t="n">
        <v>127</v>
      </c>
      <c r="B157">
        <f>DATE($B$2,$B$3+A157-1,1)</f>
        <v>50161.0</v>
      </c>
      <c r="C157">
        <f>IF(D157=0,N(Impostazioni!$B$6),SUMIFS('Budget ed extra'!$B$7:$B$18,'Budget ed extra'!$D$7:$D$18,D157)/COUNTIFS('Budget ed extra'!$D$7:$D$18,D157))</f>
        <v>900</v>
      </c>
      <c r="D157">
        <f>SUMPRODUCT(MAX(('Budget ed extra'!$D$7:$D$18&lt;=A157)*'Budget ed extra'!$D$7:$D$18))</f>
        <v>9</v>
      </c>
      <c r="E157">
        <f>SUMIFS('Budget ed extra'!$G$7:$G$42,'Budget ed extra'!$J$7:$J$42,A157)</f>
        <v>0</v>
      </c>
      <c r="F157">
        <f>SUM(T157:AE157)</f>
        <v>0</v>
      </c>
      <c r="G157">
        <f>MAX(0,E157-F157)</f>
        <v>0</v>
      </c>
      <c r="H157">
        <f>IF($A157&gt;=C$10,C$11,C$9)/12</f>
        <v>0.01575</v>
      </c>
      <c r="I157">
        <f>IF($A157&gt;=D$10,D$11,D$9)/12</f>
        <v>0.01825</v>
      </c>
      <c r="J157">
        <f>IF($A157&gt;=E$10,E$11,E$9)/12</f>
        <v>0.00766666666666667</v>
      </c>
      <c r="K157">
        <f>IF($A157&gt;=F$10,F$11,F$9)/12</f>
        <v>0.00533333333333333</v>
      </c>
      <c r="L157">
        <f>IF($A157&gt;=G$10,G$11,G$9)/12</f>
        <v>0</v>
      </c>
      <c r="M157">
        <f>IF($A157&gt;=H$10,H$11,H$9)/12</f>
        <v>0</v>
      </c>
      <c r="N157">
        <f>IF($A157&gt;=I$10,I$11,I$9)/12</f>
        <v>0</v>
      </c>
      <c r="O157">
        <f>IF($A157&gt;=J$10,J$11,J$9)/12</f>
        <v>0</v>
      </c>
      <c r="P157">
        <f>IF($A157&gt;=K$10,K$11,K$9)/12</f>
        <v>0</v>
      </c>
      <c r="Q157">
        <f>IF($A157&gt;=L$10,L$11,L$9)/12</f>
        <v>0</v>
      </c>
      <c r="R157">
        <f>IF($A157&gt;=M$10,M$11,M$9)/12</f>
        <v>0</v>
      </c>
      <c r="S157">
        <f>IF($A157&gt;=N$10,N$11,N$9)/12</f>
        <v>0</v>
      </c>
      <c r="T157">
        <f>IF(C$6="",0,SUMIFS('Budget ed extra'!$G$7:$G$42,'Budget ed extra'!$J$7:$J$42,$A157,'Budget ed extra'!$H$7:$H$42,C$6))</f>
        <v>0</v>
      </c>
      <c r="U157">
        <f>IF(D$6="",0,SUMIFS('Budget ed extra'!$G$7:$G$42,'Budget ed extra'!$J$7:$J$42,$A157,'Budget ed extra'!$H$7:$H$42,D$6))</f>
        <v>0</v>
      </c>
      <c r="V157">
        <f>IF(E$6="",0,SUMIFS('Budget ed extra'!$G$7:$G$42,'Budget ed extra'!$J$7:$J$42,$A157,'Budget ed extra'!$H$7:$H$42,E$6))</f>
        <v>0</v>
      </c>
      <c r="W157">
        <f>IF(F$6="",0,SUMIFS('Budget ed extra'!$G$7:$G$42,'Budget ed extra'!$J$7:$J$42,$A157,'Budget ed extra'!$H$7:$H$42,F$6))</f>
        <v>0</v>
      </c>
      <c r="X157">
        <f>IF(G$6="",0,SUMIFS('Budget ed extra'!$G$7:$G$42,'Budget ed extra'!$J$7:$J$42,$A157,'Budget ed extra'!$H$7:$H$42,G$6))</f>
        <v>0</v>
      </c>
      <c r="Y157">
        <f>IF(H$6="",0,SUMIFS('Budget ed extra'!$G$7:$G$42,'Budget ed extra'!$J$7:$J$42,$A157,'Budget ed extra'!$H$7:$H$42,H$6))</f>
        <v>0</v>
      </c>
      <c r="Z157">
        <f>IF(I$6="",0,SUMIFS('Budget ed extra'!$G$7:$G$42,'Budget ed extra'!$J$7:$J$42,$A157,'Budget ed extra'!$H$7:$H$42,I$6))</f>
        <v>0</v>
      </c>
      <c r="AA157">
        <f>IF(J$6="",0,SUMIFS('Budget ed extra'!$G$7:$G$42,'Budget ed extra'!$J$7:$J$42,$A157,'Budget ed extra'!$H$7:$H$42,J$6))</f>
        <v>0</v>
      </c>
      <c r="AB157">
        <f>IF(K$6="",0,SUMIFS('Budget ed extra'!$G$7:$G$42,'Budget ed extra'!$J$7:$J$42,$A157,'Budget ed extra'!$H$7:$H$42,K$6))</f>
        <v>0</v>
      </c>
      <c r="AC157">
        <f>IF(L$6="",0,SUMIFS('Budget ed extra'!$G$7:$G$42,'Budget ed extra'!$J$7:$J$42,$A157,'Budget ed extra'!$H$7:$H$42,L$6))</f>
        <v>0</v>
      </c>
      <c r="AD157">
        <f>IF(M$6="",0,SUMIFS('Budget ed extra'!$G$7:$G$42,'Budget ed extra'!$J$7:$J$42,$A157,'Budget ed extra'!$H$7:$H$42,M$6))</f>
        <v>0</v>
      </c>
      <c r="AE157">
        <f>IF(N$6="",0,SUMIFS('Budget ed extra'!$G$7:$G$42,'Budget ed extra'!$J$7:$J$42,$A157,'Budget ed extra'!$H$7:$H$42,N$6))</f>
        <v>0</v>
      </c>
    </row>
    <row r="158">
      <c r="A158" t="n">
        <v>128</v>
      </c>
      <c r="B158">
        <f>DATE($B$2,$B$3+A158-1,1)</f>
        <v>50192.0</v>
      </c>
      <c r="C158">
        <f>IF(D158=0,N(Impostazioni!$B$6),SUMIFS('Budget ed extra'!$B$7:$B$18,'Budget ed extra'!$D$7:$D$18,D158)/COUNTIFS('Budget ed extra'!$D$7:$D$18,D158))</f>
        <v>900</v>
      </c>
      <c r="D158">
        <f>SUMPRODUCT(MAX(('Budget ed extra'!$D$7:$D$18&lt;=A158)*'Budget ed extra'!$D$7:$D$18))</f>
        <v>9</v>
      </c>
      <c r="E158">
        <f>SUMIFS('Budget ed extra'!$G$7:$G$42,'Budget ed extra'!$J$7:$J$42,A158)</f>
        <v>0</v>
      </c>
      <c r="F158">
        <f>SUM(T158:AE158)</f>
        <v>0</v>
      </c>
      <c r="G158">
        <f>MAX(0,E158-F158)</f>
        <v>0</v>
      </c>
      <c r="H158">
        <f>IF($A158&gt;=C$10,C$11,C$9)/12</f>
        <v>0.01575</v>
      </c>
      <c r="I158">
        <f>IF($A158&gt;=D$10,D$11,D$9)/12</f>
        <v>0.01825</v>
      </c>
      <c r="J158">
        <f>IF($A158&gt;=E$10,E$11,E$9)/12</f>
        <v>0.00766666666666667</v>
      </c>
      <c r="K158">
        <f>IF($A158&gt;=F$10,F$11,F$9)/12</f>
        <v>0.00533333333333333</v>
      </c>
      <c r="L158">
        <f>IF($A158&gt;=G$10,G$11,G$9)/12</f>
        <v>0</v>
      </c>
      <c r="M158">
        <f>IF($A158&gt;=H$10,H$11,H$9)/12</f>
        <v>0</v>
      </c>
      <c r="N158">
        <f>IF($A158&gt;=I$10,I$11,I$9)/12</f>
        <v>0</v>
      </c>
      <c r="O158">
        <f>IF($A158&gt;=J$10,J$11,J$9)/12</f>
        <v>0</v>
      </c>
      <c r="P158">
        <f>IF($A158&gt;=K$10,K$11,K$9)/12</f>
        <v>0</v>
      </c>
      <c r="Q158">
        <f>IF($A158&gt;=L$10,L$11,L$9)/12</f>
        <v>0</v>
      </c>
      <c r="R158">
        <f>IF($A158&gt;=M$10,M$11,M$9)/12</f>
        <v>0</v>
      </c>
      <c r="S158">
        <f>IF($A158&gt;=N$10,N$11,N$9)/12</f>
        <v>0</v>
      </c>
      <c r="T158">
        <f>IF(C$6="",0,SUMIFS('Budget ed extra'!$G$7:$G$42,'Budget ed extra'!$J$7:$J$42,$A158,'Budget ed extra'!$H$7:$H$42,C$6))</f>
        <v>0</v>
      </c>
      <c r="U158">
        <f>IF(D$6="",0,SUMIFS('Budget ed extra'!$G$7:$G$42,'Budget ed extra'!$J$7:$J$42,$A158,'Budget ed extra'!$H$7:$H$42,D$6))</f>
        <v>0</v>
      </c>
      <c r="V158">
        <f>IF(E$6="",0,SUMIFS('Budget ed extra'!$G$7:$G$42,'Budget ed extra'!$J$7:$J$42,$A158,'Budget ed extra'!$H$7:$H$42,E$6))</f>
        <v>0</v>
      </c>
      <c r="W158">
        <f>IF(F$6="",0,SUMIFS('Budget ed extra'!$G$7:$G$42,'Budget ed extra'!$J$7:$J$42,$A158,'Budget ed extra'!$H$7:$H$42,F$6))</f>
        <v>0</v>
      </c>
      <c r="X158">
        <f>IF(G$6="",0,SUMIFS('Budget ed extra'!$G$7:$G$42,'Budget ed extra'!$J$7:$J$42,$A158,'Budget ed extra'!$H$7:$H$42,G$6))</f>
        <v>0</v>
      </c>
      <c r="Y158">
        <f>IF(H$6="",0,SUMIFS('Budget ed extra'!$G$7:$G$42,'Budget ed extra'!$J$7:$J$42,$A158,'Budget ed extra'!$H$7:$H$42,H$6))</f>
        <v>0</v>
      </c>
      <c r="Z158">
        <f>IF(I$6="",0,SUMIFS('Budget ed extra'!$G$7:$G$42,'Budget ed extra'!$J$7:$J$42,$A158,'Budget ed extra'!$H$7:$H$42,I$6))</f>
        <v>0</v>
      </c>
      <c r="AA158">
        <f>IF(J$6="",0,SUMIFS('Budget ed extra'!$G$7:$G$42,'Budget ed extra'!$J$7:$J$42,$A158,'Budget ed extra'!$H$7:$H$42,J$6))</f>
        <v>0</v>
      </c>
      <c r="AB158">
        <f>IF(K$6="",0,SUMIFS('Budget ed extra'!$G$7:$G$42,'Budget ed extra'!$J$7:$J$42,$A158,'Budget ed extra'!$H$7:$H$42,K$6))</f>
        <v>0</v>
      </c>
      <c r="AC158">
        <f>IF(L$6="",0,SUMIFS('Budget ed extra'!$G$7:$G$42,'Budget ed extra'!$J$7:$J$42,$A158,'Budget ed extra'!$H$7:$H$42,L$6))</f>
        <v>0</v>
      </c>
      <c r="AD158">
        <f>IF(M$6="",0,SUMIFS('Budget ed extra'!$G$7:$G$42,'Budget ed extra'!$J$7:$J$42,$A158,'Budget ed extra'!$H$7:$H$42,M$6))</f>
        <v>0</v>
      </c>
      <c r="AE158">
        <f>IF(N$6="",0,SUMIFS('Budget ed extra'!$G$7:$G$42,'Budget ed extra'!$J$7:$J$42,$A158,'Budget ed extra'!$H$7:$H$42,N$6))</f>
        <v>0</v>
      </c>
    </row>
    <row r="159">
      <c r="A159" t="n">
        <v>129</v>
      </c>
      <c r="B159">
        <f>DATE($B$2,$B$3+A159-1,1)</f>
        <v>50222.0</v>
      </c>
      <c r="C159">
        <f>IF(D159=0,N(Impostazioni!$B$6),SUMIFS('Budget ed extra'!$B$7:$B$18,'Budget ed extra'!$D$7:$D$18,D159)/COUNTIFS('Budget ed extra'!$D$7:$D$18,D159))</f>
        <v>900</v>
      </c>
      <c r="D159">
        <f>SUMPRODUCT(MAX(('Budget ed extra'!$D$7:$D$18&lt;=A159)*'Budget ed extra'!$D$7:$D$18))</f>
        <v>9</v>
      </c>
      <c r="E159">
        <f>SUMIFS('Budget ed extra'!$G$7:$G$42,'Budget ed extra'!$J$7:$J$42,A159)</f>
        <v>0</v>
      </c>
      <c r="F159">
        <f>SUM(T159:AE159)</f>
        <v>0</v>
      </c>
      <c r="G159">
        <f>MAX(0,E159-F159)</f>
        <v>0</v>
      </c>
      <c r="H159">
        <f>IF($A159&gt;=C$10,C$11,C$9)/12</f>
        <v>0.01575</v>
      </c>
      <c r="I159">
        <f>IF($A159&gt;=D$10,D$11,D$9)/12</f>
        <v>0.01825</v>
      </c>
      <c r="J159">
        <f>IF($A159&gt;=E$10,E$11,E$9)/12</f>
        <v>0.00766666666666667</v>
      </c>
      <c r="K159">
        <f>IF($A159&gt;=F$10,F$11,F$9)/12</f>
        <v>0.00533333333333333</v>
      </c>
      <c r="L159">
        <f>IF($A159&gt;=G$10,G$11,G$9)/12</f>
        <v>0</v>
      </c>
      <c r="M159">
        <f>IF($A159&gt;=H$10,H$11,H$9)/12</f>
        <v>0</v>
      </c>
      <c r="N159">
        <f>IF($A159&gt;=I$10,I$11,I$9)/12</f>
        <v>0</v>
      </c>
      <c r="O159">
        <f>IF($A159&gt;=J$10,J$11,J$9)/12</f>
        <v>0</v>
      </c>
      <c r="P159">
        <f>IF($A159&gt;=K$10,K$11,K$9)/12</f>
        <v>0</v>
      </c>
      <c r="Q159">
        <f>IF($A159&gt;=L$10,L$11,L$9)/12</f>
        <v>0</v>
      </c>
      <c r="R159">
        <f>IF($A159&gt;=M$10,M$11,M$9)/12</f>
        <v>0</v>
      </c>
      <c r="S159">
        <f>IF($A159&gt;=N$10,N$11,N$9)/12</f>
        <v>0</v>
      </c>
      <c r="T159">
        <f>IF(C$6="",0,SUMIFS('Budget ed extra'!$G$7:$G$42,'Budget ed extra'!$J$7:$J$42,$A159,'Budget ed extra'!$H$7:$H$42,C$6))</f>
        <v>0</v>
      </c>
      <c r="U159">
        <f>IF(D$6="",0,SUMIFS('Budget ed extra'!$G$7:$G$42,'Budget ed extra'!$J$7:$J$42,$A159,'Budget ed extra'!$H$7:$H$42,D$6))</f>
        <v>0</v>
      </c>
      <c r="V159">
        <f>IF(E$6="",0,SUMIFS('Budget ed extra'!$G$7:$G$42,'Budget ed extra'!$J$7:$J$42,$A159,'Budget ed extra'!$H$7:$H$42,E$6))</f>
        <v>0</v>
      </c>
      <c r="W159">
        <f>IF(F$6="",0,SUMIFS('Budget ed extra'!$G$7:$G$42,'Budget ed extra'!$J$7:$J$42,$A159,'Budget ed extra'!$H$7:$H$42,F$6))</f>
        <v>0</v>
      </c>
      <c r="X159">
        <f>IF(G$6="",0,SUMIFS('Budget ed extra'!$G$7:$G$42,'Budget ed extra'!$J$7:$J$42,$A159,'Budget ed extra'!$H$7:$H$42,G$6))</f>
        <v>0</v>
      </c>
      <c r="Y159">
        <f>IF(H$6="",0,SUMIFS('Budget ed extra'!$G$7:$G$42,'Budget ed extra'!$J$7:$J$42,$A159,'Budget ed extra'!$H$7:$H$42,H$6))</f>
        <v>0</v>
      </c>
      <c r="Z159">
        <f>IF(I$6="",0,SUMIFS('Budget ed extra'!$G$7:$G$42,'Budget ed extra'!$J$7:$J$42,$A159,'Budget ed extra'!$H$7:$H$42,I$6))</f>
        <v>0</v>
      </c>
      <c r="AA159">
        <f>IF(J$6="",0,SUMIFS('Budget ed extra'!$G$7:$G$42,'Budget ed extra'!$J$7:$J$42,$A159,'Budget ed extra'!$H$7:$H$42,J$6))</f>
        <v>0</v>
      </c>
      <c r="AB159">
        <f>IF(K$6="",0,SUMIFS('Budget ed extra'!$G$7:$G$42,'Budget ed extra'!$J$7:$J$42,$A159,'Budget ed extra'!$H$7:$H$42,K$6))</f>
        <v>0</v>
      </c>
      <c r="AC159">
        <f>IF(L$6="",0,SUMIFS('Budget ed extra'!$G$7:$G$42,'Budget ed extra'!$J$7:$J$42,$A159,'Budget ed extra'!$H$7:$H$42,L$6))</f>
        <v>0</v>
      </c>
      <c r="AD159">
        <f>IF(M$6="",0,SUMIFS('Budget ed extra'!$G$7:$G$42,'Budget ed extra'!$J$7:$J$42,$A159,'Budget ed extra'!$H$7:$H$42,M$6))</f>
        <v>0</v>
      </c>
      <c r="AE159">
        <f>IF(N$6="",0,SUMIFS('Budget ed extra'!$G$7:$G$42,'Budget ed extra'!$J$7:$J$42,$A159,'Budget ed extra'!$H$7:$H$42,N$6))</f>
        <v>0</v>
      </c>
    </row>
    <row r="160">
      <c r="A160" t="n">
        <v>130</v>
      </c>
      <c r="B160">
        <f>DATE($B$2,$B$3+A160-1,1)</f>
        <v>50253.0</v>
      </c>
      <c r="C160">
        <f>IF(D160=0,N(Impostazioni!$B$6),SUMIFS('Budget ed extra'!$B$7:$B$18,'Budget ed extra'!$D$7:$D$18,D160)/COUNTIFS('Budget ed extra'!$D$7:$D$18,D160))</f>
        <v>900</v>
      </c>
      <c r="D160">
        <f>SUMPRODUCT(MAX(('Budget ed extra'!$D$7:$D$18&lt;=A160)*'Budget ed extra'!$D$7:$D$18))</f>
        <v>9</v>
      </c>
      <c r="E160">
        <f>SUMIFS('Budget ed extra'!$G$7:$G$42,'Budget ed extra'!$J$7:$J$42,A160)</f>
        <v>0</v>
      </c>
      <c r="F160">
        <f>SUM(T160:AE160)</f>
        <v>0</v>
      </c>
      <c r="G160">
        <f>MAX(0,E160-F160)</f>
        <v>0</v>
      </c>
      <c r="H160">
        <f>IF($A160&gt;=C$10,C$11,C$9)/12</f>
        <v>0.01575</v>
      </c>
      <c r="I160">
        <f>IF($A160&gt;=D$10,D$11,D$9)/12</f>
        <v>0.01825</v>
      </c>
      <c r="J160">
        <f>IF($A160&gt;=E$10,E$11,E$9)/12</f>
        <v>0.00766666666666667</v>
      </c>
      <c r="K160">
        <f>IF($A160&gt;=F$10,F$11,F$9)/12</f>
        <v>0.00533333333333333</v>
      </c>
      <c r="L160">
        <f>IF($A160&gt;=G$10,G$11,G$9)/12</f>
        <v>0</v>
      </c>
      <c r="M160">
        <f>IF($A160&gt;=H$10,H$11,H$9)/12</f>
        <v>0</v>
      </c>
      <c r="N160">
        <f>IF($A160&gt;=I$10,I$11,I$9)/12</f>
        <v>0</v>
      </c>
      <c r="O160">
        <f>IF($A160&gt;=J$10,J$11,J$9)/12</f>
        <v>0</v>
      </c>
      <c r="P160">
        <f>IF($A160&gt;=K$10,K$11,K$9)/12</f>
        <v>0</v>
      </c>
      <c r="Q160">
        <f>IF($A160&gt;=L$10,L$11,L$9)/12</f>
        <v>0</v>
      </c>
      <c r="R160">
        <f>IF($A160&gt;=M$10,M$11,M$9)/12</f>
        <v>0</v>
      </c>
      <c r="S160">
        <f>IF($A160&gt;=N$10,N$11,N$9)/12</f>
        <v>0</v>
      </c>
      <c r="T160">
        <f>IF(C$6="",0,SUMIFS('Budget ed extra'!$G$7:$G$42,'Budget ed extra'!$J$7:$J$42,$A160,'Budget ed extra'!$H$7:$H$42,C$6))</f>
        <v>0</v>
      </c>
      <c r="U160">
        <f>IF(D$6="",0,SUMIFS('Budget ed extra'!$G$7:$G$42,'Budget ed extra'!$J$7:$J$42,$A160,'Budget ed extra'!$H$7:$H$42,D$6))</f>
        <v>0</v>
      </c>
      <c r="V160">
        <f>IF(E$6="",0,SUMIFS('Budget ed extra'!$G$7:$G$42,'Budget ed extra'!$J$7:$J$42,$A160,'Budget ed extra'!$H$7:$H$42,E$6))</f>
        <v>0</v>
      </c>
      <c r="W160">
        <f>IF(F$6="",0,SUMIFS('Budget ed extra'!$G$7:$G$42,'Budget ed extra'!$J$7:$J$42,$A160,'Budget ed extra'!$H$7:$H$42,F$6))</f>
        <v>0</v>
      </c>
      <c r="X160">
        <f>IF(G$6="",0,SUMIFS('Budget ed extra'!$G$7:$G$42,'Budget ed extra'!$J$7:$J$42,$A160,'Budget ed extra'!$H$7:$H$42,G$6))</f>
        <v>0</v>
      </c>
      <c r="Y160">
        <f>IF(H$6="",0,SUMIFS('Budget ed extra'!$G$7:$G$42,'Budget ed extra'!$J$7:$J$42,$A160,'Budget ed extra'!$H$7:$H$42,H$6))</f>
        <v>0</v>
      </c>
      <c r="Z160">
        <f>IF(I$6="",0,SUMIFS('Budget ed extra'!$G$7:$G$42,'Budget ed extra'!$J$7:$J$42,$A160,'Budget ed extra'!$H$7:$H$42,I$6))</f>
        <v>0</v>
      </c>
      <c r="AA160">
        <f>IF(J$6="",0,SUMIFS('Budget ed extra'!$G$7:$G$42,'Budget ed extra'!$J$7:$J$42,$A160,'Budget ed extra'!$H$7:$H$42,J$6))</f>
        <v>0</v>
      </c>
      <c r="AB160">
        <f>IF(K$6="",0,SUMIFS('Budget ed extra'!$G$7:$G$42,'Budget ed extra'!$J$7:$J$42,$A160,'Budget ed extra'!$H$7:$H$42,K$6))</f>
        <v>0</v>
      </c>
      <c r="AC160">
        <f>IF(L$6="",0,SUMIFS('Budget ed extra'!$G$7:$G$42,'Budget ed extra'!$J$7:$J$42,$A160,'Budget ed extra'!$H$7:$H$42,L$6))</f>
        <v>0</v>
      </c>
      <c r="AD160">
        <f>IF(M$6="",0,SUMIFS('Budget ed extra'!$G$7:$G$42,'Budget ed extra'!$J$7:$J$42,$A160,'Budget ed extra'!$H$7:$H$42,M$6))</f>
        <v>0</v>
      </c>
      <c r="AE160">
        <f>IF(N$6="",0,SUMIFS('Budget ed extra'!$G$7:$G$42,'Budget ed extra'!$J$7:$J$42,$A160,'Budget ed extra'!$H$7:$H$42,N$6))</f>
        <v>0</v>
      </c>
    </row>
    <row r="161">
      <c r="A161" t="n">
        <v>131</v>
      </c>
      <c r="B161">
        <f>DATE($B$2,$B$3+A161-1,1)</f>
        <v>50284.0</v>
      </c>
      <c r="C161">
        <f>IF(D161=0,N(Impostazioni!$B$6),SUMIFS('Budget ed extra'!$B$7:$B$18,'Budget ed extra'!$D$7:$D$18,D161)/COUNTIFS('Budget ed extra'!$D$7:$D$18,D161))</f>
        <v>900</v>
      </c>
      <c r="D161">
        <f>SUMPRODUCT(MAX(('Budget ed extra'!$D$7:$D$18&lt;=A161)*'Budget ed extra'!$D$7:$D$18))</f>
        <v>9</v>
      </c>
      <c r="E161">
        <f>SUMIFS('Budget ed extra'!$G$7:$G$42,'Budget ed extra'!$J$7:$J$42,A161)</f>
        <v>0</v>
      </c>
      <c r="F161">
        <f>SUM(T161:AE161)</f>
        <v>0</v>
      </c>
      <c r="G161">
        <f>MAX(0,E161-F161)</f>
        <v>0</v>
      </c>
      <c r="H161">
        <f>IF($A161&gt;=C$10,C$11,C$9)/12</f>
        <v>0.01575</v>
      </c>
      <c r="I161">
        <f>IF($A161&gt;=D$10,D$11,D$9)/12</f>
        <v>0.01825</v>
      </c>
      <c r="J161">
        <f>IF($A161&gt;=E$10,E$11,E$9)/12</f>
        <v>0.00766666666666667</v>
      </c>
      <c r="K161">
        <f>IF($A161&gt;=F$10,F$11,F$9)/12</f>
        <v>0.00533333333333333</v>
      </c>
      <c r="L161">
        <f>IF($A161&gt;=G$10,G$11,G$9)/12</f>
        <v>0</v>
      </c>
      <c r="M161">
        <f>IF($A161&gt;=H$10,H$11,H$9)/12</f>
        <v>0</v>
      </c>
      <c r="N161">
        <f>IF($A161&gt;=I$10,I$11,I$9)/12</f>
        <v>0</v>
      </c>
      <c r="O161">
        <f>IF($A161&gt;=J$10,J$11,J$9)/12</f>
        <v>0</v>
      </c>
      <c r="P161">
        <f>IF($A161&gt;=K$10,K$11,K$9)/12</f>
        <v>0</v>
      </c>
      <c r="Q161">
        <f>IF($A161&gt;=L$10,L$11,L$9)/12</f>
        <v>0</v>
      </c>
      <c r="R161">
        <f>IF($A161&gt;=M$10,M$11,M$9)/12</f>
        <v>0</v>
      </c>
      <c r="S161">
        <f>IF($A161&gt;=N$10,N$11,N$9)/12</f>
        <v>0</v>
      </c>
      <c r="T161">
        <f>IF(C$6="",0,SUMIFS('Budget ed extra'!$G$7:$G$42,'Budget ed extra'!$J$7:$J$42,$A161,'Budget ed extra'!$H$7:$H$42,C$6))</f>
        <v>0</v>
      </c>
      <c r="U161">
        <f>IF(D$6="",0,SUMIFS('Budget ed extra'!$G$7:$G$42,'Budget ed extra'!$J$7:$J$42,$A161,'Budget ed extra'!$H$7:$H$42,D$6))</f>
        <v>0</v>
      </c>
      <c r="V161">
        <f>IF(E$6="",0,SUMIFS('Budget ed extra'!$G$7:$G$42,'Budget ed extra'!$J$7:$J$42,$A161,'Budget ed extra'!$H$7:$H$42,E$6))</f>
        <v>0</v>
      </c>
      <c r="W161">
        <f>IF(F$6="",0,SUMIFS('Budget ed extra'!$G$7:$G$42,'Budget ed extra'!$J$7:$J$42,$A161,'Budget ed extra'!$H$7:$H$42,F$6))</f>
        <v>0</v>
      </c>
      <c r="X161">
        <f>IF(G$6="",0,SUMIFS('Budget ed extra'!$G$7:$G$42,'Budget ed extra'!$J$7:$J$42,$A161,'Budget ed extra'!$H$7:$H$42,G$6))</f>
        <v>0</v>
      </c>
      <c r="Y161">
        <f>IF(H$6="",0,SUMIFS('Budget ed extra'!$G$7:$G$42,'Budget ed extra'!$J$7:$J$42,$A161,'Budget ed extra'!$H$7:$H$42,H$6))</f>
        <v>0</v>
      </c>
      <c r="Z161">
        <f>IF(I$6="",0,SUMIFS('Budget ed extra'!$G$7:$G$42,'Budget ed extra'!$J$7:$J$42,$A161,'Budget ed extra'!$H$7:$H$42,I$6))</f>
        <v>0</v>
      </c>
      <c r="AA161">
        <f>IF(J$6="",0,SUMIFS('Budget ed extra'!$G$7:$G$42,'Budget ed extra'!$J$7:$J$42,$A161,'Budget ed extra'!$H$7:$H$42,J$6))</f>
        <v>0</v>
      </c>
      <c r="AB161">
        <f>IF(K$6="",0,SUMIFS('Budget ed extra'!$G$7:$G$42,'Budget ed extra'!$J$7:$J$42,$A161,'Budget ed extra'!$H$7:$H$42,K$6))</f>
        <v>0</v>
      </c>
      <c r="AC161">
        <f>IF(L$6="",0,SUMIFS('Budget ed extra'!$G$7:$G$42,'Budget ed extra'!$J$7:$J$42,$A161,'Budget ed extra'!$H$7:$H$42,L$6))</f>
        <v>0</v>
      </c>
      <c r="AD161">
        <f>IF(M$6="",0,SUMIFS('Budget ed extra'!$G$7:$G$42,'Budget ed extra'!$J$7:$J$42,$A161,'Budget ed extra'!$H$7:$H$42,M$6))</f>
        <v>0</v>
      </c>
      <c r="AE161">
        <f>IF(N$6="",0,SUMIFS('Budget ed extra'!$G$7:$G$42,'Budget ed extra'!$J$7:$J$42,$A161,'Budget ed extra'!$H$7:$H$42,N$6))</f>
        <v>0</v>
      </c>
    </row>
    <row r="162">
      <c r="A162" t="n">
        <v>132</v>
      </c>
      <c r="B162">
        <f>DATE($B$2,$B$3+A162-1,1)</f>
        <v>50314.0</v>
      </c>
      <c r="C162">
        <f>IF(D162=0,N(Impostazioni!$B$6),SUMIFS('Budget ed extra'!$B$7:$B$18,'Budget ed extra'!$D$7:$D$18,D162)/COUNTIFS('Budget ed extra'!$D$7:$D$18,D162))</f>
        <v>900</v>
      </c>
      <c r="D162">
        <f>SUMPRODUCT(MAX(('Budget ed extra'!$D$7:$D$18&lt;=A162)*'Budget ed extra'!$D$7:$D$18))</f>
        <v>9</v>
      </c>
      <c r="E162">
        <f>SUMIFS('Budget ed extra'!$G$7:$G$42,'Budget ed extra'!$J$7:$J$42,A162)</f>
        <v>0</v>
      </c>
      <c r="F162">
        <f>SUM(T162:AE162)</f>
        <v>0</v>
      </c>
      <c r="G162">
        <f>MAX(0,E162-F162)</f>
        <v>0</v>
      </c>
      <c r="H162">
        <f>IF($A162&gt;=C$10,C$11,C$9)/12</f>
        <v>0.01575</v>
      </c>
      <c r="I162">
        <f>IF($A162&gt;=D$10,D$11,D$9)/12</f>
        <v>0.01825</v>
      </c>
      <c r="J162">
        <f>IF($A162&gt;=E$10,E$11,E$9)/12</f>
        <v>0.00766666666666667</v>
      </c>
      <c r="K162">
        <f>IF($A162&gt;=F$10,F$11,F$9)/12</f>
        <v>0.00533333333333333</v>
      </c>
      <c r="L162">
        <f>IF($A162&gt;=G$10,G$11,G$9)/12</f>
        <v>0</v>
      </c>
      <c r="M162">
        <f>IF($A162&gt;=H$10,H$11,H$9)/12</f>
        <v>0</v>
      </c>
      <c r="N162">
        <f>IF($A162&gt;=I$10,I$11,I$9)/12</f>
        <v>0</v>
      </c>
      <c r="O162">
        <f>IF($A162&gt;=J$10,J$11,J$9)/12</f>
        <v>0</v>
      </c>
      <c r="P162">
        <f>IF($A162&gt;=K$10,K$11,K$9)/12</f>
        <v>0</v>
      </c>
      <c r="Q162">
        <f>IF($A162&gt;=L$10,L$11,L$9)/12</f>
        <v>0</v>
      </c>
      <c r="R162">
        <f>IF($A162&gt;=M$10,M$11,M$9)/12</f>
        <v>0</v>
      </c>
      <c r="S162">
        <f>IF($A162&gt;=N$10,N$11,N$9)/12</f>
        <v>0</v>
      </c>
      <c r="T162">
        <f>IF(C$6="",0,SUMIFS('Budget ed extra'!$G$7:$G$42,'Budget ed extra'!$J$7:$J$42,$A162,'Budget ed extra'!$H$7:$H$42,C$6))</f>
        <v>0</v>
      </c>
      <c r="U162">
        <f>IF(D$6="",0,SUMIFS('Budget ed extra'!$G$7:$G$42,'Budget ed extra'!$J$7:$J$42,$A162,'Budget ed extra'!$H$7:$H$42,D$6))</f>
        <v>0</v>
      </c>
      <c r="V162">
        <f>IF(E$6="",0,SUMIFS('Budget ed extra'!$G$7:$G$42,'Budget ed extra'!$J$7:$J$42,$A162,'Budget ed extra'!$H$7:$H$42,E$6))</f>
        <v>0</v>
      </c>
      <c r="W162">
        <f>IF(F$6="",0,SUMIFS('Budget ed extra'!$G$7:$G$42,'Budget ed extra'!$J$7:$J$42,$A162,'Budget ed extra'!$H$7:$H$42,F$6))</f>
        <v>0</v>
      </c>
      <c r="X162">
        <f>IF(G$6="",0,SUMIFS('Budget ed extra'!$G$7:$G$42,'Budget ed extra'!$J$7:$J$42,$A162,'Budget ed extra'!$H$7:$H$42,G$6))</f>
        <v>0</v>
      </c>
      <c r="Y162">
        <f>IF(H$6="",0,SUMIFS('Budget ed extra'!$G$7:$G$42,'Budget ed extra'!$J$7:$J$42,$A162,'Budget ed extra'!$H$7:$H$42,H$6))</f>
        <v>0</v>
      </c>
      <c r="Z162">
        <f>IF(I$6="",0,SUMIFS('Budget ed extra'!$G$7:$G$42,'Budget ed extra'!$J$7:$J$42,$A162,'Budget ed extra'!$H$7:$H$42,I$6))</f>
        <v>0</v>
      </c>
      <c r="AA162">
        <f>IF(J$6="",0,SUMIFS('Budget ed extra'!$G$7:$G$42,'Budget ed extra'!$J$7:$J$42,$A162,'Budget ed extra'!$H$7:$H$42,J$6))</f>
        <v>0</v>
      </c>
      <c r="AB162">
        <f>IF(K$6="",0,SUMIFS('Budget ed extra'!$G$7:$G$42,'Budget ed extra'!$J$7:$J$42,$A162,'Budget ed extra'!$H$7:$H$42,K$6))</f>
        <v>0</v>
      </c>
      <c r="AC162">
        <f>IF(L$6="",0,SUMIFS('Budget ed extra'!$G$7:$G$42,'Budget ed extra'!$J$7:$J$42,$A162,'Budget ed extra'!$H$7:$H$42,L$6))</f>
        <v>0</v>
      </c>
      <c r="AD162">
        <f>IF(M$6="",0,SUMIFS('Budget ed extra'!$G$7:$G$42,'Budget ed extra'!$J$7:$J$42,$A162,'Budget ed extra'!$H$7:$H$42,M$6))</f>
        <v>0</v>
      </c>
      <c r="AE162">
        <f>IF(N$6="",0,SUMIFS('Budget ed extra'!$G$7:$G$42,'Budget ed extra'!$J$7:$J$42,$A162,'Budget ed extra'!$H$7:$H$42,N$6))</f>
        <v>0</v>
      </c>
    </row>
    <row r="163">
      <c r="A163" t="n">
        <v>133</v>
      </c>
      <c r="B163">
        <f>DATE($B$2,$B$3+A163-1,1)</f>
        <v>50345.0</v>
      </c>
      <c r="C163">
        <f>IF(D163=0,N(Impostazioni!$B$6),SUMIFS('Budget ed extra'!$B$7:$B$18,'Budget ed extra'!$D$7:$D$18,D163)/COUNTIFS('Budget ed extra'!$D$7:$D$18,D163))</f>
        <v>900</v>
      </c>
      <c r="D163">
        <f>SUMPRODUCT(MAX(('Budget ed extra'!$D$7:$D$18&lt;=A163)*'Budget ed extra'!$D$7:$D$18))</f>
        <v>9</v>
      </c>
      <c r="E163">
        <f>SUMIFS('Budget ed extra'!$G$7:$G$42,'Budget ed extra'!$J$7:$J$42,A163)</f>
        <v>0</v>
      </c>
      <c r="F163">
        <f>SUM(T163:AE163)</f>
        <v>0</v>
      </c>
      <c r="G163">
        <f>MAX(0,E163-F163)</f>
        <v>0</v>
      </c>
      <c r="H163">
        <f>IF($A163&gt;=C$10,C$11,C$9)/12</f>
        <v>0.01575</v>
      </c>
      <c r="I163">
        <f>IF($A163&gt;=D$10,D$11,D$9)/12</f>
        <v>0.01825</v>
      </c>
      <c r="J163">
        <f>IF($A163&gt;=E$10,E$11,E$9)/12</f>
        <v>0.00766666666666667</v>
      </c>
      <c r="K163">
        <f>IF($A163&gt;=F$10,F$11,F$9)/12</f>
        <v>0.00533333333333333</v>
      </c>
      <c r="L163">
        <f>IF($A163&gt;=G$10,G$11,G$9)/12</f>
        <v>0</v>
      </c>
      <c r="M163">
        <f>IF($A163&gt;=H$10,H$11,H$9)/12</f>
        <v>0</v>
      </c>
      <c r="N163">
        <f>IF($A163&gt;=I$10,I$11,I$9)/12</f>
        <v>0</v>
      </c>
      <c r="O163">
        <f>IF($A163&gt;=J$10,J$11,J$9)/12</f>
        <v>0</v>
      </c>
      <c r="P163">
        <f>IF($A163&gt;=K$10,K$11,K$9)/12</f>
        <v>0</v>
      </c>
      <c r="Q163">
        <f>IF($A163&gt;=L$10,L$11,L$9)/12</f>
        <v>0</v>
      </c>
      <c r="R163">
        <f>IF($A163&gt;=M$10,M$11,M$9)/12</f>
        <v>0</v>
      </c>
      <c r="S163">
        <f>IF($A163&gt;=N$10,N$11,N$9)/12</f>
        <v>0</v>
      </c>
      <c r="T163">
        <f>IF(C$6="",0,SUMIFS('Budget ed extra'!$G$7:$G$42,'Budget ed extra'!$J$7:$J$42,$A163,'Budget ed extra'!$H$7:$H$42,C$6))</f>
        <v>0</v>
      </c>
      <c r="U163">
        <f>IF(D$6="",0,SUMIFS('Budget ed extra'!$G$7:$G$42,'Budget ed extra'!$J$7:$J$42,$A163,'Budget ed extra'!$H$7:$H$42,D$6))</f>
        <v>0</v>
      </c>
      <c r="V163">
        <f>IF(E$6="",0,SUMIFS('Budget ed extra'!$G$7:$G$42,'Budget ed extra'!$J$7:$J$42,$A163,'Budget ed extra'!$H$7:$H$42,E$6))</f>
        <v>0</v>
      </c>
      <c r="W163">
        <f>IF(F$6="",0,SUMIFS('Budget ed extra'!$G$7:$G$42,'Budget ed extra'!$J$7:$J$42,$A163,'Budget ed extra'!$H$7:$H$42,F$6))</f>
        <v>0</v>
      </c>
      <c r="X163">
        <f>IF(G$6="",0,SUMIFS('Budget ed extra'!$G$7:$G$42,'Budget ed extra'!$J$7:$J$42,$A163,'Budget ed extra'!$H$7:$H$42,G$6))</f>
        <v>0</v>
      </c>
      <c r="Y163">
        <f>IF(H$6="",0,SUMIFS('Budget ed extra'!$G$7:$G$42,'Budget ed extra'!$J$7:$J$42,$A163,'Budget ed extra'!$H$7:$H$42,H$6))</f>
        <v>0</v>
      </c>
      <c r="Z163">
        <f>IF(I$6="",0,SUMIFS('Budget ed extra'!$G$7:$G$42,'Budget ed extra'!$J$7:$J$42,$A163,'Budget ed extra'!$H$7:$H$42,I$6))</f>
        <v>0</v>
      </c>
      <c r="AA163">
        <f>IF(J$6="",0,SUMIFS('Budget ed extra'!$G$7:$G$42,'Budget ed extra'!$J$7:$J$42,$A163,'Budget ed extra'!$H$7:$H$42,J$6))</f>
        <v>0</v>
      </c>
      <c r="AB163">
        <f>IF(K$6="",0,SUMIFS('Budget ed extra'!$G$7:$G$42,'Budget ed extra'!$J$7:$J$42,$A163,'Budget ed extra'!$H$7:$H$42,K$6))</f>
        <v>0</v>
      </c>
      <c r="AC163">
        <f>IF(L$6="",0,SUMIFS('Budget ed extra'!$G$7:$G$42,'Budget ed extra'!$J$7:$J$42,$A163,'Budget ed extra'!$H$7:$H$42,L$6))</f>
        <v>0</v>
      </c>
      <c r="AD163">
        <f>IF(M$6="",0,SUMIFS('Budget ed extra'!$G$7:$G$42,'Budget ed extra'!$J$7:$J$42,$A163,'Budget ed extra'!$H$7:$H$42,M$6))</f>
        <v>0</v>
      </c>
      <c r="AE163">
        <f>IF(N$6="",0,SUMIFS('Budget ed extra'!$G$7:$G$42,'Budget ed extra'!$J$7:$J$42,$A163,'Budget ed extra'!$H$7:$H$42,N$6))</f>
        <v>0</v>
      </c>
    </row>
    <row r="164">
      <c r="A164" t="n">
        <v>134</v>
      </c>
      <c r="B164">
        <f>DATE($B$2,$B$3+A164-1,1)</f>
        <v>50375.0</v>
      </c>
      <c r="C164">
        <f>IF(D164=0,N(Impostazioni!$B$6),SUMIFS('Budget ed extra'!$B$7:$B$18,'Budget ed extra'!$D$7:$D$18,D164)/COUNTIFS('Budget ed extra'!$D$7:$D$18,D164))</f>
        <v>900</v>
      </c>
      <c r="D164">
        <f>SUMPRODUCT(MAX(('Budget ed extra'!$D$7:$D$18&lt;=A164)*'Budget ed extra'!$D$7:$D$18))</f>
        <v>9</v>
      </c>
      <c r="E164">
        <f>SUMIFS('Budget ed extra'!$G$7:$G$42,'Budget ed extra'!$J$7:$J$42,A164)</f>
        <v>0</v>
      </c>
      <c r="F164">
        <f>SUM(T164:AE164)</f>
        <v>0</v>
      </c>
      <c r="G164">
        <f>MAX(0,E164-F164)</f>
        <v>0</v>
      </c>
      <c r="H164">
        <f>IF($A164&gt;=C$10,C$11,C$9)/12</f>
        <v>0.01575</v>
      </c>
      <c r="I164">
        <f>IF($A164&gt;=D$10,D$11,D$9)/12</f>
        <v>0.01825</v>
      </c>
      <c r="J164">
        <f>IF($A164&gt;=E$10,E$11,E$9)/12</f>
        <v>0.00766666666666667</v>
      </c>
      <c r="K164">
        <f>IF($A164&gt;=F$10,F$11,F$9)/12</f>
        <v>0.00533333333333333</v>
      </c>
      <c r="L164">
        <f>IF($A164&gt;=G$10,G$11,G$9)/12</f>
        <v>0</v>
      </c>
      <c r="M164">
        <f>IF($A164&gt;=H$10,H$11,H$9)/12</f>
        <v>0</v>
      </c>
      <c r="N164">
        <f>IF($A164&gt;=I$10,I$11,I$9)/12</f>
        <v>0</v>
      </c>
      <c r="O164">
        <f>IF($A164&gt;=J$10,J$11,J$9)/12</f>
        <v>0</v>
      </c>
      <c r="P164">
        <f>IF($A164&gt;=K$10,K$11,K$9)/12</f>
        <v>0</v>
      </c>
      <c r="Q164">
        <f>IF($A164&gt;=L$10,L$11,L$9)/12</f>
        <v>0</v>
      </c>
      <c r="R164">
        <f>IF($A164&gt;=M$10,M$11,M$9)/12</f>
        <v>0</v>
      </c>
      <c r="S164">
        <f>IF($A164&gt;=N$10,N$11,N$9)/12</f>
        <v>0</v>
      </c>
      <c r="T164">
        <f>IF(C$6="",0,SUMIFS('Budget ed extra'!$G$7:$G$42,'Budget ed extra'!$J$7:$J$42,$A164,'Budget ed extra'!$H$7:$H$42,C$6))</f>
        <v>0</v>
      </c>
      <c r="U164">
        <f>IF(D$6="",0,SUMIFS('Budget ed extra'!$G$7:$G$42,'Budget ed extra'!$J$7:$J$42,$A164,'Budget ed extra'!$H$7:$H$42,D$6))</f>
        <v>0</v>
      </c>
      <c r="V164">
        <f>IF(E$6="",0,SUMIFS('Budget ed extra'!$G$7:$G$42,'Budget ed extra'!$J$7:$J$42,$A164,'Budget ed extra'!$H$7:$H$42,E$6))</f>
        <v>0</v>
      </c>
      <c r="W164">
        <f>IF(F$6="",0,SUMIFS('Budget ed extra'!$G$7:$G$42,'Budget ed extra'!$J$7:$J$42,$A164,'Budget ed extra'!$H$7:$H$42,F$6))</f>
        <v>0</v>
      </c>
      <c r="X164">
        <f>IF(G$6="",0,SUMIFS('Budget ed extra'!$G$7:$G$42,'Budget ed extra'!$J$7:$J$42,$A164,'Budget ed extra'!$H$7:$H$42,G$6))</f>
        <v>0</v>
      </c>
      <c r="Y164">
        <f>IF(H$6="",0,SUMIFS('Budget ed extra'!$G$7:$G$42,'Budget ed extra'!$J$7:$J$42,$A164,'Budget ed extra'!$H$7:$H$42,H$6))</f>
        <v>0</v>
      </c>
      <c r="Z164">
        <f>IF(I$6="",0,SUMIFS('Budget ed extra'!$G$7:$G$42,'Budget ed extra'!$J$7:$J$42,$A164,'Budget ed extra'!$H$7:$H$42,I$6))</f>
        <v>0</v>
      </c>
      <c r="AA164">
        <f>IF(J$6="",0,SUMIFS('Budget ed extra'!$G$7:$G$42,'Budget ed extra'!$J$7:$J$42,$A164,'Budget ed extra'!$H$7:$H$42,J$6))</f>
        <v>0</v>
      </c>
      <c r="AB164">
        <f>IF(K$6="",0,SUMIFS('Budget ed extra'!$G$7:$G$42,'Budget ed extra'!$J$7:$J$42,$A164,'Budget ed extra'!$H$7:$H$42,K$6))</f>
        <v>0</v>
      </c>
      <c r="AC164">
        <f>IF(L$6="",0,SUMIFS('Budget ed extra'!$G$7:$G$42,'Budget ed extra'!$J$7:$J$42,$A164,'Budget ed extra'!$H$7:$H$42,L$6))</f>
        <v>0</v>
      </c>
      <c r="AD164">
        <f>IF(M$6="",0,SUMIFS('Budget ed extra'!$G$7:$G$42,'Budget ed extra'!$J$7:$J$42,$A164,'Budget ed extra'!$H$7:$H$42,M$6))</f>
        <v>0</v>
      </c>
      <c r="AE164">
        <f>IF(N$6="",0,SUMIFS('Budget ed extra'!$G$7:$G$42,'Budget ed extra'!$J$7:$J$42,$A164,'Budget ed extra'!$H$7:$H$42,N$6))</f>
        <v>0</v>
      </c>
    </row>
    <row r="165">
      <c r="A165" t="n">
        <v>135</v>
      </c>
      <c r="B165">
        <f>DATE($B$2,$B$3+A165-1,1)</f>
        <v>50406.0</v>
      </c>
      <c r="C165">
        <f>IF(D165=0,N(Impostazioni!$B$6),SUMIFS('Budget ed extra'!$B$7:$B$18,'Budget ed extra'!$D$7:$D$18,D165)/COUNTIFS('Budget ed extra'!$D$7:$D$18,D165))</f>
        <v>900</v>
      </c>
      <c r="D165">
        <f>SUMPRODUCT(MAX(('Budget ed extra'!$D$7:$D$18&lt;=A165)*'Budget ed extra'!$D$7:$D$18))</f>
        <v>9</v>
      </c>
      <c r="E165">
        <f>SUMIFS('Budget ed extra'!$G$7:$G$42,'Budget ed extra'!$J$7:$J$42,A165)</f>
        <v>0</v>
      </c>
      <c r="F165">
        <f>SUM(T165:AE165)</f>
        <v>0</v>
      </c>
      <c r="G165">
        <f>MAX(0,E165-F165)</f>
        <v>0</v>
      </c>
      <c r="H165">
        <f>IF($A165&gt;=C$10,C$11,C$9)/12</f>
        <v>0.01575</v>
      </c>
      <c r="I165">
        <f>IF($A165&gt;=D$10,D$11,D$9)/12</f>
        <v>0.01825</v>
      </c>
      <c r="J165">
        <f>IF($A165&gt;=E$10,E$11,E$9)/12</f>
        <v>0.00766666666666667</v>
      </c>
      <c r="K165">
        <f>IF($A165&gt;=F$10,F$11,F$9)/12</f>
        <v>0.00533333333333333</v>
      </c>
      <c r="L165">
        <f>IF($A165&gt;=G$10,G$11,G$9)/12</f>
        <v>0</v>
      </c>
      <c r="M165">
        <f>IF($A165&gt;=H$10,H$11,H$9)/12</f>
        <v>0</v>
      </c>
      <c r="N165">
        <f>IF($A165&gt;=I$10,I$11,I$9)/12</f>
        <v>0</v>
      </c>
      <c r="O165">
        <f>IF($A165&gt;=J$10,J$11,J$9)/12</f>
        <v>0</v>
      </c>
      <c r="P165">
        <f>IF($A165&gt;=K$10,K$11,K$9)/12</f>
        <v>0</v>
      </c>
      <c r="Q165">
        <f>IF($A165&gt;=L$10,L$11,L$9)/12</f>
        <v>0</v>
      </c>
      <c r="R165">
        <f>IF($A165&gt;=M$10,M$11,M$9)/12</f>
        <v>0</v>
      </c>
      <c r="S165">
        <f>IF($A165&gt;=N$10,N$11,N$9)/12</f>
        <v>0</v>
      </c>
      <c r="T165">
        <f>IF(C$6="",0,SUMIFS('Budget ed extra'!$G$7:$G$42,'Budget ed extra'!$J$7:$J$42,$A165,'Budget ed extra'!$H$7:$H$42,C$6))</f>
        <v>0</v>
      </c>
      <c r="U165">
        <f>IF(D$6="",0,SUMIFS('Budget ed extra'!$G$7:$G$42,'Budget ed extra'!$J$7:$J$42,$A165,'Budget ed extra'!$H$7:$H$42,D$6))</f>
        <v>0</v>
      </c>
      <c r="V165">
        <f>IF(E$6="",0,SUMIFS('Budget ed extra'!$G$7:$G$42,'Budget ed extra'!$J$7:$J$42,$A165,'Budget ed extra'!$H$7:$H$42,E$6))</f>
        <v>0</v>
      </c>
      <c r="W165">
        <f>IF(F$6="",0,SUMIFS('Budget ed extra'!$G$7:$G$42,'Budget ed extra'!$J$7:$J$42,$A165,'Budget ed extra'!$H$7:$H$42,F$6))</f>
        <v>0</v>
      </c>
      <c r="X165">
        <f>IF(G$6="",0,SUMIFS('Budget ed extra'!$G$7:$G$42,'Budget ed extra'!$J$7:$J$42,$A165,'Budget ed extra'!$H$7:$H$42,G$6))</f>
        <v>0</v>
      </c>
      <c r="Y165">
        <f>IF(H$6="",0,SUMIFS('Budget ed extra'!$G$7:$G$42,'Budget ed extra'!$J$7:$J$42,$A165,'Budget ed extra'!$H$7:$H$42,H$6))</f>
        <v>0</v>
      </c>
      <c r="Z165">
        <f>IF(I$6="",0,SUMIFS('Budget ed extra'!$G$7:$G$42,'Budget ed extra'!$J$7:$J$42,$A165,'Budget ed extra'!$H$7:$H$42,I$6))</f>
        <v>0</v>
      </c>
      <c r="AA165">
        <f>IF(J$6="",0,SUMIFS('Budget ed extra'!$G$7:$G$42,'Budget ed extra'!$J$7:$J$42,$A165,'Budget ed extra'!$H$7:$H$42,J$6))</f>
        <v>0</v>
      </c>
      <c r="AB165">
        <f>IF(K$6="",0,SUMIFS('Budget ed extra'!$G$7:$G$42,'Budget ed extra'!$J$7:$J$42,$A165,'Budget ed extra'!$H$7:$H$42,K$6))</f>
        <v>0</v>
      </c>
      <c r="AC165">
        <f>IF(L$6="",0,SUMIFS('Budget ed extra'!$G$7:$G$42,'Budget ed extra'!$J$7:$J$42,$A165,'Budget ed extra'!$H$7:$H$42,L$6))</f>
        <v>0</v>
      </c>
      <c r="AD165">
        <f>IF(M$6="",0,SUMIFS('Budget ed extra'!$G$7:$G$42,'Budget ed extra'!$J$7:$J$42,$A165,'Budget ed extra'!$H$7:$H$42,M$6))</f>
        <v>0</v>
      </c>
      <c r="AE165">
        <f>IF(N$6="",0,SUMIFS('Budget ed extra'!$G$7:$G$42,'Budget ed extra'!$J$7:$J$42,$A165,'Budget ed extra'!$H$7:$H$42,N$6))</f>
        <v>0</v>
      </c>
    </row>
    <row r="166">
      <c r="A166" t="n">
        <v>136</v>
      </c>
      <c r="B166">
        <f>DATE($B$2,$B$3+A166-1,1)</f>
        <v>50437.0</v>
      </c>
      <c r="C166">
        <f>IF(D166=0,N(Impostazioni!$B$6),SUMIFS('Budget ed extra'!$B$7:$B$18,'Budget ed extra'!$D$7:$D$18,D166)/COUNTIFS('Budget ed extra'!$D$7:$D$18,D166))</f>
        <v>900</v>
      </c>
      <c r="D166">
        <f>SUMPRODUCT(MAX(('Budget ed extra'!$D$7:$D$18&lt;=A166)*'Budget ed extra'!$D$7:$D$18))</f>
        <v>9</v>
      </c>
      <c r="E166">
        <f>SUMIFS('Budget ed extra'!$G$7:$G$42,'Budget ed extra'!$J$7:$J$42,A166)</f>
        <v>0</v>
      </c>
      <c r="F166">
        <f>SUM(T166:AE166)</f>
        <v>0</v>
      </c>
      <c r="G166">
        <f>MAX(0,E166-F166)</f>
        <v>0</v>
      </c>
      <c r="H166">
        <f>IF($A166&gt;=C$10,C$11,C$9)/12</f>
        <v>0.01575</v>
      </c>
      <c r="I166">
        <f>IF($A166&gt;=D$10,D$11,D$9)/12</f>
        <v>0.01825</v>
      </c>
      <c r="J166">
        <f>IF($A166&gt;=E$10,E$11,E$9)/12</f>
        <v>0.00766666666666667</v>
      </c>
      <c r="K166">
        <f>IF($A166&gt;=F$10,F$11,F$9)/12</f>
        <v>0.00533333333333333</v>
      </c>
      <c r="L166">
        <f>IF($A166&gt;=G$10,G$11,G$9)/12</f>
        <v>0</v>
      </c>
      <c r="M166">
        <f>IF($A166&gt;=H$10,H$11,H$9)/12</f>
        <v>0</v>
      </c>
      <c r="N166">
        <f>IF($A166&gt;=I$10,I$11,I$9)/12</f>
        <v>0</v>
      </c>
      <c r="O166">
        <f>IF($A166&gt;=J$10,J$11,J$9)/12</f>
        <v>0</v>
      </c>
      <c r="P166">
        <f>IF($A166&gt;=K$10,K$11,K$9)/12</f>
        <v>0</v>
      </c>
      <c r="Q166">
        <f>IF($A166&gt;=L$10,L$11,L$9)/12</f>
        <v>0</v>
      </c>
      <c r="R166">
        <f>IF($A166&gt;=M$10,M$11,M$9)/12</f>
        <v>0</v>
      </c>
      <c r="S166">
        <f>IF($A166&gt;=N$10,N$11,N$9)/12</f>
        <v>0</v>
      </c>
      <c r="T166">
        <f>IF(C$6="",0,SUMIFS('Budget ed extra'!$G$7:$G$42,'Budget ed extra'!$J$7:$J$42,$A166,'Budget ed extra'!$H$7:$H$42,C$6))</f>
        <v>0</v>
      </c>
      <c r="U166">
        <f>IF(D$6="",0,SUMIFS('Budget ed extra'!$G$7:$G$42,'Budget ed extra'!$J$7:$J$42,$A166,'Budget ed extra'!$H$7:$H$42,D$6))</f>
        <v>0</v>
      </c>
      <c r="V166">
        <f>IF(E$6="",0,SUMIFS('Budget ed extra'!$G$7:$G$42,'Budget ed extra'!$J$7:$J$42,$A166,'Budget ed extra'!$H$7:$H$42,E$6))</f>
        <v>0</v>
      </c>
      <c r="W166">
        <f>IF(F$6="",0,SUMIFS('Budget ed extra'!$G$7:$G$42,'Budget ed extra'!$J$7:$J$42,$A166,'Budget ed extra'!$H$7:$H$42,F$6))</f>
        <v>0</v>
      </c>
      <c r="X166">
        <f>IF(G$6="",0,SUMIFS('Budget ed extra'!$G$7:$G$42,'Budget ed extra'!$J$7:$J$42,$A166,'Budget ed extra'!$H$7:$H$42,G$6))</f>
        <v>0</v>
      </c>
      <c r="Y166">
        <f>IF(H$6="",0,SUMIFS('Budget ed extra'!$G$7:$G$42,'Budget ed extra'!$J$7:$J$42,$A166,'Budget ed extra'!$H$7:$H$42,H$6))</f>
        <v>0</v>
      </c>
      <c r="Z166">
        <f>IF(I$6="",0,SUMIFS('Budget ed extra'!$G$7:$G$42,'Budget ed extra'!$J$7:$J$42,$A166,'Budget ed extra'!$H$7:$H$42,I$6))</f>
        <v>0</v>
      </c>
      <c r="AA166">
        <f>IF(J$6="",0,SUMIFS('Budget ed extra'!$G$7:$G$42,'Budget ed extra'!$J$7:$J$42,$A166,'Budget ed extra'!$H$7:$H$42,J$6))</f>
        <v>0</v>
      </c>
      <c r="AB166">
        <f>IF(K$6="",0,SUMIFS('Budget ed extra'!$G$7:$G$42,'Budget ed extra'!$J$7:$J$42,$A166,'Budget ed extra'!$H$7:$H$42,K$6))</f>
        <v>0</v>
      </c>
      <c r="AC166">
        <f>IF(L$6="",0,SUMIFS('Budget ed extra'!$G$7:$G$42,'Budget ed extra'!$J$7:$J$42,$A166,'Budget ed extra'!$H$7:$H$42,L$6))</f>
        <v>0</v>
      </c>
      <c r="AD166">
        <f>IF(M$6="",0,SUMIFS('Budget ed extra'!$G$7:$G$42,'Budget ed extra'!$J$7:$J$42,$A166,'Budget ed extra'!$H$7:$H$42,M$6))</f>
        <v>0</v>
      </c>
      <c r="AE166">
        <f>IF(N$6="",0,SUMIFS('Budget ed extra'!$G$7:$G$42,'Budget ed extra'!$J$7:$J$42,$A166,'Budget ed extra'!$H$7:$H$42,N$6))</f>
        <v>0</v>
      </c>
    </row>
    <row r="167">
      <c r="A167" t="n">
        <v>137</v>
      </c>
      <c r="B167">
        <f>DATE($B$2,$B$3+A167-1,1)</f>
        <v>50465.0</v>
      </c>
      <c r="C167">
        <f>IF(D167=0,N(Impostazioni!$B$6),SUMIFS('Budget ed extra'!$B$7:$B$18,'Budget ed extra'!$D$7:$D$18,D167)/COUNTIFS('Budget ed extra'!$D$7:$D$18,D167))</f>
        <v>900</v>
      </c>
      <c r="D167">
        <f>SUMPRODUCT(MAX(('Budget ed extra'!$D$7:$D$18&lt;=A167)*'Budget ed extra'!$D$7:$D$18))</f>
        <v>9</v>
      </c>
      <c r="E167">
        <f>SUMIFS('Budget ed extra'!$G$7:$G$42,'Budget ed extra'!$J$7:$J$42,A167)</f>
        <v>0</v>
      </c>
      <c r="F167">
        <f>SUM(T167:AE167)</f>
        <v>0</v>
      </c>
      <c r="G167">
        <f>MAX(0,E167-F167)</f>
        <v>0</v>
      </c>
      <c r="H167">
        <f>IF($A167&gt;=C$10,C$11,C$9)/12</f>
        <v>0.01575</v>
      </c>
      <c r="I167">
        <f>IF($A167&gt;=D$10,D$11,D$9)/12</f>
        <v>0.01825</v>
      </c>
      <c r="J167">
        <f>IF($A167&gt;=E$10,E$11,E$9)/12</f>
        <v>0.00766666666666667</v>
      </c>
      <c r="K167">
        <f>IF($A167&gt;=F$10,F$11,F$9)/12</f>
        <v>0.00533333333333333</v>
      </c>
      <c r="L167">
        <f>IF($A167&gt;=G$10,G$11,G$9)/12</f>
        <v>0</v>
      </c>
      <c r="M167">
        <f>IF($A167&gt;=H$10,H$11,H$9)/12</f>
        <v>0</v>
      </c>
      <c r="N167">
        <f>IF($A167&gt;=I$10,I$11,I$9)/12</f>
        <v>0</v>
      </c>
      <c r="O167">
        <f>IF($A167&gt;=J$10,J$11,J$9)/12</f>
        <v>0</v>
      </c>
      <c r="P167">
        <f>IF($A167&gt;=K$10,K$11,K$9)/12</f>
        <v>0</v>
      </c>
      <c r="Q167">
        <f>IF($A167&gt;=L$10,L$11,L$9)/12</f>
        <v>0</v>
      </c>
      <c r="R167">
        <f>IF($A167&gt;=M$10,M$11,M$9)/12</f>
        <v>0</v>
      </c>
      <c r="S167">
        <f>IF($A167&gt;=N$10,N$11,N$9)/12</f>
        <v>0</v>
      </c>
      <c r="T167">
        <f>IF(C$6="",0,SUMIFS('Budget ed extra'!$G$7:$G$42,'Budget ed extra'!$J$7:$J$42,$A167,'Budget ed extra'!$H$7:$H$42,C$6))</f>
        <v>0</v>
      </c>
      <c r="U167">
        <f>IF(D$6="",0,SUMIFS('Budget ed extra'!$G$7:$G$42,'Budget ed extra'!$J$7:$J$42,$A167,'Budget ed extra'!$H$7:$H$42,D$6))</f>
        <v>0</v>
      </c>
      <c r="V167">
        <f>IF(E$6="",0,SUMIFS('Budget ed extra'!$G$7:$G$42,'Budget ed extra'!$J$7:$J$42,$A167,'Budget ed extra'!$H$7:$H$42,E$6))</f>
        <v>0</v>
      </c>
      <c r="W167">
        <f>IF(F$6="",0,SUMIFS('Budget ed extra'!$G$7:$G$42,'Budget ed extra'!$J$7:$J$42,$A167,'Budget ed extra'!$H$7:$H$42,F$6))</f>
        <v>0</v>
      </c>
      <c r="X167">
        <f>IF(G$6="",0,SUMIFS('Budget ed extra'!$G$7:$G$42,'Budget ed extra'!$J$7:$J$42,$A167,'Budget ed extra'!$H$7:$H$42,G$6))</f>
        <v>0</v>
      </c>
      <c r="Y167">
        <f>IF(H$6="",0,SUMIFS('Budget ed extra'!$G$7:$G$42,'Budget ed extra'!$J$7:$J$42,$A167,'Budget ed extra'!$H$7:$H$42,H$6))</f>
        <v>0</v>
      </c>
      <c r="Z167">
        <f>IF(I$6="",0,SUMIFS('Budget ed extra'!$G$7:$G$42,'Budget ed extra'!$J$7:$J$42,$A167,'Budget ed extra'!$H$7:$H$42,I$6))</f>
        <v>0</v>
      </c>
      <c r="AA167">
        <f>IF(J$6="",0,SUMIFS('Budget ed extra'!$G$7:$G$42,'Budget ed extra'!$J$7:$J$42,$A167,'Budget ed extra'!$H$7:$H$42,J$6))</f>
        <v>0</v>
      </c>
      <c r="AB167">
        <f>IF(K$6="",0,SUMIFS('Budget ed extra'!$G$7:$G$42,'Budget ed extra'!$J$7:$J$42,$A167,'Budget ed extra'!$H$7:$H$42,K$6))</f>
        <v>0</v>
      </c>
      <c r="AC167">
        <f>IF(L$6="",0,SUMIFS('Budget ed extra'!$G$7:$G$42,'Budget ed extra'!$J$7:$J$42,$A167,'Budget ed extra'!$H$7:$H$42,L$6))</f>
        <v>0</v>
      </c>
      <c r="AD167">
        <f>IF(M$6="",0,SUMIFS('Budget ed extra'!$G$7:$G$42,'Budget ed extra'!$J$7:$J$42,$A167,'Budget ed extra'!$H$7:$H$42,M$6))</f>
        <v>0</v>
      </c>
      <c r="AE167">
        <f>IF(N$6="",0,SUMIFS('Budget ed extra'!$G$7:$G$42,'Budget ed extra'!$J$7:$J$42,$A167,'Budget ed extra'!$H$7:$H$42,N$6))</f>
        <v>0</v>
      </c>
    </row>
    <row r="168">
      <c r="A168" t="n">
        <v>138</v>
      </c>
      <c r="B168">
        <f>DATE($B$2,$B$3+A168-1,1)</f>
        <v>50496.0</v>
      </c>
      <c r="C168">
        <f>IF(D168=0,N(Impostazioni!$B$6),SUMIFS('Budget ed extra'!$B$7:$B$18,'Budget ed extra'!$D$7:$D$18,D168)/COUNTIFS('Budget ed extra'!$D$7:$D$18,D168))</f>
        <v>900</v>
      </c>
      <c r="D168">
        <f>SUMPRODUCT(MAX(('Budget ed extra'!$D$7:$D$18&lt;=A168)*'Budget ed extra'!$D$7:$D$18))</f>
        <v>9</v>
      </c>
      <c r="E168">
        <f>SUMIFS('Budget ed extra'!$G$7:$G$42,'Budget ed extra'!$J$7:$J$42,A168)</f>
        <v>0</v>
      </c>
      <c r="F168">
        <f>SUM(T168:AE168)</f>
        <v>0</v>
      </c>
      <c r="G168">
        <f>MAX(0,E168-F168)</f>
        <v>0</v>
      </c>
      <c r="H168">
        <f>IF($A168&gt;=C$10,C$11,C$9)/12</f>
        <v>0.01575</v>
      </c>
      <c r="I168">
        <f>IF($A168&gt;=D$10,D$11,D$9)/12</f>
        <v>0.01825</v>
      </c>
      <c r="J168">
        <f>IF($A168&gt;=E$10,E$11,E$9)/12</f>
        <v>0.00766666666666667</v>
      </c>
      <c r="K168">
        <f>IF($A168&gt;=F$10,F$11,F$9)/12</f>
        <v>0.00533333333333333</v>
      </c>
      <c r="L168">
        <f>IF($A168&gt;=G$10,G$11,G$9)/12</f>
        <v>0</v>
      </c>
      <c r="M168">
        <f>IF($A168&gt;=H$10,H$11,H$9)/12</f>
        <v>0</v>
      </c>
      <c r="N168">
        <f>IF($A168&gt;=I$10,I$11,I$9)/12</f>
        <v>0</v>
      </c>
      <c r="O168">
        <f>IF($A168&gt;=J$10,J$11,J$9)/12</f>
        <v>0</v>
      </c>
      <c r="P168">
        <f>IF($A168&gt;=K$10,K$11,K$9)/12</f>
        <v>0</v>
      </c>
      <c r="Q168">
        <f>IF($A168&gt;=L$10,L$11,L$9)/12</f>
        <v>0</v>
      </c>
      <c r="R168">
        <f>IF($A168&gt;=M$10,M$11,M$9)/12</f>
        <v>0</v>
      </c>
      <c r="S168">
        <f>IF($A168&gt;=N$10,N$11,N$9)/12</f>
        <v>0</v>
      </c>
      <c r="T168">
        <f>IF(C$6="",0,SUMIFS('Budget ed extra'!$G$7:$G$42,'Budget ed extra'!$J$7:$J$42,$A168,'Budget ed extra'!$H$7:$H$42,C$6))</f>
        <v>0</v>
      </c>
      <c r="U168">
        <f>IF(D$6="",0,SUMIFS('Budget ed extra'!$G$7:$G$42,'Budget ed extra'!$J$7:$J$42,$A168,'Budget ed extra'!$H$7:$H$42,D$6))</f>
        <v>0</v>
      </c>
      <c r="V168">
        <f>IF(E$6="",0,SUMIFS('Budget ed extra'!$G$7:$G$42,'Budget ed extra'!$J$7:$J$42,$A168,'Budget ed extra'!$H$7:$H$42,E$6))</f>
        <v>0</v>
      </c>
      <c r="W168">
        <f>IF(F$6="",0,SUMIFS('Budget ed extra'!$G$7:$G$42,'Budget ed extra'!$J$7:$J$42,$A168,'Budget ed extra'!$H$7:$H$42,F$6))</f>
        <v>0</v>
      </c>
      <c r="X168">
        <f>IF(G$6="",0,SUMIFS('Budget ed extra'!$G$7:$G$42,'Budget ed extra'!$J$7:$J$42,$A168,'Budget ed extra'!$H$7:$H$42,G$6))</f>
        <v>0</v>
      </c>
      <c r="Y168">
        <f>IF(H$6="",0,SUMIFS('Budget ed extra'!$G$7:$G$42,'Budget ed extra'!$J$7:$J$42,$A168,'Budget ed extra'!$H$7:$H$42,H$6))</f>
        <v>0</v>
      </c>
      <c r="Z168">
        <f>IF(I$6="",0,SUMIFS('Budget ed extra'!$G$7:$G$42,'Budget ed extra'!$J$7:$J$42,$A168,'Budget ed extra'!$H$7:$H$42,I$6))</f>
        <v>0</v>
      </c>
      <c r="AA168">
        <f>IF(J$6="",0,SUMIFS('Budget ed extra'!$G$7:$G$42,'Budget ed extra'!$J$7:$J$42,$A168,'Budget ed extra'!$H$7:$H$42,J$6))</f>
        <v>0</v>
      </c>
      <c r="AB168">
        <f>IF(K$6="",0,SUMIFS('Budget ed extra'!$G$7:$G$42,'Budget ed extra'!$J$7:$J$42,$A168,'Budget ed extra'!$H$7:$H$42,K$6))</f>
        <v>0</v>
      </c>
      <c r="AC168">
        <f>IF(L$6="",0,SUMIFS('Budget ed extra'!$G$7:$G$42,'Budget ed extra'!$J$7:$J$42,$A168,'Budget ed extra'!$H$7:$H$42,L$6))</f>
        <v>0</v>
      </c>
      <c r="AD168">
        <f>IF(M$6="",0,SUMIFS('Budget ed extra'!$G$7:$G$42,'Budget ed extra'!$J$7:$J$42,$A168,'Budget ed extra'!$H$7:$H$42,M$6))</f>
        <v>0</v>
      </c>
      <c r="AE168">
        <f>IF(N$6="",0,SUMIFS('Budget ed extra'!$G$7:$G$42,'Budget ed extra'!$J$7:$J$42,$A168,'Budget ed extra'!$H$7:$H$42,N$6))</f>
        <v>0</v>
      </c>
    </row>
    <row r="169">
      <c r="A169" t="n">
        <v>139</v>
      </c>
      <c r="B169">
        <f>DATE($B$2,$B$3+A169-1,1)</f>
        <v>50526.0</v>
      </c>
      <c r="C169">
        <f>IF(D169=0,N(Impostazioni!$B$6),SUMIFS('Budget ed extra'!$B$7:$B$18,'Budget ed extra'!$D$7:$D$18,D169)/COUNTIFS('Budget ed extra'!$D$7:$D$18,D169))</f>
        <v>900</v>
      </c>
      <c r="D169">
        <f>SUMPRODUCT(MAX(('Budget ed extra'!$D$7:$D$18&lt;=A169)*'Budget ed extra'!$D$7:$D$18))</f>
        <v>9</v>
      </c>
      <c r="E169">
        <f>SUMIFS('Budget ed extra'!$G$7:$G$42,'Budget ed extra'!$J$7:$J$42,A169)</f>
        <v>0</v>
      </c>
      <c r="F169">
        <f>SUM(T169:AE169)</f>
        <v>0</v>
      </c>
      <c r="G169">
        <f>MAX(0,E169-F169)</f>
        <v>0</v>
      </c>
      <c r="H169">
        <f>IF($A169&gt;=C$10,C$11,C$9)/12</f>
        <v>0.01575</v>
      </c>
      <c r="I169">
        <f>IF($A169&gt;=D$10,D$11,D$9)/12</f>
        <v>0.01825</v>
      </c>
      <c r="J169">
        <f>IF($A169&gt;=E$10,E$11,E$9)/12</f>
        <v>0.00766666666666667</v>
      </c>
      <c r="K169">
        <f>IF($A169&gt;=F$10,F$11,F$9)/12</f>
        <v>0.00533333333333333</v>
      </c>
      <c r="L169">
        <f>IF($A169&gt;=G$10,G$11,G$9)/12</f>
        <v>0</v>
      </c>
      <c r="M169">
        <f>IF($A169&gt;=H$10,H$11,H$9)/12</f>
        <v>0</v>
      </c>
      <c r="N169">
        <f>IF($A169&gt;=I$10,I$11,I$9)/12</f>
        <v>0</v>
      </c>
      <c r="O169">
        <f>IF($A169&gt;=J$10,J$11,J$9)/12</f>
        <v>0</v>
      </c>
      <c r="P169">
        <f>IF($A169&gt;=K$10,K$11,K$9)/12</f>
        <v>0</v>
      </c>
      <c r="Q169">
        <f>IF($A169&gt;=L$10,L$11,L$9)/12</f>
        <v>0</v>
      </c>
      <c r="R169">
        <f>IF($A169&gt;=M$10,M$11,M$9)/12</f>
        <v>0</v>
      </c>
      <c r="S169">
        <f>IF($A169&gt;=N$10,N$11,N$9)/12</f>
        <v>0</v>
      </c>
      <c r="T169">
        <f>IF(C$6="",0,SUMIFS('Budget ed extra'!$G$7:$G$42,'Budget ed extra'!$J$7:$J$42,$A169,'Budget ed extra'!$H$7:$H$42,C$6))</f>
        <v>0</v>
      </c>
      <c r="U169">
        <f>IF(D$6="",0,SUMIFS('Budget ed extra'!$G$7:$G$42,'Budget ed extra'!$J$7:$J$42,$A169,'Budget ed extra'!$H$7:$H$42,D$6))</f>
        <v>0</v>
      </c>
      <c r="V169">
        <f>IF(E$6="",0,SUMIFS('Budget ed extra'!$G$7:$G$42,'Budget ed extra'!$J$7:$J$42,$A169,'Budget ed extra'!$H$7:$H$42,E$6))</f>
        <v>0</v>
      </c>
      <c r="W169">
        <f>IF(F$6="",0,SUMIFS('Budget ed extra'!$G$7:$G$42,'Budget ed extra'!$J$7:$J$42,$A169,'Budget ed extra'!$H$7:$H$42,F$6))</f>
        <v>0</v>
      </c>
      <c r="X169">
        <f>IF(G$6="",0,SUMIFS('Budget ed extra'!$G$7:$G$42,'Budget ed extra'!$J$7:$J$42,$A169,'Budget ed extra'!$H$7:$H$42,G$6))</f>
        <v>0</v>
      </c>
      <c r="Y169">
        <f>IF(H$6="",0,SUMIFS('Budget ed extra'!$G$7:$G$42,'Budget ed extra'!$J$7:$J$42,$A169,'Budget ed extra'!$H$7:$H$42,H$6))</f>
        <v>0</v>
      </c>
      <c r="Z169">
        <f>IF(I$6="",0,SUMIFS('Budget ed extra'!$G$7:$G$42,'Budget ed extra'!$J$7:$J$42,$A169,'Budget ed extra'!$H$7:$H$42,I$6))</f>
        <v>0</v>
      </c>
      <c r="AA169">
        <f>IF(J$6="",0,SUMIFS('Budget ed extra'!$G$7:$G$42,'Budget ed extra'!$J$7:$J$42,$A169,'Budget ed extra'!$H$7:$H$42,J$6))</f>
        <v>0</v>
      </c>
      <c r="AB169">
        <f>IF(K$6="",0,SUMIFS('Budget ed extra'!$G$7:$G$42,'Budget ed extra'!$J$7:$J$42,$A169,'Budget ed extra'!$H$7:$H$42,K$6))</f>
        <v>0</v>
      </c>
      <c r="AC169">
        <f>IF(L$6="",0,SUMIFS('Budget ed extra'!$G$7:$G$42,'Budget ed extra'!$J$7:$J$42,$A169,'Budget ed extra'!$H$7:$H$42,L$6))</f>
        <v>0</v>
      </c>
      <c r="AD169">
        <f>IF(M$6="",0,SUMIFS('Budget ed extra'!$G$7:$G$42,'Budget ed extra'!$J$7:$J$42,$A169,'Budget ed extra'!$H$7:$H$42,M$6))</f>
        <v>0</v>
      </c>
      <c r="AE169">
        <f>IF(N$6="",0,SUMIFS('Budget ed extra'!$G$7:$G$42,'Budget ed extra'!$J$7:$J$42,$A169,'Budget ed extra'!$H$7:$H$42,N$6))</f>
        <v>0</v>
      </c>
    </row>
    <row r="170">
      <c r="A170" t="n">
        <v>140</v>
      </c>
      <c r="B170">
        <f>DATE($B$2,$B$3+A170-1,1)</f>
        <v>50557.0</v>
      </c>
      <c r="C170">
        <f>IF(D170=0,N(Impostazioni!$B$6),SUMIFS('Budget ed extra'!$B$7:$B$18,'Budget ed extra'!$D$7:$D$18,D170)/COUNTIFS('Budget ed extra'!$D$7:$D$18,D170))</f>
        <v>900</v>
      </c>
      <c r="D170">
        <f>SUMPRODUCT(MAX(('Budget ed extra'!$D$7:$D$18&lt;=A170)*'Budget ed extra'!$D$7:$D$18))</f>
        <v>9</v>
      </c>
      <c r="E170">
        <f>SUMIFS('Budget ed extra'!$G$7:$G$42,'Budget ed extra'!$J$7:$J$42,A170)</f>
        <v>0</v>
      </c>
      <c r="F170">
        <f>SUM(T170:AE170)</f>
        <v>0</v>
      </c>
      <c r="G170">
        <f>MAX(0,E170-F170)</f>
        <v>0</v>
      </c>
      <c r="H170">
        <f>IF($A170&gt;=C$10,C$11,C$9)/12</f>
        <v>0.01575</v>
      </c>
      <c r="I170">
        <f>IF($A170&gt;=D$10,D$11,D$9)/12</f>
        <v>0.01825</v>
      </c>
      <c r="J170">
        <f>IF($A170&gt;=E$10,E$11,E$9)/12</f>
        <v>0.00766666666666667</v>
      </c>
      <c r="K170">
        <f>IF($A170&gt;=F$10,F$11,F$9)/12</f>
        <v>0.00533333333333333</v>
      </c>
      <c r="L170">
        <f>IF($A170&gt;=G$10,G$11,G$9)/12</f>
        <v>0</v>
      </c>
      <c r="M170">
        <f>IF($A170&gt;=H$10,H$11,H$9)/12</f>
        <v>0</v>
      </c>
      <c r="N170">
        <f>IF($A170&gt;=I$10,I$11,I$9)/12</f>
        <v>0</v>
      </c>
      <c r="O170">
        <f>IF($A170&gt;=J$10,J$11,J$9)/12</f>
        <v>0</v>
      </c>
      <c r="P170">
        <f>IF($A170&gt;=K$10,K$11,K$9)/12</f>
        <v>0</v>
      </c>
      <c r="Q170">
        <f>IF($A170&gt;=L$10,L$11,L$9)/12</f>
        <v>0</v>
      </c>
      <c r="R170">
        <f>IF($A170&gt;=M$10,M$11,M$9)/12</f>
        <v>0</v>
      </c>
      <c r="S170">
        <f>IF($A170&gt;=N$10,N$11,N$9)/12</f>
        <v>0</v>
      </c>
      <c r="T170">
        <f>IF(C$6="",0,SUMIFS('Budget ed extra'!$G$7:$G$42,'Budget ed extra'!$J$7:$J$42,$A170,'Budget ed extra'!$H$7:$H$42,C$6))</f>
        <v>0</v>
      </c>
      <c r="U170">
        <f>IF(D$6="",0,SUMIFS('Budget ed extra'!$G$7:$G$42,'Budget ed extra'!$J$7:$J$42,$A170,'Budget ed extra'!$H$7:$H$42,D$6))</f>
        <v>0</v>
      </c>
      <c r="V170">
        <f>IF(E$6="",0,SUMIFS('Budget ed extra'!$G$7:$G$42,'Budget ed extra'!$J$7:$J$42,$A170,'Budget ed extra'!$H$7:$H$42,E$6))</f>
        <v>0</v>
      </c>
      <c r="W170">
        <f>IF(F$6="",0,SUMIFS('Budget ed extra'!$G$7:$G$42,'Budget ed extra'!$J$7:$J$42,$A170,'Budget ed extra'!$H$7:$H$42,F$6))</f>
        <v>0</v>
      </c>
      <c r="X170">
        <f>IF(G$6="",0,SUMIFS('Budget ed extra'!$G$7:$G$42,'Budget ed extra'!$J$7:$J$42,$A170,'Budget ed extra'!$H$7:$H$42,G$6))</f>
        <v>0</v>
      </c>
      <c r="Y170">
        <f>IF(H$6="",0,SUMIFS('Budget ed extra'!$G$7:$G$42,'Budget ed extra'!$J$7:$J$42,$A170,'Budget ed extra'!$H$7:$H$42,H$6))</f>
        <v>0</v>
      </c>
      <c r="Z170">
        <f>IF(I$6="",0,SUMIFS('Budget ed extra'!$G$7:$G$42,'Budget ed extra'!$J$7:$J$42,$A170,'Budget ed extra'!$H$7:$H$42,I$6))</f>
        <v>0</v>
      </c>
      <c r="AA170">
        <f>IF(J$6="",0,SUMIFS('Budget ed extra'!$G$7:$G$42,'Budget ed extra'!$J$7:$J$42,$A170,'Budget ed extra'!$H$7:$H$42,J$6))</f>
        <v>0</v>
      </c>
      <c r="AB170">
        <f>IF(K$6="",0,SUMIFS('Budget ed extra'!$G$7:$G$42,'Budget ed extra'!$J$7:$J$42,$A170,'Budget ed extra'!$H$7:$H$42,K$6))</f>
        <v>0</v>
      </c>
      <c r="AC170">
        <f>IF(L$6="",0,SUMIFS('Budget ed extra'!$G$7:$G$42,'Budget ed extra'!$J$7:$J$42,$A170,'Budget ed extra'!$H$7:$H$42,L$6))</f>
        <v>0</v>
      </c>
      <c r="AD170">
        <f>IF(M$6="",0,SUMIFS('Budget ed extra'!$G$7:$G$42,'Budget ed extra'!$J$7:$J$42,$A170,'Budget ed extra'!$H$7:$H$42,M$6))</f>
        <v>0</v>
      </c>
      <c r="AE170">
        <f>IF(N$6="",0,SUMIFS('Budget ed extra'!$G$7:$G$42,'Budget ed extra'!$J$7:$J$42,$A170,'Budget ed extra'!$H$7:$H$42,N$6))</f>
        <v>0</v>
      </c>
    </row>
    <row r="171">
      <c r="A171" t="n">
        <v>141</v>
      </c>
      <c r="B171">
        <f>DATE($B$2,$B$3+A171-1,1)</f>
        <v>50587.0</v>
      </c>
      <c r="C171">
        <f>IF(D171=0,N(Impostazioni!$B$6),SUMIFS('Budget ed extra'!$B$7:$B$18,'Budget ed extra'!$D$7:$D$18,D171)/COUNTIFS('Budget ed extra'!$D$7:$D$18,D171))</f>
        <v>900</v>
      </c>
      <c r="D171">
        <f>SUMPRODUCT(MAX(('Budget ed extra'!$D$7:$D$18&lt;=A171)*'Budget ed extra'!$D$7:$D$18))</f>
        <v>9</v>
      </c>
      <c r="E171">
        <f>SUMIFS('Budget ed extra'!$G$7:$G$42,'Budget ed extra'!$J$7:$J$42,A171)</f>
        <v>0</v>
      </c>
      <c r="F171">
        <f>SUM(T171:AE171)</f>
        <v>0</v>
      </c>
      <c r="G171">
        <f>MAX(0,E171-F171)</f>
        <v>0</v>
      </c>
      <c r="H171">
        <f>IF($A171&gt;=C$10,C$11,C$9)/12</f>
        <v>0.01575</v>
      </c>
      <c r="I171">
        <f>IF($A171&gt;=D$10,D$11,D$9)/12</f>
        <v>0.01825</v>
      </c>
      <c r="J171">
        <f>IF($A171&gt;=E$10,E$11,E$9)/12</f>
        <v>0.00766666666666667</v>
      </c>
      <c r="K171">
        <f>IF($A171&gt;=F$10,F$11,F$9)/12</f>
        <v>0.00533333333333333</v>
      </c>
      <c r="L171">
        <f>IF($A171&gt;=G$10,G$11,G$9)/12</f>
        <v>0</v>
      </c>
      <c r="M171">
        <f>IF($A171&gt;=H$10,H$11,H$9)/12</f>
        <v>0</v>
      </c>
      <c r="N171">
        <f>IF($A171&gt;=I$10,I$11,I$9)/12</f>
        <v>0</v>
      </c>
      <c r="O171">
        <f>IF($A171&gt;=J$10,J$11,J$9)/12</f>
        <v>0</v>
      </c>
      <c r="P171">
        <f>IF($A171&gt;=K$10,K$11,K$9)/12</f>
        <v>0</v>
      </c>
      <c r="Q171">
        <f>IF($A171&gt;=L$10,L$11,L$9)/12</f>
        <v>0</v>
      </c>
      <c r="R171">
        <f>IF($A171&gt;=M$10,M$11,M$9)/12</f>
        <v>0</v>
      </c>
      <c r="S171">
        <f>IF($A171&gt;=N$10,N$11,N$9)/12</f>
        <v>0</v>
      </c>
      <c r="T171">
        <f>IF(C$6="",0,SUMIFS('Budget ed extra'!$G$7:$G$42,'Budget ed extra'!$J$7:$J$42,$A171,'Budget ed extra'!$H$7:$H$42,C$6))</f>
        <v>0</v>
      </c>
      <c r="U171">
        <f>IF(D$6="",0,SUMIFS('Budget ed extra'!$G$7:$G$42,'Budget ed extra'!$J$7:$J$42,$A171,'Budget ed extra'!$H$7:$H$42,D$6))</f>
        <v>0</v>
      </c>
      <c r="V171">
        <f>IF(E$6="",0,SUMIFS('Budget ed extra'!$G$7:$G$42,'Budget ed extra'!$J$7:$J$42,$A171,'Budget ed extra'!$H$7:$H$42,E$6))</f>
        <v>0</v>
      </c>
      <c r="W171">
        <f>IF(F$6="",0,SUMIFS('Budget ed extra'!$G$7:$G$42,'Budget ed extra'!$J$7:$J$42,$A171,'Budget ed extra'!$H$7:$H$42,F$6))</f>
        <v>0</v>
      </c>
      <c r="X171">
        <f>IF(G$6="",0,SUMIFS('Budget ed extra'!$G$7:$G$42,'Budget ed extra'!$J$7:$J$42,$A171,'Budget ed extra'!$H$7:$H$42,G$6))</f>
        <v>0</v>
      </c>
      <c r="Y171">
        <f>IF(H$6="",0,SUMIFS('Budget ed extra'!$G$7:$G$42,'Budget ed extra'!$J$7:$J$42,$A171,'Budget ed extra'!$H$7:$H$42,H$6))</f>
        <v>0</v>
      </c>
      <c r="Z171">
        <f>IF(I$6="",0,SUMIFS('Budget ed extra'!$G$7:$G$42,'Budget ed extra'!$J$7:$J$42,$A171,'Budget ed extra'!$H$7:$H$42,I$6))</f>
        <v>0</v>
      </c>
      <c r="AA171">
        <f>IF(J$6="",0,SUMIFS('Budget ed extra'!$G$7:$G$42,'Budget ed extra'!$J$7:$J$42,$A171,'Budget ed extra'!$H$7:$H$42,J$6))</f>
        <v>0</v>
      </c>
      <c r="AB171">
        <f>IF(K$6="",0,SUMIFS('Budget ed extra'!$G$7:$G$42,'Budget ed extra'!$J$7:$J$42,$A171,'Budget ed extra'!$H$7:$H$42,K$6))</f>
        <v>0</v>
      </c>
      <c r="AC171">
        <f>IF(L$6="",0,SUMIFS('Budget ed extra'!$G$7:$G$42,'Budget ed extra'!$J$7:$J$42,$A171,'Budget ed extra'!$H$7:$H$42,L$6))</f>
        <v>0</v>
      </c>
      <c r="AD171">
        <f>IF(M$6="",0,SUMIFS('Budget ed extra'!$G$7:$G$42,'Budget ed extra'!$J$7:$J$42,$A171,'Budget ed extra'!$H$7:$H$42,M$6))</f>
        <v>0</v>
      </c>
      <c r="AE171">
        <f>IF(N$6="",0,SUMIFS('Budget ed extra'!$G$7:$G$42,'Budget ed extra'!$J$7:$J$42,$A171,'Budget ed extra'!$H$7:$H$42,N$6))</f>
        <v>0</v>
      </c>
    </row>
    <row r="172">
      <c r="A172" t="n">
        <v>142</v>
      </c>
      <c r="B172">
        <f>DATE($B$2,$B$3+A172-1,1)</f>
        <v>50618.0</v>
      </c>
      <c r="C172">
        <f>IF(D172=0,N(Impostazioni!$B$6),SUMIFS('Budget ed extra'!$B$7:$B$18,'Budget ed extra'!$D$7:$D$18,D172)/COUNTIFS('Budget ed extra'!$D$7:$D$18,D172))</f>
        <v>900</v>
      </c>
      <c r="D172">
        <f>SUMPRODUCT(MAX(('Budget ed extra'!$D$7:$D$18&lt;=A172)*'Budget ed extra'!$D$7:$D$18))</f>
        <v>9</v>
      </c>
      <c r="E172">
        <f>SUMIFS('Budget ed extra'!$G$7:$G$42,'Budget ed extra'!$J$7:$J$42,A172)</f>
        <v>0</v>
      </c>
      <c r="F172">
        <f>SUM(T172:AE172)</f>
        <v>0</v>
      </c>
      <c r="G172">
        <f>MAX(0,E172-F172)</f>
        <v>0</v>
      </c>
      <c r="H172">
        <f>IF($A172&gt;=C$10,C$11,C$9)/12</f>
        <v>0.01575</v>
      </c>
      <c r="I172">
        <f>IF($A172&gt;=D$10,D$11,D$9)/12</f>
        <v>0.01825</v>
      </c>
      <c r="J172">
        <f>IF($A172&gt;=E$10,E$11,E$9)/12</f>
        <v>0.00766666666666667</v>
      </c>
      <c r="K172">
        <f>IF($A172&gt;=F$10,F$11,F$9)/12</f>
        <v>0.00533333333333333</v>
      </c>
      <c r="L172">
        <f>IF($A172&gt;=G$10,G$11,G$9)/12</f>
        <v>0</v>
      </c>
      <c r="M172">
        <f>IF($A172&gt;=H$10,H$11,H$9)/12</f>
        <v>0</v>
      </c>
      <c r="N172">
        <f>IF($A172&gt;=I$10,I$11,I$9)/12</f>
        <v>0</v>
      </c>
      <c r="O172">
        <f>IF($A172&gt;=J$10,J$11,J$9)/12</f>
        <v>0</v>
      </c>
      <c r="P172">
        <f>IF($A172&gt;=K$10,K$11,K$9)/12</f>
        <v>0</v>
      </c>
      <c r="Q172">
        <f>IF($A172&gt;=L$10,L$11,L$9)/12</f>
        <v>0</v>
      </c>
      <c r="R172">
        <f>IF($A172&gt;=M$10,M$11,M$9)/12</f>
        <v>0</v>
      </c>
      <c r="S172">
        <f>IF($A172&gt;=N$10,N$11,N$9)/12</f>
        <v>0</v>
      </c>
      <c r="T172">
        <f>IF(C$6="",0,SUMIFS('Budget ed extra'!$G$7:$G$42,'Budget ed extra'!$J$7:$J$42,$A172,'Budget ed extra'!$H$7:$H$42,C$6))</f>
        <v>0</v>
      </c>
      <c r="U172">
        <f>IF(D$6="",0,SUMIFS('Budget ed extra'!$G$7:$G$42,'Budget ed extra'!$J$7:$J$42,$A172,'Budget ed extra'!$H$7:$H$42,D$6))</f>
        <v>0</v>
      </c>
      <c r="V172">
        <f>IF(E$6="",0,SUMIFS('Budget ed extra'!$G$7:$G$42,'Budget ed extra'!$J$7:$J$42,$A172,'Budget ed extra'!$H$7:$H$42,E$6))</f>
        <v>0</v>
      </c>
      <c r="W172">
        <f>IF(F$6="",0,SUMIFS('Budget ed extra'!$G$7:$G$42,'Budget ed extra'!$J$7:$J$42,$A172,'Budget ed extra'!$H$7:$H$42,F$6))</f>
        <v>0</v>
      </c>
      <c r="X172">
        <f>IF(G$6="",0,SUMIFS('Budget ed extra'!$G$7:$G$42,'Budget ed extra'!$J$7:$J$42,$A172,'Budget ed extra'!$H$7:$H$42,G$6))</f>
        <v>0</v>
      </c>
      <c r="Y172">
        <f>IF(H$6="",0,SUMIFS('Budget ed extra'!$G$7:$G$42,'Budget ed extra'!$J$7:$J$42,$A172,'Budget ed extra'!$H$7:$H$42,H$6))</f>
        <v>0</v>
      </c>
      <c r="Z172">
        <f>IF(I$6="",0,SUMIFS('Budget ed extra'!$G$7:$G$42,'Budget ed extra'!$J$7:$J$42,$A172,'Budget ed extra'!$H$7:$H$42,I$6))</f>
        <v>0</v>
      </c>
      <c r="AA172">
        <f>IF(J$6="",0,SUMIFS('Budget ed extra'!$G$7:$G$42,'Budget ed extra'!$J$7:$J$42,$A172,'Budget ed extra'!$H$7:$H$42,J$6))</f>
        <v>0</v>
      </c>
      <c r="AB172">
        <f>IF(K$6="",0,SUMIFS('Budget ed extra'!$G$7:$G$42,'Budget ed extra'!$J$7:$J$42,$A172,'Budget ed extra'!$H$7:$H$42,K$6))</f>
        <v>0</v>
      </c>
      <c r="AC172">
        <f>IF(L$6="",0,SUMIFS('Budget ed extra'!$G$7:$G$42,'Budget ed extra'!$J$7:$J$42,$A172,'Budget ed extra'!$H$7:$H$42,L$6))</f>
        <v>0</v>
      </c>
      <c r="AD172">
        <f>IF(M$6="",0,SUMIFS('Budget ed extra'!$G$7:$G$42,'Budget ed extra'!$J$7:$J$42,$A172,'Budget ed extra'!$H$7:$H$42,M$6))</f>
        <v>0</v>
      </c>
      <c r="AE172">
        <f>IF(N$6="",0,SUMIFS('Budget ed extra'!$G$7:$G$42,'Budget ed extra'!$J$7:$J$42,$A172,'Budget ed extra'!$H$7:$H$42,N$6))</f>
        <v>0</v>
      </c>
    </row>
    <row r="173">
      <c r="A173" t="n">
        <v>143</v>
      </c>
      <c r="B173">
        <f>DATE($B$2,$B$3+A173-1,1)</f>
        <v>50649.0</v>
      </c>
      <c r="C173">
        <f>IF(D173=0,N(Impostazioni!$B$6),SUMIFS('Budget ed extra'!$B$7:$B$18,'Budget ed extra'!$D$7:$D$18,D173)/COUNTIFS('Budget ed extra'!$D$7:$D$18,D173))</f>
        <v>900</v>
      </c>
      <c r="D173">
        <f>SUMPRODUCT(MAX(('Budget ed extra'!$D$7:$D$18&lt;=A173)*'Budget ed extra'!$D$7:$D$18))</f>
        <v>9</v>
      </c>
      <c r="E173">
        <f>SUMIFS('Budget ed extra'!$G$7:$G$42,'Budget ed extra'!$J$7:$J$42,A173)</f>
        <v>0</v>
      </c>
      <c r="F173">
        <f>SUM(T173:AE173)</f>
        <v>0</v>
      </c>
      <c r="G173">
        <f>MAX(0,E173-F173)</f>
        <v>0</v>
      </c>
      <c r="H173">
        <f>IF($A173&gt;=C$10,C$11,C$9)/12</f>
        <v>0.01575</v>
      </c>
      <c r="I173">
        <f>IF($A173&gt;=D$10,D$11,D$9)/12</f>
        <v>0.01825</v>
      </c>
      <c r="J173">
        <f>IF($A173&gt;=E$10,E$11,E$9)/12</f>
        <v>0.00766666666666667</v>
      </c>
      <c r="K173">
        <f>IF($A173&gt;=F$10,F$11,F$9)/12</f>
        <v>0.00533333333333333</v>
      </c>
      <c r="L173">
        <f>IF($A173&gt;=G$10,G$11,G$9)/12</f>
        <v>0</v>
      </c>
      <c r="M173">
        <f>IF($A173&gt;=H$10,H$11,H$9)/12</f>
        <v>0</v>
      </c>
      <c r="N173">
        <f>IF($A173&gt;=I$10,I$11,I$9)/12</f>
        <v>0</v>
      </c>
      <c r="O173">
        <f>IF($A173&gt;=J$10,J$11,J$9)/12</f>
        <v>0</v>
      </c>
      <c r="P173">
        <f>IF($A173&gt;=K$10,K$11,K$9)/12</f>
        <v>0</v>
      </c>
      <c r="Q173">
        <f>IF($A173&gt;=L$10,L$11,L$9)/12</f>
        <v>0</v>
      </c>
      <c r="R173">
        <f>IF($A173&gt;=M$10,M$11,M$9)/12</f>
        <v>0</v>
      </c>
      <c r="S173">
        <f>IF($A173&gt;=N$10,N$11,N$9)/12</f>
        <v>0</v>
      </c>
      <c r="T173">
        <f>IF(C$6="",0,SUMIFS('Budget ed extra'!$G$7:$G$42,'Budget ed extra'!$J$7:$J$42,$A173,'Budget ed extra'!$H$7:$H$42,C$6))</f>
        <v>0</v>
      </c>
      <c r="U173">
        <f>IF(D$6="",0,SUMIFS('Budget ed extra'!$G$7:$G$42,'Budget ed extra'!$J$7:$J$42,$A173,'Budget ed extra'!$H$7:$H$42,D$6))</f>
        <v>0</v>
      </c>
      <c r="V173">
        <f>IF(E$6="",0,SUMIFS('Budget ed extra'!$G$7:$G$42,'Budget ed extra'!$J$7:$J$42,$A173,'Budget ed extra'!$H$7:$H$42,E$6))</f>
        <v>0</v>
      </c>
      <c r="W173">
        <f>IF(F$6="",0,SUMIFS('Budget ed extra'!$G$7:$G$42,'Budget ed extra'!$J$7:$J$42,$A173,'Budget ed extra'!$H$7:$H$42,F$6))</f>
        <v>0</v>
      </c>
      <c r="X173">
        <f>IF(G$6="",0,SUMIFS('Budget ed extra'!$G$7:$G$42,'Budget ed extra'!$J$7:$J$42,$A173,'Budget ed extra'!$H$7:$H$42,G$6))</f>
        <v>0</v>
      </c>
      <c r="Y173">
        <f>IF(H$6="",0,SUMIFS('Budget ed extra'!$G$7:$G$42,'Budget ed extra'!$J$7:$J$42,$A173,'Budget ed extra'!$H$7:$H$42,H$6))</f>
        <v>0</v>
      </c>
      <c r="Z173">
        <f>IF(I$6="",0,SUMIFS('Budget ed extra'!$G$7:$G$42,'Budget ed extra'!$J$7:$J$42,$A173,'Budget ed extra'!$H$7:$H$42,I$6))</f>
        <v>0</v>
      </c>
      <c r="AA173">
        <f>IF(J$6="",0,SUMIFS('Budget ed extra'!$G$7:$G$42,'Budget ed extra'!$J$7:$J$42,$A173,'Budget ed extra'!$H$7:$H$42,J$6))</f>
        <v>0</v>
      </c>
      <c r="AB173">
        <f>IF(K$6="",0,SUMIFS('Budget ed extra'!$G$7:$G$42,'Budget ed extra'!$J$7:$J$42,$A173,'Budget ed extra'!$H$7:$H$42,K$6))</f>
        <v>0</v>
      </c>
      <c r="AC173">
        <f>IF(L$6="",0,SUMIFS('Budget ed extra'!$G$7:$G$42,'Budget ed extra'!$J$7:$J$42,$A173,'Budget ed extra'!$H$7:$H$42,L$6))</f>
        <v>0</v>
      </c>
      <c r="AD173">
        <f>IF(M$6="",0,SUMIFS('Budget ed extra'!$G$7:$G$42,'Budget ed extra'!$J$7:$J$42,$A173,'Budget ed extra'!$H$7:$H$42,M$6))</f>
        <v>0</v>
      </c>
      <c r="AE173">
        <f>IF(N$6="",0,SUMIFS('Budget ed extra'!$G$7:$G$42,'Budget ed extra'!$J$7:$J$42,$A173,'Budget ed extra'!$H$7:$H$42,N$6))</f>
        <v>0</v>
      </c>
    </row>
    <row r="174">
      <c r="A174" t="n">
        <v>144</v>
      </c>
      <c r="B174">
        <f>DATE($B$2,$B$3+A174-1,1)</f>
        <v>50679.0</v>
      </c>
      <c r="C174">
        <f>IF(D174=0,N(Impostazioni!$B$6),SUMIFS('Budget ed extra'!$B$7:$B$18,'Budget ed extra'!$D$7:$D$18,D174)/COUNTIFS('Budget ed extra'!$D$7:$D$18,D174))</f>
        <v>900</v>
      </c>
      <c r="D174">
        <f>SUMPRODUCT(MAX(('Budget ed extra'!$D$7:$D$18&lt;=A174)*'Budget ed extra'!$D$7:$D$18))</f>
        <v>9</v>
      </c>
      <c r="E174">
        <f>SUMIFS('Budget ed extra'!$G$7:$G$42,'Budget ed extra'!$J$7:$J$42,A174)</f>
        <v>0</v>
      </c>
      <c r="F174">
        <f>SUM(T174:AE174)</f>
        <v>0</v>
      </c>
      <c r="G174">
        <f>MAX(0,E174-F174)</f>
        <v>0</v>
      </c>
      <c r="H174">
        <f>IF($A174&gt;=C$10,C$11,C$9)/12</f>
        <v>0.01575</v>
      </c>
      <c r="I174">
        <f>IF($A174&gt;=D$10,D$11,D$9)/12</f>
        <v>0.01825</v>
      </c>
      <c r="J174">
        <f>IF($A174&gt;=E$10,E$11,E$9)/12</f>
        <v>0.00766666666666667</v>
      </c>
      <c r="K174">
        <f>IF($A174&gt;=F$10,F$11,F$9)/12</f>
        <v>0.00533333333333333</v>
      </c>
      <c r="L174">
        <f>IF($A174&gt;=G$10,G$11,G$9)/12</f>
        <v>0</v>
      </c>
      <c r="M174">
        <f>IF($A174&gt;=H$10,H$11,H$9)/12</f>
        <v>0</v>
      </c>
      <c r="N174">
        <f>IF($A174&gt;=I$10,I$11,I$9)/12</f>
        <v>0</v>
      </c>
      <c r="O174">
        <f>IF($A174&gt;=J$10,J$11,J$9)/12</f>
        <v>0</v>
      </c>
      <c r="P174">
        <f>IF($A174&gt;=K$10,K$11,K$9)/12</f>
        <v>0</v>
      </c>
      <c r="Q174">
        <f>IF($A174&gt;=L$10,L$11,L$9)/12</f>
        <v>0</v>
      </c>
      <c r="R174">
        <f>IF($A174&gt;=M$10,M$11,M$9)/12</f>
        <v>0</v>
      </c>
      <c r="S174">
        <f>IF($A174&gt;=N$10,N$11,N$9)/12</f>
        <v>0</v>
      </c>
      <c r="T174">
        <f>IF(C$6="",0,SUMIFS('Budget ed extra'!$G$7:$G$42,'Budget ed extra'!$J$7:$J$42,$A174,'Budget ed extra'!$H$7:$H$42,C$6))</f>
        <v>0</v>
      </c>
      <c r="U174">
        <f>IF(D$6="",0,SUMIFS('Budget ed extra'!$G$7:$G$42,'Budget ed extra'!$J$7:$J$42,$A174,'Budget ed extra'!$H$7:$H$42,D$6))</f>
        <v>0</v>
      </c>
      <c r="V174">
        <f>IF(E$6="",0,SUMIFS('Budget ed extra'!$G$7:$G$42,'Budget ed extra'!$J$7:$J$42,$A174,'Budget ed extra'!$H$7:$H$42,E$6))</f>
        <v>0</v>
      </c>
      <c r="W174">
        <f>IF(F$6="",0,SUMIFS('Budget ed extra'!$G$7:$G$42,'Budget ed extra'!$J$7:$J$42,$A174,'Budget ed extra'!$H$7:$H$42,F$6))</f>
        <v>0</v>
      </c>
      <c r="X174">
        <f>IF(G$6="",0,SUMIFS('Budget ed extra'!$G$7:$G$42,'Budget ed extra'!$J$7:$J$42,$A174,'Budget ed extra'!$H$7:$H$42,G$6))</f>
        <v>0</v>
      </c>
      <c r="Y174">
        <f>IF(H$6="",0,SUMIFS('Budget ed extra'!$G$7:$G$42,'Budget ed extra'!$J$7:$J$42,$A174,'Budget ed extra'!$H$7:$H$42,H$6))</f>
        <v>0</v>
      </c>
      <c r="Z174">
        <f>IF(I$6="",0,SUMIFS('Budget ed extra'!$G$7:$G$42,'Budget ed extra'!$J$7:$J$42,$A174,'Budget ed extra'!$H$7:$H$42,I$6))</f>
        <v>0</v>
      </c>
      <c r="AA174">
        <f>IF(J$6="",0,SUMIFS('Budget ed extra'!$G$7:$G$42,'Budget ed extra'!$J$7:$J$42,$A174,'Budget ed extra'!$H$7:$H$42,J$6))</f>
        <v>0</v>
      </c>
      <c r="AB174">
        <f>IF(K$6="",0,SUMIFS('Budget ed extra'!$G$7:$G$42,'Budget ed extra'!$J$7:$J$42,$A174,'Budget ed extra'!$H$7:$H$42,K$6))</f>
        <v>0</v>
      </c>
      <c r="AC174">
        <f>IF(L$6="",0,SUMIFS('Budget ed extra'!$G$7:$G$42,'Budget ed extra'!$J$7:$J$42,$A174,'Budget ed extra'!$H$7:$H$42,L$6))</f>
        <v>0</v>
      </c>
      <c r="AD174">
        <f>IF(M$6="",0,SUMIFS('Budget ed extra'!$G$7:$G$42,'Budget ed extra'!$J$7:$J$42,$A174,'Budget ed extra'!$H$7:$H$42,M$6))</f>
        <v>0</v>
      </c>
      <c r="AE174">
        <f>IF(N$6="",0,SUMIFS('Budget ed extra'!$G$7:$G$42,'Budget ed extra'!$J$7:$J$42,$A174,'Budget ed extra'!$H$7:$H$42,N$6))</f>
        <v>0</v>
      </c>
    </row>
    <row r="175">
      <c r="A175" t="n">
        <v>145</v>
      </c>
      <c r="B175">
        <f>DATE($B$2,$B$3+A175-1,1)</f>
        <v>50710.0</v>
      </c>
      <c r="C175">
        <f>IF(D175=0,N(Impostazioni!$B$6),SUMIFS('Budget ed extra'!$B$7:$B$18,'Budget ed extra'!$D$7:$D$18,D175)/COUNTIFS('Budget ed extra'!$D$7:$D$18,D175))</f>
        <v>900</v>
      </c>
      <c r="D175">
        <f>SUMPRODUCT(MAX(('Budget ed extra'!$D$7:$D$18&lt;=A175)*'Budget ed extra'!$D$7:$D$18))</f>
        <v>9</v>
      </c>
      <c r="E175">
        <f>SUMIFS('Budget ed extra'!$G$7:$G$42,'Budget ed extra'!$J$7:$J$42,A175)</f>
        <v>0</v>
      </c>
      <c r="F175">
        <f>SUM(T175:AE175)</f>
        <v>0</v>
      </c>
      <c r="G175">
        <f>MAX(0,E175-F175)</f>
        <v>0</v>
      </c>
      <c r="H175">
        <f>IF($A175&gt;=C$10,C$11,C$9)/12</f>
        <v>0.01575</v>
      </c>
      <c r="I175">
        <f>IF($A175&gt;=D$10,D$11,D$9)/12</f>
        <v>0.01825</v>
      </c>
      <c r="J175">
        <f>IF($A175&gt;=E$10,E$11,E$9)/12</f>
        <v>0.00766666666666667</v>
      </c>
      <c r="K175">
        <f>IF($A175&gt;=F$10,F$11,F$9)/12</f>
        <v>0.00533333333333333</v>
      </c>
      <c r="L175">
        <f>IF($A175&gt;=G$10,G$11,G$9)/12</f>
        <v>0</v>
      </c>
      <c r="M175">
        <f>IF($A175&gt;=H$10,H$11,H$9)/12</f>
        <v>0</v>
      </c>
      <c r="N175">
        <f>IF($A175&gt;=I$10,I$11,I$9)/12</f>
        <v>0</v>
      </c>
      <c r="O175">
        <f>IF($A175&gt;=J$10,J$11,J$9)/12</f>
        <v>0</v>
      </c>
      <c r="P175">
        <f>IF($A175&gt;=K$10,K$11,K$9)/12</f>
        <v>0</v>
      </c>
      <c r="Q175">
        <f>IF($A175&gt;=L$10,L$11,L$9)/12</f>
        <v>0</v>
      </c>
      <c r="R175">
        <f>IF($A175&gt;=M$10,M$11,M$9)/12</f>
        <v>0</v>
      </c>
      <c r="S175">
        <f>IF($A175&gt;=N$10,N$11,N$9)/12</f>
        <v>0</v>
      </c>
      <c r="T175">
        <f>IF(C$6="",0,SUMIFS('Budget ed extra'!$G$7:$G$42,'Budget ed extra'!$J$7:$J$42,$A175,'Budget ed extra'!$H$7:$H$42,C$6))</f>
        <v>0</v>
      </c>
      <c r="U175">
        <f>IF(D$6="",0,SUMIFS('Budget ed extra'!$G$7:$G$42,'Budget ed extra'!$J$7:$J$42,$A175,'Budget ed extra'!$H$7:$H$42,D$6))</f>
        <v>0</v>
      </c>
      <c r="V175">
        <f>IF(E$6="",0,SUMIFS('Budget ed extra'!$G$7:$G$42,'Budget ed extra'!$J$7:$J$42,$A175,'Budget ed extra'!$H$7:$H$42,E$6))</f>
        <v>0</v>
      </c>
      <c r="W175">
        <f>IF(F$6="",0,SUMIFS('Budget ed extra'!$G$7:$G$42,'Budget ed extra'!$J$7:$J$42,$A175,'Budget ed extra'!$H$7:$H$42,F$6))</f>
        <v>0</v>
      </c>
      <c r="X175">
        <f>IF(G$6="",0,SUMIFS('Budget ed extra'!$G$7:$G$42,'Budget ed extra'!$J$7:$J$42,$A175,'Budget ed extra'!$H$7:$H$42,G$6))</f>
        <v>0</v>
      </c>
      <c r="Y175">
        <f>IF(H$6="",0,SUMIFS('Budget ed extra'!$G$7:$G$42,'Budget ed extra'!$J$7:$J$42,$A175,'Budget ed extra'!$H$7:$H$42,H$6))</f>
        <v>0</v>
      </c>
      <c r="Z175">
        <f>IF(I$6="",0,SUMIFS('Budget ed extra'!$G$7:$G$42,'Budget ed extra'!$J$7:$J$42,$A175,'Budget ed extra'!$H$7:$H$42,I$6))</f>
        <v>0</v>
      </c>
      <c r="AA175">
        <f>IF(J$6="",0,SUMIFS('Budget ed extra'!$G$7:$G$42,'Budget ed extra'!$J$7:$J$42,$A175,'Budget ed extra'!$H$7:$H$42,J$6))</f>
        <v>0</v>
      </c>
      <c r="AB175">
        <f>IF(K$6="",0,SUMIFS('Budget ed extra'!$G$7:$G$42,'Budget ed extra'!$J$7:$J$42,$A175,'Budget ed extra'!$H$7:$H$42,K$6))</f>
        <v>0</v>
      </c>
      <c r="AC175">
        <f>IF(L$6="",0,SUMIFS('Budget ed extra'!$G$7:$G$42,'Budget ed extra'!$J$7:$J$42,$A175,'Budget ed extra'!$H$7:$H$42,L$6))</f>
        <v>0</v>
      </c>
      <c r="AD175">
        <f>IF(M$6="",0,SUMIFS('Budget ed extra'!$G$7:$G$42,'Budget ed extra'!$J$7:$J$42,$A175,'Budget ed extra'!$H$7:$H$42,M$6))</f>
        <v>0</v>
      </c>
      <c r="AE175">
        <f>IF(N$6="",0,SUMIFS('Budget ed extra'!$G$7:$G$42,'Budget ed extra'!$J$7:$J$42,$A175,'Budget ed extra'!$H$7:$H$42,N$6))</f>
        <v>0</v>
      </c>
    </row>
    <row r="176">
      <c r="A176" t="n">
        <v>146</v>
      </c>
      <c r="B176">
        <f>DATE($B$2,$B$3+A176-1,1)</f>
        <v>50740.0</v>
      </c>
      <c r="C176">
        <f>IF(D176=0,N(Impostazioni!$B$6),SUMIFS('Budget ed extra'!$B$7:$B$18,'Budget ed extra'!$D$7:$D$18,D176)/COUNTIFS('Budget ed extra'!$D$7:$D$18,D176))</f>
        <v>900</v>
      </c>
      <c r="D176">
        <f>SUMPRODUCT(MAX(('Budget ed extra'!$D$7:$D$18&lt;=A176)*'Budget ed extra'!$D$7:$D$18))</f>
        <v>9</v>
      </c>
      <c r="E176">
        <f>SUMIFS('Budget ed extra'!$G$7:$G$42,'Budget ed extra'!$J$7:$J$42,A176)</f>
        <v>0</v>
      </c>
      <c r="F176">
        <f>SUM(T176:AE176)</f>
        <v>0</v>
      </c>
      <c r="G176">
        <f>MAX(0,E176-F176)</f>
        <v>0</v>
      </c>
      <c r="H176">
        <f>IF($A176&gt;=C$10,C$11,C$9)/12</f>
        <v>0.01575</v>
      </c>
      <c r="I176">
        <f>IF($A176&gt;=D$10,D$11,D$9)/12</f>
        <v>0.01825</v>
      </c>
      <c r="J176">
        <f>IF($A176&gt;=E$10,E$11,E$9)/12</f>
        <v>0.00766666666666667</v>
      </c>
      <c r="K176">
        <f>IF($A176&gt;=F$10,F$11,F$9)/12</f>
        <v>0.00533333333333333</v>
      </c>
      <c r="L176">
        <f>IF($A176&gt;=G$10,G$11,G$9)/12</f>
        <v>0</v>
      </c>
      <c r="M176">
        <f>IF($A176&gt;=H$10,H$11,H$9)/12</f>
        <v>0</v>
      </c>
      <c r="N176">
        <f>IF($A176&gt;=I$10,I$11,I$9)/12</f>
        <v>0</v>
      </c>
      <c r="O176">
        <f>IF($A176&gt;=J$10,J$11,J$9)/12</f>
        <v>0</v>
      </c>
      <c r="P176">
        <f>IF($A176&gt;=K$10,K$11,K$9)/12</f>
        <v>0</v>
      </c>
      <c r="Q176">
        <f>IF($A176&gt;=L$10,L$11,L$9)/12</f>
        <v>0</v>
      </c>
      <c r="R176">
        <f>IF($A176&gt;=M$10,M$11,M$9)/12</f>
        <v>0</v>
      </c>
      <c r="S176">
        <f>IF($A176&gt;=N$10,N$11,N$9)/12</f>
        <v>0</v>
      </c>
      <c r="T176">
        <f>IF(C$6="",0,SUMIFS('Budget ed extra'!$G$7:$G$42,'Budget ed extra'!$J$7:$J$42,$A176,'Budget ed extra'!$H$7:$H$42,C$6))</f>
        <v>0</v>
      </c>
      <c r="U176">
        <f>IF(D$6="",0,SUMIFS('Budget ed extra'!$G$7:$G$42,'Budget ed extra'!$J$7:$J$42,$A176,'Budget ed extra'!$H$7:$H$42,D$6))</f>
        <v>0</v>
      </c>
      <c r="V176">
        <f>IF(E$6="",0,SUMIFS('Budget ed extra'!$G$7:$G$42,'Budget ed extra'!$J$7:$J$42,$A176,'Budget ed extra'!$H$7:$H$42,E$6))</f>
        <v>0</v>
      </c>
      <c r="W176">
        <f>IF(F$6="",0,SUMIFS('Budget ed extra'!$G$7:$G$42,'Budget ed extra'!$J$7:$J$42,$A176,'Budget ed extra'!$H$7:$H$42,F$6))</f>
        <v>0</v>
      </c>
      <c r="X176">
        <f>IF(G$6="",0,SUMIFS('Budget ed extra'!$G$7:$G$42,'Budget ed extra'!$J$7:$J$42,$A176,'Budget ed extra'!$H$7:$H$42,G$6))</f>
        <v>0</v>
      </c>
      <c r="Y176">
        <f>IF(H$6="",0,SUMIFS('Budget ed extra'!$G$7:$G$42,'Budget ed extra'!$J$7:$J$42,$A176,'Budget ed extra'!$H$7:$H$42,H$6))</f>
        <v>0</v>
      </c>
      <c r="Z176">
        <f>IF(I$6="",0,SUMIFS('Budget ed extra'!$G$7:$G$42,'Budget ed extra'!$J$7:$J$42,$A176,'Budget ed extra'!$H$7:$H$42,I$6))</f>
        <v>0</v>
      </c>
      <c r="AA176">
        <f>IF(J$6="",0,SUMIFS('Budget ed extra'!$G$7:$G$42,'Budget ed extra'!$J$7:$J$42,$A176,'Budget ed extra'!$H$7:$H$42,J$6))</f>
        <v>0</v>
      </c>
      <c r="AB176">
        <f>IF(K$6="",0,SUMIFS('Budget ed extra'!$G$7:$G$42,'Budget ed extra'!$J$7:$J$42,$A176,'Budget ed extra'!$H$7:$H$42,K$6))</f>
        <v>0</v>
      </c>
      <c r="AC176">
        <f>IF(L$6="",0,SUMIFS('Budget ed extra'!$G$7:$G$42,'Budget ed extra'!$J$7:$J$42,$A176,'Budget ed extra'!$H$7:$H$42,L$6))</f>
        <v>0</v>
      </c>
      <c r="AD176">
        <f>IF(M$6="",0,SUMIFS('Budget ed extra'!$G$7:$G$42,'Budget ed extra'!$J$7:$J$42,$A176,'Budget ed extra'!$H$7:$H$42,M$6))</f>
        <v>0</v>
      </c>
      <c r="AE176">
        <f>IF(N$6="",0,SUMIFS('Budget ed extra'!$G$7:$G$42,'Budget ed extra'!$J$7:$J$42,$A176,'Budget ed extra'!$H$7:$H$42,N$6))</f>
        <v>0</v>
      </c>
    </row>
    <row r="177">
      <c r="A177" t="n">
        <v>147</v>
      </c>
      <c r="B177">
        <f>DATE($B$2,$B$3+A177-1,1)</f>
        <v>50771.0</v>
      </c>
      <c r="C177">
        <f>IF(D177=0,N(Impostazioni!$B$6),SUMIFS('Budget ed extra'!$B$7:$B$18,'Budget ed extra'!$D$7:$D$18,D177)/COUNTIFS('Budget ed extra'!$D$7:$D$18,D177))</f>
        <v>900</v>
      </c>
      <c r="D177">
        <f>SUMPRODUCT(MAX(('Budget ed extra'!$D$7:$D$18&lt;=A177)*'Budget ed extra'!$D$7:$D$18))</f>
        <v>9</v>
      </c>
      <c r="E177">
        <f>SUMIFS('Budget ed extra'!$G$7:$G$42,'Budget ed extra'!$J$7:$J$42,A177)</f>
        <v>0</v>
      </c>
      <c r="F177">
        <f>SUM(T177:AE177)</f>
        <v>0</v>
      </c>
      <c r="G177">
        <f>MAX(0,E177-F177)</f>
        <v>0</v>
      </c>
      <c r="H177">
        <f>IF($A177&gt;=C$10,C$11,C$9)/12</f>
        <v>0.01575</v>
      </c>
      <c r="I177">
        <f>IF($A177&gt;=D$10,D$11,D$9)/12</f>
        <v>0.01825</v>
      </c>
      <c r="J177">
        <f>IF($A177&gt;=E$10,E$11,E$9)/12</f>
        <v>0.00766666666666667</v>
      </c>
      <c r="K177">
        <f>IF($A177&gt;=F$10,F$11,F$9)/12</f>
        <v>0.00533333333333333</v>
      </c>
      <c r="L177">
        <f>IF($A177&gt;=G$10,G$11,G$9)/12</f>
        <v>0</v>
      </c>
      <c r="M177">
        <f>IF($A177&gt;=H$10,H$11,H$9)/12</f>
        <v>0</v>
      </c>
      <c r="N177">
        <f>IF($A177&gt;=I$10,I$11,I$9)/12</f>
        <v>0</v>
      </c>
      <c r="O177">
        <f>IF($A177&gt;=J$10,J$11,J$9)/12</f>
        <v>0</v>
      </c>
      <c r="P177">
        <f>IF($A177&gt;=K$10,K$11,K$9)/12</f>
        <v>0</v>
      </c>
      <c r="Q177">
        <f>IF($A177&gt;=L$10,L$11,L$9)/12</f>
        <v>0</v>
      </c>
      <c r="R177">
        <f>IF($A177&gt;=M$10,M$11,M$9)/12</f>
        <v>0</v>
      </c>
      <c r="S177">
        <f>IF($A177&gt;=N$10,N$11,N$9)/12</f>
        <v>0</v>
      </c>
      <c r="T177">
        <f>IF(C$6="",0,SUMIFS('Budget ed extra'!$G$7:$G$42,'Budget ed extra'!$J$7:$J$42,$A177,'Budget ed extra'!$H$7:$H$42,C$6))</f>
        <v>0</v>
      </c>
      <c r="U177">
        <f>IF(D$6="",0,SUMIFS('Budget ed extra'!$G$7:$G$42,'Budget ed extra'!$J$7:$J$42,$A177,'Budget ed extra'!$H$7:$H$42,D$6))</f>
        <v>0</v>
      </c>
      <c r="V177">
        <f>IF(E$6="",0,SUMIFS('Budget ed extra'!$G$7:$G$42,'Budget ed extra'!$J$7:$J$42,$A177,'Budget ed extra'!$H$7:$H$42,E$6))</f>
        <v>0</v>
      </c>
      <c r="W177">
        <f>IF(F$6="",0,SUMIFS('Budget ed extra'!$G$7:$G$42,'Budget ed extra'!$J$7:$J$42,$A177,'Budget ed extra'!$H$7:$H$42,F$6))</f>
        <v>0</v>
      </c>
      <c r="X177">
        <f>IF(G$6="",0,SUMIFS('Budget ed extra'!$G$7:$G$42,'Budget ed extra'!$J$7:$J$42,$A177,'Budget ed extra'!$H$7:$H$42,G$6))</f>
        <v>0</v>
      </c>
      <c r="Y177">
        <f>IF(H$6="",0,SUMIFS('Budget ed extra'!$G$7:$G$42,'Budget ed extra'!$J$7:$J$42,$A177,'Budget ed extra'!$H$7:$H$42,H$6))</f>
        <v>0</v>
      </c>
      <c r="Z177">
        <f>IF(I$6="",0,SUMIFS('Budget ed extra'!$G$7:$G$42,'Budget ed extra'!$J$7:$J$42,$A177,'Budget ed extra'!$H$7:$H$42,I$6))</f>
        <v>0</v>
      </c>
      <c r="AA177">
        <f>IF(J$6="",0,SUMIFS('Budget ed extra'!$G$7:$G$42,'Budget ed extra'!$J$7:$J$42,$A177,'Budget ed extra'!$H$7:$H$42,J$6))</f>
        <v>0</v>
      </c>
      <c r="AB177">
        <f>IF(K$6="",0,SUMIFS('Budget ed extra'!$G$7:$G$42,'Budget ed extra'!$J$7:$J$42,$A177,'Budget ed extra'!$H$7:$H$42,K$6))</f>
        <v>0</v>
      </c>
      <c r="AC177">
        <f>IF(L$6="",0,SUMIFS('Budget ed extra'!$G$7:$G$42,'Budget ed extra'!$J$7:$J$42,$A177,'Budget ed extra'!$H$7:$H$42,L$6))</f>
        <v>0</v>
      </c>
      <c r="AD177">
        <f>IF(M$6="",0,SUMIFS('Budget ed extra'!$G$7:$G$42,'Budget ed extra'!$J$7:$J$42,$A177,'Budget ed extra'!$H$7:$H$42,M$6))</f>
        <v>0</v>
      </c>
      <c r="AE177">
        <f>IF(N$6="",0,SUMIFS('Budget ed extra'!$G$7:$G$42,'Budget ed extra'!$J$7:$J$42,$A177,'Budget ed extra'!$H$7:$H$42,N$6))</f>
        <v>0</v>
      </c>
    </row>
    <row r="178">
      <c r="A178" t="n">
        <v>148</v>
      </c>
      <c r="B178">
        <f>DATE($B$2,$B$3+A178-1,1)</f>
        <v>50802.0</v>
      </c>
      <c r="C178">
        <f>IF(D178=0,N(Impostazioni!$B$6),SUMIFS('Budget ed extra'!$B$7:$B$18,'Budget ed extra'!$D$7:$D$18,D178)/COUNTIFS('Budget ed extra'!$D$7:$D$18,D178))</f>
        <v>900</v>
      </c>
      <c r="D178">
        <f>SUMPRODUCT(MAX(('Budget ed extra'!$D$7:$D$18&lt;=A178)*'Budget ed extra'!$D$7:$D$18))</f>
        <v>9</v>
      </c>
      <c r="E178">
        <f>SUMIFS('Budget ed extra'!$G$7:$G$42,'Budget ed extra'!$J$7:$J$42,A178)</f>
        <v>0</v>
      </c>
      <c r="F178">
        <f>SUM(T178:AE178)</f>
        <v>0</v>
      </c>
      <c r="G178">
        <f>MAX(0,E178-F178)</f>
        <v>0</v>
      </c>
      <c r="H178">
        <f>IF($A178&gt;=C$10,C$11,C$9)/12</f>
        <v>0.01575</v>
      </c>
      <c r="I178">
        <f>IF($A178&gt;=D$10,D$11,D$9)/12</f>
        <v>0.01825</v>
      </c>
      <c r="J178">
        <f>IF($A178&gt;=E$10,E$11,E$9)/12</f>
        <v>0.00766666666666667</v>
      </c>
      <c r="K178">
        <f>IF($A178&gt;=F$10,F$11,F$9)/12</f>
        <v>0.00533333333333333</v>
      </c>
      <c r="L178">
        <f>IF($A178&gt;=G$10,G$11,G$9)/12</f>
        <v>0</v>
      </c>
      <c r="M178">
        <f>IF($A178&gt;=H$10,H$11,H$9)/12</f>
        <v>0</v>
      </c>
      <c r="N178">
        <f>IF($A178&gt;=I$10,I$11,I$9)/12</f>
        <v>0</v>
      </c>
      <c r="O178">
        <f>IF($A178&gt;=J$10,J$11,J$9)/12</f>
        <v>0</v>
      </c>
      <c r="P178">
        <f>IF($A178&gt;=K$10,K$11,K$9)/12</f>
        <v>0</v>
      </c>
      <c r="Q178">
        <f>IF($A178&gt;=L$10,L$11,L$9)/12</f>
        <v>0</v>
      </c>
      <c r="R178">
        <f>IF($A178&gt;=M$10,M$11,M$9)/12</f>
        <v>0</v>
      </c>
      <c r="S178">
        <f>IF($A178&gt;=N$10,N$11,N$9)/12</f>
        <v>0</v>
      </c>
      <c r="T178">
        <f>IF(C$6="",0,SUMIFS('Budget ed extra'!$G$7:$G$42,'Budget ed extra'!$J$7:$J$42,$A178,'Budget ed extra'!$H$7:$H$42,C$6))</f>
        <v>0</v>
      </c>
      <c r="U178">
        <f>IF(D$6="",0,SUMIFS('Budget ed extra'!$G$7:$G$42,'Budget ed extra'!$J$7:$J$42,$A178,'Budget ed extra'!$H$7:$H$42,D$6))</f>
        <v>0</v>
      </c>
      <c r="V178">
        <f>IF(E$6="",0,SUMIFS('Budget ed extra'!$G$7:$G$42,'Budget ed extra'!$J$7:$J$42,$A178,'Budget ed extra'!$H$7:$H$42,E$6))</f>
        <v>0</v>
      </c>
      <c r="W178">
        <f>IF(F$6="",0,SUMIFS('Budget ed extra'!$G$7:$G$42,'Budget ed extra'!$J$7:$J$42,$A178,'Budget ed extra'!$H$7:$H$42,F$6))</f>
        <v>0</v>
      </c>
      <c r="X178">
        <f>IF(G$6="",0,SUMIFS('Budget ed extra'!$G$7:$G$42,'Budget ed extra'!$J$7:$J$42,$A178,'Budget ed extra'!$H$7:$H$42,G$6))</f>
        <v>0</v>
      </c>
      <c r="Y178">
        <f>IF(H$6="",0,SUMIFS('Budget ed extra'!$G$7:$G$42,'Budget ed extra'!$J$7:$J$42,$A178,'Budget ed extra'!$H$7:$H$42,H$6))</f>
        <v>0</v>
      </c>
      <c r="Z178">
        <f>IF(I$6="",0,SUMIFS('Budget ed extra'!$G$7:$G$42,'Budget ed extra'!$J$7:$J$42,$A178,'Budget ed extra'!$H$7:$H$42,I$6))</f>
        <v>0</v>
      </c>
      <c r="AA178">
        <f>IF(J$6="",0,SUMIFS('Budget ed extra'!$G$7:$G$42,'Budget ed extra'!$J$7:$J$42,$A178,'Budget ed extra'!$H$7:$H$42,J$6))</f>
        <v>0</v>
      </c>
      <c r="AB178">
        <f>IF(K$6="",0,SUMIFS('Budget ed extra'!$G$7:$G$42,'Budget ed extra'!$J$7:$J$42,$A178,'Budget ed extra'!$H$7:$H$42,K$6))</f>
        <v>0</v>
      </c>
      <c r="AC178">
        <f>IF(L$6="",0,SUMIFS('Budget ed extra'!$G$7:$G$42,'Budget ed extra'!$J$7:$J$42,$A178,'Budget ed extra'!$H$7:$H$42,L$6))</f>
        <v>0</v>
      </c>
      <c r="AD178">
        <f>IF(M$6="",0,SUMIFS('Budget ed extra'!$G$7:$G$42,'Budget ed extra'!$J$7:$J$42,$A178,'Budget ed extra'!$H$7:$H$42,M$6))</f>
        <v>0</v>
      </c>
      <c r="AE178">
        <f>IF(N$6="",0,SUMIFS('Budget ed extra'!$G$7:$G$42,'Budget ed extra'!$J$7:$J$42,$A178,'Budget ed extra'!$H$7:$H$42,N$6))</f>
        <v>0</v>
      </c>
    </row>
    <row r="179">
      <c r="A179" t="n">
        <v>149</v>
      </c>
      <c r="B179">
        <f>DATE($B$2,$B$3+A179-1,1)</f>
        <v>50830.0</v>
      </c>
      <c r="C179">
        <f>IF(D179=0,N(Impostazioni!$B$6),SUMIFS('Budget ed extra'!$B$7:$B$18,'Budget ed extra'!$D$7:$D$18,D179)/COUNTIFS('Budget ed extra'!$D$7:$D$18,D179))</f>
        <v>900</v>
      </c>
      <c r="D179">
        <f>SUMPRODUCT(MAX(('Budget ed extra'!$D$7:$D$18&lt;=A179)*'Budget ed extra'!$D$7:$D$18))</f>
        <v>9</v>
      </c>
      <c r="E179">
        <f>SUMIFS('Budget ed extra'!$G$7:$G$42,'Budget ed extra'!$J$7:$J$42,A179)</f>
        <v>0</v>
      </c>
      <c r="F179">
        <f>SUM(T179:AE179)</f>
        <v>0</v>
      </c>
      <c r="G179">
        <f>MAX(0,E179-F179)</f>
        <v>0</v>
      </c>
      <c r="H179">
        <f>IF($A179&gt;=C$10,C$11,C$9)/12</f>
        <v>0.01575</v>
      </c>
      <c r="I179">
        <f>IF($A179&gt;=D$10,D$11,D$9)/12</f>
        <v>0.01825</v>
      </c>
      <c r="J179">
        <f>IF($A179&gt;=E$10,E$11,E$9)/12</f>
        <v>0.00766666666666667</v>
      </c>
      <c r="K179">
        <f>IF($A179&gt;=F$10,F$11,F$9)/12</f>
        <v>0.00533333333333333</v>
      </c>
      <c r="L179">
        <f>IF($A179&gt;=G$10,G$11,G$9)/12</f>
        <v>0</v>
      </c>
      <c r="M179">
        <f>IF($A179&gt;=H$10,H$11,H$9)/12</f>
        <v>0</v>
      </c>
      <c r="N179">
        <f>IF($A179&gt;=I$10,I$11,I$9)/12</f>
        <v>0</v>
      </c>
      <c r="O179">
        <f>IF($A179&gt;=J$10,J$11,J$9)/12</f>
        <v>0</v>
      </c>
      <c r="P179">
        <f>IF($A179&gt;=K$10,K$11,K$9)/12</f>
        <v>0</v>
      </c>
      <c r="Q179">
        <f>IF($A179&gt;=L$10,L$11,L$9)/12</f>
        <v>0</v>
      </c>
      <c r="R179">
        <f>IF($A179&gt;=M$10,M$11,M$9)/12</f>
        <v>0</v>
      </c>
      <c r="S179">
        <f>IF($A179&gt;=N$10,N$11,N$9)/12</f>
        <v>0</v>
      </c>
      <c r="T179">
        <f>IF(C$6="",0,SUMIFS('Budget ed extra'!$G$7:$G$42,'Budget ed extra'!$J$7:$J$42,$A179,'Budget ed extra'!$H$7:$H$42,C$6))</f>
        <v>0</v>
      </c>
      <c r="U179">
        <f>IF(D$6="",0,SUMIFS('Budget ed extra'!$G$7:$G$42,'Budget ed extra'!$J$7:$J$42,$A179,'Budget ed extra'!$H$7:$H$42,D$6))</f>
        <v>0</v>
      </c>
      <c r="V179">
        <f>IF(E$6="",0,SUMIFS('Budget ed extra'!$G$7:$G$42,'Budget ed extra'!$J$7:$J$42,$A179,'Budget ed extra'!$H$7:$H$42,E$6))</f>
        <v>0</v>
      </c>
      <c r="W179">
        <f>IF(F$6="",0,SUMIFS('Budget ed extra'!$G$7:$G$42,'Budget ed extra'!$J$7:$J$42,$A179,'Budget ed extra'!$H$7:$H$42,F$6))</f>
        <v>0</v>
      </c>
      <c r="X179">
        <f>IF(G$6="",0,SUMIFS('Budget ed extra'!$G$7:$G$42,'Budget ed extra'!$J$7:$J$42,$A179,'Budget ed extra'!$H$7:$H$42,G$6))</f>
        <v>0</v>
      </c>
      <c r="Y179">
        <f>IF(H$6="",0,SUMIFS('Budget ed extra'!$G$7:$G$42,'Budget ed extra'!$J$7:$J$42,$A179,'Budget ed extra'!$H$7:$H$42,H$6))</f>
        <v>0</v>
      </c>
      <c r="Z179">
        <f>IF(I$6="",0,SUMIFS('Budget ed extra'!$G$7:$G$42,'Budget ed extra'!$J$7:$J$42,$A179,'Budget ed extra'!$H$7:$H$42,I$6))</f>
        <v>0</v>
      </c>
      <c r="AA179">
        <f>IF(J$6="",0,SUMIFS('Budget ed extra'!$G$7:$G$42,'Budget ed extra'!$J$7:$J$42,$A179,'Budget ed extra'!$H$7:$H$42,J$6))</f>
        <v>0</v>
      </c>
      <c r="AB179">
        <f>IF(K$6="",0,SUMIFS('Budget ed extra'!$G$7:$G$42,'Budget ed extra'!$J$7:$J$42,$A179,'Budget ed extra'!$H$7:$H$42,K$6))</f>
        <v>0</v>
      </c>
      <c r="AC179">
        <f>IF(L$6="",0,SUMIFS('Budget ed extra'!$G$7:$G$42,'Budget ed extra'!$J$7:$J$42,$A179,'Budget ed extra'!$H$7:$H$42,L$6))</f>
        <v>0</v>
      </c>
      <c r="AD179">
        <f>IF(M$6="",0,SUMIFS('Budget ed extra'!$G$7:$G$42,'Budget ed extra'!$J$7:$J$42,$A179,'Budget ed extra'!$H$7:$H$42,M$6))</f>
        <v>0</v>
      </c>
      <c r="AE179">
        <f>IF(N$6="",0,SUMIFS('Budget ed extra'!$G$7:$G$42,'Budget ed extra'!$J$7:$J$42,$A179,'Budget ed extra'!$H$7:$H$42,N$6))</f>
        <v>0</v>
      </c>
    </row>
    <row r="180">
      <c r="A180" t="n">
        <v>150</v>
      </c>
      <c r="B180">
        <f>DATE($B$2,$B$3+A180-1,1)</f>
        <v>50861.0</v>
      </c>
      <c r="C180">
        <f>IF(D180=0,N(Impostazioni!$B$6),SUMIFS('Budget ed extra'!$B$7:$B$18,'Budget ed extra'!$D$7:$D$18,D180)/COUNTIFS('Budget ed extra'!$D$7:$D$18,D180))</f>
        <v>900</v>
      </c>
      <c r="D180">
        <f>SUMPRODUCT(MAX(('Budget ed extra'!$D$7:$D$18&lt;=A180)*'Budget ed extra'!$D$7:$D$18))</f>
        <v>9</v>
      </c>
      <c r="E180">
        <f>SUMIFS('Budget ed extra'!$G$7:$G$42,'Budget ed extra'!$J$7:$J$42,A180)</f>
        <v>0</v>
      </c>
      <c r="F180">
        <f>SUM(T180:AE180)</f>
        <v>0</v>
      </c>
      <c r="G180">
        <f>MAX(0,E180-F180)</f>
        <v>0</v>
      </c>
      <c r="H180">
        <f>IF($A180&gt;=C$10,C$11,C$9)/12</f>
        <v>0.01575</v>
      </c>
      <c r="I180">
        <f>IF($A180&gt;=D$10,D$11,D$9)/12</f>
        <v>0.01825</v>
      </c>
      <c r="J180">
        <f>IF($A180&gt;=E$10,E$11,E$9)/12</f>
        <v>0.00766666666666667</v>
      </c>
      <c r="K180">
        <f>IF($A180&gt;=F$10,F$11,F$9)/12</f>
        <v>0.00533333333333333</v>
      </c>
      <c r="L180">
        <f>IF($A180&gt;=G$10,G$11,G$9)/12</f>
        <v>0</v>
      </c>
      <c r="M180">
        <f>IF($A180&gt;=H$10,H$11,H$9)/12</f>
        <v>0</v>
      </c>
      <c r="N180">
        <f>IF($A180&gt;=I$10,I$11,I$9)/12</f>
        <v>0</v>
      </c>
      <c r="O180">
        <f>IF($A180&gt;=J$10,J$11,J$9)/12</f>
        <v>0</v>
      </c>
      <c r="P180">
        <f>IF($A180&gt;=K$10,K$11,K$9)/12</f>
        <v>0</v>
      </c>
      <c r="Q180">
        <f>IF($A180&gt;=L$10,L$11,L$9)/12</f>
        <v>0</v>
      </c>
      <c r="R180">
        <f>IF($A180&gt;=M$10,M$11,M$9)/12</f>
        <v>0</v>
      </c>
      <c r="S180">
        <f>IF($A180&gt;=N$10,N$11,N$9)/12</f>
        <v>0</v>
      </c>
      <c r="T180">
        <f>IF(C$6="",0,SUMIFS('Budget ed extra'!$G$7:$G$42,'Budget ed extra'!$J$7:$J$42,$A180,'Budget ed extra'!$H$7:$H$42,C$6))</f>
        <v>0</v>
      </c>
      <c r="U180">
        <f>IF(D$6="",0,SUMIFS('Budget ed extra'!$G$7:$G$42,'Budget ed extra'!$J$7:$J$42,$A180,'Budget ed extra'!$H$7:$H$42,D$6))</f>
        <v>0</v>
      </c>
      <c r="V180">
        <f>IF(E$6="",0,SUMIFS('Budget ed extra'!$G$7:$G$42,'Budget ed extra'!$J$7:$J$42,$A180,'Budget ed extra'!$H$7:$H$42,E$6))</f>
        <v>0</v>
      </c>
      <c r="W180">
        <f>IF(F$6="",0,SUMIFS('Budget ed extra'!$G$7:$G$42,'Budget ed extra'!$J$7:$J$42,$A180,'Budget ed extra'!$H$7:$H$42,F$6))</f>
        <v>0</v>
      </c>
      <c r="X180">
        <f>IF(G$6="",0,SUMIFS('Budget ed extra'!$G$7:$G$42,'Budget ed extra'!$J$7:$J$42,$A180,'Budget ed extra'!$H$7:$H$42,G$6))</f>
        <v>0</v>
      </c>
      <c r="Y180">
        <f>IF(H$6="",0,SUMIFS('Budget ed extra'!$G$7:$G$42,'Budget ed extra'!$J$7:$J$42,$A180,'Budget ed extra'!$H$7:$H$42,H$6))</f>
        <v>0</v>
      </c>
      <c r="Z180">
        <f>IF(I$6="",0,SUMIFS('Budget ed extra'!$G$7:$G$42,'Budget ed extra'!$J$7:$J$42,$A180,'Budget ed extra'!$H$7:$H$42,I$6))</f>
        <v>0</v>
      </c>
      <c r="AA180">
        <f>IF(J$6="",0,SUMIFS('Budget ed extra'!$G$7:$G$42,'Budget ed extra'!$J$7:$J$42,$A180,'Budget ed extra'!$H$7:$H$42,J$6))</f>
        <v>0</v>
      </c>
      <c r="AB180">
        <f>IF(K$6="",0,SUMIFS('Budget ed extra'!$G$7:$G$42,'Budget ed extra'!$J$7:$J$42,$A180,'Budget ed extra'!$H$7:$H$42,K$6))</f>
        <v>0</v>
      </c>
      <c r="AC180">
        <f>IF(L$6="",0,SUMIFS('Budget ed extra'!$G$7:$G$42,'Budget ed extra'!$J$7:$J$42,$A180,'Budget ed extra'!$H$7:$H$42,L$6))</f>
        <v>0</v>
      </c>
      <c r="AD180">
        <f>IF(M$6="",0,SUMIFS('Budget ed extra'!$G$7:$G$42,'Budget ed extra'!$J$7:$J$42,$A180,'Budget ed extra'!$H$7:$H$42,M$6))</f>
        <v>0</v>
      </c>
      <c r="AE180">
        <f>IF(N$6="",0,SUMIFS('Budget ed extra'!$G$7:$G$42,'Budget ed extra'!$J$7:$J$42,$A180,'Budget ed extra'!$H$7:$H$42,N$6))</f>
        <v>0</v>
      </c>
    </row>
    <row r="181">
      <c r="A181" t="n">
        <v>151</v>
      </c>
      <c r="B181">
        <f>DATE($B$2,$B$3+A181-1,1)</f>
        <v>50891.0</v>
      </c>
      <c r="C181">
        <f>IF(D181=0,N(Impostazioni!$B$6),SUMIFS('Budget ed extra'!$B$7:$B$18,'Budget ed extra'!$D$7:$D$18,D181)/COUNTIFS('Budget ed extra'!$D$7:$D$18,D181))</f>
        <v>900</v>
      </c>
      <c r="D181">
        <f>SUMPRODUCT(MAX(('Budget ed extra'!$D$7:$D$18&lt;=A181)*'Budget ed extra'!$D$7:$D$18))</f>
        <v>9</v>
      </c>
      <c r="E181">
        <f>SUMIFS('Budget ed extra'!$G$7:$G$42,'Budget ed extra'!$J$7:$J$42,A181)</f>
        <v>0</v>
      </c>
      <c r="F181">
        <f>SUM(T181:AE181)</f>
        <v>0</v>
      </c>
      <c r="G181">
        <f>MAX(0,E181-F181)</f>
        <v>0</v>
      </c>
      <c r="H181">
        <f>IF($A181&gt;=C$10,C$11,C$9)/12</f>
        <v>0.01575</v>
      </c>
      <c r="I181">
        <f>IF($A181&gt;=D$10,D$11,D$9)/12</f>
        <v>0.01825</v>
      </c>
      <c r="J181">
        <f>IF($A181&gt;=E$10,E$11,E$9)/12</f>
        <v>0.00766666666666667</v>
      </c>
      <c r="K181">
        <f>IF($A181&gt;=F$10,F$11,F$9)/12</f>
        <v>0.00533333333333333</v>
      </c>
      <c r="L181">
        <f>IF($A181&gt;=G$10,G$11,G$9)/12</f>
        <v>0</v>
      </c>
      <c r="M181">
        <f>IF($A181&gt;=H$10,H$11,H$9)/12</f>
        <v>0</v>
      </c>
      <c r="N181">
        <f>IF($A181&gt;=I$10,I$11,I$9)/12</f>
        <v>0</v>
      </c>
      <c r="O181">
        <f>IF($A181&gt;=J$10,J$11,J$9)/12</f>
        <v>0</v>
      </c>
      <c r="P181">
        <f>IF($A181&gt;=K$10,K$11,K$9)/12</f>
        <v>0</v>
      </c>
      <c r="Q181">
        <f>IF($A181&gt;=L$10,L$11,L$9)/12</f>
        <v>0</v>
      </c>
      <c r="R181">
        <f>IF($A181&gt;=M$10,M$11,M$9)/12</f>
        <v>0</v>
      </c>
      <c r="S181">
        <f>IF($A181&gt;=N$10,N$11,N$9)/12</f>
        <v>0</v>
      </c>
      <c r="T181">
        <f>IF(C$6="",0,SUMIFS('Budget ed extra'!$G$7:$G$42,'Budget ed extra'!$J$7:$J$42,$A181,'Budget ed extra'!$H$7:$H$42,C$6))</f>
        <v>0</v>
      </c>
      <c r="U181">
        <f>IF(D$6="",0,SUMIFS('Budget ed extra'!$G$7:$G$42,'Budget ed extra'!$J$7:$J$42,$A181,'Budget ed extra'!$H$7:$H$42,D$6))</f>
        <v>0</v>
      </c>
      <c r="V181">
        <f>IF(E$6="",0,SUMIFS('Budget ed extra'!$G$7:$G$42,'Budget ed extra'!$J$7:$J$42,$A181,'Budget ed extra'!$H$7:$H$42,E$6))</f>
        <v>0</v>
      </c>
      <c r="W181">
        <f>IF(F$6="",0,SUMIFS('Budget ed extra'!$G$7:$G$42,'Budget ed extra'!$J$7:$J$42,$A181,'Budget ed extra'!$H$7:$H$42,F$6))</f>
        <v>0</v>
      </c>
      <c r="X181">
        <f>IF(G$6="",0,SUMIFS('Budget ed extra'!$G$7:$G$42,'Budget ed extra'!$J$7:$J$42,$A181,'Budget ed extra'!$H$7:$H$42,G$6))</f>
        <v>0</v>
      </c>
      <c r="Y181">
        <f>IF(H$6="",0,SUMIFS('Budget ed extra'!$G$7:$G$42,'Budget ed extra'!$J$7:$J$42,$A181,'Budget ed extra'!$H$7:$H$42,H$6))</f>
        <v>0</v>
      </c>
      <c r="Z181">
        <f>IF(I$6="",0,SUMIFS('Budget ed extra'!$G$7:$G$42,'Budget ed extra'!$J$7:$J$42,$A181,'Budget ed extra'!$H$7:$H$42,I$6))</f>
        <v>0</v>
      </c>
      <c r="AA181">
        <f>IF(J$6="",0,SUMIFS('Budget ed extra'!$G$7:$G$42,'Budget ed extra'!$J$7:$J$42,$A181,'Budget ed extra'!$H$7:$H$42,J$6))</f>
        <v>0</v>
      </c>
      <c r="AB181">
        <f>IF(K$6="",0,SUMIFS('Budget ed extra'!$G$7:$G$42,'Budget ed extra'!$J$7:$J$42,$A181,'Budget ed extra'!$H$7:$H$42,K$6))</f>
        <v>0</v>
      </c>
      <c r="AC181">
        <f>IF(L$6="",0,SUMIFS('Budget ed extra'!$G$7:$G$42,'Budget ed extra'!$J$7:$J$42,$A181,'Budget ed extra'!$H$7:$H$42,L$6))</f>
        <v>0</v>
      </c>
      <c r="AD181">
        <f>IF(M$6="",0,SUMIFS('Budget ed extra'!$G$7:$G$42,'Budget ed extra'!$J$7:$J$42,$A181,'Budget ed extra'!$H$7:$H$42,M$6))</f>
        <v>0</v>
      </c>
      <c r="AE181">
        <f>IF(N$6="",0,SUMIFS('Budget ed extra'!$G$7:$G$42,'Budget ed extra'!$J$7:$J$42,$A181,'Budget ed extra'!$H$7:$H$42,N$6))</f>
        <v>0</v>
      </c>
    </row>
    <row r="182">
      <c r="A182" t="n">
        <v>152</v>
      </c>
      <c r="B182">
        <f>DATE($B$2,$B$3+A182-1,1)</f>
        <v>50922.0</v>
      </c>
      <c r="C182">
        <f>IF(D182=0,N(Impostazioni!$B$6),SUMIFS('Budget ed extra'!$B$7:$B$18,'Budget ed extra'!$D$7:$D$18,D182)/COUNTIFS('Budget ed extra'!$D$7:$D$18,D182))</f>
        <v>900</v>
      </c>
      <c r="D182">
        <f>SUMPRODUCT(MAX(('Budget ed extra'!$D$7:$D$18&lt;=A182)*'Budget ed extra'!$D$7:$D$18))</f>
        <v>9</v>
      </c>
      <c r="E182">
        <f>SUMIFS('Budget ed extra'!$G$7:$G$42,'Budget ed extra'!$J$7:$J$42,A182)</f>
        <v>0</v>
      </c>
      <c r="F182">
        <f>SUM(T182:AE182)</f>
        <v>0</v>
      </c>
      <c r="G182">
        <f>MAX(0,E182-F182)</f>
        <v>0</v>
      </c>
      <c r="H182">
        <f>IF($A182&gt;=C$10,C$11,C$9)/12</f>
        <v>0.01575</v>
      </c>
      <c r="I182">
        <f>IF($A182&gt;=D$10,D$11,D$9)/12</f>
        <v>0.01825</v>
      </c>
      <c r="J182">
        <f>IF($A182&gt;=E$10,E$11,E$9)/12</f>
        <v>0.00766666666666667</v>
      </c>
      <c r="K182">
        <f>IF($A182&gt;=F$10,F$11,F$9)/12</f>
        <v>0.00533333333333333</v>
      </c>
      <c r="L182">
        <f>IF($A182&gt;=G$10,G$11,G$9)/12</f>
        <v>0</v>
      </c>
      <c r="M182">
        <f>IF($A182&gt;=H$10,H$11,H$9)/12</f>
        <v>0</v>
      </c>
      <c r="N182">
        <f>IF($A182&gt;=I$10,I$11,I$9)/12</f>
        <v>0</v>
      </c>
      <c r="O182">
        <f>IF($A182&gt;=J$10,J$11,J$9)/12</f>
        <v>0</v>
      </c>
      <c r="P182">
        <f>IF($A182&gt;=K$10,K$11,K$9)/12</f>
        <v>0</v>
      </c>
      <c r="Q182">
        <f>IF($A182&gt;=L$10,L$11,L$9)/12</f>
        <v>0</v>
      </c>
      <c r="R182">
        <f>IF($A182&gt;=M$10,M$11,M$9)/12</f>
        <v>0</v>
      </c>
      <c r="S182">
        <f>IF($A182&gt;=N$10,N$11,N$9)/12</f>
        <v>0</v>
      </c>
      <c r="T182">
        <f>IF(C$6="",0,SUMIFS('Budget ed extra'!$G$7:$G$42,'Budget ed extra'!$J$7:$J$42,$A182,'Budget ed extra'!$H$7:$H$42,C$6))</f>
        <v>0</v>
      </c>
      <c r="U182">
        <f>IF(D$6="",0,SUMIFS('Budget ed extra'!$G$7:$G$42,'Budget ed extra'!$J$7:$J$42,$A182,'Budget ed extra'!$H$7:$H$42,D$6))</f>
        <v>0</v>
      </c>
      <c r="V182">
        <f>IF(E$6="",0,SUMIFS('Budget ed extra'!$G$7:$G$42,'Budget ed extra'!$J$7:$J$42,$A182,'Budget ed extra'!$H$7:$H$42,E$6))</f>
        <v>0</v>
      </c>
      <c r="W182">
        <f>IF(F$6="",0,SUMIFS('Budget ed extra'!$G$7:$G$42,'Budget ed extra'!$J$7:$J$42,$A182,'Budget ed extra'!$H$7:$H$42,F$6))</f>
        <v>0</v>
      </c>
      <c r="X182">
        <f>IF(G$6="",0,SUMIFS('Budget ed extra'!$G$7:$G$42,'Budget ed extra'!$J$7:$J$42,$A182,'Budget ed extra'!$H$7:$H$42,G$6))</f>
        <v>0</v>
      </c>
      <c r="Y182">
        <f>IF(H$6="",0,SUMIFS('Budget ed extra'!$G$7:$G$42,'Budget ed extra'!$J$7:$J$42,$A182,'Budget ed extra'!$H$7:$H$42,H$6))</f>
        <v>0</v>
      </c>
      <c r="Z182">
        <f>IF(I$6="",0,SUMIFS('Budget ed extra'!$G$7:$G$42,'Budget ed extra'!$J$7:$J$42,$A182,'Budget ed extra'!$H$7:$H$42,I$6))</f>
        <v>0</v>
      </c>
      <c r="AA182">
        <f>IF(J$6="",0,SUMIFS('Budget ed extra'!$G$7:$G$42,'Budget ed extra'!$J$7:$J$42,$A182,'Budget ed extra'!$H$7:$H$42,J$6))</f>
        <v>0</v>
      </c>
      <c r="AB182">
        <f>IF(K$6="",0,SUMIFS('Budget ed extra'!$G$7:$G$42,'Budget ed extra'!$J$7:$J$42,$A182,'Budget ed extra'!$H$7:$H$42,K$6))</f>
        <v>0</v>
      </c>
      <c r="AC182">
        <f>IF(L$6="",0,SUMIFS('Budget ed extra'!$G$7:$G$42,'Budget ed extra'!$J$7:$J$42,$A182,'Budget ed extra'!$H$7:$H$42,L$6))</f>
        <v>0</v>
      </c>
      <c r="AD182">
        <f>IF(M$6="",0,SUMIFS('Budget ed extra'!$G$7:$G$42,'Budget ed extra'!$J$7:$J$42,$A182,'Budget ed extra'!$H$7:$H$42,M$6))</f>
        <v>0</v>
      </c>
      <c r="AE182">
        <f>IF(N$6="",0,SUMIFS('Budget ed extra'!$G$7:$G$42,'Budget ed extra'!$J$7:$J$42,$A182,'Budget ed extra'!$H$7:$H$42,N$6))</f>
        <v>0</v>
      </c>
    </row>
    <row r="183">
      <c r="A183" t="n">
        <v>153</v>
      </c>
      <c r="B183">
        <f>DATE($B$2,$B$3+A183-1,1)</f>
        <v>50952.0</v>
      </c>
      <c r="C183">
        <f>IF(D183=0,N(Impostazioni!$B$6),SUMIFS('Budget ed extra'!$B$7:$B$18,'Budget ed extra'!$D$7:$D$18,D183)/COUNTIFS('Budget ed extra'!$D$7:$D$18,D183))</f>
        <v>900</v>
      </c>
      <c r="D183">
        <f>SUMPRODUCT(MAX(('Budget ed extra'!$D$7:$D$18&lt;=A183)*'Budget ed extra'!$D$7:$D$18))</f>
        <v>9</v>
      </c>
      <c r="E183">
        <f>SUMIFS('Budget ed extra'!$G$7:$G$42,'Budget ed extra'!$J$7:$J$42,A183)</f>
        <v>0</v>
      </c>
      <c r="F183">
        <f>SUM(T183:AE183)</f>
        <v>0</v>
      </c>
      <c r="G183">
        <f>MAX(0,E183-F183)</f>
        <v>0</v>
      </c>
      <c r="H183">
        <f>IF($A183&gt;=C$10,C$11,C$9)/12</f>
        <v>0.01575</v>
      </c>
      <c r="I183">
        <f>IF($A183&gt;=D$10,D$11,D$9)/12</f>
        <v>0.01825</v>
      </c>
      <c r="J183">
        <f>IF($A183&gt;=E$10,E$11,E$9)/12</f>
        <v>0.00766666666666667</v>
      </c>
      <c r="K183">
        <f>IF($A183&gt;=F$10,F$11,F$9)/12</f>
        <v>0.00533333333333333</v>
      </c>
      <c r="L183">
        <f>IF($A183&gt;=G$10,G$11,G$9)/12</f>
        <v>0</v>
      </c>
      <c r="M183">
        <f>IF($A183&gt;=H$10,H$11,H$9)/12</f>
        <v>0</v>
      </c>
      <c r="N183">
        <f>IF($A183&gt;=I$10,I$11,I$9)/12</f>
        <v>0</v>
      </c>
      <c r="O183">
        <f>IF($A183&gt;=J$10,J$11,J$9)/12</f>
        <v>0</v>
      </c>
      <c r="P183">
        <f>IF($A183&gt;=K$10,K$11,K$9)/12</f>
        <v>0</v>
      </c>
      <c r="Q183">
        <f>IF($A183&gt;=L$10,L$11,L$9)/12</f>
        <v>0</v>
      </c>
      <c r="R183">
        <f>IF($A183&gt;=M$10,M$11,M$9)/12</f>
        <v>0</v>
      </c>
      <c r="S183">
        <f>IF($A183&gt;=N$10,N$11,N$9)/12</f>
        <v>0</v>
      </c>
      <c r="T183">
        <f>IF(C$6="",0,SUMIFS('Budget ed extra'!$G$7:$G$42,'Budget ed extra'!$J$7:$J$42,$A183,'Budget ed extra'!$H$7:$H$42,C$6))</f>
        <v>0</v>
      </c>
      <c r="U183">
        <f>IF(D$6="",0,SUMIFS('Budget ed extra'!$G$7:$G$42,'Budget ed extra'!$J$7:$J$42,$A183,'Budget ed extra'!$H$7:$H$42,D$6))</f>
        <v>0</v>
      </c>
      <c r="V183">
        <f>IF(E$6="",0,SUMIFS('Budget ed extra'!$G$7:$G$42,'Budget ed extra'!$J$7:$J$42,$A183,'Budget ed extra'!$H$7:$H$42,E$6))</f>
        <v>0</v>
      </c>
      <c r="W183">
        <f>IF(F$6="",0,SUMIFS('Budget ed extra'!$G$7:$G$42,'Budget ed extra'!$J$7:$J$42,$A183,'Budget ed extra'!$H$7:$H$42,F$6))</f>
        <v>0</v>
      </c>
      <c r="X183">
        <f>IF(G$6="",0,SUMIFS('Budget ed extra'!$G$7:$G$42,'Budget ed extra'!$J$7:$J$42,$A183,'Budget ed extra'!$H$7:$H$42,G$6))</f>
        <v>0</v>
      </c>
      <c r="Y183">
        <f>IF(H$6="",0,SUMIFS('Budget ed extra'!$G$7:$G$42,'Budget ed extra'!$J$7:$J$42,$A183,'Budget ed extra'!$H$7:$H$42,H$6))</f>
        <v>0</v>
      </c>
      <c r="Z183">
        <f>IF(I$6="",0,SUMIFS('Budget ed extra'!$G$7:$G$42,'Budget ed extra'!$J$7:$J$42,$A183,'Budget ed extra'!$H$7:$H$42,I$6))</f>
        <v>0</v>
      </c>
      <c r="AA183">
        <f>IF(J$6="",0,SUMIFS('Budget ed extra'!$G$7:$G$42,'Budget ed extra'!$J$7:$J$42,$A183,'Budget ed extra'!$H$7:$H$42,J$6))</f>
        <v>0</v>
      </c>
      <c r="AB183">
        <f>IF(K$6="",0,SUMIFS('Budget ed extra'!$G$7:$G$42,'Budget ed extra'!$J$7:$J$42,$A183,'Budget ed extra'!$H$7:$H$42,K$6))</f>
        <v>0</v>
      </c>
      <c r="AC183">
        <f>IF(L$6="",0,SUMIFS('Budget ed extra'!$G$7:$G$42,'Budget ed extra'!$J$7:$J$42,$A183,'Budget ed extra'!$H$7:$H$42,L$6))</f>
        <v>0</v>
      </c>
      <c r="AD183">
        <f>IF(M$6="",0,SUMIFS('Budget ed extra'!$G$7:$G$42,'Budget ed extra'!$J$7:$J$42,$A183,'Budget ed extra'!$H$7:$H$42,M$6))</f>
        <v>0</v>
      </c>
      <c r="AE183">
        <f>IF(N$6="",0,SUMIFS('Budget ed extra'!$G$7:$G$42,'Budget ed extra'!$J$7:$J$42,$A183,'Budget ed extra'!$H$7:$H$42,N$6))</f>
        <v>0</v>
      </c>
    </row>
    <row r="184">
      <c r="A184" t="n">
        <v>154</v>
      </c>
      <c r="B184">
        <f>DATE($B$2,$B$3+A184-1,1)</f>
        <v>50983.0</v>
      </c>
      <c r="C184">
        <f>IF(D184=0,N(Impostazioni!$B$6),SUMIFS('Budget ed extra'!$B$7:$B$18,'Budget ed extra'!$D$7:$D$18,D184)/COUNTIFS('Budget ed extra'!$D$7:$D$18,D184))</f>
        <v>900</v>
      </c>
      <c r="D184">
        <f>SUMPRODUCT(MAX(('Budget ed extra'!$D$7:$D$18&lt;=A184)*'Budget ed extra'!$D$7:$D$18))</f>
        <v>9</v>
      </c>
      <c r="E184">
        <f>SUMIFS('Budget ed extra'!$G$7:$G$42,'Budget ed extra'!$J$7:$J$42,A184)</f>
        <v>0</v>
      </c>
      <c r="F184">
        <f>SUM(T184:AE184)</f>
        <v>0</v>
      </c>
      <c r="G184">
        <f>MAX(0,E184-F184)</f>
        <v>0</v>
      </c>
      <c r="H184">
        <f>IF($A184&gt;=C$10,C$11,C$9)/12</f>
        <v>0.01575</v>
      </c>
      <c r="I184">
        <f>IF($A184&gt;=D$10,D$11,D$9)/12</f>
        <v>0.01825</v>
      </c>
      <c r="J184">
        <f>IF($A184&gt;=E$10,E$11,E$9)/12</f>
        <v>0.00766666666666667</v>
      </c>
      <c r="K184">
        <f>IF($A184&gt;=F$10,F$11,F$9)/12</f>
        <v>0.00533333333333333</v>
      </c>
      <c r="L184">
        <f>IF($A184&gt;=G$10,G$11,G$9)/12</f>
        <v>0</v>
      </c>
      <c r="M184">
        <f>IF($A184&gt;=H$10,H$11,H$9)/12</f>
        <v>0</v>
      </c>
      <c r="N184">
        <f>IF($A184&gt;=I$10,I$11,I$9)/12</f>
        <v>0</v>
      </c>
      <c r="O184">
        <f>IF($A184&gt;=J$10,J$11,J$9)/12</f>
        <v>0</v>
      </c>
      <c r="P184">
        <f>IF($A184&gt;=K$10,K$11,K$9)/12</f>
        <v>0</v>
      </c>
      <c r="Q184">
        <f>IF($A184&gt;=L$10,L$11,L$9)/12</f>
        <v>0</v>
      </c>
      <c r="R184">
        <f>IF($A184&gt;=M$10,M$11,M$9)/12</f>
        <v>0</v>
      </c>
      <c r="S184">
        <f>IF($A184&gt;=N$10,N$11,N$9)/12</f>
        <v>0</v>
      </c>
      <c r="T184">
        <f>IF(C$6="",0,SUMIFS('Budget ed extra'!$G$7:$G$42,'Budget ed extra'!$J$7:$J$42,$A184,'Budget ed extra'!$H$7:$H$42,C$6))</f>
        <v>0</v>
      </c>
      <c r="U184">
        <f>IF(D$6="",0,SUMIFS('Budget ed extra'!$G$7:$G$42,'Budget ed extra'!$J$7:$J$42,$A184,'Budget ed extra'!$H$7:$H$42,D$6))</f>
        <v>0</v>
      </c>
      <c r="V184">
        <f>IF(E$6="",0,SUMIFS('Budget ed extra'!$G$7:$G$42,'Budget ed extra'!$J$7:$J$42,$A184,'Budget ed extra'!$H$7:$H$42,E$6))</f>
        <v>0</v>
      </c>
      <c r="W184">
        <f>IF(F$6="",0,SUMIFS('Budget ed extra'!$G$7:$G$42,'Budget ed extra'!$J$7:$J$42,$A184,'Budget ed extra'!$H$7:$H$42,F$6))</f>
        <v>0</v>
      </c>
      <c r="X184">
        <f>IF(G$6="",0,SUMIFS('Budget ed extra'!$G$7:$G$42,'Budget ed extra'!$J$7:$J$42,$A184,'Budget ed extra'!$H$7:$H$42,G$6))</f>
        <v>0</v>
      </c>
      <c r="Y184">
        <f>IF(H$6="",0,SUMIFS('Budget ed extra'!$G$7:$G$42,'Budget ed extra'!$J$7:$J$42,$A184,'Budget ed extra'!$H$7:$H$42,H$6))</f>
        <v>0</v>
      </c>
      <c r="Z184">
        <f>IF(I$6="",0,SUMIFS('Budget ed extra'!$G$7:$G$42,'Budget ed extra'!$J$7:$J$42,$A184,'Budget ed extra'!$H$7:$H$42,I$6))</f>
        <v>0</v>
      </c>
      <c r="AA184">
        <f>IF(J$6="",0,SUMIFS('Budget ed extra'!$G$7:$G$42,'Budget ed extra'!$J$7:$J$42,$A184,'Budget ed extra'!$H$7:$H$42,J$6))</f>
        <v>0</v>
      </c>
      <c r="AB184">
        <f>IF(K$6="",0,SUMIFS('Budget ed extra'!$G$7:$G$42,'Budget ed extra'!$J$7:$J$42,$A184,'Budget ed extra'!$H$7:$H$42,K$6))</f>
        <v>0</v>
      </c>
      <c r="AC184">
        <f>IF(L$6="",0,SUMIFS('Budget ed extra'!$G$7:$G$42,'Budget ed extra'!$J$7:$J$42,$A184,'Budget ed extra'!$H$7:$H$42,L$6))</f>
        <v>0</v>
      </c>
      <c r="AD184">
        <f>IF(M$6="",0,SUMIFS('Budget ed extra'!$G$7:$G$42,'Budget ed extra'!$J$7:$J$42,$A184,'Budget ed extra'!$H$7:$H$42,M$6))</f>
        <v>0</v>
      </c>
      <c r="AE184">
        <f>IF(N$6="",0,SUMIFS('Budget ed extra'!$G$7:$G$42,'Budget ed extra'!$J$7:$J$42,$A184,'Budget ed extra'!$H$7:$H$42,N$6))</f>
        <v>0</v>
      </c>
    </row>
    <row r="185">
      <c r="A185" t="n">
        <v>155</v>
      </c>
      <c r="B185">
        <f>DATE($B$2,$B$3+A185-1,1)</f>
        <v>51014.0</v>
      </c>
      <c r="C185">
        <f>IF(D185=0,N(Impostazioni!$B$6),SUMIFS('Budget ed extra'!$B$7:$B$18,'Budget ed extra'!$D$7:$D$18,D185)/COUNTIFS('Budget ed extra'!$D$7:$D$18,D185))</f>
        <v>900</v>
      </c>
      <c r="D185">
        <f>SUMPRODUCT(MAX(('Budget ed extra'!$D$7:$D$18&lt;=A185)*'Budget ed extra'!$D$7:$D$18))</f>
        <v>9</v>
      </c>
      <c r="E185">
        <f>SUMIFS('Budget ed extra'!$G$7:$G$42,'Budget ed extra'!$J$7:$J$42,A185)</f>
        <v>0</v>
      </c>
      <c r="F185">
        <f>SUM(T185:AE185)</f>
        <v>0</v>
      </c>
      <c r="G185">
        <f>MAX(0,E185-F185)</f>
        <v>0</v>
      </c>
      <c r="H185">
        <f>IF($A185&gt;=C$10,C$11,C$9)/12</f>
        <v>0.01575</v>
      </c>
      <c r="I185">
        <f>IF($A185&gt;=D$10,D$11,D$9)/12</f>
        <v>0.01825</v>
      </c>
      <c r="J185">
        <f>IF($A185&gt;=E$10,E$11,E$9)/12</f>
        <v>0.00766666666666667</v>
      </c>
      <c r="K185">
        <f>IF($A185&gt;=F$10,F$11,F$9)/12</f>
        <v>0.00533333333333333</v>
      </c>
      <c r="L185">
        <f>IF($A185&gt;=G$10,G$11,G$9)/12</f>
        <v>0</v>
      </c>
      <c r="M185">
        <f>IF($A185&gt;=H$10,H$11,H$9)/12</f>
        <v>0</v>
      </c>
      <c r="N185">
        <f>IF($A185&gt;=I$10,I$11,I$9)/12</f>
        <v>0</v>
      </c>
      <c r="O185">
        <f>IF($A185&gt;=J$10,J$11,J$9)/12</f>
        <v>0</v>
      </c>
      <c r="P185">
        <f>IF($A185&gt;=K$10,K$11,K$9)/12</f>
        <v>0</v>
      </c>
      <c r="Q185">
        <f>IF($A185&gt;=L$10,L$11,L$9)/12</f>
        <v>0</v>
      </c>
      <c r="R185">
        <f>IF($A185&gt;=M$10,M$11,M$9)/12</f>
        <v>0</v>
      </c>
      <c r="S185">
        <f>IF($A185&gt;=N$10,N$11,N$9)/12</f>
        <v>0</v>
      </c>
      <c r="T185">
        <f>IF(C$6="",0,SUMIFS('Budget ed extra'!$G$7:$G$42,'Budget ed extra'!$J$7:$J$42,$A185,'Budget ed extra'!$H$7:$H$42,C$6))</f>
        <v>0</v>
      </c>
      <c r="U185">
        <f>IF(D$6="",0,SUMIFS('Budget ed extra'!$G$7:$G$42,'Budget ed extra'!$J$7:$J$42,$A185,'Budget ed extra'!$H$7:$H$42,D$6))</f>
        <v>0</v>
      </c>
      <c r="V185">
        <f>IF(E$6="",0,SUMIFS('Budget ed extra'!$G$7:$G$42,'Budget ed extra'!$J$7:$J$42,$A185,'Budget ed extra'!$H$7:$H$42,E$6))</f>
        <v>0</v>
      </c>
      <c r="W185">
        <f>IF(F$6="",0,SUMIFS('Budget ed extra'!$G$7:$G$42,'Budget ed extra'!$J$7:$J$42,$A185,'Budget ed extra'!$H$7:$H$42,F$6))</f>
        <v>0</v>
      </c>
      <c r="X185">
        <f>IF(G$6="",0,SUMIFS('Budget ed extra'!$G$7:$G$42,'Budget ed extra'!$J$7:$J$42,$A185,'Budget ed extra'!$H$7:$H$42,G$6))</f>
        <v>0</v>
      </c>
      <c r="Y185">
        <f>IF(H$6="",0,SUMIFS('Budget ed extra'!$G$7:$G$42,'Budget ed extra'!$J$7:$J$42,$A185,'Budget ed extra'!$H$7:$H$42,H$6))</f>
        <v>0</v>
      </c>
      <c r="Z185">
        <f>IF(I$6="",0,SUMIFS('Budget ed extra'!$G$7:$G$42,'Budget ed extra'!$J$7:$J$42,$A185,'Budget ed extra'!$H$7:$H$42,I$6))</f>
        <v>0</v>
      </c>
      <c r="AA185">
        <f>IF(J$6="",0,SUMIFS('Budget ed extra'!$G$7:$G$42,'Budget ed extra'!$J$7:$J$42,$A185,'Budget ed extra'!$H$7:$H$42,J$6))</f>
        <v>0</v>
      </c>
      <c r="AB185">
        <f>IF(K$6="",0,SUMIFS('Budget ed extra'!$G$7:$G$42,'Budget ed extra'!$J$7:$J$42,$A185,'Budget ed extra'!$H$7:$H$42,K$6))</f>
        <v>0</v>
      </c>
      <c r="AC185">
        <f>IF(L$6="",0,SUMIFS('Budget ed extra'!$G$7:$G$42,'Budget ed extra'!$J$7:$J$42,$A185,'Budget ed extra'!$H$7:$H$42,L$6))</f>
        <v>0</v>
      </c>
      <c r="AD185">
        <f>IF(M$6="",0,SUMIFS('Budget ed extra'!$G$7:$G$42,'Budget ed extra'!$J$7:$J$42,$A185,'Budget ed extra'!$H$7:$H$42,M$6))</f>
        <v>0</v>
      </c>
      <c r="AE185">
        <f>IF(N$6="",0,SUMIFS('Budget ed extra'!$G$7:$G$42,'Budget ed extra'!$J$7:$J$42,$A185,'Budget ed extra'!$H$7:$H$42,N$6))</f>
        <v>0</v>
      </c>
    </row>
    <row r="186">
      <c r="A186" t="n">
        <v>156</v>
      </c>
      <c r="B186">
        <f>DATE($B$2,$B$3+A186-1,1)</f>
        <v>51044.0</v>
      </c>
      <c r="C186">
        <f>IF(D186=0,N(Impostazioni!$B$6),SUMIFS('Budget ed extra'!$B$7:$B$18,'Budget ed extra'!$D$7:$D$18,D186)/COUNTIFS('Budget ed extra'!$D$7:$D$18,D186))</f>
        <v>900</v>
      </c>
      <c r="D186">
        <f>SUMPRODUCT(MAX(('Budget ed extra'!$D$7:$D$18&lt;=A186)*'Budget ed extra'!$D$7:$D$18))</f>
        <v>9</v>
      </c>
      <c r="E186">
        <f>SUMIFS('Budget ed extra'!$G$7:$G$42,'Budget ed extra'!$J$7:$J$42,A186)</f>
        <v>0</v>
      </c>
      <c r="F186">
        <f>SUM(T186:AE186)</f>
        <v>0</v>
      </c>
      <c r="G186">
        <f>MAX(0,E186-F186)</f>
        <v>0</v>
      </c>
      <c r="H186">
        <f>IF($A186&gt;=C$10,C$11,C$9)/12</f>
        <v>0.01575</v>
      </c>
      <c r="I186">
        <f>IF($A186&gt;=D$10,D$11,D$9)/12</f>
        <v>0.01825</v>
      </c>
      <c r="J186">
        <f>IF($A186&gt;=E$10,E$11,E$9)/12</f>
        <v>0.00766666666666667</v>
      </c>
      <c r="K186">
        <f>IF($A186&gt;=F$10,F$11,F$9)/12</f>
        <v>0.00533333333333333</v>
      </c>
      <c r="L186">
        <f>IF($A186&gt;=G$10,G$11,G$9)/12</f>
        <v>0</v>
      </c>
      <c r="M186">
        <f>IF($A186&gt;=H$10,H$11,H$9)/12</f>
        <v>0</v>
      </c>
      <c r="N186">
        <f>IF($A186&gt;=I$10,I$11,I$9)/12</f>
        <v>0</v>
      </c>
      <c r="O186">
        <f>IF($A186&gt;=J$10,J$11,J$9)/12</f>
        <v>0</v>
      </c>
      <c r="P186">
        <f>IF($A186&gt;=K$10,K$11,K$9)/12</f>
        <v>0</v>
      </c>
      <c r="Q186">
        <f>IF($A186&gt;=L$10,L$11,L$9)/12</f>
        <v>0</v>
      </c>
      <c r="R186">
        <f>IF($A186&gt;=M$10,M$11,M$9)/12</f>
        <v>0</v>
      </c>
      <c r="S186">
        <f>IF($A186&gt;=N$10,N$11,N$9)/12</f>
        <v>0</v>
      </c>
      <c r="T186">
        <f>IF(C$6="",0,SUMIFS('Budget ed extra'!$G$7:$G$42,'Budget ed extra'!$J$7:$J$42,$A186,'Budget ed extra'!$H$7:$H$42,C$6))</f>
        <v>0</v>
      </c>
      <c r="U186">
        <f>IF(D$6="",0,SUMIFS('Budget ed extra'!$G$7:$G$42,'Budget ed extra'!$J$7:$J$42,$A186,'Budget ed extra'!$H$7:$H$42,D$6))</f>
        <v>0</v>
      </c>
      <c r="V186">
        <f>IF(E$6="",0,SUMIFS('Budget ed extra'!$G$7:$G$42,'Budget ed extra'!$J$7:$J$42,$A186,'Budget ed extra'!$H$7:$H$42,E$6))</f>
        <v>0</v>
      </c>
      <c r="W186">
        <f>IF(F$6="",0,SUMIFS('Budget ed extra'!$G$7:$G$42,'Budget ed extra'!$J$7:$J$42,$A186,'Budget ed extra'!$H$7:$H$42,F$6))</f>
        <v>0</v>
      </c>
      <c r="X186">
        <f>IF(G$6="",0,SUMIFS('Budget ed extra'!$G$7:$G$42,'Budget ed extra'!$J$7:$J$42,$A186,'Budget ed extra'!$H$7:$H$42,G$6))</f>
        <v>0</v>
      </c>
      <c r="Y186">
        <f>IF(H$6="",0,SUMIFS('Budget ed extra'!$G$7:$G$42,'Budget ed extra'!$J$7:$J$42,$A186,'Budget ed extra'!$H$7:$H$42,H$6))</f>
        <v>0</v>
      </c>
      <c r="Z186">
        <f>IF(I$6="",0,SUMIFS('Budget ed extra'!$G$7:$G$42,'Budget ed extra'!$J$7:$J$42,$A186,'Budget ed extra'!$H$7:$H$42,I$6))</f>
        <v>0</v>
      </c>
      <c r="AA186">
        <f>IF(J$6="",0,SUMIFS('Budget ed extra'!$G$7:$G$42,'Budget ed extra'!$J$7:$J$42,$A186,'Budget ed extra'!$H$7:$H$42,J$6))</f>
        <v>0</v>
      </c>
      <c r="AB186">
        <f>IF(K$6="",0,SUMIFS('Budget ed extra'!$G$7:$G$42,'Budget ed extra'!$J$7:$J$42,$A186,'Budget ed extra'!$H$7:$H$42,K$6))</f>
        <v>0</v>
      </c>
      <c r="AC186">
        <f>IF(L$6="",0,SUMIFS('Budget ed extra'!$G$7:$G$42,'Budget ed extra'!$J$7:$J$42,$A186,'Budget ed extra'!$H$7:$H$42,L$6))</f>
        <v>0</v>
      </c>
      <c r="AD186">
        <f>IF(M$6="",0,SUMIFS('Budget ed extra'!$G$7:$G$42,'Budget ed extra'!$J$7:$J$42,$A186,'Budget ed extra'!$H$7:$H$42,M$6))</f>
        <v>0</v>
      </c>
      <c r="AE186">
        <f>IF(N$6="",0,SUMIFS('Budget ed extra'!$G$7:$G$42,'Budget ed extra'!$J$7:$J$42,$A186,'Budget ed extra'!$H$7:$H$42,N$6))</f>
        <v>0</v>
      </c>
    </row>
    <row r="187">
      <c r="A187" t="n">
        <v>157</v>
      </c>
      <c r="B187">
        <f>DATE($B$2,$B$3+A187-1,1)</f>
        <v>51075.0</v>
      </c>
      <c r="C187">
        <f>IF(D187=0,N(Impostazioni!$B$6),SUMIFS('Budget ed extra'!$B$7:$B$18,'Budget ed extra'!$D$7:$D$18,D187)/COUNTIFS('Budget ed extra'!$D$7:$D$18,D187))</f>
        <v>900</v>
      </c>
      <c r="D187">
        <f>SUMPRODUCT(MAX(('Budget ed extra'!$D$7:$D$18&lt;=A187)*'Budget ed extra'!$D$7:$D$18))</f>
        <v>9</v>
      </c>
      <c r="E187">
        <f>SUMIFS('Budget ed extra'!$G$7:$G$42,'Budget ed extra'!$J$7:$J$42,A187)</f>
        <v>0</v>
      </c>
      <c r="F187">
        <f>SUM(T187:AE187)</f>
        <v>0</v>
      </c>
      <c r="G187">
        <f>MAX(0,E187-F187)</f>
        <v>0</v>
      </c>
      <c r="H187">
        <f>IF($A187&gt;=C$10,C$11,C$9)/12</f>
        <v>0.01575</v>
      </c>
      <c r="I187">
        <f>IF($A187&gt;=D$10,D$11,D$9)/12</f>
        <v>0.01825</v>
      </c>
      <c r="J187">
        <f>IF($A187&gt;=E$10,E$11,E$9)/12</f>
        <v>0.00766666666666667</v>
      </c>
      <c r="K187">
        <f>IF($A187&gt;=F$10,F$11,F$9)/12</f>
        <v>0.00533333333333333</v>
      </c>
      <c r="L187">
        <f>IF($A187&gt;=G$10,G$11,G$9)/12</f>
        <v>0</v>
      </c>
      <c r="M187">
        <f>IF($A187&gt;=H$10,H$11,H$9)/12</f>
        <v>0</v>
      </c>
      <c r="N187">
        <f>IF($A187&gt;=I$10,I$11,I$9)/12</f>
        <v>0</v>
      </c>
      <c r="O187">
        <f>IF($A187&gt;=J$10,J$11,J$9)/12</f>
        <v>0</v>
      </c>
      <c r="P187">
        <f>IF($A187&gt;=K$10,K$11,K$9)/12</f>
        <v>0</v>
      </c>
      <c r="Q187">
        <f>IF($A187&gt;=L$10,L$11,L$9)/12</f>
        <v>0</v>
      </c>
      <c r="R187">
        <f>IF($A187&gt;=M$10,M$11,M$9)/12</f>
        <v>0</v>
      </c>
      <c r="S187">
        <f>IF($A187&gt;=N$10,N$11,N$9)/12</f>
        <v>0</v>
      </c>
      <c r="T187">
        <f>IF(C$6="",0,SUMIFS('Budget ed extra'!$G$7:$G$42,'Budget ed extra'!$J$7:$J$42,$A187,'Budget ed extra'!$H$7:$H$42,C$6))</f>
        <v>0</v>
      </c>
      <c r="U187">
        <f>IF(D$6="",0,SUMIFS('Budget ed extra'!$G$7:$G$42,'Budget ed extra'!$J$7:$J$42,$A187,'Budget ed extra'!$H$7:$H$42,D$6))</f>
        <v>0</v>
      </c>
      <c r="V187">
        <f>IF(E$6="",0,SUMIFS('Budget ed extra'!$G$7:$G$42,'Budget ed extra'!$J$7:$J$42,$A187,'Budget ed extra'!$H$7:$H$42,E$6))</f>
        <v>0</v>
      </c>
      <c r="W187">
        <f>IF(F$6="",0,SUMIFS('Budget ed extra'!$G$7:$G$42,'Budget ed extra'!$J$7:$J$42,$A187,'Budget ed extra'!$H$7:$H$42,F$6))</f>
        <v>0</v>
      </c>
      <c r="X187">
        <f>IF(G$6="",0,SUMIFS('Budget ed extra'!$G$7:$G$42,'Budget ed extra'!$J$7:$J$42,$A187,'Budget ed extra'!$H$7:$H$42,G$6))</f>
        <v>0</v>
      </c>
      <c r="Y187">
        <f>IF(H$6="",0,SUMIFS('Budget ed extra'!$G$7:$G$42,'Budget ed extra'!$J$7:$J$42,$A187,'Budget ed extra'!$H$7:$H$42,H$6))</f>
        <v>0</v>
      </c>
      <c r="Z187">
        <f>IF(I$6="",0,SUMIFS('Budget ed extra'!$G$7:$G$42,'Budget ed extra'!$J$7:$J$42,$A187,'Budget ed extra'!$H$7:$H$42,I$6))</f>
        <v>0</v>
      </c>
      <c r="AA187">
        <f>IF(J$6="",0,SUMIFS('Budget ed extra'!$G$7:$G$42,'Budget ed extra'!$J$7:$J$42,$A187,'Budget ed extra'!$H$7:$H$42,J$6))</f>
        <v>0</v>
      </c>
      <c r="AB187">
        <f>IF(K$6="",0,SUMIFS('Budget ed extra'!$G$7:$G$42,'Budget ed extra'!$J$7:$J$42,$A187,'Budget ed extra'!$H$7:$H$42,K$6))</f>
        <v>0</v>
      </c>
      <c r="AC187">
        <f>IF(L$6="",0,SUMIFS('Budget ed extra'!$G$7:$G$42,'Budget ed extra'!$J$7:$J$42,$A187,'Budget ed extra'!$H$7:$H$42,L$6))</f>
        <v>0</v>
      </c>
      <c r="AD187">
        <f>IF(M$6="",0,SUMIFS('Budget ed extra'!$G$7:$G$42,'Budget ed extra'!$J$7:$J$42,$A187,'Budget ed extra'!$H$7:$H$42,M$6))</f>
        <v>0</v>
      </c>
      <c r="AE187">
        <f>IF(N$6="",0,SUMIFS('Budget ed extra'!$G$7:$G$42,'Budget ed extra'!$J$7:$J$42,$A187,'Budget ed extra'!$H$7:$H$42,N$6))</f>
        <v>0</v>
      </c>
    </row>
    <row r="188">
      <c r="A188" t="n">
        <v>158</v>
      </c>
      <c r="B188">
        <f>DATE($B$2,$B$3+A188-1,1)</f>
        <v>51105.0</v>
      </c>
      <c r="C188">
        <f>IF(D188=0,N(Impostazioni!$B$6),SUMIFS('Budget ed extra'!$B$7:$B$18,'Budget ed extra'!$D$7:$D$18,D188)/COUNTIFS('Budget ed extra'!$D$7:$D$18,D188))</f>
        <v>900</v>
      </c>
      <c r="D188">
        <f>SUMPRODUCT(MAX(('Budget ed extra'!$D$7:$D$18&lt;=A188)*'Budget ed extra'!$D$7:$D$18))</f>
        <v>9</v>
      </c>
      <c r="E188">
        <f>SUMIFS('Budget ed extra'!$G$7:$G$42,'Budget ed extra'!$J$7:$J$42,A188)</f>
        <v>0</v>
      </c>
      <c r="F188">
        <f>SUM(T188:AE188)</f>
        <v>0</v>
      </c>
      <c r="G188">
        <f>MAX(0,E188-F188)</f>
        <v>0</v>
      </c>
      <c r="H188">
        <f>IF($A188&gt;=C$10,C$11,C$9)/12</f>
        <v>0.01575</v>
      </c>
      <c r="I188">
        <f>IF($A188&gt;=D$10,D$11,D$9)/12</f>
        <v>0.01825</v>
      </c>
      <c r="J188">
        <f>IF($A188&gt;=E$10,E$11,E$9)/12</f>
        <v>0.00766666666666667</v>
      </c>
      <c r="K188">
        <f>IF($A188&gt;=F$10,F$11,F$9)/12</f>
        <v>0.00533333333333333</v>
      </c>
      <c r="L188">
        <f>IF($A188&gt;=G$10,G$11,G$9)/12</f>
        <v>0</v>
      </c>
      <c r="M188">
        <f>IF($A188&gt;=H$10,H$11,H$9)/12</f>
        <v>0</v>
      </c>
      <c r="N188">
        <f>IF($A188&gt;=I$10,I$11,I$9)/12</f>
        <v>0</v>
      </c>
      <c r="O188">
        <f>IF($A188&gt;=J$10,J$11,J$9)/12</f>
        <v>0</v>
      </c>
      <c r="P188">
        <f>IF($A188&gt;=K$10,K$11,K$9)/12</f>
        <v>0</v>
      </c>
      <c r="Q188">
        <f>IF($A188&gt;=L$10,L$11,L$9)/12</f>
        <v>0</v>
      </c>
      <c r="R188">
        <f>IF($A188&gt;=M$10,M$11,M$9)/12</f>
        <v>0</v>
      </c>
      <c r="S188">
        <f>IF($A188&gt;=N$10,N$11,N$9)/12</f>
        <v>0</v>
      </c>
      <c r="T188">
        <f>IF(C$6="",0,SUMIFS('Budget ed extra'!$G$7:$G$42,'Budget ed extra'!$J$7:$J$42,$A188,'Budget ed extra'!$H$7:$H$42,C$6))</f>
        <v>0</v>
      </c>
      <c r="U188">
        <f>IF(D$6="",0,SUMIFS('Budget ed extra'!$G$7:$G$42,'Budget ed extra'!$J$7:$J$42,$A188,'Budget ed extra'!$H$7:$H$42,D$6))</f>
        <v>0</v>
      </c>
      <c r="V188">
        <f>IF(E$6="",0,SUMIFS('Budget ed extra'!$G$7:$G$42,'Budget ed extra'!$J$7:$J$42,$A188,'Budget ed extra'!$H$7:$H$42,E$6))</f>
        <v>0</v>
      </c>
      <c r="W188">
        <f>IF(F$6="",0,SUMIFS('Budget ed extra'!$G$7:$G$42,'Budget ed extra'!$J$7:$J$42,$A188,'Budget ed extra'!$H$7:$H$42,F$6))</f>
        <v>0</v>
      </c>
      <c r="X188">
        <f>IF(G$6="",0,SUMIFS('Budget ed extra'!$G$7:$G$42,'Budget ed extra'!$J$7:$J$42,$A188,'Budget ed extra'!$H$7:$H$42,G$6))</f>
        <v>0</v>
      </c>
      <c r="Y188">
        <f>IF(H$6="",0,SUMIFS('Budget ed extra'!$G$7:$G$42,'Budget ed extra'!$J$7:$J$42,$A188,'Budget ed extra'!$H$7:$H$42,H$6))</f>
        <v>0</v>
      </c>
      <c r="Z188">
        <f>IF(I$6="",0,SUMIFS('Budget ed extra'!$G$7:$G$42,'Budget ed extra'!$J$7:$J$42,$A188,'Budget ed extra'!$H$7:$H$42,I$6))</f>
        <v>0</v>
      </c>
      <c r="AA188">
        <f>IF(J$6="",0,SUMIFS('Budget ed extra'!$G$7:$G$42,'Budget ed extra'!$J$7:$J$42,$A188,'Budget ed extra'!$H$7:$H$42,J$6))</f>
        <v>0</v>
      </c>
      <c r="AB188">
        <f>IF(K$6="",0,SUMIFS('Budget ed extra'!$G$7:$G$42,'Budget ed extra'!$J$7:$J$42,$A188,'Budget ed extra'!$H$7:$H$42,K$6))</f>
        <v>0</v>
      </c>
      <c r="AC188">
        <f>IF(L$6="",0,SUMIFS('Budget ed extra'!$G$7:$G$42,'Budget ed extra'!$J$7:$J$42,$A188,'Budget ed extra'!$H$7:$H$42,L$6))</f>
        <v>0</v>
      </c>
      <c r="AD188">
        <f>IF(M$6="",0,SUMIFS('Budget ed extra'!$G$7:$G$42,'Budget ed extra'!$J$7:$J$42,$A188,'Budget ed extra'!$H$7:$H$42,M$6))</f>
        <v>0</v>
      </c>
      <c r="AE188">
        <f>IF(N$6="",0,SUMIFS('Budget ed extra'!$G$7:$G$42,'Budget ed extra'!$J$7:$J$42,$A188,'Budget ed extra'!$H$7:$H$42,N$6))</f>
        <v>0</v>
      </c>
    </row>
    <row r="189">
      <c r="A189" t="n">
        <v>159</v>
      </c>
      <c r="B189">
        <f>DATE($B$2,$B$3+A189-1,1)</f>
        <v>51136.0</v>
      </c>
      <c r="C189">
        <f>IF(D189=0,N(Impostazioni!$B$6),SUMIFS('Budget ed extra'!$B$7:$B$18,'Budget ed extra'!$D$7:$D$18,D189)/COUNTIFS('Budget ed extra'!$D$7:$D$18,D189))</f>
        <v>900</v>
      </c>
      <c r="D189">
        <f>SUMPRODUCT(MAX(('Budget ed extra'!$D$7:$D$18&lt;=A189)*'Budget ed extra'!$D$7:$D$18))</f>
        <v>9</v>
      </c>
      <c r="E189">
        <f>SUMIFS('Budget ed extra'!$G$7:$G$42,'Budget ed extra'!$J$7:$J$42,A189)</f>
        <v>0</v>
      </c>
      <c r="F189">
        <f>SUM(T189:AE189)</f>
        <v>0</v>
      </c>
      <c r="G189">
        <f>MAX(0,E189-F189)</f>
        <v>0</v>
      </c>
      <c r="H189">
        <f>IF($A189&gt;=C$10,C$11,C$9)/12</f>
        <v>0.01575</v>
      </c>
      <c r="I189">
        <f>IF($A189&gt;=D$10,D$11,D$9)/12</f>
        <v>0.01825</v>
      </c>
      <c r="J189">
        <f>IF($A189&gt;=E$10,E$11,E$9)/12</f>
        <v>0.00766666666666667</v>
      </c>
      <c r="K189">
        <f>IF($A189&gt;=F$10,F$11,F$9)/12</f>
        <v>0.00533333333333333</v>
      </c>
      <c r="L189">
        <f>IF($A189&gt;=G$10,G$11,G$9)/12</f>
        <v>0</v>
      </c>
      <c r="M189">
        <f>IF($A189&gt;=H$10,H$11,H$9)/12</f>
        <v>0</v>
      </c>
      <c r="N189">
        <f>IF($A189&gt;=I$10,I$11,I$9)/12</f>
        <v>0</v>
      </c>
      <c r="O189">
        <f>IF($A189&gt;=J$10,J$11,J$9)/12</f>
        <v>0</v>
      </c>
      <c r="P189">
        <f>IF($A189&gt;=K$10,K$11,K$9)/12</f>
        <v>0</v>
      </c>
      <c r="Q189">
        <f>IF($A189&gt;=L$10,L$11,L$9)/12</f>
        <v>0</v>
      </c>
      <c r="R189">
        <f>IF($A189&gt;=M$10,M$11,M$9)/12</f>
        <v>0</v>
      </c>
      <c r="S189">
        <f>IF($A189&gt;=N$10,N$11,N$9)/12</f>
        <v>0</v>
      </c>
      <c r="T189">
        <f>IF(C$6="",0,SUMIFS('Budget ed extra'!$G$7:$G$42,'Budget ed extra'!$J$7:$J$42,$A189,'Budget ed extra'!$H$7:$H$42,C$6))</f>
        <v>0</v>
      </c>
      <c r="U189">
        <f>IF(D$6="",0,SUMIFS('Budget ed extra'!$G$7:$G$42,'Budget ed extra'!$J$7:$J$42,$A189,'Budget ed extra'!$H$7:$H$42,D$6))</f>
        <v>0</v>
      </c>
      <c r="V189">
        <f>IF(E$6="",0,SUMIFS('Budget ed extra'!$G$7:$G$42,'Budget ed extra'!$J$7:$J$42,$A189,'Budget ed extra'!$H$7:$H$42,E$6))</f>
        <v>0</v>
      </c>
      <c r="W189">
        <f>IF(F$6="",0,SUMIFS('Budget ed extra'!$G$7:$G$42,'Budget ed extra'!$J$7:$J$42,$A189,'Budget ed extra'!$H$7:$H$42,F$6))</f>
        <v>0</v>
      </c>
      <c r="X189">
        <f>IF(G$6="",0,SUMIFS('Budget ed extra'!$G$7:$G$42,'Budget ed extra'!$J$7:$J$42,$A189,'Budget ed extra'!$H$7:$H$42,G$6))</f>
        <v>0</v>
      </c>
      <c r="Y189">
        <f>IF(H$6="",0,SUMIFS('Budget ed extra'!$G$7:$G$42,'Budget ed extra'!$J$7:$J$42,$A189,'Budget ed extra'!$H$7:$H$42,H$6))</f>
        <v>0</v>
      </c>
      <c r="Z189">
        <f>IF(I$6="",0,SUMIFS('Budget ed extra'!$G$7:$G$42,'Budget ed extra'!$J$7:$J$42,$A189,'Budget ed extra'!$H$7:$H$42,I$6))</f>
        <v>0</v>
      </c>
      <c r="AA189">
        <f>IF(J$6="",0,SUMIFS('Budget ed extra'!$G$7:$G$42,'Budget ed extra'!$J$7:$J$42,$A189,'Budget ed extra'!$H$7:$H$42,J$6))</f>
        <v>0</v>
      </c>
      <c r="AB189">
        <f>IF(K$6="",0,SUMIFS('Budget ed extra'!$G$7:$G$42,'Budget ed extra'!$J$7:$J$42,$A189,'Budget ed extra'!$H$7:$H$42,K$6))</f>
        <v>0</v>
      </c>
      <c r="AC189">
        <f>IF(L$6="",0,SUMIFS('Budget ed extra'!$G$7:$G$42,'Budget ed extra'!$J$7:$J$42,$A189,'Budget ed extra'!$H$7:$H$42,L$6))</f>
        <v>0</v>
      </c>
      <c r="AD189">
        <f>IF(M$6="",0,SUMIFS('Budget ed extra'!$G$7:$G$42,'Budget ed extra'!$J$7:$J$42,$A189,'Budget ed extra'!$H$7:$H$42,M$6))</f>
        <v>0</v>
      </c>
      <c r="AE189">
        <f>IF(N$6="",0,SUMIFS('Budget ed extra'!$G$7:$G$42,'Budget ed extra'!$J$7:$J$42,$A189,'Budget ed extra'!$H$7:$H$42,N$6))</f>
        <v>0</v>
      </c>
    </row>
    <row r="190">
      <c r="A190" t="n">
        <v>160</v>
      </c>
      <c r="B190">
        <f>DATE($B$2,$B$3+A190-1,1)</f>
        <v>51167.0</v>
      </c>
      <c r="C190">
        <f>IF(D190=0,N(Impostazioni!$B$6),SUMIFS('Budget ed extra'!$B$7:$B$18,'Budget ed extra'!$D$7:$D$18,D190)/COUNTIFS('Budget ed extra'!$D$7:$D$18,D190))</f>
        <v>900</v>
      </c>
      <c r="D190">
        <f>SUMPRODUCT(MAX(('Budget ed extra'!$D$7:$D$18&lt;=A190)*'Budget ed extra'!$D$7:$D$18))</f>
        <v>9</v>
      </c>
      <c r="E190">
        <f>SUMIFS('Budget ed extra'!$G$7:$G$42,'Budget ed extra'!$J$7:$J$42,A190)</f>
        <v>0</v>
      </c>
      <c r="F190">
        <f>SUM(T190:AE190)</f>
        <v>0</v>
      </c>
      <c r="G190">
        <f>MAX(0,E190-F190)</f>
        <v>0</v>
      </c>
      <c r="H190">
        <f>IF($A190&gt;=C$10,C$11,C$9)/12</f>
        <v>0.01575</v>
      </c>
      <c r="I190">
        <f>IF($A190&gt;=D$10,D$11,D$9)/12</f>
        <v>0.01825</v>
      </c>
      <c r="J190">
        <f>IF($A190&gt;=E$10,E$11,E$9)/12</f>
        <v>0.00766666666666667</v>
      </c>
      <c r="K190">
        <f>IF($A190&gt;=F$10,F$11,F$9)/12</f>
        <v>0.00533333333333333</v>
      </c>
      <c r="L190">
        <f>IF($A190&gt;=G$10,G$11,G$9)/12</f>
        <v>0</v>
      </c>
      <c r="M190">
        <f>IF($A190&gt;=H$10,H$11,H$9)/12</f>
        <v>0</v>
      </c>
      <c r="N190">
        <f>IF($A190&gt;=I$10,I$11,I$9)/12</f>
        <v>0</v>
      </c>
      <c r="O190">
        <f>IF($A190&gt;=J$10,J$11,J$9)/12</f>
        <v>0</v>
      </c>
      <c r="P190">
        <f>IF($A190&gt;=K$10,K$11,K$9)/12</f>
        <v>0</v>
      </c>
      <c r="Q190">
        <f>IF($A190&gt;=L$10,L$11,L$9)/12</f>
        <v>0</v>
      </c>
      <c r="R190">
        <f>IF($A190&gt;=M$10,M$11,M$9)/12</f>
        <v>0</v>
      </c>
      <c r="S190">
        <f>IF($A190&gt;=N$10,N$11,N$9)/12</f>
        <v>0</v>
      </c>
      <c r="T190">
        <f>IF(C$6="",0,SUMIFS('Budget ed extra'!$G$7:$G$42,'Budget ed extra'!$J$7:$J$42,$A190,'Budget ed extra'!$H$7:$H$42,C$6))</f>
        <v>0</v>
      </c>
      <c r="U190">
        <f>IF(D$6="",0,SUMIFS('Budget ed extra'!$G$7:$G$42,'Budget ed extra'!$J$7:$J$42,$A190,'Budget ed extra'!$H$7:$H$42,D$6))</f>
        <v>0</v>
      </c>
      <c r="V190">
        <f>IF(E$6="",0,SUMIFS('Budget ed extra'!$G$7:$G$42,'Budget ed extra'!$J$7:$J$42,$A190,'Budget ed extra'!$H$7:$H$42,E$6))</f>
        <v>0</v>
      </c>
      <c r="W190">
        <f>IF(F$6="",0,SUMIFS('Budget ed extra'!$G$7:$G$42,'Budget ed extra'!$J$7:$J$42,$A190,'Budget ed extra'!$H$7:$H$42,F$6))</f>
        <v>0</v>
      </c>
      <c r="X190">
        <f>IF(G$6="",0,SUMIFS('Budget ed extra'!$G$7:$G$42,'Budget ed extra'!$J$7:$J$42,$A190,'Budget ed extra'!$H$7:$H$42,G$6))</f>
        <v>0</v>
      </c>
      <c r="Y190">
        <f>IF(H$6="",0,SUMIFS('Budget ed extra'!$G$7:$G$42,'Budget ed extra'!$J$7:$J$42,$A190,'Budget ed extra'!$H$7:$H$42,H$6))</f>
        <v>0</v>
      </c>
      <c r="Z190">
        <f>IF(I$6="",0,SUMIFS('Budget ed extra'!$G$7:$G$42,'Budget ed extra'!$J$7:$J$42,$A190,'Budget ed extra'!$H$7:$H$42,I$6))</f>
        <v>0</v>
      </c>
      <c r="AA190">
        <f>IF(J$6="",0,SUMIFS('Budget ed extra'!$G$7:$G$42,'Budget ed extra'!$J$7:$J$42,$A190,'Budget ed extra'!$H$7:$H$42,J$6))</f>
        <v>0</v>
      </c>
      <c r="AB190">
        <f>IF(K$6="",0,SUMIFS('Budget ed extra'!$G$7:$G$42,'Budget ed extra'!$J$7:$J$42,$A190,'Budget ed extra'!$H$7:$H$42,K$6))</f>
        <v>0</v>
      </c>
      <c r="AC190">
        <f>IF(L$6="",0,SUMIFS('Budget ed extra'!$G$7:$G$42,'Budget ed extra'!$J$7:$J$42,$A190,'Budget ed extra'!$H$7:$H$42,L$6))</f>
        <v>0</v>
      </c>
      <c r="AD190">
        <f>IF(M$6="",0,SUMIFS('Budget ed extra'!$G$7:$G$42,'Budget ed extra'!$J$7:$J$42,$A190,'Budget ed extra'!$H$7:$H$42,M$6))</f>
        <v>0</v>
      </c>
      <c r="AE190">
        <f>IF(N$6="",0,SUMIFS('Budget ed extra'!$G$7:$G$42,'Budget ed extra'!$J$7:$J$42,$A190,'Budget ed extra'!$H$7:$H$42,N$6))</f>
        <v>0</v>
      </c>
    </row>
    <row r="191">
      <c r="A191" t="n">
        <v>161</v>
      </c>
      <c r="B191">
        <f>DATE($B$2,$B$3+A191-1,1)</f>
        <v>51196.0</v>
      </c>
      <c r="C191">
        <f>IF(D191=0,N(Impostazioni!$B$6),SUMIFS('Budget ed extra'!$B$7:$B$18,'Budget ed extra'!$D$7:$D$18,D191)/COUNTIFS('Budget ed extra'!$D$7:$D$18,D191))</f>
        <v>900</v>
      </c>
      <c r="D191">
        <f>SUMPRODUCT(MAX(('Budget ed extra'!$D$7:$D$18&lt;=A191)*'Budget ed extra'!$D$7:$D$18))</f>
        <v>9</v>
      </c>
      <c r="E191">
        <f>SUMIFS('Budget ed extra'!$G$7:$G$42,'Budget ed extra'!$J$7:$J$42,A191)</f>
        <v>0</v>
      </c>
      <c r="F191">
        <f>SUM(T191:AE191)</f>
        <v>0</v>
      </c>
      <c r="G191">
        <f>MAX(0,E191-F191)</f>
        <v>0</v>
      </c>
      <c r="H191">
        <f>IF($A191&gt;=C$10,C$11,C$9)/12</f>
        <v>0.01575</v>
      </c>
      <c r="I191">
        <f>IF($A191&gt;=D$10,D$11,D$9)/12</f>
        <v>0.01825</v>
      </c>
      <c r="J191">
        <f>IF($A191&gt;=E$10,E$11,E$9)/12</f>
        <v>0.00766666666666667</v>
      </c>
      <c r="K191">
        <f>IF($A191&gt;=F$10,F$11,F$9)/12</f>
        <v>0.00533333333333333</v>
      </c>
      <c r="L191">
        <f>IF($A191&gt;=G$10,G$11,G$9)/12</f>
        <v>0</v>
      </c>
      <c r="M191">
        <f>IF($A191&gt;=H$10,H$11,H$9)/12</f>
        <v>0</v>
      </c>
      <c r="N191">
        <f>IF($A191&gt;=I$10,I$11,I$9)/12</f>
        <v>0</v>
      </c>
      <c r="O191">
        <f>IF($A191&gt;=J$10,J$11,J$9)/12</f>
        <v>0</v>
      </c>
      <c r="P191">
        <f>IF($A191&gt;=K$10,K$11,K$9)/12</f>
        <v>0</v>
      </c>
      <c r="Q191">
        <f>IF($A191&gt;=L$10,L$11,L$9)/12</f>
        <v>0</v>
      </c>
      <c r="R191">
        <f>IF($A191&gt;=M$10,M$11,M$9)/12</f>
        <v>0</v>
      </c>
      <c r="S191">
        <f>IF($A191&gt;=N$10,N$11,N$9)/12</f>
        <v>0</v>
      </c>
      <c r="T191">
        <f>IF(C$6="",0,SUMIFS('Budget ed extra'!$G$7:$G$42,'Budget ed extra'!$J$7:$J$42,$A191,'Budget ed extra'!$H$7:$H$42,C$6))</f>
        <v>0</v>
      </c>
      <c r="U191">
        <f>IF(D$6="",0,SUMIFS('Budget ed extra'!$G$7:$G$42,'Budget ed extra'!$J$7:$J$42,$A191,'Budget ed extra'!$H$7:$H$42,D$6))</f>
        <v>0</v>
      </c>
      <c r="V191">
        <f>IF(E$6="",0,SUMIFS('Budget ed extra'!$G$7:$G$42,'Budget ed extra'!$J$7:$J$42,$A191,'Budget ed extra'!$H$7:$H$42,E$6))</f>
        <v>0</v>
      </c>
      <c r="W191">
        <f>IF(F$6="",0,SUMIFS('Budget ed extra'!$G$7:$G$42,'Budget ed extra'!$J$7:$J$42,$A191,'Budget ed extra'!$H$7:$H$42,F$6))</f>
        <v>0</v>
      </c>
      <c r="X191">
        <f>IF(G$6="",0,SUMIFS('Budget ed extra'!$G$7:$G$42,'Budget ed extra'!$J$7:$J$42,$A191,'Budget ed extra'!$H$7:$H$42,G$6))</f>
        <v>0</v>
      </c>
      <c r="Y191">
        <f>IF(H$6="",0,SUMIFS('Budget ed extra'!$G$7:$G$42,'Budget ed extra'!$J$7:$J$42,$A191,'Budget ed extra'!$H$7:$H$42,H$6))</f>
        <v>0</v>
      </c>
      <c r="Z191">
        <f>IF(I$6="",0,SUMIFS('Budget ed extra'!$G$7:$G$42,'Budget ed extra'!$J$7:$J$42,$A191,'Budget ed extra'!$H$7:$H$42,I$6))</f>
        <v>0</v>
      </c>
      <c r="AA191">
        <f>IF(J$6="",0,SUMIFS('Budget ed extra'!$G$7:$G$42,'Budget ed extra'!$J$7:$J$42,$A191,'Budget ed extra'!$H$7:$H$42,J$6))</f>
        <v>0</v>
      </c>
      <c r="AB191">
        <f>IF(K$6="",0,SUMIFS('Budget ed extra'!$G$7:$G$42,'Budget ed extra'!$J$7:$J$42,$A191,'Budget ed extra'!$H$7:$H$42,K$6))</f>
        <v>0</v>
      </c>
      <c r="AC191">
        <f>IF(L$6="",0,SUMIFS('Budget ed extra'!$G$7:$G$42,'Budget ed extra'!$J$7:$J$42,$A191,'Budget ed extra'!$H$7:$H$42,L$6))</f>
        <v>0</v>
      </c>
      <c r="AD191">
        <f>IF(M$6="",0,SUMIFS('Budget ed extra'!$G$7:$G$42,'Budget ed extra'!$J$7:$J$42,$A191,'Budget ed extra'!$H$7:$H$42,M$6))</f>
        <v>0</v>
      </c>
      <c r="AE191">
        <f>IF(N$6="",0,SUMIFS('Budget ed extra'!$G$7:$G$42,'Budget ed extra'!$J$7:$J$42,$A191,'Budget ed extra'!$H$7:$H$42,N$6))</f>
        <v>0</v>
      </c>
    </row>
    <row r="192">
      <c r="A192" t="n">
        <v>162</v>
      </c>
      <c r="B192">
        <f>DATE($B$2,$B$3+A192-1,1)</f>
        <v>51227.0</v>
      </c>
      <c r="C192">
        <f>IF(D192=0,N(Impostazioni!$B$6),SUMIFS('Budget ed extra'!$B$7:$B$18,'Budget ed extra'!$D$7:$D$18,D192)/COUNTIFS('Budget ed extra'!$D$7:$D$18,D192))</f>
        <v>900</v>
      </c>
      <c r="D192">
        <f>SUMPRODUCT(MAX(('Budget ed extra'!$D$7:$D$18&lt;=A192)*'Budget ed extra'!$D$7:$D$18))</f>
        <v>9</v>
      </c>
      <c r="E192">
        <f>SUMIFS('Budget ed extra'!$G$7:$G$42,'Budget ed extra'!$J$7:$J$42,A192)</f>
        <v>0</v>
      </c>
      <c r="F192">
        <f>SUM(T192:AE192)</f>
        <v>0</v>
      </c>
      <c r="G192">
        <f>MAX(0,E192-F192)</f>
        <v>0</v>
      </c>
      <c r="H192">
        <f>IF($A192&gt;=C$10,C$11,C$9)/12</f>
        <v>0.01575</v>
      </c>
      <c r="I192">
        <f>IF($A192&gt;=D$10,D$11,D$9)/12</f>
        <v>0.01825</v>
      </c>
      <c r="J192">
        <f>IF($A192&gt;=E$10,E$11,E$9)/12</f>
        <v>0.00766666666666667</v>
      </c>
      <c r="K192">
        <f>IF($A192&gt;=F$10,F$11,F$9)/12</f>
        <v>0.00533333333333333</v>
      </c>
      <c r="L192">
        <f>IF($A192&gt;=G$10,G$11,G$9)/12</f>
        <v>0</v>
      </c>
      <c r="M192">
        <f>IF($A192&gt;=H$10,H$11,H$9)/12</f>
        <v>0</v>
      </c>
      <c r="N192">
        <f>IF($A192&gt;=I$10,I$11,I$9)/12</f>
        <v>0</v>
      </c>
      <c r="O192">
        <f>IF($A192&gt;=J$10,J$11,J$9)/12</f>
        <v>0</v>
      </c>
      <c r="P192">
        <f>IF($A192&gt;=K$10,K$11,K$9)/12</f>
        <v>0</v>
      </c>
      <c r="Q192">
        <f>IF($A192&gt;=L$10,L$11,L$9)/12</f>
        <v>0</v>
      </c>
      <c r="R192">
        <f>IF($A192&gt;=M$10,M$11,M$9)/12</f>
        <v>0</v>
      </c>
      <c r="S192">
        <f>IF($A192&gt;=N$10,N$11,N$9)/12</f>
        <v>0</v>
      </c>
      <c r="T192">
        <f>IF(C$6="",0,SUMIFS('Budget ed extra'!$G$7:$G$42,'Budget ed extra'!$J$7:$J$42,$A192,'Budget ed extra'!$H$7:$H$42,C$6))</f>
        <v>0</v>
      </c>
      <c r="U192">
        <f>IF(D$6="",0,SUMIFS('Budget ed extra'!$G$7:$G$42,'Budget ed extra'!$J$7:$J$42,$A192,'Budget ed extra'!$H$7:$H$42,D$6))</f>
        <v>0</v>
      </c>
      <c r="V192">
        <f>IF(E$6="",0,SUMIFS('Budget ed extra'!$G$7:$G$42,'Budget ed extra'!$J$7:$J$42,$A192,'Budget ed extra'!$H$7:$H$42,E$6))</f>
        <v>0</v>
      </c>
      <c r="W192">
        <f>IF(F$6="",0,SUMIFS('Budget ed extra'!$G$7:$G$42,'Budget ed extra'!$J$7:$J$42,$A192,'Budget ed extra'!$H$7:$H$42,F$6))</f>
        <v>0</v>
      </c>
      <c r="X192">
        <f>IF(G$6="",0,SUMIFS('Budget ed extra'!$G$7:$G$42,'Budget ed extra'!$J$7:$J$42,$A192,'Budget ed extra'!$H$7:$H$42,G$6))</f>
        <v>0</v>
      </c>
      <c r="Y192">
        <f>IF(H$6="",0,SUMIFS('Budget ed extra'!$G$7:$G$42,'Budget ed extra'!$J$7:$J$42,$A192,'Budget ed extra'!$H$7:$H$42,H$6))</f>
        <v>0</v>
      </c>
      <c r="Z192">
        <f>IF(I$6="",0,SUMIFS('Budget ed extra'!$G$7:$G$42,'Budget ed extra'!$J$7:$J$42,$A192,'Budget ed extra'!$H$7:$H$42,I$6))</f>
        <v>0</v>
      </c>
      <c r="AA192">
        <f>IF(J$6="",0,SUMIFS('Budget ed extra'!$G$7:$G$42,'Budget ed extra'!$J$7:$J$42,$A192,'Budget ed extra'!$H$7:$H$42,J$6))</f>
        <v>0</v>
      </c>
      <c r="AB192">
        <f>IF(K$6="",0,SUMIFS('Budget ed extra'!$G$7:$G$42,'Budget ed extra'!$J$7:$J$42,$A192,'Budget ed extra'!$H$7:$H$42,K$6))</f>
        <v>0</v>
      </c>
      <c r="AC192">
        <f>IF(L$6="",0,SUMIFS('Budget ed extra'!$G$7:$G$42,'Budget ed extra'!$J$7:$J$42,$A192,'Budget ed extra'!$H$7:$H$42,L$6))</f>
        <v>0</v>
      </c>
      <c r="AD192">
        <f>IF(M$6="",0,SUMIFS('Budget ed extra'!$G$7:$G$42,'Budget ed extra'!$J$7:$J$42,$A192,'Budget ed extra'!$H$7:$H$42,M$6))</f>
        <v>0</v>
      </c>
      <c r="AE192">
        <f>IF(N$6="",0,SUMIFS('Budget ed extra'!$G$7:$G$42,'Budget ed extra'!$J$7:$J$42,$A192,'Budget ed extra'!$H$7:$H$42,N$6))</f>
        <v>0</v>
      </c>
    </row>
    <row r="193">
      <c r="A193" t="n">
        <v>163</v>
      </c>
      <c r="B193">
        <f>DATE($B$2,$B$3+A193-1,1)</f>
        <v>51257.0</v>
      </c>
      <c r="C193">
        <f>IF(D193=0,N(Impostazioni!$B$6),SUMIFS('Budget ed extra'!$B$7:$B$18,'Budget ed extra'!$D$7:$D$18,D193)/COUNTIFS('Budget ed extra'!$D$7:$D$18,D193))</f>
        <v>900</v>
      </c>
      <c r="D193">
        <f>SUMPRODUCT(MAX(('Budget ed extra'!$D$7:$D$18&lt;=A193)*'Budget ed extra'!$D$7:$D$18))</f>
        <v>9</v>
      </c>
      <c r="E193">
        <f>SUMIFS('Budget ed extra'!$G$7:$G$42,'Budget ed extra'!$J$7:$J$42,A193)</f>
        <v>0</v>
      </c>
      <c r="F193">
        <f>SUM(T193:AE193)</f>
        <v>0</v>
      </c>
      <c r="G193">
        <f>MAX(0,E193-F193)</f>
        <v>0</v>
      </c>
      <c r="H193">
        <f>IF($A193&gt;=C$10,C$11,C$9)/12</f>
        <v>0.01575</v>
      </c>
      <c r="I193">
        <f>IF($A193&gt;=D$10,D$11,D$9)/12</f>
        <v>0.01825</v>
      </c>
      <c r="J193">
        <f>IF($A193&gt;=E$10,E$11,E$9)/12</f>
        <v>0.00766666666666667</v>
      </c>
      <c r="K193">
        <f>IF($A193&gt;=F$10,F$11,F$9)/12</f>
        <v>0.00533333333333333</v>
      </c>
      <c r="L193">
        <f>IF($A193&gt;=G$10,G$11,G$9)/12</f>
        <v>0</v>
      </c>
      <c r="M193">
        <f>IF($A193&gt;=H$10,H$11,H$9)/12</f>
        <v>0</v>
      </c>
      <c r="N193">
        <f>IF($A193&gt;=I$10,I$11,I$9)/12</f>
        <v>0</v>
      </c>
      <c r="O193">
        <f>IF($A193&gt;=J$10,J$11,J$9)/12</f>
        <v>0</v>
      </c>
      <c r="P193">
        <f>IF($A193&gt;=K$10,K$11,K$9)/12</f>
        <v>0</v>
      </c>
      <c r="Q193">
        <f>IF($A193&gt;=L$10,L$11,L$9)/12</f>
        <v>0</v>
      </c>
      <c r="R193">
        <f>IF($A193&gt;=M$10,M$11,M$9)/12</f>
        <v>0</v>
      </c>
      <c r="S193">
        <f>IF($A193&gt;=N$10,N$11,N$9)/12</f>
        <v>0</v>
      </c>
      <c r="T193">
        <f>IF(C$6="",0,SUMIFS('Budget ed extra'!$G$7:$G$42,'Budget ed extra'!$J$7:$J$42,$A193,'Budget ed extra'!$H$7:$H$42,C$6))</f>
        <v>0</v>
      </c>
      <c r="U193">
        <f>IF(D$6="",0,SUMIFS('Budget ed extra'!$G$7:$G$42,'Budget ed extra'!$J$7:$J$42,$A193,'Budget ed extra'!$H$7:$H$42,D$6))</f>
        <v>0</v>
      </c>
      <c r="V193">
        <f>IF(E$6="",0,SUMIFS('Budget ed extra'!$G$7:$G$42,'Budget ed extra'!$J$7:$J$42,$A193,'Budget ed extra'!$H$7:$H$42,E$6))</f>
        <v>0</v>
      </c>
      <c r="W193">
        <f>IF(F$6="",0,SUMIFS('Budget ed extra'!$G$7:$G$42,'Budget ed extra'!$J$7:$J$42,$A193,'Budget ed extra'!$H$7:$H$42,F$6))</f>
        <v>0</v>
      </c>
      <c r="X193">
        <f>IF(G$6="",0,SUMIFS('Budget ed extra'!$G$7:$G$42,'Budget ed extra'!$J$7:$J$42,$A193,'Budget ed extra'!$H$7:$H$42,G$6))</f>
        <v>0</v>
      </c>
      <c r="Y193">
        <f>IF(H$6="",0,SUMIFS('Budget ed extra'!$G$7:$G$42,'Budget ed extra'!$J$7:$J$42,$A193,'Budget ed extra'!$H$7:$H$42,H$6))</f>
        <v>0</v>
      </c>
      <c r="Z193">
        <f>IF(I$6="",0,SUMIFS('Budget ed extra'!$G$7:$G$42,'Budget ed extra'!$J$7:$J$42,$A193,'Budget ed extra'!$H$7:$H$42,I$6))</f>
        <v>0</v>
      </c>
      <c r="AA193">
        <f>IF(J$6="",0,SUMIFS('Budget ed extra'!$G$7:$G$42,'Budget ed extra'!$J$7:$J$42,$A193,'Budget ed extra'!$H$7:$H$42,J$6))</f>
        <v>0</v>
      </c>
      <c r="AB193">
        <f>IF(K$6="",0,SUMIFS('Budget ed extra'!$G$7:$G$42,'Budget ed extra'!$J$7:$J$42,$A193,'Budget ed extra'!$H$7:$H$42,K$6))</f>
        <v>0</v>
      </c>
      <c r="AC193">
        <f>IF(L$6="",0,SUMIFS('Budget ed extra'!$G$7:$G$42,'Budget ed extra'!$J$7:$J$42,$A193,'Budget ed extra'!$H$7:$H$42,L$6))</f>
        <v>0</v>
      </c>
      <c r="AD193">
        <f>IF(M$6="",0,SUMIFS('Budget ed extra'!$G$7:$G$42,'Budget ed extra'!$J$7:$J$42,$A193,'Budget ed extra'!$H$7:$H$42,M$6))</f>
        <v>0</v>
      </c>
      <c r="AE193">
        <f>IF(N$6="",0,SUMIFS('Budget ed extra'!$G$7:$G$42,'Budget ed extra'!$J$7:$J$42,$A193,'Budget ed extra'!$H$7:$H$42,N$6))</f>
        <v>0</v>
      </c>
    </row>
    <row r="194">
      <c r="A194" t="n">
        <v>164</v>
      </c>
      <c r="B194">
        <f>DATE($B$2,$B$3+A194-1,1)</f>
        <v>51288.0</v>
      </c>
      <c r="C194">
        <f>IF(D194=0,N(Impostazioni!$B$6),SUMIFS('Budget ed extra'!$B$7:$B$18,'Budget ed extra'!$D$7:$D$18,D194)/COUNTIFS('Budget ed extra'!$D$7:$D$18,D194))</f>
        <v>900</v>
      </c>
      <c r="D194">
        <f>SUMPRODUCT(MAX(('Budget ed extra'!$D$7:$D$18&lt;=A194)*'Budget ed extra'!$D$7:$D$18))</f>
        <v>9</v>
      </c>
      <c r="E194">
        <f>SUMIFS('Budget ed extra'!$G$7:$G$42,'Budget ed extra'!$J$7:$J$42,A194)</f>
        <v>0</v>
      </c>
      <c r="F194">
        <f>SUM(T194:AE194)</f>
        <v>0</v>
      </c>
      <c r="G194">
        <f>MAX(0,E194-F194)</f>
        <v>0</v>
      </c>
      <c r="H194">
        <f>IF($A194&gt;=C$10,C$11,C$9)/12</f>
        <v>0.01575</v>
      </c>
      <c r="I194">
        <f>IF($A194&gt;=D$10,D$11,D$9)/12</f>
        <v>0.01825</v>
      </c>
      <c r="J194">
        <f>IF($A194&gt;=E$10,E$11,E$9)/12</f>
        <v>0.00766666666666667</v>
      </c>
      <c r="K194">
        <f>IF($A194&gt;=F$10,F$11,F$9)/12</f>
        <v>0.00533333333333333</v>
      </c>
      <c r="L194">
        <f>IF($A194&gt;=G$10,G$11,G$9)/12</f>
        <v>0</v>
      </c>
      <c r="M194">
        <f>IF($A194&gt;=H$10,H$11,H$9)/12</f>
        <v>0</v>
      </c>
      <c r="N194">
        <f>IF($A194&gt;=I$10,I$11,I$9)/12</f>
        <v>0</v>
      </c>
      <c r="O194">
        <f>IF($A194&gt;=J$10,J$11,J$9)/12</f>
        <v>0</v>
      </c>
      <c r="P194">
        <f>IF($A194&gt;=K$10,K$11,K$9)/12</f>
        <v>0</v>
      </c>
      <c r="Q194">
        <f>IF($A194&gt;=L$10,L$11,L$9)/12</f>
        <v>0</v>
      </c>
      <c r="R194">
        <f>IF($A194&gt;=M$10,M$11,M$9)/12</f>
        <v>0</v>
      </c>
      <c r="S194">
        <f>IF($A194&gt;=N$10,N$11,N$9)/12</f>
        <v>0</v>
      </c>
      <c r="T194">
        <f>IF(C$6="",0,SUMIFS('Budget ed extra'!$G$7:$G$42,'Budget ed extra'!$J$7:$J$42,$A194,'Budget ed extra'!$H$7:$H$42,C$6))</f>
        <v>0</v>
      </c>
      <c r="U194">
        <f>IF(D$6="",0,SUMIFS('Budget ed extra'!$G$7:$G$42,'Budget ed extra'!$J$7:$J$42,$A194,'Budget ed extra'!$H$7:$H$42,D$6))</f>
        <v>0</v>
      </c>
      <c r="V194">
        <f>IF(E$6="",0,SUMIFS('Budget ed extra'!$G$7:$G$42,'Budget ed extra'!$J$7:$J$42,$A194,'Budget ed extra'!$H$7:$H$42,E$6))</f>
        <v>0</v>
      </c>
      <c r="W194">
        <f>IF(F$6="",0,SUMIFS('Budget ed extra'!$G$7:$G$42,'Budget ed extra'!$J$7:$J$42,$A194,'Budget ed extra'!$H$7:$H$42,F$6))</f>
        <v>0</v>
      </c>
      <c r="X194">
        <f>IF(G$6="",0,SUMIFS('Budget ed extra'!$G$7:$G$42,'Budget ed extra'!$J$7:$J$42,$A194,'Budget ed extra'!$H$7:$H$42,G$6))</f>
        <v>0</v>
      </c>
      <c r="Y194">
        <f>IF(H$6="",0,SUMIFS('Budget ed extra'!$G$7:$G$42,'Budget ed extra'!$J$7:$J$42,$A194,'Budget ed extra'!$H$7:$H$42,H$6))</f>
        <v>0</v>
      </c>
      <c r="Z194">
        <f>IF(I$6="",0,SUMIFS('Budget ed extra'!$G$7:$G$42,'Budget ed extra'!$J$7:$J$42,$A194,'Budget ed extra'!$H$7:$H$42,I$6))</f>
        <v>0</v>
      </c>
      <c r="AA194">
        <f>IF(J$6="",0,SUMIFS('Budget ed extra'!$G$7:$G$42,'Budget ed extra'!$J$7:$J$42,$A194,'Budget ed extra'!$H$7:$H$42,J$6))</f>
        <v>0</v>
      </c>
      <c r="AB194">
        <f>IF(K$6="",0,SUMIFS('Budget ed extra'!$G$7:$G$42,'Budget ed extra'!$J$7:$J$42,$A194,'Budget ed extra'!$H$7:$H$42,K$6))</f>
        <v>0</v>
      </c>
      <c r="AC194">
        <f>IF(L$6="",0,SUMIFS('Budget ed extra'!$G$7:$G$42,'Budget ed extra'!$J$7:$J$42,$A194,'Budget ed extra'!$H$7:$H$42,L$6))</f>
        <v>0</v>
      </c>
      <c r="AD194">
        <f>IF(M$6="",0,SUMIFS('Budget ed extra'!$G$7:$G$42,'Budget ed extra'!$J$7:$J$42,$A194,'Budget ed extra'!$H$7:$H$42,M$6))</f>
        <v>0</v>
      </c>
      <c r="AE194">
        <f>IF(N$6="",0,SUMIFS('Budget ed extra'!$G$7:$G$42,'Budget ed extra'!$J$7:$J$42,$A194,'Budget ed extra'!$H$7:$H$42,N$6))</f>
        <v>0</v>
      </c>
    </row>
    <row r="195">
      <c r="A195" t="n">
        <v>165</v>
      </c>
      <c r="B195">
        <f>DATE($B$2,$B$3+A195-1,1)</f>
        <v>51318.0</v>
      </c>
      <c r="C195">
        <f>IF(D195=0,N(Impostazioni!$B$6),SUMIFS('Budget ed extra'!$B$7:$B$18,'Budget ed extra'!$D$7:$D$18,D195)/COUNTIFS('Budget ed extra'!$D$7:$D$18,D195))</f>
        <v>900</v>
      </c>
      <c r="D195">
        <f>SUMPRODUCT(MAX(('Budget ed extra'!$D$7:$D$18&lt;=A195)*'Budget ed extra'!$D$7:$D$18))</f>
        <v>9</v>
      </c>
      <c r="E195">
        <f>SUMIFS('Budget ed extra'!$G$7:$G$42,'Budget ed extra'!$J$7:$J$42,A195)</f>
        <v>0</v>
      </c>
      <c r="F195">
        <f>SUM(T195:AE195)</f>
        <v>0</v>
      </c>
      <c r="G195">
        <f>MAX(0,E195-F195)</f>
        <v>0</v>
      </c>
      <c r="H195">
        <f>IF($A195&gt;=C$10,C$11,C$9)/12</f>
        <v>0.01575</v>
      </c>
      <c r="I195">
        <f>IF($A195&gt;=D$10,D$11,D$9)/12</f>
        <v>0.01825</v>
      </c>
      <c r="J195">
        <f>IF($A195&gt;=E$10,E$11,E$9)/12</f>
        <v>0.00766666666666667</v>
      </c>
      <c r="K195">
        <f>IF($A195&gt;=F$10,F$11,F$9)/12</f>
        <v>0.00533333333333333</v>
      </c>
      <c r="L195">
        <f>IF($A195&gt;=G$10,G$11,G$9)/12</f>
        <v>0</v>
      </c>
      <c r="M195">
        <f>IF($A195&gt;=H$10,H$11,H$9)/12</f>
        <v>0</v>
      </c>
      <c r="N195">
        <f>IF($A195&gt;=I$10,I$11,I$9)/12</f>
        <v>0</v>
      </c>
      <c r="O195">
        <f>IF($A195&gt;=J$10,J$11,J$9)/12</f>
        <v>0</v>
      </c>
      <c r="P195">
        <f>IF($A195&gt;=K$10,K$11,K$9)/12</f>
        <v>0</v>
      </c>
      <c r="Q195">
        <f>IF($A195&gt;=L$10,L$11,L$9)/12</f>
        <v>0</v>
      </c>
      <c r="R195">
        <f>IF($A195&gt;=M$10,M$11,M$9)/12</f>
        <v>0</v>
      </c>
      <c r="S195">
        <f>IF($A195&gt;=N$10,N$11,N$9)/12</f>
        <v>0</v>
      </c>
      <c r="T195">
        <f>IF(C$6="",0,SUMIFS('Budget ed extra'!$G$7:$G$42,'Budget ed extra'!$J$7:$J$42,$A195,'Budget ed extra'!$H$7:$H$42,C$6))</f>
        <v>0</v>
      </c>
      <c r="U195">
        <f>IF(D$6="",0,SUMIFS('Budget ed extra'!$G$7:$G$42,'Budget ed extra'!$J$7:$J$42,$A195,'Budget ed extra'!$H$7:$H$42,D$6))</f>
        <v>0</v>
      </c>
      <c r="V195">
        <f>IF(E$6="",0,SUMIFS('Budget ed extra'!$G$7:$G$42,'Budget ed extra'!$J$7:$J$42,$A195,'Budget ed extra'!$H$7:$H$42,E$6))</f>
        <v>0</v>
      </c>
      <c r="W195">
        <f>IF(F$6="",0,SUMIFS('Budget ed extra'!$G$7:$G$42,'Budget ed extra'!$J$7:$J$42,$A195,'Budget ed extra'!$H$7:$H$42,F$6))</f>
        <v>0</v>
      </c>
      <c r="X195">
        <f>IF(G$6="",0,SUMIFS('Budget ed extra'!$G$7:$G$42,'Budget ed extra'!$J$7:$J$42,$A195,'Budget ed extra'!$H$7:$H$42,G$6))</f>
        <v>0</v>
      </c>
      <c r="Y195">
        <f>IF(H$6="",0,SUMIFS('Budget ed extra'!$G$7:$G$42,'Budget ed extra'!$J$7:$J$42,$A195,'Budget ed extra'!$H$7:$H$42,H$6))</f>
        <v>0</v>
      </c>
      <c r="Z195">
        <f>IF(I$6="",0,SUMIFS('Budget ed extra'!$G$7:$G$42,'Budget ed extra'!$J$7:$J$42,$A195,'Budget ed extra'!$H$7:$H$42,I$6))</f>
        <v>0</v>
      </c>
      <c r="AA195">
        <f>IF(J$6="",0,SUMIFS('Budget ed extra'!$G$7:$G$42,'Budget ed extra'!$J$7:$J$42,$A195,'Budget ed extra'!$H$7:$H$42,J$6))</f>
        <v>0</v>
      </c>
      <c r="AB195">
        <f>IF(K$6="",0,SUMIFS('Budget ed extra'!$G$7:$G$42,'Budget ed extra'!$J$7:$J$42,$A195,'Budget ed extra'!$H$7:$H$42,K$6))</f>
        <v>0</v>
      </c>
      <c r="AC195">
        <f>IF(L$6="",0,SUMIFS('Budget ed extra'!$G$7:$G$42,'Budget ed extra'!$J$7:$J$42,$A195,'Budget ed extra'!$H$7:$H$42,L$6))</f>
        <v>0</v>
      </c>
      <c r="AD195">
        <f>IF(M$6="",0,SUMIFS('Budget ed extra'!$G$7:$G$42,'Budget ed extra'!$J$7:$J$42,$A195,'Budget ed extra'!$H$7:$H$42,M$6))</f>
        <v>0</v>
      </c>
      <c r="AE195">
        <f>IF(N$6="",0,SUMIFS('Budget ed extra'!$G$7:$G$42,'Budget ed extra'!$J$7:$J$42,$A195,'Budget ed extra'!$H$7:$H$42,N$6))</f>
        <v>0</v>
      </c>
    </row>
    <row r="196">
      <c r="A196" t="n">
        <v>166</v>
      </c>
      <c r="B196">
        <f>DATE($B$2,$B$3+A196-1,1)</f>
        <v>51349.0</v>
      </c>
      <c r="C196">
        <f>IF(D196=0,N(Impostazioni!$B$6),SUMIFS('Budget ed extra'!$B$7:$B$18,'Budget ed extra'!$D$7:$D$18,D196)/COUNTIFS('Budget ed extra'!$D$7:$D$18,D196))</f>
        <v>900</v>
      </c>
      <c r="D196">
        <f>SUMPRODUCT(MAX(('Budget ed extra'!$D$7:$D$18&lt;=A196)*'Budget ed extra'!$D$7:$D$18))</f>
        <v>9</v>
      </c>
      <c r="E196">
        <f>SUMIFS('Budget ed extra'!$G$7:$G$42,'Budget ed extra'!$J$7:$J$42,A196)</f>
        <v>0</v>
      </c>
      <c r="F196">
        <f>SUM(T196:AE196)</f>
        <v>0</v>
      </c>
      <c r="G196">
        <f>MAX(0,E196-F196)</f>
        <v>0</v>
      </c>
      <c r="H196">
        <f>IF($A196&gt;=C$10,C$11,C$9)/12</f>
        <v>0.01575</v>
      </c>
      <c r="I196">
        <f>IF($A196&gt;=D$10,D$11,D$9)/12</f>
        <v>0.01825</v>
      </c>
      <c r="J196">
        <f>IF($A196&gt;=E$10,E$11,E$9)/12</f>
        <v>0.00766666666666667</v>
      </c>
      <c r="K196">
        <f>IF($A196&gt;=F$10,F$11,F$9)/12</f>
        <v>0.00533333333333333</v>
      </c>
      <c r="L196">
        <f>IF($A196&gt;=G$10,G$11,G$9)/12</f>
        <v>0</v>
      </c>
      <c r="M196">
        <f>IF($A196&gt;=H$10,H$11,H$9)/12</f>
        <v>0</v>
      </c>
      <c r="N196">
        <f>IF($A196&gt;=I$10,I$11,I$9)/12</f>
        <v>0</v>
      </c>
      <c r="O196">
        <f>IF($A196&gt;=J$10,J$11,J$9)/12</f>
        <v>0</v>
      </c>
      <c r="P196">
        <f>IF($A196&gt;=K$10,K$11,K$9)/12</f>
        <v>0</v>
      </c>
      <c r="Q196">
        <f>IF($A196&gt;=L$10,L$11,L$9)/12</f>
        <v>0</v>
      </c>
      <c r="R196">
        <f>IF($A196&gt;=M$10,M$11,M$9)/12</f>
        <v>0</v>
      </c>
      <c r="S196">
        <f>IF($A196&gt;=N$10,N$11,N$9)/12</f>
        <v>0</v>
      </c>
      <c r="T196">
        <f>IF(C$6="",0,SUMIFS('Budget ed extra'!$G$7:$G$42,'Budget ed extra'!$J$7:$J$42,$A196,'Budget ed extra'!$H$7:$H$42,C$6))</f>
        <v>0</v>
      </c>
      <c r="U196">
        <f>IF(D$6="",0,SUMIFS('Budget ed extra'!$G$7:$G$42,'Budget ed extra'!$J$7:$J$42,$A196,'Budget ed extra'!$H$7:$H$42,D$6))</f>
        <v>0</v>
      </c>
      <c r="V196">
        <f>IF(E$6="",0,SUMIFS('Budget ed extra'!$G$7:$G$42,'Budget ed extra'!$J$7:$J$42,$A196,'Budget ed extra'!$H$7:$H$42,E$6))</f>
        <v>0</v>
      </c>
      <c r="W196">
        <f>IF(F$6="",0,SUMIFS('Budget ed extra'!$G$7:$G$42,'Budget ed extra'!$J$7:$J$42,$A196,'Budget ed extra'!$H$7:$H$42,F$6))</f>
        <v>0</v>
      </c>
      <c r="X196">
        <f>IF(G$6="",0,SUMIFS('Budget ed extra'!$G$7:$G$42,'Budget ed extra'!$J$7:$J$42,$A196,'Budget ed extra'!$H$7:$H$42,G$6))</f>
        <v>0</v>
      </c>
      <c r="Y196">
        <f>IF(H$6="",0,SUMIFS('Budget ed extra'!$G$7:$G$42,'Budget ed extra'!$J$7:$J$42,$A196,'Budget ed extra'!$H$7:$H$42,H$6))</f>
        <v>0</v>
      </c>
      <c r="Z196">
        <f>IF(I$6="",0,SUMIFS('Budget ed extra'!$G$7:$G$42,'Budget ed extra'!$J$7:$J$42,$A196,'Budget ed extra'!$H$7:$H$42,I$6))</f>
        <v>0</v>
      </c>
      <c r="AA196">
        <f>IF(J$6="",0,SUMIFS('Budget ed extra'!$G$7:$G$42,'Budget ed extra'!$J$7:$J$42,$A196,'Budget ed extra'!$H$7:$H$42,J$6))</f>
        <v>0</v>
      </c>
      <c r="AB196">
        <f>IF(K$6="",0,SUMIFS('Budget ed extra'!$G$7:$G$42,'Budget ed extra'!$J$7:$J$42,$A196,'Budget ed extra'!$H$7:$H$42,K$6))</f>
        <v>0</v>
      </c>
      <c r="AC196">
        <f>IF(L$6="",0,SUMIFS('Budget ed extra'!$G$7:$G$42,'Budget ed extra'!$J$7:$J$42,$A196,'Budget ed extra'!$H$7:$H$42,L$6))</f>
        <v>0</v>
      </c>
      <c r="AD196">
        <f>IF(M$6="",0,SUMIFS('Budget ed extra'!$G$7:$G$42,'Budget ed extra'!$J$7:$J$42,$A196,'Budget ed extra'!$H$7:$H$42,M$6))</f>
        <v>0</v>
      </c>
      <c r="AE196">
        <f>IF(N$6="",0,SUMIFS('Budget ed extra'!$G$7:$G$42,'Budget ed extra'!$J$7:$J$42,$A196,'Budget ed extra'!$H$7:$H$42,N$6))</f>
        <v>0</v>
      </c>
    </row>
    <row r="197">
      <c r="A197" t="n">
        <v>167</v>
      </c>
      <c r="B197">
        <f>DATE($B$2,$B$3+A197-1,1)</f>
        <v>51380.0</v>
      </c>
      <c r="C197">
        <f>IF(D197=0,N(Impostazioni!$B$6),SUMIFS('Budget ed extra'!$B$7:$B$18,'Budget ed extra'!$D$7:$D$18,D197)/COUNTIFS('Budget ed extra'!$D$7:$D$18,D197))</f>
        <v>900</v>
      </c>
      <c r="D197">
        <f>SUMPRODUCT(MAX(('Budget ed extra'!$D$7:$D$18&lt;=A197)*'Budget ed extra'!$D$7:$D$18))</f>
        <v>9</v>
      </c>
      <c r="E197">
        <f>SUMIFS('Budget ed extra'!$G$7:$G$42,'Budget ed extra'!$J$7:$J$42,A197)</f>
        <v>0</v>
      </c>
      <c r="F197">
        <f>SUM(T197:AE197)</f>
        <v>0</v>
      </c>
      <c r="G197">
        <f>MAX(0,E197-F197)</f>
        <v>0</v>
      </c>
      <c r="H197">
        <f>IF($A197&gt;=C$10,C$11,C$9)/12</f>
        <v>0.01575</v>
      </c>
      <c r="I197">
        <f>IF($A197&gt;=D$10,D$11,D$9)/12</f>
        <v>0.01825</v>
      </c>
      <c r="J197">
        <f>IF($A197&gt;=E$10,E$11,E$9)/12</f>
        <v>0.00766666666666667</v>
      </c>
      <c r="K197">
        <f>IF($A197&gt;=F$10,F$11,F$9)/12</f>
        <v>0.00533333333333333</v>
      </c>
      <c r="L197">
        <f>IF($A197&gt;=G$10,G$11,G$9)/12</f>
        <v>0</v>
      </c>
      <c r="M197">
        <f>IF($A197&gt;=H$10,H$11,H$9)/12</f>
        <v>0</v>
      </c>
      <c r="N197">
        <f>IF($A197&gt;=I$10,I$11,I$9)/12</f>
        <v>0</v>
      </c>
      <c r="O197">
        <f>IF($A197&gt;=J$10,J$11,J$9)/12</f>
        <v>0</v>
      </c>
      <c r="P197">
        <f>IF($A197&gt;=K$10,K$11,K$9)/12</f>
        <v>0</v>
      </c>
      <c r="Q197">
        <f>IF($A197&gt;=L$10,L$11,L$9)/12</f>
        <v>0</v>
      </c>
      <c r="R197">
        <f>IF($A197&gt;=M$10,M$11,M$9)/12</f>
        <v>0</v>
      </c>
      <c r="S197">
        <f>IF($A197&gt;=N$10,N$11,N$9)/12</f>
        <v>0</v>
      </c>
      <c r="T197">
        <f>IF(C$6="",0,SUMIFS('Budget ed extra'!$G$7:$G$42,'Budget ed extra'!$J$7:$J$42,$A197,'Budget ed extra'!$H$7:$H$42,C$6))</f>
        <v>0</v>
      </c>
      <c r="U197">
        <f>IF(D$6="",0,SUMIFS('Budget ed extra'!$G$7:$G$42,'Budget ed extra'!$J$7:$J$42,$A197,'Budget ed extra'!$H$7:$H$42,D$6))</f>
        <v>0</v>
      </c>
      <c r="V197">
        <f>IF(E$6="",0,SUMIFS('Budget ed extra'!$G$7:$G$42,'Budget ed extra'!$J$7:$J$42,$A197,'Budget ed extra'!$H$7:$H$42,E$6))</f>
        <v>0</v>
      </c>
      <c r="W197">
        <f>IF(F$6="",0,SUMIFS('Budget ed extra'!$G$7:$G$42,'Budget ed extra'!$J$7:$J$42,$A197,'Budget ed extra'!$H$7:$H$42,F$6))</f>
        <v>0</v>
      </c>
      <c r="X197">
        <f>IF(G$6="",0,SUMIFS('Budget ed extra'!$G$7:$G$42,'Budget ed extra'!$J$7:$J$42,$A197,'Budget ed extra'!$H$7:$H$42,G$6))</f>
        <v>0</v>
      </c>
      <c r="Y197">
        <f>IF(H$6="",0,SUMIFS('Budget ed extra'!$G$7:$G$42,'Budget ed extra'!$J$7:$J$42,$A197,'Budget ed extra'!$H$7:$H$42,H$6))</f>
        <v>0</v>
      </c>
      <c r="Z197">
        <f>IF(I$6="",0,SUMIFS('Budget ed extra'!$G$7:$G$42,'Budget ed extra'!$J$7:$J$42,$A197,'Budget ed extra'!$H$7:$H$42,I$6))</f>
        <v>0</v>
      </c>
      <c r="AA197">
        <f>IF(J$6="",0,SUMIFS('Budget ed extra'!$G$7:$G$42,'Budget ed extra'!$J$7:$J$42,$A197,'Budget ed extra'!$H$7:$H$42,J$6))</f>
        <v>0</v>
      </c>
      <c r="AB197">
        <f>IF(K$6="",0,SUMIFS('Budget ed extra'!$G$7:$G$42,'Budget ed extra'!$J$7:$J$42,$A197,'Budget ed extra'!$H$7:$H$42,K$6))</f>
        <v>0</v>
      </c>
      <c r="AC197">
        <f>IF(L$6="",0,SUMIFS('Budget ed extra'!$G$7:$G$42,'Budget ed extra'!$J$7:$J$42,$A197,'Budget ed extra'!$H$7:$H$42,L$6))</f>
        <v>0</v>
      </c>
      <c r="AD197">
        <f>IF(M$6="",0,SUMIFS('Budget ed extra'!$G$7:$G$42,'Budget ed extra'!$J$7:$J$42,$A197,'Budget ed extra'!$H$7:$H$42,M$6))</f>
        <v>0</v>
      </c>
      <c r="AE197">
        <f>IF(N$6="",0,SUMIFS('Budget ed extra'!$G$7:$G$42,'Budget ed extra'!$J$7:$J$42,$A197,'Budget ed extra'!$H$7:$H$42,N$6))</f>
        <v>0</v>
      </c>
    </row>
    <row r="198">
      <c r="A198" t="n">
        <v>168</v>
      </c>
      <c r="B198">
        <f>DATE($B$2,$B$3+A198-1,1)</f>
        <v>51410.0</v>
      </c>
      <c r="C198">
        <f>IF(D198=0,N(Impostazioni!$B$6),SUMIFS('Budget ed extra'!$B$7:$B$18,'Budget ed extra'!$D$7:$D$18,D198)/COUNTIFS('Budget ed extra'!$D$7:$D$18,D198))</f>
        <v>900</v>
      </c>
      <c r="D198">
        <f>SUMPRODUCT(MAX(('Budget ed extra'!$D$7:$D$18&lt;=A198)*'Budget ed extra'!$D$7:$D$18))</f>
        <v>9</v>
      </c>
      <c r="E198">
        <f>SUMIFS('Budget ed extra'!$G$7:$G$42,'Budget ed extra'!$J$7:$J$42,A198)</f>
        <v>0</v>
      </c>
      <c r="F198">
        <f>SUM(T198:AE198)</f>
        <v>0</v>
      </c>
      <c r="G198">
        <f>MAX(0,E198-F198)</f>
        <v>0</v>
      </c>
      <c r="H198">
        <f>IF($A198&gt;=C$10,C$11,C$9)/12</f>
        <v>0.01575</v>
      </c>
      <c r="I198">
        <f>IF($A198&gt;=D$10,D$11,D$9)/12</f>
        <v>0.01825</v>
      </c>
      <c r="J198">
        <f>IF($A198&gt;=E$10,E$11,E$9)/12</f>
        <v>0.00766666666666667</v>
      </c>
      <c r="K198">
        <f>IF($A198&gt;=F$10,F$11,F$9)/12</f>
        <v>0.00533333333333333</v>
      </c>
      <c r="L198">
        <f>IF($A198&gt;=G$10,G$11,G$9)/12</f>
        <v>0</v>
      </c>
      <c r="M198">
        <f>IF($A198&gt;=H$10,H$11,H$9)/12</f>
        <v>0</v>
      </c>
      <c r="N198">
        <f>IF($A198&gt;=I$10,I$11,I$9)/12</f>
        <v>0</v>
      </c>
      <c r="O198">
        <f>IF($A198&gt;=J$10,J$11,J$9)/12</f>
        <v>0</v>
      </c>
      <c r="P198">
        <f>IF($A198&gt;=K$10,K$11,K$9)/12</f>
        <v>0</v>
      </c>
      <c r="Q198">
        <f>IF($A198&gt;=L$10,L$11,L$9)/12</f>
        <v>0</v>
      </c>
      <c r="R198">
        <f>IF($A198&gt;=M$10,M$11,M$9)/12</f>
        <v>0</v>
      </c>
      <c r="S198">
        <f>IF($A198&gt;=N$10,N$11,N$9)/12</f>
        <v>0</v>
      </c>
      <c r="T198">
        <f>IF(C$6="",0,SUMIFS('Budget ed extra'!$G$7:$G$42,'Budget ed extra'!$J$7:$J$42,$A198,'Budget ed extra'!$H$7:$H$42,C$6))</f>
        <v>0</v>
      </c>
      <c r="U198">
        <f>IF(D$6="",0,SUMIFS('Budget ed extra'!$G$7:$G$42,'Budget ed extra'!$J$7:$J$42,$A198,'Budget ed extra'!$H$7:$H$42,D$6))</f>
        <v>0</v>
      </c>
      <c r="V198">
        <f>IF(E$6="",0,SUMIFS('Budget ed extra'!$G$7:$G$42,'Budget ed extra'!$J$7:$J$42,$A198,'Budget ed extra'!$H$7:$H$42,E$6))</f>
        <v>0</v>
      </c>
      <c r="W198">
        <f>IF(F$6="",0,SUMIFS('Budget ed extra'!$G$7:$G$42,'Budget ed extra'!$J$7:$J$42,$A198,'Budget ed extra'!$H$7:$H$42,F$6))</f>
        <v>0</v>
      </c>
      <c r="X198">
        <f>IF(G$6="",0,SUMIFS('Budget ed extra'!$G$7:$G$42,'Budget ed extra'!$J$7:$J$42,$A198,'Budget ed extra'!$H$7:$H$42,G$6))</f>
        <v>0</v>
      </c>
      <c r="Y198">
        <f>IF(H$6="",0,SUMIFS('Budget ed extra'!$G$7:$G$42,'Budget ed extra'!$J$7:$J$42,$A198,'Budget ed extra'!$H$7:$H$42,H$6))</f>
        <v>0</v>
      </c>
      <c r="Z198">
        <f>IF(I$6="",0,SUMIFS('Budget ed extra'!$G$7:$G$42,'Budget ed extra'!$J$7:$J$42,$A198,'Budget ed extra'!$H$7:$H$42,I$6))</f>
        <v>0</v>
      </c>
      <c r="AA198">
        <f>IF(J$6="",0,SUMIFS('Budget ed extra'!$G$7:$G$42,'Budget ed extra'!$J$7:$J$42,$A198,'Budget ed extra'!$H$7:$H$42,J$6))</f>
        <v>0</v>
      </c>
      <c r="AB198">
        <f>IF(K$6="",0,SUMIFS('Budget ed extra'!$G$7:$G$42,'Budget ed extra'!$J$7:$J$42,$A198,'Budget ed extra'!$H$7:$H$42,K$6))</f>
        <v>0</v>
      </c>
      <c r="AC198">
        <f>IF(L$6="",0,SUMIFS('Budget ed extra'!$G$7:$G$42,'Budget ed extra'!$J$7:$J$42,$A198,'Budget ed extra'!$H$7:$H$42,L$6))</f>
        <v>0</v>
      </c>
      <c r="AD198">
        <f>IF(M$6="",0,SUMIFS('Budget ed extra'!$G$7:$G$42,'Budget ed extra'!$J$7:$J$42,$A198,'Budget ed extra'!$H$7:$H$42,M$6))</f>
        <v>0</v>
      </c>
      <c r="AE198">
        <f>IF(N$6="",0,SUMIFS('Budget ed extra'!$G$7:$G$42,'Budget ed extra'!$J$7:$J$42,$A198,'Budget ed extra'!$H$7:$H$42,N$6))</f>
        <v>0</v>
      </c>
    </row>
    <row r="199">
      <c r="A199" t="n">
        <v>169</v>
      </c>
      <c r="B199">
        <f>DATE($B$2,$B$3+A199-1,1)</f>
        <v>51441.0</v>
      </c>
      <c r="C199">
        <f>IF(D199=0,N(Impostazioni!$B$6),SUMIFS('Budget ed extra'!$B$7:$B$18,'Budget ed extra'!$D$7:$D$18,D199)/COUNTIFS('Budget ed extra'!$D$7:$D$18,D199))</f>
        <v>900</v>
      </c>
      <c r="D199">
        <f>SUMPRODUCT(MAX(('Budget ed extra'!$D$7:$D$18&lt;=A199)*'Budget ed extra'!$D$7:$D$18))</f>
        <v>9</v>
      </c>
      <c r="E199">
        <f>SUMIFS('Budget ed extra'!$G$7:$G$42,'Budget ed extra'!$J$7:$J$42,A199)</f>
        <v>0</v>
      </c>
      <c r="F199">
        <f>SUM(T199:AE199)</f>
        <v>0</v>
      </c>
      <c r="G199">
        <f>MAX(0,E199-F199)</f>
        <v>0</v>
      </c>
      <c r="H199">
        <f>IF($A199&gt;=C$10,C$11,C$9)/12</f>
        <v>0.01575</v>
      </c>
      <c r="I199">
        <f>IF($A199&gt;=D$10,D$11,D$9)/12</f>
        <v>0.01825</v>
      </c>
      <c r="J199">
        <f>IF($A199&gt;=E$10,E$11,E$9)/12</f>
        <v>0.00766666666666667</v>
      </c>
      <c r="K199">
        <f>IF($A199&gt;=F$10,F$11,F$9)/12</f>
        <v>0.00533333333333333</v>
      </c>
      <c r="L199">
        <f>IF($A199&gt;=G$10,G$11,G$9)/12</f>
        <v>0</v>
      </c>
      <c r="M199">
        <f>IF($A199&gt;=H$10,H$11,H$9)/12</f>
        <v>0</v>
      </c>
      <c r="N199">
        <f>IF($A199&gt;=I$10,I$11,I$9)/12</f>
        <v>0</v>
      </c>
      <c r="O199">
        <f>IF($A199&gt;=J$10,J$11,J$9)/12</f>
        <v>0</v>
      </c>
      <c r="P199">
        <f>IF($A199&gt;=K$10,K$11,K$9)/12</f>
        <v>0</v>
      </c>
      <c r="Q199">
        <f>IF($A199&gt;=L$10,L$11,L$9)/12</f>
        <v>0</v>
      </c>
      <c r="R199">
        <f>IF($A199&gt;=M$10,M$11,M$9)/12</f>
        <v>0</v>
      </c>
      <c r="S199">
        <f>IF($A199&gt;=N$10,N$11,N$9)/12</f>
        <v>0</v>
      </c>
      <c r="T199">
        <f>IF(C$6="",0,SUMIFS('Budget ed extra'!$G$7:$G$42,'Budget ed extra'!$J$7:$J$42,$A199,'Budget ed extra'!$H$7:$H$42,C$6))</f>
        <v>0</v>
      </c>
      <c r="U199">
        <f>IF(D$6="",0,SUMIFS('Budget ed extra'!$G$7:$G$42,'Budget ed extra'!$J$7:$J$42,$A199,'Budget ed extra'!$H$7:$H$42,D$6))</f>
        <v>0</v>
      </c>
      <c r="V199">
        <f>IF(E$6="",0,SUMIFS('Budget ed extra'!$G$7:$G$42,'Budget ed extra'!$J$7:$J$42,$A199,'Budget ed extra'!$H$7:$H$42,E$6))</f>
        <v>0</v>
      </c>
      <c r="W199">
        <f>IF(F$6="",0,SUMIFS('Budget ed extra'!$G$7:$G$42,'Budget ed extra'!$J$7:$J$42,$A199,'Budget ed extra'!$H$7:$H$42,F$6))</f>
        <v>0</v>
      </c>
      <c r="X199">
        <f>IF(G$6="",0,SUMIFS('Budget ed extra'!$G$7:$G$42,'Budget ed extra'!$J$7:$J$42,$A199,'Budget ed extra'!$H$7:$H$42,G$6))</f>
        <v>0</v>
      </c>
      <c r="Y199">
        <f>IF(H$6="",0,SUMIFS('Budget ed extra'!$G$7:$G$42,'Budget ed extra'!$J$7:$J$42,$A199,'Budget ed extra'!$H$7:$H$42,H$6))</f>
        <v>0</v>
      </c>
      <c r="Z199">
        <f>IF(I$6="",0,SUMIFS('Budget ed extra'!$G$7:$G$42,'Budget ed extra'!$J$7:$J$42,$A199,'Budget ed extra'!$H$7:$H$42,I$6))</f>
        <v>0</v>
      </c>
      <c r="AA199">
        <f>IF(J$6="",0,SUMIFS('Budget ed extra'!$G$7:$G$42,'Budget ed extra'!$J$7:$J$42,$A199,'Budget ed extra'!$H$7:$H$42,J$6))</f>
        <v>0</v>
      </c>
      <c r="AB199">
        <f>IF(K$6="",0,SUMIFS('Budget ed extra'!$G$7:$G$42,'Budget ed extra'!$J$7:$J$42,$A199,'Budget ed extra'!$H$7:$H$42,K$6))</f>
        <v>0</v>
      </c>
      <c r="AC199">
        <f>IF(L$6="",0,SUMIFS('Budget ed extra'!$G$7:$G$42,'Budget ed extra'!$J$7:$J$42,$A199,'Budget ed extra'!$H$7:$H$42,L$6))</f>
        <v>0</v>
      </c>
      <c r="AD199">
        <f>IF(M$6="",0,SUMIFS('Budget ed extra'!$G$7:$G$42,'Budget ed extra'!$J$7:$J$42,$A199,'Budget ed extra'!$H$7:$H$42,M$6))</f>
        <v>0</v>
      </c>
      <c r="AE199">
        <f>IF(N$6="",0,SUMIFS('Budget ed extra'!$G$7:$G$42,'Budget ed extra'!$J$7:$J$42,$A199,'Budget ed extra'!$H$7:$H$42,N$6))</f>
        <v>0</v>
      </c>
    </row>
    <row r="200">
      <c r="A200" t="n">
        <v>170</v>
      </c>
      <c r="B200">
        <f>DATE($B$2,$B$3+A200-1,1)</f>
        <v>51471.0</v>
      </c>
      <c r="C200">
        <f>IF(D200=0,N(Impostazioni!$B$6),SUMIFS('Budget ed extra'!$B$7:$B$18,'Budget ed extra'!$D$7:$D$18,D200)/COUNTIFS('Budget ed extra'!$D$7:$D$18,D200))</f>
        <v>900</v>
      </c>
      <c r="D200">
        <f>SUMPRODUCT(MAX(('Budget ed extra'!$D$7:$D$18&lt;=A200)*'Budget ed extra'!$D$7:$D$18))</f>
        <v>9</v>
      </c>
      <c r="E200">
        <f>SUMIFS('Budget ed extra'!$G$7:$G$42,'Budget ed extra'!$J$7:$J$42,A200)</f>
        <v>0</v>
      </c>
      <c r="F200">
        <f>SUM(T200:AE200)</f>
        <v>0</v>
      </c>
      <c r="G200">
        <f>MAX(0,E200-F200)</f>
        <v>0</v>
      </c>
      <c r="H200">
        <f>IF($A200&gt;=C$10,C$11,C$9)/12</f>
        <v>0.01575</v>
      </c>
      <c r="I200">
        <f>IF($A200&gt;=D$10,D$11,D$9)/12</f>
        <v>0.01825</v>
      </c>
      <c r="J200">
        <f>IF($A200&gt;=E$10,E$11,E$9)/12</f>
        <v>0.00766666666666667</v>
      </c>
      <c r="K200">
        <f>IF($A200&gt;=F$10,F$11,F$9)/12</f>
        <v>0.00533333333333333</v>
      </c>
      <c r="L200">
        <f>IF($A200&gt;=G$10,G$11,G$9)/12</f>
        <v>0</v>
      </c>
      <c r="M200">
        <f>IF($A200&gt;=H$10,H$11,H$9)/12</f>
        <v>0</v>
      </c>
      <c r="N200">
        <f>IF($A200&gt;=I$10,I$11,I$9)/12</f>
        <v>0</v>
      </c>
      <c r="O200">
        <f>IF($A200&gt;=J$10,J$11,J$9)/12</f>
        <v>0</v>
      </c>
      <c r="P200">
        <f>IF($A200&gt;=K$10,K$11,K$9)/12</f>
        <v>0</v>
      </c>
      <c r="Q200">
        <f>IF($A200&gt;=L$10,L$11,L$9)/12</f>
        <v>0</v>
      </c>
      <c r="R200">
        <f>IF($A200&gt;=M$10,M$11,M$9)/12</f>
        <v>0</v>
      </c>
      <c r="S200">
        <f>IF($A200&gt;=N$10,N$11,N$9)/12</f>
        <v>0</v>
      </c>
      <c r="T200">
        <f>IF(C$6="",0,SUMIFS('Budget ed extra'!$G$7:$G$42,'Budget ed extra'!$J$7:$J$42,$A200,'Budget ed extra'!$H$7:$H$42,C$6))</f>
        <v>0</v>
      </c>
      <c r="U200">
        <f>IF(D$6="",0,SUMIFS('Budget ed extra'!$G$7:$G$42,'Budget ed extra'!$J$7:$J$42,$A200,'Budget ed extra'!$H$7:$H$42,D$6))</f>
        <v>0</v>
      </c>
      <c r="V200">
        <f>IF(E$6="",0,SUMIFS('Budget ed extra'!$G$7:$G$42,'Budget ed extra'!$J$7:$J$42,$A200,'Budget ed extra'!$H$7:$H$42,E$6))</f>
        <v>0</v>
      </c>
      <c r="W200">
        <f>IF(F$6="",0,SUMIFS('Budget ed extra'!$G$7:$G$42,'Budget ed extra'!$J$7:$J$42,$A200,'Budget ed extra'!$H$7:$H$42,F$6))</f>
        <v>0</v>
      </c>
      <c r="X200">
        <f>IF(G$6="",0,SUMIFS('Budget ed extra'!$G$7:$G$42,'Budget ed extra'!$J$7:$J$42,$A200,'Budget ed extra'!$H$7:$H$42,G$6))</f>
        <v>0</v>
      </c>
      <c r="Y200">
        <f>IF(H$6="",0,SUMIFS('Budget ed extra'!$G$7:$G$42,'Budget ed extra'!$J$7:$J$42,$A200,'Budget ed extra'!$H$7:$H$42,H$6))</f>
        <v>0</v>
      </c>
      <c r="Z200">
        <f>IF(I$6="",0,SUMIFS('Budget ed extra'!$G$7:$G$42,'Budget ed extra'!$J$7:$J$42,$A200,'Budget ed extra'!$H$7:$H$42,I$6))</f>
        <v>0</v>
      </c>
      <c r="AA200">
        <f>IF(J$6="",0,SUMIFS('Budget ed extra'!$G$7:$G$42,'Budget ed extra'!$J$7:$J$42,$A200,'Budget ed extra'!$H$7:$H$42,J$6))</f>
        <v>0</v>
      </c>
      <c r="AB200">
        <f>IF(K$6="",0,SUMIFS('Budget ed extra'!$G$7:$G$42,'Budget ed extra'!$J$7:$J$42,$A200,'Budget ed extra'!$H$7:$H$42,K$6))</f>
        <v>0</v>
      </c>
      <c r="AC200">
        <f>IF(L$6="",0,SUMIFS('Budget ed extra'!$G$7:$G$42,'Budget ed extra'!$J$7:$J$42,$A200,'Budget ed extra'!$H$7:$H$42,L$6))</f>
        <v>0</v>
      </c>
      <c r="AD200">
        <f>IF(M$6="",0,SUMIFS('Budget ed extra'!$G$7:$G$42,'Budget ed extra'!$J$7:$J$42,$A200,'Budget ed extra'!$H$7:$H$42,M$6))</f>
        <v>0</v>
      </c>
      <c r="AE200">
        <f>IF(N$6="",0,SUMIFS('Budget ed extra'!$G$7:$G$42,'Budget ed extra'!$J$7:$J$42,$A200,'Budget ed extra'!$H$7:$H$42,N$6))</f>
        <v>0</v>
      </c>
    </row>
    <row r="201">
      <c r="A201" t="n">
        <v>171</v>
      </c>
      <c r="B201">
        <f>DATE($B$2,$B$3+A201-1,1)</f>
        <v>51502.0</v>
      </c>
      <c r="C201">
        <f>IF(D201=0,N(Impostazioni!$B$6),SUMIFS('Budget ed extra'!$B$7:$B$18,'Budget ed extra'!$D$7:$D$18,D201)/COUNTIFS('Budget ed extra'!$D$7:$D$18,D201))</f>
        <v>900</v>
      </c>
      <c r="D201">
        <f>SUMPRODUCT(MAX(('Budget ed extra'!$D$7:$D$18&lt;=A201)*'Budget ed extra'!$D$7:$D$18))</f>
        <v>9</v>
      </c>
      <c r="E201">
        <f>SUMIFS('Budget ed extra'!$G$7:$G$42,'Budget ed extra'!$J$7:$J$42,A201)</f>
        <v>0</v>
      </c>
      <c r="F201">
        <f>SUM(T201:AE201)</f>
        <v>0</v>
      </c>
      <c r="G201">
        <f>MAX(0,E201-F201)</f>
        <v>0</v>
      </c>
      <c r="H201">
        <f>IF($A201&gt;=C$10,C$11,C$9)/12</f>
        <v>0.01575</v>
      </c>
      <c r="I201">
        <f>IF($A201&gt;=D$10,D$11,D$9)/12</f>
        <v>0.01825</v>
      </c>
      <c r="J201">
        <f>IF($A201&gt;=E$10,E$11,E$9)/12</f>
        <v>0.00766666666666667</v>
      </c>
      <c r="K201">
        <f>IF($A201&gt;=F$10,F$11,F$9)/12</f>
        <v>0.00533333333333333</v>
      </c>
      <c r="L201">
        <f>IF($A201&gt;=G$10,G$11,G$9)/12</f>
        <v>0</v>
      </c>
      <c r="M201">
        <f>IF($A201&gt;=H$10,H$11,H$9)/12</f>
        <v>0</v>
      </c>
      <c r="N201">
        <f>IF($A201&gt;=I$10,I$11,I$9)/12</f>
        <v>0</v>
      </c>
      <c r="O201">
        <f>IF($A201&gt;=J$10,J$11,J$9)/12</f>
        <v>0</v>
      </c>
      <c r="P201">
        <f>IF($A201&gt;=K$10,K$11,K$9)/12</f>
        <v>0</v>
      </c>
      <c r="Q201">
        <f>IF($A201&gt;=L$10,L$11,L$9)/12</f>
        <v>0</v>
      </c>
      <c r="R201">
        <f>IF($A201&gt;=M$10,M$11,M$9)/12</f>
        <v>0</v>
      </c>
      <c r="S201">
        <f>IF($A201&gt;=N$10,N$11,N$9)/12</f>
        <v>0</v>
      </c>
      <c r="T201">
        <f>IF(C$6="",0,SUMIFS('Budget ed extra'!$G$7:$G$42,'Budget ed extra'!$J$7:$J$42,$A201,'Budget ed extra'!$H$7:$H$42,C$6))</f>
        <v>0</v>
      </c>
      <c r="U201">
        <f>IF(D$6="",0,SUMIFS('Budget ed extra'!$G$7:$G$42,'Budget ed extra'!$J$7:$J$42,$A201,'Budget ed extra'!$H$7:$H$42,D$6))</f>
        <v>0</v>
      </c>
      <c r="V201">
        <f>IF(E$6="",0,SUMIFS('Budget ed extra'!$G$7:$G$42,'Budget ed extra'!$J$7:$J$42,$A201,'Budget ed extra'!$H$7:$H$42,E$6))</f>
        <v>0</v>
      </c>
      <c r="W201">
        <f>IF(F$6="",0,SUMIFS('Budget ed extra'!$G$7:$G$42,'Budget ed extra'!$J$7:$J$42,$A201,'Budget ed extra'!$H$7:$H$42,F$6))</f>
        <v>0</v>
      </c>
      <c r="X201">
        <f>IF(G$6="",0,SUMIFS('Budget ed extra'!$G$7:$G$42,'Budget ed extra'!$J$7:$J$42,$A201,'Budget ed extra'!$H$7:$H$42,G$6))</f>
        <v>0</v>
      </c>
      <c r="Y201">
        <f>IF(H$6="",0,SUMIFS('Budget ed extra'!$G$7:$G$42,'Budget ed extra'!$J$7:$J$42,$A201,'Budget ed extra'!$H$7:$H$42,H$6))</f>
        <v>0</v>
      </c>
      <c r="Z201">
        <f>IF(I$6="",0,SUMIFS('Budget ed extra'!$G$7:$G$42,'Budget ed extra'!$J$7:$J$42,$A201,'Budget ed extra'!$H$7:$H$42,I$6))</f>
        <v>0</v>
      </c>
      <c r="AA201">
        <f>IF(J$6="",0,SUMIFS('Budget ed extra'!$G$7:$G$42,'Budget ed extra'!$J$7:$J$42,$A201,'Budget ed extra'!$H$7:$H$42,J$6))</f>
        <v>0</v>
      </c>
      <c r="AB201">
        <f>IF(K$6="",0,SUMIFS('Budget ed extra'!$G$7:$G$42,'Budget ed extra'!$J$7:$J$42,$A201,'Budget ed extra'!$H$7:$H$42,K$6))</f>
        <v>0</v>
      </c>
      <c r="AC201">
        <f>IF(L$6="",0,SUMIFS('Budget ed extra'!$G$7:$G$42,'Budget ed extra'!$J$7:$J$42,$A201,'Budget ed extra'!$H$7:$H$42,L$6))</f>
        <v>0</v>
      </c>
      <c r="AD201">
        <f>IF(M$6="",0,SUMIFS('Budget ed extra'!$G$7:$G$42,'Budget ed extra'!$J$7:$J$42,$A201,'Budget ed extra'!$H$7:$H$42,M$6))</f>
        <v>0</v>
      </c>
      <c r="AE201">
        <f>IF(N$6="",0,SUMIFS('Budget ed extra'!$G$7:$G$42,'Budget ed extra'!$J$7:$J$42,$A201,'Budget ed extra'!$H$7:$H$42,N$6))</f>
        <v>0</v>
      </c>
    </row>
    <row r="202">
      <c r="A202" t="n">
        <v>172</v>
      </c>
      <c r="B202">
        <f>DATE($B$2,$B$3+A202-1,1)</f>
        <v>51533.0</v>
      </c>
      <c r="C202">
        <f>IF(D202=0,N(Impostazioni!$B$6),SUMIFS('Budget ed extra'!$B$7:$B$18,'Budget ed extra'!$D$7:$D$18,D202)/COUNTIFS('Budget ed extra'!$D$7:$D$18,D202))</f>
        <v>900</v>
      </c>
      <c r="D202">
        <f>SUMPRODUCT(MAX(('Budget ed extra'!$D$7:$D$18&lt;=A202)*'Budget ed extra'!$D$7:$D$18))</f>
        <v>9</v>
      </c>
      <c r="E202">
        <f>SUMIFS('Budget ed extra'!$G$7:$G$42,'Budget ed extra'!$J$7:$J$42,A202)</f>
        <v>0</v>
      </c>
      <c r="F202">
        <f>SUM(T202:AE202)</f>
        <v>0</v>
      </c>
      <c r="G202">
        <f>MAX(0,E202-F202)</f>
        <v>0</v>
      </c>
      <c r="H202">
        <f>IF($A202&gt;=C$10,C$11,C$9)/12</f>
        <v>0.01575</v>
      </c>
      <c r="I202">
        <f>IF($A202&gt;=D$10,D$11,D$9)/12</f>
        <v>0.01825</v>
      </c>
      <c r="J202">
        <f>IF($A202&gt;=E$10,E$11,E$9)/12</f>
        <v>0.00766666666666667</v>
      </c>
      <c r="K202">
        <f>IF($A202&gt;=F$10,F$11,F$9)/12</f>
        <v>0.00533333333333333</v>
      </c>
      <c r="L202">
        <f>IF($A202&gt;=G$10,G$11,G$9)/12</f>
        <v>0</v>
      </c>
      <c r="M202">
        <f>IF($A202&gt;=H$10,H$11,H$9)/12</f>
        <v>0</v>
      </c>
      <c r="N202">
        <f>IF($A202&gt;=I$10,I$11,I$9)/12</f>
        <v>0</v>
      </c>
      <c r="O202">
        <f>IF($A202&gt;=J$10,J$11,J$9)/12</f>
        <v>0</v>
      </c>
      <c r="P202">
        <f>IF($A202&gt;=K$10,K$11,K$9)/12</f>
        <v>0</v>
      </c>
      <c r="Q202">
        <f>IF($A202&gt;=L$10,L$11,L$9)/12</f>
        <v>0</v>
      </c>
      <c r="R202">
        <f>IF($A202&gt;=M$10,M$11,M$9)/12</f>
        <v>0</v>
      </c>
      <c r="S202">
        <f>IF($A202&gt;=N$10,N$11,N$9)/12</f>
        <v>0</v>
      </c>
      <c r="T202">
        <f>IF(C$6="",0,SUMIFS('Budget ed extra'!$G$7:$G$42,'Budget ed extra'!$J$7:$J$42,$A202,'Budget ed extra'!$H$7:$H$42,C$6))</f>
        <v>0</v>
      </c>
      <c r="U202">
        <f>IF(D$6="",0,SUMIFS('Budget ed extra'!$G$7:$G$42,'Budget ed extra'!$J$7:$J$42,$A202,'Budget ed extra'!$H$7:$H$42,D$6))</f>
        <v>0</v>
      </c>
      <c r="V202">
        <f>IF(E$6="",0,SUMIFS('Budget ed extra'!$G$7:$G$42,'Budget ed extra'!$J$7:$J$42,$A202,'Budget ed extra'!$H$7:$H$42,E$6))</f>
        <v>0</v>
      </c>
      <c r="W202">
        <f>IF(F$6="",0,SUMIFS('Budget ed extra'!$G$7:$G$42,'Budget ed extra'!$J$7:$J$42,$A202,'Budget ed extra'!$H$7:$H$42,F$6))</f>
        <v>0</v>
      </c>
      <c r="X202">
        <f>IF(G$6="",0,SUMIFS('Budget ed extra'!$G$7:$G$42,'Budget ed extra'!$J$7:$J$42,$A202,'Budget ed extra'!$H$7:$H$42,G$6))</f>
        <v>0</v>
      </c>
      <c r="Y202">
        <f>IF(H$6="",0,SUMIFS('Budget ed extra'!$G$7:$G$42,'Budget ed extra'!$J$7:$J$42,$A202,'Budget ed extra'!$H$7:$H$42,H$6))</f>
        <v>0</v>
      </c>
      <c r="Z202">
        <f>IF(I$6="",0,SUMIFS('Budget ed extra'!$G$7:$G$42,'Budget ed extra'!$J$7:$J$42,$A202,'Budget ed extra'!$H$7:$H$42,I$6))</f>
        <v>0</v>
      </c>
      <c r="AA202">
        <f>IF(J$6="",0,SUMIFS('Budget ed extra'!$G$7:$G$42,'Budget ed extra'!$J$7:$J$42,$A202,'Budget ed extra'!$H$7:$H$42,J$6))</f>
        <v>0</v>
      </c>
      <c r="AB202">
        <f>IF(K$6="",0,SUMIFS('Budget ed extra'!$G$7:$G$42,'Budget ed extra'!$J$7:$J$42,$A202,'Budget ed extra'!$H$7:$H$42,K$6))</f>
        <v>0</v>
      </c>
      <c r="AC202">
        <f>IF(L$6="",0,SUMIFS('Budget ed extra'!$G$7:$G$42,'Budget ed extra'!$J$7:$J$42,$A202,'Budget ed extra'!$H$7:$H$42,L$6))</f>
        <v>0</v>
      </c>
      <c r="AD202">
        <f>IF(M$6="",0,SUMIFS('Budget ed extra'!$G$7:$G$42,'Budget ed extra'!$J$7:$J$42,$A202,'Budget ed extra'!$H$7:$H$42,M$6))</f>
        <v>0</v>
      </c>
      <c r="AE202">
        <f>IF(N$6="",0,SUMIFS('Budget ed extra'!$G$7:$G$42,'Budget ed extra'!$J$7:$J$42,$A202,'Budget ed extra'!$H$7:$H$42,N$6))</f>
        <v>0</v>
      </c>
    </row>
    <row r="203">
      <c r="A203" t="n">
        <v>173</v>
      </c>
      <c r="B203">
        <f>DATE($B$2,$B$3+A203-1,1)</f>
        <v>51561.0</v>
      </c>
      <c r="C203">
        <f>IF(D203=0,N(Impostazioni!$B$6),SUMIFS('Budget ed extra'!$B$7:$B$18,'Budget ed extra'!$D$7:$D$18,D203)/COUNTIFS('Budget ed extra'!$D$7:$D$18,D203))</f>
        <v>900</v>
      </c>
      <c r="D203">
        <f>SUMPRODUCT(MAX(('Budget ed extra'!$D$7:$D$18&lt;=A203)*'Budget ed extra'!$D$7:$D$18))</f>
        <v>9</v>
      </c>
      <c r="E203">
        <f>SUMIFS('Budget ed extra'!$G$7:$G$42,'Budget ed extra'!$J$7:$J$42,A203)</f>
        <v>0</v>
      </c>
      <c r="F203">
        <f>SUM(T203:AE203)</f>
        <v>0</v>
      </c>
      <c r="G203">
        <f>MAX(0,E203-F203)</f>
        <v>0</v>
      </c>
      <c r="H203">
        <f>IF($A203&gt;=C$10,C$11,C$9)/12</f>
        <v>0.01575</v>
      </c>
      <c r="I203">
        <f>IF($A203&gt;=D$10,D$11,D$9)/12</f>
        <v>0.01825</v>
      </c>
      <c r="J203">
        <f>IF($A203&gt;=E$10,E$11,E$9)/12</f>
        <v>0.00766666666666667</v>
      </c>
      <c r="K203">
        <f>IF($A203&gt;=F$10,F$11,F$9)/12</f>
        <v>0.00533333333333333</v>
      </c>
      <c r="L203">
        <f>IF($A203&gt;=G$10,G$11,G$9)/12</f>
        <v>0</v>
      </c>
      <c r="M203">
        <f>IF($A203&gt;=H$10,H$11,H$9)/12</f>
        <v>0</v>
      </c>
      <c r="N203">
        <f>IF($A203&gt;=I$10,I$11,I$9)/12</f>
        <v>0</v>
      </c>
      <c r="O203">
        <f>IF($A203&gt;=J$10,J$11,J$9)/12</f>
        <v>0</v>
      </c>
      <c r="P203">
        <f>IF($A203&gt;=K$10,K$11,K$9)/12</f>
        <v>0</v>
      </c>
      <c r="Q203">
        <f>IF($A203&gt;=L$10,L$11,L$9)/12</f>
        <v>0</v>
      </c>
      <c r="R203">
        <f>IF($A203&gt;=M$10,M$11,M$9)/12</f>
        <v>0</v>
      </c>
      <c r="S203">
        <f>IF($A203&gt;=N$10,N$11,N$9)/12</f>
        <v>0</v>
      </c>
      <c r="T203">
        <f>IF(C$6="",0,SUMIFS('Budget ed extra'!$G$7:$G$42,'Budget ed extra'!$J$7:$J$42,$A203,'Budget ed extra'!$H$7:$H$42,C$6))</f>
        <v>0</v>
      </c>
      <c r="U203">
        <f>IF(D$6="",0,SUMIFS('Budget ed extra'!$G$7:$G$42,'Budget ed extra'!$J$7:$J$42,$A203,'Budget ed extra'!$H$7:$H$42,D$6))</f>
        <v>0</v>
      </c>
      <c r="V203">
        <f>IF(E$6="",0,SUMIFS('Budget ed extra'!$G$7:$G$42,'Budget ed extra'!$J$7:$J$42,$A203,'Budget ed extra'!$H$7:$H$42,E$6))</f>
        <v>0</v>
      </c>
      <c r="W203">
        <f>IF(F$6="",0,SUMIFS('Budget ed extra'!$G$7:$G$42,'Budget ed extra'!$J$7:$J$42,$A203,'Budget ed extra'!$H$7:$H$42,F$6))</f>
        <v>0</v>
      </c>
      <c r="X203">
        <f>IF(G$6="",0,SUMIFS('Budget ed extra'!$G$7:$G$42,'Budget ed extra'!$J$7:$J$42,$A203,'Budget ed extra'!$H$7:$H$42,G$6))</f>
        <v>0</v>
      </c>
      <c r="Y203">
        <f>IF(H$6="",0,SUMIFS('Budget ed extra'!$G$7:$G$42,'Budget ed extra'!$J$7:$J$42,$A203,'Budget ed extra'!$H$7:$H$42,H$6))</f>
        <v>0</v>
      </c>
      <c r="Z203">
        <f>IF(I$6="",0,SUMIFS('Budget ed extra'!$G$7:$G$42,'Budget ed extra'!$J$7:$J$42,$A203,'Budget ed extra'!$H$7:$H$42,I$6))</f>
        <v>0</v>
      </c>
      <c r="AA203">
        <f>IF(J$6="",0,SUMIFS('Budget ed extra'!$G$7:$G$42,'Budget ed extra'!$J$7:$J$42,$A203,'Budget ed extra'!$H$7:$H$42,J$6))</f>
        <v>0</v>
      </c>
      <c r="AB203">
        <f>IF(K$6="",0,SUMIFS('Budget ed extra'!$G$7:$G$42,'Budget ed extra'!$J$7:$J$42,$A203,'Budget ed extra'!$H$7:$H$42,K$6))</f>
        <v>0</v>
      </c>
      <c r="AC203">
        <f>IF(L$6="",0,SUMIFS('Budget ed extra'!$G$7:$G$42,'Budget ed extra'!$J$7:$J$42,$A203,'Budget ed extra'!$H$7:$H$42,L$6))</f>
        <v>0</v>
      </c>
      <c r="AD203">
        <f>IF(M$6="",0,SUMIFS('Budget ed extra'!$G$7:$G$42,'Budget ed extra'!$J$7:$J$42,$A203,'Budget ed extra'!$H$7:$H$42,M$6))</f>
        <v>0</v>
      </c>
      <c r="AE203">
        <f>IF(N$6="",0,SUMIFS('Budget ed extra'!$G$7:$G$42,'Budget ed extra'!$J$7:$J$42,$A203,'Budget ed extra'!$H$7:$H$42,N$6))</f>
        <v>0</v>
      </c>
    </row>
    <row r="204">
      <c r="A204" t="n">
        <v>174</v>
      </c>
      <c r="B204">
        <f>DATE($B$2,$B$3+A204-1,1)</f>
        <v>51592.0</v>
      </c>
      <c r="C204">
        <f>IF(D204=0,N(Impostazioni!$B$6),SUMIFS('Budget ed extra'!$B$7:$B$18,'Budget ed extra'!$D$7:$D$18,D204)/COUNTIFS('Budget ed extra'!$D$7:$D$18,D204))</f>
        <v>900</v>
      </c>
      <c r="D204">
        <f>SUMPRODUCT(MAX(('Budget ed extra'!$D$7:$D$18&lt;=A204)*'Budget ed extra'!$D$7:$D$18))</f>
        <v>9</v>
      </c>
      <c r="E204">
        <f>SUMIFS('Budget ed extra'!$G$7:$G$42,'Budget ed extra'!$J$7:$J$42,A204)</f>
        <v>0</v>
      </c>
      <c r="F204">
        <f>SUM(T204:AE204)</f>
        <v>0</v>
      </c>
      <c r="G204">
        <f>MAX(0,E204-F204)</f>
        <v>0</v>
      </c>
      <c r="H204">
        <f>IF($A204&gt;=C$10,C$11,C$9)/12</f>
        <v>0.01575</v>
      </c>
      <c r="I204">
        <f>IF($A204&gt;=D$10,D$11,D$9)/12</f>
        <v>0.01825</v>
      </c>
      <c r="J204">
        <f>IF($A204&gt;=E$10,E$11,E$9)/12</f>
        <v>0.00766666666666667</v>
      </c>
      <c r="K204">
        <f>IF($A204&gt;=F$10,F$11,F$9)/12</f>
        <v>0.00533333333333333</v>
      </c>
      <c r="L204">
        <f>IF($A204&gt;=G$10,G$11,G$9)/12</f>
        <v>0</v>
      </c>
      <c r="M204">
        <f>IF($A204&gt;=H$10,H$11,H$9)/12</f>
        <v>0</v>
      </c>
      <c r="N204">
        <f>IF($A204&gt;=I$10,I$11,I$9)/12</f>
        <v>0</v>
      </c>
      <c r="O204">
        <f>IF($A204&gt;=J$10,J$11,J$9)/12</f>
        <v>0</v>
      </c>
      <c r="P204">
        <f>IF($A204&gt;=K$10,K$11,K$9)/12</f>
        <v>0</v>
      </c>
      <c r="Q204">
        <f>IF($A204&gt;=L$10,L$11,L$9)/12</f>
        <v>0</v>
      </c>
      <c r="R204">
        <f>IF($A204&gt;=M$10,M$11,M$9)/12</f>
        <v>0</v>
      </c>
      <c r="S204">
        <f>IF($A204&gt;=N$10,N$11,N$9)/12</f>
        <v>0</v>
      </c>
      <c r="T204">
        <f>IF(C$6="",0,SUMIFS('Budget ed extra'!$G$7:$G$42,'Budget ed extra'!$J$7:$J$42,$A204,'Budget ed extra'!$H$7:$H$42,C$6))</f>
        <v>0</v>
      </c>
      <c r="U204">
        <f>IF(D$6="",0,SUMIFS('Budget ed extra'!$G$7:$G$42,'Budget ed extra'!$J$7:$J$42,$A204,'Budget ed extra'!$H$7:$H$42,D$6))</f>
        <v>0</v>
      </c>
      <c r="V204">
        <f>IF(E$6="",0,SUMIFS('Budget ed extra'!$G$7:$G$42,'Budget ed extra'!$J$7:$J$42,$A204,'Budget ed extra'!$H$7:$H$42,E$6))</f>
        <v>0</v>
      </c>
      <c r="W204">
        <f>IF(F$6="",0,SUMIFS('Budget ed extra'!$G$7:$G$42,'Budget ed extra'!$J$7:$J$42,$A204,'Budget ed extra'!$H$7:$H$42,F$6))</f>
        <v>0</v>
      </c>
      <c r="X204">
        <f>IF(G$6="",0,SUMIFS('Budget ed extra'!$G$7:$G$42,'Budget ed extra'!$J$7:$J$42,$A204,'Budget ed extra'!$H$7:$H$42,G$6))</f>
        <v>0</v>
      </c>
      <c r="Y204">
        <f>IF(H$6="",0,SUMIFS('Budget ed extra'!$G$7:$G$42,'Budget ed extra'!$J$7:$J$42,$A204,'Budget ed extra'!$H$7:$H$42,H$6))</f>
        <v>0</v>
      </c>
      <c r="Z204">
        <f>IF(I$6="",0,SUMIFS('Budget ed extra'!$G$7:$G$42,'Budget ed extra'!$J$7:$J$42,$A204,'Budget ed extra'!$H$7:$H$42,I$6))</f>
        <v>0</v>
      </c>
      <c r="AA204">
        <f>IF(J$6="",0,SUMIFS('Budget ed extra'!$G$7:$G$42,'Budget ed extra'!$J$7:$J$42,$A204,'Budget ed extra'!$H$7:$H$42,J$6))</f>
        <v>0</v>
      </c>
      <c r="AB204">
        <f>IF(K$6="",0,SUMIFS('Budget ed extra'!$G$7:$G$42,'Budget ed extra'!$J$7:$J$42,$A204,'Budget ed extra'!$H$7:$H$42,K$6))</f>
        <v>0</v>
      </c>
      <c r="AC204">
        <f>IF(L$6="",0,SUMIFS('Budget ed extra'!$G$7:$G$42,'Budget ed extra'!$J$7:$J$42,$A204,'Budget ed extra'!$H$7:$H$42,L$6))</f>
        <v>0</v>
      </c>
      <c r="AD204">
        <f>IF(M$6="",0,SUMIFS('Budget ed extra'!$G$7:$G$42,'Budget ed extra'!$J$7:$J$42,$A204,'Budget ed extra'!$H$7:$H$42,M$6))</f>
        <v>0</v>
      </c>
      <c r="AE204">
        <f>IF(N$6="",0,SUMIFS('Budget ed extra'!$G$7:$G$42,'Budget ed extra'!$J$7:$J$42,$A204,'Budget ed extra'!$H$7:$H$42,N$6))</f>
        <v>0</v>
      </c>
    </row>
    <row r="205">
      <c r="A205" t="n">
        <v>175</v>
      </c>
      <c r="B205">
        <f>DATE($B$2,$B$3+A205-1,1)</f>
        <v>51622.0</v>
      </c>
      <c r="C205">
        <f>IF(D205=0,N(Impostazioni!$B$6),SUMIFS('Budget ed extra'!$B$7:$B$18,'Budget ed extra'!$D$7:$D$18,D205)/COUNTIFS('Budget ed extra'!$D$7:$D$18,D205))</f>
        <v>900</v>
      </c>
      <c r="D205">
        <f>SUMPRODUCT(MAX(('Budget ed extra'!$D$7:$D$18&lt;=A205)*'Budget ed extra'!$D$7:$D$18))</f>
        <v>9</v>
      </c>
      <c r="E205">
        <f>SUMIFS('Budget ed extra'!$G$7:$G$42,'Budget ed extra'!$J$7:$J$42,A205)</f>
        <v>0</v>
      </c>
      <c r="F205">
        <f>SUM(T205:AE205)</f>
        <v>0</v>
      </c>
      <c r="G205">
        <f>MAX(0,E205-F205)</f>
        <v>0</v>
      </c>
      <c r="H205">
        <f>IF($A205&gt;=C$10,C$11,C$9)/12</f>
        <v>0.01575</v>
      </c>
      <c r="I205">
        <f>IF($A205&gt;=D$10,D$11,D$9)/12</f>
        <v>0.01825</v>
      </c>
      <c r="J205">
        <f>IF($A205&gt;=E$10,E$11,E$9)/12</f>
        <v>0.00766666666666667</v>
      </c>
      <c r="K205">
        <f>IF($A205&gt;=F$10,F$11,F$9)/12</f>
        <v>0.00533333333333333</v>
      </c>
      <c r="L205">
        <f>IF($A205&gt;=G$10,G$11,G$9)/12</f>
        <v>0</v>
      </c>
      <c r="M205">
        <f>IF($A205&gt;=H$10,H$11,H$9)/12</f>
        <v>0</v>
      </c>
      <c r="N205">
        <f>IF($A205&gt;=I$10,I$11,I$9)/12</f>
        <v>0</v>
      </c>
      <c r="O205">
        <f>IF($A205&gt;=J$10,J$11,J$9)/12</f>
        <v>0</v>
      </c>
      <c r="P205">
        <f>IF($A205&gt;=K$10,K$11,K$9)/12</f>
        <v>0</v>
      </c>
      <c r="Q205">
        <f>IF($A205&gt;=L$10,L$11,L$9)/12</f>
        <v>0</v>
      </c>
      <c r="R205">
        <f>IF($A205&gt;=M$10,M$11,M$9)/12</f>
        <v>0</v>
      </c>
      <c r="S205">
        <f>IF($A205&gt;=N$10,N$11,N$9)/12</f>
        <v>0</v>
      </c>
      <c r="T205">
        <f>IF(C$6="",0,SUMIFS('Budget ed extra'!$G$7:$G$42,'Budget ed extra'!$J$7:$J$42,$A205,'Budget ed extra'!$H$7:$H$42,C$6))</f>
        <v>0</v>
      </c>
      <c r="U205">
        <f>IF(D$6="",0,SUMIFS('Budget ed extra'!$G$7:$G$42,'Budget ed extra'!$J$7:$J$42,$A205,'Budget ed extra'!$H$7:$H$42,D$6))</f>
        <v>0</v>
      </c>
      <c r="V205">
        <f>IF(E$6="",0,SUMIFS('Budget ed extra'!$G$7:$G$42,'Budget ed extra'!$J$7:$J$42,$A205,'Budget ed extra'!$H$7:$H$42,E$6))</f>
        <v>0</v>
      </c>
      <c r="W205">
        <f>IF(F$6="",0,SUMIFS('Budget ed extra'!$G$7:$G$42,'Budget ed extra'!$J$7:$J$42,$A205,'Budget ed extra'!$H$7:$H$42,F$6))</f>
        <v>0</v>
      </c>
      <c r="X205">
        <f>IF(G$6="",0,SUMIFS('Budget ed extra'!$G$7:$G$42,'Budget ed extra'!$J$7:$J$42,$A205,'Budget ed extra'!$H$7:$H$42,G$6))</f>
        <v>0</v>
      </c>
      <c r="Y205">
        <f>IF(H$6="",0,SUMIFS('Budget ed extra'!$G$7:$G$42,'Budget ed extra'!$J$7:$J$42,$A205,'Budget ed extra'!$H$7:$H$42,H$6))</f>
        <v>0</v>
      </c>
      <c r="Z205">
        <f>IF(I$6="",0,SUMIFS('Budget ed extra'!$G$7:$G$42,'Budget ed extra'!$J$7:$J$42,$A205,'Budget ed extra'!$H$7:$H$42,I$6))</f>
        <v>0</v>
      </c>
      <c r="AA205">
        <f>IF(J$6="",0,SUMIFS('Budget ed extra'!$G$7:$G$42,'Budget ed extra'!$J$7:$J$42,$A205,'Budget ed extra'!$H$7:$H$42,J$6))</f>
        <v>0</v>
      </c>
      <c r="AB205">
        <f>IF(K$6="",0,SUMIFS('Budget ed extra'!$G$7:$G$42,'Budget ed extra'!$J$7:$J$42,$A205,'Budget ed extra'!$H$7:$H$42,K$6))</f>
        <v>0</v>
      </c>
      <c r="AC205">
        <f>IF(L$6="",0,SUMIFS('Budget ed extra'!$G$7:$G$42,'Budget ed extra'!$J$7:$J$42,$A205,'Budget ed extra'!$H$7:$H$42,L$6))</f>
        <v>0</v>
      </c>
      <c r="AD205">
        <f>IF(M$6="",0,SUMIFS('Budget ed extra'!$G$7:$G$42,'Budget ed extra'!$J$7:$J$42,$A205,'Budget ed extra'!$H$7:$H$42,M$6))</f>
        <v>0</v>
      </c>
      <c r="AE205">
        <f>IF(N$6="",0,SUMIFS('Budget ed extra'!$G$7:$G$42,'Budget ed extra'!$J$7:$J$42,$A205,'Budget ed extra'!$H$7:$H$42,N$6))</f>
        <v>0</v>
      </c>
    </row>
    <row r="206">
      <c r="A206" t="n">
        <v>176</v>
      </c>
      <c r="B206">
        <f>DATE($B$2,$B$3+A206-1,1)</f>
        <v>51653.0</v>
      </c>
      <c r="C206">
        <f>IF(D206=0,N(Impostazioni!$B$6),SUMIFS('Budget ed extra'!$B$7:$B$18,'Budget ed extra'!$D$7:$D$18,D206)/COUNTIFS('Budget ed extra'!$D$7:$D$18,D206))</f>
        <v>900</v>
      </c>
      <c r="D206">
        <f>SUMPRODUCT(MAX(('Budget ed extra'!$D$7:$D$18&lt;=A206)*'Budget ed extra'!$D$7:$D$18))</f>
        <v>9</v>
      </c>
      <c r="E206">
        <f>SUMIFS('Budget ed extra'!$G$7:$G$42,'Budget ed extra'!$J$7:$J$42,A206)</f>
        <v>0</v>
      </c>
      <c r="F206">
        <f>SUM(T206:AE206)</f>
        <v>0</v>
      </c>
      <c r="G206">
        <f>MAX(0,E206-F206)</f>
        <v>0</v>
      </c>
      <c r="H206">
        <f>IF($A206&gt;=C$10,C$11,C$9)/12</f>
        <v>0.01575</v>
      </c>
      <c r="I206">
        <f>IF($A206&gt;=D$10,D$11,D$9)/12</f>
        <v>0.01825</v>
      </c>
      <c r="J206">
        <f>IF($A206&gt;=E$10,E$11,E$9)/12</f>
        <v>0.00766666666666667</v>
      </c>
      <c r="K206">
        <f>IF($A206&gt;=F$10,F$11,F$9)/12</f>
        <v>0.00533333333333333</v>
      </c>
      <c r="L206">
        <f>IF($A206&gt;=G$10,G$11,G$9)/12</f>
        <v>0</v>
      </c>
      <c r="M206">
        <f>IF($A206&gt;=H$10,H$11,H$9)/12</f>
        <v>0</v>
      </c>
      <c r="N206">
        <f>IF($A206&gt;=I$10,I$11,I$9)/12</f>
        <v>0</v>
      </c>
      <c r="O206">
        <f>IF($A206&gt;=J$10,J$11,J$9)/12</f>
        <v>0</v>
      </c>
      <c r="P206">
        <f>IF($A206&gt;=K$10,K$11,K$9)/12</f>
        <v>0</v>
      </c>
      <c r="Q206">
        <f>IF($A206&gt;=L$10,L$11,L$9)/12</f>
        <v>0</v>
      </c>
      <c r="R206">
        <f>IF($A206&gt;=M$10,M$11,M$9)/12</f>
        <v>0</v>
      </c>
      <c r="S206">
        <f>IF($A206&gt;=N$10,N$11,N$9)/12</f>
        <v>0</v>
      </c>
      <c r="T206">
        <f>IF(C$6="",0,SUMIFS('Budget ed extra'!$G$7:$G$42,'Budget ed extra'!$J$7:$J$42,$A206,'Budget ed extra'!$H$7:$H$42,C$6))</f>
        <v>0</v>
      </c>
      <c r="U206">
        <f>IF(D$6="",0,SUMIFS('Budget ed extra'!$G$7:$G$42,'Budget ed extra'!$J$7:$J$42,$A206,'Budget ed extra'!$H$7:$H$42,D$6))</f>
        <v>0</v>
      </c>
      <c r="V206">
        <f>IF(E$6="",0,SUMIFS('Budget ed extra'!$G$7:$G$42,'Budget ed extra'!$J$7:$J$42,$A206,'Budget ed extra'!$H$7:$H$42,E$6))</f>
        <v>0</v>
      </c>
      <c r="W206">
        <f>IF(F$6="",0,SUMIFS('Budget ed extra'!$G$7:$G$42,'Budget ed extra'!$J$7:$J$42,$A206,'Budget ed extra'!$H$7:$H$42,F$6))</f>
        <v>0</v>
      </c>
      <c r="X206">
        <f>IF(G$6="",0,SUMIFS('Budget ed extra'!$G$7:$G$42,'Budget ed extra'!$J$7:$J$42,$A206,'Budget ed extra'!$H$7:$H$42,G$6))</f>
        <v>0</v>
      </c>
      <c r="Y206">
        <f>IF(H$6="",0,SUMIFS('Budget ed extra'!$G$7:$G$42,'Budget ed extra'!$J$7:$J$42,$A206,'Budget ed extra'!$H$7:$H$42,H$6))</f>
        <v>0</v>
      </c>
      <c r="Z206">
        <f>IF(I$6="",0,SUMIFS('Budget ed extra'!$G$7:$G$42,'Budget ed extra'!$J$7:$J$42,$A206,'Budget ed extra'!$H$7:$H$42,I$6))</f>
        <v>0</v>
      </c>
      <c r="AA206">
        <f>IF(J$6="",0,SUMIFS('Budget ed extra'!$G$7:$G$42,'Budget ed extra'!$J$7:$J$42,$A206,'Budget ed extra'!$H$7:$H$42,J$6))</f>
        <v>0</v>
      </c>
      <c r="AB206">
        <f>IF(K$6="",0,SUMIFS('Budget ed extra'!$G$7:$G$42,'Budget ed extra'!$J$7:$J$42,$A206,'Budget ed extra'!$H$7:$H$42,K$6))</f>
        <v>0</v>
      </c>
      <c r="AC206">
        <f>IF(L$6="",0,SUMIFS('Budget ed extra'!$G$7:$G$42,'Budget ed extra'!$J$7:$J$42,$A206,'Budget ed extra'!$H$7:$H$42,L$6))</f>
        <v>0</v>
      </c>
      <c r="AD206">
        <f>IF(M$6="",0,SUMIFS('Budget ed extra'!$G$7:$G$42,'Budget ed extra'!$J$7:$J$42,$A206,'Budget ed extra'!$H$7:$H$42,M$6))</f>
        <v>0</v>
      </c>
      <c r="AE206">
        <f>IF(N$6="",0,SUMIFS('Budget ed extra'!$G$7:$G$42,'Budget ed extra'!$J$7:$J$42,$A206,'Budget ed extra'!$H$7:$H$42,N$6))</f>
        <v>0</v>
      </c>
    </row>
    <row r="207">
      <c r="A207" t="n">
        <v>177</v>
      </c>
      <c r="B207">
        <f>DATE($B$2,$B$3+A207-1,1)</f>
        <v>51683.0</v>
      </c>
      <c r="C207">
        <f>IF(D207=0,N(Impostazioni!$B$6),SUMIFS('Budget ed extra'!$B$7:$B$18,'Budget ed extra'!$D$7:$D$18,D207)/COUNTIFS('Budget ed extra'!$D$7:$D$18,D207))</f>
        <v>900</v>
      </c>
      <c r="D207">
        <f>SUMPRODUCT(MAX(('Budget ed extra'!$D$7:$D$18&lt;=A207)*'Budget ed extra'!$D$7:$D$18))</f>
        <v>9</v>
      </c>
      <c r="E207">
        <f>SUMIFS('Budget ed extra'!$G$7:$G$42,'Budget ed extra'!$J$7:$J$42,A207)</f>
        <v>0</v>
      </c>
      <c r="F207">
        <f>SUM(T207:AE207)</f>
        <v>0</v>
      </c>
      <c r="G207">
        <f>MAX(0,E207-F207)</f>
        <v>0</v>
      </c>
      <c r="H207">
        <f>IF($A207&gt;=C$10,C$11,C$9)/12</f>
        <v>0.01575</v>
      </c>
      <c r="I207">
        <f>IF($A207&gt;=D$10,D$11,D$9)/12</f>
        <v>0.01825</v>
      </c>
      <c r="J207">
        <f>IF($A207&gt;=E$10,E$11,E$9)/12</f>
        <v>0.00766666666666667</v>
      </c>
      <c r="K207">
        <f>IF($A207&gt;=F$10,F$11,F$9)/12</f>
        <v>0.00533333333333333</v>
      </c>
      <c r="L207">
        <f>IF($A207&gt;=G$10,G$11,G$9)/12</f>
        <v>0</v>
      </c>
      <c r="M207">
        <f>IF($A207&gt;=H$10,H$11,H$9)/12</f>
        <v>0</v>
      </c>
      <c r="N207">
        <f>IF($A207&gt;=I$10,I$11,I$9)/12</f>
        <v>0</v>
      </c>
      <c r="O207">
        <f>IF($A207&gt;=J$10,J$11,J$9)/12</f>
        <v>0</v>
      </c>
      <c r="P207">
        <f>IF($A207&gt;=K$10,K$11,K$9)/12</f>
        <v>0</v>
      </c>
      <c r="Q207">
        <f>IF($A207&gt;=L$10,L$11,L$9)/12</f>
        <v>0</v>
      </c>
      <c r="R207">
        <f>IF($A207&gt;=M$10,M$11,M$9)/12</f>
        <v>0</v>
      </c>
      <c r="S207">
        <f>IF($A207&gt;=N$10,N$11,N$9)/12</f>
        <v>0</v>
      </c>
      <c r="T207">
        <f>IF(C$6="",0,SUMIFS('Budget ed extra'!$G$7:$G$42,'Budget ed extra'!$J$7:$J$42,$A207,'Budget ed extra'!$H$7:$H$42,C$6))</f>
        <v>0</v>
      </c>
      <c r="U207">
        <f>IF(D$6="",0,SUMIFS('Budget ed extra'!$G$7:$G$42,'Budget ed extra'!$J$7:$J$42,$A207,'Budget ed extra'!$H$7:$H$42,D$6))</f>
        <v>0</v>
      </c>
      <c r="V207">
        <f>IF(E$6="",0,SUMIFS('Budget ed extra'!$G$7:$G$42,'Budget ed extra'!$J$7:$J$42,$A207,'Budget ed extra'!$H$7:$H$42,E$6))</f>
        <v>0</v>
      </c>
      <c r="W207">
        <f>IF(F$6="",0,SUMIFS('Budget ed extra'!$G$7:$G$42,'Budget ed extra'!$J$7:$J$42,$A207,'Budget ed extra'!$H$7:$H$42,F$6))</f>
        <v>0</v>
      </c>
      <c r="X207">
        <f>IF(G$6="",0,SUMIFS('Budget ed extra'!$G$7:$G$42,'Budget ed extra'!$J$7:$J$42,$A207,'Budget ed extra'!$H$7:$H$42,G$6))</f>
        <v>0</v>
      </c>
      <c r="Y207">
        <f>IF(H$6="",0,SUMIFS('Budget ed extra'!$G$7:$G$42,'Budget ed extra'!$J$7:$J$42,$A207,'Budget ed extra'!$H$7:$H$42,H$6))</f>
        <v>0</v>
      </c>
      <c r="Z207">
        <f>IF(I$6="",0,SUMIFS('Budget ed extra'!$G$7:$G$42,'Budget ed extra'!$J$7:$J$42,$A207,'Budget ed extra'!$H$7:$H$42,I$6))</f>
        <v>0</v>
      </c>
      <c r="AA207">
        <f>IF(J$6="",0,SUMIFS('Budget ed extra'!$G$7:$G$42,'Budget ed extra'!$J$7:$J$42,$A207,'Budget ed extra'!$H$7:$H$42,J$6))</f>
        <v>0</v>
      </c>
      <c r="AB207">
        <f>IF(K$6="",0,SUMIFS('Budget ed extra'!$G$7:$G$42,'Budget ed extra'!$J$7:$J$42,$A207,'Budget ed extra'!$H$7:$H$42,K$6))</f>
        <v>0</v>
      </c>
      <c r="AC207">
        <f>IF(L$6="",0,SUMIFS('Budget ed extra'!$G$7:$G$42,'Budget ed extra'!$J$7:$J$42,$A207,'Budget ed extra'!$H$7:$H$42,L$6))</f>
        <v>0</v>
      </c>
      <c r="AD207">
        <f>IF(M$6="",0,SUMIFS('Budget ed extra'!$G$7:$G$42,'Budget ed extra'!$J$7:$J$42,$A207,'Budget ed extra'!$H$7:$H$42,M$6))</f>
        <v>0</v>
      </c>
      <c r="AE207">
        <f>IF(N$6="",0,SUMIFS('Budget ed extra'!$G$7:$G$42,'Budget ed extra'!$J$7:$J$42,$A207,'Budget ed extra'!$H$7:$H$42,N$6))</f>
        <v>0</v>
      </c>
    </row>
    <row r="208">
      <c r="A208" t="n">
        <v>178</v>
      </c>
      <c r="B208">
        <f>DATE($B$2,$B$3+A208-1,1)</f>
        <v>51714.0</v>
      </c>
      <c r="C208">
        <f>IF(D208=0,N(Impostazioni!$B$6),SUMIFS('Budget ed extra'!$B$7:$B$18,'Budget ed extra'!$D$7:$D$18,D208)/COUNTIFS('Budget ed extra'!$D$7:$D$18,D208))</f>
        <v>900</v>
      </c>
      <c r="D208">
        <f>SUMPRODUCT(MAX(('Budget ed extra'!$D$7:$D$18&lt;=A208)*'Budget ed extra'!$D$7:$D$18))</f>
        <v>9</v>
      </c>
      <c r="E208">
        <f>SUMIFS('Budget ed extra'!$G$7:$G$42,'Budget ed extra'!$J$7:$J$42,A208)</f>
        <v>0</v>
      </c>
      <c r="F208">
        <f>SUM(T208:AE208)</f>
        <v>0</v>
      </c>
      <c r="G208">
        <f>MAX(0,E208-F208)</f>
        <v>0</v>
      </c>
      <c r="H208">
        <f>IF($A208&gt;=C$10,C$11,C$9)/12</f>
        <v>0.01575</v>
      </c>
      <c r="I208">
        <f>IF($A208&gt;=D$10,D$11,D$9)/12</f>
        <v>0.01825</v>
      </c>
      <c r="J208">
        <f>IF($A208&gt;=E$10,E$11,E$9)/12</f>
        <v>0.00766666666666667</v>
      </c>
      <c r="K208">
        <f>IF($A208&gt;=F$10,F$11,F$9)/12</f>
        <v>0.00533333333333333</v>
      </c>
      <c r="L208">
        <f>IF($A208&gt;=G$10,G$11,G$9)/12</f>
        <v>0</v>
      </c>
      <c r="M208">
        <f>IF($A208&gt;=H$10,H$11,H$9)/12</f>
        <v>0</v>
      </c>
      <c r="N208">
        <f>IF($A208&gt;=I$10,I$11,I$9)/12</f>
        <v>0</v>
      </c>
      <c r="O208">
        <f>IF($A208&gt;=J$10,J$11,J$9)/12</f>
        <v>0</v>
      </c>
      <c r="P208">
        <f>IF($A208&gt;=K$10,K$11,K$9)/12</f>
        <v>0</v>
      </c>
      <c r="Q208">
        <f>IF($A208&gt;=L$10,L$11,L$9)/12</f>
        <v>0</v>
      </c>
      <c r="R208">
        <f>IF($A208&gt;=M$10,M$11,M$9)/12</f>
        <v>0</v>
      </c>
      <c r="S208">
        <f>IF($A208&gt;=N$10,N$11,N$9)/12</f>
        <v>0</v>
      </c>
      <c r="T208">
        <f>IF(C$6="",0,SUMIFS('Budget ed extra'!$G$7:$G$42,'Budget ed extra'!$J$7:$J$42,$A208,'Budget ed extra'!$H$7:$H$42,C$6))</f>
        <v>0</v>
      </c>
      <c r="U208">
        <f>IF(D$6="",0,SUMIFS('Budget ed extra'!$G$7:$G$42,'Budget ed extra'!$J$7:$J$42,$A208,'Budget ed extra'!$H$7:$H$42,D$6))</f>
        <v>0</v>
      </c>
      <c r="V208">
        <f>IF(E$6="",0,SUMIFS('Budget ed extra'!$G$7:$G$42,'Budget ed extra'!$J$7:$J$42,$A208,'Budget ed extra'!$H$7:$H$42,E$6))</f>
        <v>0</v>
      </c>
      <c r="W208">
        <f>IF(F$6="",0,SUMIFS('Budget ed extra'!$G$7:$G$42,'Budget ed extra'!$J$7:$J$42,$A208,'Budget ed extra'!$H$7:$H$42,F$6))</f>
        <v>0</v>
      </c>
      <c r="X208">
        <f>IF(G$6="",0,SUMIFS('Budget ed extra'!$G$7:$G$42,'Budget ed extra'!$J$7:$J$42,$A208,'Budget ed extra'!$H$7:$H$42,G$6))</f>
        <v>0</v>
      </c>
      <c r="Y208">
        <f>IF(H$6="",0,SUMIFS('Budget ed extra'!$G$7:$G$42,'Budget ed extra'!$J$7:$J$42,$A208,'Budget ed extra'!$H$7:$H$42,H$6))</f>
        <v>0</v>
      </c>
      <c r="Z208">
        <f>IF(I$6="",0,SUMIFS('Budget ed extra'!$G$7:$G$42,'Budget ed extra'!$J$7:$J$42,$A208,'Budget ed extra'!$H$7:$H$42,I$6))</f>
        <v>0</v>
      </c>
      <c r="AA208">
        <f>IF(J$6="",0,SUMIFS('Budget ed extra'!$G$7:$G$42,'Budget ed extra'!$J$7:$J$42,$A208,'Budget ed extra'!$H$7:$H$42,J$6))</f>
        <v>0</v>
      </c>
      <c r="AB208">
        <f>IF(K$6="",0,SUMIFS('Budget ed extra'!$G$7:$G$42,'Budget ed extra'!$J$7:$J$42,$A208,'Budget ed extra'!$H$7:$H$42,K$6))</f>
        <v>0</v>
      </c>
      <c r="AC208">
        <f>IF(L$6="",0,SUMIFS('Budget ed extra'!$G$7:$G$42,'Budget ed extra'!$J$7:$J$42,$A208,'Budget ed extra'!$H$7:$H$42,L$6))</f>
        <v>0</v>
      </c>
      <c r="AD208">
        <f>IF(M$6="",0,SUMIFS('Budget ed extra'!$G$7:$G$42,'Budget ed extra'!$J$7:$J$42,$A208,'Budget ed extra'!$H$7:$H$42,M$6))</f>
        <v>0</v>
      </c>
      <c r="AE208">
        <f>IF(N$6="",0,SUMIFS('Budget ed extra'!$G$7:$G$42,'Budget ed extra'!$J$7:$J$42,$A208,'Budget ed extra'!$H$7:$H$42,N$6))</f>
        <v>0</v>
      </c>
    </row>
    <row r="209">
      <c r="A209" t="n">
        <v>179</v>
      </c>
      <c r="B209">
        <f>DATE($B$2,$B$3+A209-1,1)</f>
        <v>51745.0</v>
      </c>
      <c r="C209">
        <f>IF(D209=0,N(Impostazioni!$B$6),SUMIFS('Budget ed extra'!$B$7:$B$18,'Budget ed extra'!$D$7:$D$18,D209)/COUNTIFS('Budget ed extra'!$D$7:$D$18,D209))</f>
        <v>900</v>
      </c>
      <c r="D209">
        <f>SUMPRODUCT(MAX(('Budget ed extra'!$D$7:$D$18&lt;=A209)*'Budget ed extra'!$D$7:$D$18))</f>
        <v>9</v>
      </c>
      <c r="E209">
        <f>SUMIFS('Budget ed extra'!$G$7:$G$42,'Budget ed extra'!$J$7:$J$42,A209)</f>
        <v>0</v>
      </c>
      <c r="F209">
        <f>SUM(T209:AE209)</f>
        <v>0</v>
      </c>
      <c r="G209">
        <f>MAX(0,E209-F209)</f>
        <v>0</v>
      </c>
      <c r="H209">
        <f>IF($A209&gt;=C$10,C$11,C$9)/12</f>
        <v>0.01575</v>
      </c>
      <c r="I209">
        <f>IF($A209&gt;=D$10,D$11,D$9)/12</f>
        <v>0.01825</v>
      </c>
      <c r="J209">
        <f>IF($A209&gt;=E$10,E$11,E$9)/12</f>
        <v>0.00766666666666667</v>
      </c>
      <c r="K209">
        <f>IF($A209&gt;=F$10,F$11,F$9)/12</f>
        <v>0.00533333333333333</v>
      </c>
      <c r="L209">
        <f>IF($A209&gt;=G$10,G$11,G$9)/12</f>
        <v>0</v>
      </c>
      <c r="M209">
        <f>IF($A209&gt;=H$10,H$11,H$9)/12</f>
        <v>0</v>
      </c>
      <c r="N209">
        <f>IF($A209&gt;=I$10,I$11,I$9)/12</f>
        <v>0</v>
      </c>
      <c r="O209">
        <f>IF($A209&gt;=J$10,J$11,J$9)/12</f>
        <v>0</v>
      </c>
      <c r="P209">
        <f>IF($A209&gt;=K$10,K$11,K$9)/12</f>
        <v>0</v>
      </c>
      <c r="Q209">
        <f>IF($A209&gt;=L$10,L$11,L$9)/12</f>
        <v>0</v>
      </c>
      <c r="R209">
        <f>IF($A209&gt;=M$10,M$11,M$9)/12</f>
        <v>0</v>
      </c>
      <c r="S209">
        <f>IF($A209&gt;=N$10,N$11,N$9)/12</f>
        <v>0</v>
      </c>
      <c r="T209">
        <f>IF(C$6="",0,SUMIFS('Budget ed extra'!$G$7:$G$42,'Budget ed extra'!$J$7:$J$42,$A209,'Budget ed extra'!$H$7:$H$42,C$6))</f>
        <v>0</v>
      </c>
      <c r="U209">
        <f>IF(D$6="",0,SUMIFS('Budget ed extra'!$G$7:$G$42,'Budget ed extra'!$J$7:$J$42,$A209,'Budget ed extra'!$H$7:$H$42,D$6))</f>
        <v>0</v>
      </c>
      <c r="V209">
        <f>IF(E$6="",0,SUMIFS('Budget ed extra'!$G$7:$G$42,'Budget ed extra'!$J$7:$J$42,$A209,'Budget ed extra'!$H$7:$H$42,E$6))</f>
        <v>0</v>
      </c>
      <c r="W209">
        <f>IF(F$6="",0,SUMIFS('Budget ed extra'!$G$7:$G$42,'Budget ed extra'!$J$7:$J$42,$A209,'Budget ed extra'!$H$7:$H$42,F$6))</f>
        <v>0</v>
      </c>
      <c r="X209">
        <f>IF(G$6="",0,SUMIFS('Budget ed extra'!$G$7:$G$42,'Budget ed extra'!$J$7:$J$42,$A209,'Budget ed extra'!$H$7:$H$42,G$6))</f>
        <v>0</v>
      </c>
      <c r="Y209">
        <f>IF(H$6="",0,SUMIFS('Budget ed extra'!$G$7:$G$42,'Budget ed extra'!$J$7:$J$42,$A209,'Budget ed extra'!$H$7:$H$42,H$6))</f>
        <v>0</v>
      </c>
      <c r="Z209">
        <f>IF(I$6="",0,SUMIFS('Budget ed extra'!$G$7:$G$42,'Budget ed extra'!$J$7:$J$42,$A209,'Budget ed extra'!$H$7:$H$42,I$6))</f>
        <v>0</v>
      </c>
      <c r="AA209">
        <f>IF(J$6="",0,SUMIFS('Budget ed extra'!$G$7:$G$42,'Budget ed extra'!$J$7:$J$42,$A209,'Budget ed extra'!$H$7:$H$42,J$6))</f>
        <v>0</v>
      </c>
      <c r="AB209">
        <f>IF(K$6="",0,SUMIFS('Budget ed extra'!$G$7:$G$42,'Budget ed extra'!$J$7:$J$42,$A209,'Budget ed extra'!$H$7:$H$42,K$6))</f>
        <v>0</v>
      </c>
      <c r="AC209">
        <f>IF(L$6="",0,SUMIFS('Budget ed extra'!$G$7:$G$42,'Budget ed extra'!$J$7:$J$42,$A209,'Budget ed extra'!$H$7:$H$42,L$6))</f>
        <v>0</v>
      </c>
      <c r="AD209">
        <f>IF(M$6="",0,SUMIFS('Budget ed extra'!$G$7:$G$42,'Budget ed extra'!$J$7:$J$42,$A209,'Budget ed extra'!$H$7:$H$42,M$6))</f>
        <v>0</v>
      </c>
      <c r="AE209">
        <f>IF(N$6="",0,SUMIFS('Budget ed extra'!$G$7:$G$42,'Budget ed extra'!$J$7:$J$42,$A209,'Budget ed extra'!$H$7:$H$42,N$6))</f>
        <v>0</v>
      </c>
    </row>
    <row r="210">
      <c r="A210" t="n">
        <v>180</v>
      </c>
      <c r="B210">
        <f>DATE($B$2,$B$3+A210-1,1)</f>
        <v>51775.0</v>
      </c>
      <c r="C210">
        <f>IF(D210=0,N(Impostazioni!$B$6),SUMIFS('Budget ed extra'!$B$7:$B$18,'Budget ed extra'!$D$7:$D$18,D210)/COUNTIFS('Budget ed extra'!$D$7:$D$18,D210))</f>
        <v>900</v>
      </c>
      <c r="D210">
        <f>SUMPRODUCT(MAX(('Budget ed extra'!$D$7:$D$18&lt;=A210)*'Budget ed extra'!$D$7:$D$18))</f>
        <v>9</v>
      </c>
      <c r="E210">
        <f>SUMIFS('Budget ed extra'!$G$7:$G$42,'Budget ed extra'!$J$7:$J$42,A210)</f>
        <v>0</v>
      </c>
      <c r="F210">
        <f>SUM(T210:AE210)</f>
        <v>0</v>
      </c>
      <c r="G210">
        <f>MAX(0,E210-F210)</f>
        <v>0</v>
      </c>
      <c r="H210">
        <f>IF($A210&gt;=C$10,C$11,C$9)/12</f>
        <v>0.01575</v>
      </c>
      <c r="I210">
        <f>IF($A210&gt;=D$10,D$11,D$9)/12</f>
        <v>0.01825</v>
      </c>
      <c r="J210">
        <f>IF($A210&gt;=E$10,E$11,E$9)/12</f>
        <v>0.00766666666666667</v>
      </c>
      <c r="K210">
        <f>IF($A210&gt;=F$10,F$11,F$9)/12</f>
        <v>0.00533333333333333</v>
      </c>
      <c r="L210">
        <f>IF($A210&gt;=G$10,G$11,G$9)/12</f>
        <v>0</v>
      </c>
      <c r="M210">
        <f>IF($A210&gt;=H$10,H$11,H$9)/12</f>
        <v>0</v>
      </c>
      <c r="N210">
        <f>IF($A210&gt;=I$10,I$11,I$9)/12</f>
        <v>0</v>
      </c>
      <c r="O210">
        <f>IF($A210&gt;=J$10,J$11,J$9)/12</f>
        <v>0</v>
      </c>
      <c r="P210">
        <f>IF($A210&gt;=K$10,K$11,K$9)/12</f>
        <v>0</v>
      </c>
      <c r="Q210">
        <f>IF($A210&gt;=L$10,L$11,L$9)/12</f>
        <v>0</v>
      </c>
      <c r="R210">
        <f>IF($A210&gt;=M$10,M$11,M$9)/12</f>
        <v>0</v>
      </c>
      <c r="S210">
        <f>IF($A210&gt;=N$10,N$11,N$9)/12</f>
        <v>0</v>
      </c>
      <c r="T210">
        <f>IF(C$6="",0,SUMIFS('Budget ed extra'!$G$7:$G$42,'Budget ed extra'!$J$7:$J$42,$A210,'Budget ed extra'!$H$7:$H$42,C$6))</f>
        <v>0</v>
      </c>
      <c r="U210">
        <f>IF(D$6="",0,SUMIFS('Budget ed extra'!$G$7:$G$42,'Budget ed extra'!$J$7:$J$42,$A210,'Budget ed extra'!$H$7:$H$42,D$6))</f>
        <v>0</v>
      </c>
      <c r="V210">
        <f>IF(E$6="",0,SUMIFS('Budget ed extra'!$G$7:$G$42,'Budget ed extra'!$J$7:$J$42,$A210,'Budget ed extra'!$H$7:$H$42,E$6))</f>
        <v>0</v>
      </c>
      <c r="W210">
        <f>IF(F$6="",0,SUMIFS('Budget ed extra'!$G$7:$G$42,'Budget ed extra'!$J$7:$J$42,$A210,'Budget ed extra'!$H$7:$H$42,F$6))</f>
        <v>0</v>
      </c>
      <c r="X210">
        <f>IF(G$6="",0,SUMIFS('Budget ed extra'!$G$7:$G$42,'Budget ed extra'!$J$7:$J$42,$A210,'Budget ed extra'!$H$7:$H$42,G$6))</f>
        <v>0</v>
      </c>
      <c r="Y210">
        <f>IF(H$6="",0,SUMIFS('Budget ed extra'!$G$7:$G$42,'Budget ed extra'!$J$7:$J$42,$A210,'Budget ed extra'!$H$7:$H$42,H$6))</f>
        <v>0</v>
      </c>
      <c r="Z210">
        <f>IF(I$6="",0,SUMIFS('Budget ed extra'!$G$7:$G$42,'Budget ed extra'!$J$7:$J$42,$A210,'Budget ed extra'!$H$7:$H$42,I$6))</f>
        <v>0</v>
      </c>
      <c r="AA210">
        <f>IF(J$6="",0,SUMIFS('Budget ed extra'!$G$7:$G$42,'Budget ed extra'!$J$7:$J$42,$A210,'Budget ed extra'!$H$7:$H$42,J$6))</f>
        <v>0</v>
      </c>
      <c r="AB210">
        <f>IF(K$6="",0,SUMIFS('Budget ed extra'!$G$7:$G$42,'Budget ed extra'!$J$7:$J$42,$A210,'Budget ed extra'!$H$7:$H$42,K$6))</f>
        <v>0</v>
      </c>
      <c r="AC210">
        <f>IF(L$6="",0,SUMIFS('Budget ed extra'!$G$7:$G$42,'Budget ed extra'!$J$7:$J$42,$A210,'Budget ed extra'!$H$7:$H$42,L$6))</f>
        <v>0</v>
      </c>
      <c r="AD210">
        <f>IF(M$6="",0,SUMIFS('Budget ed extra'!$G$7:$G$42,'Budget ed extra'!$J$7:$J$42,$A210,'Budget ed extra'!$H$7:$H$42,M$6))</f>
        <v>0</v>
      </c>
      <c r="AE210">
        <f>IF(N$6="",0,SUMIFS('Budget ed extra'!$G$7:$G$42,'Budget ed extra'!$J$7:$J$42,$A210,'Budget ed extra'!$H$7:$H$42,N$6))</f>
        <v>0</v>
      </c>
    </row>
    <row r="211">
      <c r="A211" t="n">
        <v>181</v>
      </c>
      <c r="B211">
        <f>DATE($B$2,$B$3+A211-1,1)</f>
        <v>51806.0</v>
      </c>
      <c r="C211">
        <f>IF(D211=0,N(Impostazioni!$B$6),SUMIFS('Budget ed extra'!$B$7:$B$18,'Budget ed extra'!$D$7:$D$18,D211)/COUNTIFS('Budget ed extra'!$D$7:$D$18,D211))</f>
        <v>900</v>
      </c>
      <c r="D211">
        <f>SUMPRODUCT(MAX(('Budget ed extra'!$D$7:$D$18&lt;=A211)*'Budget ed extra'!$D$7:$D$18))</f>
        <v>9</v>
      </c>
      <c r="E211">
        <f>SUMIFS('Budget ed extra'!$G$7:$G$42,'Budget ed extra'!$J$7:$J$42,A211)</f>
        <v>0</v>
      </c>
      <c r="F211">
        <f>SUM(T211:AE211)</f>
        <v>0</v>
      </c>
      <c r="G211">
        <f>MAX(0,E211-F211)</f>
        <v>0</v>
      </c>
      <c r="H211">
        <f>IF($A211&gt;=C$10,C$11,C$9)/12</f>
        <v>0.01575</v>
      </c>
      <c r="I211">
        <f>IF($A211&gt;=D$10,D$11,D$9)/12</f>
        <v>0.01825</v>
      </c>
      <c r="J211">
        <f>IF($A211&gt;=E$10,E$11,E$9)/12</f>
        <v>0.00766666666666667</v>
      </c>
      <c r="K211">
        <f>IF($A211&gt;=F$10,F$11,F$9)/12</f>
        <v>0.00533333333333333</v>
      </c>
      <c r="L211">
        <f>IF($A211&gt;=G$10,G$11,G$9)/12</f>
        <v>0</v>
      </c>
      <c r="M211">
        <f>IF($A211&gt;=H$10,H$11,H$9)/12</f>
        <v>0</v>
      </c>
      <c r="N211">
        <f>IF($A211&gt;=I$10,I$11,I$9)/12</f>
        <v>0</v>
      </c>
      <c r="O211">
        <f>IF($A211&gt;=J$10,J$11,J$9)/12</f>
        <v>0</v>
      </c>
      <c r="P211">
        <f>IF($A211&gt;=K$10,K$11,K$9)/12</f>
        <v>0</v>
      </c>
      <c r="Q211">
        <f>IF($A211&gt;=L$10,L$11,L$9)/12</f>
        <v>0</v>
      </c>
      <c r="R211">
        <f>IF($A211&gt;=M$10,M$11,M$9)/12</f>
        <v>0</v>
      </c>
      <c r="S211">
        <f>IF($A211&gt;=N$10,N$11,N$9)/12</f>
        <v>0</v>
      </c>
      <c r="T211">
        <f>IF(C$6="",0,SUMIFS('Budget ed extra'!$G$7:$G$42,'Budget ed extra'!$J$7:$J$42,$A211,'Budget ed extra'!$H$7:$H$42,C$6))</f>
        <v>0</v>
      </c>
      <c r="U211">
        <f>IF(D$6="",0,SUMIFS('Budget ed extra'!$G$7:$G$42,'Budget ed extra'!$J$7:$J$42,$A211,'Budget ed extra'!$H$7:$H$42,D$6))</f>
        <v>0</v>
      </c>
      <c r="V211">
        <f>IF(E$6="",0,SUMIFS('Budget ed extra'!$G$7:$G$42,'Budget ed extra'!$J$7:$J$42,$A211,'Budget ed extra'!$H$7:$H$42,E$6))</f>
        <v>0</v>
      </c>
      <c r="W211">
        <f>IF(F$6="",0,SUMIFS('Budget ed extra'!$G$7:$G$42,'Budget ed extra'!$J$7:$J$42,$A211,'Budget ed extra'!$H$7:$H$42,F$6))</f>
        <v>0</v>
      </c>
      <c r="X211">
        <f>IF(G$6="",0,SUMIFS('Budget ed extra'!$G$7:$G$42,'Budget ed extra'!$J$7:$J$42,$A211,'Budget ed extra'!$H$7:$H$42,G$6))</f>
        <v>0</v>
      </c>
      <c r="Y211">
        <f>IF(H$6="",0,SUMIFS('Budget ed extra'!$G$7:$G$42,'Budget ed extra'!$J$7:$J$42,$A211,'Budget ed extra'!$H$7:$H$42,H$6))</f>
        <v>0</v>
      </c>
      <c r="Z211">
        <f>IF(I$6="",0,SUMIFS('Budget ed extra'!$G$7:$G$42,'Budget ed extra'!$J$7:$J$42,$A211,'Budget ed extra'!$H$7:$H$42,I$6))</f>
        <v>0</v>
      </c>
      <c r="AA211">
        <f>IF(J$6="",0,SUMIFS('Budget ed extra'!$G$7:$G$42,'Budget ed extra'!$J$7:$J$42,$A211,'Budget ed extra'!$H$7:$H$42,J$6))</f>
        <v>0</v>
      </c>
      <c r="AB211">
        <f>IF(K$6="",0,SUMIFS('Budget ed extra'!$G$7:$G$42,'Budget ed extra'!$J$7:$J$42,$A211,'Budget ed extra'!$H$7:$H$42,K$6))</f>
        <v>0</v>
      </c>
      <c r="AC211">
        <f>IF(L$6="",0,SUMIFS('Budget ed extra'!$G$7:$G$42,'Budget ed extra'!$J$7:$J$42,$A211,'Budget ed extra'!$H$7:$H$42,L$6))</f>
        <v>0</v>
      </c>
      <c r="AD211">
        <f>IF(M$6="",0,SUMIFS('Budget ed extra'!$G$7:$G$42,'Budget ed extra'!$J$7:$J$42,$A211,'Budget ed extra'!$H$7:$H$42,M$6))</f>
        <v>0</v>
      </c>
      <c r="AE211">
        <f>IF(N$6="",0,SUMIFS('Budget ed extra'!$G$7:$G$42,'Budget ed extra'!$J$7:$J$42,$A211,'Budget ed extra'!$H$7:$H$42,N$6))</f>
        <v>0</v>
      </c>
    </row>
    <row r="212">
      <c r="A212" t="n">
        <v>182</v>
      </c>
      <c r="B212">
        <f>DATE($B$2,$B$3+A212-1,1)</f>
        <v>51836.0</v>
      </c>
      <c r="C212">
        <f>IF(D212=0,N(Impostazioni!$B$6),SUMIFS('Budget ed extra'!$B$7:$B$18,'Budget ed extra'!$D$7:$D$18,D212)/COUNTIFS('Budget ed extra'!$D$7:$D$18,D212))</f>
        <v>900</v>
      </c>
      <c r="D212">
        <f>SUMPRODUCT(MAX(('Budget ed extra'!$D$7:$D$18&lt;=A212)*'Budget ed extra'!$D$7:$D$18))</f>
        <v>9</v>
      </c>
      <c r="E212">
        <f>SUMIFS('Budget ed extra'!$G$7:$G$42,'Budget ed extra'!$J$7:$J$42,A212)</f>
        <v>0</v>
      </c>
      <c r="F212">
        <f>SUM(T212:AE212)</f>
        <v>0</v>
      </c>
      <c r="G212">
        <f>MAX(0,E212-F212)</f>
        <v>0</v>
      </c>
      <c r="H212">
        <f>IF($A212&gt;=C$10,C$11,C$9)/12</f>
        <v>0.01575</v>
      </c>
      <c r="I212">
        <f>IF($A212&gt;=D$10,D$11,D$9)/12</f>
        <v>0.01825</v>
      </c>
      <c r="J212">
        <f>IF($A212&gt;=E$10,E$11,E$9)/12</f>
        <v>0.00766666666666667</v>
      </c>
      <c r="K212">
        <f>IF($A212&gt;=F$10,F$11,F$9)/12</f>
        <v>0.00533333333333333</v>
      </c>
      <c r="L212">
        <f>IF($A212&gt;=G$10,G$11,G$9)/12</f>
        <v>0</v>
      </c>
      <c r="M212">
        <f>IF($A212&gt;=H$10,H$11,H$9)/12</f>
        <v>0</v>
      </c>
      <c r="N212">
        <f>IF($A212&gt;=I$10,I$11,I$9)/12</f>
        <v>0</v>
      </c>
      <c r="O212">
        <f>IF($A212&gt;=J$10,J$11,J$9)/12</f>
        <v>0</v>
      </c>
      <c r="P212">
        <f>IF($A212&gt;=K$10,K$11,K$9)/12</f>
        <v>0</v>
      </c>
      <c r="Q212">
        <f>IF($A212&gt;=L$10,L$11,L$9)/12</f>
        <v>0</v>
      </c>
      <c r="R212">
        <f>IF($A212&gt;=M$10,M$11,M$9)/12</f>
        <v>0</v>
      </c>
      <c r="S212">
        <f>IF($A212&gt;=N$10,N$11,N$9)/12</f>
        <v>0</v>
      </c>
      <c r="T212">
        <f>IF(C$6="",0,SUMIFS('Budget ed extra'!$G$7:$G$42,'Budget ed extra'!$J$7:$J$42,$A212,'Budget ed extra'!$H$7:$H$42,C$6))</f>
        <v>0</v>
      </c>
      <c r="U212">
        <f>IF(D$6="",0,SUMIFS('Budget ed extra'!$G$7:$G$42,'Budget ed extra'!$J$7:$J$42,$A212,'Budget ed extra'!$H$7:$H$42,D$6))</f>
        <v>0</v>
      </c>
      <c r="V212">
        <f>IF(E$6="",0,SUMIFS('Budget ed extra'!$G$7:$G$42,'Budget ed extra'!$J$7:$J$42,$A212,'Budget ed extra'!$H$7:$H$42,E$6))</f>
        <v>0</v>
      </c>
      <c r="W212">
        <f>IF(F$6="",0,SUMIFS('Budget ed extra'!$G$7:$G$42,'Budget ed extra'!$J$7:$J$42,$A212,'Budget ed extra'!$H$7:$H$42,F$6))</f>
        <v>0</v>
      </c>
      <c r="X212">
        <f>IF(G$6="",0,SUMIFS('Budget ed extra'!$G$7:$G$42,'Budget ed extra'!$J$7:$J$42,$A212,'Budget ed extra'!$H$7:$H$42,G$6))</f>
        <v>0</v>
      </c>
      <c r="Y212">
        <f>IF(H$6="",0,SUMIFS('Budget ed extra'!$G$7:$G$42,'Budget ed extra'!$J$7:$J$42,$A212,'Budget ed extra'!$H$7:$H$42,H$6))</f>
        <v>0</v>
      </c>
      <c r="Z212">
        <f>IF(I$6="",0,SUMIFS('Budget ed extra'!$G$7:$G$42,'Budget ed extra'!$J$7:$J$42,$A212,'Budget ed extra'!$H$7:$H$42,I$6))</f>
        <v>0</v>
      </c>
      <c r="AA212">
        <f>IF(J$6="",0,SUMIFS('Budget ed extra'!$G$7:$G$42,'Budget ed extra'!$J$7:$J$42,$A212,'Budget ed extra'!$H$7:$H$42,J$6))</f>
        <v>0</v>
      </c>
      <c r="AB212">
        <f>IF(K$6="",0,SUMIFS('Budget ed extra'!$G$7:$G$42,'Budget ed extra'!$J$7:$J$42,$A212,'Budget ed extra'!$H$7:$H$42,K$6))</f>
        <v>0</v>
      </c>
      <c r="AC212">
        <f>IF(L$6="",0,SUMIFS('Budget ed extra'!$G$7:$G$42,'Budget ed extra'!$J$7:$J$42,$A212,'Budget ed extra'!$H$7:$H$42,L$6))</f>
        <v>0</v>
      </c>
      <c r="AD212">
        <f>IF(M$6="",0,SUMIFS('Budget ed extra'!$G$7:$G$42,'Budget ed extra'!$J$7:$J$42,$A212,'Budget ed extra'!$H$7:$H$42,M$6))</f>
        <v>0</v>
      </c>
      <c r="AE212">
        <f>IF(N$6="",0,SUMIFS('Budget ed extra'!$G$7:$G$42,'Budget ed extra'!$J$7:$J$42,$A212,'Budget ed extra'!$H$7:$H$42,N$6))</f>
        <v>0</v>
      </c>
    </row>
    <row r="213">
      <c r="A213" t="n">
        <v>183</v>
      </c>
      <c r="B213">
        <f>DATE($B$2,$B$3+A213-1,1)</f>
        <v>51867.0</v>
      </c>
      <c r="C213">
        <f>IF(D213=0,N(Impostazioni!$B$6),SUMIFS('Budget ed extra'!$B$7:$B$18,'Budget ed extra'!$D$7:$D$18,D213)/COUNTIFS('Budget ed extra'!$D$7:$D$18,D213))</f>
        <v>900</v>
      </c>
      <c r="D213">
        <f>SUMPRODUCT(MAX(('Budget ed extra'!$D$7:$D$18&lt;=A213)*'Budget ed extra'!$D$7:$D$18))</f>
        <v>9</v>
      </c>
      <c r="E213">
        <f>SUMIFS('Budget ed extra'!$G$7:$G$42,'Budget ed extra'!$J$7:$J$42,A213)</f>
        <v>0</v>
      </c>
      <c r="F213">
        <f>SUM(T213:AE213)</f>
        <v>0</v>
      </c>
      <c r="G213">
        <f>MAX(0,E213-F213)</f>
        <v>0</v>
      </c>
      <c r="H213">
        <f>IF($A213&gt;=C$10,C$11,C$9)/12</f>
        <v>0.01575</v>
      </c>
      <c r="I213">
        <f>IF($A213&gt;=D$10,D$11,D$9)/12</f>
        <v>0.01825</v>
      </c>
      <c r="J213">
        <f>IF($A213&gt;=E$10,E$11,E$9)/12</f>
        <v>0.00766666666666667</v>
      </c>
      <c r="K213">
        <f>IF($A213&gt;=F$10,F$11,F$9)/12</f>
        <v>0.00533333333333333</v>
      </c>
      <c r="L213">
        <f>IF($A213&gt;=G$10,G$11,G$9)/12</f>
        <v>0</v>
      </c>
      <c r="M213">
        <f>IF($A213&gt;=H$10,H$11,H$9)/12</f>
        <v>0</v>
      </c>
      <c r="N213">
        <f>IF($A213&gt;=I$10,I$11,I$9)/12</f>
        <v>0</v>
      </c>
      <c r="O213">
        <f>IF($A213&gt;=J$10,J$11,J$9)/12</f>
        <v>0</v>
      </c>
      <c r="P213">
        <f>IF($A213&gt;=K$10,K$11,K$9)/12</f>
        <v>0</v>
      </c>
      <c r="Q213">
        <f>IF($A213&gt;=L$10,L$11,L$9)/12</f>
        <v>0</v>
      </c>
      <c r="R213">
        <f>IF($A213&gt;=M$10,M$11,M$9)/12</f>
        <v>0</v>
      </c>
      <c r="S213">
        <f>IF($A213&gt;=N$10,N$11,N$9)/12</f>
        <v>0</v>
      </c>
      <c r="T213">
        <f>IF(C$6="",0,SUMIFS('Budget ed extra'!$G$7:$G$42,'Budget ed extra'!$J$7:$J$42,$A213,'Budget ed extra'!$H$7:$H$42,C$6))</f>
        <v>0</v>
      </c>
      <c r="U213">
        <f>IF(D$6="",0,SUMIFS('Budget ed extra'!$G$7:$G$42,'Budget ed extra'!$J$7:$J$42,$A213,'Budget ed extra'!$H$7:$H$42,D$6))</f>
        <v>0</v>
      </c>
      <c r="V213">
        <f>IF(E$6="",0,SUMIFS('Budget ed extra'!$G$7:$G$42,'Budget ed extra'!$J$7:$J$42,$A213,'Budget ed extra'!$H$7:$H$42,E$6))</f>
        <v>0</v>
      </c>
      <c r="W213">
        <f>IF(F$6="",0,SUMIFS('Budget ed extra'!$G$7:$G$42,'Budget ed extra'!$J$7:$J$42,$A213,'Budget ed extra'!$H$7:$H$42,F$6))</f>
        <v>0</v>
      </c>
      <c r="X213">
        <f>IF(G$6="",0,SUMIFS('Budget ed extra'!$G$7:$G$42,'Budget ed extra'!$J$7:$J$42,$A213,'Budget ed extra'!$H$7:$H$42,G$6))</f>
        <v>0</v>
      </c>
      <c r="Y213">
        <f>IF(H$6="",0,SUMIFS('Budget ed extra'!$G$7:$G$42,'Budget ed extra'!$J$7:$J$42,$A213,'Budget ed extra'!$H$7:$H$42,H$6))</f>
        <v>0</v>
      </c>
      <c r="Z213">
        <f>IF(I$6="",0,SUMIFS('Budget ed extra'!$G$7:$G$42,'Budget ed extra'!$J$7:$J$42,$A213,'Budget ed extra'!$H$7:$H$42,I$6))</f>
        <v>0</v>
      </c>
      <c r="AA213">
        <f>IF(J$6="",0,SUMIFS('Budget ed extra'!$G$7:$G$42,'Budget ed extra'!$J$7:$J$42,$A213,'Budget ed extra'!$H$7:$H$42,J$6))</f>
        <v>0</v>
      </c>
      <c r="AB213">
        <f>IF(K$6="",0,SUMIFS('Budget ed extra'!$G$7:$G$42,'Budget ed extra'!$J$7:$J$42,$A213,'Budget ed extra'!$H$7:$H$42,K$6))</f>
        <v>0</v>
      </c>
      <c r="AC213">
        <f>IF(L$6="",0,SUMIFS('Budget ed extra'!$G$7:$G$42,'Budget ed extra'!$J$7:$J$42,$A213,'Budget ed extra'!$H$7:$H$42,L$6))</f>
        <v>0</v>
      </c>
      <c r="AD213">
        <f>IF(M$6="",0,SUMIFS('Budget ed extra'!$G$7:$G$42,'Budget ed extra'!$J$7:$J$42,$A213,'Budget ed extra'!$H$7:$H$42,M$6))</f>
        <v>0</v>
      </c>
      <c r="AE213">
        <f>IF(N$6="",0,SUMIFS('Budget ed extra'!$G$7:$G$42,'Budget ed extra'!$J$7:$J$42,$A213,'Budget ed extra'!$H$7:$H$42,N$6))</f>
        <v>0</v>
      </c>
    </row>
    <row r="214">
      <c r="A214" t="n">
        <v>184</v>
      </c>
      <c r="B214">
        <f>DATE($B$2,$B$3+A214-1,1)</f>
        <v>51898.0</v>
      </c>
      <c r="C214">
        <f>IF(D214=0,N(Impostazioni!$B$6),SUMIFS('Budget ed extra'!$B$7:$B$18,'Budget ed extra'!$D$7:$D$18,D214)/COUNTIFS('Budget ed extra'!$D$7:$D$18,D214))</f>
        <v>900</v>
      </c>
      <c r="D214">
        <f>SUMPRODUCT(MAX(('Budget ed extra'!$D$7:$D$18&lt;=A214)*'Budget ed extra'!$D$7:$D$18))</f>
        <v>9</v>
      </c>
      <c r="E214">
        <f>SUMIFS('Budget ed extra'!$G$7:$G$42,'Budget ed extra'!$J$7:$J$42,A214)</f>
        <v>0</v>
      </c>
      <c r="F214">
        <f>SUM(T214:AE214)</f>
        <v>0</v>
      </c>
      <c r="G214">
        <f>MAX(0,E214-F214)</f>
        <v>0</v>
      </c>
      <c r="H214">
        <f>IF($A214&gt;=C$10,C$11,C$9)/12</f>
        <v>0.01575</v>
      </c>
      <c r="I214">
        <f>IF($A214&gt;=D$10,D$11,D$9)/12</f>
        <v>0.01825</v>
      </c>
      <c r="J214">
        <f>IF($A214&gt;=E$10,E$11,E$9)/12</f>
        <v>0.00766666666666667</v>
      </c>
      <c r="K214">
        <f>IF($A214&gt;=F$10,F$11,F$9)/12</f>
        <v>0.00533333333333333</v>
      </c>
      <c r="L214">
        <f>IF($A214&gt;=G$10,G$11,G$9)/12</f>
        <v>0</v>
      </c>
      <c r="M214">
        <f>IF($A214&gt;=H$10,H$11,H$9)/12</f>
        <v>0</v>
      </c>
      <c r="N214">
        <f>IF($A214&gt;=I$10,I$11,I$9)/12</f>
        <v>0</v>
      </c>
      <c r="O214">
        <f>IF($A214&gt;=J$10,J$11,J$9)/12</f>
        <v>0</v>
      </c>
      <c r="P214">
        <f>IF($A214&gt;=K$10,K$11,K$9)/12</f>
        <v>0</v>
      </c>
      <c r="Q214">
        <f>IF($A214&gt;=L$10,L$11,L$9)/12</f>
        <v>0</v>
      </c>
      <c r="R214">
        <f>IF($A214&gt;=M$10,M$11,M$9)/12</f>
        <v>0</v>
      </c>
      <c r="S214">
        <f>IF($A214&gt;=N$10,N$11,N$9)/12</f>
        <v>0</v>
      </c>
      <c r="T214">
        <f>IF(C$6="",0,SUMIFS('Budget ed extra'!$G$7:$G$42,'Budget ed extra'!$J$7:$J$42,$A214,'Budget ed extra'!$H$7:$H$42,C$6))</f>
        <v>0</v>
      </c>
      <c r="U214">
        <f>IF(D$6="",0,SUMIFS('Budget ed extra'!$G$7:$G$42,'Budget ed extra'!$J$7:$J$42,$A214,'Budget ed extra'!$H$7:$H$42,D$6))</f>
        <v>0</v>
      </c>
      <c r="V214">
        <f>IF(E$6="",0,SUMIFS('Budget ed extra'!$G$7:$G$42,'Budget ed extra'!$J$7:$J$42,$A214,'Budget ed extra'!$H$7:$H$42,E$6))</f>
        <v>0</v>
      </c>
      <c r="W214">
        <f>IF(F$6="",0,SUMIFS('Budget ed extra'!$G$7:$G$42,'Budget ed extra'!$J$7:$J$42,$A214,'Budget ed extra'!$H$7:$H$42,F$6))</f>
        <v>0</v>
      </c>
      <c r="X214">
        <f>IF(G$6="",0,SUMIFS('Budget ed extra'!$G$7:$G$42,'Budget ed extra'!$J$7:$J$42,$A214,'Budget ed extra'!$H$7:$H$42,G$6))</f>
        <v>0</v>
      </c>
      <c r="Y214">
        <f>IF(H$6="",0,SUMIFS('Budget ed extra'!$G$7:$G$42,'Budget ed extra'!$J$7:$J$42,$A214,'Budget ed extra'!$H$7:$H$42,H$6))</f>
        <v>0</v>
      </c>
      <c r="Z214">
        <f>IF(I$6="",0,SUMIFS('Budget ed extra'!$G$7:$G$42,'Budget ed extra'!$J$7:$J$42,$A214,'Budget ed extra'!$H$7:$H$42,I$6))</f>
        <v>0</v>
      </c>
      <c r="AA214">
        <f>IF(J$6="",0,SUMIFS('Budget ed extra'!$G$7:$G$42,'Budget ed extra'!$J$7:$J$42,$A214,'Budget ed extra'!$H$7:$H$42,J$6))</f>
        <v>0</v>
      </c>
      <c r="AB214">
        <f>IF(K$6="",0,SUMIFS('Budget ed extra'!$G$7:$G$42,'Budget ed extra'!$J$7:$J$42,$A214,'Budget ed extra'!$H$7:$H$42,K$6))</f>
        <v>0</v>
      </c>
      <c r="AC214">
        <f>IF(L$6="",0,SUMIFS('Budget ed extra'!$G$7:$G$42,'Budget ed extra'!$J$7:$J$42,$A214,'Budget ed extra'!$H$7:$H$42,L$6))</f>
        <v>0</v>
      </c>
      <c r="AD214">
        <f>IF(M$6="",0,SUMIFS('Budget ed extra'!$G$7:$G$42,'Budget ed extra'!$J$7:$J$42,$A214,'Budget ed extra'!$H$7:$H$42,M$6))</f>
        <v>0</v>
      </c>
      <c r="AE214">
        <f>IF(N$6="",0,SUMIFS('Budget ed extra'!$G$7:$G$42,'Budget ed extra'!$J$7:$J$42,$A214,'Budget ed extra'!$H$7:$H$42,N$6))</f>
        <v>0</v>
      </c>
    </row>
    <row r="215">
      <c r="A215" t="n">
        <v>185</v>
      </c>
      <c r="B215">
        <f>DATE($B$2,$B$3+A215-1,1)</f>
        <v>51926.0</v>
      </c>
      <c r="C215">
        <f>IF(D215=0,N(Impostazioni!$B$6),SUMIFS('Budget ed extra'!$B$7:$B$18,'Budget ed extra'!$D$7:$D$18,D215)/COUNTIFS('Budget ed extra'!$D$7:$D$18,D215))</f>
        <v>900</v>
      </c>
      <c r="D215">
        <f>SUMPRODUCT(MAX(('Budget ed extra'!$D$7:$D$18&lt;=A215)*'Budget ed extra'!$D$7:$D$18))</f>
        <v>9</v>
      </c>
      <c r="E215">
        <f>SUMIFS('Budget ed extra'!$G$7:$G$42,'Budget ed extra'!$J$7:$J$42,A215)</f>
        <v>0</v>
      </c>
      <c r="F215">
        <f>SUM(T215:AE215)</f>
        <v>0</v>
      </c>
      <c r="G215">
        <f>MAX(0,E215-F215)</f>
        <v>0</v>
      </c>
      <c r="H215">
        <f>IF($A215&gt;=C$10,C$11,C$9)/12</f>
        <v>0.01575</v>
      </c>
      <c r="I215">
        <f>IF($A215&gt;=D$10,D$11,D$9)/12</f>
        <v>0.01825</v>
      </c>
      <c r="J215">
        <f>IF($A215&gt;=E$10,E$11,E$9)/12</f>
        <v>0.00766666666666667</v>
      </c>
      <c r="K215">
        <f>IF($A215&gt;=F$10,F$11,F$9)/12</f>
        <v>0.00533333333333333</v>
      </c>
      <c r="L215">
        <f>IF($A215&gt;=G$10,G$11,G$9)/12</f>
        <v>0</v>
      </c>
      <c r="M215">
        <f>IF($A215&gt;=H$10,H$11,H$9)/12</f>
        <v>0</v>
      </c>
      <c r="N215">
        <f>IF($A215&gt;=I$10,I$11,I$9)/12</f>
        <v>0</v>
      </c>
      <c r="O215">
        <f>IF($A215&gt;=J$10,J$11,J$9)/12</f>
        <v>0</v>
      </c>
      <c r="P215">
        <f>IF($A215&gt;=K$10,K$11,K$9)/12</f>
        <v>0</v>
      </c>
      <c r="Q215">
        <f>IF($A215&gt;=L$10,L$11,L$9)/12</f>
        <v>0</v>
      </c>
      <c r="R215">
        <f>IF($A215&gt;=M$10,M$11,M$9)/12</f>
        <v>0</v>
      </c>
      <c r="S215">
        <f>IF($A215&gt;=N$10,N$11,N$9)/12</f>
        <v>0</v>
      </c>
      <c r="T215">
        <f>IF(C$6="",0,SUMIFS('Budget ed extra'!$G$7:$G$42,'Budget ed extra'!$J$7:$J$42,$A215,'Budget ed extra'!$H$7:$H$42,C$6))</f>
        <v>0</v>
      </c>
      <c r="U215">
        <f>IF(D$6="",0,SUMIFS('Budget ed extra'!$G$7:$G$42,'Budget ed extra'!$J$7:$J$42,$A215,'Budget ed extra'!$H$7:$H$42,D$6))</f>
        <v>0</v>
      </c>
      <c r="V215">
        <f>IF(E$6="",0,SUMIFS('Budget ed extra'!$G$7:$G$42,'Budget ed extra'!$J$7:$J$42,$A215,'Budget ed extra'!$H$7:$H$42,E$6))</f>
        <v>0</v>
      </c>
      <c r="W215">
        <f>IF(F$6="",0,SUMIFS('Budget ed extra'!$G$7:$G$42,'Budget ed extra'!$J$7:$J$42,$A215,'Budget ed extra'!$H$7:$H$42,F$6))</f>
        <v>0</v>
      </c>
      <c r="X215">
        <f>IF(G$6="",0,SUMIFS('Budget ed extra'!$G$7:$G$42,'Budget ed extra'!$J$7:$J$42,$A215,'Budget ed extra'!$H$7:$H$42,G$6))</f>
        <v>0</v>
      </c>
      <c r="Y215">
        <f>IF(H$6="",0,SUMIFS('Budget ed extra'!$G$7:$G$42,'Budget ed extra'!$J$7:$J$42,$A215,'Budget ed extra'!$H$7:$H$42,H$6))</f>
        <v>0</v>
      </c>
      <c r="Z215">
        <f>IF(I$6="",0,SUMIFS('Budget ed extra'!$G$7:$G$42,'Budget ed extra'!$J$7:$J$42,$A215,'Budget ed extra'!$H$7:$H$42,I$6))</f>
        <v>0</v>
      </c>
      <c r="AA215">
        <f>IF(J$6="",0,SUMIFS('Budget ed extra'!$G$7:$G$42,'Budget ed extra'!$J$7:$J$42,$A215,'Budget ed extra'!$H$7:$H$42,J$6))</f>
        <v>0</v>
      </c>
      <c r="AB215">
        <f>IF(K$6="",0,SUMIFS('Budget ed extra'!$G$7:$G$42,'Budget ed extra'!$J$7:$J$42,$A215,'Budget ed extra'!$H$7:$H$42,K$6))</f>
        <v>0</v>
      </c>
      <c r="AC215">
        <f>IF(L$6="",0,SUMIFS('Budget ed extra'!$G$7:$G$42,'Budget ed extra'!$J$7:$J$42,$A215,'Budget ed extra'!$H$7:$H$42,L$6))</f>
        <v>0</v>
      </c>
      <c r="AD215">
        <f>IF(M$6="",0,SUMIFS('Budget ed extra'!$G$7:$G$42,'Budget ed extra'!$J$7:$J$42,$A215,'Budget ed extra'!$H$7:$H$42,M$6))</f>
        <v>0</v>
      </c>
      <c r="AE215">
        <f>IF(N$6="",0,SUMIFS('Budget ed extra'!$G$7:$G$42,'Budget ed extra'!$J$7:$J$42,$A215,'Budget ed extra'!$H$7:$H$42,N$6))</f>
        <v>0</v>
      </c>
    </row>
    <row r="216">
      <c r="A216" t="n">
        <v>186</v>
      </c>
      <c r="B216">
        <f>DATE($B$2,$B$3+A216-1,1)</f>
        <v>51957.0</v>
      </c>
      <c r="C216">
        <f>IF(D216=0,N(Impostazioni!$B$6),SUMIFS('Budget ed extra'!$B$7:$B$18,'Budget ed extra'!$D$7:$D$18,D216)/COUNTIFS('Budget ed extra'!$D$7:$D$18,D216))</f>
        <v>900</v>
      </c>
      <c r="D216">
        <f>SUMPRODUCT(MAX(('Budget ed extra'!$D$7:$D$18&lt;=A216)*'Budget ed extra'!$D$7:$D$18))</f>
        <v>9</v>
      </c>
      <c r="E216">
        <f>SUMIFS('Budget ed extra'!$G$7:$G$42,'Budget ed extra'!$J$7:$J$42,A216)</f>
        <v>0</v>
      </c>
      <c r="F216">
        <f>SUM(T216:AE216)</f>
        <v>0</v>
      </c>
      <c r="G216">
        <f>MAX(0,E216-F216)</f>
        <v>0</v>
      </c>
      <c r="H216">
        <f>IF($A216&gt;=C$10,C$11,C$9)/12</f>
        <v>0.01575</v>
      </c>
      <c r="I216">
        <f>IF($A216&gt;=D$10,D$11,D$9)/12</f>
        <v>0.01825</v>
      </c>
      <c r="J216">
        <f>IF($A216&gt;=E$10,E$11,E$9)/12</f>
        <v>0.00766666666666667</v>
      </c>
      <c r="K216">
        <f>IF($A216&gt;=F$10,F$11,F$9)/12</f>
        <v>0.00533333333333333</v>
      </c>
      <c r="L216">
        <f>IF($A216&gt;=G$10,G$11,G$9)/12</f>
        <v>0</v>
      </c>
      <c r="M216">
        <f>IF($A216&gt;=H$10,H$11,H$9)/12</f>
        <v>0</v>
      </c>
      <c r="N216">
        <f>IF($A216&gt;=I$10,I$11,I$9)/12</f>
        <v>0</v>
      </c>
      <c r="O216">
        <f>IF($A216&gt;=J$10,J$11,J$9)/12</f>
        <v>0</v>
      </c>
      <c r="P216">
        <f>IF($A216&gt;=K$10,K$11,K$9)/12</f>
        <v>0</v>
      </c>
      <c r="Q216">
        <f>IF($A216&gt;=L$10,L$11,L$9)/12</f>
        <v>0</v>
      </c>
      <c r="R216">
        <f>IF($A216&gt;=M$10,M$11,M$9)/12</f>
        <v>0</v>
      </c>
      <c r="S216">
        <f>IF($A216&gt;=N$10,N$11,N$9)/12</f>
        <v>0</v>
      </c>
      <c r="T216">
        <f>IF(C$6="",0,SUMIFS('Budget ed extra'!$G$7:$G$42,'Budget ed extra'!$J$7:$J$42,$A216,'Budget ed extra'!$H$7:$H$42,C$6))</f>
        <v>0</v>
      </c>
      <c r="U216">
        <f>IF(D$6="",0,SUMIFS('Budget ed extra'!$G$7:$G$42,'Budget ed extra'!$J$7:$J$42,$A216,'Budget ed extra'!$H$7:$H$42,D$6))</f>
        <v>0</v>
      </c>
      <c r="V216">
        <f>IF(E$6="",0,SUMIFS('Budget ed extra'!$G$7:$G$42,'Budget ed extra'!$J$7:$J$42,$A216,'Budget ed extra'!$H$7:$H$42,E$6))</f>
        <v>0</v>
      </c>
      <c r="W216">
        <f>IF(F$6="",0,SUMIFS('Budget ed extra'!$G$7:$G$42,'Budget ed extra'!$J$7:$J$42,$A216,'Budget ed extra'!$H$7:$H$42,F$6))</f>
        <v>0</v>
      </c>
      <c r="X216">
        <f>IF(G$6="",0,SUMIFS('Budget ed extra'!$G$7:$G$42,'Budget ed extra'!$J$7:$J$42,$A216,'Budget ed extra'!$H$7:$H$42,G$6))</f>
        <v>0</v>
      </c>
      <c r="Y216">
        <f>IF(H$6="",0,SUMIFS('Budget ed extra'!$G$7:$G$42,'Budget ed extra'!$J$7:$J$42,$A216,'Budget ed extra'!$H$7:$H$42,H$6))</f>
        <v>0</v>
      </c>
      <c r="Z216">
        <f>IF(I$6="",0,SUMIFS('Budget ed extra'!$G$7:$G$42,'Budget ed extra'!$J$7:$J$42,$A216,'Budget ed extra'!$H$7:$H$42,I$6))</f>
        <v>0</v>
      </c>
      <c r="AA216">
        <f>IF(J$6="",0,SUMIFS('Budget ed extra'!$G$7:$G$42,'Budget ed extra'!$J$7:$J$42,$A216,'Budget ed extra'!$H$7:$H$42,J$6))</f>
        <v>0</v>
      </c>
      <c r="AB216">
        <f>IF(K$6="",0,SUMIFS('Budget ed extra'!$G$7:$G$42,'Budget ed extra'!$J$7:$J$42,$A216,'Budget ed extra'!$H$7:$H$42,K$6))</f>
        <v>0</v>
      </c>
      <c r="AC216">
        <f>IF(L$6="",0,SUMIFS('Budget ed extra'!$G$7:$G$42,'Budget ed extra'!$J$7:$J$42,$A216,'Budget ed extra'!$H$7:$H$42,L$6))</f>
        <v>0</v>
      </c>
      <c r="AD216">
        <f>IF(M$6="",0,SUMIFS('Budget ed extra'!$G$7:$G$42,'Budget ed extra'!$J$7:$J$42,$A216,'Budget ed extra'!$H$7:$H$42,M$6))</f>
        <v>0</v>
      </c>
      <c r="AE216">
        <f>IF(N$6="",0,SUMIFS('Budget ed extra'!$G$7:$G$42,'Budget ed extra'!$J$7:$J$42,$A216,'Budget ed extra'!$H$7:$H$42,N$6))</f>
        <v>0</v>
      </c>
    </row>
    <row r="217">
      <c r="A217" t="n">
        <v>187</v>
      </c>
      <c r="B217">
        <f>DATE($B$2,$B$3+A217-1,1)</f>
        <v>51987.0</v>
      </c>
      <c r="C217">
        <f>IF(D217=0,N(Impostazioni!$B$6),SUMIFS('Budget ed extra'!$B$7:$B$18,'Budget ed extra'!$D$7:$D$18,D217)/COUNTIFS('Budget ed extra'!$D$7:$D$18,D217))</f>
        <v>900</v>
      </c>
      <c r="D217">
        <f>SUMPRODUCT(MAX(('Budget ed extra'!$D$7:$D$18&lt;=A217)*'Budget ed extra'!$D$7:$D$18))</f>
        <v>9</v>
      </c>
      <c r="E217">
        <f>SUMIFS('Budget ed extra'!$G$7:$G$42,'Budget ed extra'!$J$7:$J$42,A217)</f>
        <v>0</v>
      </c>
      <c r="F217">
        <f>SUM(T217:AE217)</f>
        <v>0</v>
      </c>
      <c r="G217">
        <f>MAX(0,E217-F217)</f>
        <v>0</v>
      </c>
      <c r="H217">
        <f>IF($A217&gt;=C$10,C$11,C$9)/12</f>
        <v>0.01575</v>
      </c>
      <c r="I217">
        <f>IF($A217&gt;=D$10,D$11,D$9)/12</f>
        <v>0.01825</v>
      </c>
      <c r="J217">
        <f>IF($A217&gt;=E$10,E$11,E$9)/12</f>
        <v>0.00766666666666667</v>
      </c>
      <c r="K217">
        <f>IF($A217&gt;=F$10,F$11,F$9)/12</f>
        <v>0.00533333333333333</v>
      </c>
      <c r="L217">
        <f>IF($A217&gt;=G$10,G$11,G$9)/12</f>
        <v>0</v>
      </c>
      <c r="M217">
        <f>IF($A217&gt;=H$10,H$11,H$9)/12</f>
        <v>0</v>
      </c>
      <c r="N217">
        <f>IF($A217&gt;=I$10,I$11,I$9)/12</f>
        <v>0</v>
      </c>
      <c r="O217">
        <f>IF($A217&gt;=J$10,J$11,J$9)/12</f>
        <v>0</v>
      </c>
      <c r="P217">
        <f>IF($A217&gt;=K$10,K$11,K$9)/12</f>
        <v>0</v>
      </c>
      <c r="Q217">
        <f>IF($A217&gt;=L$10,L$11,L$9)/12</f>
        <v>0</v>
      </c>
      <c r="R217">
        <f>IF($A217&gt;=M$10,M$11,M$9)/12</f>
        <v>0</v>
      </c>
      <c r="S217">
        <f>IF($A217&gt;=N$10,N$11,N$9)/12</f>
        <v>0</v>
      </c>
      <c r="T217">
        <f>IF(C$6="",0,SUMIFS('Budget ed extra'!$G$7:$G$42,'Budget ed extra'!$J$7:$J$42,$A217,'Budget ed extra'!$H$7:$H$42,C$6))</f>
        <v>0</v>
      </c>
      <c r="U217">
        <f>IF(D$6="",0,SUMIFS('Budget ed extra'!$G$7:$G$42,'Budget ed extra'!$J$7:$J$42,$A217,'Budget ed extra'!$H$7:$H$42,D$6))</f>
        <v>0</v>
      </c>
      <c r="V217">
        <f>IF(E$6="",0,SUMIFS('Budget ed extra'!$G$7:$G$42,'Budget ed extra'!$J$7:$J$42,$A217,'Budget ed extra'!$H$7:$H$42,E$6))</f>
        <v>0</v>
      </c>
      <c r="W217">
        <f>IF(F$6="",0,SUMIFS('Budget ed extra'!$G$7:$G$42,'Budget ed extra'!$J$7:$J$42,$A217,'Budget ed extra'!$H$7:$H$42,F$6))</f>
        <v>0</v>
      </c>
      <c r="X217">
        <f>IF(G$6="",0,SUMIFS('Budget ed extra'!$G$7:$G$42,'Budget ed extra'!$J$7:$J$42,$A217,'Budget ed extra'!$H$7:$H$42,G$6))</f>
        <v>0</v>
      </c>
      <c r="Y217">
        <f>IF(H$6="",0,SUMIFS('Budget ed extra'!$G$7:$G$42,'Budget ed extra'!$J$7:$J$42,$A217,'Budget ed extra'!$H$7:$H$42,H$6))</f>
        <v>0</v>
      </c>
      <c r="Z217">
        <f>IF(I$6="",0,SUMIFS('Budget ed extra'!$G$7:$G$42,'Budget ed extra'!$J$7:$J$42,$A217,'Budget ed extra'!$H$7:$H$42,I$6))</f>
        <v>0</v>
      </c>
      <c r="AA217">
        <f>IF(J$6="",0,SUMIFS('Budget ed extra'!$G$7:$G$42,'Budget ed extra'!$J$7:$J$42,$A217,'Budget ed extra'!$H$7:$H$42,J$6))</f>
        <v>0</v>
      </c>
      <c r="AB217">
        <f>IF(K$6="",0,SUMIFS('Budget ed extra'!$G$7:$G$42,'Budget ed extra'!$J$7:$J$42,$A217,'Budget ed extra'!$H$7:$H$42,K$6))</f>
        <v>0</v>
      </c>
      <c r="AC217">
        <f>IF(L$6="",0,SUMIFS('Budget ed extra'!$G$7:$G$42,'Budget ed extra'!$J$7:$J$42,$A217,'Budget ed extra'!$H$7:$H$42,L$6))</f>
        <v>0</v>
      </c>
      <c r="AD217">
        <f>IF(M$6="",0,SUMIFS('Budget ed extra'!$G$7:$G$42,'Budget ed extra'!$J$7:$J$42,$A217,'Budget ed extra'!$H$7:$H$42,M$6))</f>
        <v>0</v>
      </c>
      <c r="AE217">
        <f>IF(N$6="",0,SUMIFS('Budget ed extra'!$G$7:$G$42,'Budget ed extra'!$J$7:$J$42,$A217,'Budget ed extra'!$H$7:$H$42,N$6))</f>
        <v>0</v>
      </c>
    </row>
    <row r="218">
      <c r="A218" t="n">
        <v>188</v>
      </c>
      <c r="B218">
        <f>DATE($B$2,$B$3+A218-1,1)</f>
        <v>52018.0</v>
      </c>
      <c r="C218">
        <f>IF(D218=0,N(Impostazioni!$B$6),SUMIFS('Budget ed extra'!$B$7:$B$18,'Budget ed extra'!$D$7:$D$18,D218)/COUNTIFS('Budget ed extra'!$D$7:$D$18,D218))</f>
        <v>900</v>
      </c>
      <c r="D218">
        <f>SUMPRODUCT(MAX(('Budget ed extra'!$D$7:$D$18&lt;=A218)*'Budget ed extra'!$D$7:$D$18))</f>
        <v>9</v>
      </c>
      <c r="E218">
        <f>SUMIFS('Budget ed extra'!$G$7:$G$42,'Budget ed extra'!$J$7:$J$42,A218)</f>
        <v>0</v>
      </c>
      <c r="F218">
        <f>SUM(T218:AE218)</f>
        <v>0</v>
      </c>
      <c r="G218">
        <f>MAX(0,E218-F218)</f>
        <v>0</v>
      </c>
      <c r="H218">
        <f>IF($A218&gt;=C$10,C$11,C$9)/12</f>
        <v>0.01575</v>
      </c>
      <c r="I218">
        <f>IF($A218&gt;=D$10,D$11,D$9)/12</f>
        <v>0.01825</v>
      </c>
      <c r="J218">
        <f>IF($A218&gt;=E$10,E$11,E$9)/12</f>
        <v>0.00766666666666667</v>
      </c>
      <c r="K218">
        <f>IF($A218&gt;=F$10,F$11,F$9)/12</f>
        <v>0.00533333333333333</v>
      </c>
      <c r="L218">
        <f>IF($A218&gt;=G$10,G$11,G$9)/12</f>
        <v>0</v>
      </c>
      <c r="M218">
        <f>IF($A218&gt;=H$10,H$11,H$9)/12</f>
        <v>0</v>
      </c>
      <c r="N218">
        <f>IF($A218&gt;=I$10,I$11,I$9)/12</f>
        <v>0</v>
      </c>
      <c r="O218">
        <f>IF($A218&gt;=J$10,J$11,J$9)/12</f>
        <v>0</v>
      </c>
      <c r="P218">
        <f>IF($A218&gt;=K$10,K$11,K$9)/12</f>
        <v>0</v>
      </c>
      <c r="Q218">
        <f>IF($A218&gt;=L$10,L$11,L$9)/12</f>
        <v>0</v>
      </c>
      <c r="R218">
        <f>IF($A218&gt;=M$10,M$11,M$9)/12</f>
        <v>0</v>
      </c>
      <c r="S218">
        <f>IF($A218&gt;=N$10,N$11,N$9)/12</f>
        <v>0</v>
      </c>
      <c r="T218">
        <f>IF(C$6="",0,SUMIFS('Budget ed extra'!$G$7:$G$42,'Budget ed extra'!$J$7:$J$42,$A218,'Budget ed extra'!$H$7:$H$42,C$6))</f>
        <v>0</v>
      </c>
      <c r="U218">
        <f>IF(D$6="",0,SUMIFS('Budget ed extra'!$G$7:$G$42,'Budget ed extra'!$J$7:$J$42,$A218,'Budget ed extra'!$H$7:$H$42,D$6))</f>
        <v>0</v>
      </c>
      <c r="V218">
        <f>IF(E$6="",0,SUMIFS('Budget ed extra'!$G$7:$G$42,'Budget ed extra'!$J$7:$J$42,$A218,'Budget ed extra'!$H$7:$H$42,E$6))</f>
        <v>0</v>
      </c>
      <c r="W218">
        <f>IF(F$6="",0,SUMIFS('Budget ed extra'!$G$7:$G$42,'Budget ed extra'!$J$7:$J$42,$A218,'Budget ed extra'!$H$7:$H$42,F$6))</f>
        <v>0</v>
      </c>
      <c r="X218">
        <f>IF(G$6="",0,SUMIFS('Budget ed extra'!$G$7:$G$42,'Budget ed extra'!$J$7:$J$42,$A218,'Budget ed extra'!$H$7:$H$42,G$6))</f>
        <v>0</v>
      </c>
      <c r="Y218">
        <f>IF(H$6="",0,SUMIFS('Budget ed extra'!$G$7:$G$42,'Budget ed extra'!$J$7:$J$42,$A218,'Budget ed extra'!$H$7:$H$42,H$6))</f>
        <v>0</v>
      </c>
      <c r="Z218">
        <f>IF(I$6="",0,SUMIFS('Budget ed extra'!$G$7:$G$42,'Budget ed extra'!$J$7:$J$42,$A218,'Budget ed extra'!$H$7:$H$42,I$6))</f>
        <v>0</v>
      </c>
      <c r="AA218">
        <f>IF(J$6="",0,SUMIFS('Budget ed extra'!$G$7:$G$42,'Budget ed extra'!$J$7:$J$42,$A218,'Budget ed extra'!$H$7:$H$42,J$6))</f>
        <v>0</v>
      </c>
      <c r="AB218">
        <f>IF(K$6="",0,SUMIFS('Budget ed extra'!$G$7:$G$42,'Budget ed extra'!$J$7:$J$42,$A218,'Budget ed extra'!$H$7:$H$42,K$6))</f>
        <v>0</v>
      </c>
      <c r="AC218">
        <f>IF(L$6="",0,SUMIFS('Budget ed extra'!$G$7:$G$42,'Budget ed extra'!$J$7:$J$42,$A218,'Budget ed extra'!$H$7:$H$42,L$6))</f>
        <v>0</v>
      </c>
      <c r="AD218">
        <f>IF(M$6="",0,SUMIFS('Budget ed extra'!$G$7:$G$42,'Budget ed extra'!$J$7:$J$42,$A218,'Budget ed extra'!$H$7:$H$42,M$6))</f>
        <v>0</v>
      </c>
      <c r="AE218">
        <f>IF(N$6="",0,SUMIFS('Budget ed extra'!$G$7:$G$42,'Budget ed extra'!$J$7:$J$42,$A218,'Budget ed extra'!$H$7:$H$42,N$6))</f>
        <v>0</v>
      </c>
    </row>
    <row r="219">
      <c r="A219" t="n">
        <v>189</v>
      </c>
      <c r="B219">
        <f>DATE($B$2,$B$3+A219-1,1)</f>
        <v>52048.0</v>
      </c>
      <c r="C219">
        <f>IF(D219=0,N(Impostazioni!$B$6),SUMIFS('Budget ed extra'!$B$7:$B$18,'Budget ed extra'!$D$7:$D$18,D219)/COUNTIFS('Budget ed extra'!$D$7:$D$18,D219))</f>
        <v>900</v>
      </c>
      <c r="D219">
        <f>SUMPRODUCT(MAX(('Budget ed extra'!$D$7:$D$18&lt;=A219)*'Budget ed extra'!$D$7:$D$18))</f>
        <v>9</v>
      </c>
      <c r="E219">
        <f>SUMIFS('Budget ed extra'!$G$7:$G$42,'Budget ed extra'!$J$7:$J$42,A219)</f>
        <v>0</v>
      </c>
      <c r="F219">
        <f>SUM(T219:AE219)</f>
        <v>0</v>
      </c>
      <c r="G219">
        <f>MAX(0,E219-F219)</f>
        <v>0</v>
      </c>
      <c r="H219">
        <f>IF($A219&gt;=C$10,C$11,C$9)/12</f>
        <v>0.01575</v>
      </c>
      <c r="I219">
        <f>IF($A219&gt;=D$10,D$11,D$9)/12</f>
        <v>0.01825</v>
      </c>
      <c r="J219">
        <f>IF($A219&gt;=E$10,E$11,E$9)/12</f>
        <v>0.00766666666666667</v>
      </c>
      <c r="K219">
        <f>IF($A219&gt;=F$10,F$11,F$9)/12</f>
        <v>0.00533333333333333</v>
      </c>
      <c r="L219">
        <f>IF($A219&gt;=G$10,G$11,G$9)/12</f>
        <v>0</v>
      </c>
      <c r="M219">
        <f>IF($A219&gt;=H$10,H$11,H$9)/12</f>
        <v>0</v>
      </c>
      <c r="N219">
        <f>IF($A219&gt;=I$10,I$11,I$9)/12</f>
        <v>0</v>
      </c>
      <c r="O219">
        <f>IF($A219&gt;=J$10,J$11,J$9)/12</f>
        <v>0</v>
      </c>
      <c r="P219">
        <f>IF($A219&gt;=K$10,K$11,K$9)/12</f>
        <v>0</v>
      </c>
      <c r="Q219">
        <f>IF($A219&gt;=L$10,L$11,L$9)/12</f>
        <v>0</v>
      </c>
      <c r="R219">
        <f>IF($A219&gt;=M$10,M$11,M$9)/12</f>
        <v>0</v>
      </c>
      <c r="S219">
        <f>IF($A219&gt;=N$10,N$11,N$9)/12</f>
        <v>0</v>
      </c>
      <c r="T219">
        <f>IF(C$6="",0,SUMIFS('Budget ed extra'!$G$7:$G$42,'Budget ed extra'!$J$7:$J$42,$A219,'Budget ed extra'!$H$7:$H$42,C$6))</f>
        <v>0</v>
      </c>
      <c r="U219">
        <f>IF(D$6="",0,SUMIFS('Budget ed extra'!$G$7:$G$42,'Budget ed extra'!$J$7:$J$42,$A219,'Budget ed extra'!$H$7:$H$42,D$6))</f>
        <v>0</v>
      </c>
      <c r="V219">
        <f>IF(E$6="",0,SUMIFS('Budget ed extra'!$G$7:$G$42,'Budget ed extra'!$J$7:$J$42,$A219,'Budget ed extra'!$H$7:$H$42,E$6))</f>
        <v>0</v>
      </c>
      <c r="W219">
        <f>IF(F$6="",0,SUMIFS('Budget ed extra'!$G$7:$G$42,'Budget ed extra'!$J$7:$J$42,$A219,'Budget ed extra'!$H$7:$H$42,F$6))</f>
        <v>0</v>
      </c>
      <c r="X219">
        <f>IF(G$6="",0,SUMIFS('Budget ed extra'!$G$7:$G$42,'Budget ed extra'!$J$7:$J$42,$A219,'Budget ed extra'!$H$7:$H$42,G$6))</f>
        <v>0</v>
      </c>
      <c r="Y219">
        <f>IF(H$6="",0,SUMIFS('Budget ed extra'!$G$7:$G$42,'Budget ed extra'!$J$7:$J$42,$A219,'Budget ed extra'!$H$7:$H$42,H$6))</f>
        <v>0</v>
      </c>
      <c r="Z219">
        <f>IF(I$6="",0,SUMIFS('Budget ed extra'!$G$7:$G$42,'Budget ed extra'!$J$7:$J$42,$A219,'Budget ed extra'!$H$7:$H$42,I$6))</f>
        <v>0</v>
      </c>
      <c r="AA219">
        <f>IF(J$6="",0,SUMIFS('Budget ed extra'!$G$7:$G$42,'Budget ed extra'!$J$7:$J$42,$A219,'Budget ed extra'!$H$7:$H$42,J$6))</f>
        <v>0</v>
      </c>
      <c r="AB219">
        <f>IF(K$6="",0,SUMIFS('Budget ed extra'!$G$7:$G$42,'Budget ed extra'!$J$7:$J$42,$A219,'Budget ed extra'!$H$7:$H$42,K$6))</f>
        <v>0</v>
      </c>
      <c r="AC219">
        <f>IF(L$6="",0,SUMIFS('Budget ed extra'!$G$7:$G$42,'Budget ed extra'!$J$7:$J$42,$A219,'Budget ed extra'!$H$7:$H$42,L$6))</f>
        <v>0</v>
      </c>
      <c r="AD219">
        <f>IF(M$6="",0,SUMIFS('Budget ed extra'!$G$7:$G$42,'Budget ed extra'!$J$7:$J$42,$A219,'Budget ed extra'!$H$7:$H$42,M$6))</f>
        <v>0</v>
      </c>
      <c r="AE219">
        <f>IF(N$6="",0,SUMIFS('Budget ed extra'!$G$7:$G$42,'Budget ed extra'!$J$7:$J$42,$A219,'Budget ed extra'!$H$7:$H$42,N$6))</f>
        <v>0</v>
      </c>
    </row>
    <row r="220">
      <c r="A220" t="n">
        <v>190</v>
      </c>
      <c r="B220">
        <f>DATE($B$2,$B$3+A220-1,1)</f>
        <v>52079.0</v>
      </c>
      <c r="C220">
        <f>IF(D220=0,N(Impostazioni!$B$6),SUMIFS('Budget ed extra'!$B$7:$B$18,'Budget ed extra'!$D$7:$D$18,D220)/COUNTIFS('Budget ed extra'!$D$7:$D$18,D220))</f>
        <v>900</v>
      </c>
      <c r="D220">
        <f>SUMPRODUCT(MAX(('Budget ed extra'!$D$7:$D$18&lt;=A220)*'Budget ed extra'!$D$7:$D$18))</f>
        <v>9</v>
      </c>
      <c r="E220">
        <f>SUMIFS('Budget ed extra'!$G$7:$G$42,'Budget ed extra'!$J$7:$J$42,A220)</f>
        <v>0</v>
      </c>
      <c r="F220">
        <f>SUM(T220:AE220)</f>
        <v>0</v>
      </c>
      <c r="G220">
        <f>MAX(0,E220-F220)</f>
        <v>0</v>
      </c>
      <c r="H220">
        <f>IF($A220&gt;=C$10,C$11,C$9)/12</f>
        <v>0.01575</v>
      </c>
      <c r="I220">
        <f>IF($A220&gt;=D$10,D$11,D$9)/12</f>
        <v>0.01825</v>
      </c>
      <c r="J220">
        <f>IF($A220&gt;=E$10,E$11,E$9)/12</f>
        <v>0.00766666666666667</v>
      </c>
      <c r="K220">
        <f>IF($A220&gt;=F$10,F$11,F$9)/12</f>
        <v>0.00533333333333333</v>
      </c>
      <c r="L220">
        <f>IF($A220&gt;=G$10,G$11,G$9)/12</f>
        <v>0</v>
      </c>
      <c r="M220">
        <f>IF($A220&gt;=H$10,H$11,H$9)/12</f>
        <v>0</v>
      </c>
      <c r="N220">
        <f>IF($A220&gt;=I$10,I$11,I$9)/12</f>
        <v>0</v>
      </c>
      <c r="O220">
        <f>IF($A220&gt;=J$10,J$11,J$9)/12</f>
        <v>0</v>
      </c>
      <c r="P220">
        <f>IF($A220&gt;=K$10,K$11,K$9)/12</f>
        <v>0</v>
      </c>
      <c r="Q220">
        <f>IF($A220&gt;=L$10,L$11,L$9)/12</f>
        <v>0</v>
      </c>
      <c r="R220">
        <f>IF($A220&gt;=M$10,M$11,M$9)/12</f>
        <v>0</v>
      </c>
      <c r="S220">
        <f>IF($A220&gt;=N$10,N$11,N$9)/12</f>
        <v>0</v>
      </c>
      <c r="T220">
        <f>IF(C$6="",0,SUMIFS('Budget ed extra'!$G$7:$G$42,'Budget ed extra'!$J$7:$J$42,$A220,'Budget ed extra'!$H$7:$H$42,C$6))</f>
        <v>0</v>
      </c>
      <c r="U220">
        <f>IF(D$6="",0,SUMIFS('Budget ed extra'!$G$7:$G$42,'Budget ed extra'!$J$7:$J$42,$A220,'Budget ed extra'!$H$7:$H$42,D$6))</f>
        <v>0</v>
      </c>
      <c r="V220">
        <f>IF(E$6="",0,SUMIFS('Budget ed extra'!$G$7:$G$42,'Budget ed extra'!$J$7:$J$42,$A220,'Budget ed extra'!$H$7:$H$42,E$6))</f>
        <v>0</v>
      </c>
      <c r="W220">
        <f>IF(F$6="",0,SUMIFS('Budget ed extra'!$G$7:$G$42,'Budget ed extra'!$J$7:$J$42,$A220,'Budget ed extra'!$H$7:$H$42,F$6))</f>
        <v>0</v>
      </c>
      <c r="X220">
        <f>IF(G$6="",0,SUMIFS('Budget ed extra'!$G$7:$G$42,'Budget ed extra'!$J$7:$J$42,$A220,'Budget ed extra'!$H$7:$H$42,G$6))</f>
        <v>0</v>
      </c>
      <c r="Y220">
        <f>IF(H$6="",0,SUMIFS('Budget ed extra'!$G$7:$G$42,'Budget ed extra'!$J$7:$J$42,$A220,'Budget ed extra'!$H$7:$H$42,H$6))</f>
        <v>0</v>
      </c>
      <c r="Z220">
        <f>IF(I$6="",0,SUMIFS('Budget ed extra'!$G$7:$G$42,'Budget ed extra'!$J$7:$J$42,$A220,'Budget ed extra'!$H$7:$H$42,I$6))</f>
        <v>0</v>
      </c>
      <c r="AA220">
        <f>IF(J$6="",0,SUMIFS('Budget ed extra'!$G$7:$G$42,'Budget ed extra'!$J$7:$J$42,$A220,'Budget ed extra'!$H$7:$H$42,J$6))</f>
        <v>0</v>
      </c>
      <c r="AB220">
        <f>IF(K$6="",0,SUMIFS('Budget ed extra'!$G$7:$G$42,'Budget ed extra'!$J$7:$J$42,$A220,'Budget ed extra'!$H$7:$H$42,K$6))</f>
        <v>0</v>
      </c>
      <c r="AC220">
        <f>IF(L$6="",0,SUMIFS('Budget ed extra'!$G$7:$G$42,'Budget ed extra'!$J$7:$J$42,$A220,'Budget ed extra'!$H$7:$H$42,L$6))</f>
        <v>0</v>
      </c>
      <c r="AD220">
        <f>IF(M$6="",0,SUMIFS('Budget ed extra'!$G$7:$G$42,'Budget ed extra'!$J$7:$J$42,$A220,'Budget ed extra'!$H$7:$H$42,M$6))</f>
        <v>0</v>
      </c>
      <c r="AE220">
        <f>IF(N$6="",0,SUMIFS('Budget ed extra'!$G$7:$G$42,'Budget ed extra'!$J$7:$J$42,$A220,'Budget ed extra'!$H$7:$H$42,N$6))</f>
        <v>0</v>
      </c>
    </row>
    <row r="221">
      <c r="A221" t="n">
        <v>191</v>
      </c>
      <c r="B221">
        <f>DATE($B$2,$B$3+A221-1,1)</f>
        <v>52110.0</v>
      </c>
      <c r="C221">
        <f>IF(D221=0,N(Impostazioni!$B$6),SUMIFS('Budget ed extra'!$B$7:$B$18,'Budget ed extra'!$D$7:$D$18,D221)/COUNTIFS('Budget ed extra'!$D$7:$D$18,D221))</f>
        <v>900</v>
      </c>
      <c r="D221">
        <f>SUMPRODUCT(MAX(('Budget ed extra'!$D$7:$D$18&lt;=A221)*'Budget ed extra'!$D$7:$D$18))</f>
        <v>9</v>
      </c>
      <c r="E221">
        <f>SUMIFS('Budget ed extra'!$G$7:$G$42,'Budget ed extra'!$J$7:$J$42,A221)</f>
        <v>0</v>
      </c>
      <c r="F221">
        <f>SUM(T221:AE221)</f>
        <v>0</v>
      </c>
      <c r="G221">
        <f>MAX(0,E221-F221)</f>
        <v>0</v>
      </c>
      <c r="H221">
        <f>IF($A221&gt;=C$10,C$11,C$9)/12</f>
        <v>0.01575</v>
      </c>
      <c r="I221">
        <f>IF($A221&gt;=D$10,D$11,D$9)/12</f>
        <v>0.01825</v>
      </c>
      <c r="J221">
        <f>IF($A221&gt;=E$10,E$11,E$9)/12</f>
        <v>0.00766666666666667</v>
      </c>
      <c r="K221">
        <f>IF($A221&gt;=F$10,F$11,F$9)/12</f>
        <v>0.00533333333333333</v>
      </c>
      <c r="L221">
        <f>IF($A221&gt;=G$10,G$11,G$9)/12</f>
        <v>0</v>
      </c>
      <c r="M221">
        <f>IF($A221&gt;=H$10,H$11,H$9)/12</f>
        <v>0</v>
      </c>
      <c r="N221">
        <f>IF($A221&gt;=I$10,I$11,I$9)/12</f>
        <v>0</v>
      </c>
      <c r="O221">
        <f>IF($A221&gt;=J$10,J$11,J$9)/12</f>
        <v>0</v>
      </c>
      <c r="P221">
        <f>IF($A221&gt;=K$10,K$11,K$9)/12</f>
        <v>0</v>
      </c>
      <c r="Q221">
        <f>IF($A221&gt;=L$10,L$11,L$9)/12</f>
        <v>0</v>
      </c>
      <c r="R221">
        <f>IF($A221&gt;=M$10,M$11,M$9)/12</f>
        <v>0</v>
      </c>
      <c r="S221">
        <f>IF($A221&gt;=N$10,N$11,N$9)/12</f>
        <v>0</v>
      </c>
      <c r="T221">
        <f>IF(C$6="",0,SUMIFS('Budget ed extra'!$G$7:$G$42,'Budget ed extra'!$J$7:$J$42,$A221,'Budget ed extra'!$H$7:$H$42,C$6))</f>
        <v>0</v>
      </c>
      <c r="U221">
        <f>IF(D$6="",0,SUMIFS('Budget ed extra'!$G$7:$G$42,'Budget ed extra'!$J$7:$J$42,$A221,'Budget ed extra'!$H$7:$H$42,D$6))</f>
        <v>0</v>
      </c>
      <c r="V221">
        <f>IF(E$6="",0,SUMIFS('Budget ed extra'!$G$7:$G$42,'Budget ed extra'!$J$7:$J$42,$A221,'Budget ed extra'!$H$7:$H$42,E$6))</f>
        <v>0</v>
      </c>
      <c r="W221">
        <f>IF(F$6="",0,SUMIFS('Budget ed extra'!$G$7:$G$42,'Budget ed extra'!$J$7:$J$42,$A221,'Budget ed extra'!$H$7:$H$42,F$6))</f>
        <v>0</v>
      </c>
      <c r="X221">
        <f>IF(G$6="",0,SUMIFS('Budget ed extra'!$G$7:$G$42,'Budget ed extra'!$J$7:$J$42,$A221,'Budget ed extra'!$H$7:$H$42,G$6))</f>
        <v>0</v>
      </c>
      <c r="Y221">
        <f>IF(H$6="",0,SUMIFS('Budget ed extra'!$G$7:$G$42,'Budget ed extra'!$J$7:$J$42,$A221,'Budget ed extra'!$H$7:$H$42,H$6))</f>
        <v>0</v>
      </c>
      <c r="Z221">
        <f>IF(I$6="",0,SUMIFS('Budget ed extra'!$G$7:$G$42,'Budget ed extra'!$J$7:$J$42,$A221,'Budget ed extra'!$H$7:$H$42,I$6))</f>
        <v>0</v>
      </c>
      <c r="AA221">
        <f>IF(J$6="",0,SUMIFS('Budget ed extra'!$G$7:$G$42,'Budget ed extra'!$J$7:$J$42,$A221,'Budget ed extra'!$H$7:$H$42,J$6))</f>
        <v>0</v>
      </c>
      <c r="AB221">
        <f>IF(K$6="",0,SUMIFS('Budget ed extra'!$G$7:$G$42,'Budget ed extra'!$J$7:$J$42,$A221,'Budget ed extra'!$H$7:$H$42,K$6))</f>
        <v>0</v>
      </c>
      <c r="AC221">
        <f>IF(L$6="",0,SUMIFS('Budget ed extra'!$G$7:$G$42,'Budget ed extra'!$J$7:$J$42,$A221,'Budget ed extra'!$H$7:$H$42,L$6))</f>
        <v>0</v>
      </c>
      <c r="AD221">
        <f>IF(M$6="",0,SUMIFS('Budget ed extra'!$G$7:$G$42,'Budget ed extra'!$J$7:$J$42,$A221,'Budget ed extra'!$H$7:$H$42,M$6))</f>
        <v>0</v>
      </c>
      <c r="AE221">
        <f>IF(N$6="",0,SUMIFS('Budget ed extra'!$G$7:$G$42,'Budget ed extra'!$J$7:$J$42,$A221,'Budget ed extra'!$H$7:$H$42,N$6))</f>
        <v>0</v>
      </c>
    </row>
    <row r="222">
      <c r="A222" t="n">
        <v>192</v>
      </c>
      <c r="B222">
        <f>DATE($B$2,$B$3+A222-1,1)</f>
        <v>52140.0</v>
      </c>
      <c r="C222">
        <f>IF(D222=0,N(Impostazioni!$B$6),SUMIFS('Budget ed extra'!$B$7:$B$18,'Budget ed extra'!$D$7:$D$18,D222)/COUNTIFS('Budget ed extra'!$D$7:$D$18,D222))</f>
        <v>900</v>
      </c>
      <c r="D222">
        <f>SUMPRODUCT(MAX(('Budget ed extra'!$D$7:$D$18&lt;=A222)*'Budget ed extra'!$D$7:$D$18))</f>
        <v>9</v>
      </c>
      <c r="E222">
        <f>SUMIFS('Budget ed extra'!$G$7:$G$42,'Budget ed extra'!$J$7:$J$42,A222)</f>
        <v>0</v>
      </c>
      <c r="F222">
        <f>SUM(T222:AE222)</f>
        <v>0</v>
      </c>
      <c r="G222">
        <f>MAX(0,E222-F222)</f>
        <v>0</v>
      </c>
      <c r="H222">
        <f>IF($A222&gt;=C$10,C$11,C$9)/12</f>
        <v>0.01575</v>
      </c>
      <c r="I222">
        <f>IF($A222&gt;=D$10,D$11,D$9)/12</f>
        <v>0.01825</v>
      </c>
      <c r="J222">
        <f>IF($A222&gt;=E$10,E$11,E$9)/12</f>
        <v>0.00766666666666667</v>
      </c>
      <c r="K222">
        <f>IF($A222&gt;=F$10,F$11,F$9)/12</f>
        <v>0.00533333333333333</v>
      </c>
      <c r="L222">
        <f>IF($A222&gt;=G$10,G$11,G$9)/12</f>
        <v>0</v>
      </c>
      <c r="M222">
        <f>IF($A222&gt;=H$10,H$11,H$9)/12</f>
        <v>0</v>
      </c>
      <c r="N222">
        <f>IF($A222&gt;=I$10,I$11,I$9)/12</f>
        <v>0</v>
      </c>
      <c r="O222">
        <f>IF($A222&gt;=J$10,J$11,J$9)/12</f>
        <v>0</v>
      </c>
      <c r="P222">
        <f>IF($A222&gt;=K$10,K$11,K$9)/12</f>
        <v>0</v>
      </c>
      <c r="Q222">
        <f>IF($A222&gt;=L$10,L$11,L$9)/12</f>
        <v>0</v>
      </c>
      <c r="R222">
        <f>IF($A222&gt;=M$10,M$11,M$9)/12</f>
        <v>0</v>
      </c>
      <c r="S222">
        <f>IF($A222&gt;=N$10,N$11,N$9)/12</f>
        <v>0</v>
      </c>
      <c r="T222">
        <f>IF(C$6="",0,SUMIFS('Budget ed extra'!$G$7:$G$42,'Budget ed extra'!$J$7:$J$42,$A222,'Budget ed extra'!$H$7:$H$42,C$6))</f>
        <v>0</v>
      </c>
      <c r="U222">
        <f>IF(D$6="",0,SUMIFS('Budget ed extra'!$G$7:$G$42,'Budget ed extra'!$J$7:$J$42,$A222,'Budget ed extra'!$H$7:$H$42,D$6))</f>
        <v>0</v>
      </c>
      <c r="V222">
        <f>IF(E$6="",0,SUMIFS('Budget ed extra'!$G$7:$G$42,'Budget ed extra'!$J$7:$J$42,$A222,'Budget ed extra'!$H$7:$H$42,E$6))</f>
        <v>0</v>
      </c>
      <c r="W222">
        <f>IF(F$6="",0,SUMIFS('Budget ed extra'!$G$7:$G$42,'Budget ed extra'!$J$7:$J$42,$A222,'Budget ed extra'!$H$7:$H$42,F$6))</f>
        <v>0</v>
      </c>
      <c r="X222">
        <f>IF(G$6="",0,SUMIFS('Budget ed extra'!$G$7:$G$42,'Budget ed extra'!$J$7:$J$42,$A222,'Budget ed extra'!$H$7:$H$42,G$6))</f>
        <v>0</v>
      </c>
      <c r="Y222">
        <f>IF(H$6="",0,SUMIFS('Budget ed extra'!$G$7:$G$42,'Budget ed extra'!$J$7:$J$42,$A222,'Budget ed extra'!$H$7:$H$42,H$6))</f>
        <v>0</v>
      </c>
      <c r="Z222">
        <f>IF(I$6="",0,SUMIFS('Budget ed extra'!$G$7:$G$42,'Budget ed extra'!$J$7:$J$42,$A222,'Budget ed extra'!$H$7:$H$42,I$6))</f>
        <v>0</v>
      </c>
      <c r="AA222">
        <f>IF(J$6="",0,SUMIFS('Budget ed extra'!$G$7:$G$42,'Budget ed extra'!$J$7:$J$42,$A222,'Budget ed extra'!$H$7:$H$42,J$6))</f>
        <v>0</v>
      </c>
      <c r="AB222">
        <f>IF(K$6="",0,SUMIFS('Budget ed extra'!$G$7:$G$42,'Budget ed extra'!$J$7:$J$42,$A222,'Budget ed extra'!$H$7:$H$42,K$6))</f>
        <v>0</v>
      </c>
      <c r="AC222">
        <f>IF(L$6="",0,SUMIFS('Budget ed extra'!$G$7:$G$42,'Budget ed extra'!$J$7:$J$42,$A222,'Budget ed extra'!$H$7:$H$42,L$6))</f>
        <v>0</v>
      </c>
      <c r="AD222">
        <f>IF(M$6="",0,SUMIFS('Budget ed extra'!$G$7:$G$42,'Budget ed extra'!$J$7:$J$42,$A222,'Budget ed extra'!$H$7:$H$42,M$6))</f>
        <v>0</v>
      </c>
      <c r="AE222">
        <f>IF(N$6="",0,SUMIFS('Budget ed extra'!$G$7:$G$42,'Budget ed extra'!$J$7:$J$42,$A222,'Budget ed extra'!$H$7:$H$42,N$6))</f>
        <v>0</v>
      </c>
    </row>
    <row r="223">
      <c r="A223" t="n">
        <v>193</v>
      </c>
      <c r="B223">
        <f>DATE($B$2,$B$3+A223-1,1)</f>
        <v>52171.0</v>
      </c>
      <c r="C223">
        <f>IF(D223=0,N(Impostazioni!$B$6),SUMIFS('Budget ed extra'!$B$7:$B$18,'Budget ed extra'!$D$7:$D$18,D223)/COUNTIFS('Budget ed extra'!$D$7:$D$18,D223))</f>
        <v>900</v>
      </c>
      <c r="D223">
        <f>SUMPRODUCT(MAX(('Budget ed extra'!$D$7:$D$18&lt;=A223)*'Budget ed extra'!$D$7:$D$18))</f>
        <v>9</v>
      </c>
      <c r="E223">
        <f>SUMIFS('Budget ed extra'!$G$7:$G$42,'Budget ed extra'!$J$7:$J$42,A223)</f>
        <v>0</v>
      </c>
      <c r="F223">
        <f>SUM(T223:AE223)</f>
        <v>0</v>
      </c>
      <c r="G223">
        <f>MAX(0,E223-F223)</f>
        <v>0</v>
      </c>
      <c r="H223">
        <f>IF($A223&gt;=C$10,C$11,C$9)/12</f>
        <v>0.01575</v>
      </c>
      <c r="I223">
        <f>IF($A223&gt;=D$10,D$11,D$9)/12</f>
        <v>0.01825</v>
      </c>
      <c r="J223">
        <f>IF($A223&gt;=E$10,E$11,E$9)/12</f>
        <v>0.00766666666666667</v>
      </c>
      <c r="K223">
        <f>IF($A223&gt;=F$10,F$11,F$9)/12</f>
        <v>0.00533333333333333</v>
      </c>
      <c r="L223">
        <f>IF($A223&gt;=G$10,G$11,G$9)/12</f>
        <v>0</v>
      </c>
      <c r="M223">
        <f>IF($A223&gt;=H$10,H$11,H$9)/12</f>
        <v>0</v>
      </c>
      <c r="N223">
        <f>IF($A223&gt;=I$10,I$11,I$9)/12</f>
        <v>0</v>
      </c>
      <c r="O223">
        <f>IF($A223&gt;=J$10,J$11,J$9)/12</f>
        <v>0</v>
      </c>
      <c r="P223">
        <f>IF($A223&gt;=K$10,K$11,K$9)/12</f>
        <v>0</v>
      </c>
      <c r="Q223">
        <f>IF($A223&gt;=L$10,L$11,L$9)/12</f>
        <v>0</v>
      </c>
      <c r="R223">
        <f>IF($A223&gt;=M$10,M$11,M$9)/12</f>
        <v>0</v>
      </c>
      <c r="S223">
        <f>IF($A223&gt;=N$10,N$11,N$9)/12</f>
        <v>0</v>
      </c>
      <c r="T223">
        <f>IF(C$6="",0,SUMIFS('Budget ed extra'!$G$7:$G$42,'Budget ed extra'!$J$7:$J$42,$A223,'Budget ed extra'!$H$7:$H$42,C$6))</f>
        <v>0</v>
      </c>
      <c r="U223">
        <f>IF(D$6="",0,SUMIFS('Budget ed extra'!$G$7:$G$42,'Budget ed extra'!$J$7:$J$42,$A223,'Budget ed extra'!$H$7:$H$42,D$6))</f>
        <v>0</v>
      </c>
      <c r="V223">
        <f>IF(E$6="",0,SUMIFS('Budget ed extra'!$G$7:$G$42,'Budget ed extra'!$J$7:$J$42,$A223,'Budget ed extra'!$H$7:$H$42,E$6))</f>
        <v>0</v>
      </c>
      <c r="W223">
        <f>IF(F$6="",0,SUMIFS('Budget ed extra'!$G$7:$G$42,'Budget ed extra'!$J$7:$J$42,$A223,'Budget ed extra'!$H$7:$H$42,F$6))</f>
        <v>0</v>
      </c>
      <c r="X223">
        <f>IF(G$6="",0,SUMIFS('Budget ed extra'!$G$7:$G$42,'Budget ed extra'!$J$7:$J$42,$A223,'Budget ed extra'!$H$7:$H$42,G$6))</f>
        <v>0</v>
      </c>
      <c r="Y223">
        <f>IF(H$6="",0,SUMIFS('Budget ed extra'!$G$7:$G$42,'Budget ed extra'!$J$7:$J$42,$A223,'Budget ed extra'!$H$7:$H$42,H$6))</f>
        <v>0</v>
      </c>
      <c r="Z223">
        <f>IF(I$6="",0,SUMIFS('Budget ed extra'!$G$7:$G$42,'Budget ed extra'!$J$7:$J$42,$A223,'Budget ed extra'!$H$7:$H$42,I$6))</f>
        <v>0</v>
      </c>
      <c r="AA223">
        <f>IF(J$6="",0,SUMIFS('Budget ed extra'!$G$7:$G$42,'Budget ed extra'!$J$7:$J$42,$A223,'Budget ed extra'!$H$7:$H$42,J$6))</f>
        <v>0</v>
      </c>
      <c r="AB223">
        <f>IF(K$6="",0,SUMIFS('Budget ed extra'!$G$7:$G$42,'Budget ed extra'!$J$7:$J$42,$A223,'Budget ed extra'!$H$7:$H$42,K$6))</f>
        <v>0</v>
      </c>
      <c r="AC223">
        <f>IF(L$6="",0,SUMIFS('Budget ed extra'!$G$7:$G$42,'Budget ed extra'!$J$7:$J$42,$A223,'Budget ed extra'!$H$7:$H$42,L$6))</f>
        <v>0</v>
      </c>
      <c r="AD223">
        <f>IF(M$6="",0,SUMIFS('Budget ed extra'!$G$7:$G$42,'Budget ed extra'!$J$7:$J$42,$A223,'Budget ed extra'!$H$7:$H$42,M$6))</f>
        <v>0</v>
      </c>
      <c r="AE223">
        <f>IF(N$6="",0,SUMIFS('Budget ed extra'!$G$7:$G$42,'Budget ed extra'!$J$7:$J$42,$A223,'Budget ed extra'!$H$7:$H$42,N$6))</f>
        <v>0</v>
      </c>
    </row>
    <row r="224">
      <c r="A224" t="n">
        <v>194</v>
      </c>
      <c r="B224">
        <f>DATE($B$2,$B$3+A224-1,1)</f>
        <v>52201.0</v>
      </c>
      <c r="C224">
        <f>IF(D224=0,N(Impostazioni!$B$6),SUMIFS('Budget ed extra'!$B$7:$B$18,'Budget ed extra'!$D$7:$D$18,D224)/COUNTIFS('Budget ed extra'!$D$7:$D$18,D224))</f>
        <v>900</v>
      </c>
      <c r="D224">
        <f>SUMPRODUCT(MAX(('Budget ed extra'!$D$7:$D$18&lt;=A224)*'Budget ed extra'!$D$7:$D$18))</f>
        <v>9</v>
      </c>
      <c r="E224">
        <f>SUMIFS('Budget ed extra'!$G$7:$G$42,'Budget ed extra'!$J$7:$J$42,A224)</f>
        <v>0</v>
      </c>
      <c r="F224">
        <f>SUM(T224:AE224)</f>
        <v>0</v>
      </c>
      <c r="G224">
        <f>MAX(0,E224-F224)</f>
        <v>0</v>
      </c>
      <c r="H224">
        <f>IF($A224&gt;=C$10,C$11,C$9)/12</f>
        <v>0.01575</v>
      </c>
      <c r="I224">
        <f>IF($A224&gt;=D$10,D$11,D$9)/12</f>
        <v>0.01825</v>
      </c>
      <c r="J224">
        <f>IF($A224&gt;=E$10,E$11,E$9)/12</f>
        <v>0.00766666666666667</v>
      </c>
      <c r="K224">
        <f>IF($A224&gt;=F$10,F$11,F$9)/12</f>
        <v>0.00533333333333333</v>
      </c>
      <c r="L224">
        <f>IF($A224&gt;=G$10,G$11,G$9)/12</f>
        <v>0</v>
      </c>
      <c r="M224">
        <f>IF($A224&gt;=H$10,H$11,H$9)/12</f>
        <v>0</v>
      </c>
      <c r="N224">
        <f>IF($A224&gt;=I$10,I$11,I$9)/12</f>
        <v>0</v>
      </c>
      <c r="O224">
        <f>IF($A224&gt;=J$10,J$11,J$9)/12</f>
        <v>0</v>
      </c>
      <c r="P224">
        <f>IF($A224&gt;=K$10,K$11,K$9)/12</f>
        <v>0</v>
      </c>
      <c r="Q224">
        <f>IF($A224&gt;=L$10,L$11,L$9)/12</f>
        <v>0</v>
      </c>
      <c r="R224">
        <f>IF($A224&gt;=M$10,M$11,M$9)/12</f>
        <v>0</v>
      </c>
      <c r="S224">
        <f>IF($A224&gt;=N$10,N$11,N$9)/12</f>
        <v>0</v>
      </c>
      <c r="T224">
        <f>IF(C$6="",0,SUMIFS('Budget ed extra'!$G$7:$G$42,'Budget ed extra'!$J$7:$J$42,$A224,'Budget ed extra'!$H$7:$H$42,C$6))</f>
        <v>0</v>
      </c>
      <c r="U224">
        <f>IF(D$6="",0,SUMIFS('Budget ed extra'!$G$7:$G$42,'Budget ed extra'!$J$7:$J$42,$A224,'Budget ed extra'!$H$7:$H$42,D$6))</f>
        <v>0</v>
      </c>
      <c r="V224">
        <f>IF(E$6="",0,SUMIFS('Budget ed extra'!$G$7:$G$42,'Budget ed extra'!$J$7:$J$42,$A224,'Budget ed extra'!$H$7:$H$42,E$6))</f>
        <v>0</v>
      </c>
      <c r="W224">
        <f>IF(F$6="",0,SUMIFS('Budget ed extra'!$G$7:$G$42,'Budget ed extra'!$J$7:$J$42,$A224,'Budget ed extra'!$H$7:$H$42,F$6))</f>
        <v>0</v>
      </c>
      <c r="X224">
        <f>IF(G$6="",0,SUMIFS('Budget ed extra'!$G$7:$G$42,'Budget ed extra'!$J$7:$J$42,$A224,'Budget ed extra'!$H$7:$H$42,G$6))</f>
        <v>0</v>
      </c>
      <c r="Y224">
        <f>IF(H$6="",0,SUMIFS('Budget ed extra'!$G$7:$G$42,'Budget ed extra'!$J$7:$J$42,$A224,'Budget ed extra'!$H$7:$H$42,H$6))</f>
        <v>0</v>
      </c>
      <c r="Z224">
        <f>IF(I$6="",0,SUMIFS('Budget ed extra'!$G$7:$G$42,'Budget ed extra'!$J$7:$J$42,$A224,'Budget ed extra'!$H$7:$H$42,I$6))</f>
        <v>0</v>
      </c>
      <c r="AA224">
        <f>IF(J$6="",0,SUMIFS('Budget ed extra'!$G$7:$G$42,'Budget ed extra'!$J$7:$J$42,$A224,'Budget ed extra'!$H$7:$H$42,J$6))</f>
        <v>0</v>
      </c>
      <c r="AB224">
        <f>IF(K$6="",0,SUMIFS('Budget ed extra'!$G$7:$G$42,'Budget ed extra'!$J$7:$J$42,$A224,'Budget ed extra'!$H$7:$H$42,K$6))</f>
        <v>0</v>
      </c>
      <c r="AC224">
        <f>IF(L$6="",0,SUMIFS('Budget ed extra'!$G$7:$G$42,'Budget ed extra'!$J$7:$J$42,$A224,'Budget ed extra'!$H$7:$H$42,L$6))</f>
        <v>0</v>
      </c>
      <c r="AD224">
        <f>IF(M$6="",0,SUMIFS('Budget ed extra'!$G$7:$G$42,'Budget ed extra'!$J$7:$J$42,$A224,'Budget ed extra'!$H$7:$H$42,M$6))</f>
        <v>0</v>
      </c>
      <c r="AE224">
        <f>IF(N$6="",0,SUMIFS('Budget ed extra'!$G$7:$G$42,'Budget ed extra'!$J$7:$J$42,$A224,'Budget ed extra'!$H$7:$H$42,N$6))</f>
        <v>0</v>
      </c>
    </row>
    <row r="225">
      <c r="A225" t="n">
        <v>195</v>
      </c>
      <c r="B225">
        <f>DATE($B$2,$B$3+A225-1,1)</f>
        <v>52232.0</v>
      </c>
      <c r="C225">
        <f>IF(D225=0,N(Impostazioni!$B$6),SUMIFS('Budget ed extra'!$B$7:$B$18,'Budget ed extra'!$D$7:$D$18,D225)/COUNTIFS('Budget ed extra'!$D$7:$D$18,D225))</f>
        <v>900</v>
      </c>
      <c r="D225">
        <f>SUMPRODUCT(MAX(('Budget ed extra'!$D$7:$D$18&lt;=A225)*'Budget ed extra'!$D$7:$D$18))</f>
        <v>9</v>
      </c>
      <c r="E225">
        <f>SUMIFS('Budget ed extra'!$G$7:$G$42,'Budget ed extra'!$J$7:$J$42,A225)</f>
        <v>0</v>
      </c>
      <c r="F225">
        <f>SUM(T225:AE225)</f>
        <v>0</v>
      </c>
      <c r="G225">
        <f>MAX(0,E225-F225)</f>
        <v>0</v>
      </c>
      <c r="H225">
        <f>IF($A225&gt;=C$10,C$11,C$9)/12</f>
        <v>0.01575</v>
      </c>
      <c r="I225">
        <f>IF($A225&gt;=D$10,D$11,D$9)/12</f>
        <v>0.01825</v>
      </c>
      <c r="J225">
        <f>IF($A225&gt;=E$10,E$11,E$9)/12</f>
        <v>0.00766666666666667</v>
      </c>
      <c r="K225">
        <f>IF($A225&gt;=F$10,F$11,F$9)/12</f>
        <v>0.00533333333333333</v>
      </c>
      <c r="L225">
        <f>IF($A225&gt;=G$10,G$11,G$9)/12</f>
        <v>0</v>
      </c>
      <c r="M225">
        <f>IF($A225&gt;=H$10,H$11,H$9)/12</f>
        <v>0</v>
      </c>
      <c r="N225">
        <f>IF($A225&gt;=I$10,I$11,I$9)/12</f>
        <v>0</v>
      </c>
      <c r="O225">
        <f>IF($A225&gt;=J$10,J$11,J$9)/12</f>
        <v>0</v>
      </c>
      <c r="P225">
        <f>IF($A225&gt;=K$10,K$11,K$9)/12</f>
        <v>0</v>
      </c>
      <c r="Q225">
        <f>IF($A225&gt;=L$10,L$11,L$9)/12</f>
        <v>0</v>
      </c>
      <c r="R225">
        <f>IF($A225&gt;=M$10,M$11,M$9)/12</f>
        <v>0</v>
      </c>
      <c r="S225">
        <f>IF($A225&gt;=N$10,N$11,N$9)/12</f>
        <v>0</v>
      </c>
      <c r="T225">
        <f>IF(C$6="",0,SUMIFS('Budget ed extra'!$G$7:$G$42,'Budget ed extra'!$J$7:$J$42,$A225,'Budget ed extra'!$H$7:$H$42,C$6))</f>
        <v>0</v>
      </c>
      <c r="U225">
        <f>IF(D$6="",0,SUMIFS('Budget ed extra'!$G$7:$G$42,'Budget ed extra'!$J$7:$J$42,$A225,'Budget ed extra'!$H$7:$H$42,D$6))</f>
        <v>0</v>
      </c>
      <c r="V225">
        <f>IF(E$6="",0,SUMIFS('Budget ed extra'!$G$7:$G$42,'Budget ed extra'!$J$7:$J$42,$A225,'Budget ed extra'!$H$7:$H$42,E$6))</f>
        <v>0</v>
      </c>
      <c r="W225">
        <f>IF(F$6="",0,SUMIFS('Budget ed extra'!$G$7:$G$42,'Budget ed extra'!$J$7:$J$42,$A225,'Budget ed extra'!$H$7:$H$42,F$6))</f>
        <v>0</v>
      </c>
      <c r="X225">
        <f>IF(G$6="",0,SUMIFS('Budget ed extra'!$G$7:$G$42,'Budget ed extra'!$J$7:$J$42,$A225,'Budget ed extra'!$H$7:$H$42,G$6))</f>
        <v>0</v>
      </c>
      <c r="Y225">
        <f>IF(H$6="",0,SUMIFS('Budget ed extra'!$G$7:$G$42,'Budget ed extra'!$J$7:$J$42,$A225,'Budget ed extra'!$H$7:$H$42,H$6))</f>
        <v>0</v>
      </c>
      <c r="Z225">
        <f>IF(I$6="",0,SUMIFS('Budget ed extra'!$G$7:$G$42,'Budget ed extra'!$J$7:$J$42,$A225,'Budget ed extra'!$H$7:$H$42,I$6))</f>
        <v>0</v>
      </c>
      <c r="AA225">
        <f>IF(J$6="",0,SUMIFS('Budget ed extra'!$G$7:$G$42,'Budget ed extra'!$J$7:$J$42,$A225,'Budget ed extra'!$H$7:$H$42,J$6))</f>
        <v>0</v>
      </c>
      <c r="AB225">
        <f>IF(K$6="",0,SUMIFS('Budget ed extra'!$G$7:$G$42,'Budget ed extra'!$J$7:$J$42,$A225,'Budget ed extra'!$H$7:$H$42,K$6))</f>
        <v>0</v>
      </c>
      <c r="AC225">
        <f>IF(L$6="",0,SUMIFS('Budget ed extra'!$G$7:$G$42,'Budget ed extra'!$J$7:$J$42,$A225,'Budget ed extra'!$H$7:$H$42,L$6))</f>
        <v>0</v>
      </c>
      <c r="AD225">
        <f>IF(M$6="",0,SUMIFS('Budget ed extra'!$G$7:$G$42,'Budget ed extra'!$J$7:$J$42,$A225,'Budget ed extra'!$H$7:$H$42,M$6))</f>
        <v>0</v>
      </c>
      <c r="AE225">
        <f>IF(N$6="",0,SUMIFS('Budget ed extra'!$G$7:$G$42,'Budget ed extra'!$J$7:$J$42,$A225,'Budget ed extra'!$H$7:$H$42,N$6))</f>
        <v>0</v>
      </c>
    </row>
    <row r="226">
      <c r="A226" t="n">
        <v>196</v>
      </c>
      <c r="B226">
        <f>DATE($B$2,$B$3+A226-1,1)</f>
        <v>52263.0</v>
      </c>
      <c r="C226">
        <f>IF(D226=0,N(Impostazioni!$B$6),SUMIFS('Budget ed extra'!$B$7:$B$18,'Budget ed extra'!$D$7:$D$18,D226)/COUNTIFS('Budget ed extra'!$D$7:$D$18,D226))</f>
        <v>900</v>
      </c>
      <c r="D226">
        <f>SUMPRODUCT(MAX(('Budget ed extra'!$D$7:$D$18&lt;=A226)*'Budget ed extra'!$D$7:$D$18))</f>
        <v>9</v>
      </c>
      <c r="E226">
        <f>SUMIFS('Budget ed extra'!$G$7:$G$42,'Budget ed extra'!$J$7:$J$42,A226)</f>
        <v>0</v>
      </c>
      <c r="F226">
        <f>SUM(T226:AE226)</f>
        <v>0</v>
      </c>
      <c r="G226">
        <f>MAX(0,E226-F226)</f>
        <v>0</v>
      </c>
      <c r="H226">
        <f>IF($A226&gt;=C$10,C$11,C$9)/12</f>
        <v>0.01575</v>
      </c>
      <c r="I226">
        <f>IF($A226&gt;=D$10,D$11,D$9)/12</f>
        <v>0.01825</v>
      </c>
      <c r="J226">
        <f>IF($A226&gt;=E$10,E$11,E$9)/12</f>
        <v>0.00766666666666667</v>
      </c>
      <c r="K226">
        <f>IF($A226&gt;=F$10,F$11,F$9)/12</f>
        <v>0.00533333333333333</v>
      </c>
      <c r="L226">
        <f>IF($A226&gt;=G$10,G$11,G$9)/12</f>
        <v>0</v>
      </c>
      <c r="M226">
        <f>IF($A226&gt;=H$10,H$11,H$9)/12</f>
        <v>0</v>
      </c>
      <c r="N226">
        <f>IF($A226&gt;=I$10,I$11,I$9)/12</f>
        <v>0</v>
      </c>
      <c r="O226">
        <f>IF($A226&gt;=J$10,J$11,J$9)/12</f>
        <v>0</v>
      </c>
      <c r="P226">
        <f>IF($A226&gt;=K$10,K$11,K$9)/12</f>
        <v>0</v>
      </c>
      <c r="Q226">
        <f>IF($A226&gt;=L$10,L$11,L$9)/12</f>
        <v>0</v>
      </c>
      <c r="R226">
        <f>IF($A226&gt;=M$10,M$11,M$9)/12</f>
        <v>0</v>
      </c>
      <c r="S226">
        <f>IF($A226&gt;=N$10,N$11,N$9)/12</f>
        <v>0</v>
      </c>
      <c r="T226">
        <f>IF(C$6="",0,SUMIFS('Budget ed extra'!$G$7:$G$42,'Budget ed extra'!$J$7:$J$42,$A226,'Budget ed extra'!$H$7:$H$42,C$6))</f>
        <v>0</v>
      </c>
      <c r="U226">
        <f>IF(D$6="",0,SUMIFS('Budget ed extra'!$G$7:$G$42,'Budget ed extra'!$J$7:$J$42,$A226,'Budget ed extra'!$H$7:$H$42,D$6))</f>
        <v>0</v>
      </c>
      <c r="V226">
        <f>IF(E$6="",0,SUMIFS('Budget ed extra'!$G$7:$G$42,'Budget ed extra'!$J$7:$J$42,$A226,'Budget ed extra'!$H$7:$H$42,E$6))</f>
        <v>0</v>
      </c>
      <c r="W226">
        <f>IF(F$6="",0,SUMIFS('Budget ed extra'!$G$7:$G$42,'Budget ed extra'!$J$7:$J$42,$A226,'Budget ed extra'!$H$7:$H$42,F$6))</f>
        <v>0</v>
      </c>
      <c r="X226">
        <f>IF(G$6="",0,SUMIFS('Budget ed extra'!$G$7:$G$42,'Budget ed extra'!$J$7:$J$42,$A226,'Budget ed extra'!$H$7:$H$42,G$6))</f>
        <v>0</v>
      </c>
      <c r="Y226">
        <f>IF(H$6="",0,SUMIFS('Budget ed extra'!$G$7:$G$42,'Budget ed extra'!$J$7:$J$42,$A226,'Budget ed extra'!$H$7:$H$42,H$6))</f>
        <v>0</v>
      </c>
      <c r="Z226">
        <f>IF(I$6="",0,SUMIFS('Budget ed extra'!$G$7:$G$42,'Budget ed extra'!$J$7:$J$42,$A226,'Budget ed extra'!$H$7:$H$42,I$6))</f>
        <v>0</v>
      </c>
      <c r="AA226">
        <f>IF(J$6="",0,SUMIFS('Budget ed extra'!$G$7:$G$42,'Budget ed extra'!$J$7:$J$42,$A226,'Budget ed extra'!$H$7:$H$42,J$6))</f>
        <v>0</v>
      </c>
      <c r="AB226">
        <f>IF(K$6="",0,SUMIFS('Budget ed extra'!$G$7:$G$42,'Budget ed extra'!$J$7:$J$42,$A226,'Budget ed extra'!$H$7:$H$42,K$6))</f>
        <v>0</v>
      </c>
      <c r="AC226">
        <f>IF(L$6="",0,SUMIFS('Budget ed extra'!$G$7:$G$42,'Budget ed extra'!$J$7:$J$42,$A226,'Budget ed extra'!$H$7:$H$42,L$6))</f>
        <v>0</v>
      </c>
      <c r="AD226">
        <f>IF(M$6="",0,SUMIFS('Budget ed extra'!$G$7:$G$42,'Budget ed extra'!$J$7:$J$42,$A226,'Budget ed extra'!$H$7:$H$42,M$6))</f>
        <v>0</v>
      </c>
      <c r="AE226">
        <f>IF(N$6="",0,SUMIFS('Budget ed extra'!$G$7:$G$42,'Budget ed extra'!$J$7:$J$42,$A226,'Budget ed extra'!$H$7:$H$42,N$6))</f>
        <v>0</v>
      </c>
    </row>
    <row r="227">
      <c r="A227" t="n">
        <v>197</v>
      </c>
      <c r="B227">
        <f>DATE($B$2,$B$3+A227-1,1)</f>
        <v>52291.0</v>
      </c>
      <c r="C227">
        <f>IF(D227=0,N(Impostazioni!$B$6),SUMIFS('Budget ed extra'!$B$7:$B$18,'Budget ed extra'!$D$7:$D$18,D227)/COUNTIFS('Budget ed extra'!$D$7:$D$18,D227))</f>
        <v>900</v>
      </c>
      <c r="D227">
        <f>SUMPRODUCT(MAX(('Budget ed extra'!$D$7:$D$18&lt;=A227)*'Budget ed extra'!$D$7:$D$18))</f>
        <v>9</v>
      </c>
      <c r="E227">
        <f>SUMIFS('Budget ed extra'!$G$7:$G$42,'Budget ed extra'!$J$7:$J$42,A227)</f>
        <v>0</v>
      </c>
      <c r="F227">
        <f>SUM(T227:AE227)</f>
        <v>0</v>
      </c>
      <c r="G227">
        <f>MAX(0,E227-F227)</f>
        <v>0</v>
      </c>
      <c r="H227">
        <f>IF($A227&gt;=C$10,C$11,C$9)/12</f>
        <v>0.01575</v>
      </c>
      <c r="I227">
        <f>IF($A227&gt;=D$10,D$11,D$9)/12</f>
        <v>0.01825</v>
      </c>
      <c r="J227">
        <f>IF($A227&gt;=E$10,E$11,E$9)/12</f>
        <v>0.00766666666666667</v>
      </c>
      <c r="K227">
        <f>IF($A227&gt;=F$10,F$11,F$9)/12</f>
        <v>0.00533333333333333</v>
      </c>
      <c r="L227">
        <f>IF($A227&gt;=G$10,G$11,G$9)/12</f>
        <v>0</v>
      </c>
      <c r="M227">
        <f>IF($A227&gt;=H$10,H$11,H$9)/12</f>
        <v>0</v>
      </c>
      <c r="N227">
        <f>IF($A227&gt;=I$10,I$11,I$9)/12</f>
        <v>0</v>
      </c>
      <c r="O227">
        <f>IF($A227&gt;=J$10,J$11,J$9)/12</f>
        <v>0</v>
      </c>
      <c r="P227">
        <f>IF($A227&gt;=K$10,K$11,K$9)/12</f>
        <v>0</v>
      </c>
      <c r="Q227">
        <f>IF($A227&gt;=L$10,L$11,L$9)/12</f>
        <v>0</v>
      </c>
      <c r="R227">
        <f>IF($A227&gt;=M$10,M$11,M$9)/12</f>
        <v>0</v>
      </c>
      <c r="S227">
        <f>IF($A227&gt;=N$10,N$11,N$9)/12</f>
        <v>0</v>
      </c>
      <c r="T227">
        <f>IF(C$6="",0,SUMIFS('Budget ed extra'!$G$7:$G$42,'Budget ed extra'!$J$7:$J$42,$A227,'Budget ed extra'!$H$7:$H$42,C$6))</f>
        <v>0</v>
      </c>
      <c r="U227">
        <f>IF(D$6="",0,SUMIFS('Budget ed extra'!$G$7:$G$42,'Budget ed extra'!$J$7:$J$42,$A227,'Budget ed extra'!$H$7:$H$42,D$6))</f>
        <v>0</v>
      </c>
      <c r="V227">
        <f>IF(E$6="",0,SUMIFS('Budget ed extra'!$G$7:$G$42,'Budget ed extra'!$J$7:$J$42,$A227,'Budget ed extra'!$H$7:$H$42,E$6))</f>
        <v>0</v>
      </c>
      <c r="W227">
        <f>IF(F$6="",0,SUMIFS('Budget ed extra'!$G$7:$G$42,'Budget ed extra'!$J$7:$J$42,$A227,'Budget ed extra'!$H$7:$H$42,F$6))</f>
        <v>0</v>
      </c>
      <c r="X227">
        <f>IF(G$6="",0,SUMIFS('Budget ed extra'!$G$7:$G$42,'Budget ed extra'!$J$7:$J$42,$A227,'Budget ed extra'!$H$7:$H$42,G$6))</f>
        <v>0</v>
      </c>
      <c r="Y227">
        <f>IF(H$6="",0,SUMIFS('Budget ed extra'!$G$7:$G$42,'Budget ed extra'!$J$7:$J$42,$A227,'Budget ed extra'!$H$7:$H$42,H$6))</f>
        <v>0</v>
      </c>
      <c r="Z227">
        <f>IF(I$6="",0,SUMIFS('Budget ed extra'!$G$7:$G$42,'Budget ed extra'!$J$7:$J$42,$A227,'Budget ed extra'!$H$7:$H$42,I$6))</f>
        <v>0</v>
      </c>
      <c r="AA227">
        <f>IF(J$6="",0,SUMIFS('Budget ed extra'!$G$7:$G$42,'Budget ed extra'!$J$7:$J$42,$A227,'Budget ed extra'!$H$7:$H$42,J$6))</f>
        <v>0</v>
      </c>
      <c r="AB227">
        <f>IF(K$6="",0,SUMIFS('Budget ed extra'!$G$7:$G$42,'Budget ed extra'!$J$7:$J$42,$A227,'Budget ed extra'!$H$7:$H$42,K$6))</f>
        <v>0</v>
      </c>
      <c r="AC227">
        <f>IF(L$6="",0,SUMIFS('Budget ed extra'!$G$7:$G$42,'Budget ed extra'!$J$7:$J$42,$A227,'Budget ed extra'!$H$7:$H$42,L$6))</f>
        <v>0</v>
      </c>
      <c r="AD227">
        <f>IF(M$6="",0,SUMIFS('Budget ed extra'!$G$7:$G$42,'Budget ed extra'!$J$7:$J$42,$A227,'Budget ed extra'!$H$7:$H$42,M$6))</f>
        <v>0</v>
      </c>
      <c r="AE227">
        <f>IF(N$6="",0,SUMIFS('Budget ed extra'!$G$7:$G$42,'Budget ed extra'!$J$7:$J$42,$A227,'Budget ed extra'!$H$7:$H$42,N$6))</f>
        <v>0</v>
      </c>
    </row>
    <row r="228">
      <c r="A228" t="n">
        <v>198</v>
      </c>
      <c r="B228">
        <f>DATE($B$2,$B$3+A228-1,1)</f>
        <v>52322.0</v>
      </c>
      <c r="C228">
        <f>IF(D228=0,N(Impostazioni!$B$6),SUMIFS('Budget ed extra'!$B$7:$B$18,'Budget ed extra'!$D$7:$D$18,D228)/COUNTIFS('Budget ed extra'!$D$7:$D$18,D228))</f>
        <v>900</v>
      </c>
      <c r="D228">
        <f>SUMPRODUCT(MAX(('Budget ed extra'!$D$7:$D$18&lt;=A228)*'Budget ed extra'!$D$7:$D$18))</f>
        <v>9</v>
      </c>
      <c r="E228">
        <f>SUMIFS('Budget ed extra'!$G$7:$G$42,'Budget ed extra'!$J$7:$J$42,A228)</f>
        <v>0</v>
      </c>
      <c r="F228">
        <f>SUM(T228:AE228)</f>
        <v>0</v>
      </c>
      <c r="G228">
        <f>MAX(0,E228-F228)</f>
        <v>0</v>
      </c>
      <c r="H228">
        <f>IF($A228&gt;=C$10,C$11,C$9)/12</f>
        <v>0.01575</v>
      </c>
      <c r="I228">
        <f>IF($A228&gt;=D$10,D$11,D$9)/12</f>
        <v>0.01825</v>
      </c>
      <c r="J228">
        <f>IF($A228&gt;=E$10,E$11,E$9)/12</f>
        <v>0.00766666666666667</v>
      </c>
      <c r="K228">
        <f>IF($A228&gt;=F$10,F$11,F$9)/12</f>
        <v>0.00533333333333333</v>
      </c>
      <c r="L228">
        <f>IF($A228&gt;=G$10,G$11,G$9)/12</f>
        <v>0</v>
      </c>
      <c r="M228">
        <f>IF($A228&gt;=H$10,H$11,H$9)/12</f>
        <v>0</v>
      </c>
      <c r="N228">
        <f>IF($A228&gt;=I$10,I$11,I$9)/12</f>
        <v>0</v>
      </c>
      <c r="O228">
        <f>IF($A228&gt;=J$10,J$11,J$9)/12</f>
        <v>0</v>
      </c>
      <c r="P228">
        <f>IF($A228&gt;=K$10,K$11,K$9)/12</f>
        <v>0</v>
      </c>
      <c r="Q228">
        <f>IF($A228&gt;=L$10,L$11,L$9)/12</f>
        <v>0</v>
      </c>
      <c r="R228">
        <f>IF($A228&gt;=M$10,M$11,M$9)/12</f>
        <v>0</v>
      </c>
      <c r="S228">
        <f>IF($A228&gt;=N$10,N$11,N$9)/12</f>
        <v>0</v>
      </c>
      <c r="T228">
        <f>IF(C$6="",0,SUMIFS('Budget ed extra'!$G$7:$G$42,'Budget ed extra'!$J$7:$J$42,$A228,'Budget ed extra'!$H$7:$H$42,C$6))</f>
        <v>0</v>
      </c>
      <c r="U228">
        <f>IF(D$6="",0,SUMIFS('Budget ed extra'!$G$7:$G$42,'Budget ed extra'!$J$7:$J$42,$A228,'Budget ed extra'!$H$7:$H$42,D$6))</f>
        <v>0</v>
      </c>
      <c r="V228">
        <f>IF(E$6="",0,SUMIFS('Budget ed extra'!$G$7:$G$42,'Budget ed extra'!$J$7:$J$42,$A228,'Budget ed extra'!$H$7:$H$42,E$6))</f>
        <v>0</v>
      </c>
      <c r="W228">
        <f>IF(F$6="",0,SUMIFS('Budget ed extra'!$G$7:$G$42,'Budget ed extra'!$J$7:$J$42,$A228,'Budget ed extra'!$H$7:$H$42,F$6))</f>
        <v>0</v>
      </c>
      <c r="X228">
        <f>IF(G$6="",0,SUMIFS('Budget ed extra'!$G$7:$G$42,'Budget ed extra'!$J$7:$J$42,$A228,'Budget ed extra'!$H$7:$H$42,G$6))</f>
        <v>0</v>
      </c>
      <c r="Y228">
        <f>IF(H$6="",0,SUMIFS('Budget ed extra'!$G$7:$G$42,'Budget ed extra'!$J$7:$J$42,$A228,'Budget ed extra'!$H$7:$H$42,H$6))</f>
        <v>0</v>
      </c>
      <c r="Z228">
        <f>IF(I$6="",0,SUMIFS('Budget ed extra'!$G$7:$G$42,'Budget ed extra'!$J$7:$J$42,$A228,'Budget ed extra'!$H$7:$H$42,I$6))</f>
        <v>0</v>
      </c>
      <c r="AA228">
        <f>IF(J$6="",0,SUMIFS('Budget ed extra'!$G$7:$G$42,'Budget ed extra'!$J$7:$J$42,$A228,'Budget ed extra'!$H$7:$H$42,J$6))</f>
        <v>0</v>
      </c>
      <c r="AB228">
        <f>IF(K$6="",0,SUMIFS('Budget ed extra'!$G$7:$G$42,'Budget ed extra'!$J$7:$J$42,$A228,'Budget ed extra'!$H$7:$H$42,K$6))</f>
        <v>0</v>
      </c>
      <c r="AC228">
        <f>IF(L$6="",0,SUMIFS('Budget ed extra'!$G$7:$G$42,'Budget ed extra'!$J$7:$J$42,$A228,'Budget ed extra'!$H$7:$H$42,L$6))</f>
        <v>0</v>
      </c>
      <c r="AD228">
        <f>IF(M$6="",0,SUMIFS('Budget ed extra'!$G$7:$G$42,'Budget ed extra'!$J$7:$J$42,$A228,'Budget ed extra'!$H$7:$H$42,M$6))</f>
        <v>0</v>
      </c>
      <c r="AE228">
        <f>IF(N$6="",0,SUMIFS('Budget ed extra'!$G$7:$G$42,'Budget ed extra'!$J$7:$J$42,$A228,'Budget ed extra'!$H$7:$H$42,N$6))</f>
        <v>0</v>
      </c>
    </row>
    <row r="229">
      <c r="A229" t="n">
        <v>199</v>
      </c>
      <c r="B229">
        <f>DATE($B$2,$B$3+A229-1,1)</f>
        <v>52352.0</v>
      </c>
      <c r="C229">
        <f>IF(D229=0,N(Impostazioni!$B$6),SUMIFS('Budget ed extra'!$B$7:$B$18,'Budget ed extra'!$D$7:$D$18,D229)/COUNTIFS('Budget ed extra'!$D$7:$D$18,D229))</f>
        <v>900</v>
      </c>
      <c r="D229">
        <f>SUMPRODUCT(MAX(('Budget ed extra'!$D$7:$D$18&lt;=A229)*'Budget ed extra'!$D$7:$D$18))</f>
        <v>9</v>
      </c>
      <c r="E229">
        <f>SUMIFS('Budget ed extra'!$G$7:$G$42,'Budget ed extra'!$J$7:$J$42,A229)</f>
        <v>0</v>
      </c>
      <c r="F229">
        <f>SUM(T229:AE229)</f>
        <v>0</v>
      </c>
      <c r="G229">
        <f>MAX(0,E229-F229)</f>
        <v>0</v>
      </c>
      <c r="H229">
        <f>IF($A229&gt;=C$10,C$11,C$9)/12</f>
        <v>0.01575</v>
      </c>
      <c r="I229">
        <f>IF($A229&gt;=D$10,D$11,D$9)/12</f>
        <v>0.01825</v>
      </c>
      <c r="J229">
        <f>IF($A229&gt;=E$10,E$11,E$9)/12</f>
        <v>0.00766666666666667</v>
      </c>
      <c r="K229">
        <f>IF($A229&gt;=F$10,F$11,F$9)/12</f>
        <v>0.00533333333333333</v>
      </c>
      <c r="L229">
        <f>IF($A229&gt;=G$10,G$11,G$9)/12</f>
        <v>0</v>
      </c>
      <c r="M229">
        <f>IF($A229&gt;=H$10,H$11,H$9)/12</f>
        <v>0</v>
      </c>
      <c r="N229">
        <f>IF($A229&gt;=I$10,I$11,I$9)/12</f>
        <v>0</v>
      </c>
      <c r="O229">
        <f>IF($A229&gt;=J$10,J$11,J$9)/12</f>
        <v>0</v>
      </c>
      <c r="P229">
        <f>IF($A229&gt;=K$10,K$11,K$9)/12</f>
        <v>0</v>
      </c>
      <c r="Q229">
        <f>IF($A229&gt;=L$10,L$11,L$9)/12</f>
        <v>0</v>
      </c>
      <c r="R229">
        <f>IF($A229&gt;=M$10,M$11,M$9)/12</f>
        <v>0</v>
      </c>
      <c r="S229">
        <f>IF($A229&gt;=N$10,N$11,N$9)/12</f>
        <v>0</v>
      </c>
      <c r="T229">
        <f>IF(C$6="",0,SUMIFS('Budget ed extra'!$G$7:$G$42,'Budget ed extra'!$J$7:$J$42,$A229,'Budget ed extra'!$H$7:$H$42,C$6))</f>
        <v>0</v>
      </c>
      <c r="U229">
        <f>IF(D$6="",0,SUMIFS('Budget ed extra'!$G$7:$G$42,'Budget ed extra'!$J$7:$J$42,$A229,'Budget ed extra'!$H$7:$H$42,D$6))</f>
        <v>0</v>
      </c>
      <c r="V229">
        <f>IF(E$6="",0,SUMIFS('Budget ed extra'!$G$7:$G$42,'Budget ed extra'!$J$7:$J$42,$A229,'Budget ed extra'!$H$7:$H$42,E$6))</f>
        <v>0</v>
      </c>
      <c r="W229">
        <f>IF(F$6="",0,SUMIFS('Budget ed extra'!$G$7:$G$42,'Budget ed extra'!$J$7:$J$42,$A229,'Budget ed extra'!$H$7:$H$42,F$6))</f>
        <v>0</v>
      </c>
      <c r="X229">
        <f>IF(G$6="",0,SUMIFS('Budget ed extra'!$G$7:$G$42,'Budget ed extra'!$J$7:$J$42,$A229,'Budget ed extra'!$H$7:$H$42,G$6))</f>
        <v>0</v>
      </c>
      <c r="Y229">
        <f>IF(H$6="",0,SUMIFS('Budget ed extra'!$G$7:$G$42,'Budget ed extra'!$J$7:$J$42,$A229,'Budget ed extra'!$H$7:$H$42,H$6))</f>
        <v>0</v>
      </c>
      <c r="Z229">
        <f>IF(I$6="",0,SUMIFS('Budget ed extra'!$G$7:$G$42,'Budget ed extra'!$J$7:$J$42,$A229,'Budget ed extra'!$H$7:$H$42,I$6))</f>
        <v>0</v>
      </c>
      <c r="AA229">
        <f>IF(J$6="",0,SUMIFS('Budget ed extra'!$G$7:$G$42,'Budget ed extra'!$J$7:$J$42,$A229,'Budget ed extra'!$H$7:$H$42,J$6))</f>
        <v>0</v>
      </c>
      <c r="AB229">
        <f>IF(K$6="",0,SUMIFS('Budget ed extra'!$G$7:$G$42,'Budget ed extra'!$J$7:$J$42,$A229,'Budget ed extra'!$H$7:$H$42,K$6))</f>
        <v>0</v>
      </c>
      <c r="AC229">
        <f>IF(L$6="",0,SUMIFS('Budget ed extra'!$G$7:$G$42,'Budget ed extra'!$J$7:$J$42,$A229,'Budget ed extra'!$H$7:$H$42,L$6))</f>
        <v>0</v>
      </c>
      <c r="AD229">
        <f>IF(M$6="",0,SUMIFS('Budget ed extra'!$G$7:$G$42,'Budget ed extra'!$J$7:$J$42,$A229,'Budget ed extra'!$H$7:$H$42,M$6))</f>
        <v>0</v>
      </c>
      <c r="AE229">
        <f>IF(N$6="",0,SUMIFS('Budget ed extra'!$G$7:$G$42,'Budget ed extra'!$J$7:$J$42,$A229,'Budget ed extra'!$H$7:$H$42,N$6))</f>
        <v>0</v>
      </c>
    </row>
    <row r="230">
      <c r="A230" t="n">
        <v>200</v>
      </c>
      <c r="B230">
        <f>DATE($B$2,$B$3+A230-1,1)</f>
        <v>52383.0</v>
      </c>
      <c r="C230">
        <f>IF(D230=0,N(Impostazioni!$B$6),SUMIFS('Budget ed extra'!$B$7:$B$18,'Budget ed extra'!$D$7:$D$18,D230)/COUNTIFS('Budget ed extra'!$D$7:$D$18,D230))</f>
        <v>900</v>
      </c>
      <c r="D230">
        <f>SUMPRODUCT(MAX(('Budget ed extra'!$D$7:$D$18&lt;=A230)*'Budget ed extra'!$D$7:$D$18))</f>
        <v>9</v>
      </c>
      <c r="E230">
        <f>SUMIFS('Budget ed extra'!$G$7:$G$42,'Budget ed extra'!$J$7:$J$42,A230)</f>
        <v>0</v>
      </c>
      <c r="F230">
        <f>SUM(T230:AE230)</f>
        <v>0</v>
      </c>
      <c r="G230">
        <f>MAX(0,E230-F230)</f>
        <v>0</v>
      </c>
      <c r="H230">
        <f>IF($A230&gt;=C$10,C$11,C$9)/12</f>
        <v>0.01575</v>
      </c>
      <c r="I230">
        <f>IF($A230&gt;=D$10,D$11,D$9)/12</f>
        <v>0.01825</v>
      </c>
      <c r="J230">
        <f>IF($A230&gt;=E$10,E$11,E$9)/12</f>
        <v>0.00766666666666667</v>
      </c>
      <c r="K230">
        <f>IF($A230&gt;=F$10,F$11,F$9)/12</f>
        <v>0.00533333333333333</v>
      </c>
      <c r="L230">
        <f>IF($A230&gt;=G$10,G$11,G$9)/12</f>
        <v>0</v>
      </c>
      <c r="M230">
        <f>IF($A230&gt;=H$10,H$11,H$9)/12</f>
        <v>0</v>
      </c>
      <c r="N230">
        <f>IF($A230&gt;=I$10,I$11,I$9)/12</f>
        <v>0</v>
      </c>
      <c r="O230">
        <f>IF($A230&gt;=J$10,J$11,J$9)/12</f>
        <v>0</v>
      </c>
      <c r="P230">
        <f>IF($A230&gt;=K$10,K$11,K$9)/12</f>
        <v>0</v>
      </c>
      <c r="Q230">
        <f>IF($A230&gt;=L$10,L$11,L$9)/12</f>
        <v>0</v>
      </c>
      <c r="R230">
        <f>IF($A230&gt;=M$10,M$11,M$9)/12</f>
        <v>0</v>
      </c>
      <c r="S230">
        <f>IF($A230&gt;=N$10,N$11,N$9)/12</f>
        <v>0</v>
      </c>
      <c r="T230">
        <f>IF(C$6="",0,SUMIFS('Budget ed extra'!$G$7:$G$42,'Budget ed extra'!$J$7:$J$42,$A230,'Budget ed extra'!$H$7:$H$42,C$6))</f>
        <v>0</v>
      </c>
      <c r="U230">
        <f>IF(D$6="",0,SUMIFS('Budget ed extra'!$G$7:$G$42,'Budget ed extra'!$J$7:$J$42,$A230,'Budget ed extra'!$H$7:$H$42,D$6))</f>
        <v>0</v>
      </c>
      <c r="V230">
        <f>IF(E$6="",0,SUMIFS('Budget ed extra'!$G$7:$G$42,'Budget ed extra'!$J$7:$J$42,$A230,'Budget ed extra'!$H$7:$H$42,E$6))</f>
        <v>0</v>
      </c>
      <c r="W230">
        <f>IF(F$6="",0,SUMIFS('Budget ed extra'!$G$7:$G$42,'Budget ed extra'!$J$7:$J$42,$A230,'Budget ed extra'!$H$7:$H$42,F$6))</f>
        <v>0</v>
      </c>
      <c r="X230">
        <f>IF(G$6="",0,SUMIFS('Budget ed extra'!$G$7:$G$42,'Budget ed extra'!$J$7:$J$42,$A230,'Budget ed extra'!$H$7:$H$42,G$6))</f>
        <v>0</v>
      </c>
      <c r="Y230">
        <f>IF(H$6="",0,SUMIFS('Budget ed extra'!$G$7:$G$42,'Budget ed extra'!$J$7:$J$42,$A230,'Budget ed extra'!$H$7:$H$42,H$6))</f>
        <v>0</v>
      </c>
      <c r="Z230">
        <f>IF(I$6="",0,SUMIFS('Budget ed extra'!$G$7:$G$42,'Budget ed extra'!$J$7:$J$42,$A230,'Budget ed extra'!$H$7:$H$42,I$6))</f>
        <v>0</v>
      </c>
      <c r="AA230">
        <f>IF(J$6="",0,SUMIFS('Budget ed extra'!$G$7:$G$42,'Budget ed extra'!$J$7:$J$42,$A230,'Budget ed extra'!$H$7:$H$42,J$6))</f>
        <v>0</v>
      </c>
      <c r="AB230">
        <f>IF(K$6="",0,SUMIFS('Budget ed extra'!$G$7:$G$42,'Budget ed extra'!$J$7:$J$42,$A230,'Budget ed extra'!$H$7:$H$42,K$6))</f>
        <v>0</v>
      </c>
      <c r="AC230">
        <f>IF(L$6="",0,SUMIFS('Budget ed extra'!$G$7:$G$42,'Budget ed extra'!$J$7:$J$42,$A230,'Budget ed extra'!$H$7:$H$42,L$6))</f>
        <v>0</v>
      </c>
      <c r="AD230">
        <f>IF(M$6="",0,SUMIFS('Budget ed extra'!$G$7:$G$42,'Budget ed extra'!$J$7:$J$42,$A230,'Budget ed extra'!$H$7:$H$42,M$6))</f>
        <v>0</v>
      </c>
      <c r="AE230">
        <f>IF(N$6="",0,SUMIFS('Budget ed extra'!$G$7:$G$42,'Budget ed extra'!$J$7:$J$42,$A230,'Budget ed extra'!$H$7:$H$42,N$6))</f>
        <v>0</v>
      </c>
    </row>
    <row r="231">
      <c r="A231" t="n">
        <v>201</v>
      </c>
      <c r="B231">
        <f>DATE($B$2,$B$3+A231-1,1)</f>
        <v>52413.0</v>
      </c>
      <c r="C231">
        <f>IF(D231=0,N(Impostazioni!$B$6),SUMIFS('Budget ed extra'!$B$7:$B$18,'Budget ed extra'!$D$7:$D$18,D231)/COUNTIFS('Budget ed extra'!$D$7:$D$18,D231))</f>
        <v>900</v>
      </c>
      <c r="D231">
        <f>SUMPRODUCT(MAX(('Budget ed extra'!$D$7:$D$18&lt;=A231)*'Budget ed extra'!$D$7:$D$18))</f>
        <v>9</v>
      </c>
      <c r="E231">
        <f>SUMIFS('Budget ed extra'!$G$7:$G$42,'Budget ed extra'!$J$7:$J$42,A231)</f>
        <v>0</v>
      </c>
      <c r="F231">
        <f>SUM(T231:AE231)</f>
        <v>0</v>
      </c>
      <c r="G231">
        <f>MAX(0,E231-F231)</f>
        <v>0</v>
      </c>
      <c r="H231">
        <f>IF($A231&gt;=C$10,C$11,C$9)/12</f>
        <v>0.01575</v>
      </c>
      <c r="I231">
        <f>IF($A231&gt;=D$10,D$11,D$9)/12</f>
        <v>0.01825</v>
      </c>
      <c r="J231">
        <f>IF($A231&gt;=E$10,E$11,E$9)/12</f>
        <v>0.00766666666666667</v>
      </c>
      <c r="K231">
        <f>IF($A231&gt;=F$10,F$11,F$9)/12</f>
        <v>0.00533333333333333</v>
      </c>
      <c r="L231">
        <f>IF($A231&gt;=G$10,G$11,G$9)/12</f>
        <v>0</v>
      </c>
      <c r="M231">
        <f>IF($A231&gt;=H$10,H$11,H$9)/12</f>
        <v>0</v>
      </c>
      <c r="N231">
        <f>IF($A231&gt;=I$10,I$11,I$9)/12</f>
        <v>0</v>
      </c>
      <c r="O231">
        <f>IF($A231&gt;=J$10,J$11,J$9)/12</f>
        <v>0</v>
      </c>
      <c r="P231">
        <f>IF($A231&gt;=K$10,K$11,K$9)/12</f>
        <v>0</v>
      </c>
      <c r="Q231">
        <f>IF($A231&gt;=L$10,L$11,L$9)/12</f>
        <v>0</v>
      </c>
      <c r="R231">
        <f>IF($A231&gt;=M$10,M$11,M$9)/12</f>
        <v>0</v>
      </c>
      <c r="S231">
        <f>IF($A231&gt;=N$10,N$11,N$9)/12</f>
        <v>0</v>
      </c>
      <c r="T231">
        <f>IF(C$6="",0,SUMIFS('Budget ed extra'!$G$7:$G$42,'Budget ed extra'!$J$7:$J$42,$A231,'Budget ed extra'!$H$7:$H$42,C$6))</f>
        <v>0</v>
      </c>
      <c r="U231">
        <f>IF(D$6="",0,SUMIFS('Budget ed extra'!$G$7:$G$42,'Budget ed extra'!$J$7:$J$42,$A231,'Budget ed extra'!$H$7:$H$42,D$6))</f>
        <v>0</v>
      </c>
      <c r="V231">
        <f>IF(E$6="",0,SUMIFS('Budget ed extra'!$G$7:$G$42,'Budget ed extra'!$J$7:$J$42,$A231,'Budget ed extra'!$H$7:$H$42,E$6))</f>
        <v>0</v>
      </c>
      <c r="W231">
        <f>IF(F$6="",0,SUMIFS('Budget ed extra'!$G$7:$G$42,'Budget ed extra'!$J$7:$J$42,$A231,'Budget ed extra'!$H$7:$H$42,F$6))</f>
        <v>0</v>
      </c>
      <c r="X231">
        <f>IF(G$6="",0,SUMIFS('Budget ed extra'!$G$7:$G$42,'Budget ed extra'!$J$7:$J$42,$A231,'Budget ed extra'!$H$7:$H$42,G$6))</f>
        <v>0</v>
      </c>
      <c r="Y231">
        <f>IF(H$6="",0,SUMIFS('Budget ed extra'!$G$7:$G$42,'Budget ed extra'!$J$7:$J$42,$A231,'Budget ed extra'!$H$7:$H$42,H$6))</f>
        <v>0</v>
      </c>
      <c r="Z231">
        <f>IF(I$6="",0,SUMIFS('Budget ed extra'!$G$7:$G$42,'Budget ed extra'!$J$7:$J$42,$A231,'Budget ed extra'!$H$7:$H$42,I$6))</f>
        <v>0</v>
      </c>
      <c r="AA231">
        <f>IF(J$6="",0,SUMIFS('Budget ed extra'!$G$7:$G$42,'Budget ed extra'!$J$7:$J$42,$A231,'Budget ed extra'!$H$7:$H$42,J$6))</f>
        <v>0</v>
      </c>
      <c r="AB231">
        <f>IF(K$6="",0,SUMIFS('Budget ed extra'!$G$7:$G$42,'Budget ed extra'!$J$7:$J$42,$A231,'Budget ed extra'!$H$7:$H$42,K$6))</f>
        <v>0</v>
      </c>
      <c r="AC231">
        <f>IF(L$6="",0,SUMIFS('Budget ed extra'!$G$7:$G$42,'Budget ed extra'!$J$7:$J$42,$A231,'Budget ed extra'!$H$7:$H$42,L$6))</f>
        <v>0</v>
      </c>
      <c r="AD231">
        <f>IF(M$6="",0,SUMIFS('Budget ed extra'!$G$7:$G$42,'Budget ed extra'!$J$7:$J$42,$A231,'Budget ed extra'!$H$7:$H$42,M$6))</f>
        <v>0</v>
      </c>
      <c r="AE231">
        <f>IF(N$6="",0,SUMIFS('Budget ed extra'!$G$7:$G$42,'Budget ed extra'!$J$7:$J$42,$A231,'Budget ed extra'!$H$7:$H$42,N$6))</f>
        <v>0</v>
      </c>
    </row>
    <row r="232">
      <c r="A232" t="n">
        <v>202</v>
      </c>
      <c r="B232">
        <f>DATE($B$2,$B$3+A232-1,1)</f>
        <v>52444.0</v>
      </c>
      <c r="C232">
        <f>IF(D232=0,N(Impostazioni!$B$6),SUMIFS('Budget ed extra'!$B$7:$B$18,'Budget ed extra'!$D$7:$D$18,D232)/COUNTIFS('Budget ed extra'!$D$7:$D$18,D232))</f>
        <v>900</v>
      </c>
      <c r="D232">
        <f>SUMPRODUCT(MAX(('Budget ed extra'!$D$7:$D$18&lt;=A232)*'Budget ed extra'!$D$7:$D$18))</f>
        <v>9</v>
      </c>
      <c r="E232">
        <f>SUMIFS('Budget ed extra'!$G$7:$G$42,'Budget ed extra'!$J$7:$J$42,A232)</f>
        <v>0</v>
      </c>
      <c r="F232">
        <f>SUM(T232:AE232)</f>
        <v>0</v>
      </c>
      <c r="G232">
        <f>MAX(0,E232-F232)</f>
        <v>0</v>
      </c>
      <c r="H232">
        <f>IF($A232&gt;=C$10,C$11,C$9)/12</f>
        <v>0.01575</v>
      </c>
      <c r="I232">
        <f>IF($A232&gt;=D$10,D$11,D$9)/12</f>
        <v>0.01825</v>
      </c>
      <c r="J232">
        <f>IF($A232&gt;=E$10,E$11,E$9)/12</f>
        <v>0.00766666666666667</v>
      </c>
      <c r="K232">
        <f>IF($A232&gt;=F$10,F$11,F$9)/12</f>
        <v>0.00533333333333333</v>
      </c>
      <c r="L232">
        <f>IF($A232&gt;=G$10,G$11,G$9)/12</f>
        <v>0</v>
      </c>
      <c r="M232">
        <f>IF($A232&gt;=H$10,H$11,H$9)/12</f>
        <v>0</v>
      </c>
      <c r="N232">
        <f>IF($A232&gt;=I$10,I$11,I$9)/12</f>
        <v>0</v>
      </c>
      <c r="O232">
        <f>IF($A232&gt;=J$10,J$11,J$9)/12</f>
        <v>0</v>
      </c>
      <c r="P232">
        <f>IF($A232&gt;=K$10,K$11,K$9)/12</f>
        <v>0</v>
      </c>
      <c r="Q232">
        <f>IF($A232&gt;=L$10,L$11,L$9)/12</f>
        <v>0</v>
      </c>
      <c r="R232">
        <f>IF($A232&gt;=M$10,M$11,M$9)/12</f>
        <v>0</v>
      </c>
      <c r="S232">
        <f>IF($A232&gt;=N$10,N$11,N$9)/12</f>
        <v>0</v>
      </c>
      <c r="T232">
        <f>IF(C$6="",0,SUMIFS('Budget ed extra'!$G$7:$G$42,'Budget ed extra'!$J$7:$J$42,$A232,'Budget ed extra'!$H$7:$H$42,C$6))</f>
        <v>0</v>
      </c>
      <c r="U232">
        <f>IF(D$6="",0,SUMIFS('Budget ed extra'!$G$7:$G$42,'Budget ed extra'!$J$7:$J$42,$A232,'Budget ed extra'!$H$7:$H$42,D$6))</f>
        <v>0</v>
      </c>
      <c r="V232">
        <f>IF(E$6="",0,SUMIFS('Budget ed extra'!$G$7:$G$42,'Budget ed extra'!$J$7:$J$42,$A232,'Budget ed extra'!$H$7:$H$42,E$6))</f>
        <v>0</v>
      </c>
      <c r="W232">
        <f>IF(F$6="",0,SUMIFS('Budget ed extra'!$G$7:$G$42,'Budget ed extra'!$J$7:$J$42,$A232,'Budget ed extra'!$H$7:$H$42,F$6))</f>
        <v>0</v>
      </c>
      <c r="X232">
        <f>IF(G$6="",0,SUMIFS('Budget ed extra'!$G$7:$G$42,'Budget ed extra'!$J$7:$J$42,$A232,'Budget ed extra'!$H$7:$H$42,G$6))</f>
        <v>0</v>
      </c>
      <c r="Y232">
        <f>IF(H$6="",0,SUMIFS('Budget ed extra'!$G$7:$G$42,'Budget ed extra'!$J$7:$J$42,$A232,'Budget ed extra'!$H$7:$H$42,H$6))</f>
        <v>0</v>
      </c>
      <c r="Z232">
        <f>IF(I$6="",0,SUMIFS('Budget ed extra'!$G$7:$G$42,'Budget ed extra'!$J$7:$J$42,$A232,'Budget ed extra'!$H$7:$H$42,I$6))</f>
        <v>0</v>
      </c>
      <c r="AA232">
        <f>IF(J$6="",0,SUMIFS('Budget ed extra'!$G$7:$G$42,'Budget ed extra'!$J$7:$J$42,$A232,'Budget ed extra'!$H$7:$H$42,J$6))</f>
        <v>0</v>
      </c>
      <c r="AB232">
        <f>IF(K$6="",0,SUMIFS('Budget ed extra'!$G$7:$G$42,'Budget ed extra'!$J$7:$J$42,$A232,'Budget ed extra'!$H$7:$H$42,K$6))</f>
        <v>0</v>
      </c>
      <c r="AC232">
        <f>IF(L$6="",0,SUMIFS('Budget ed extra'!$G$7:$G$42,'Budget ed extra'!$J$7:$J$42,$A232,'Budget ed extra'!$H$7:$H$42,L$6))</f>
        <v>0</v>
      </c>
      <c r="AD232">
        <f>IF(M$6="",0,SUMIFS('Budget ed extra'!$G$7:$G$42,'Budget ed extra'!$J$7:$J$42,$A232,'Budget ed extra'!$H$7:$H$42,M$6))</f>
        <v>0</v>
      </c>
      <c r="AE232">
        <f>IF(N$6="",0,SUMIFS('Budget ed extra'!$G$7:$G$42,'Budget ed extra'!$J$7:$J$42,$A232,'Budget ed extra'!$H$7:$H$42,N$6))</f>
        <v>0</v>
      </c>
    </row>
    <row r="233">
      <c r="A233" t="n">
        <v>203</v>
      </c>
      <c r="B233">
        <f>DATE($B$2,$B$3+A233-1,1)</f>
        <v>52475.0</v>
      </c>
      <c r="C233">
        <f>IF(D233=0,N(Impostazioni!$B$6),SUMIFS('Budget ed extra'!$B$7:$B$18,'Budget ed extra'!$D$7:$D$18,D233)/COUNTIFS('Budget ed extra'!$D$7:$D$18,D233))</f>
        <v>900</v>
      </c>
      <c r="D233">
        <f>SUMPRODUCT(MAX(('Budget ed extra'!$D$7:$D$18&lt;=A233)*'Budget ed extra'!$D$7:$D$18))</f>
        <v>9</v>
      </c>
      <c r="E233">
        <f>SUMIFS('Budget ed extra'!$G$7:$G$42,'Budget ed extra'!$J$7:$J$42,A233)</f>
        <v>0</v>
      </c>
      <c r="F233">
        <f>SUM(T233:AE233)</f>
        <v>0</v>
      </c>
      <c r="G233">
        <f>MAX(0,E233-F233)</f>
        <v>0</v>
      </c>
      <c r="H233">
        <f>IF($A233&gt;=C$10,C$11,C$9)/12</f>
        <v>0.01575</v>
      </c>
      <c r="I233">
        <f>IF($A233&gt;=D$10,D$11,D$9)/12</f>
        <v>0.01825</v>
      </c>
      <c r="J233">
        <f>IF($A233&gt;=E$10,E$11,E$9)/12</f>
        <v>0.00766666666666667</v>
      </c>
      <c r="K233">
        <f>IF($A233&gt;=F$10,F$11,F$9)/12</f>
        <v>0.00533333333333333</v>
      </c>
      <c r="L233">
        <f>IF($A233&gt;=G$10,G$11,G$9)/12</f>
        <v>0</v>
      </c>
      <c r="M233">
        <f>IF($A233&gt;=H$10,H$11,H$9)/12</f>
        <v>0</v>
      </c>
      <c r="N233">
        <f>IF($A233&gt;=I$10,I$11,I$9)/12</f>
        <v>0</v>
      </c>
      <c r="O233">
        <f>IF($A233&gt;=J$10,J$11,J$9)/12</f>
        <v>0</v>
      </c>
      <c r="P233">
        <f>IF($A233&gt;=K$10,K$11,K$9)/12</f>
        <v>0</v>
      </c>
      <c r="Q233">
        <f>IF($A233&gt;=L$10,L$11,L$9)/12</f>
        <v>0</v>
      </c>
      <c r="R233">
        <f>IF($A233&gt;=M$10,M$11,M$9)/12</f>
        <v>0</v>
      </c>
      <c r="S233">
        <f>IF($A233&gt;=N$10,N$11,N$9)/12</f>
        <v>0</v>
      </c>
      <c r="T233">
        <f>IF(C$6="",0,SUMIFS('Budget ed extra'!$G$7:$G$42,'Budget ed extra'!$J$7:$J$42,$A233,'Budget ed extra'!$H$7:$H$42,C$6))</f>
        <v>0</v>
      </c>
      <c r="U233">
        <f>IF(D$6="",0,SUMIFS('Budget ed extra'!$G$7:$G$42,'Budget ed extra'!$J$7:$J$42,$A233,'Budget ed extra'!$H$7:$H$42,D$6))</f>
        <v>0</v>
      </c>
      <c r="V233">
        <f>IF(E$6="",0,SUMIFS('Budget ed extra'!$G$7:$G$42,'Budget ed extra'!$J$7:$J$42,$A233,'Budget ed extra'!$H$7:$H$42,E$6))</f>
        <v>0</v>
      </c>
      <c r="W233">
        <f>IF(F$6="",0,SUMIFS('Budget ed extra'!$G$7:$G$42,'Budget ed extra'!$J$7:$J$42,$A233,'Budget ed extra'!$H$7:$H$42,F$6))</f>
        <v>0</v>
      </c>
      <c r="X233">
        <f>IF(G$6="",0,SUMIFS('Budget ed extra'!$G$7:$G$42,'Budget ed extra'!$J$7:$J$42,$A233,'Budget ed extra'!$H$7:$H$42,G$6))</f>
        <v>0</v>
      </c>
      <c r="Y233">
        <f>IF(H$6="",0,SUMIFS('Budget ed extra'!$G$7:$G$42,'Budget ed extra'!$J$7:$J$42,$A233,'Budget ed extra'!$H$7:$H$42,H$6))</f>
        <v>0</v>
      </c>
      <c r="Z233">
        <f>IF(I$6="",0,SUMIFS('Budget ed extra'!$G$7:$G$42,'Budget ed extra'!$J$7:$J$42,$A233,'Budget ed extra'!$H$7:$H$42,I$6))</f>
        <v>0</v>
      </c>
      <c r="AA233">
        <f>IF(J$6="",0,SUMIFS('Budget ed extra'!$G$7:$G$42,'Budget ed extra'!$J$7:$J$42,$A233,'Budget ed extra'!$H$7:$H$42,J$6))</f>
        <v>0</v>
      </c>
      <c r="AB233">
        <f>IF(K$6="",0,SUMIFS('Budget ed extra'!$G$7:$G$42,'Budget ed extra'!$J$7:$J$42,$A233,'Budget ed extra'!$H$7:$H$42,K$6))</f>
        <v>0</v>
      </c>
      <c r="AC233">
        <f>IF(L$6="",0,SUMIFS('Budget ed extra'!$G$7:$G$42,'Budget ed extra'!$J$7:$J$42,$A233,'Budget ed extra'!$H$7:$H$42,L$6))</f>
        <v>0</v>
      </c>
      <c r="AD233">
        <f>IF(M$6="",0,SUMIFS('Budget ed extra'!$G$7:$G$42,'Budget ed extra'!$J$7:$J$42,$A233,'Budget ed extra'!$H$7:$H$42,M$6))</f>
        <v>0</v>
      </c>
      <c r="AE233">
        <f>IF(N$6="",0,SUMIFS('Budget ed extra'!$G$7:$G$42,'Budget ed extra'!$J$7:$J$42,$A233,'Budget ed extra'!$H$7:$H$42,N$6))</f>
        <v>0</v>
      </c>
    </row>
    <row r="234">
      <c r="A234" t="n">
        <v>204</v>
      </c>
      <c r="B234">
        <f>DATE($B$2,$B$3+A234-1,1)</f>
        <v>52505.0</v>
      </c>
      <c r="C234">
        <f>IF(D234=0,N(Impostazioni!$B$6),SUMIFS('Budget ed extra'!$B$7:$B$18,'Budget ed extra'!$D$7:$D$18,D234)/COUNTIFS('Budget ed extra'!$D$7:$D$18,D234))</f>
        <v>900</v>
      </c>
      <c r="D234">
        <f>SUMPRODUCT(MAX(('Budget ed extra'!$D$7:$D$18&lt;=A234)*'Budget ed extra'!$D$7:$D$18))</f>
        <v>9</v>
      </c>
      <c r="E234">
        <f>SUMIFS('Budget ed extra'!$G$7:$G$42,'Budget ed extra'!$J$7:$J$42,A234)</f>
        <v>0</v>
      </c>
      <c r="F234">
        <f>SUM(T234:AE234)</f>
        <v>0</v>
      </c>
      <c r="G234">
        <f>MAX(0,E234-F234)</f>
        <v>0</v>
      </c>
      <c r="H234">
        <f>IF($A234&gt;=C$10,C$11,C$9)/12</f>
        <v>0.01575</v>
      </c>
      <c r="I234">
        <f>IF($A234&gt;=D$10,D$11,D$9)/12</f>
        <v>0.01825</v>
      </c>
      <c r="J234">
        <f>IF($A234&gt;=E$10,E$11,E$9)/12</f>
        <v>0.00766666666666667</v>
      </c>
      <c r="K234">
        <f>IF($A234&gt;=F$10,F$11,F$9)/12</f>
        <v>0.00533333333333333</v>
      </c>
      <c r="L234">
        <f>IF($A234&gt;=G$10,G$11,G$9)/12</f>
        <v>0</v>
      </c>
      <c r="M234">
        <f>IF($A234&gt;=H$10,H$11,H$9)/12</f>
        <v>0</v>
      </c>
      <c r="N234">
        <f>IF($A234&gt;=I$10,I$11,I$9)/12</f>
        <v>0</v>
      </c>
      <c r="O234">
        <f>IF($A234&gt;=J$10,J$11,J$9)/12</f>
        <v>0</v>
      </c>
      <c r="P234">
        <f>IF($A234&gt;=K$10,K$11,K$9)/12</f>
        <v>0</v>
      </c>
      <c r="Q234">
        <f>IF($A234&gt;=L$10,L$11,L$9)/12</f>
        <v>0</v>
      </c>
      <c r="R234">
        <f>IF($A234&gt;=M$10,M$11,M$9)/12</f>
        <v>0</v>
      </c>
      <c r="S234">
        <f>IF($A234&gt;=N$10,N$11,N$9)/12</f>
        <v>0</v>
      </c>
      <c r="T234">
        <f>IF(C$6="",0,SUMIFS('Budget ed extra'!$G$7:$G$42,'Budget ed extra'!$J$7:$J$42,$A234,'Budget ed extra'!$H$7:$H$42,C$6))</f>
        <v>0</v>
      </c>
      <c r="U234">
        <f>IF(D$6="",0,SUMIFS('Budget ed extra'!$G$7:$G$42,'Budget ed extra'!$J$7:$J$42,$A234,'Budget ed extra'!$H$7:$H$42,D$6))</f>
        <v>0</v>
      </c>
      <c r="V234">
        <f>IF(E$6="",0,SUMIFS('Budget ed extra'!$G$7:$G$42,'Budget ed extra'!$J$7:$J$42,$A234,'Budget ed extra'!$H$7:$H$42,E$6))</f>
        <v>0</v>
      </c>
      <c r="W234">
        <f>IF(F$6="",0,SUMIFS('Budget ed extra'!$G$7:$G$42,'Budget ed extra'!$J$7:$J$42,$A234,'Budget ed extra'!$H$7:$H$42,F$6))</f>
        <v>0</v>
      </c>
      <c r="X234">
        <f>IF(G$6="",0,SUMIFS('Budget ed extra'!$G$7:$G$42,'Budget ed extra'!$J$7:$J$42,$A234,'Budget ed extra'!$H$7:$H$42,G$6))</f>
        <v>0</v>
      </c>
      <c r="Y234">
        <f>IF(H$6="",0,SUMIFS('Budget ed extra'!$G$7:$G$42,'Budget ed extra'!$J$7:$J$42,$A234,'Budget ed extra'!$H$7:$H$42,H$6))</f>
        <v>0</v>
      </c>
      <c r="Z234">
        <f>IF(I$6="",0,SUMIFS('Budget ed extra'!$G$7:$G$42,'Budget ed extra'!$J$7:$J$42,$A234,'Budget ed extra'!$H$7:$H$42,I$6))</f>
        <v>0</v>
      </c>
      <c r="AA234">
        <f>IF(J$6="",0,SUMIFS('Budget ed extra'!$G$7:$G$42,'Budget ed extra'!$J$7:$J$42,$A234,'Budget ed extra'!$H$7:$H$42,J$6))</f>
        <v>0</v>
      </c>
      <c r="AB234">
        <f>IF(K$6="",0,SUMIFS('Budget ed extra'!$G$7:$G$42,'Budget ed extra'!$J$7:$J$42,$A234,'Budget ed extra'!$H$7:$H$42,K$6))</f>
        <v>0</v>
      </c>
      <c r="AC234">
        <f>IF(L$6="",0,SUMIFS('Budget ed extra'!$G$7:$G$42,'Budget ed extra'!$J$7:$J$42,$A234,'Budget ed extra'!$H$7:$H$42,L$6))</f>
        <v>0</v>
      </c>
      <c r="AD234">
        <f>IF(M$6="",0,SUMIFS('Budget ed extra'!$G$7:$G$42,'Budget ed extra'!$J$7:$J$42,$A234,'Budget ed extra'!$H$7:$H$42,M$6))</f>
        <v>0</v>
      </c>
      <c r="AE234">
        <f>IF(N$6="",0,SUMIFS('Budget ed extra'!$G$7:$G$42,'Budget ed extra'!$J$7:$J$42,$A234,'Budget ed extra'!$H$7:$H$42,N$6))</f>
        <v>0</v>
      </c>
    </row>
    <row r="235">
      <c r="A235" t="n">
        <v>205</v>
      </c>
      <c r="B235">
        <f>DATE($B$2,$B$3+A235-1,1)</f>
        <v>52536.0</v>
      </c>
      <c r="C235">
        <f>IF(D235=0,N(Impostazioni!$B$6),SUMIFS('Budget ed extra'!$B$7:$B$18,'Budget ed extra'!$D$7:$D$18,D235)/COUNTIFS('Budget ed extra'!$D$7:$D$18,D235))</f>
        <v>900</v>
      </c>
      <c r="D235">
        <f>SUMPRODUCT(MAX(('Budget ed extra'!$D$7:$D$18&lt;=A235)*'Budget ed extra'!$D$7:$D$18))</f>
        <v>9</v>
      </c>
      <c r="E235">
        <f>SUMIFS('Budget ed extra'!$G$7:$G$42,'Budget ed extra'!$J$7:$J$42,A235)</f>
        <v>0</v>
      </c>
      <c r="F235">
        <f>SUM(T235:AE235)</f>
        <v>0</v>
      </c>
      <c r="G235">
        <f>MAX(0,E235-F235)</f>
        <v>0</v>
      </c>
      <c r="H235">
        <f>IF($A235&gt;=C$10,C$11,C$9)/12</f>
        <v>0.01575</v>
      </c>
      <c r="I235">
        <f>IF($A235&gt;=D$10,D$11,D$9)/12</f>
        <v>0.01825</v>
      </c>
      <c r="J235">
        <f>IF($A235&gt;=E$10,E$11,E$9)/12</f>
        <v>0.00766666666666667</v>
      </c>
      <c r="K235">
        <f>IF($A235&gt;=F$10,F$11,F$9)/12</f>
        <v>0.00533333333333333</v>
      </c>
      <c r="L235">
        <f>IF($A235&gt;=G$10,G$11,G$9)/12</f>
        <v>0</v>
      </c>
      <c r="M235">
        <f>IF($A235&gt;=H$10,H$11,H$9)/12</f>
        <v>0</v>
      </c>
      <c r="N235">
        <f>IF($A235&gt;=I$10,I$11,I$9)/12</f>
        <v>0</v>
      </c>
      <c r="O235">
        <f>IF($A235&gt;=J$10,J$11,J$9)/12</f>
        <v>0</v>
      </c>
      <c r="P235">
        <f>IF($A235&gt;=K$10,K$11,K$9)/12</f>
        <v>0</v>
      </c>
      <c r="Q235">
        <f>IF($A235&gt;=L$10,L$11,L$9)/12</f>
        <v>0</v>
      </c>
      <c r="R235">
        <f>IF($A235&gt;=M$10,M$11,M$9)/12</f>
        <v>0</v>
      </c>
      <c r="S235">
        <f>IF($A235&gt;=N$10,N$11,N$9)/12</f>
        <v>0</v>
      </c>
      <c r="T235">
        <f>IF(C$6="",0,SUMIFS('Budget ed extra'!$G$7:$G$42,'Budget ed extra'!$J$7:$J$42,$A235,'Budget ed extra'!$H$7:$H$42,C$6))</f>
        <v>0</v>
      </c>
      <c r="U235">
        <f>IF(D$6="",0,SUMIFS('Budget ed extra'!$G$7:$G$42,'Budget ed extra'!$J$7:$J$42,$A235,'Budget ed extra'!$H$7:$H$42,D$6))</f>
        <v>0</v>
      </c>
      <c r="V235">
        <f>IF(E$6="",0,SUMIFS('Budget ed extra'!$G$7:$G$42,'Budget ed extra'!$J$7:$J$42,$A235,'Budget ed extra'!$H$7:$H$42,E$6))</f>
        <v>0</v>
      </c>
      <c r="W235">
        <f>IF(F$6="",0,SUMIFS('Budget ed extra'!$G$7:$G$42,'Budget ed extra'!$J$7:$J$42,$A235,'Budget ed extra'!$H$7:$H$42,F$6))</f>
        <v>0</v>
      </c>
      <c r="X235">
        <f>IF(G$6="",0,SUMIFS('Budget ed extra'!$G$7:$G$42,'Budget ed extra'!$J$7:$J$42,$A235,'Budget ed extra'!$H$7:$H$42,G$6))</f>
        <v>0</v>
      </c>
      <c r="Y235">
        <f>IF(H$6="",0,SUMIFS('Budget ed extra'!$G$7:$G$42,'Budget ed extra'!$J$7:$J$42,$A235,'Budget ed extra'!$H$7:$H$42,H$6))</f>
        <v>0</v>
      </c>
      <c r="Z235">
        <f>IF(I$6="",0,SUMIFS('Budget ed extra'!$G$7:$G$42,'Budget ed extra'!$J$7:$J$42,$A235,'Budget ed extra'!$H$7:$H$42,I$6))</f>
        <v>0</v>
      </c>
      <c r="AA235">
        <f>IF(J$6="",0,SUMIFS('Budget ed extra'!$G$7:$G$42,'Budget ed extra'!$J$7:$J$42,$A235,'Budget ed extra'!$H$7:$H$42,J$6))</f>
        <v>0</v>
      </c>
      <c r="AB235">
        <f>IF(K$6="",0,SUMIFS('Budget ed extra'!$G$7:$G$42,'Budget ed extra'!$J$7:$J$42,$A235,'Budget ed extra'!$H$7:$H$42,K$6))</f>
        <v>0</v>
      </c>
      <c r="AC235">
        <f>IF(L$6="",0,SUMIFS('Budget ed extra'!$G$7:$G$42,'Budget ed extra'!$J$7:$J$42,$A235,'Budget ed extra'!$H$7:$H$42,L$6))</f>
        <v>0</v>
      </c>
      <c r="AD235">
        <f>IF(M$6="",0,SUMIFS('Budget ed extra'!$G$7:$G$42,'Budget ed extra'!$J$7:$J$42,$A235,'Budget ed extra'!$H$7:$H$42,M$6))</f>
        <v>0</v>
      </c>
      <c r="AE235">
        <f>IF(N$6="",0,SUMIFS('Budget ed extra'!$G$7:$G$42,'Budget ed extra'!$J$7:$J$42,$A235,'Budget ed extra'!$H$7:$H$42,N$6))</f>
        <v>0</v>
      </c>
    </row>
    <row r="236">
      <c r="A236" t="n">
        <v>206</v>
      </c>
      <c r="B236">
        <f>DATE($B$2,$B$3+A236-1,1)</f>
        <v>52566.0</v>
      </c>
      <c r="C236">
        <f>IF(D236=0,N(Impostazioni!$B$6),SUMIFS('Budget ed extra'!$B$7:$B$18,'Budget ed extra'!$D$7:$D$18,D236)/COUNTIFS('Budget ed extra'!$D$7:$D$18,D236))</f>
        <v>900</v>
      </c>
      <c r="D236">
        <f>SUMPRODUCT(MAX(('Budget ed extra'!$D$7:$D$18&lt;=A236)*'Budget ed extra'!$D$7:$D$18))</f>
        <v>9</v>
      </c>
      <c r="E236">
        <f>SUMIFS('Budget ed extra'!$G$7:$G$42,'Budget ed extra'!$J$7:$J$42,A236)</f>
        <v>0</v>
      </c>
      <c r="F236">
        <f>SUM(T236:AE236)</f>
        <v>0</v>
      </c>
      <c r="G236">
        <f>MAX(0,E236-F236)</f>
        <v>0</v>
      </c>
      <c r="H236">
        <f>IF($A236&gt;=C$10,C$11,C$9)/12</f>
        <v>0.01575</v>
      </c>
      <c r="I236">
        <f>IF($A236&gt;=D$10,D$11,D$9)/12</f>
        <v>0.01825</v>
      </c>
      <c r="J236">
        <f>IF($A236&gt;=E$10,E$11,E$9)/12</f>
        <v>0.00766666666666667</v>
      </c>
      <c r="K236">
        <f>IF($A236&gt;=F$10,F$11,F$9)/12</f>
        <v>0.00533333333333333</v>
      </c>
      <c r="L236">
        <f>IF($A236&gt;=G$10,G$11,G$9)/12</f>
        <v>0</v>
      </c>
      <c r="M236">
        <f>IF($A236&gt;=H$10,H$11,H$9)/12</f>
        <v>0</v>
      </c>
      <c r="N236">
        <f>IF($A236&gt;=I$10,I$11,I$9)/12</f>
        <v>0</v>
      </c>
      <c r="O236">
        <f>IF($A236&gt;=J$10,J$11,J$9)/12</f>
        <v>0</v>
      </c>
      <c r="P236">
        <f>IF($A236&gt;=K$10,K$11,K$9)/12</f>
        <v>0</v>
      </c>
      <c r="Q236">
        <f>IF($A236&gt;=L$10,L$11,L$9)/12</f>
        <v>0</v>
      </c>
      <c r="R236">
        <f>IF($A236&gt;=M$10,M$11,M$9)/12</f>
        <v>0</v>
      </c>
      <c r="S236">
        <f>IF($A236&gt;=N$10,N$11,N$9)/12</f>
        <v>0</v>
      </c>
      <c r="T236">
        <f>IF(C$6="",0,SUMIFS('Budget ed extra'!$G$7:$G$42,'Budget ed extra'!$J$7:$J$42,$A236,'Budget ed extra'!$H$7:$H$42,C$6))</f>
        <v>0</v>
      </c>
      <c r="U236">
        <f>IF(D$6="",0,SUMIFS('Budget ed extra'!$G$7:$G$42,'Budget ed extra'!$J$7:$J$42,$A236,'Budget ed extra'!$H$7:$H$42,D$6))</f>
        <v>0</v>
      </c>
      <c r="V236">
        <f>IF(E$6="",0,SUMIFS('Budget ed extra'!$G$7:$G$42,'Budget ed extra'!$J$7:$J$42,$A236,'Budget ed extra'!$H$7:$H$42,E$6))</f>
        <v>0</v>
      </c>
      <c r="W236">
        <f>IF(F$6="",0,SUMIFS('Budget ed extra'!$G$7:$G$42,'Budget ed extra'!$J$7:$J$42,$A236,'Budget ed extra'!$H$7:$H$42,F$6))</f>
        <v>0</v>
      </c>
      <c r="X236">
        <f>IF(G$6="",0,SUMIFS('Budget ed extra'!$G$7:$G$42,'Budget ed extra'!$J$7:$J$42,$A236,'Budget ed extra'!$H$7:$H$42,G$6))</f>
        <v>0</v>
      </c>
      <c r="Y236">
        <f>IF(H$6="",0,SUMIFS('Budget ed extra'!$G$7:$G$42,'Budget ed extra'!$J$7:$J$42,$A236,'Budget ed extra'!$H$7:$H$42,H$6))</f>
        <v>0</v>
      </c>
      <c r="Z236">
        <f>IF(I$6="",0,SUMIFS('Budget ed extra'!$G$7:$G$42,'Budget ed extra'!$J$7:$J$42,$A236,'Budget ed extra'!$H$7:$H$42,I$6))</f>
        <v>0</v>
      </c>
      <c r="AA236">
        <f>IF(J$6="",0,SUMIFS('Budget ed extra'!$G$7:$G$42,'Budget ed extra'!$J$7:$J$42,$A236,'Budget ed extra'!$H$7:$H$42,J$6))</f>
        <v>0</v>
      </c>
      <c r="AB236">
        <f>IF(K$6="",0,SUMIFS('Budget ed extra'!$G$7:$G$42,'Budget ed extra'!$J$7:$J$42,$A236,'Budget ed extra'!$H$7:$H$42,K$6))</f>
        <v>0</v>
      </c>
      <c r="AC236">
        <f>IF(L$6="",0,SUMIFS('Budget ed extra'!$G$7:$G$42,'Budget ed extra'!$J$7:$J$42,$A236,'Budget ed extra'!$H$7:$H$42,L$6))</f>
        <v>0</v>
      </c>
      <c r="AD236">
        <f>IF(M$6="",0,SUMIFS('Budget ed extra'!$G$7:$G$42,'Budget ed extra'!$J$7:$J$42,$A236,'Budget ed extra'!$H$7:$H$42,M$6))</f>
        <v>0</v>
      </c>
      <c r="AE236">
        <f>IF(N$6="",0,SUMIFS('Budget ed extra'!$G$7:$G$42,'Budget ed extra'!$J$7:$J$42,$A236,'Budget ed extra'!$H$7:$H$42,N$6))</f>
        <v>0</v>
      </c>
    </row>
    <row r="237">
      <c r="A237" t="n">
        <v>207</v>
      </c>
      <c r="B237">
        <f>DATE($B$2,$B$3+A237-1,1)</f>
        <v>52597.0</v>
      </c>
      <c r="C237">
        <f>IF(D237=0,N(Impostazioni!$B$6),SUMIFS('Budget ed extra'!$B$7:$B$18,'Budget ed extra'!$D$7:$D$18,D237)/COUNTIFS('Budget ed extra'!$D$7:$D$18,D237))</f>
        <v>900</v>
      </c>
      <c r="D237">
        <f>SUMPRODUCT(MAX(('Budget ed extra'!$D$7:$D$18&lt;=A237)*'Budget ed extra'!$D$7:$D$18))</f>
        <v>9</v>
      </c>
      <c r="E237">
        <f>SUMIFS('Budget ed extra'!$G$7:$G$42,'Budget ed extra'!$J$7:$J$42,A237)</f>
        <v>0</v>
      </c>
      <c r="F237">
        <f>SUM(T237:AE237)</f>
        <v>0</v>
      </c>
      <c r="G237">
        <f>MAX(0,E237-F237)</f>
        <v>0</v>
      </c>
      <c r="H237">
        <f>IF($A237&gt;=C$10,C$11,C$9)/12</f>
        <v>0.01575</v>
      </c>
      <c r="I237">
        <f>IF($A237&gt;=D$10,D$11,D$9)/12</f>
        <v>0.01825</v>
      </c>
      <c r="J237">
        <f>IF($A237&gt;=E$10,E$11,E$9)/12</f>
        <v>0.00766666666666667</v>
      </c>
      <c r="K237">
        <f>IF($A237&gt;=F$10,F$11,F$9)/12</f>
        <v>0.00533333333333333</v>
      </c>
      <c r="L237">
        <f>IF($A237&gt;=G$10,G$11,G$9)/12</f>
        <v>0</v>
      </c>
      <c r="M237">
        <f>IF($A237&gt;=H$10,H$11,H$9)/12</f>
        <v>0</v>
      </c>
      <c r="N237">
        <f>IF($A237&gt;=I$10,I$11,I$9)/12</f>
        <v>0</v>
      </c>
      <c r="O237">
        <f>IF($A237&gt;=J$10,J$11,J$9)/12</f>
        <v>0</v>
      </c>
      <c r="P237">
        <f>IF($A237&gt;=K$10,K$11,K$9)/12</f>
        <v>0</v>
      </c>
      <c r="Q237">
        <f>IF($A237&gt;=L$10,L$11,L$9)/12</f>
        <v>0</v>
      </c>
      <c r="R237">
        <f>IF($A237&gt;=M$10,M$11,M$9)/12</f>
        <v>0</v>
      </c>
      <c r="S237">
        <f>IF($A237&gt;=N$10,N$11,N$9)/12</f>
        <v>0</v>
      </c>
      <c r="T237">
        <f>IF(C$6="",0,SUMIFS('Budget ed extra'!$G$7:$G$42,'Budget ed extra'!$J$7:$J$42,$A237,'Budget ed extra'!$H$7:$H$42,C$6))</f>
        <v>0</v>
      </c>
      <c r="U237">
        <f>IF(D$6="",0,SUMIFS('Budget ed extra'!$G$7:$G$42,'Budget ed extra'!$J$7:$J$42,$A237,'Budget ed extra'!$H$7:$H$42,D$6))</f>
        <v>0</v>
      </c>
      <c r="V237">
        <f>IF(E$6="",0,SUMIFS('Budget ed extra'!$G$7:$G$42,'Budget ed extra'!$J$7:$J$42,$A237,'Budget ed extra'!$H$7:$H$42,E$6))</f>
        <v>0</v>
      </c>
      <c r="W237">
        <f>IF(F$6="",0,SUMIFS('Budget ed extra'!$G$7:$G$42,'Budget ed extra'!$J$7:$J$42,$A237,'Budget ed extra'!$H$7:$H$42,F$6))</f>
        <v>0</v>
      </c>
      <c r="X237">
        <f>IF(G$6="",0,SUMIFS('Budget ed extra'!$G$7:$G$42,'Budget ed extra'!$J$7:$J$42,$A237,'Budget ed extra'!$H$7:$H$42,G$6))</f>
        <v>0</v>
      </c>
      <c r="Y237">
        <f>IF(H$6="",0,SUMIFS('Budget ed extra'!$G$7:$G$42,'Budget ed extra'!$J$7:$J$42,$A237,'Budget ed extra'!$H$7:$H$42,H$6))</f>
        <v>0</v>
      </c>
      <c r="Z237">
        <f>IF(I$6="",0,SUMIFS('Budget ed extra'!$G$7:$G$42,'Budget ed extra'!$J$7:$J$42,$A237,'Budget ed extra'!$H$7:$H$42,I$6))</f>
        <v>0</v>
      </c>
      <c r="AA237">
        <f>IF(J$6="",0,SUMIFS('Budget ed extra'!$G$7:$G$42,'Budget ed extra'!$J$7:$J$42,$A237,'Budget ed extra'!$H$7:$H$42,J$6))</f>
        <v>0</v>
      </c>
      <c r="AB237">
        <f>IF(K$6="",0,SUMIFS('Budget ed extra'!$G$7:$G$42,'Budget ed extra'!$J$7:$J$42,$A237,'Budget ed extra'!$H$7:$H$42,K$6))</f>
        <v>0</v>
      </c>
      <c r="AC237">
        <f>IF(L$6="",0,SUMIFS('Budget ed extra'!$G$7:$G$42,'Budget ed extra'!$J$7:$J$42,$A237,'Budget ed extra'!$H$7:$H$42,L$6))</f>
        <v>0</v>
      </c>
      <c r="AD237">
        <f>IF(M$6="",0,SUMIFS('Budget ed extra'!$G$7:$G$42,'Budget ed extra'!$J$7:$J$42,$A237,'Budget ed extra'!$H$7:$H$42,M$6))</f>
        <v>0</v>
      </c>
      <c r="AE237">
        <f>IF(N$6="",0,SUMIFS('Budget ed extra'!$G$7:$G$42,'Budget ed extra'!$J$7:$J$42,$A237,'Budget ed extra'!$H$7:$H$42,N$6))</f>
        <v>0</v>
      </c>
    </row>
    <row r="238">
      <c r="A238" t="n">
        <v>208</v>
      </c>
      <c r="B238">
        <f>DATE($B$2,$B$3+A238-1,1)</f>
        <v>52628.0</v>
      </c>
      <c r="C238">
        <f>IF(D238=0,N(Impostazioni!$B$6),SUMIFS('Budget ed extra'!$B$7:$B$18,'Budget ed extra'!$D$7:$D$18,D238)/COUNTIFS('Budget ed extra'!$D$7:$D$18,D238))</f>
        <v>900</v>
      </c>
      <c r="D238">
        <f>SUMPRODUCT(MAX(('Budget ed extra'!$D$7:$D$18&lt;=A238)*'Budget ed extra'!$D$7:$D$18))</f>
        <v>9</v>
      </c>
      <c r="E238">
        <f>SUMIFS('Budget ed extra'!$G$7:$G$42,'Budget ed extra'!$J$7:$J$42,A238)</f>
        <v>0</v>
      </c>
      <c r="F238">
        <f>SUM(T238:AE238)</f>
        <v>0</v>
      </c>
      <c r="G238">
        <f>MAX(0,E238-F238)</f>
        <v>0</v>
      </c>
      <c r="H238">
        <f>IF($A238&gt;=C$10,C$11,C$9)/12</f>
        <v>0.01575</v>
      </c>
      <c r="I238">
        <f>IF($A238&gt;=D$10,D$11,D$9)/12</f>
        <v>0.01825</v>
      </c>
      <c r="J238">
        <f>IF($A238&gt;=E$10,E$11,E$9)/12</f>
        <v>0.00766666666666667</v>
      </c>
      <c r="K238">
        <f>IF($A238&gt;=F$10,F$11,F$9)/12</f>
        <v>0.00533333333333333</v>
      </c>
      <c r="L238">
        <f>IF($A238&gt;=G$10,G$11,G$9)/12</f>
        <v>0</v>
      </c>
      <c r="M238">
        <f>IF($A238&gt;=H$10,H$11,H$9)/12</f>
        <v>0</v>
      </c>
      <c r="N238">
        <f>IF($A238&gt;=I$10,I$11,I$9)/12</f>
        <v>0</v>
      </c>
      <c r="O238">
        <f>IF($A238&gt;=J$10,J$11,J$9)/12</f>
        <v>0</v>
      </c>
      <c r="P238">
        <f>IF($A238&gt;=K$10,K$11,K$9)/12</f>
        <v>0</v>
      </c>
      <c r="Q238">
        <f>IF($A238&gt;=L$10,L$11,L$9)/12</f>
        <v>0</v>
      </c>
      <c r="R238">
        <f>IF($A238&gt;=M$10,M$11,M$9)/12</f>
        <v>0</v>
      </c>
      <c r="S238">
        <f>IF($A238&gt;=N$10,N$11,N$9)/12</f>
        <v>0</v>
      </c>
      <c r="T238">
        <f>IF(C$6="",0,SUMIFS('Budget ed extra'!$G$7:$G$42,'Budget ed extra'!$J$7:$J$42,$A238,'Budget ed extra'!$H$7:$H$42,C$6))</f>
        <v>0</v>
      </c>
      <c r="U238">
        <f>IF(D$6="",0,SUMIFS('Budget ed extra'!$G$7:$G$42,'Budget ed extra'!$J$7:$J$42,$A238,'Budget ed extra'!$H$7:$H$42,D$6))</f>
        <v>0</v>
      </c>
      <c r="V238">
        <f>IF(E$6="",0,SUMIFS('Budget ed extra'!$G$7:$G$42,'Budget ed extra'!$J$7:$J$42,$A238,'Budget ed extra'!$H$7:$H$42,E$6))</f>
        <v>0</v>
      </c>
      <c r="W238">
        <f>IF(F$6="",0,SUMIFS('Budget ed extra'!$G$7:$G$42,'Budget ed extra'!$J$7:$J$42,$A238,'Budget ed extra'!$H$7:$H$42,F$6))</f>
        <v>0</v>
      </c>
      <c r="X238">
        <f>IF(G$6="",0,SUMIFS('Budget ed extra'!$G$7:$G$42,'Budget ed extra'!$J$7:$J$42,$A238,'Budget ed extra'!$H$7:$H$42,G$6))</f>
        <v>0</v>
      </c>
      <c r="Y238">
        <f>IF(H$6="",0,SUMIFS('Budget ed extra'!$G$7:$G$42,'Budget ed extra'!$J$7:$J$42,$A238,'Budget ed extra'!$H$7:$H$42,H$6))</f>
        <v>0</v>
      </c>
      <c r="Z238">
        <f>IF(I$6="",0,SUMIFS('Budget ed extra'!$G$7:$G$42,'Budget ed extra'!$J$7:$J$42,$A238,'Budget ed extra'!$H$7:$H$42,I$6))</f>
        <v>0</v>
      </c>
      <c r="AA238">
        <f>IF(J$6="",0,SUMIFS('Budget ed extra'!$G$7:$G$42,'Budget ed extra'!$J$7:$J$42,$A238,'Budget ed extra'!$H$7:$H$42,J$6))</f>
        <v>0</v>
      </c>
      <c r="AB238">
        <f>IF(K$6="",0,SUMIFS('Budget ed extra'!$G$7:$G$42,'Budget ed extra'!$J$7:$J$42,$A238,'Budget ed extra'!$H$7:$H$42,K$6))</f>
        <v>0</v>
      </c>
      <c r="AC238">
        <f>IF(L$6="",0,SUMIFS('Budget ed extra'!$G$7:$G$42,'Budget ed extra'!$J$7:$J$42,$A238,'Budget ed extra'!$H$7:$H$42,L$6))</f>
        <v>0</v>
      </c>
      <c r="AD238">
        <f>IF(M$6="",0,SUMIFS('Budget ed extra'!$G$7:$G$42,'Budget ed extra'!$J$7:$J$42,$A238,'Budget ed extra'!$H$7:$H$42,M$6))</f>
        <v>0</v>
      </c>
      <c r="AE238">
        <f>IF(N$6="",0,SUMIFS('Budget ed extra'!$G$7:$G$42,'Budget ed extra'!$J$7:$J$42,$A238,'Budget ed extra'!$H$7:$H$42,N$6))</f>
        <v>0</v>
      </c>
    </row>
    <row r="239">
      <c r="A239" t="n">
        <v>209</v>
      </c>
      <c r="B239">
        <f>DATE($B$2,$B$3+A239-1,1)</f>
        <v>52657.0</v>
      </c>
      <c r="C239">
        <f>IF(D239=0,N(Impostazioni!$B$6),SUMIFS('Budget ed extra'!$B$7:$B$18,'Budget ed extra'!$D$7:$D$18,D239)/COUNTIFS('Budget ed extra'!$D$7:$D$18,D239))</f>
        <v>900</v>
      </c>
      <c r="D239">
        <f>SUMPRODUCT(MAX(('Budget ed extra'!$D$7:$D$18&lt;=A239)*'Budget ed extra'!$D$7:$D$18))</f>
        <v>9</v>
      </c>
      <c r="E239">
        <f>SUMIFS('Budget ed extra'!$G$7:$G$42,'Budget ed extra'!$J$7:$J$42,A239)</f>
        <v>0</v>
      </c>
      <c r="F239">
        <f>SUM(T239:AE239)</f>
        <v>0</v>
      </c>
      <c r="G239">
        <f>MAX(0,E239-F239)</f>
        <v>0</v>
      </c>
      <c r="H239">
        <f>IF($A239&gt;=C$10,C$11,C$9)/12</f>
        <v>0.01575</v>
      </c>
      <c r="I239">
        <f>IF($A239&gt;=D$10,D$11,D$9)/12</f>
        <v>0.01825</v>
      </c>
      <c r="J239">
        <f>IF($A239&gt;=E$10,E$11,E$9)/12</f>
        <v>0.00766666666666667</v>
      </c>
      <c r="K239">
        <f>IF($A239&gt;=F$10,F$11,F$9)/12</f>
        <v>0.00533333333333333</v>
      </c>
      <c r="L239">
        <f>IF($A239&gt;=G$10,G$11,G$9)/12</f>
        <v>0</v>
      </c>
      <c r="M239">
        <f>IF($A239&gt;=H$10,H$11,H$9)/12</f>
        <v>0</v>
      </c>
      <c r="N239">
        <f>IF($A239&gt;=I$10,I$11,I$9)/12</f>
        <v>0</v>
      </c>
      <c r="O239">
        <f>IF($A239&gt;=J$10,J$11,J$9)/12</f>
        <v>0</v>
      </c>
      <c r="P239">
        <f>IF($A239&gt;=K$10,K$11,K$9)/12</f>
        <v>0</v>
      </c>
      <c r="Q239">
        <f>IF($A239&gt;=L$10,L$11,L$9)/12</f>
        <v>0</v>
      </c>
      <c r="R239">
        <f>IF($A239&gt;=M$10,M$11,M$9)/12</f>
        <v>0</v>
      </c>
      <c r="S239">
        <f>IF($A239&gt;=N$10,N$11,N$9)/12</f>
        <v>0</v>
      </c>
      <c r="T239">
        <f>IF(C$6="",0,SUMIFS('Budget ed extra'!$G$7:$G$42,'Budget ed extra'!$J$7:$J$42,$A239,'Budget ed extra'!$H$7:$H$42,C$6))</f>
        <v>0</v>
      </c>
      <c r="U239">
        <f>IF(D$6="",0,SUMIFS('Budget ed extra'!$G$7:$G$42,'Budget ed extra'!$J$7:$J$42,$A239,'Budget ed extra'!$H$7:$H$42,D$6))</f>
        <v>0</v>
      </c>
      <c r="V239">
        <f>IF(E$6="",0,SUMIFS('Budget ed extra'!$G$7:$G$42,'Budget ed extra'!$J$7:$J$42,$A239,'Budget ed extra'!$H$7:$H$42,E$6))</f>
        <v>0</v>
      </c>
      <c r="W239">
        <f>IF(F$6="",0,SUMIFS('Budget ed extra'!$G$7:$G$42,'Budget ed extra'!$J$7:$J$42,$A239,'Budget ed extra'!$H$7:$H$42,F$6))</f>
        <v>0</v>
      </c>
      <c r="X239">
        <f>IF(G$6="",0,SUMIFS('Budget ed extra'!$G$7:$G$42,'Budget ed extra'!$J$7:$J$42,$A239,'Budget ed extra'!$H$7:$H$42,G$6))</f>
        <v>0</v>
      </c>
      <c r="Y239">
        <f>IF(H$6="",0,SUMIFS('Budget ed extra'!$G$7:$G$42,'Budget ed extra'!$J$7:$J$42,$A239,'Budget ed extra'!$H$7:$H$42,H$6))</f>
        <v>0</v>
      </c>
      <c r="Z239">
        <f>IF(I$6="",0,SUMIFS('Budget ed extra'!$G$7:$G$42,'Budget ed extra'!$J$7:$J$42,$A239,'Budget ed extra'!$H$7:$H$42,I$6))</f>
        <v>0</v>
      </c>
      <c r="AA239">
        <f>IF(J$6="",0,SUMIFS('Budget ed extra'!$G$7:$G$42,'Budget ed extra'!$J$7:$J$42,$A239,'Budget ed extra'!$H$7:$H$42,J$6))</f>
        <v>0</v>
      </c>
      <c r="AB239">
        <f>IF(K$6="",0,SUMIFS('Budget ed extra'!$G$7:$G$42,'Budget ed extra'!$J$7:$J$42,$A239,'Budget ed extra'!$H$7:$H$42,K$6))</f>
        <v>0</v>
      </c>
      <c r="AC239">
        <f>IF(L$6="",0,SUMIFS('Budget ed extra'!$G$7:$G$42,'Budget ed extra'!$J$7:$J$42,$A239,'Budget ed extra'!$H$7:$H$42,L$6))</f>
        <v>0</v>
      </c>
      <c r="AD239">
        <f>IF(M$6="",0,SUMIFS('Budget ed extra'!$G$7:$G$42,'Budget ed extra'!$J$7:$J$42,$A239,'Budget ed extra'!$H$7:$H$42,M$6))</f>
        <v>0</v>
      </c>
      <c r="AE239">
        <f>IF(N$6="",0,SUMIFS('Budget ed extra'!$G$7:$G$42,'Budget ed extra'!$J$7:$J$42,$A239,'Budget ed extra'!$H$7:$H$42,N$6))</f>
        <v>0</v>
      </c>
    </row>
    <row r="240">
      <c r="A240" t="n">
        <v>210</v>
      </c>
      <c r="B240">
        <f>DATE($B$2,$B$3+A240-1,1)</f>
        <v>52688.0</v>
      </c>
      <c r="C240">
        <f>IF(D240=0,N(Impostazioni!$B$6),SUMIFS('Budget ed extra'!$B$7:$B$18,'Budget ed extra'!$D$7:$D$18,D240)/COUNTIFS('Budget ed extra'!$D$7:$D$18,D240))</f>
        <v>900</v>
      </c>
      <c r="D240">
        <f>SUMPRODUCT(MAX(('Budget ed extra'!$D$7:$D$18&lt;=A240)*'Budget ed extra'!$D$7:$D$18))</f>
        <v>9</v>
      </c>
      <c r="E240">
        <f>SUMIFS('Budget ed extra'!$G$7:$G$42,'Budget ed extra'!$J$7:$J$42,A240)</f>
        <v>0</v>
      </c>
      <c r="F240">
        <f>SUM(T240:AE240)</f>
        <v>0</v>
      </c>
      <c r="G240">
        <f>MAX(0,E240-F240)</f>
        <v>0</v>
      </c>
      <c r="H240">
        <f>IF($A240&gt;=C$10,C$11,C$9)/12</f>
        <v>0.01575</v>
      </c>
      <c r="I240">
        <f>IF($A240&gt;=D$10,D$11,D$9)/12</f>
        <v>0.01825</v>
      </c>
      <c r="J240">
        <f>IF($A240&gt;=E$10,E$11,E$9)/12</f>
        <v>0.00766666666666667</v>
      </c>
      <c r="K240">
        <f>IF($A240&gt;=F$10,F$11,F$9)/12</f>
        <v>0.00533333333333333</v>
      </c>
      <c r="L240">
        <f>IF($A240&gt;=G$10,G$11,G$9)/12</f>
        <v>0</v>
      </c>
      <c r="M240">
        <f>IF($A240&gt;=H$10,H$11,H$9)/12</f>
        <v>0</v>
      </c>
      <c r="N240">
        <f>IF($A240&gt;=I$10,I$11,I$9)/12</f>
        <v>0</v>
      </c>
      <c r="O240">
        <f>IF($A240&gt;=J$10,J$11,J$9)/12</f>
        <v>0</v>
      </c>
      <c r="P240">
        <f>IF($A240&gt;=K$10,K$11,K$9)/12</f>
        <v>0</v>
      </c>
      <c r="Q240">
        <f>IF($A240&gt;=L$10,L$11,L$9)/12</f>
        <v>0</v>
      </c>
      <c r="R240">
        <f>IF($A240&gt;=M$10,M$11,M$9)/12</f>
        <v>0</v>
      </c>
      <c r="S240">
        <f>IF($A240&gt;=N$10,N$11,N$9)/12</f>
        <v>0</v>
      </c>
      <c r="T240">
        <f>IF(C$6="",0,SUMIFS('Budget ed extra'!$G$7:$G$42,'Budget ed extra'!$J$7:$J$42,$A240,'Budget ed extra'!$H$7:$H$42,C$6))</f>
        <v>0</v>
      </c>
      <c r="U240">
        <f>IF(D$6="",0,SUMIFS('Budget ed extra'!$G$7:$G$42,'Budget ed extra'!$J$7:$J$42,$A240,'Budget ed extra'!$H$7:$H$42,D$6))</f>
        <v>0</v>
      </c>
      <c r="V240">
        <f>IF(E$6="",0,SUMIFS('Budget ed extra'!$G$7:$G$42,'Budget ed extra'!$J$7:$J$42,$A240,'Budget ed extra'!$H$7:$H$42,E$6))</f>
        <v>0</v>
      </c>
      <c r="W240">
        <f>IF(F$6="",0,SUMIFS('Budget ed extra'!$G$7:$G$42,'Budget ed extra'!$J$7:$J$42,$A240,'Budget ed extra'!$H$7:$H$42,F$6))</f>
        <v>0</v>
      </c>
      <c r="X240">
        <f>IF(G$6="",0,SUMIFS('Budget ed extra'!$G$7:$G$42,'Budget ed extra'!$J$7:$J$42,$A240,'Budget ed extra'!$H$7:$H$42,G$6))</f>
        <v>0</v>
      </c>
      <c r="Y240">
        <f>IF(H$6="",0,SUMIFS('Budget ed extra'!$G$7:$G$42,'Budget ed extra'!$J$7:$J$42,$A240,'Budget ed extra'!$H$7:$H$42,H$6))</f>
        <v>0</v>
      </c>
      <c r="Z240">
        <f>IF(I$6="",0,SUMIFS('Budget ed extra'!$G$7:$G$42,'Budget ed extra'!$J$7:$J$42,$A240,'Budget ed extra'!$H$7:$H$42,I$6))</f>
        <v>0</v>
      </c>
      <c r="AA240">
        <f>IF(J$6="",0,SUMIFS('Budget ed extra'!$G$7:$G$42,'Budget ed extra'!$J$7:$J$42,$A240,'Budget ed extra'!$H$7:$H$42,J$6))</f>
        <v>0</v>
      </c>
      <c r="AB240">
        <f>IF(K$6="",0,SUMIFS('Budget ed extra'!$G$7:$G$42,'Budget ed extra'!$J$7:$J$42,$A240,'Budget ed extra'!$H$7:$H$42,K$6))</f>
        <v>0</v>
      </c>
      <c r="AC240">
        <f>IF(L$6="",0,SUMIFS('Budget ed extra'!$G$7:$G$42,'Budget ed extra'!$J$7:$J$42,$A240,'Budget ed extra'!$H$7:$H$42,L$6))</f>
        <v>0</v>
      </c>
      <c r="AD240">
        <f>IF(M$6="",0,SUMIFS('Budget ed extra'!$G$7:$G$42,'Budget ed extra'!$J$7:$J$42,$A240,'Budget ed extra'!$H$7:$H$42,M$6))</f>
        <v>0</v>
      </c>
      <c r="AE240">
        <f>IF(N$6="",0,SUMIFS('Budget ed extra'!$G$7:$G$42,'Budget ed extra'!$J$7:$J$42,$A240,'Budget ed extra'!$H$7:$H$42,N$6))</f>
        <v>0</v>
      </c>
    </row>
    <row r="241">
      <c r="A241" t="n">
        <v>211</v>
      </c>
      <c r="B241">
        <f>DATE($B$2,$B$3+A241-1,1)</f>
        <v>52718.0</v>
      </c>
      <c r="C241">
        <f>IF(D241=0,N(Impostazioni!$B$6),SUMIFS('Budget ed extra'!$B$7:$B$18,'Budget ed extra'!$D$7:$D$18,D241)/COUNTIFS('Budget ed extra'!$D$7:$D$18,D241))</f>
        <v>900</v>
      </c>
      <c r="D241">
        <f>SUMPRODUCT(MAX(('Budget ed extra'!$D$7:$D$18&lt;=A241)*'Budget ed extra'!$D$7:$D$18))</f>
        <v>9</v>
      </c>
      <c r="E241">
        <f>SUMIFS('Budget ed extra'!$G$7:$G$42,'Budget ed extra'!$J$7:$J$42,A241)</f>
        <v>0</v>
      </c>
      <c r="F241">
        <f>SUM(T241:AE241)</f>
        <v>0</v>
      </c>
      <c r="G241">
        <f>MAX(0,E241-F241)</f>
        <v>0</v>
      </c>
      <c r="H241">
        <f>IF($A241&gt;=C$10,C$11,C$9)/12</f>
        <v>0.01575</v>
      </c>
      <c r="I241">
        <f>IF($A241&gt;=D$10,D$11,D$9)/12</f>
        <v>0.01825</v>
      </c>
      <c r="J241">
        <f>IF($A241&gt;=E$10,E$11,E$9)/12</f>
        <v>0.00766666666666667</v>
      </c>
      <c r="K241">
        <f>IF($A241&gt;=F$10,F$11,F$9)/12</f>
        <v>0.00533333333333333</v>
      </c>
      <c r="L241">
        <f>IF($A241&gt;=G$10,G$11,G$9)/12</f>
        <v>0</v>
      </c>
      <c r="M241">
        <f>IF($A241&gt;=H$10,H$11,H$9)/12</f>
        <v>0</v>
      </c>
      <c r="N241">
        <f>IF($A241&gt;=I$10,I$11,I$9)/12</f>
        <v>0</v>
      </c>
      <c r="O241">
        <f>IF($A241&gt;=J$10,J$11,J$9)/12</f>
        <v>0</v>
      </c>
      <c r="P241">
        <f>IF($A241&gt;=K$10,K$11,K$9)/12</f>
        <v>0</v>
      </c>
      <c r="Q241">
        <f>IF($A241&gt;=L$10,L$11,L$9)/12</f>
        <v>0</v>
      </c>
      <c r="R241">
        <f>IF($A241&gt;=M$10,M$11,M$9)/12</f>
        <v>0</v>
      </c>
      <c r="S241">
        <f>IF($A241&gt;=N$10,N$11,N$9)/12</f>
        <v>0</v>
      </c>
      <c r="T241">
        <f>IF(C$6="",0,SUMIFS('Budget ed extra'!$G$7:$G$42,'Budget ed extra'!$J$7:$J$42,$A241,'Budget ed extra'!$H$7:$H$42,C$6))</f>
        <v>0</v>
      </c>
      <c r="U241">
        <f>IF(D$6="",0,SUMIFS('Budget ed extra'!$G$7:$G$42,'Budget ed extra'!$J$7:$J$42,$A241,'Budget ed extra'!$H$7:$H$42,D$6))</f>
        <v>0</v>
      </c>
      <c r="V241">
        <f>IF(E$6="",0,SUMIFS('Budget ed extra'!$G$7:$G$42,'Budget ed extra'!$J$7:$J$42,$A241,'Budget ed extra'!$H$7:$H$42,E$6))</f>
        <v>0</v>
      </c>
      <c r="W241">
        <f>IF(F$6="",0,SUMIFS('Budget ed extra'!$G$7:$G$42,'Budget ed extra'!$J$7:$J$42,$A241,'Budget ed extra'!$H$7:$H$42,F$6))</f>
        <v>0</v>
      </c>
      <c r="X241">
        <f>IF(G$6="",0,SUMIFS('Budget ed extra'!$G$7:$G$42,'Budget ed extra'!$J$7:$J$42,$A241,'Budget ed extra'!$H$7:$H$42,G$6))</f>
        <v>0</v>
      </c>
      <c r="Y241">
        <f>IF(H$6="",0,SUMIFS('Budget ed extra'!$G$7:$G$42,'Budget ed extra'!$J$7:$J$42,$A241,'Budget ed extra'!$H$7:$H$42,H$6))</f>
        <v>0</v>
      </c>
      <c r="Z241">
        <f>IF(I$6="",0,SUMIFS('Budget ed extra'!$G$7:$G$42,'Budget ed extra'!$J$7:$J$42,$A241,'Budget ed extra'!$H$7:$H$42,I$6))</f>
        <v>0</v>
      </c>
      <c r="AA241">
        <f>IF(J$6="",0,SUMIFS('Budget ed extra'!$G$7:$G$42,'Budget ed extra'!$J$7:$J$42,$A241,'Budget ed extra'!$H$7:$H$42,J$6))</f>
        <v>0</v>
      </c>
      <c r="AB241">
        <f>IF(K$6="",0,SUMIFS('Budget ed extra'!$G$7:$G$42,'Budget ed extra'!$J$7:$J$42,$A241,'Budget ed extra'!$H$7:$H$42,K$6))</f>
        <v>0</v>
      </c>
      <c r="AC241">
        <f>IF(L$6="",0,SUMIFS('Budget ed extra'!$G$7:$G$42,'Budget ed extra'!$J$7:$J$42,$A241,'Budget ed extra'!$H$7:$H$42,L$6))</f>
        <v>0</v>
      </c>
      <c r="AD241">
        <f>IF(M$6="",0,SUMIFS('Budget ed extra'!$G$7:$G$42,'Budget ed extra'!$J$7:$J$42,$A241,'Budget ed extra'!$H$7:$H$42,M$6))</f>
        <v>0</v>
      </c>
      <c r="AE241">
        <f>IF(N$6="",0,SUMIFS('Budget ed extra'!$G$7:$G$42,'Budget ed extra'!$J$7:$J$42,$A241,'Budget ed extra'!$H$7:$H$42,N$6))</f>
        <v>0</v>
      </c>
    </row>
    <row r="242">
      <c r="A242" t="n">
        <v>212</v>
      </c>
      <c r="B242">
        <f>DATE($B$2,$B$3+A242-1,1)</f>
        <v>52749.0</v>
      </c>
      <c r="C242">
        <f>IF(D242=0,N(Impostazioni!$B$6),SUMIFS('Budget ed extra'!$B$7:$B$18,'Budget ed extra'!$D$7:$D$18,D242)/COUNTIFS('Budget ed extra'!$D$7:$D$18,D242))</f>
        <v>900</v>
      </c>
      <c r="D242">
        <f>SUMPRODUCT(MAX(('Budget ed extra'!$D$7:$D$18&lt;=A242)*'Budget ed extra'!$D$7:$D$18))</f>
        <v>9</v>
      </c>
      <c r="E242">
        <f>SUMIFS('Budget ed extra'!$G$7:$G$42,'Budget ed extra'!$J$7:$J$42,A242)</f>
        <v>0</v>
      </c>
      <c r="F242">
        <f>SUM(T242:AE242)</f>
        <v>0</v>
      </c>
      <c r="G242">
        <f>MAX(0,E242-F242)</f>
        <v>0</v>
      </c>
      <c r="H242">
        <f>IF($A242&gt;=C$10,C$11,C$9)/12</f>
        <v>0.01575</v>
      </c>
      <c r="I242">
        <f>IF($A242&gt;=D$10,D$11,D$9)/12</f>
        <v>0.01825</v>
      </c>
      <c r="J242">
        <f>IF($A242&gt;=E$10,E$11,E$9)/12</f>
        <v>0.00766666666666667</v>
      </c>
      <c r="K242">
        <f>IF($A242&gt;=F$10,F$11,F$9)/12</f>
        <v>0.00533333333333333</v>
      </c>
      <c r="L242">
        <f>IF($A242&gt;=G$10,G$11,G$9)/12</f>
        <v>0</v>
      </c>
      <c r="M242">
        <f>IF($A242&gt;=H$10,H$11,H$9)/12</f>
        <v>0</v>
      </c>
      <c r="N242">
        <f>IF($A242&gt;=I$10,I$11,I$9)/12</f>
        <v>0</v>
      </c>
      <c r="O242">
        <f>IF($A242&gt;=J$10,J$11,J$9)/12</f>
        <v>0</v>
      </c>
      <c r="P242">
        <f>IF($A242&gt;=K$10,K$11,K$9)/12</f>
        <v>0</v>
      </c>
      <c r="Q242">
        <f>IF($A242&gt;=L$10,L$11,L$9)/12</f>
        <v>0</v>
      </c>
      <c r="R242">
        <f>IF($A242&gt;=M$10,M$11,M$9)/12</f>
        <v>0</v>
      </c>
      <c r="S242">
        <f>IF($A242&gt;=N$10,N$11,N$9)/12</f>
        <v>0</v>
      </c>
      <c r="T242">
        <f>IF(C$6="",0,SUMIFS('Budget ed extra'!$G$7:$G$42,'Budget ed extra'!$J$7:$J$42,$A242,'Budget ed extra'!$H$7:$H$42,C$6))</f>
        <v>0</v>
      </c>
      <c r="U242">
        <f>IF(D$6="",0,SUMIFS('Budget ed extra'!$G$7:$G$42,'Budget ed extra'!$J$7:$J$42,$A242,'Budget ed extra'!$H$7:$H$42,D$6))</f>
        <v>0</v>
      </c>
      <c r="V242">
        <f>IF(E$6="",0,SUMIFS('Budget ed extra'!$G$7:$G$42,'Budget ed extra'!$J$7:$J$42,$A242,'Budget ed extra'!$H$7:$H$42,E$6))</f>
        <v>0</v>
      </c>
      <c r="W242">
        <f>IF(F$6="",0,SUMIFS('Budget ed extra'!$G$7:$G$42,'Budget ed extra'!$J$7:$J$42,$A242,'Budget ed extra'!$H$7:$H$42,F$6))</f>
        <v>0</v>
      </c>
      <c r="X242">
        <f>IF(G$6="",0,SUMIFS('Budget ed extra'!$G$7:$G$42,'Budget ed extra'!$J$7:$J$42,$A242,'Budget ed extra'!$H$7:$H$42,G$6))</f>
        <v>0</v>
      </c>
      <c r="Y242">
        <f>IF(H$6="",0,SUMIFS('Budget ed extra'!$G$7:$G$42,'Budget ed extra'!$J$7:$J$42,$A242,'Budget ed extra'!$H$7:$H$42,H$6))</f>
        <v>0</v>
      </c>
      <c r="Z242">
        <f>IF(I$6="",0,SUMIFS('Budget ed extra'!$G$7:$G$42,'Budget ed extra'!$J$7:$J$42,$A242,'Budget ed extra'!$H$7:$H$42,I$6))</f>
        <v>0</v>
      </c>
      <c r="AA242">
        <f>IF(J$6="",0,SUMIFS('Budget ed extra'!$G$7:$G$42,'Budget ed extra'!$J$7:$J$42,$A242,'Budget ed extra'!$H$7:$H$42,J$6))</f>
        <v>0</v>
      </c>
      <c r="AB242">
        <f>IF(K$6="",0,SUMIFS('Budget ed extra'!$G$7:$G$42,'Budget ed extra'!$J$7:$J$42,$A242,'Budget ed extra'!$H$7:$H$42,K$6))</f>
        <v>0</v>
      </c>
      <c r="AC242">
        <f>IF(L$6="",0,SUMIFS('Budget ed extra'!$G$7:$G$42,'Budget ed extra'!$J$7:$J$42,$A242,'Budget ed extra'!$H$7:$H$42,L$6))</f>
        <v>0</v>
      </c>
      <c r="AD242">
        <f>IF(M$6="",0,SUMIFS('Budget ed extra'!$G$7:$G$42,'Budget ed extra'!$J$7:$J$42,$A242,'Budget ed extra'!$H$7:$H$42,M$6))</f>
        <v>0</v>
      </c>
      <c r="AE242">
        <f>IF(N$6="",0,SUMIFS('Budget ed extra'!$G$7:$G$42,'Budget ed extra'!$J$7:$J$42,$A242,'Budget ed extra'!$H$7:$H$42,N$6))</f>
        <v>0</v>
      </c>
    </row>
    <row r="243">
      <c r="A243" t="n">
        <v>213</v>
      </c>
      <c r="B243">
        <f>DATE($B$2,$B$3+A243-1,1)</f>
        <v>52779.0</v>
      </c>
      <c r="C243">
        <f>IF(D243=0,N(Impostazioni!$B$6),SUMIFS('Budget ed extra'!$B$7:$B$18,'Budget ed extra'!$D$7:$D$18,D243)/COUNTIFS('Budget ed extra'!$D$7:$D$18,D243))</f>
        <v>900</v>
      </c>
      <c r="D243">
        <f>SUMPRODUCT(MAX(('Budget ed extra'!$D$7:$D$18&lt;=A243)*'Budget ed extra'!$D$7:$D$18))</f>
        <v>9</v>
      </c>
      <c r="E243">
        <f>SUMIFS('Budget ed extra'!$G$7:$G$42,'Budget ed extra'!$J$7:$J$42,A243)</f>
        <v>0</v>
      </c>
      <c r="F243">
        <f>SUM(T243:AE243)</f>
        <v>0</v>
      </c>
      <c r="G243">
        <f>MAX(0,E243-F243)</f>
        <v>0</v>
      </c>
      <c r="H243">
        <f>IF($A243&gt;=C$10,C$11,C$9)/12</f>
        <v>0.01575</v>
      </c>
      <c r="I243">
        <f>IF($A243&gt;=D$10,D$11,D$9)/12</f>
        <v>0.01825</v>
      </c>
      <c r="J243">
        <f>IF($A243&gt;=E$10,E$11,E$9)/12</f>
        <v>0.00766666666666667</v>
      </c>
      <c r="K243">
        <f>IF($A243&gt;=F$10,F$11,F$9)/12</f>
        <v>0.00533333333333333</v>
      </c>
      <c r="L243">
        <f>IF($A243&gt;=G$10,G$11,G$9)/12</f>
        <v>0</v>
      </c>
      <c r="M243">
        <f>IF($A243&gt;=H$10,H$11,H$9)/12</f>
        <v>0</v>
      </c>
      <c r="N243">
        <f>IF($A243&gt;=I$10,I$11,I$9)/12</f>
        <v>0</v>
      </c>
      <c r="O243">
        <f>IF($A243&gt;=J$10,J$11,J$9)/12</f>
        <v>0</v>
      </c>
      <c r="P243">
        <f>IF($A243&gt;=K$10,K$11,K$9)/12</f>
        <v>0</v>
      </c>
      <c r="Q243">
        <f>IF($A243&gt;=L$10,L$11,L$9)/12</f>
        <v>0</v>
      </c>
      <c r="R243">
        <f>IF($A243&gt;=M$10,M$11,M$9)/12</f>
        <v>0</v>
      </c>
      <c r="S243">
        <f>IF($A243&gt;=N$10,N$11,N$9)/12</f>
        <v>0</v>
      </c>
      <c r="T243">
        <f>IF(C$6="",0,SUMIFS('Budget ed extra'!$G$7:$G$42,'Budget ed extra'!$J$7:$J$42,$A243,'Budget ed extra'!$H$7:$H$42,C$6))</f>
        <v>0</v>
      </c>
      <c r="U243">
        <f>IF(D$6="",0,SUMIFS('Budget ed extra'!$G$7:$G$42,'Budget ed extra'!$J$7:$J$42,$A243,'Budget ed extra'!$H$7:$H$42,D$6))</f>
        <v>0</v>
      </c>
      <c r="V243">
        <f>IF(E$6="",0,SUMIFS('Budget ed extra'!$G$7:$G$42,'Budget ed extra'!$J$7:$J$42,$A243,'Budget ed extra'!$H$7:$H$42,E$6))</f>
        <v>0</v>
      </c>
      <c r="W243">
        <f>IF(F$6="",0,SUMIFS('Budget ed extra'!$G$7:$G$42,'Budget ed extra'!$J$7:$J$42,$A243,'Budget ed extra'!$H$7:$H$42,F$6))</f>
        <v>0</v>
      </c>
      <c r="X243">
        <f>IF(G$6="",0,SUMIFS('Budget ed extra'!$G$7:$G$42,'Budget ed extra'!$J$7:$J$42,$A243,'Budget ed extra'!$H$7:$H$42,G$6))</f>
        <v>0</v>
      </c>
      <c r="Y243">
        <f>IF(H$6="",0,SUMIFS('Budget ed extra'!$G$7:$G$42,'Budget ed extra'!$J$7:$J$42,$A243,'Budget ed extra'!$H$7:$H$42,H$6))</f>
        <v>0</v>
      </c>
      <c r="Z243">
        <f>IF(I$6="",0,SUMIFS('Budget ed extra'!$G$7:$G$42,'Budget ed extra'!$J$7:$J$42,$A243,'Budget ed extra'!$H$7:$H$42,I$6))</f>
        <v>0</v>
      </c>
      <c r="AA243">
        <f>IF(J$6="",0,SUMIFS('Budget ed extra'!$G$7:$G$42,'Budget ed extra'!$J$7:$J$42,$A243,'Budget ed extra'!$H$7:$H$42,J$6))</f>
        <v>0</v>
      </c>
      <c r="AB243">
        <f>IF(K$6="",0,SUMIFS('Budget ed extra'!$G$7:$G$42,'Budget ed extra'!$J$7:$J$42,$A243,'Budget ed extra'!$H$7:$H$42,K$6))</f>
        <v>0</v>
      </c>
      <c r="AC243">
        <f>IF(L$6="",0,SUMIFS('Budget ed extra'!$G$7:$G$42,'Budget ed extra'!$J$7:$J$42,$A243,'Budget ed extra'!$H$7:$H$42,L$6))</f>
        <v>0</v>
      </c>
      <c r="AD243">
        <f>IF(M$6="",0,SUMIFS('Budget ed extra'!$G$7:$G$42,'Budget ed extra'!$J$7:$J$42,$A243,'Budget ed extra'!$H$7:$H$42,M$6))</f>
        <v>0</v>
      </c>
      <c r="AE243">
        <f>IF(N$6="",0,SUMIFS('Budget ed extra'!$G$7:$G$42,'Budget ed extra'!$J$7:$J$42,$A243,'Budget ed extra'!$H$7:$H$42,N$6))</f>
        <v>0</v>
      </c>
    </row>
    <row r="244">
      <c r="A244" t="n">
        <v>214</v>
      </c>
      <c r="B244">
        <f>DATE($B$2,$B$3+A244-1,1)</f>
        <v>52810.0</v>
      </c>
      <c r="C244">
        <f>IF(D244=0,N(Impostazioni!$B$6),SUMIFS('Budget ed extra'!$B$7:$B$18,'Budget ed extra'!$D$7:$D$18,D244)/COUNTIFS('Budget ed extra'!$D$7:$D$18,D244))</f>
        <v>900</v>
      </c>
      <c r="D244">
        <f>SUMPRODUCT(MAX(('Budget ed extra'!$D$7:$D$18&lt;=A244)*'Budget ed extra'!$D$7:$D$18))</f>
        <v>9</v>
      </c>
      <c r="E244">
        <f>SUMIFS('Budget ed extra'!$G$7:$G$42,'Budget ed extra'!$J$7:$J$42,A244)</f>
        <v>0</v>
      </c>
      <c r="F244">
        <f>SUM(T244:AE244)</f>
        <v>0</v>
      </c>
      <c r="G244">
        <f>MAX(0,E244-F244)</f>
        <v>0</v>
      </c>
      <c r="H244">
        <f>IF($A244&gt;=C$10,C$11,C$9)/12</f>
        <v>0.01575</v>
      </c>
      <c r="I244">
        <f>IF($A244&gt;=D$10,D$11,D$9)/12</f>
        <v>0.01825</v>
      </c>
      <c r="J244">
        <f>IF($A244&gt;=E$10,E$11,E$9)/12</f>
        <v>0.00766666666666667</v>
      </c>
      <c r="K244">
        <f>IF($A244&gt;=F$10,F$11,F$9)/12</f>
        <v>0.00533333333333333</v>
      </c>
      <c r="L244">
        <f>IF($A244&gt;=G$10,G$11,G$9)/12</f>
        <v>0</v>
      </c>
      <c r="M244">
        <f>IF($A244&gt;=H$10,H$11,H$9)/12</f>
        <v>0</v>
      </c>
      <c r="N244">
        <f>IF($A244&gt;=I$10,I$11,I$9)/12</f>
        <v>0</v>
      </c>
      <c r="O244">
        <f>IF($A244&gt;=J$10,J$11,J$9)/12</f>
        <v>0</v>
      </c>
      <c r="P244">
        <f>IF($A244&gt;=K$10,K$11,K$9)/12</f>
        <v>0</v>
      </c>
      <c r="Q244">
        <f>IF($A244&gt;=L$10,L$11,L$9)/12</f>
        <v>0</v>
      </c>
      <c r="R244">
        <f>IF($A244&gt;=M$10,M$11,M$9)/12</f>
        <v>0</v>
      </c>
      <c r="S244">
        <f>IF($A244&gt;=N$10,N$11,N$9)/12</f>
        <v>0</v>
      </c>
      <c r="T244">
        <f>IF(C$6="",0,SUMIFS('Budget ed extra'!$G$7:$G$42,'Budget ed extra'!$J$7:$J$42,$A244,'Budget ed extra'!$H$7:$H$42,C$6))</f>
        <v>0</v>
      </c>
      <c r="U244">
        <f>IF(D$6="",0,SUMIFS('Budget ed extra'!$G$7:$G$42,'Budget ed extra'!$J$7:$J$42,$A244,'Budget ed extra'!$H$7:$H$42,D$6))</f>
        <v>0</v>
      </c>
      <c r="V244">
        <f>IF(E$6="",0,SUMIFS('Budget ed extra'!$G$7:$G$42,'Budget ed extra'!$J$7:$J$42,$A244,'Budget ed extra'!$H$7:$H$42,E$6))</f>
        <v>0</v>
      </c>
      <c r="W244">
        <f>IF(F$6="",0,SUMIFS('Budget ed extra'!$G$7:$G$42,'Budget ed extra'!$J$7:$J$42,$A244,'Budget ed extra'!$H$7:$H$42,F$6))</f>
        <v>0</v>
      </c>
      <c r="X244">
        <f>IF(G$6="",0,SUMIFS('Budget ed extra'!$G$7:$G$42,'Budget ed extra'!$J$7:$J$42,$A244,'Budget ed extra'!$H$7:$H$42,G$6))</f>
        <v>0</v>
      </c>
      <c r="Y244">
        <f>IF(H$6="",0,SUMIFS('Budget ed extra'!$G$7:$G$42,'Budget ed extra'!$J$7:$J$42,$A244,'Budget ed extra'!$H$7:$H$42,H$6))</f>
        <v>0</v>
      </c>
      <c r="Z244">
        <f>IF(I$6="",0,SUMIFS('Budget ed extra'!$G$7:$G$42,'Budget ed extra'!$J$7:$J$42,$A244,'Budget ed extra'!$H$7:$H$42,I$6))</f>
        <v>0</v>
      </c>
      <c r="AA244">
        <f>IF(J$6="",0,SUMIFS('Budget ed extra'!$G$7:$G$42,'Budget ed extra'!$J$7:$J$42,$A244,'Budget ed extra'!$H$7:$H$42,J$6))</f>
        <v>0</v>
      </c>
      <c r="AB244">
        <f>IF(K$6="",0,SUMIFS('Budget ed extra'!$G$7:$G$42,'Budget ed extra'!$J$7:$J$42,$A244,'Budget ed extra'!$H$7:$H$42,K$6))</f>
        <v>0</v>
      </c>
      <c r="AC244">
        <f>IF(L$6="",0,SUMIFS('Budget ed extra'!$G$7:$G$42,'Budget ed extra'!$J$7:$J$42,$A244,'Budget ed extra'!$H$7:$H$42,L$6))</f>
        <v>0</v>
      </c>
      <c r="AD244">
        <f>IF(M$6="",0,SUMIFS('Budget ed extra'!$G$7:$G$42,'Budget ed extra'!$J$7:$J$42,$A244,'Budget ed extra'!$H$7:$H$42,M$6))</f>
        <v>0</v>
      </c>
      <c r="AE244">
        <f>IF(N$6="",0,SUMIFS('Budget ed extra'!$G$7:$G$42,'Budget ed extra'!$J$7:$J$42,$A244,'Budget ed extra'!$H$7:$H$42,N$6))</f>
        <v>0</v>
      </c>
    </row>
    <row r="245">
      <c r="A245" t="n">
        <v>215</v>
      </c>
      <c r="B245">
        <f>DATE($B$2,$B$3+A245-1,1)</f>
        <v>52841.0</v>
      </c>
      <c r="C245">
        <f>IF(D245=0,N(Impostazioni!$B$6),SUMIFS('Budget ed extra'!$B$7:$B$18,'Budget ed extra'!$D$7:$D$18,D245)/COUNTIFS('Budget ed extra'!$D$7:$D$18,D245))</f>
        <v>900</v>
      </c>
      <c r="D245">
        <f>SUMPRODUCT(MAX(('Budget ed extra'!$D$7:$D$18&lt;=A245)*'Budget ed extra'!$D$7:$D$18))</f>
        <v>9</v>
      </c>
      <c r="E245">
        <f>SUMIFS('Budget ed extra'!$G$7:$G$42,'Budget ed extra'!$J$7:$J$42,A245)</f>
        <v>0</v>
      </c>
      <c r="F245">
        <f>SUM(T245:AE245)</f>
        <v>0</v>
      </c>
      <c r="G245">
        <f>MAX(0,E245-F245)</f>
        <v>0</v>
      </c>
      <c r="H245">
        <f>IF($A245&gt;=C$10,C$11,C$9)/12</f>
        <v>0.01575</v>
      </c>
      <c r="I245">
        <f>IF($A245&gt;=D$10,D$11,D$9)/12</f>
        <v>0.01825</v>
      </c>
      <c r="J245">
        <f>IF($A245&gt;=E$10,E$11,E$9)/12</f>
        <v>0.00766666666666667</v>
      </c>
      <c r="K245">
        <f>IF($A245&gt;=F$10,F$11,F$9)/12</f>
        <v>0.00533333333333333</v>
      </c>
      <c r="L245">
        <f>IF($A245&gt;=G$10,G$11,G$9)/12</f>
        <v>0</v>
      </c>
      <c r="M245">
        <f>IF($A245&gt;=H$10,H$11,H$9)/12</f>
        <v>0</v>
      </c>
      <c r="N245">
        <f>IF($A245&gt;=I$10,I$11,I$9)/12</f>
        <v>0</v>
      </c>
      <c r="O245">
        <f>IF($A245&gt;=J$10,J$11,J$9)/12</f>
        <v>0</v>
      </c>
      <c r="P245">
        <f>IF($A245&gt;=K$10,K$11,K$9)/12</f>
        <v>0</v>
      </c>
      <c r="Q245">
        <f>IF($A245&gt;=L$10,L$11,L$9)/12</f>
        <v>0</v>
      </c>
      <c r="R245">
        <f>IF($A245&gt;=M$10,M$11,M$9)/12</f>
        <v>0</v>
      </c>
      <c r="S245">
        <f>IF($A245&gt;=N$10,N$11,N$9)/12</f>
        <v>0</v>
      </c>
      <c r="T245">
        <f>IF(C$6="",0,SUMIFS('Budget ed extra'!$G$7:$G$42,'Budget ed extra'!$J$7:$J$42,$A245,'Budget ed extra'!$H$7:$H$42,C$6))</f>
        <v>0</v>
      </c>
      <c r="U245">
        <f>IF(D$6="",0,SUMIFS('Budget ed extra'!$G$7:$G$42,'Budget ed extra'!$J$7:$J$42,$A245,'Budget ed extra'!$H$7:$H$42,D$6))</f>
        <v>0</v>
      </c>
      <c r="V245">
        <f>IF(E$6="",0,SUMIFS('Budget ed extra'!$G$7:$G$42,'Budget ed extra'!$J$7:$J$42,$A245,'Budget ed extra'!$H$7:$H$42,E$6))</f>
        <v>0</v>
      </c>
      <c r="W245">
        <f>IF(F$6="",0,SUMIFS('Budget ed extra'!$G$7:$G$42,'Budget ed extra'!$J$7:$J$42,$A245,'Budget ed extra'!$H$7:$H$42,F$6))</f>
        <v>0</v>
      </c>
      <c r="X245">
        <f>IF(G$6="",0,SUMIFS('Budget ed extra'!$G$7:$G$42,'Budget ed extra'!$J$7:$J$42,$A245,'Budget ed extra'!$H$7:$H$42,G$6))</f>
        <v>0</v>
      </c>
      <c r="Y245">
        <f>IF(H$6="",0,SUMIFS('Budget ed extra'!$G$7:$G$42,'Budget ed extra'!$J$7:$J$42,$A245,'Budget ed extra'!$H$7:$H$42,H$6))</f>
        <v>0</v>
      </c>
      <c r="Z245">
        <f>IF(I$6="",0,SUMIFS('Budget ed extra'!$G$7:$G$42,'Budget ed extra'!$J$7:$J$42,$A245,'Budget ed extra'!$H$7:$H$42,I$6))</f>
        <v>0</v>
      </c>
      <c r="AA245">
        <f>IF(J$6="",0,SUMIFS('Budget ed extra'!$G$7:$G$42,'Budget ed extra'!$J$7:$J$42,$A245,'Budget ed extra'!$H$7:$H$42,J$6))</f>
        <v>0</v>
      </c>
      <c r="AB245">
        <f>IF(K$6="",0,SUMIFS('Budget ed extra'!$G$7:$G$42,'Budget ed extra'!$J$7:$J$42,$A245,'Budget ed extra'!$H$7:$H$42,K$6))</f>
        <v>0</v>
      </c>
      <c r="AC245">
        <f>IF(L$6="",0,SUMIFS('Budget ed extra'!$G$7:$G$42,'Budget ed extra'!$J$7:$J$42,$A245,'Budget ed extra'!$H$7:$H$42,L$6))</f>
        <v>0</v>
      </c>
      <c r="AD245">
        <f>IF(M$6="",0,SUMIFS('Budget ed extra'!$G$7:$G$42,'Budget ed extra'!$J$7:$J$42,$A245,'Budget ed extra'!$H$7:$H$42,M$6))</f>
        <v>0</v>
      </c>
      <c r="AE245">
        <f>IF(N$6="",0,SUMIFS('Budget ed extra'!$G$7:$G$42,'Budget ed extra'!$J$7:$J$42,$A245,'Budget ed extra'!$H$7:$H$42,N$6))</f>
        <v>0</v>
      </c>
    </row>
    <row r="246">
      <c r="A246" t="n">
        <v>216</v>
      </c>
      <c r="B246">
        <f>DATE($B$2,$B$3+A246-1,1)</f>
        <v>52871.0</v>
      </c>
      <c r="C246">
        <f>IF(D246=0,N(Impostazioni!$B$6),SUMIFS('Budget ed extra'!$B$7:$B$18,'Budget ed extra'!$D$7:$D$18,D246)/COUNTIFS('Budget ed extra'!$D$7:$D$18,D246))</f>
        <v>900</v>
      </c>
      <c r="D246">
        <f>SUMPRODUCT(MAX(('Budget ed extra'!$D$7:$D$18&lt;=A246)*'Budget ed extra'!$D$7:$D$18))</f>
        <v>9</v>
      </c>
      <c r="E246">
        <f>SUMIFS('Budget ed extra'!$G$7:$G$42,'Budget ed extra'!$J$7:$J$42,A246)</f>
        <v>0</v>
      </c>
      <c r="F246">
        <f>SUM(T246:AE246)</f>
        <v>0</v>
      </c>
      <c r="G246">
        <f>MAX(0,E246-F246)</f>
        <v>0</v>
      </c>
      <c r="H246">
        <f>IF($A246&gt;=C$10,C$11,C$9)/12</f>
        <v>0.01575</v>
      </c>
      <c r="I246">
        <f>IF($A246&gt;=D$10,D$11,D$9)/12</f>
        <v>0.01825</v>
      </c>
      <c r="J246">
        <f>IF($A246&gt;=E$10,E$11,E$9)/12</f>
        <v>0.00766666666666667</v>
      </c>
      <c r="K246">
        <f>IF($A246&gt;=F$10,F$11,F$9)/12</f>
        <v>0.00533333333333333</v>
      </c>
      <c r="L246">
        <f>IF($A246&gt;=G$10,G$11,G$9)/12</f>
        <v>0</v>
      </c>
      <c r="M246">
        <f>IF($A246&gt;=H$10,H$11,H$9)/12</f>
        <v>0</v>
      </c>
      <c r="N246">
        <f>IF($A246&gt;=I$10,I$11,I$9)/12</f>
        <v>0</v>
      </c>
      <c r="O246">
        <f>IF($A246&gt;=J$10,J$11,J$9)/12</f>
        <v>0</v>
      </c>
      <c r="P246">
        <f>IF($A246&gt;=K$10,K$11,K$9)/12</f>
        <v>0</v>
      </c>
      <c r="Q246">
        <f>IF($A246&gt;=L$10,L$11,L$9)/12</f>
        <v>0</v>
      </c>
      <c r="R246">
        <f>IF($A246&gt;=M$10,M$11,M$9)/12</f>
        <v>0</v>
      </c>
      <c r="S246">
        <f>IF($A246&gt;=N$10,N$11,N$9)/12</f>
        <v>0</v>
      </c>
      <c r="T246">
        <f>IF(C$6="",0,SUMIFS('Budget ed extra'!$G$7:$G$42,'Budget ed extra'!$J$7:$J$42,$A246,'Budget ed extra'!$H$7:$H$42,C$6))</f>
        <v>0</v>
      </c>
      <c r="U246">
        <f>IF(D$6="",0,SUMIFS('Budget ed extra'!$G$7:$G$42,'Budget ed extra'!$J$7:$J$42,$A246,'Budget ed extra'!$H$7:$H$42,D$6))</f>
        <v>0</v>
      </c>
      <c r="V246">
        <f>IF(E$6="",0,SUMIFS('Budget ed extra'!$G$7:$G$42,'Budget ed extra'!$J$7:$J$42,$A246,'Budget ed extra'!$H$7:$H$42,E$6))</f>
        <v>0</v>
      </c>
      <c r="W246">
        <f>IF(F$6="",0,SUMIFS('Budget ed extra'!$G$7:$G$42,'Budget ed extra'!$J$7:$J$42,$A246,'Budget ed extra'!$H$7:$H$42,F$6))</f>
        <v>0</v>
      </c>
      <c r="X246">
        <f>IF(G$6="",0,SUMIFS('Budget ed extra'!$G$7:$G$42,'Budget ed extra'!$J$7:$J$42,$A246,'Budget ed extra'!$H$7:$H$42,G$6))</f>
        <v>0</v>
      </c>
      <c r="Y246">
        <f>IF(H$6="",0,SUMIFS('Budget ed extra'!$G$7:$G$42,'Budget ed extra'!$J$7:$J$42,$A246,'Budget ed extra'!$H$7:$H$42,H$6))</f>
        <v>0</v>
      </c>
      <c r="Z246">
        <f>IF(I$6="",0,SUMIFS('Budget ed extra'!$G$7:$G$42,'Budget ed extra'!$J$7:$J$42,$A246,'Budget ed extra'!$H$7:$H$42,I$6))</f>
        <v>0</v>
      </c>
      <c r="AA246">
        <f>IF(J$6="",0,SUMIFS('Budget ed extra'!$G$7:$G$42,'Budget ed extra'!$J$7:$J$42,$A246,'Budget ed extra'!$H$7:$H$42,J$6))</f>
        <v>0</v>
      </c>
      <c r="AB246">
        <f>IF(K$6="",0,SUMIFS('Budget ed extra'!$G$7:$G$42,'Budget ed extra'!$J$7:$J$42,$A246,'Budget ed extra'!$H$7:$H$42,K$6))</f>
        <v>0</v>
      </c>
      <c r="AC246">
        <f>IF(L$6="",0,SUMIFS('Budget ed extra'!$G$7:$G$42,'Budget ed extra'!$J$7:$J$42,$A246,'Budget ed extra'!$H$7:$H$42,L$6))</f>
        <v>0</v>
      </c>
      <c r="AD246">
        <f>IF(M$6="",0,SUMIFS('Budget ed extra'!$G$7:$G$42,'Budget ed extra'!$J$7:$J$42,$A246,'Budget ed extra'!$H$7:$H$42,M$6))</f>
        <v>0</v>
      </c>
      <c r="AE246">
        <f>IF(N$6="",0,SUMIFS('Budget ed extra'!$G$7:$G$42,'Budget ed extra'!$J$7:$J$42,$A246,'Budget ed extra'!$H$7:$H$42,N$6))</f>
        <v>0</v>
      </c>
    </row>
    <row r="247">
      <c r="A247" t="n">
        <v>217</v>
      </c>
      <c r="B247">
        <f>DATE($B$2,$B$3+A247-1,1)</f>
        <v>52902.0</v>
      </c>
      <c r="C247">
        <f>IF(D247=0,N(Impostazioni!$B$6),SUMIFS('Budget ed extra'!$B$7:$B$18,'Budget ed extra'!$D$7:$D$18,D247)/COUNTIFS('Budget ed extra'!$D$7:$D$18,D247))</f>
        <v>900</v>
      </c>
      <c r="D247">
        <f>SUMPRODUCT(MAX(('Budget ed extra'!$D$7:$D$18&lt;=A247)*'Budget ed extra'!$D$7:$D$18))</f>
        <v>9</v>
      </c>
      <c r="E247">
        <f>SUMIFS('Budget ed extra'!$G$7:$G$42,'Budget ed extra'!$J$7:$J$42,A247)</f>
        <v>0</v>
      </c>
      <c r="F247">
        <f>SUM(T247:AE247)</f>
        <v>0</v>
      </c>
      <c r="G247">
        <f>MAX(0,E247-F247)</f>
        <v>0</v>
      </c>
      <c r="H247">
        <f>IF($A247&gt;=C$10,C$11,C$9)/12</f>
        <v>0.01575</v>
      </c>
      <c r="I247">
        <f>IF($A247&gt;=D$10,D$11,D$9)/12</f>
        <v>0.01825</v>
      </c>
      <c r="J247">
        <f>IF($A247&gt;=E$10,E$11,E$9)/12</f>
        <v>0.00766666666666667</v>
      </c>
      <c r="K247">
        <f>IF($A247&gt;=F$10,F$11,F$9)/12</f>
        <v>0.00533333333333333</v>
      </c>
      <c r="L247">
        <f>IF($A247&gt;=G$10,G$11,G$9)/12</f>
        <v>0</v>
      </c>
      <c r="M247">
        <f>IF($A247&gt;=H$10,H$11,H$9)/12</f>
        <v>0</v>
      </c>
      <c r="N247">
        <f>IF($A247&gt;=I$10,I$11,I$9)/12</f>
        <v>0</v>
      </c>
      <c r="O247">
        <f>IF($A247&gt;=J$10,J$11,J$9)/12</f>
        <v>0</v>
      </c>
      <c r="P247">
        <f>IF($A247&gt;=K$10,K$11,K$9)/12</f>
        <v>0</v>
      </c>
      <c r="Q247">
        <f>IF($A247&gt;=L$10,L$11,L$9)/12</f>
        <v>0</v>
      </c>
      <c r="R247">
        <f>IF($A247&gt;=M$10,M$11,M$9)/12</f>
        <v>0</v>
      </c>
      <c r="S247">
        <f>IF($A247&gt;=N$10,N$11,N$9)/12</f>
        <v>0</v>
      </c>
      <c r="T247">
        <f>IF(C$6="",0,SUMIFS('Budget ed extra'!$G$7:$G$42,'Budget ed extra'!$J$7:$J$42,$A247,'Budget ed extra'!$H$7:$H$42,C$6))</f>
        <v>0</v>
      </c>
      <c r="U247">
        <f>IF(D$6="",0,SUMIFS('Budget ed extra'!$G$7:$G$42,'Budget ed extra'!$J$7:$J$42,$A247,'Budget ed extra'!$H$7:$H$42,D$6))</f>
        <v>0</v>
      </c>
      <c r="V247">
        <f>IF(E$6="",0,SUMIFS('Budget ed extra'!$G$7:$G$42,'Budget ed extra'!$J$7:$J$42,$A247,'Budget ed extra'!$H$7:$H$42,E$6))</f>
        <v>0</v>
      </c>
      <c r="W247">
        <f>IF(F$6="",0,SUMIFS('Budget ed extra'!$G$7:$G$42,'Budget ed extra'!$J$7:$J$42,$A247,'Budget ed extra'!$H$7:$H$42,F$6))</f>
        <v>0</v>
      </c>
      <c r="X247">
        <f>IF(G$6="",0,SUMIFS('Budget ed extra'!$G$7:$G$42,'Budget ed extra'!$J$7:$J$42,$A247,'Budget ed extra'!$H$7:$H$42,G$6))</f>
        <v>0</v>
      </c>
      <c r="Y247">
        <f>IF(H$6="",0,SUMIFS('Budget ed extra'!$G$7:$G$42,'Budget ed extra'!$J$7:$J$42,$A247,'Budget ed extra'!$H$7:$H$42,H$6))</f>
        <v>0</v>
      </c>
      <c r="Z247">
        <f>IF(I$6="",0,SUMIFS('Budget ed extra'!$G$7:$G$42,'Budget ed extra'!$J$7:$J$42,$A247,'Budget ed extra'!$H$7:$H$42,I$6))</f>
        <v>0</v>
      </c>
      <c r="AA247">
        <f>IF(J$6="",0,SUMIFS('Budget ed extra'!$G$7:$G$42,'Budget ed extra'!$J$7:$J$42,$A247,'Budget ed extra'!$H$7:$H$42,J$6))</f>
        <v>0</v>
      </c>
      <c r="AB247">
        <f>IF(K$6="",0,SUMIFS('Budget ed extra'!$G$7:$G$42,'Budget ed extra'!$J$7:$J$42,$A247,'Budget ed extra'!$H$7:$H$42,K$6))</f>
        <v>0</v>
      </c>
      <c r="AC247">
        <f>IF(L$6="",0,SUMIFS('Budget ed extra'!$G$7:$G$42,'Budget ed extra'!$J$7:$J$42,$A247,'Budget ed extra'!$H$7:$H$42,L$6))</f>
        <v>0</v>
      </c>
      <c r="AD247">
        <f>IF(M$6="",0,SUMIFS('Budget ed extra'!$G$7:$G$42,'Budget ed extra'!$J$7:$J$42,$A247,'Budget ed extra'!$H$7:$H$42,M$6))</f>
        <v>0</v>
      </c>
      <c r="AE247">
        <f>IF(N$6="",0,SUMIFS('Budget ed extra'!$G$7:$G$42,'Budget ed extra'!$J$7:$J$42,$A247,'Budget ed extra'!$H$7:$H$42,N$6))</f>
        <v>0</v>
      </c>
    </row>
    <row r="248">
      <c r="A248" t="n">
        <v>218</v>
      </c>
      <c r="B248">
        <f>DATE($B$2,$B$3+A248-1,1)</f>
        <v>52932.0</v>
      </c>
      <c r="C248">
        <f>IF(D248=0,N(Impostazioni!$B$6),SUMIFS('Budget ed extra'!$B$7:$B$18,'Budget ed extra'!$D$7:$D$18,D248)/COUNTIFS('Budget ed extra'!$D$7:$D$18,D248))</f>
        <v>900</v>
      </c>
      <c r="D248">
        <f>SUMPRODUCT(MAX(('Budget ed extra'!$D$7:$D$18&lt;=A248)*'Budget ed extra'!$D$7:$D$18))</f>
        <v>9</v>
      </c>
      <c r="E248">
        <f>SUMIFS('Budget ed extra'!$G$7:$G$42,'Budget ed extra'!$J$7:$J$42,A248)</f>
        <v>0</v>
      </c>
      <c r="F248">
        <f>SUM(T248:AE248)</f>
        <v>0</v>
      </c>
      <c r="G248">
        <f>MAX(0,E248-F248)</f>
        <v>0</v>
      </c>
      <c r="H248">
        <f>IF($A248&gt;=C$10,C$11,C$9)/12</f>
        <v>0.01575</v>
      </c>
      <c r="I248">
        <f>IF($A248&gt;=D$10,D$11,D$9)/12</f>
        <v>0.01825</v>
      </c>
      <c r="J248">
        <f>IF($A248&gt;=E$10,E$11,E$9)/12</f>
        <v>0.00766666666666667</v>
      </c>
      <c r="K248">
        <f>IF($A248&gt;=F$10,F$11,F$9)/12</f>
        <v>0.00533333333333333</v>
      </c>
      <c r="L248">
        <f>IF($A248&gt;=G$10,G$11,G$9)/12</f>
        <v>0</v>
      </c>
      <c r="M248">
        <f>IF($A248&gt;=H$10,H$11,H$9)/12</f>
        <v>0</v>
      </c>
      <c r="N248">
        <f>IF($A248&gt;=I$10,I$11,I$9)/12</f>
        <v>0</v>
      </c>
      <c r="O248">
        <f>IF($A248&gt;=J$10,J$11,J$9)/12</f>
        <v>0</v>
      </c>
      <c r="P248">
        <f>IF($A248&gt;=K$10,K$11,K$9)/12</f>
        <v>0</v>
      </c>
      <c r="Q248">
        <f>IF($A248&gt;=L$10,L$11,L$9)/12</f>
        <v>0</v>
      </c>
      <c r="R248">
        <f>IF($A248&gt;=M$10,M$11,M$9)/12</f>
        <v>0</v>
      </c>
      <c r="S248">
        <f>IF($A248&gt;=N$10,N$11,N$9)/12</f>
        <v>0</v>
      </c>
      <c r="T248">
        <f>IF(C$6="",0,SUMIFS('Budget ed extra'!$G$7:$G$42,'Budget ed extra'!$J$7:$J$42,$A248,'Budget ed extra'!$H$7:$H$42,C$6))</f>
        <v>0</v>
      </c>
      <c r="U248">
        <f>IF(D$6="",0,SUMIFS('Budget ed extra'!$G$7:$G$42,'Budget ed extra'!$J$7:$J$42,$A248,'Budget ed extra'!$H$7:$H$42,D$6))</f>
        <v>0</v>
      </c>
      <c r="V248">
        <f>IF(E$6="",0,SUMIFS('Budget ed extra'!$G$7:$G$42,'Budget ed extra'!$J$7:$J$42,$A248,'Budget ed extra'!$H$7:$H$42,E$6))</f>
        <v>0</v>
      </c>
      <c r="W248">
        <f>IF(F$6="",0,SUMIFS('Budget ed extra'!$G$7:$G$42,'Budget ed extra'!$J$7:$J$42,$A248,'Budget ed extra'!$H$7:$H$42,F$6))</f>
        <v>0</v>
      </c>
      <c r="X248">
        <f>IF(G$6="",0,SUMIFS('Budget ed extra'!$G$7:$G$42,'Budget ed extra'!$J$7:$J$42,$A248,'Budget ed extra'!$H$7:$H$42,G$6))</f>
        <v>0</v>
      </c>
      <c r="Y248">
        <f>IF(H$6="",0,SUMIFS('Budget ed extra'!$G$7:$G$42,'Budget ed extra'!$J$7:$J$42,$A248,'Budget ed extra'!$H$7:$H$42,H$6))</f>
        <v>0</v>
      </c>
      <c r="Z248">
        <f>IF(I$6="",0,SUMIFS('Budget ed extra'!$G$7:$G$42,'Budget ed extra'!$J$7:$J$42,$A248,'Budget ed extra'!$H$7:$H$42,I$6))</f>
        <v>0</v>
      </c>
      <c r="AA248">
        <f>IF(J$6="",0,SUMIFS('Budget ed extra'!$G$7:$G$42,'Budget ed extra'!$J$7:$J$42,$A248,'Budget ed extra'!$H$7:$H$42,J$6))</f>
        <v>0</v>
      </c>
      <c r="AB248">
        <f>IF(K$6="",0,SUMIFS('Budget ed extra'!$G$7:$G$42,'Budget ed extra'!$J$7:$J$42,$A248,'Budget ed extra'!$H$7:$H$42,K$6))</f>
        <v>0</v>
      </c>
      <c r="AC248">
        <f>IF(L$6="",0,SUMIFS('Budget ed extra'!$G$7:$G$42,'Budget ed extra'!$J$7:$J$42,$A248,'Budget ed extra'!$H$7:$H$42,L$6))</f>
        <v>0</v>
      </c>
      <c r="AD248">
        <f>IF(M$6="",0,SUMIFS('Budget ed extra'!$G$7:$G$42,'Budget ed extra'!$J$7:$J$42,$A248,'Budget ed extra'!$H$7:$H$42,M$6))</f>
        <v>0</v>
      </c>
      <c r="AE248">
        <f>IF(N$6="",0,SUMIFS('Budget ed extra'!$G$7:$G$42,'Budget ed extra'!$J$7:$J$42,$A248,'Budget ed extra'!$H$7:$H$42,N$6))</f>
        <v>0</v>
      </c>
    </row>
    <row r="249">
      <c r="A249" t="n">
        <v>219</v>
      </c>
      <c r="B249">
        <f>DATE($B$2,$B$3+A249-1,1)</f>
        <v>52963.0</v>
      </c>
      <c r="C249">
        <f>IF(D249=0,N(Impostazioni!$B$6),SUMIFS('Budget ed extra'!$B$7:$B$18,'Budget ed extra'!$D$7:$D$18,D249)/COUNTIFS('Budget ed extra'!$D$7:$D$18,D249))</f>
        <v>900</v>
      </c>
      <c r="D249">
        <f>SUMPRODUCT(MAX(('Budget ed extra'!$D$7:$D$18&lt;=A249)*'Budget ed extra'!$D$7:$D$18))</f>
        <v>9</v>
      </c>
      <c r="E249">
        <f>SUMIFS('Budget ed extra'!$G$7:$G$42,'Budget ed extra'!$J$7:$J$42,A249)</f>
        <v>0</v>
      </c>
      <c r="F249">
        <f>SUM(T249:AE249)</f>
        <v>0</v>
      </c>
      <c r="G249">
        <f>MAX(0,E249-F249)</f>
        <v>0</v>
      </c>
      <c r="H249">
        <f>IF($A249&gt;=C$10,C$11,C$9)/12</f>
        <v>0.01575</v>
      </c>
      <c r="I249">
        <f>IF($A249&gt;=D$10,D$11,D$9)/12</f>
        <v>0.01825</v>
      </c>
      <c r="J249">
        <f>IF($A249&gt;=E$10,E$11,E$9)/12</f>
        <v>0.00766666666666667</v>
      </c>
      <c r="K249">
        <f>IF($A249&gt;=F$10,F$11,F$9)/12</f>
        <v>0.00533333333333333</v>
      </c>
      <c r="L249">
        <f>IF($A249&gt;=G$10,G$11,G$9)/12</f>
        <v>0</v>
      </c>
      <c r="M249">
        <f>IF($A249&gt;=H$10,H$11,H$9)/12</f>
        <v>0</v>
      </c>
      <c r="N249">
        <f>IF($A249&gt;=I$10,I$11,I$9)/12</f>
        <v>0</v>
      </c>
      <c r="O249">
        <f>IF($A249&gt;=J$10,J$11,J$9)/12</f>
        <v>0</v>
      </c>
      <c r="P249">
        <f>IF($A249&gt;=K$10,K$11,K$9)/12</f>
        <v>0</v>
      </c>
      <c r="Q249">
        <f>IF($A249&gt;=L$10,L$11,L$9)/12</f>
        <v>0</v>
      </c>
      <c r="R249">
        <f>IF($A249&gt;=M$10,M$11,M$9)/12</f>
        <v>0</v>
      </c>
      <c r="S249">
        <f>IF($A249&gt;=N$10,N$11,N$9)/12</f>
        <v>0</v>
      </c>
      <c r="T249">
        <f>IF(C$6="",0,SUMIFS('Budget ed extra'!$G$7:$G$42,'Budget ed extra'!$J$7:$J$42,$A249,'Budget ed extra'!$H$7:$H$42,C$6))</f>
        <v>0</v>
      </c>
      <c r="U249">
        <f>IF(D$6="",0,SUMIFS('Budget ed extra'!$G$7:$G$42,'Budget ed extra'!$J$7:$J$42,$A249,'Budget ed extra'!$H$7:$H$42,D$6))</f>
        <v>0</v>
      </c>
      <c r="V249">
        <f>IF(E$6="",0,SUMIFS('Budget ed extra'!$G$7:$G$42,'Budget ed extra'!$J$7:$J$42,$A249,'Budget ed extra'!$H$7:$H$42,E$6))</f>
        <v>0</v>
      </c>
      <c r="W249">
        <f>IF(F$6="",0,SUMIFS('Budget ed extra'!$G$7:$G$42,'Budget ed extra'!$J$7:$J$42,$A249,'Budget ed extra'!$H$7:$H$42,F$6))</f>
        <v>0</v>
      </c>
      <c r="X249">
        <f>IF(G$6="",0,SUMIFS('Budget ed extra'!$G$7:$G$42,'Budget ed extra'!$J$7:$J$42,$A249,'Budget ed extra'!$H$7:$H$42,G$6))</f>
        <v>0</v>
      </c>
      <c r="Y249">
        <f>IF(H$6="",0,SUMIFS('Budget ed extra'!$G$7:$G$42,'Budget ed extra'!$J$7:$J$42,$A249,'Budget ed extra'!$H$7:$H$42,H$6))</f>
        <v>0</v>
      </c>
      <c r="Z249">
        <f>IF(I$6="",0,SUMIFS('Budget ed extra'!$G$7:$G$42,'Budget ed extra'!$J$7:$J$42,$A249,'Budget ed extra'!$H$7:$H$42,I$6))</f>
        <v>0</v>
      </c>
      <c r="AA249">
        <f>IF(J$6="",0,SUMIFS('Budget ed extra'!$G$7:$G$42,'Budget ed extra'!$J$7:$J$42,$A249,'Budget ed extra'!$H$7:$H$42,J$6))</f>
        <v>0</v>
      </c>
      <c r="AB249">
        <f>IF(K$6="",0,SUMIFS('Budget ed extra'!$G$7:$G$42,'Budget ed extra'!$J$7:$J$42,$A249,'Budget ed extra'!$H$7:$H$42,K$6))</f>
        <v>0</v>
      </c>
      <c r="AC249">
        <f>IF(L$6="",0,SUMIFS('Budget ed extra'!$G$7:$G$42,'Budget ed extra'!$J$7:$J$42,$A249,'Budget ed extra'!$H$7:$H$42,L$6))</f>
        <v>0</v>
      </c>
      <c r="AD249">
        <f>IF(M$6="",0,SUMIFS('Budget ed extra'!$G$7:$G$42,'Budget ed extra'!$J$7:$J$42,$A249,'Budget ed extra'!$H$7:$H$42,M$6))</f>
        <v>0</v>
      </c>
      <c r="AE249">
        <f>IF(N$6="",0,SUMIFS('Budget ed extra'!$G$7:$G$42,'Budget ed extra'!$J$7:$J$42,$A249,'Budget ed extra'!$H$7:$H$42,N$6))</f>
        <v>0</v>
      </c>
    </row>
    <row r="250">
      <c r="A250" t="n">
        <v>220</v>
      </c>
      <c r="B250">
        <f>DATE($B$2,$B$3+A250-1,1)</f>
        <v>52994.0</v>
      </c>
      <c r="C250">
        <f>IF(D250=0,N(Impostazioni!$B$6),SUMIFS('Budget ed extra'!$B$7:$B$18,'Budget ed extra'!$D$7:$D$18,D250)/COUNTIFS('Budget ed extra'!$D$7:$D$18,D250))</f>
        <v>900</v>
      </c>
      <c r="D250">
        <f>SUMPRODUCT(MAX(('Budget ed extra'!$D$7:$D$18&lt;=A250)*'Budget ed extra'!$D$7:$D$18))</f>
        <v>9</v>
      </c>
      <c r="E250">
        <f>SUMIFS('Budget ed extra'!$G$7:$G$42,'Budget ed extra'!$J$7:$J$42,A250)</f>
        <v>0</v>
      </c>
      <c r="F250">
        <f>SUM(T250:AE250)</f>
        <v>0</v>
      </c>
      <c r="G250">
        <f>MAX(0,E250-F250)</f>
        <v>0</v>
      </c>
      <c r="H250">
        <f>IF($A250&gt;=C$10,C$11,C$9)/12</f>
        <v>0.01575</v>
      </c>
      <c r="I250">
        <f>IF($A250&gt;=D$10,D$11,D$9)/12</f>
        <v>0.01825</v>
      </c>
      <c r="J250">
        <f>IF($A250&gt;=E$10,E$11,E$9)/12</f>
        <v>0.00766666666666667</v>
      </c>
      <c r="K250">
        <f>IF($A250&gt;=F$10,F$11,F$9)/12</f>
        <v>0.00533333333333333</v>
      </c>
      <c r="L250">
        <f>IF($A250&gt;=G$10,G$11,G$9)/12</f>
        <v>0</v>
      </c>
      <c r="M250">
        <f>IF($A250&gt;=H$10,H$11,H$9)/12</f>
        <v>0</v>
      </c>
      <c r="N250">
        <f>IF($A250&gt;=I$10,I$11,I$9)/12</f>
        <v>0</v>
      </c>
      <c r="O250">
        <f>IF($A250&gt;=J$10,J$11,J$9)/12</f>
        <v>0</v>
      </c>
      <c r="P250">
        <f>IF($A250&gt;=K$10,K$11,K$9)/12</f>
        <v>0</v>
      </c>
      <c r="Q250">
        <f>IF($A250&gt;=L$10,L$11,L$9)/12</f>
        <v>0</v>
      </c>
      <c r="R250">
        <f>IF($A250&gt;=M$10,M$11,M$9)/12</f>
        <v>0</v>
      </c>
      <c r="S250">
        <f>IF($A250&gt;=N$10,N$11,N$9)/12</f>
        <v>0</v>
      </c>
      <c r="T250">
        <f>IF(C$6="",0,SUMIFS('Budget ed extra'!$G$7:$G$42,'Budget ed extra'!$J$7:$J$42,$A250,'Budget ed extra'!$H$7:$H$42,C$6))</f>
        <v>0</v>
      </c>
      <c r="U250">
        <f>IF(D$6="",0,SUMIFS('Budget ed extra'!$G$7:$G$42,'Budget ed extra'!$J$7:$J$42,$A250,'Budget ed extra'!$H$7:$H$42,D$6))</f>
        <v>0</v>
      </c>
      <c r="V250">
        <f>IF(E$6="",0,SUMIFS('Budget ed extra'!$G$7:$G$42,'Budget ed extra'!$J$7:$J$42,$A250,'Budget ed extra'!$H$7:$H$42,E$6))</f>
        <v>0</v>
      </c>
      <c r="W250">
        <f>IF(F$6="",0,SUMIFS('Budget ed extra'!$G$7:$G$42,'Budget ed extra'!$J$7:$J$42,$A250,'Budget ed extra'!$H$7:$H$42,F$6))</f>
        <v>0</v>
      </c>
      <c r="X250">
        <f>IF(G$6="",0,SUMIFS('Budget ed extra'!$G$7:$G$42,'Budget ed extra'!$J$7:$J$42,$A250,'Budget ed extra'!$H$7:$H$42,G$6))</f>
        <v>0</v>
      </c>
      <c r="Y250">
        <f>IF(H$6="",0,SUMIFS('Budget ed extra'!$G$7:$G$42,'Budget ed extra'!$J$7:$J$42,$A250,'Budget ed extra'!$H$7:$H$42,H$6))</f>
        <v>0</v>
      </c>
      <c r="Z250">
        <f>IF(I$6="",0,SUMIFS('Budget ed extra'!$G$7:$G$42,'Budget ed extra'!$J$7:$J$42,$A250,'Budget ed extra'!$H$7:$H$42,I$6))</f>
        <v>0</v>
      </c>
      <c r="AA250">
        <f>IF(J$6="",0,SUMIFS('Budget ed extra'!$G$7:$G$42,'Budget ed extra'!$J$7:$J$42,$A250,'Budget ed extra'!$H$7:$H$42,J$6))</f>
        <v>0</v>
      </c>
      <c r="AB250">
        <f>IF(K$6="",0,SUMIFS('Budget ed extra'!$G$7:$G$42,'Budget ed extra'!$J$7:$J$42,$A250,'Budget ed extra'!$H$7:$H$42,K$6))</f>
        <v>0</v>
      </c>
      <c r="AC250">
        <f>IF(L$6="",0,SUMIFS('Budget ed extra'!$G$7:$G$42,'Budget ed extra'!$J$7:$J$42,$A250,'Budget ed extra'!$H$7:$H$42,L$6))</f>
        <v>0</v>
      </c>
      <c r="AD250">
        <f>IF(M$6="",0,SUMIFS('Budget ed extra'!$G$7:$G$42,'Budget ed extra'!$J$7:$J$42,$A250,'Budget ed extra'!$H$7:$H$42,M$6))</f>
        <v>0</v>
      </c>
      <c r="AE250">
        <f>IF(N$6="",0,SUMIFS('Budget ed extra'!$G$7:$G$42,'Budget ed extra'!$J$7:$J$42,$A250,'Budget ed extra'!$H$7:$H$42,N$6))</f>
        <v>0</v>
      </c>
    </row>
    <row r="251">
      <c r="A251" t="n">
        <v>221</v>
      </c>
      <c r="B251">
        <f>DATE($B$2,$B$3+A251-1,1)</f>
        <v>53022.0</v>
      </c>
      <c r="C251">
        <f>IF(D251=0,N(Impostazioni!$B$6),SUMIFS('Budget ed extra'!$B$7:$B$18,'Budget ed extra'!$D$7:$D$18,D251)/COUNTIFS('Budget ed extra'!$D$7:$D$18,D251))</f>
        <v>900</v>
      </c>
      <c r="D251">
        <f>SUMPRODUCT(MAX(('Budget ed extra'!$D$7:$D$18&lt;=A251)*'Budget ed extra'!$D$7:$D$18))</f>
        <v>9</v>
      </c>
      <c r="E251">
        <f>SUMIFS('Budget ed extra'!$G$7:$G$42,'Budget ed extra'!$J$7:$J$42,A251)</f>
        <v>0</v>
      </c>
      <c r="F251">
        <f>SUM(T251:AE251)</f>
        <v>0</v>
      </c>
      <c r="G251">
        <f>MAX(0,E251-F251)</f>
        <v>0</v>
      </c>
      <c r="H251">
        <f>IF($A251&gt;=C$10,C$11,C$9)/12</f>
        <v>0.01575</v>
      </c>
      <c r="I251">
        <f>IF($A251&gt;=D$10,D$11,D$9)/12</f>
        <v>0.01825</v>
      </c>
      <c r="J251">
        <f>IF($A251&gt;=E$10,E$11,E$9)/12</f>
        <v>0.00766666666666667</v>
      </c>
      <c r="K251">
        <f>IF($A251&gt;=F$10,F$11,F$9)/12</f>
        <v>0.00533333333333333</v>
      </c>
      <c r="L251">
        <f>IF($A251&gt;=G$10,G$11,G$9)/12</f>
        <v>0</v>
      </c>
      <c r="M251">
        <f>IF($A251&gt;=H$10,H$11,H$9)/12</f>
        <v>0</v>
      </c>
      <c r="N251">
        <f>IF($A251&gt;=I$10,I$11,I$9)/12</f>
        <v>0</v>
      </c>
      <c r="O251">
        <f>IF($A251&gt;=J$10,J$11,J$9)/12</f>
        <v>0</v>
      </c>
      <c r="P251">
        <f>IF($A251&gt;=K$10,K$11,K$9)/12</f>
        <v>0</v>
      </c>
      <c r="Q251">
        <f>IF($A251&gt;=L$10,L$11,L$9)/12</f>
        <v>0</v>
      </c>
      <c r="R251">
        <f>IF($A251&gt;=M$10,M$11,M$9)/12</f>
        <v>0</v>
      </c>
      <c r="S251">
        <f>IF($A251&gt;=N$10,N$11,N$9)/12</f>
        <v>0</v>
      </c>
      <c r="T251">
        <f>IF(C$6="",0,SUMIFS('Budget ed extra'!$G$7:$G$42,'Budget ed extra'!$J$7:$J$42,$A251,'Budget ed extra'!$H$7:$H$42,C$6))</f>
        <v>0</v>
      </c>
      <c r="U251">
        <f>IF(D$6="",0,SUMIFS('Budget ed extra'!$G$7:$G$42,'Budget ed extra'!$J$7:$J$42,$A251,'Budget ed extra'!$H$7:$H$42,D$6))</f>
        <v>0</v>
      </c>
      <c r="V251">
        <f>IF(E$6="",0,SUMIFS('Budget ed extra'!$G$7:$G$42,'Budget ed extra'!$J$7:$J$42,$A251,'Budget ed extra'!$H$7:$H$42,E$6))</f>
        <v>0</v>
      </c>
      <c r="W251">
        <f>IF(F$6="",0,SUMIFS('Budget ed extra'!$G$7:$G$42,'Budget ed extra'!$J$7:$J$42,$A251,'Budget ed extra'!$H$7:$H$42,F$6))</f>
        <v>0</v>
      </c>
      <c r="X251">
        <f>IF(G$6="",0,SUMIFS('Budget ed extra'!$G$7:$G$42,'Budget ed extra'!$J$7:$J$42,$A251,'Budget ed extra'!$H$7:$H$42,G$6))</f>
        <v>0</v>
      </c>
      <c r="Y251">
        <f>IF(H$6="",0,SUMIFS('Budget ed extra'!$G$7:$G$42,'Budget ed extra'!$J$7:$J$42,$A251,'Budget ed extra'!$H$7:$H$42,H$6))</f>
        <v>0</v>
      </c>
      <c r="Z251">
        <f>IF(I$6="",0,SUMIFS('Budget ed extra'!$G$7:$G$42,'Budget ed extra'!$J$7:$J$42,$A251,'Budget ed extra'!$H$7:$H$42,I$6))</f>
        <v>0</v>
      </c>
      <c r="AA251">
        <f>IF(J$6="",0,SUMIFS('Budget ed extra'!$G$7:$G$42,'Budget ed extra'!$J$7:$J$42,$A251,'Budget ed extra'!$H$7:$H$42,J$6))</f>
        <v>0</v>
      </c>
      <c r="AB251">
        <f>IF(K$6="",0,SUMIFS('Budget ed extra'!$G$7:$G$42,'Budget ed extra'!$J$7:$J$42,$A251,'Budget ed extra'!$H$7:$H$42,K$6))</f>
        <v>0</v>
      </c>
      <c r="AC251">
        <f>IF(L$6="",0,SUMIFS('Budget ed extra'!$G$7:$G$42,'Budget ed extra'!$J$7:$J$42,$A251,'Budget ed extra'!$H$7:$H$42,L$6))</f>
        <v>0</v>
      </c>
      <c r="AD251">
        <f>IF(M$6="",0,SUMIFS('Budget ed extra'!$G$7:$G$42,'Budget ed extra'!$J$7:$J$42,$A251,'Budget ed extra'!$H$7:$H$42,M$6))</f>
        <v>0</v>
      </c>
      <c r="AE251">
        <f>IF(N$6="",0,SUMIFS('Budget ed extra'!$G$7:$G$42,'Budget ed extra'!$J$7:$J$42,$A251,'Budget ed extra'!$H$7:$H$42,N$6))</f>
        <v>0</v>
      </c>
    </row>
    <row r="252">
      <c r="A252" t="n">
        <v>222</v>
      </c>
      <c r="B252">
        <f>DATE($B$2,$B$3+A252-1,1)</f>
        <v>53053.0</v>
      </c>
      <c r="C252">
        <f>IF(D252=0,N(Impostazioni!$B$6),SUMIFS('Budget ed extra'!$B$7:$B$18,'Budget ed extra'!$D$7:$D$18,D252)/COUNTIFS('Budget ed extra'!$D$7:$D$18,D252))</f>
        <v>900</v>
      </c>
      <c r="D252">
        <f>SUMPRODUCT(MAX(('Budget ed extra'!$D$7:$D$18&lt;=A252)*'Budget ed extra'!$D$7:$D$18))</f>
        <v>9</v>
      </c>
      <c r="E252">
        <f>SUMIFS('Budget ed extra'!$G$7:$G$42,'Budget ed extra'!$J$7:$J$42,A252)</f>
        <v>0</v>
      </c>
      <c r="F252">
        <f>SUM(T252:AE252)</f>
        <v>0</v>
      </c>
      <c r="G252">
        <f>MAX(0,E252-F252)</f>
        <v>0</v>
      </c>
      <c r="H252">
        <f>IF($A252&gt;=C$10,C$11,C$9)/12</f>
        <v>0.01575</v>
      </c>
      <c r="I252">
        <f>IF($A252&gt;=D$10,D$11,D$9)/12</f>
        <v>0.01825</v>
      </c>
      <c r="J252">
        <f>IF($A252&gt;=E$10,E$11,E$9)/12</f>
        <v>0.00766666666666667</v>
      </c>
      <c r="K252">
        <f>IF($A252&gt;=F$10,F$11,F$9)/12</f>
        <v>0.00533333333333333</v>
      </c>
      <c r="L252">
        <f>IF($A252&gt;=G$10,G$11,G$9)/12</f>
        <v>0</v>
      </c>
      <c r="M252">
        <f>IF($A252&gt;=H$10,H$11,H$9)/12</f>
        <v>0</v>
      </c>
      <c r="N252">
        <f>IF($A252&gt;=I$10,I$11,I$9)/12</f>
        <v>0</v>
      </c>
      <c r="O252">
        <f>IF($A252&gt;=J$10,J$11,J$9)/12</f>
        <v>0</v>
      </c>
      <c r="P252">
        <f>IF($A252&gt;=K$10,K$11,K$9)/12</f>
        <v>0</v>
      </c>
      <c r="Q252">
        <f>IF($A252&gt;=L$10,L$11,L$9)/12</f>
        <v>0</v>
      </c>
      <c r="R252">
        <f>IF($A252&gt;=M$10,M$11,M$9)/12</f>
        <v>0</v>
      </c>
      <c r="S252">
        <f>IF($A252&gt;=N$10,N$11,N$9)/12</f>
        <v>0</v>
      </c>
      <c r="T252">
        <f>IF(C$6="",0,SUMIFS('Budget ed extra'!$G$7:$G$42,'Budget ed extra'!$J$7:$J$42,$A252,'Budget ed extra'!$H$7:$H$42,C$6))</f>
        <v>0</v>
      </c>
      <c r="U252">
        <f>IF(D$6="",0,SUMIFS('Budget ed extra'!$G$7:$G$42,'Budget ed extra'!$J$7:$J$42,$A252,'Budget ed extra'!$H$7:$H$42,D$6))</f>
        <v>0</v>
      </c>
      <c r="V252">
        <f>IF(E$6="",0,SUMIFS('Budget ed extra'!$G$7:$G$42,'Budget ed extra'!$J$7:$J$42,$A252,'Budget ed extra'!$H$7:$H$42,E$6))</f>
        <v>0</v>
      </c>
      <c r="W252">
        <f>IF(F$6="",0,SUMIFS('Budget ed extra'!$G$7:$G$42,'Budget ed extra'!$J$7:$J$42,$A252,'Budget ed extra'!$H$7:$H$42,F$6))</f>
        <v>0</v>
      </c>
      <c r="X252">
        <f>IF(G$6="",0,SUMIFS('Budget ed extra'!$G$7:$G$42,'Budget ed extra'!$J$7:$J$42,$A252,'Budget ed extra'!$H$7:$H$42,G$6))</f>
        <v>0</v>
      </c>
      <c r="Y252">
        <f>IF(H$6="",0,SUMIFS('Budget ed extra'!$G$7:$G$42,'Budget ed extra'!$J$7:$J$42,$A252,'Budget ed extra'!$H$7:$H$42,H$6))</f>
        <v>0</v>
      </c>
      <c r="Z252">
        <f>IF(I$6="",0,SUMIFS('Budget ed extra'!$G$7:$G$42,'Budget ed extra'!$J$7:$J$42,$A252,'Budget ed extra'!$H$7:$H$42,I$6))</f>
        <v>0</v>
      </c>
      <c r="AA252">
        <f>IF(J$6="",0,SUMIFS('Budget ed extra'!$G$7:$G$42,'Budget ed extra'!$J$7:$J$42,$A252,'Budget ed extra'!$H$7:$H$42,J$6))</f>
        <v>0</v>
      </c>
      <c r="AB252">
        <f>IF(K$6="",0,SUMIFS('Budget ed extra'!$G$7:$G$42,'Budget ed extra'!$J$7:$J$42,$A252,'Budget ed extra'!$H$7:$H$42,K$6))</f>
        <v>0</v>
      </c>
      <c r="AC252">
        <f>IF(L$6="",0,SUMIFS('Budget ed extra'!$G$7:$G$42,'Budget ed extra'!$J$7:$J$42,$A252,'Budget ed extra'!$H$7:$H$42,L$6))</f>
        <v>0</v>
      </c>
      <c r="AD252">
        <f>IF(M$6="",0,SUMIFS('Budget ed extra'!$G$7:$G$42,'Budget ed extra'!$J$7:$J$42,$A252,'Budget ed extra'!$H$7:$H$42,M$6))</f>
        <v>0</v>
      </c>
      <c r="AE252">
        <f>IF(N$6="",0,SUMIFS('Budget ed extra'!$G$7:$G$42,'Budget ed extra'!$J$7:$J$42,$A252,'Budget ed extra'!$H$7:$H$42,N$6))</f>
        <v>0</v>
      </c>
    </row>
    <row r="253">
      <c r="A253" t="n">
        <v>223</v>
      </c>
      <c r="B253">
        <f>DATE($B$2,$B$3+A253-1,1)</f>
        <v>53083.0</v>
      </c>
      <c r="C253">
        <f>IF(D253=0,N(Impostazioni!$B$6),SUMIFS('Budget ed extra'!$B$7:$B$18,'Budget ed extra'!$D$7:$D$18,D253)/COUNTIFS('Budget ed extra'!$D$7:$D$18,D253))</f>
        <v>900</v>
      </c>
      <c r="D253">
        <f>SUMPRODUCT(MAX(('Budget ed extra'!$D$7:$D$18&lt;=A253)*'Budget ed extra'!$D$7:$D$18))</f>
        <v>9</v>
      </c>
      <c r="E253">
        <f>SUMIFS('Budget ed extra'!$G$7:$G$42,'Budget ed extra'!$J$7:$J$42,A253)</f>
        <v>0</v>
      </c>
      <c r="F253">
        <f>SUM(T253:AE253)</f>
        <v>0</v>
      </c>
      <c r="G253">
        <f>MAX(0,E253-F253)</f>
        <v>0</v>
      </c>
      <c r="H253">
        <f>IF($A253&gt;=C$10,C$11,C$9)/12</f>
        <v>0.01575</v>
      </c>
      <c r="I253">
        <f>IF($A253&gt;=D$10,D$11,D$9)/12</f>
        <v>0.01825</v>
      </c>
      <c r="J253">
        <f>IF($A253&gt;=E$10,E$11,E$9)/12</f>
        <v>0.00766666666666667</v>
      </c>
      <c r="K253">
        <f>IF($A253&gt;=F$10,F$11,F$9)/12</f>
        <v>0.00533333333333333</v>
      </c>
      <c r="L253">
        <f>IF($A253&gt;=G$10,G$11,G$9)/12</f>
        <v>0</v>
      </c>
      <c r="M253">
        <f>IF($A253&gt;=H$10,H$11,H$9)/12</f>
        <v>0</v>
      </c>
      <c r="N253">
        <f>IF($A253&gt;=I$10,I$11,I$9)/12</f>
        <v>0</v>
      </c>
      <c r="O253">
        <f>IF($A253&gt;=J$10,J$11,J$9)/12</f>
        <v>0</v>
      </c>
      <c r="P253">
        <f>IF($A253&gt;=K$10,K$11,K$9)/12</f>
        <v>0</v>
      </c>
      <c r="Q253">
        <f>IF($A253&gt;=L$10,L$11,L$9)/12</f>
        <v>0</v>
      </c>
      <c r="R253">
        <f>IF($A253&gt;=M$10,M$11,M$9)/12</f>
        <v>0</v>
      </c>
      <c r="S253">
        <f>IF($A253&gt;=N$10,N$11,N$9)/12</f>
        <v>0</v>
      </c>
      <c r="T253">
        <f>IF(C$6="",0,SUMIFS('Budget ed extra'!$G$7:$G$42,'Budget ed extra'!$J$7:$J$42,$A253,'Budget ed extra'!$H$7:$H$42,C$6))</f>
        <v>0</v>
      </c>
      <c r="U253">
        <f>IF(D$6="",0,SUMIFS('Budget ed extra'!$G$7:$G$42,'Budget ed extra'!$J$7:$J$42,$A253,'Budget ed extra'!$H$7:$H$42,D$6))</f>
        <v>0</v>
      </c>
      <c r="V253">
        <f>IF(E$6="",0,SUMIFS('Budget ed extra'!$G$7:$G$42,'Budget ed extra'!$J$7:$J$42,$A253,'Budget ed extra'!$H$7:$H$42,E$6))</f>
        <v>0</v>
      </c>
      <c r="W253">
        <f>IF(F$6="",0,SUMIFS('Budget ed extra'!$G$7:$G$42,'Budget ed extra'!$J$7:$J$42,$A253,'Budget ed extra'!$H$7:$H$42,F$6))</f>
        <v>0</v>
      </c>
      <c r="X253">
        <f>IF(G$6="",0,SUMIFS('Budget ed extra'!$G$7:$G$42,'Budget ed extra'!$J$7:$J$42,$A253,'Budget ed extra'!$H$7:$H$42,G$6))</f>
        <v>0</v>
      </c>
      <c r="Y253">
        <f>IF(H$6="",0,SUMIFS('Budget ed extra'!$G$7:$G$42,'Budget ed extra'!$J$7:$J$42,$A253,'Budget ed extra'!$H$7:$H$42,H$6))</f>
        <v>0</v>
      </c>
      <c r="Z253">
        <f>IF(I$6="",0,SUMIFS('Budget ed extra'!$G$7:$G$42,'Budget ed extra'!$J$7:$J$42,$A253,'Budget ed extra'!$H$7:$H$42,I$6))</f>
        <v>0</v>
      </c>
      <c r="AA253">
        <f>IF(J$6="",0,SUMIFS('Budget ed extra'!$G$7:$G$42,'Budget ed extra'!$J$7:$J$42,$A253,'Budget ed extra'!$H$7:$H$42,J$6))</f>
        <v>0</v>
      </c>
      <c r="AB253">
        <f>IF(K$6="",0,SUMIFS('Budget ed extra'!$G$7:$G$42,'Budget ed extra'!$J$7:$J$42,$A253,'Budget ed extra'!$H$7:$H$42,K$6))</f>
        <v>0</v>
      </c>
      <c r="AC253">
        <f>IF(L$6="",0,SUMIFS('Budget ed extra'!$G$7:$G$42,'Budget ed extra'!$J$7:$J$42,$A253,'Budget ed extra'!$H$7:$H$42,L$6))</f>
        <v>0</v>
      </c>
      <c r="AD253">
        <f>IF(M$6="",0,SUMIFS('Budget ed extra'!$G$7:$G$42,'Budget ed extra'!$J$7:$J$42,$A253,'Budget ed extra'!$H$7:$H$42,M$6))</f>
        <v>0</v>
      </c>
      <c r="AE253">
        <f>IF(N$6="",0,SUMIFS('Budget ed extra'!$G$7:$G$42,'Budget ed extra'!$J$7:$J$42,$A253,'Budget ed extra'!$H$7:$H$42,N$6))</f>
        <v>0</v>
      </c>
    </row>
    <row r="254">
      <c r="A254" t="n">
        <v>224</v>
      </c>
      <c r="B254">
        <f>DATE($B$2,$B$3+A254-1,1)</f>
        <v>53114.0</v>
      </c>
      <c r="C254">
        <f>IF(D254=0,N(Impostazioni!$B$6),SUMIFS('Budget ed extra'!$B$7:$B$18,'Budget ed extra'!$D$7:$D$18,D254)/COUNTIFS('Budget ed extra'!$D$7:$D$18,D254))</f>
        <v>900</v>
      </c>
      <c r="D254">
        <f>SUMPRODUCT(MAX(('Budget ed extra'!$D$7:$D$18&lt;=A254)*'Budget ed extra'!$D$7:$D$18))</f>
        <v>9</v>
      </c>
      <c r="E254">
        <f>SUMIFS('Budget ed extra'!$G$7:$G$42,'Budget ed extra'!$J$7:$J$42,A254)</f>
        <v>0</v>
      </c>
      <c r="F254">
        <f>SUM(T254:AE254)</f>
        <v>0</v>
      </c>
      <c r="G254">
        <f>MAX(0,E254-F254)</f>
        <v>0</v>
      </c>
      <c r="H254">
        <f>IF($A254&gt;=C$10,C$11,C$9)/12</f>
        <v>0.01575</v>
      </c>
      <c r="I254">
        <f>IF($A254&gt;=D$10,D$11,D$9)/12</f>
        <v>0.01825</v>
      </c>
      <c r="J254">
        <f>IF($A254&gt;=E$10,E$11,E$9)/12</f>
        <v>0.00766666666666667</v>
      </c>
      <c r="K254">
        <f>IF($A254&gt;=F$10,F$11,F$9)/12</f>
        <v>0.00533333333333333</v>
      </c>
      <c r="L254">
        <f>IF($A254&gt;=G$10,G$11,G$9)/12</f>
        <v>0</v>
      </c>
      <c r="M254">
        <f>IF($A254&gt;=H$10,H$11,H$9)/12</f>
        <v>0</v>
      </c>
      <c r="N254">
        <f>IF($A254&gt;=I$10,I$11,I$9)/12</f>
        <v>0</v>
      </c>
      <c r="O254">
        <f>IF($A254&gt;=J$10,J$11,J$9)/12</f>
        <v>0</v>
      </c>
      <c r="P254">
        <f>IF($A254&gt;=K$10,K$11,K$9)/12</f>
        <v>0</v>
      </c>
      <c r="Q254">
        <f>IF($A254&gt;=L$10,L$11,L$9)/12</f>
        <v>0</v>
      </c>
      <c r="R254">
        <f>IF($A254&gt;=M$10,M$11,M$9)/12</f>
        <v>0</v>
      </c>
      <c r="S254">
        <f>IF($A254&gt;=N$10,N$11,N$9)/12</f>
        <v>0</v>
      </c>
      <c r="T254">
        <f>IF(C$6="",0,SUMIFS('Budget ed extra'!$G$7:$G$42,'Budget ed extra'!$J$7:$J$42,$A254,'Budget ed extra'!$H$7:$H$42,C$6))</f>
        <v>0</v>
      </c>
      <c r="U254">
        <f>IF(D$6="",0,SUMIFS('Budget ed extra'!$G$7:$G$42,'Budget ed extra'!$J$7:$J$42,$A254,'Budget ed extra'!$H$7:$H$42,D$6))</f>
        <v>0</v>
      </c>
      <c r="V254">
        <f>IF(E$6="",0,SUMIFS('Budget ed extra'!$G$7:$G$42,'Budget ed extra'!$J$7:$J$42,$A254,'Budget ed extra'!$H$7:$H$42,E$6))</f>
        <v>0</v>
      </c>
      <c r="W254">
        <f>IF(F$6="",0,SUMIFS('Budget ed extra'!$G$7:$G$42,'Budget ed extra'!$J$7:$J$42,$A254,'Budget ed extra'!$H$7:$H$42,F$6))</f>
        <v>0</v>
      </c>
      <c r="X254">
        <f>IF(G$6="",0,SUMIFS('Budget ed extra'!$G$7:$G$42,'Budget ed extra'!$J$7:$J$42,$A254,'Budget ed extra'!$H$7:$H$42,G$6))</f>
        <v>0</v>
      </c>
      <c r="Y254">
        <f>IF(H$6="",0,SUMIFS('Budget ed extra'!$G$7:$G$42,'Budget ed extra'!$J$7:$J$42,$A254,'Budget ed extra'!$H$7:$H$42,H$6))</f>
        <v>0</v>
      </c>
      <c r="Z254">
        <f>IF(I$6="",0,SUMIFS('Budget ed extra'!$G$7:$G$42,'Budget ed extra'!$J$7:$J$42,$A254,'Budget ed extra'!$H$7:$H$42,I$6))</f>
        <v>0</v>
      </c>
      <c r="AA254">
        <f>IF(J$6="",0,SUMIFS('Budget ed extra'!$G$7:$G$42,'Budget ed extra'!$J$7:$J$42,$A254,'Budget ed extra'!$H$7:$H$42,J$6))</f>
        <v>0</v>
      </c>
      <c r="AB254">
        <f>IF(K$6="",0,SUMIFS('Budget ed extra'!$G$7:$G$42,'Budget ed extra'!$J$7:$J$42,$A254,'Budget ed extra'!$H$7:$H$42,K$6))</f>
        <v>0</v>
      </c>
      <c r="AC254">
        <f>IF(L$6="",0,SUMIFS('Budget ed extra'!$G$7:$G$42,'Budget ed extra'!$J$7:$J$42,$A254,'Budget ed extra'!$H$7:$H$42,L$6))</f>
        <v>0</v>
      </c>
      <c r="AD254">
        <f>IF(M$6="",0,SUMIFS('Budget ed extra'!$G$7:$G$42,'Budget ed extra'!$J$7:$J$42,$A254,'Budget ed extra'!$H$7:$H$42,M$6))</f>
        <v>0</v>
      </c>
      <c r="AE254">
        <f>IF(N$6="",0,SUMIFS('Budget ed extra'!$G$7:$G$42,'Budget ed extra'!$J$7:$J$42,$A254,'Budget ed extra'!$H$7:$H$42,N$6))</f>
        <v>0</v>
      </c>
    </row>
    <row r="255">
      <c r="A255" t="n">
        <v>225</v>
      </c>
      <c r="B255">
        <f>DATE($B$2,$B$3+A255-1,1)</f>
        <v>53144.0</v>
      </c>
      <c r="C255">
        <f>IF(D255=0,N(Impostazioni!$B$6),SUMIFS('Budget ed extra'!$B$7:$B$18,'Budget ed extra'!$D$7:$D$18,D255)/COUNTIFS('Budget ed extra'!$D$7:$D$18,D255))</f>
        <v>900</v>
      </c>
      <c r="D255">
        <f>SUMPRODUCT(MAX(('Budget ed extra'!$D$7:$D$18&lt;=A255)*'Budget ed extra'!$D$7:$D$18))</f>
        <v>9</v>
      </c>
      <c r="E255">
        <f>SUMIFS('Budget ed extra'!$G$7:$G$42,'Budget ed extra'!$J$7:$J$42,A255)</f>
        <v>0</v>
      </c>
      <c r="F255">
        <f>SUM(T255:AE255)</f>
        <v>0</v>
      </c>
      <c r="G255">
        <f>MAX(0,E255-F255)</f>
        <v>0</v>
      </c>
      <c r="H255">
        <f>IF($A255&gt;=C$10,C$11,C$9)/12</f>
        <v>0.01575</v>
      </c>
      <c r="I255">
        <f>IF($A255&gt;=D$10,D$11,D$9)/12</f>
        <v>0.01825</v>
      </c>
      <c r="J255">
        <f>IF($A255&gt;=E$10,E$11,E$9)/12</f>
        <v>0.00766666666666667</v>
      </c>
      <c r="K255">
        <f>IF($A255&gt;=F$10,F$11,F$9)/12</f>
        <v>0.00533333333333333</v>
      </c>
      <c r="L255">
        <f>IF($A255&gt;=G$10,G$11,G$9)/12</f>
        <v>0</v>
      </c>
      <c r="M255">
        <f>IF($A255&gt;=H$10,H$11,H$9)/12</f>
        <v>0</v>
      </c>
      <c r="N255">
        <f>IF($A255&gt;=I$10,I$11,I$9)/12</f>
        <v>0</v>
      </c>
      <c r="O255">
        <f>IF($A255&gt;=J$10,J$11,J$9)/12</f>
        <v>0</v>
      </c>
      <c r="P255">
        <f>IF($A255&gt;=K$10,K$11,K$9)/12</f>
        <v>0</v>
      </c>
      <c r="Q255">
        <f>IF($A255&gt;=L$10,L$11,L$9)/12</f>
        <v>0</v>
      </c>
      <c r="R255">
        <f>IF($A255&gt;=M$10,M$11,M$9)/12</f>
        <v>0</v>
      </c>
      <c r="S255">
        <f>IF($A255&gt;=N$10,N$11,N$9)/12</f>
        <v>0</v>
      </c>
      <c r="T255">
        <f>IF(C$6="",0,SUMIFS('Budget ed extra'!$G$7:$G$42,'Budget ed extra'!$J$7:$J$42,$A255,'Budget ed extra'!$H$7:$H$42,C$6))</f>
        <v>0</v>
      </c>
      <c r="U255">
        <f>IF(D$6="",0,SUMIFS('Budget ed extra'!$G$7:$G$42,'Budget ed extra'!$J$7:$J$42,$A255,'Budget ed extra'!$H$7:$H$42,D$6))</f>
        <v>0</v>
      </c>
      <c r="V255">
        <f>IF(E$6="",0,SUMIFS('Budget ed extra'!$G$7:$G$42,'Budget ed extra'!$J$7:$J$42,$A255,'Budget ed extra'!$H$7:$H$42,E$6))</f>
        <v>0</v>
      </c>
      <c r="W255">
        <f>IF(F$6="",0,SUMIFS('Budget ed extra'!$G$7:$G$42,'Budget ed extra'!$J$7:$J$42,$A255,'Budget ed extra'!$H$7:$H$42,F$6))</f>
        <v>0</v>
      </c>
      <c r="X255">
        <f>IF(G$6="",0,SUMIFS('Budget ed extra'!$G$7:$G$42,'Budget ed extra'!$J$7:$J$42,$A255,'Budget ed extra'!$H$7:$H$42,G$6))</f>
        <v>0</v>
      </c>
      <c r="Y255">
        <f>IF(H$6="",0,SUMIFS('Budget ed extra'!$G$7:$G$42,'Budget ed extra'!$J$7:$J$42,$A255,'Budget ed extra'!$H$7:$H$42,H$6))</f>
        <v>0</v>
      </c>
      <c r="Z255">
        <f>IF(I$6="",0,SUMIFS('Budget ed extra'!$G$7:$G$42,'Budget ed extra'!$J$7:$J$42,$A255,'Budget ed extra'!$H$7:$H$42,I$6))</f>
        <v>0</v>
      </c>
      <c r="AA255">
        <f>IF(J$6="",0,SUMIFS('Budget ed extra'!$G$7:$G$42,'Budget ed extra'!$J$7:$J$42,$A255,'Budget ed extra'!$H$7:$H$42,J$6))</f>
        <v>0</v>
      </c>
      <c r="AB255">
        <f>IF(K$6="",0,SUMIFS('Budget ed extra'!$G$7:$G$42,'Budget ed extra'!$J$7:$J$42,$A255,'Budget ed extra'!$H$7:$H$42,K$6))</f>
        <v>0</v>
      </c>
      <c r="AC255">
        <f>IF(L$6="",0,SUMIFS('Budget ed extra'!$G$7:$G$42,'Budget ed extra'!$J$7:$J$42,$A255,'Budget ed extra'!$H$7:$H$42,L$6))</f>
        <v>0</v>
      </c>
      <c r="AD255">
        <f>IF(M$6="",0,SUMIFS('Budget ed extra'!$G$7:$G$42,'Budget ed extra'!$J$7:$J$42,$A255,'Budget ed extra'!$H$7:$H$42,M$6))</f>
        <v>0</v>
      </c>
      <c r="AE255">
        <f>IF(N$6="",0,SUMIFS('Budget ed extra'!$G$7:$G$42,'Budget ed extra'!$J$7:$J$42,$A255,'Budget ed extra'!$H$7:$H$42,N$6))</f>
        <v>0</v>
      </c>
    </row>
    <row r="256">
      <c r="A256" t="n">
        <v>226</v>
      </c>
      <c r="B256">
        <f>DATE($B$2,$B$3+A256-1,1)</f>
        <v>53175.0</v>
      </c>
      <c r="C256">
        <f>IF(D256=0,N(Impostazioni!$B$6),SUMIFS('Budget ed extra'!$B$7:$B$18,'Budget ed extra'!$D$7:$D$18,D256)/COUNTIFS('Budget ed extra'!$D$7:$D$18,D256))</f>
        <v>900</v>
      </c>
      <c r="D256">
        <f>SUMPRODUCT(MAX(('Budget ed extra'!$D$7:$D$18&lt;=A256)*'Budget ed extra'!$D$7:$D$18))</f>
        <v>9</v>
      </c>
      <c r="E256">
        <f>SUMIFS('Budget ed extra'!$G$7:$G$42,'Budget ed extra'!$J$7:$J$42,A256)</f>
        <v>0</v>
      </c>
      <c r="F256">
        <f>SUM(T256:AE256)</f>
        <v>0</v>
      </c>
      <c r="G256">
        <f>MAX(0,E256-F256)</f>
        <v>0</v>
      </c>
      <c r="H256">
        <f>IF($A256&gt;=C$10,C$11,C$9)/12</f>
        <v>0.01575</v>
      </c>
      <c r="I256">
        <f>IF($A256&gt;=D$10,D$11,D$9)/12</f>
        <v>0.01825</v>
      </c>
      <c r="J256">
        <f>IF($A256&gt;=E$10,E$11,E$9)/12</f>
        <v>0.00766666666666667</v>
      </c>
      <c r="K256">
        <f>IF($A256&gt;=F$10,F$11,F$9)/12</f>
        <v>0.00533333333333333</v>
      </c>
      <c r="L256">
        <f>IF($A256&gt;=G$10,G$11,G$9)/12</f>
        <v>0</v>
      </c>
      <c r="M256">
        <f>IF($A256&gt;=H$10,H$11,H$9)/12</f>
        <v>0</v>
      </c>
      <c r="N256">
        <f>IF($A256&gt;=I$10,I$11,I$9)/12</f>
        <v>0</v>
      </c>
      <c r="O256">
        <f>IF($A256&gt;=J$10,J$11,J$9)/12</f>
        <v>0</v>
      </c>
      <c r="P256">
        <f>IF($A256&gt;=K$10,K$11,K$9)/12</f>
        <v>0</v>
      </c>
      <c r="Q256">
        <f>IF($A256&gt;=L$10,L$11,L$9)/12</f>
        <v>0</v>
      </c>
      <c r="R256">
        <f>IF($A256&gt;=M$10,M$11,M$9)/12</f>
        <v>0</v>
      </c>
      <c r="S256">
        <f>IF($A256&gt;=N$10,N$11,N$9)/12</f>
        <v>0</v>
      </c>
      <c r="T256">
        <f>IF(C$6="",0,SUMIFS('Budget ed extra'!$G$7:$G$42,'Budget ed extra'!$J$7:$J$42,$A256,'Budget ed extra'!$H$7:$H$42,C$6))</f>
        <v>0</v>
      </c>
      <c r="U256">
        <f>IF(D$6="",0,SUMIFS('Budget ed extra'!$G$7:$G$42,'Budget ed extra'!$J$7:$J$42,$A256,'Budget ed extra'!$H$7:$H$42,D$6))</f>
        <v>0</v>
      </c>
      <c r="V256">
        <f>IF(E$6="",0,SUMIFS('Budget ed extra'!$G$7:$G$42,'Budget ed extra'!$J$7:$J$42,$A256,'Budget ed extra'!$H$7:$H$42,E$6))</f>
        <v>0</v>
      </c>
      <c r="W256">
        <f>IF(F$6="",0,SUMIFS('Budget ed extra'!$G$7:$G$42,'Budget ed extra'!$J$7:$J$42,$A256,'Budget ed extra'!$H$7:$H$42,F$6))</f>
        <v>0</v>
      </c>
      <c r="X256">
        <f>IF(G$6="",0,SUMIFS('Budget ed extra'!$G$7:$G$42,'Budget ed extra'!$J$7:$J$42,$A256,'Budget ed extra'!$H$7:$H$42,G$6))</f>
        <v>0</v>
      </c>
      <c r="Y256">
        <f>IF(H$6="",0,SUMIFS('Budget ed extra'!$G$7:$G$42,'Budget ed extra'!$J$7:$J$42,$A256,'Budget ed extra'!$H$7:$H$42,H$6))</f>
        <v>0</v>
      </c>
      <c r="Z256">
        <f>IF(I$6="",0,SUMIFS('Budget ed extra'!$G$7:$G$42,'Budget ed extra'!$J$7:$J$42,$A256,'Budget ed extra'!$H$7:$H$42,I$6))</f>
        <v>0</v>
      </c>
      <c r="AA256">
        <f>IF(J$6="",0,SUMIFS('Budget ed extra'!$G$7:$G$42,'Budget ed extra'!$J$7:$J$42,$A256,'Budget ed extra'!$H$7:$H$42,J$6))</f>
        <v>0</v>
      </c>
      <c r="AB256">
        <f>IF(K$6="",0,SUMIFS('Budget ed extra'!$G$7:$G$42,'Budget ed extra'!$J$7:$J$42,$A256,'Budget ed extra'!$H$7:$H$42,K$6))</f>
        <v>0</v>
      </c>
      <c r="AC256">
        <f>IF(L$6="",0,SUMIFS('Budget ed extra'!$G$7:$G$42,'Budget ed extra'!$J$7:$J$42,$A256,'Budget ed extra'!$H$7:$H$42,L$6))</f>
        <v>0</v>
      </c>
      <c r="AD256">
        <f>IF(M$6="",0,SUMIFS('Budget ed extra'!$G$7:$G$42,'Budget ed extra'!$J$7:$J$42,$A256,'Budget ed extra'!$H$7:$H$42,M$6))</f>
        <v>0</v>
      </c>
      <c r="AE256">
        <f>IF(N$6="",0,SUMIFS('Budget ed extra'!$G$7:$G$42,'Budget ed extra'!$J$7:$J$42,$A256,'Budget ed extra'!$H$7:$H$42,N$6))</f>
        <v>0</v>
      </c>
    </row>
    <row r="257">
      <c r="A257" t="n">
        <v>227</v>
      </c>
      <c r="B257">
        <f>DATE($B$2,$B$3+A257-1,1)</f>
        <v>53206.0</v>
      </c>
      <c r="C257">
        <f>IF(D257=0,N(Impostazioni!$B$6),SUMIFS('Budget ed extra'!$B$7:$B$18,'Budget ed extra'!$D$7:$D$18,D257)/COUNTIFS('Budget ed extra'!$D$7:$D$18,D257))</f>
        <v>900</v>
      </c>
      <c r="D257">
        <f>SUMPRODUCT(MAX(('Budget ed extra'!$D$7:$D$18&lt;=A257)*'Budget ed extra'!$D$7:$D$18))</f>
        <v>9</v>
      </c>
      <c r="E257">
        <f>SUMIFS('Budget ed extra'!$G$7:$G$42,'Budget ed extra'!$J$7:$J$42,A257)</f>
        <v>0</v>
      </c>
      <c r="F257">
        <f>SUM(T257:AE257)</f>
        <v>0</v>
      </c>
      <c r="G257">
        <f>MAX(0,E257-F257)</f>
        <v>0</v>
      </c>
      <c r="H257">
        <f>IF($A257&gt;=C$10,C$11,C$9)/12</f>
        <v>0.01575</v>
      </c>
      <c r="I257">
        <f>IF($A257&gt;=D$10,D$11,D$9)/12</f>
        <v>0.01825</v>
      </c>
      <c r="J257">
        <f>IF($A257&gt;=E$10,E$11,E$9)/12</f>
        <v>0.00766666666666667</v>
      </c>
      <c r="K257">
        <f>IF($A257&gt;=F$10,F$11,F$9)/12</f>
        <v>0.00533333333333333</v>
      </c>
      <c r="L257">
        <f>IF($A257&gt;=G$10,G$11,G$9)/12</f>
        <v>0</v>
      </c>
      <c r="M257">
        <f>IF($A257&gt;=H$10,H$11,H$9)/12</f>
        <v>0</v>
      </c>
      <c r="N257">
        <f>IF($A257&gt;=I$10,I$11,I$9)/12</f>
        <v>0</v>
      </c>
      <c r="O257">
        <f>IF($A257&gt;=J$10,J$11,J$9)/12</f>
        <v>0</v>
      </c>
      <c r="P257">
        <f>IF($A257&gt;=K$10,K$11,K$9)/12</f>
        <v>0</v>
      </c>
      <c r="Q257">
        <f>IF($A257&gt;=L$10,L$11,L$9)/12</f>
        <v>0</v>
      </c>
      <c r="R257">
        <f>IF($A257&gt;=M$10,M$11,M$9)/12</f>
        <v>0</v>
      </c>
      <c r="S257">
        <f>IF($A257&gt;=N$10,N$11,N$9)/12</f>
        <v>0</v>
      </c>
      <c r="T257">
        <f>IF(C$6="",0,SUMIFS('Budget ed extra'!$G$7:$G$42,'Budget ed extra'!$J$7:$J$42,$A257,'Budget ed extra'!$H$7:$H$42,C$6))</f>
        <v>0</v>
      </c>
      <c r="U257">
        <f>IF(D$6="",0,SUMIFS('Budget ed extra'!$G$7:$G$42,'Budget ed extra'!$J$7:$J$42,$A257,'Budget ed extra'!$H$7:$H$42,D$6))</f>
        <v>0</v>
      </c>
      <c r="V257">
        <f>IF(E$6="",0,SUMIFS('Budget ed extra'!$G$7:$G$42,'Budget ed extra'!$J$7:$J$42,$A257,'Budget ed extra'!$H$7:$H$42,E$6))</f>
        <v>0</v>
      </c>
      <c r="W257">
        <f>IF(F$6="",0,SUMIFS('Budget ed extra'!$G$7:$G$42,'Budget ed extra'!$J$7:$J$42,$A257,'Budget ed extra'!$H$7:$H$42,F$6))</f>
        <v>0</v>
      </c>
      <c r="X257">
        <f>IF(G$6="",0,SUMIFS('Budget ed extra'!$G$7:$G$42,'Budget ed extra'!$J$7:$J$42,$A257,'Budget ed extra'!$H$7:$H$42,G$6))</f>
        <v>0</v>
      </c>
      <c r="Y257">
        <f>IF(H$6="",0,SUMIFS('Budget ed extra'!$G$7:$G$42,'Budget ed extra'!$J$7:$J$42,$A257,'Budget ed extra'!$H$7:$H$42,H$6))</f>
        <v>0</v>
      </c>
      <c r="Z257">
        <f>IF(I$6="",0,SUMIFS('Budget ed extra'!$G$7:$G$42,'Budget ed extra'!$J$7:$J$42,$A257,'Budget ed extra'!$H$7:$H$42,I$6))</f>
        <v>0</v>
      </c>
      <c r="AA257">
        <f>IF(J$6="",0,SUMIFS('Budget ed extra'!$G$7:$G$42,'Budget ed extra'!$J$7:$J$42,$A257,'Budget ed extra'!$H$7:$H$42,J$6))</f>
        <v>0</v>
      </c>
      <c r="AB257">
        <f>IF(K$6="",0,SUMIFS('Budget ed extra'!$G$7:$G$42,'Budget ed extra'!$J$7:$J$42,$A257,'Budget ed extra'!$H$7:$H$42,K$6))</f>
        <v>0</v>
      </c>
      <c r="AC257">
        <f>IF(L$6="",0,SUMIFS('Budget ed extra'!$G$7:$G$42,'Budget ed extra'!$J$7:$J$42,$A257,'Budget ed extra'!$H$7:$H$42,L$6))</f>
        <v>0</v>
      </c>
      <c r="AD257">
        <f>IF(M$6="",0,SUMIFS('Budget ed extra'!$G$7:$G$42,'Budget ed extra'!$J$7:$J$42,$A257,'Budget ed extra'!$H$7:$H$42,M$6))</f>
        <v>0</v>
      </c>
      <c r="AE257">
        <f>IF(N$6="",0,SUMIFS('Budget ed extra'!$G$7:$G$42,'Budget ed extra'!$J$7:$J$42,$A257,'Budget ed extra'!$H$7:$H$42,N$6))</f>
        <v>0</v>
      </c>
    </row>
    <row r="258">
      <c r="A258" t="n">
        <v>228</v>
      </c>
      <c r="B258">
        <f>DATE($B$2,$B$3+A258-1,1)</f>
        <v>53236.0</v>
      </c>
      <c r="C258">
        <f>IF(D258=0,N(Impostazioni!$B$6),SUMIFS('Budget ed extra'!$B$7:$B$18,'Budget ed extra'!$D$7:$D$18,D258)/COUNTIFS('Budget ed extra'!$D$7:$D$18,D258))</f>
        <v>900</v>
      </c>
      <c r="D258">
        <f>SUMPRODUCT(MAX(('Budget ed extra'!$D$7:$D$18&lt;=A258)*'Budget ed extra'!$D$7:$D$18))</f>
        <v>9</v>
      </c>
      <c r="E258">
        <f>SUMIFS('Budget ed extra'!$G$7:$G$42,'Budget ed extra'!$J$7:$J$42,A258)</f>
        <v>0</v>
      </c>
      <c r="F258">
        <f>SUM(T258:AE258)</f>
        <v>0</v>
      </c>
      <c r="G258">
        <f>MAX(0,E258-F258)</f>
        <v>0</v>
      </c>
      <c r="H258">
        <f>IF($A258&gt;=C$10,C$11,C$9)/12</f>
        <v>0.01575</v>
      </c>
      <c r="I258">
        <f>IF($A258&gt;=D$10,D$11,D$9)/12</f>
        <v>0.01825</v>
      </c>
      <c r="J258">
        <f>IF($A258&gt;=E$10,E$11,E$9)/12</f>
        <v>0.00766666666666667</v>
      </c>
      <c r="K258">
        <f>IF($A258&gt;=F$10,F$11,F$9)/12</f>
        <v>0.00533333333333333</v>
      </c>
      <c r="L258">
        <f>IF($A258&gt;=G$10,G$11,G$9)/12</f>
        <v>0</v>
      </c>
      <c r="M258">
        <f>IF($A258&gt;=H$10,H$11,H$9)/12</f>
        <v>0</v>
      </c>
      <c r="N258">
        <f>IF($A258&gt;=I$10,I$11,I$9)/12</f>
        <v>0</v>
      </c>
      <c r="O258">
        <f>IF($A258&gt;=J$10,J$11,J$9)/12</f>
        <v>0</v>
      </c>
      <c r="P258">
        <f>IF($A258&gt;=K$10,K$11,K$9)/12</f>
        <v>0</v>
      </c>
      <c r="Q258">
        <f>IF($A258&gt;=L$10,L$11,L$9)/12</f>
        <v>0</v>
      </c>
      <c r="R258">
        <f>IF($A258&gt;=M$10,M$11,M$9)/12</f>
        <v>0</v>
      </c>
      <c r="S258">
        <f>IF($A258&gt;=N$10,N$11,N$9)/12</f>
        <v>0</v>
      </c>
      <c r="T258">
        <f>IF(C$6="",0,SUMIFS('Budget ed extra'!$G$7:$G$42,'Budget ed extra'!$J$7:$J$42,$A258,'Budget ed extra'!$H$7:$H$42,C$6))</f>
        <v>0</v>
      </c>
      <c r="U258">
        <f>IF(D$6="",0,SUMIFS('Budget ed extra'!$G$7:$G$42,'Budget ed extra'!$J$7:$J$42,$A258,'Budget ed extra'!$H$7:$H$42,D$6))</f>
        <v>0</v>
      </c>
      <c r="V258">
        <f>IF(E$6="",0,SUMIFS('Budget ed extra'!$G$7:$G$42,'Budget ed extra'!$J$7:$J$42,$A258,'Budget ed extra'!$H$7:$H$42,E$6))</f>
        <v>0</v>
      </c>
      <c r="W258">
        <f>IF(F$6="",0,SUMIFS('Budget ed extra'!$G$7:$G$42,'Budget ed extra'!$J$7:$J$42,$A258,'Budget ed extra'!$H$7:$H$42,F$6))</f>
        <v>0</v>
      </c>
      <c r="X258">
        <f>IF(G$6="",0,SUMIFS('Budget ed extra'!$G$7:$G$42,'Budget ed extra'!$J$7:$J$42,$A258,'Budget ed extra'!$H$7:$H$42,G$6))</f>
        <v>0</v>
      </c>
      <c r="Y258">
        <f>IF(H$6="",0,SUMIFS('Budget ed extra'!$G$7:$G$42,'Budget ed extra'!$J$7:$J$42,$A258,'Budget ed extra'!$H$7:$H$42,H$6))</f>
        <v>0</v>
      </c>
      <c r="Z258">
        <f>IF(I$6="",0,SUMIFS('Budget ed extra'!$G$7:$G$42,'Budget ed extra'!$J$7:$J$42,$A258,'Budget ed extra'!$H$7:$H$42,I$6))</f>
        <v>0</v>
      </c>
      <c r="AA258">
        <f>IF(J$6="",0,SUMIFS('Budget ed extra'!$G$7:$G$42,'Budget ed extra'!$J$7:$J$42,$A258,'Budget ed extra'!$H$7:$H$42,J$6))</f>
        <v>0</v>
      </c>
      <c r="AB258">
        <f>IF(K$6="",0,SUMIFS('Budget ed extra'!$G$7:$G$42,'Budget ed extra'!$J$7:$J$42,$A258,'Budget ed extra'!$H$7:$H$42,K$6))</f>
        <v>0</v>
      </c>
      <c r="AC258">
        <f>IF(L$6="",0,SUMIFS('Budget ed extra'!$G$7:$G$42,'Budget ed extra'!$J$7:$J$42,$A258,'Budget ed extra'!$H$7:$H$42,L$6))</f>
        <v>0</v>
      </c>
      <c r="AD258">
        <f>IF(M$6="",0,SUMIFS('Budget ed extra'!$G$7:$G$42,'Budget ed extra'!$J$7:$J$42,$A258,'Budget ed extra'!$H$7:$H$42,M$6))</f>
        <v>0</v>
      </c>
      <c r="AE258">
        <f>IF(N$6="",0,SUMIFS('Budget ed extra'!$G$7:$G$42,'Budget ed extra'!$J$7:$J$42,$A258,'Budget ed extra'!$H$7:$H$42,N$6))</f>
        <v>0</v>
      </c>
    </row>
    <row r="259">
      <c r="A259" t="n">
        <v>229</v>
      </c>
      <c r="B259">
        <f>DATE($B$2,$B$3+A259-1,1)</f>
        <v>53267.0</v>
      </c>
      <c r="C259">
        <f>IF(D259=0,N(Impostazioni!$B$6),SUMIFS('Budget ed extra'!$B$7:$B$18,'Budget ed extra'!$D$7:$D$18,D259)/COUNTIFS('Budget ed extra'!$D$7:$D$18,D259))</f>
        <v>900</v>
      </c>
      <c r="D259">
        <f>SUMPRODUCT(MAX(('Budget ed extra'!$D$7:$D$18&lt;=A259)*'Budget ed extra'!$D$7:$D$18))</f>
        <v>9</v>
      </c>
      <c r="E259">
        <f>SUMIFS('Budget ed extra'!$G$7:$G$42,'Budget ed extra'!$J$7:$J$42,A259)</f>
        <v>0</v>
      </c>
      <c r="F259">
        <f>SUM(T259:AE259)</f>
        <v>0</v>
      </c>
      <c r="G259">
        <f>MAX(0,E259-F259)</f>
        <v>0</v>
      </c>
      <c r="H259">
        <f>IF($A259&gt;=C$10,C$11,C$9)/12</f>
        <v>0.01575</v>
      </c>
      <c r="I259">
        <f>IF($A259&gt;=D$10,D$11,D$9)/12</f>
        <v>0.01825</v>
      </c>
      <c r="J259">
        <f>IF($A259&gt;=E$10,E$11,E$9)/12</f>
        <v>0.00766666666666667</v>
      </c>
      <c r="K259">
        <f>IF($A259&gt;=F$10,F$11,F$9)/12</f>
        <v>0.00533333333333333</v>
      </c>
      <c r="L259">
        <f>IF($A259&gt;=G$10,G$11,G$9)/12</f>
        <v>0</v>
      </c>
      <c r="M259">
        <f>IF($A259&gt;=H$10,H$11,H$9)/12</f>
        <v>0</v>
      </c>
      <c r="N259">
        <f>IF($A259&gt;=I$10,I$11,I$9)/12</f>
        <v>0</v>
      </c>
      <c r="O259">
        <f>IF($A259&gt;=J$10,J$11,J$9)/12</f>
        <v>0</v>
      </c>
      <c r="P259">
        <f>IF($A259&gt;=K$10,K$11,K$9)/12</f>
        <v>0</v>
      </c>
      <c r="Q259">
        <f>IF($A259&gt;=L$10,L$11,L$9)/12</f>
        <v>0</v>
      </c>
      <c r="R259">
        <f>IF($A259&gt;=M$10,M$11,M$9)/12</f>
        <v>0</v>
      </c>
      <c r="S259">
        <f>IF($A259&gt;=N$10,N$11,N$9)/12</f>
        <v>0</v>
      </c>
      <c r="T259">
        <f>IF(C$6="",0,SUMIFS('Budget ed extra'!$G$7:$G$42,'Budget ed extra'!$J$7:$J$42,$A259,'Budget ed extra'!$H$7:$H$42,C$6))</f>
        <v>0</v>
      </c>
      <c r="U259">
        <f>IF(D$6="",0,SUMIFS('Budget ed extra'!$G$7:$G$42,'Budget ed extra'!$J$7:$J$42,$A259,'Budget ed extra'!$H$7:$H$42,D$6))</f>
        <v>0</v>
      </c>
      <c r="V259">
        <f>IF(E$6="",0,SUMIFS('Budget ed extra'!$G$7:$G$42,'Budget ed extra'!$J$7:$J$42,$A259,'Budget ed extra'!$H$7:$H$42,E$6))</f>
        <v>0</v>
      </c>
      <c r="W259">
        <f>IF(F$6="",0,SUMIFS('Budget ed extra'!$G$7:$G$42,'Budget ed extra'!$J$7:$J$42,$A259,'Budget ed extra'!$H$7:$H$42,F$6))</f>
        <v>0</v>
      </c>
      <c r="X259">
        <f>IF(G$6="",0,SUMIFS('Budget ed extra'!$G$7:$G$42,'Budget ed extra'!$J$7:$J$42,$A259,'Budget ed extra'!$H$7:$H$42,G$6))</f>
        <v>0</v>
      </c>
      <c r="Y259">
        <f>IF(H$6="",0,SUMIFS('Budget ed extra'!$G$7:$G$42,'Budget ed extra'!$J$7:$J$42,$A259,'Budget ed extra'!$H$7:$H$42,H$6))</f>
        <v>0</v>
      </c>
      <c r="Z259">
        <f>IF(I$6="",0,SUMIFS('Budget ed extra'!$G$7:$G$42,'Budget ed extra'!$J$7:$J$42,$A259,'Budget ed extra'!$H$7:$H$42,I$6))</f>
        <v>0</v>
      </c>
      <c r="AA259">
        <f>IF(J$6="",0,SUMIFS('Budget ed extra'!$G$7:$G$42,'Budget ed extra'!$J$7:$J$42,$A259,'Budget ed extra'!$H$7:$H$42,J$6))</f>
        <v>0</v>
      </c>
      <c r="AB259">
        <f>IF(K$6="",0,SUMIFS('Budget ed extra'!$G$7:$G$42,'Budget ed extra'!$J$7:$J$42,$A259,'Budget ed extra'!$H$7:$H$42,K$6))</f>
        <v>0</v>
      </c>
      <c r="AC259">
        <f>IF(L$6="",0,SUMIFS('Budget ed extra'!$G$7:$G$42,'Budget ed extra'!$J$7:$J$42,$A259,'Budget ed extra'!$H$7:$H$42,L$6))</f>
        <v>0</v>
      </c>
      <c r="AD259">
        <f>IF(M$6="",0,SUMIFS('Budget ed extra'!$G$7:$G$42,'Budget ed extra'!$J$7:$J$42,$A259,'Budget ed extra'!$H$7:$H$42,M$6))</f>
        <v>0</v>
      </c>
      <c r="AE259">
        <f>IF(N$6="",0,SUMIFS('Budget ed extra'!$G$7:$G$42,'Budget ed extra'!$J$7:$J$42,$A259,'Budget ed extra'!$H$7:$H$42,N$6))</f>
        <v>0</v>
      </c>
    </row>
    <row r="260">
      <c r="A260" t="n">
        <v>230</v>
      </c>
      <c r="B260">
        <f>DATE($B$2,$B$3+A260-1,1)</f>
        <v>53297.0</v>
      </c>
      <c r="C260">
        <f>IF(D260=0,N(Impostazioni!$B$6),SUMIFS('Budget ed extra'!$B$7:$B$18,'Budget ed extra'!$D$7:$D$18,D260)/COUNTIFS('Budget ed extra'!$D$7:$D$18,D260))</f>
        <v>900</v>
      </c>
      <c r="D260">
        <f>SUMPRODUCT(MAX(('Budget ed extra'!$D$7:$D$18&lt;=A260)*'Budget ed extra'!$D$7:$D$18))</f>
        <v>9</v>
      </c>
      <c r="E260">
        <f>SUMIFS('Budget ed extra'!$G$7:$G$42,'Budget ed extra'!$J$7:$J$42,A260)</f>
        <v>0</v>
      </c>
      <c r="F260">
        <f>SUM(T260:AE260)</f>
        <v>0</v>
      </c>
      <c r="G260">
        <f>MAX(0,E260-F260)</f>
        <v>0</v>
      </c>
      <c r="H260">
        <f>IF($A260&gt;=C$10,C$11,C$9)/12</f>
        <v>0.01575</v>
      </c>
      <c r="I260">
        <f>IF($A260&gt;=D$10,D$11,D$9)/12</f>
        <v>0.01825</v>
      </c>
      <c r="J260">
        <f>IF($A260&gt;=E$10,E$11,E$9)/12</f>
        <v>0.00766666666666667</v>
      </c>
      <c r="K260">
        <f>IF($A260&gt;=F$10,F$11,F$9)/12</f>
        <v>0.00533333333333333</v>
      </c>
      <c r="L260">
        <f>IF($A260&gt;=G$10,G$11,G$9)/12</f>
        <v>0</v>
      </c>
      <c r="M260">
        <f>IF($A260&gt;=H$10,H$11,H$9)/12</f>
        <v>0</v>
      </c>
      <c r="N260">
        <f>IF($A260&gt;=I$10,I$11,I$9)/12</f>
        <v>0</v>
      </c>
      <c r="O260">
        <f>IF($A260&gt;=J$10,J$11,J$9)/12</f>
        <v>0</v>
      </c>
      <c r="P260">
        <f>IF($A260&gt;=K$10,K$11,K$9)/12</f>
        <v>0</v>
      </c>
      <c r="Q260">
        <f>IF($A260&gt;=L$10,L$11,L$9)/12</f>
        <v>0</v>
      </c>
      <c r="R260">
        <f>IF($A260&gt;=M$10,M$11,M$9)/12</f>
        <v>0</v>
      </c>
      <c r="S260">
        <f>IF($A260&gt;=N$10,N$11,N$9)/12</f>
        <v>0</v>
      </c>
      <c r="T260">
        <f>IF(C$6="",0,SUMIFS('Budget ed extra'!$G$7:$G$42,'Budget ed extra'!$J$7:$J$42,$A260,'Budget ed extra'!$H$7:$H$42,C$6))</f>
        <v>0</v>
      </c>
      <c r="U260">
        <f>IF(D$6="",0,SUMIFS('Budget ed extra'!$G$7:$G$42,'Budget ed extra'!$J$7:$J$42,$A260,'Budget ed extra'!$H$7:$H$42,D$6))</f>
        <v>0</v>
      </c>
      <c r="V260">
        <f>IF(E$6="",0,SUMIFS('Budget ed extra'!$G$7:$G$42,'Budget ed extra'!$J$7:$J$42,$A260,'Budget ed extra'!$H$7:$H$42,E$6))</f>
        <v>0</v>
      </c>
      <c r="W260">
        <f>IF(F$6="",0,SUMIFS('Budget ed extra'!$G$7:$G$42,'Budget ed extra'!$J$7:$J$42,$A260,'Budget ed extra'!$H$7:$H$42,F$6))</f>
        <v>0</v>
      </c>
      <c r="X260">
        <f>IF(G$6="",0,SUMIFS('Budget ed extra'!$G$7:$G$42,'Budget ed extra'!$J$7:$J$42,$A260,'Budget ed extra'!$H$7:$H$42,G$6))</f>
        <v>0</v>
      </c>
      <c r="Y260">
        <f>IF(H$6="",0,SUMIFS('Budget ed extra'!$G$7:$G$42,'Budget ed extra'!$J$7:$J$42,$A260,'Budget ed extra'!$H$7:$H$42,H$6))</f>
        <v>0</v>
      </c>
      <c r="Z260">
        <f>IF(I$6="",0,SUMIFS('Budget ed extra'!$G$7:$G$42,'Budget ed extra'!$J$7:$J$42,$A260,'Budget ed extra'!$H$7:$H$42,I$6))</f>
        <v>0</v>
      </c>
      <c r="AA260">
        <f>IF(J$6="",0,SUMIFS('Budget ed extra'!$G$7:$G$42,'Budget ed extra'!$J$7:$J$42,$A260,'Budget ed extra'!$H$7:$H$42,J$6))</f>
        <v>0</v>
      </c>
      <c r="AB260">
        <f>IF(K$6="",0,SUMIFS('Budget ed extra'!$G$7:$G$42,'Budget ed extra'!$J$7:$J$42,$A260,'Budget ed extra'!$H$7:$H$42,K$6))</f>
        <v>0</v>
      </c>
      <c r="AC260">
        <f>IF(L$6="",0,SUMIFS('Budget ed extra'!$G$7:$G$42,'Budget ed extra'!$J$7:$J$42,$A260,'Budget ed extra'!$H$7:$H$42,L$6))</f>
        <v>0</v>
      </c>
      <c r="AD260">
        <f>IF(M$6="",0,SUMIFS('Budget ed extra'!$G$7:$G$42,'Budget ed extra'!$J$7:$J$42,$A260,'Budget ed extra'!$H$7:$H$42,M$6))</f>
        <v>0</v>
      </c>
      <c r="AE260">
        <f>IF(N$6="",0,SUMIFS('Budget ed extra'!$G$7:$G$42,'Budget ed extra'!$J$7:$J$42,$A260,'Budget ed extra'!$H$7:$H$42,N$6))</f>
        <v>0</v>
      </c>
    </row>
    <row r="261">
      <c r="A261" t="n">
        <v>231</v>
      </c>
      <c r="B261">
        <f>DATE($B$2,$B$3+A261-1,1)</f>
        <v>53328.0</v>
      </c>
      <c r="C261">
        <f>IF(D261=0,N(Impostazioni!$B$6),SUMIFS('Budget ed extra'!$B$7:$B$18,'Budget ed extra'!$D$7:$D$18,D261)/COUNTIFS('Budget ed extra'!$D$7:$D$18,D261))</f>
        <v>900</v>
      </c>
      <c r="D261">
        <f>SUMPRODUCT(MAX(('Budget ed extra'!$D$7:$D$18&lt;=A261)*'Budget ed extra'!$D$7:$D$18))</f>
        <v>9</v>
      </c>
      <c r="E261">
        <f>SUMIFS('Budget ed extra'!$G$7:$G$42,'Budget ed extra'!$J$7:$J$42,A261)</f>
        <v>0</v>
      </c>
      <c r="F261">
        <f>SUM(T261:AE261)</f>
        <v>0</v>
      </c>
      <c r="G261">
        <f>MAX(0,E261-F261)</f>
        <v>0</v>
      </c>
      <c r="H261">
        <f>IF($A261&gt;=C$10,C$11,C$9)/12</f>
        <v>0.01575</v>
      </c>
      <c r="I261">
        <f>IF($A261&gt;=D$10,D$11,D$9)/12</f>
        <v>0.01825</v>
      </c>
      <c r="J261">
        <f>IF($A261&gt;=E$10,E$11,E$9)/12</f>
        <v>0.00766666666666667</v>
      </c>
      <c r="K261">
        <f>IF($A261&gt;=F$10,F$11,F$9)/12</f>
        <v>0.00533333333333333</v>
      </c>
      <c r="L261">
        <f>IF($A261&gt;=G$10,G$11,G$9)/12</f>
        <v>0</v>
      </c>
      <c r="M261">
        <f>IF($A261&gt;=H$10,H$11,H$9)/12</f>
        <v>0</v>
      </c>
      <c r="N261">
        <f>IF($A261&gt;=I$10,I$11,I$9)/12</f>
        <v>0</v>
      </c>
      <c r="O261">
        <f>IF($A261&gt;=J$10,J$11,J$9)/12</f>
        <v>0</v>
      </c>
      <c r="P261">
        <f>IF($A261&gt;=K$10,K$11,K$9)/12</f>
        <v>0</v>
      </c>
      <c r="Q261">
        <f>IF($A261&gt;=L$10,L$11,L$9)/12</f>
        <v>0</v>
      </c>
      <c r="R261">
        <f>IF($A261&gt;=M$10,M$11,M$9)/12</f>
        <v>0</v>
      </c>
      <c r="S261">
        <f>IF($A261&gt;=N$10,N$11,N$9)/12</f>
        <v>0</v>
      </c>
      <c r="T261">
        <f>IF(C$6="",0,SUMIFS('Budget ed extra'!$G$7:$G$42,'Budget ed extra'!$J$7:$J$42,$A261,'Budget ed extra'!$H$7:$H$42,C$6))</f>
        <v>0</v>
      </c>
      <c r="U261">
        <f>IF(D$6="",0,SUMIFS('Budget ed extra'!$G$7:$G$42,'Budget ed extra'!$J$7:$J$42,$A261,'Budget ed extra'!$H$7:$H$42,D$6))</f>
        <v>0</v>
      </c>
      <c r="V261">
        <f>IF(E$6="",0,SUMIFS('Budget ed extra'!$G$7:$G$42,'Budget ed extra'!$J$7:$J$42,$A261,'Budget ed extra'!$H$7:$H$42,E$6))</f>
        <v>0</v>
      </c>
      <c r="W261">
        <f>IF(F$6="",0,SUMIFS('Budget ed extra'!$G$7:$G$42,'Budget ed extra'!$J$7:$J$42,$A261,'Budget ed extra'!$H$7:$H$42,F$6))</f>
        <v>0</v>
      </c>
      <c r="X261">
        <f>IF(G$6="",0,SUMIFS('Budget ed extra'!$G$7:$G$42,'Budget ed extra'!$J$7:$J$42,$A261,'Budget ed extra'!$H$7:$H$42,G$6))</f>
        <v>0</v>
      </c>
      <c r="Y261">
        <f>IF(H$6="",0,SUMIFS('Budget ed extra'!$G$7:$G$42,'Budget ed extra'!$J$7:$J$42,$A261,'Budget ed extra'!$H$7:$H$42,H$6))</f>
        <v>0</v>
      </c>
      <c r="Z261">
        <f>IF(I$6="",0,SUMIFS('Budget ed extra'!$G$7:$G$42,'Budget ed extra'!$J$7:$J$42,$A261,'Budget ed extra'!$H$7:$H$42,I$6))</f>
        <v>0</v>
      </c>
      <c r="AA261">
        <f>IF(J$6="",0,SUMIFS('Budget ed extra'!$G$7:$G$42,'Budget ed extra'!$J$7:$J$42,$A261,'Budget ed extra'!$H$7:$H$42,J$6))</f>
        <v>0</v>
      </c>
      <c r="AB261">
        <f>IF(K$6="",0,SUMIFS('Budget ed extra'!$G$7:$G$42,'Budget ed extra'!$J$7:$J$42,$A261,'Budget ed extra'!$H$7:$H$42,K$6))</f>
        <v>0</v>
      </c>
      <c r="AC261">
        <f>IF(L$6="",0,SUMIFS('Budget ed extra'!$G$7:$G$42,'Budget ed extra'!$J$7:$J$42,$A261,'Budget ed extra'!$H$7:$H$42,L$6))</f>
        <v>0</v>
      </c>
      <c r="AD261">
        <f>IF(M$6="",0,SUMIFS('Budget ed extra'!$G$7:$G$42,'Budget ed extra'!$J$7:$J$42,$A261,'Budget ed extra'!$H$7:$H$42,M$6))</f>
        <v>0</v>
      </c>
      <c r="AE261">
        <f>IF(N$6="",0,SUMIFS('Budget ed extra'!$G$7:$G$42,'Budget ed extra'!$J$7:$J$42,$A261,'Budget ed extra'!$H$7:$H$42,N$6))</f>
        <v>0</v>
      </c>
    </row>
    <row r="262">
      <c r="A262" t="n">
        <v>232</v>
      </c>
      <c r="B262">
        <f>DATE($B$2,$B$3+A262-1,1)</f>
        <v>53359.0</v>
      </c>
      <c r="C262">
        <f>IF(D262=0,N(Impostazioni!$B$6),SUMIFS('Budget ed extra'!$B$7:$B$18,'Budget ed extra'!$D$7:$D$18,D262)/COUNTIFS('Budget ed extra'!$D$7:$D$18,D262))</f>
        <v>900</v>
      </c>
      <c r="D262">
        <f>SUMPRODUCT(MAX(('Budget ed extra'!$D$7:$D$18&lt;=A262)*'Budget ed extra'!$D$7:$D$18))</f>
        <v>9</v>
      </c>
      <c r="E262">
        <f>SUMIFS('Budget ed extra'!$G$7:$G$42,'Budget ed extra'!$J$7:$J$42,A262)</f>
        <v>0</v>
      </c>
      <c r="F262">
        <f>SUM(T262:AE262)</f>
        <v>0</v>
      </c>
      <c r="G262">
        <f>MAX(0,E262-F262)</f>
        <v>0</v>
      </c>
      <c r="H262">
        <f>IF($A262&gt;=C$10,C$11,C$9)/12</f>
        <v>0.01575</v>
      </c>
      <c r="I262">
        <f>IF($A262&gt;=D$10,D$11,D$9)/12</f>
        <v>0.01825</v>
      </c>
      <c r="J262">
        <f>IF($A262&gt;=E$10,E$11,E$9)/12</f>
        <v>0.00766666666666667</v>
      </c>
      <c r="K262">
        <f>IF($A262&gt;=F$10,F$11,F$9)/12</f>
        <v>0.00533333333333333</v>
      </c>
      <c r="L262">
        <f>IF($A262&gt;=G$10,G$11,G$9)/12</f>
        <v>0</v>
      </c>
      <c r="M262">
        <f>IF($A262&gt;=H$10,H$11,H$9)/12</f>
        <v>0</v>
      </c>
      <c r="N262">
        <f>IF($A262&gt;=I$10,I$11,I$9)/12</f>
        <v>0</v>
      </c>
      <c r="O262">
        <f>IF($A262&gt;=J$10,J$11,J$9)/12</f>
        <v>0</v>
      </c>
      <c r="P262">
        <f>IF($A262&gt;=K$10,K$11,K$9)/12</f>
        <v>0</v>
      </c>
      <c r="Q262">
        <f>IF($A262&gt;=L$10,L$11,L$9)/12</f>
        <v>0</v>
      </c>
      <c r="R262">
        <f>IF($A262&gt;=M$10,M$11,M$9)/12</f>
        <v>0</v>
      </c>
      <c r="S262">
        <f>IF($A262&gt;=N$10,N$11,N$9)/12</f>
        <v>0</v>
      </c>
      <c r="T262">
        <f>IF(C$6="",0,SUMIFS('Budget ed extra'!$G$7:$G$42,'Budget ed extra'!$J$7:$J$42,$A262,'Budget ed extra'!$H$7:$H$42,C$6))</f>
        <v>0</v>
      </c>
      <c r="U262">
        <f>IF(D$6="",0,SUMIFS('Budget ed extra'!$G$7:$G$42,'Budget ed extra'!$J$7:$J$42,$A262,'Budget ed extra'!$H$7:$H$42,D$6))</f>
        <v>0</v>
      </c>
      <c r="V262">
        <f>IF(E$6="",0,SUMIFS('Budget ed extra'!$G$7:$G$42,'Budget ed extra'!$J$7:$J$42,$A262,'Budget ed extra'!$H$7:$H$42,E$6))</f>
        <v>0</v>
      </c>
      <c r="W262">
        <f>IF(F$6="",0,SUMIFS('Budget ed extra'!$G$7:$G$42,'Budget ed extra'!$J$7:$J$42,$A262,'Budget ed extra'!$H$7:$H$42,F$6))</f>
        <v>0</v>
      </c>
      <c r="X262">
        <f>IF(G$6="",0,SUMIFS('Budget ed extra'!$G$7:$G$42,'Budget ed extra'!$J$7:$J$42,$A262,'Budget ed extra'!$H$7:$H$42,G$6))</f>
        <v>0</v>
      </c>
      <c r="Y262">
        <f>IF(H$6="",0,SUMIFS('Budget ed extra'!$G$7:$G$42,'Budget ed extra'!$J$7:$J$42,$A262,'Budget ed extra'!$H$7:$H$42,H$6))</f>
        <v>0</v>
      </c>
      <c r="Z262">
        <f>IF(I$6="",0,SUMIFS('Budget ed extra'!$G$7:$G$42,'Budget ed extra'!$J$7:$J$42,$A262,'Budget ed extra'!$H$7:$H$42,I$6))</f>
        <v>0</v>
      </c>
      <c r="AA262">
        <f>IF(J$6="",0,SUMIFS('Budget ed extra'!$G$7:$G$42,'Budget ed extra'!$J$7:$J$42,$A262,'Budget ed extra'!$H$7:$H$42,J$6))</f>
        <v>0</v>
      </c>
      <c r="AB262">
        <f>IF(K$6="",0,SUMIFS('Budget ed extra'!$G$7:$G$42,'Budget ed extra'!$J$7:$J$42,$A262,'Budget ed extra'!$H$7:$H$42,K$6))</f>
        <v>0</v>
      </c>
      <c r="AC262">
        <f>IF(L$6="",0,SUMIFS('Budget ed extra'!$G$7:$G$42,'Budget ed extra'!$J$7:$J$42,$A262,'Budget ed extra'!$H$7:$H$42,L$6))</f>
        <v>0</v>
      </c>
      <c r="AD262">
        <f>IF(M$6="",0,SUMIFS('Budget ed extra'!$G$7:$G$42,'Budget ed extra'!$J$7:$J$42,$A262,'Budget ed extra'!$H$7:$H$42,M$6))</f>
        <v>0</v>
      </c>
      <c r="AE262">
        <f>IF(N$6="",0,SUMIFS('Budget ed extra'!$G$7:$G$42,'Budget ed extra'!$J$7:$J$42,$A262,'Budget ed extra'!$H$7:$H$42,N$6))</f>
        <v>0</v>
      </c>
    </row>
    <row r="263">
      <c r="A263" t="n">
        <v>233</v>
      </c>
      <c r="B263">
        <f>DATE($B$2,$B$3+A263-1,1)</f>
        <v>53387.0</v>
      </c>
      <c r="C263">
        <f>IF(D263=0,N(Impostazioni!$B$6),SUMIFS('Budget ed extra'!$B$7:$B$18,'Budget ed extra'!$D$7:$D$18,D263)/COUNTIFS('Budget ed extra'!$D$7:$D$18,D263))</f>
        <v>900</v>
      </c>
      <c r="D263">
        <f>SUMPRODUCT(MAX(('Budget ed extra'!$D$7:$D$18&lt;=A263)*'Budget ed extra'!$D$7:$D$18))</f>
        <v>9</v>
      </c>
      <c r="E263">
        <f>SUMIFS('Budget ed extra'!$G$7:$G$42,'Budget ed extra'!$J$7:$J$42,A263)</f>
        <v>0</v>
      </c>
      <c r="F263">
        <f>SUM(T263:AE263)</f>
        <v>0</v>
      </c>
      <c r="G263">
        <f>MAX(0,E263-F263)</f>
        <v>0</v>
      </c>
      <c r="H263">
        <f>IF($A263&gt;=C$10,C$11,C$9)/12</f>
        <v>0.01575</v>
      </c>
      <c r="I263">
        <f>IF($A263&gt;=D$10,D$11,D$9)/12</f>
        <v>0.01825</v>
      </c>
      <c r="J263">
        <f>IF($A263&gt;=E$10,E$11,E$9)/12</f>
        <v>0.00766666666666667</v>
      </c>
      <c r="K263">
        <f>IF($A263&gt;=F$10,F$11,F$9)/12</f>
        <v>0.00533333333333333</v>
      </c>
      <c r="L263">
        <f>IF($A263&gt;=G$10,G$11,G$9)/12</f>
        <v>0</v>
      </c>
      <c r="M263">
        <f>IF($A263&gt;=H$10,H$11,H$9)/12</f>
        <v>0</v>
      </c>
      <c r="N263">
        <f>IF($A263&gt;=I$10,I$11,I$9)/12</f>
        <v>0</v>
      </c>
      <c r="O263">
        <f>IF($A263&gt;=J$10,J$11,J$9)/12</f>
        <v>0</v>
      </c>
      <c r="P263">
        <f>IF($A263&gt;=K$10,K$11,K$9)/12</f>
        <v>0</v>
      </c>
      <c r="Q263">
        <f>IF($A263&gt;=L$10,L$11,L$9)/12</f>
        <v>0</v>
      </c>
      <c r="R263">
        <f>IF($A263&gt;=M$10,M$11,M$9)/12</f>
        <v>0</v>
      </c>
      <c r="S263">
        <f>IF($A263&gt;=N$10,N$11,N$9)/12</f>
        <v>0</v>
      </c>
      <c r="T263">
        <f>IF(C$6="",0,SUMIFS('Budget ed extra'!$G$7:$G$42,'Budget ed extra'!$J$7:$J$42,$A263,'Budget ed extra'!$H$7:$H$42,C$6))</f>
        <v>0</v>
      </c>
      <c r="U263">
        <f>IF(D$6="",0,SUMIFS('Budget ed extra'!$G$7:$G$42,'Budget ed extra'!$J$7:$J$42,$A263,'Budget ed extra'!$H$7:$H$42,D$6))</f>
        <v>0</v>
      </c>
      <c r="V263">
        <f>IF(E$6="",0,SUMIFS('Budget ed extra'!$G$7:$G$42,'Budget ed extra'!$J$7:$J$42,$A263,'Budget ed extra'!$H$7:$H$42,E$6))</f>
        <v>0</v>
      </c>
      <c r="W263">
        <f>IF(F$6="",0,SUMIFS('Budget ed extra'!$G$7:$G$42,'Budget ed extra'!$J$7:$J$42,$A263,'Budget ed extra'!$H$7:$H$42,F$6))</f>
        <v>0</v>
      </c>
      <c r="X263">
        <f>IF(G$6="",0,SUMIFS('Budget ed extra'!$G$7:$G$42,'Budget ed extra'!$J$7:$J$42,$A263,'Budget ed extra'!$H$7:$H$42,G$6))</f>
        <v>0</v>
      </c>
      <c r="Y263">
        <f>IF(H$6="",0,SUMIFS('Budget ed extra'!$G$7:$G$42,'Budget ed extra'!$J$7:$J$42,$A263,'Budget ed extra'!$H$7:$H$42,H$6))</f>
        <v>0</v>
      </c>
      <c r="Z263">
        <f>IF(I$6="",0,SUMIFS('Budget ed extra'!$G$7:$G$42,'Budget ed extra'!$J$7:$J$42,$A263,'Budget ed extra'!$H$7:$H$42,I$6))</f>
        <v>0</v>
      </c>
      <c r="AA263">
        <f>IF(J$6="",0,SUMIFS('Budget ed extra'!$G$7:$G$42,'Budget ed extra'!$J$7:$J$42,$A263,'Budget ed extra'!$H$7:$H$42,J$6))</f>
        <v>0</v>
      </c>
      <c r="AB263">
        <f>IF(K$6="",0,SUMIFS('Budget ed extra'!$G$7:$G$42,'Budget ed extra'!$J$7:$J$42,$A263,'Budget ed extra'!$H$7:$H$42,K$6))</f>
        <v>0</v>
      </c>
      <c r="AC263">
        <f>IF(L$6="",0,SUMIFS('Budget ed extra'!$G$7:$G$42,'Budget ed extra'!$J$7:$J$42,$A263,'Budget ed extra'!$H$7:$H$42,L$6))</f>
        <v>0</v>
      </c>
      <c r="AD263">
        <f>IF(M$6="",0,SUMIFS('Budget ed extra'!$G$7:$G$42,'Budget ed extra'!$J$7:$J$42,$A263,'Budget ed extra'!$H$7:$H$42,M$6))</f>
        <v>0</v>
      </c>
      <c r="AE263">
        <f>IF(N$6="",0,SUMIFS('Budget ed extra'!$G$7:$G$42,'Budget ed extra'!$J$7:$J$42,$A263,'Budget ed extra'!$H$7:$H$42,N$6))</f>
        <v>0</v>
      </c>
    </row>
    <row r="264">
      <c r="A264" t="n">
        <v>234</v>
      </c>
      <c r="B264">
        <f>DATE($B$2,$B$3+A264-1,1)</f>
        <v>53418.0</v>
      </c>
      <c r="C264">
        <f>IF(D264=0,N(Impostazioni!$B$6),SUMIFS('Budget ed extra'!$B$7:$B$18,'Budget ed extra'!$D$7:$D$18,D264)/COUNTIFS('Budget ed extra'!$D$7:$D$18,D264))</f>
        <v>900</v>
      </c>
      <c r="D264">
        <f>SUMPRODUCT(MAX(('Budget ed extra'!$D$7:$D$18&lt;=A264)*'Budget ed extra'!$D$7:$D$18))</f>
        <v>9</v>
      </c>
      <c r="E264">
        <f>SUMIFS('Budget ed extra'!$G$7:$G$42,'Budget ed extra'!$J$7:$J$42,A264)</f>
        <v>0</v>
      </c>
      <c r="F264">
        <f>SUM(T264:AE264)</f>
        <v>0</v>
      </c>
      <c r="G264">
        <f>MAX(0,E264-F264)</f>
        <v>0</v>
      </c>
      <c r="H264">
        <f>IF($A264&gt;=C$10,C$11,C$9)/12</f>
        <v>0.01575</v>
      </c>
      <c r="I264">
        <f>IF($A264&gt;=D$10,D$11,D$9)/12</f>
        <v>0.01825</v>
      </c>
      <c r="J264">
        <f>IF($A264&gt;=E$10,E$11,E$9)/12</f>
        <v>0.00766666666666667</v>
      </c>
      <c r="K264">
        <f>IF($A264&gt;=F$10,F$11,F$9)/12</f>
        <v>0.00533333333333333</v>
      </c>
      <c r="L264">
        <f>IF($A264&gt;=G$10,G$11,G$9)/12</f>
        <v>0</v>
      </c>
      <c r="M264">
        <f>IF($A264&gt;=H$10,H$11,H$9)/12</f>
        <v>0</v>
      </c>
      <c r="N264">
        <f>IF($A264&gt;=I$10,I$11,I$9)/12</f>
        <v>0</v>
      </c>
      <c r="O264">
        <f>IF($A264&gt;=J$10,J$11,J$9)/12</f>
        <v>0</v>
      </c>
      <c r="P264">
        <f>IF($A264&gt;=K$10,K$11,K$9)/12</f>
        <v>0</v>
      </c>
      <c r="Q264">
        <f>IF($A264&gt;=L$10,L$11,L$9)/12</f>
        <v>0</v>
      </c>
      <c r="R264">
        <f>IF($A264&gt;=M$10,M$11,M$9)/12</f>
        <v>0</v>
      </c>
      <c r="S264">
        <f>IF($A264&gt;=N$10,N$11,N$9)/12</f>
        <v>0</v>
      </c>
      <c r="T264">
        <f>IF(C$6="",0,SUMIFS('Budget ed extra'!$G$7:$G$42,'Budget ed extra'!$J$7:$J$42,$A264,'Budget ed extra'!$H$7:$H$42,C$6))</f>
        <v>0</v>
      </c>
      <c r="U264">
        <f>IF(D$6="",0,SUMIFS('Budget ed extra'!$G$7:$G$42,'Budget ed extra'!$J$7:$J$42,$A264,'Budget ed extra'!$H$7:$H$42,D$6))</f>
        <v>0</v>
      </c>
      <c r="V264">
        <f>IF(E$6="",0,SUMIFS('Budget ed extra'!$G$7:$G$42,'Budget ed extra'!$J$7:$J$42,$A264,'Budget ed extra'!$H$7:$H$42,E$6))</f>
        <v>0</v>
      </c>
      <c r="W264">
        <f>IF(F$6="",0,SUMIFS('Budget ed extra'!$G$7:$G$42,'Budget ed extra'!$J$7:$J$42,$A264,'Budget ed extra'!$H$7:$H$42,F$6))</f>
        <v>0</v>
      </c>
      <c r="X264">
        <f>IF(G$6="",0,SUMIFS('Budget ed extra'!$G$7:$G$42,'Budget ed extra'!$J$7:$J$42,$A264,'Budget ed extra'!$H$7:$H$42,G$6))</f>
        <v>0</v>
      </c>
      <c r="Y264">
        <f>IF(H$6="",0,SUMIFS('Budget ed extra'!$G$7:$G$42,'Budget ed extra'!$J$7:$J$42,$A264,'Budget ed extra'!$H$7:$H$42,H$6))</f>
        <v>0</v>
      </c>
      <c r="Z264">
        <f>IF(I$6="",0,SUMIFS('Budget ed extra'!$G$7:$G$42,'Budget ed extra'!$J$7:$J$42,$A264,'Budget ed extra'!$H$7:$H$42,I$6))</f>
        <v>0</v>
      </c>
      <c r="AA264">
        <f>IF(J$6="",0,SUMIFS('Budget ed extra'!$G$7:$G$42,'Budget ed extra'!$J$7:$J$42,$A264,'Budget ed extra'!$H$7:$H$42,J$6))</f>
        <v>0</v>
      </c>
      <c r="AB264">
        <f>IF(K$6="",0,SUMIFS('Budget ed extra'!$G$7:$G$42,'Budget ed extra'!$J$7:$J$42,$A264,'Budget ed extra'!$H$7:$H$42,K$6))</f>
        <v>0</v>
      </c>
      <c r="AC264">
        <f>IF(L$6="",0,SUMIFS('Budget ed extra'!$G$7:$G$42,'Budget ed extra'!$J$7:$J$42,$A264,'Budget ed extra'!$H$7:$H$42,L$6))</f>
        <v>0</v>
      </c>
      <c r="AD264">
        <f>IF(M$6="",0,SUMIFS('Budget ed extra'!$G$7:$G$42,'Budget ed extra'!$J$7:$J$42,$A264,'Budget ed extra'!$H$7:$H$42,M$6))</f>
        <v>0</v>
      </c>
      <c r="AE264">
        <f>IF(N$6="",0,SUMIFS('Budget ed extra'!$G$7:$G$42,'Budget ed extra'!$J$7:$J$42,$A264,'Budget ed extra'!$H$7:$H$42,N$6))</f>
        <v>0</v>
      </c>
    </row>
    <row r="265">
      <c r="A265" t="n">
        <v>235</v>
      </c>
      <c r="B265">
        <f>DATE($B$2,$B$3+A265-1,1)</f>
        <v>53448.0</v>
      </c>
      <c r="C265">
        <f>IF(D265=0,N(Impostazioni!$B$6),SUMIFS('Budget ed extra'!$B$7:$B$18,'Budget ed extra'!$D$7:$D$18,D265)/COUNTIFS('Budget ed extra'!$D$7:$D$18,D265))</f>
        <v>900</v>
      </c>
      <c r="D265">
        <f>SUMPRODUCT(MAX(('Budget ed extra'!$D$7:$D$18&lt;=A265)*'Budget ed extra'!$D$7:$D$18))</f>
        <v>9</v>
      </c>
      <c r="E265">
        <f>SUMIFS('Budget ed extra'!$G$7:$G$42,'Budget ed extra'!$J$7:$J$42,A265)</f>
        <v>0</v>
      </c>
      <c r="F265">
        <f>SUM(T265:AE265)</f>
        <v>0</v>
      </c>
      <c r="G265">
        <f>MAX(0,E265-F265)</f>
        <v>0</v>
      </c>
      <c r="H265">
        <f>IF($A265&gt;=C$10,C$11,C$9)/12</f>
        <v>0.01575</v>
      </c>
      <c r="I265">
        <f>IF($A265&gt;=D$10,D$11,D$9)/12</f>
        <v>0.01825</v>
      </c>
      <c r="J265">
        <f>IF($A265&gt;=E$10,E$11,E$9)/12</f>
        <v>0.00766666666666667</v>
      </c>
      <c r="K265">
        <f>IF($A265&gt;=F$10,F$11,F$9)/12</f>
        <v>0.00533333333333333</v>
      </c>
      <c r="L265">
        <f>IF($A265&gt;=G$10,G$11,G$9)/12</f>
        <v>0</v>
      </c>
      <c r="M265">
        <f>IF($A265&gt;=H$10,H$11,H$9)/12</f>
        <v>0</v>
      </c>
      <c r="N265">
        <f>IF($A265&gt;=I$10,I$11,I$9)/12</f>
        <v>0</v>
      </c>
      <c r="O265">
        <f>IF($A265&gt;=J$10,J$11,J$9)/12</f>
        <v>0</v>
      </c>
      <c r="P265">
        <f>IF($A265&gt;=K$10,K$11,K$9)/12</f>
        <v>0</v>
      </c>
      <c r="Q265">
        <f>IF($A265&gt;=L$10,L$11,L$9)/12</f>
        <v>0</v>
      </c>
      <c r="R265">
        <f>IF($A265&gt;=M$10,M$11,M$9)/12</f>
        <v>0</v>
      </c>
      <c r="S265">
        <f>IF($A265&gt;=N$10,N$11,N$9)/12</f>
        <v>0</v>
      </c>
      <c r="T265">
        <f>IF(C$6="",0,SUMIFS('Budget ed extra'!$G$7:$G$42,'Budget ed extra'!$J$7:$J$42,$A265,'Budget ed extra'!$H$7:$H$42,C$6))</f>
        <v>0</v>
      </c>
      <c r="U265">
        <f>IF(D$6="",0,SUMIFS('Budget ed extra'!$G$7:$G$42,'Budget ed extra'!$J$7:$J$42,$A265,'Budget ed extra'!$H$7:$H$42,D$6))</f>
        <v>0</v>
      </c>
      <c r="V265">
        <f>IF(E$6="",0,SUMIFS('Budget ed extra'!$G$7:$G$42,'Budget ed extra'!$J$7:$J$42,$A265,'Budget ed extra'!$H$7:$H$42,E$6))</f>
        <v>0</v>
      </c>
      <c r="W265">
        <f>IF(F$6="",0,SUMIFS('Budget ed extra'!$G$7:$G$42,'Budget ed extra'!$J$7:$J$42,$A265,'Budget ed extra'!$H$7:$H$42,F$6))</f>
        <v>0</v>
      </c>
      <c r="X265">
        <f>IF(G$6="",0,SUMIFS('Budget ed extra'!$G$7:$G$42,'Budget ed extra'!$J$7:$J$42,$A265,'Budget ed extra'!$H$7:$H$42,G$6))</f>
        <v>0</v>
      </c>
      <c r="Y265">
        <f>IF(H$6="",0,SUMIFS('Budget ed extra'!$G$7:$G$42,'Budget ed extra'!$J$7:$J$42,$A265,'Budget ed extra'!$H$7:$H$42,H$6))</f>
        <v>0</v>
      </c>
      <c r="Z265">
        <f>IF(I$6="",0,SUMIFS('Budget ed extra'!$G$7:$G$42,'Budget ed extra'!$J$7:$J$42,$A265,'Budget ed extra'!$H$7:$H$42,I$6))</f>
        <v>0</v>
      </c>
      <c r="AA265">
        <f>IF(J$6="",0,SUMIFS('Budget ed extra'!$G$7:$G$42,'Budget ed extra'!$J$7:$J$42,$A265,'Budget ed extra'!$H$7:$H$42,J$6))</f>
        <v>0</v>
      </c>
      <c r="AB265">
        <f>IF(K$6="",0,SUMIFS('Budget ed extra'!$G$7:$G$42,'Budget ed extra'!$J$7:$J$42,$A265,'Budget ed extra'!$H$7:$H$42,K$6))</f>
        <v>0</v>
      </c>
      <c r="AC265">
        <f>IF(L$6="",0,SUMIFS('Budget ed extra'!$G$7:$G$42,'Budget ed extra'!$J$7:$J$42,$A265,'Budget ed extra'!$H$7:$H$42,L$6))</f>
        <v>0</v>
      </c>
      <c r="AD265">
        <f>IF(M$6="",0,SUMIFS('Budget ed extra'!$G$7:$G$42,'Budget ed extra'!$J$7:$J$42,$A265,'Budget ed extra'!$H$7:$H$42,M$6))</f>
        <v>0</v>
      </c>
      <c r="AE265">
        <f>IF(N$6="",0,SUMIFS('Budget ed extra'!$G$7:$G$42,'Budget ed extra'!$J$7:$J$42,$A265,'Budget ed extra'!$H$7:$H$42,N$6))</f>
        <v>0</v>
      </c>
    </row>
    <row r="266">
      <c r="A266" t="n">
        <v>236</v>
      </c>
      <c r="B266">
        <f>DATE($B$2,$B$3+A266-1,1)</f>
        <v>53479.0</v>
      </c>
      <c r="C266">
        <f>IF(D266=0,N(Impostazioni!$B$6),SUMIFS('Budget ed extra'!$B$7:$B$18,'Budget ed extra'!$D$7:$D$18,D266)/COUNTIFS('Budget ed extra'!$D$7:$D$18,D266))</f>
        <v>900</v>
      </c>
      <c r="D266">
        <f>SUMPRODUCT(MAX(('Budget ed extra'!$D$7:$D$18&lt;=A266)*'Budget ed extra'!$D$7:$D$18))</f>
        <v>9</v>
      </c>
      <c r="E266">
        <f>SUMIFS('Budget ed extra'!$G$7:$G$42,'Budget ed extra'!$J$7:$J$42,A266)</f>
        <v>0</v>
      </c>
      <c r="F266">
        <f>SUM(T266:AE266)</f>
        <v>0</v>
      </c>
      <c r="G266">
        <f>MAX(0,E266-F266)</f>
        <v>0</v>
      </c>
      <c r="H266">
        <f>IF($A266&gt;=C$10,C$11,C$9)/12</f>
        <v>0.01575</v>
      </c>
      <c r="I266">
        <f>IF($A266&gt;=D$10,D$11,D$9)/12</f>
        <v>0.01825</v>
      </c>
      <c r="J266">
        <f>IF($A266&gt;=E$10,E$11,E$9)/12</f>
        <v>0.00766666666666667</v>
      </c>
      <c r="K266">
        <f>IF($A266&gt;=F$10,F$11,F$9)/12</f>
        <v>0.00533333333333333</v>
      </c>
      <c r="L266">
        <f>IF($A266&gt;=G$10,G$11,G$9)/12</f>
        <v>0</v>
      </c>
      <c r="M266">
        <f>IF($A266&gt;=H$10,H$11,H$9)/12</f>
        <v>0</v>
      </c>
      <c r="N266">
        <f>IF($A266&gt;=I$10,I$11,I$9)/12</f>
        <v>0</v>
      </c>
      <c r="O266">
        <f>IF($A266&gt;=J$10,J$11,J$9)/12</f>
        <v>0</v>
      </c>
      <c r="P266">
        <f>IF($A266&gt;=K$10,K$11,K$9)/12</f>
        <v>0</v>
      </c>
      <c r="Q266">
        <f>IF($A266&gt;=L$10,L$11,L$9)/12</f>
        <v>0</v>
      </c>
      <c r="R266">
        <f>IF($A266&gt;=M$10,M$11,M$9)/12</f>
        <v>0</v>
      </c>
      <c r="S266">
        <f>IF($A266&gt;=N$10,N$11,N$9)/12</f>
        <v>0</v>
      </c>
      <c r="T266">
        <f>IF(C$6="",0,SUMIFS('Budget ed extra'!$G$7:$G$42,'Budget ed extra'!$J$7:$J$42,$A266,'Budget ed extra'!$H$7:$H$42,C$6))</f>
        <v>0</v>
      </c>
      <c r="U266">
        <f>IF(D$6="",0,SUMIFS('Budget ed extra'!$G$7:$G$42,'Budget ed extra'!$J$7:$J$42,$A266,'Budget ed extra'!$H$7:$H$42,D$6))</f>
        <v>0</v>
      </c>
      <c r="V266">
        <f>IF(E$6="",0,SUMIFS('Budget ed extra'!$G$7:$G$42,'Budget ed extra'!$J$7:$J$42,$A266,'Budget ed extra'!$H$7:$H$42,E$6))</f>
        <v>0</v>
      </c>
      <c r="W266">
        <f>IF(F$6="",0,SUMIFS('Budget ed extra'!$G$7:$G$42,'Budget ed extra'!$J$7:$J$42,$A266,'Budget ed extra'!$H$7:$H$42,F$6))</f>
        <v>0</v>
      </c>
      <c r="X266">
        <f>IF(G$6="",0,SUMIFS('Budget ed extra'!$G$7:$G$42,'Budget ed extra'!$J$7:$J$42,$A266,'Budget ed extra'!$H$7:$H$42,G$6))</f>
        <v>0</v>
      </c>
      <c r="Y266">
        <f>IF(H$6="",0,SUMIFS('Budget ed extra'!$G$7:$G$42,'Budget ed extra'!$J$7:$J$42,$A266,'Budget ed extra'!$H$7:$H$42,H$6))</f>
        <v>0</v>
      </c>
      <c r="Z266">
        <f>IF(I$6="",0,SUMIFS('Budget ed extra'!$G$7:$G$42,'Budget ed extra'!$J$7:$J$42,$A266,'Budget ed extra'!$H$7:$H$42,I$6))</f>
        <v>0</v>
      </c>
      <c r="AA266">
        <f>IF(J$6="",0,SUMIFS('Budget ed extra'!$G$7:$G$42,'Budget ed extra'!$J$7:$J$42,$A266,'Budget ed extra'!$H$7:$H$42,J$6))</f>
        <v>0</v>
      </c>
      <c r="AB266">
        <f>IF(K$6="",0,SUMIFS('Budget ed extra'!$G$7:$G$42,'Budget ed extra'!$J$7:$J$42,$A266,'Budget ed extra'!$H$7:$H$42,K$6))</f>
        <v>0</v>
      </c>
      <c r="AC266">
        <f>IF(L$6="",0,SUMIFS('Budget ed extra'!$G$7:$G$42,'Budget ed extra'!$J$7:$J$42,$A266,'Budget ed extra'!$H$7:$H$42,L$6))</f>
        <v>0</v>
      </c>
      <c r="AD266">
        <f>IF(M$6="",0,SUMIFS('Budget ed extra'!$G$7:$G$42,'Budget ed extra'!$J$7:$J$42,$A266,'Budget ed extra'!$H$7:$H$42,M$6))</f>
        <v>0</v>
      </c>
      <c r="AE266">
        <f>IF(N$6="",0,SUMIFS('Budget ed extra'!$G$7:$G$42,'Budget ed extra'!$J$7:$J$42,$A266,'Budget ed extra'!$H$7:$H$42,N$6))</f>
        <v>0</v>
      </c>
    </row>
    <row r="267">
      <c r="A267" t="n">
        <v>237</v>
      </c>
      <c r="B267">
        <f>DATE($B$2,$B$3+A267-1,1)</f>
        <v>53509.0</v>
      </c>
      <c r="C267">
        <f>IF(D267=0,N(Impostazioni!$B$6),SUMIFS('Budget ed extra'!$B$7:$B$18,'Budget ed extra'!$D$7:$D$18,D267)/COUNTIFS('Budget ed extra'!$D$7:$D$18,D267))</f>
        <v>900</v>
      </c>
      <c r="D267">
        <f>SUMPRODUCT(MAX(('Budget ed extra'!$D$7:$D$18&lt;=A267)*'Budget ed extra'!$D$7:$D$18))</f>
        <v>9</v>
      </c>
      <c r="E267">
        <f>SUMIFS('Budget ed extra'!$G$7:$G$42,'Budget ed extra'!$J$7:$J$42,A267)</f>
        <v>0</v>
      </c>
      <c r="F267">
        <f>SUM(T267:AE267)</f>
        <v>0</v>
      </c>
      <c r="G267">
        <f>MAX(0,E267-F267)</f>
        <v>0</v>
      </c>
      <c r="H267">
        <f>IF($A267&gt;=C$10,C$11,C$9)/12</f>
        <v>0.01575</v>
      </c>
      <c r="I267">
        <f>IF($A267&gt;=D$10,D$11,D$9)/12</f>
        <v>0.01825</v>
      </c>
      <c r="J267">
        <f>IF($A267&gt;=E$10,E$11,E$9)/12</f>
        <v>0.00766666666666667</v>
      </c>
      <c r="K267">
        <f>IF($A267&gt;=F$10,F$11,F$9)/12</f>
        <v>0.00533333333333333</v>
      </c>
      <c r="L267">
        <f>IF($A267&gt;=G$10,G$11,G$9)/12</f>
        <v>0</v>
      </c>
      <c r="M267">
        <f>IF($A267&gt;=H$10,H$11,H$9)/12</f>
        <v>0</v>
      </c>
      <c r="N267">
        <f>IF($A267&gt;=I$10,I$11,I$9)/12</f>
        <v>0</v>
      </c>
      <c r="O267">
        <f>IF($A267&gt;=J$10,J$11,J$9)/12</f>
        <v>0</v>
      </c>
      <c r="P267">
        <f>IF($A267&gt;=K$10,K$11,K$9)/12</f>
        <v>0</v>
      </c>
      <c r="Q267">
        <f>IF($A267&gt;=L$10,L$11,L$9)/12</f>
        <v>0</v>
      </c>
      <c r="R267">
        <f>IF($A267&gt;=M$10,M$11,M$9)/12</f>
        <v>0</v>
      </c>
      <c r="S267">
        <f>IF($A267&gt;=N$10,N$11,N$9)/12</f>
        <v>0</v>
      </c>
      <c r="T267">
        <f>IF(C$6="",0,SUMIFS('Budget ed extra'!$G$7:$G$42,'Budget ed extra'!$J$7:$J$42,$A267,'Budget ed extra'!$H$7:$H$42,C$6))</f>
        <v>0</v>
      </c>
      <c r="U267">
        <f>IF(D$6="",0,SUMIFS('Budget ed extra'!$G$7:$G$42,'Budget ed extra'!$J$7:$J$42,$A267,'Budget ed extra'!$H$7:$H$42,D$6))</f>
        <v>0</v>
      </c>
      <c r="V267">
        <f>IF(E$6="",0,SUMIFS('Budget ed extra'!$G$7:$G$42,'Budget ed extra'!$J$7:$J$42,$A267,'Budget ed extra'!$H$7:$H$42,E$6))</f>
        <v>0</v>
      </c>
      <c r="W267">
        <f>IF(F$6="",0,SUMIFS('Budget ed extra'!$G$7:$G$42,'Budget ed extra'!$J$7:$J$42,$A267,'Budget ed extra'!$H$7:$H$42,F$6))</f>
        <v>0</v>
      </c>
      <c r="X267">
        <f>IF(G$6="",0,SUMIFS('Budget ed extra'!$G$7:$G$42,'Budget ed extra'!$J$7:$J$42,$A267,'Budget ed extra'!$H$7:$H$42,G$6))</f>
        <v>0</v>
      </c>
      <c r="Y267">
        <f>IF(H$6="",0,SUMIFS('Budget ed extra'!$G$7:$G$42,'Budget ed extra'!$J$7:$J$42,$A267,'Budget ed extra'!$H$7:$H$42,H$6))</f>
        <v>0</v>
      </c>
      <c r="Z267">
        <f>IF(I$6="",0,SUMIFS('Budget ed extra'!$G$7:$G$42,'Budget ed extra'!$J$7:$J$42,$A267,'Budget ed extra'!$H$7:$H$42,I$6))</f>
        <v>0</v>
      </c>
      <c r="AA267">
        <f>IF(J$6="",0,SUMIFS('Budget ed extra'!$G$7:$G$42,'Budget ed extra'!$J$7:$J$42,$A267,'Budget ed extra'!$H$7:$H$42,J$6))</f>
        <v>0</v>
      </c>
      <c r="AB267">
        <f>IF(K$6="",0,SUMIFS('Budget ed extra'!$G$7:$G$42,'Budget ed extra'!$J$7:$J$42,$A267,'Budget ed extra'!$H$7:$H$42,K$6))</f>
        <v>0</v>
      </c>
      <c r="AC267">
        <f>IF(L$6="",0,SUMIFS('Budget ed extra'!$G$7:$G$42,'Budget ed extra'!$J$7:$J$42,$A267,'Budget ed extra'!$H$7:$H$42,L$6))</f>
        <v>0</v>
      </c>
      <c r="AD267">
        <f>IF(M$6="",0,SUMIFS('Budget ed extra'!$G$7:$G$42,'Budget ed extra'!$J$7:$J$42,$A267,'Budget ed extra'!$H$7:$H$42,M$6))</f>
        <v>0</v>
      </c>
      <c r="AE267">
        <f>IF(N$6="",0,SUMIFS('Budget ed extra'!$G$7:$G$42,'Budget ed extra'!$J$7:$J$42,$A267,'Budget ed extra'!$H$7:$H$42,N$6))</f>
        <v>0</v>
      </c>
    </row>
    <row r="268">
      <c r="A268" t="n">
        <v>238</v>
      </c>
      <c r="B268">
        <f>DATE($B$2,$B$3+A268-1,1)</f>
        <v>53540.0</v>
      </c>
      <c r="C268">
        <f>IF(D268=0,N(Impostazioni!$B$6),SUMIFS('Budget ed extra'!$B$7:$B$18,'Budget ed extra'!$D$7:$D$18,D268)/COUNTIFS('Budget ed extra'!$D$7:$D$18,D268))</f>
        <v>900</v>
      </c>
      <c r="D268">
        <f>SUMPRODUCT(MAX(('Budget ed extra'!$D$7:$D$18&lt;=A268)*'Budget ed extra'!$D$7:$D$18))</f>
        <v>9</v>
      </c>
      <c r="E268">
        <f>SUMIFS('Budget ed extra'!$G$7:$G$42,'Budget ed extra'!$J$7:$J$42,A268)</f>
        <v>0</v>
      </c>
      <c r="F268">
        <f>SUM(T268:AE268)</f>
        <v>0</v>
      </c>
      <c r="G268">
        <f>MAX(0,E268-F268)</f>
        <v>0</v>
      </c>
      <c r="H268">
        <f>IF($A268&gt;=C$10,C$11,C$9)/12</f>
        <v>0.01575</v>
      </c>
      <c r="I268">
        <f>IF($A268&gt;=D$10,D$11,D$9)/12</f>
        <v>0.01825</v>
      </c>
      <c r="J268">
        <f>IF($A268&gt;=E$10,E$11,E$9)/12</f>
        <v>0.00766666666666667</v>
      </c>
      <c r="K268">
        <f>IF($A268&gt;=F$10,F$11,F$9)/12</f>
        <v>0.00533333333333333</v>
      </c>
      <c r="L268">
        <f>IF($A268&gt;=G$10,G$11,G$9)/12</f>
        <v>0</v>
      </c>
      <c r="M268">
        <f>IF($A268&gt;=H$10,H$11,H$9)/12</f>
        <v>0</v>
      </c>
      <c r="N268">
        <f>IF($A268&gt;=I$10,I$11,I$9)/12</f>
        <v>0</v>
      </c>
      <c r="O268">
        <f>IF($A268&gt;=J$10,J$11,J$9)/12</f>
        <v>0</v>
      </c>
      <c r="P268">
        <f>IF($A268&gt;=K$10,K$11,K$9)/12</f>
        <v>0</v>
      </c>
      <c r="Q268">
        <f>IF($A268&gt;=L$10,L$11,L$9)/12</f>
        <v>0</v>
      </c>
      <c r="R268">
        <f>IF($A268&gt;=M$10,M$11,M$9)/12</f>
        <v>0</v>
      </c>
      <c r="S268">
        <f>IF($A268&gt;=N$10,N$11,N$9)/12</f>
        <v>0</v>
      </c>
      <c r="T268">
        <f>IF(C$6="",0,SUMIFS('Budget ed extra'!$G$7:$G$42,'Budget ed extra'!$J$7:$J$42,$A268,'Budget ed extra'!$H$7:$H$42,C$6))</f>
        <v>0</v>
      </c>
      <c r="U268">
        <f>IF(D$6="",0,SUMIFS('Budget ed extra'!$G$7:$G$42,'Budget ed extra'!$J$7:$J$42,$A268,'Budget ed extra'!$H$7:$H$42,D$6))</f>
        <v>0</v>
      </c>
      <c r="V268">
        <f>IF(E$6="",0,SUMIFS('Budget ed extra'!$G$7:$G$42,'Budget ed extra'!$J$7:$J$42,$A268,'Budget ed extra'!$H$7:$H$42,E$6))</f>
        <v>0</v>
      </c>
      <c r="W268">
        <f>IF(F$6="",0,SUMIFS('Budget ed extra'!$G$7:$G$42,'Budget ed extra'!$J$7:$J$42,$A268,'Budget ed extra'!$H$7:$H$42,F$6))</f>
        <v>0</v>
      </c>
      <c r="X268">
        <f>IF(G$6="",0,SUMIFS('Budget ed extra'!$G$7:$G$42,'Budget ed extra'!$J$7:$J$42,$A268,'Budget ed extra'!$H$7:$H$42,G$6))</f>
        <v>0</v>
      </c>
      <c r="Y268">
        <f>IF(H$6="",0,SUMIFS('Budget ed extra'!$G$7:$G$42,'Budget ed extra'!$J$7:$J$42,$A268,'Budget ed extra'!$H$7:$H$42,H$6))</f>
        <v>0</v>
      </c>
      <c r="Z268">
        <f>IF(I$6="",0,SUMIFS('Budget ed extra'!$G$7:$G$42,'Budget ed extra'!$J$7:$J$42,$A268,'Budget ed extra'!$H$7:$H$42,I$6))</f>
        <v>0</v>
      </c>
      <c r="AA268">
        <f>IF(J$6="",0,SUMIFS('Budget ed extra'!$G$7:$G$42,'Budget ed extra'!$J$7:$J$42,$A268,'Budget ed extra'!$H$7:$H$42,J$6))</f>
        <v>0</v>
      </c>
      <c r="AB268">
        <f>IF(K$6="",0,SUMIFS('Budget ed extra'!$G$7:$G$42,'Budget ed extra'!$J$7:$J$42,$A268,'Budget ed extra'!$H$7:$H$42,K$6))</f>
        <v>0</v>
      </c>
      <c r="AC268">
        <f>IF(L$6="",0,SUMIFS('Budget ed extra'!$G$7:$G$42,'Budget ed extra'!$J$7:$J$42,$A268,'Budget ed extra'!$H$7:$H$42,L$6))</f>
        <v>0</v>
      </c>
      <c r="AD268">
        <f>IF(M$6="",0,SUMIFS('Budget ed extra'!$G$7:$G$42,'Budget ed extra'!$J$7:$J$42,$A268,'Budget ed extra'!$H$7:$H$42,M$6))</f>
        <v>0</v>
      </c>
      <c r="AE268">
        <f>IF(N$6="",0,SUMIFS('Budget ed extra'!$G$7:$G$42,'Budget ed extra'!$J$7:$J$42,$A268,'Budget ed extra'!$H$7:$H$42,N$6))</f>
        <v>0</v>
      </c>
    </row>
    <row r="269">
      <c r="A269" t="n">
        <v>239</v>
      </c>
      <c r="B269">
        <f>DATE($B$2,$B$3+A269-1,1)</f>
        <v>53571.0</v>
      </c>
      <c r="C269">
        <f>IF(D269=0,N(Impostazioni!$B$6),SUMIFS('Budget ed extra'!$B$7:$B$18,'Budget ed extra'!$D$7:$D$18,D269)/COUNTIFS('Budget ed extra'!$D$7:$D$18,D269))</f>
        <v>900</v>
      </c>
      <c r="D269">
        <f>SUMPRODUCT(MAX(('Budget ed extra'!$D$7:$D$18&lt;=A269)*'Budget ed extra'!$D$7:$D$18))</f>
        <v>9</v>
      </c>
      <c r="E269">
        <f>SUMIFS('Budget ed extra'!$G$7:$G$42,'Budget ed extra'!$J$7:$J$42,A269)</f>
        <v>0</v>
      </c>
      <c r="F269">
        <f>SUM(T269:AE269)</f>
        <v>0</v>
      </c>
      <c r="G269">
        <f>MAX(0,E269-F269)</f>
        <v>0</v>
      </c>
      <c r="H269">
        <f>IF($A269&gt;=C$10,C$11,C$9)/12</f>
        <v>0.01575</v>
      </c>
      <c r="I269">
        <f>IF($A269&gt;=D$10,D$11,D$9)/12</f>
        <v>0.01825</v>
      </c>
      <c r="J269">
        <f>IF($A269&gt;=E$10,E$11,E$9)/12</f>
        <v>0.00766666666666667</v>
      </c>
      <c r="K269">
        <f>IF($A269&gt;=F$10,F$11,F$9)/12</f>
        <v>0.00533333333333333</v>
      </c>
      <c r="L269">
        <f>IF($A269&gt;=G$10,G$11,G$9)/12</f>
        <v>0</v>
      </c>
      <c r="M269">
        <f>IF($A269&gt;=H$10,H$11,H$9)/12</f>
        <v>0</v>
      </c>
      <c r="N269">
        <f>IF($A269&gt;=I$10,I$11,I$9)/12</f>
        <v>0</v>
      </c>
      <c r="O269">
        <f>IF($A269&gt;=J$10,J$11,J$9)/12</f>
        <v>0</v>
      </c>
      <c r="P269">
        <f>IF($A269&gt;=K$10,K$11,K$9)/12</f>
        <v>0</v>
      </c>
      <c r="Q269">
        <f>IF($A269&gt;=L$10,L$11,L$9)/12</f>
        <v>0</v>
      </c>
      <c r="R269">
        <f>IF($A269&gt;=M$10,M$11,M$9)/12</f>
        <v>0</v>
      </c>
      <c r="S269">
        <f>IF($A269&gt;=N$10,N$11,N$9)/12</f>
        <v>0</v>
      </c>
      <c r="T269">
        <f>IF(C$6="",0,SUMIFS('Budget ed extra'!$G$7:$G$42,'Budget ed extra'!$J$7:$J$42,$A269,'Budget ed extra'!$H$7:$H$42,C$6))</f>
        <v>0</v>
      </c>
      <c r="U269">
        <f>IF(D$6="",0,SUMIFS('Budget ed extra'!$G$7:$G$42,'Budget ed extra'!$J$7:$J$42,$A269,'Budget ed extra'!$H$7:$H$42,D$6))</f>
        <v>0</v>
      </c>
      <c r="V269">
        <f>IF(E$6="",0,SUMIFS('Budget ed extra'!$G$7:$G$42,'Budget ed extra'!$J$7:$J$42,$A269,'Budget ed extra'!$H$7:$H$42,E$6))</f>
        <v>0</v>
      </c>
      <c r="W269">
        <f>IF(F$6="",0,SUMIFS('Budget ed extra'!$G$7:$G$42,'Budget ed extra'!$J$7:$J$42,$A269,'Budget ed extra'!$H$7:$H$42,F$6))</f>
        <v>0</v>
      </c>
      <c r="X269">
        <f>IF(G$6="",0,SUMIFS('Budget ed extra'!$G$7:$G$42,'Budget ed extra'!$J$7:$J$42,$A269,'Budget ed extra'!$H$7:$H$42,G$6))</f>
        <v>0</v>
      </c>
      <c r="Y269">
        <f>IF(H$6="",0,SUMIFS('Budget ed extra'!$G$7:$G$42,'Budget ed extra'!$J$7:$J$42,$A269,'Budget ed extra'!$H$7:$H$42,H$6))</f>
        <v>0</v>
      </c>
      <c r="Z269">
        <f>IF(I$6="",0,SUMIFS('Budget ed extra'!$G$7:$G$42,'Budget ed extra'!$J$7:$J$42,$A269,'Budget ed extra'!$H$7:$H$42,I$6))</f>
        <v>0</v>
      </c>
      <c r="AA269">
        <f>IF(J$6="",0,SUMIFS('Budget ed extra'!$G$7:$G$42,'Budget ed extra'!$J$7:$J$42,$A269,'Budget ed extra'!$H$7:$H$42,J$6))</f>
        <v>0</v>
      </c>
      <c r="AB269">
        <f>IF(K$6="",0,SUMIFS('Budget ed extra'!$G$7:$G$42,'Budget ed extra'!$J$7:$J$42,$A269,'Budget ed extra'!$H$7:$H$42,K$6))</f>
        <v>0</v>
      </c>
      <c r="AC269">
        <f>IF(L$6="",0,SUMIFS('Budget ed extra'!$G$7:$G$42,'Budget ed extra'!$J$7:$J$42,$A269,'Budget ed extra'!$H$7:$H$42,L$6))</f>
        <v>0</v>
      </c>
      <c r="AD269">
        <f>IF(M$6="",0,SUMIFS('Budget ed extra'!$G$7:$G$42,'Budget ed extra'!$J$7:$J$42,$A269,'Budget ed extra'!$H$7:$H$42,M$6))</f>
        <v>0</v>
      </c>
      <c r="AE269">
        <f>IF(N$6="",0,SUMIFS('Budget ed extra'!$G$7:$G$42,'Budget ed extra'!$J$7:$J$42,$A269,'Budget ed extra'!$H$7:$H$42,N$6))</f>
        <v>0</v>
      </c>
    </row>
    <row r="270">
      <c r="A270" t="n">
        <v>240</v>
      </c>
      <c r="B270">
        <f>DATE($B$2,$B$3+A270-1,1)</f>
        <v>53601.0</v>
      </c>
      <c r="C270">
        <f>IF(D270=0,N(Impostazioni!$B$6),SUMIFS('Budget ed extra'!$B$7:$B$18,'Budget ed extra'!$D$7:$D$18,D270)/COUNTIFS('Budget ed extra'!$D$7:$D$18,D270))</f>
        <v>900</v>
      </c>
      <c r="D270">
        <f>SUMPRODUCT(MAX(('Budget ed extra'!$D$7:$D$18&lt;=A270)*'Budget ed extra'!$D$7:$D$18))</f>
        <v>9</v>
      </c>
      <c r="E270">
        <f>SUMIFS('Budget ed extra'!$G$7:$G$42,'Budget ed extra'!$J$7:$J$42,A270)</f>
        <v>0</v>
      </c>
      <c r="F270">
        <f>SUM(T270:AE270)</f>
        <v>0</v>
      </c>
      <c r="G270">
        <f>MAX(0,E270-F270)</f>
        <v>0</v>
      </c>
      <c r="H270">
        <f>IF($A270&gt;=C$10,C$11,C$9)/12</f>
        <v>0.01575</v>
      </c>
      <c r="I270">
        <f>IF($A270&gt;=D$10,D$11,D$9)/12</f>
        <v>0.01825</v>
      </c>
      <c r="J270">
        <f>IF($A270&gt;=E$10,E$11,E$9)/12</f>
        <v>0.00766666666666667</v>
      </c>
      <c r="K270">
        <f>IF($A270&gt;=F$10,F$11,F$9)/12</f>
        <v>0.00533333333333333</v>
      </c>
      <c r="L270">
        <f>IF($A270&gt;=G$10,G$11,G$9)/12</f>
        <v>0</v>
      </c>
      <c r="M270">
        <f>IF($A270&gt;=H$10,H$11,H$9)/12</f>
        <v>0</v>
      </c>
      <c r="N270">
        <f>IF($A270&gt;=I$10,I$11,I$9)/12</f>
        <v>0</v>
      </c>
      <c r="O270">
        <f>IF($A270&gt;=J$10,J$11,J$9)/12</f>
        <v>0</v>
      </c>
      <c r="P270">
        <f>IF($A270&gt;=K$10,K$11,K$9)/12</f>
        <v>0</v>
      </c>
      <c r="Q270">
        <f>IF($A270&gt;=L$10,L$11,L$9)/12</f>
        <v>0</v>
      </c>
      <c r="R270">
        <f>IF($A270&gt;=M$10,M$11,M$9)/12</f>
        <v>0</v>
      </c>
      <c r="S270">
        <f>IF($A270&gt;=N$10,N$11,N$9)/12</f>
        <v>0</v>
      </c>
      <c r="T270">
        <f>IF(C$6="",0,SUMIFS('Budget ed extra'!$G$7:$G$42,'Budget ed extra'!$J$7:$J$42,$A270,'Budget ed extra'!$H$7:$H$42,C$6))</f>
        <v>0</v>
      </c>
      <c r="U270">
        <f>IF(D$6="",0,SUMIFS('Budget ed extra'!$G$7:$G$42,'Budget ed extra'!$J$7:$J$42,$A270,'Budget ed extra'!$H$7:$H$42,D$6))</f>
        <v>0</v>
      </c>
      <c r="V270">
        <f>IF(E$6="",0,SUMIFS('Budget ed extra'!$G$7:$G$42,'Budget ed extra'!$J$7:$J$42,$A270,'Budget ed extra'!$H$7:$H$42,E$6))</f>
        <v>0</v>
      </c>
      <c r="W270">
        <f>IF(F$6="",0,SUMIFS('Budget ed extra'!$G$7:$G$42,'Budget ed extra'!$J$7:$J$42,$A270,'Budget ed extra'!$H$7:$H$42,F$6))</f>
        <v>0</v>
      </c>
      <c r="X270">
        <f>IF(G$6="",0,SUMIFS('Budget ed extra'!$G$7:$G$42,'Budget ed extra'!$J$7:$J$42,$A270,'Budget ed extra'!$H$7:$H$42,G$6))</f>
        <v>0</v>
      </c>
      <c r="Y270">
        <f>IF(H$6="",0,SUMIFS('Budget ed extra'!$G$7:$G$42,'Budget ed extra'!$J$7:$J$42,$A270,'Budget ed extra'!$H$7:$H$42,H$6))</f>
        <v>0</v>
      </c>
      <c r="Z270">
        <f>IF(I$6="",0,SUMIFS('Budget ed extra'!$G$7:$G$42,'Budget ed extra'!$J$7:$J$42,$A270,'Budget ed extra'!$H$7:$H$42,I$6))</f>
        <v>0</v>
      </c>
      <c r="AA270">
        <f>IF(J$6="",0,SUMIFS('Budget ed extra'!$G$7:$G$42,'Budget ed extra'!$J$7:$J$42,$A270,'Budget ed extra'!$H$7:$H$42,J$6))</f>
        <v>0</v>
      </c>
      <c r="AB270">
        <f>IF(K$6="",0,SUMIFS('Budget ed extra'!$G$7:$G$42,'Budget ed extra'!$J$7:$J$42,$A270,'Budget ed extra'!$H$7:$H$42,K$6))</f>
        <v>0</v>
      </c>
      <c r="AC270">
        <f>IF(L$6="",0,SUMIFS('Budget ed extra'!$G$7:$G$42,'Budget ed extra'!$J$7:$J$42,$A270,'Budget ed extra'!$H$7:$H$42,L$6))</f>
        <v>0</v>
      </c>
      <c r="AD270">
        <f>IF(M$6="",0,SUMIFS('Budget ed extra'!$G$7:$G$42,'Budget ed extra'!$J$7:$J$42,$A270,'Budget ed extra'!$H$7:$H$42,M$6))</f>
        <v>0</v>
      </c>
      <c r="AE270">
        <f>IF(N$6="",0,SUMIFS('Budget ed extra'!$G$7:$G$42,'Budget ed extra'!$J$7:$J$42,$A270,'Budget ed extra'!$H$7:$H$42,N$6))</f>
        <v>0</v>
      </c>
    </row>
    <row r="271">
      <c r="A271" t="n">
        <v>241</v>
      </c>
      <c r="B271">
        <f>DATE($B$2,$B$3+A271-1,1)</f>
        <v>53632.0</v>
      </c>
      <c r="C271">
        <f>IF(D271=0,N(Impostazioni!$B$6),SUMIFS('Budget ed extra'!$B$7:$B$18,'Budget ed extra'!$D$7:$D$18,D271)/COUNTIFS('Budget ed extra'!$D$7:$D$18,D271))</f>
        <v>900</v>
      </c>
      <c r="D271">
        <f>SUMPRODUCT(MAX(('Budget ed extra'!$D$7:$D$18&lt;=A271)*'Budget ed extra'!$D$7:$D$18))</f>
        <v>9</v>
      </c>
      <c r="E271">
        <f>SUMIFS('Budget ed extra'!$G$7:$G$42,'Budget ed extra'!$J$7:$J$42,A271)</f>
        <v>0</v>
      </c>
      <c r="F271">
        <f>SUM(T271:AE271)</f>
        <v>0</v>
      </c>
      <c r="G271">
        <f>MAX(0,E271-F271)</f>
        <v>0</v>
      </c>
      <c r="H271">
        <f>IF($A271&gt;=C$10,C$11,C$9)/12</f>
        <v>0.01575</v>
      </c>
      <c r="I271">
        <f>IF($A271&gt;=D$10,D$11,D$9)/12</f>
        <v>0.01825</v>
      </c>
      <c r="J271">
        <f>IF($A271&gt;=E$10,E$11,E$9)/12</f>
        <v>0.00766666666666667</v>
      </c>
      <c r="K271">
        <f>IF($A271&gt;=F$10,F$11,F$9)/12</f>
        <v>0.00533333333333333</v>
      </c>
      <c r="L271">
        <f>IF($A271&gt;=G$10,G$11,G$9)/12</f>
        <v>0</v>
      </c>
      <c r="M271">
        <f>IF($A271&gt;=H$10,H$11,H$9)/12</f>
        <v>0</v>
      </c>
      <c r="N271">
        <f>IF($A271&gt;=I$10,I$11,I$9)/12</f>
        <v>0</v>
      </c>
      <c r="O271">
        <f>IF($A271&gt;=J$10,J$11,J$9)/12</f>
        <v>0</v>
      </c>
      <c r="P271">
        <f>IF($A271&gt;=K$10,K$11,K$9)/12</f>
        <v>0</v>
      </c>
      <c r="Q271">
        <f>IF($A271&gt;=L$10,L$11,L$9)/12</f>
        <v>0</v>
      </c>
      <c r="R271">
        <f>IF($A271&gt;=M$10,M$11,M$9)/12</f>
        <v>0</v>
      </c>
      <c r="S271">
        <f>IF($A271&gt;=N$10,N$11,N$9)/12</f>
        <v>0</v>
      </c>
      <c r="T271">
        <f>IF(C$6="",0,SUMIFS('Budget ed extra'!$G$7:$G$42,'Budget ed extra'!$J$7:$J$42,$A271,'Budget ed extra'!$H$7:$H$42,C$6))</f>
        <v>0</v>
      </c>
      <c r="U271">
        <f>IF(D$6="",0,SUMIFS('Budget ed extra'!$G$7:$G$42,'Budget ed extra'!$J$7:$J$42,$A271,'Budget ed extra'!$H$7:$H$42,D$6))</f>
        <v>0</v>
      </c>
      <c r="V271">
        <f>IF(E$6="",0,SUMIFS('Budget ed extra'!$G$7:$G$42,'Budget ed extra'!$J$7:$J$42,$A271,'Budget ed extra'!$H$7:$H$42,E$6))</f>
        <v>0</v>
      </c>
      <c r="W271">
        <f>IF(F$6="",0,SUMIFS('Budget ed extra'!$G$7:$G$42,'Budget ed extra'!$J$7:$J$42,$A271,'Budget ed extra'!$H$7:$H$42,F$6))</f>
        <v>0</v>
      </c>
      <c r="X271">
        <f>IF(G$6="",0,SUMIFS('Budget ed extra'!$G$7:$G$42,'Budget ed extra'!$J$7:$J$42,$A271,'Budget ed extra'!$H$7:$H$42,G$6))</f>
        <v>0</v>
      </c>
      <c r="Y271">
        <f>IF(H$6="",0,SUMIFS('Budget ed extra'!$G$7:$G$42,'Budget ed extra'!$J$7:$J$42,$A271,'Budget ed extra'!$H$7:$H$42,H$6))</f>
        <v>0</v>
      </c>
      <c r="Z271">
        <f>IF(I$6="",0,SUMIFS('Budget ed extra'!$G$7:$G$42,'Budget ed extra'!$J$7:$J$42,$A271,'Budget ed extra'!$H$7:$H$42,I$6))</f>
        <v>0</v>
      </c>
      <c r="AA271">
        <f>IF(J$6="",0,SUMIFS('Budget ed extra'!$G$7:$G$42,'Budget ed extra'!$J$7:$J$42,$A271,'Budget ed extra'!$H$7:$H$42,J$6))</f>
        <v>0</v>
      </c>
      <c r="AB271">
        <f>IF(K$6="",0,SUMIFS('Budget ed extra'!$G$7:$G$42,'Budget ed extra'!$J$7:$J$42,$A271,'Budget ed extra'!$H$7:$H$42,K$6))</f>
        <v>0</v>
      </c>
      <c r="AC271">
        <f>IF(L$6="",0,SUMIFS('Budget ed extra'!$G$7:$G$42,'Budget ed extra'!$J$7:$J$42,$A271,'Budget ed extra'!$H$7:$H$42,L$6))</f>
        <v>0</v>
      </c>
      <c r="AD271">
        <f>IF(M$6="",0,SUMIFS('Budget ed extra'!$G$7:$G$42,'Budget ed extra'!$J$7:$J$42,$A271,'Budget ed extra'!$H$7:$H$42,M$6))</f>
        <v>0</v>
      </c>
      <c r="AE271">
        <f>IF(N$6="",0,SUMIFS('Budget ed extra'!$G$7:$G$42,'Budget ed extra'!$J$7:$J$42,$A271,'Budget ed extra'!$H$7:$H$42,N$6))</f>
        <v>0</v>
      </c>
    </row>
    <row r="272">
      <c r="A272" t="n">
        <v>242</v>
      </c>
      <c r="B272">
        <f>DATE($B$2,$B$3+A272-1,1)</f>
        <v>53662.0</v>
      </c>
      <c r="C272">
        <f>IF(D272=0,N(Impostazioni!$B$6),SUMIFS('Budget ed extra'!$B$7:$B$18,'Budget ed extra'!$D$7:$D$18,D272)/COUNTIFS('Budget ed extra'!$D$7:$D$18,D272))</f>
        <v>900</v>
      </c>
      <c r="D272">
        <f>SUMPRODUCT(MAX(('Budget ed extra'!$D$7:$D$18&lt;=A272)*'Budget ed extra'!$D$7:$D$18))</f>
        <v>9</v>
      </c>
      <c r="E272">
        <f>SUMIFS('Budget ed extra'!$G$7:$G$42,'Budget ed extra'!$J$7:$J$42,A272)</f>
        <v>0</v>
      </c>
      <c r="F272">
        <f>SUM(T272:AE272)</f>
        <v>0</v>
      </c>
      <c r="G272">
        <f>MAX(0,E272-F272)</f>
        <v>0</v>
      </c>
      <c r="H272">
        <f>IF($A272&gt;=C$10,C$11,C$9)/12</f>
        <v>0.01575</v>
      </c>
      <c r="I272">
        <f>IF($A272&gt;=D$10,D$11,D$9)/12</f>
        <v>0.01825</v>
      </c>
      <c r="J272">
        <f>IF($A272&gt;=E$10,E$11,E$9)/12</f>
        <v>0.00766666666666667</v>
      </c>
      <c r="K272">
        <f>IF($A272&gt;=F$10,F$11,F$9)/12</f>
        <v>0.00533333333333333</v>
      </c>
      <c r="L272">
        <f>IF($A272&gt;=G$10,G$11,G$9)/12</f>
        <v>0</v>
      </c>
      <c r="M272">
        <f>IF($A272&gt;=H$10,H$11,H$9)/12</f>
        <v>0</v>
      </c>
      <c r="N272">
        <f>IF($A272&gt;=I$10,I$11,I$9)/12</f>
        <v>0</v>
      </c>
      <c r="O272">
        <f>IF($A272&gt;=J$10,J$11,J$9)/12</f>
        <v>0</v>
      </c>
      <c r="P272">
        <f>IF($A272&gt;=K$10,K$11,K$9)/12</f>
        <v>0</v>
      </c>
      <c r="Q272">
        <f>IF($A272&gt;=L$10,L$11,L$9)/12</f>
        <v>0</v>
      </c>
      <c r="R272">
        <f>IF($A272&gt;=M$10,M$11,M$9)/12</f>
        <v>0</v>
      </c>
      <c r="S272">
        <f>IF($A272&gt;=N$10,N$11,N$9)/12</f>
        <v>0</v>
      </c>
      <c r="T272">
        <f>IF(C$6="",0,SUMIFS('Budget ed extra'!$G$7:$G$42,'Budget ed extra'!$J$7:$J$42,$A272,'Budget ed extra'!$H$7:$H$42,C$6))</f>
        <v>0</v>
      </c>
      <c r="U272">
        <f>IF(D$6="",0,SUMIFS('Budget ed extra'!$G$7:$G$42,'Budget ed extra'!$J$7:$J$42,$A272,'Budget ed extra'!$H$7:$H$42,D$6))</f>
        <v>0</v>
      </c>
      <c r="V272">
        <f>IF(E$6="",0,SUMIFS('Budget ed extra'!$G$7:$G$42,'Budget ed extra'!$J$7:$J$42,$A272,'Budget ed extra'!$H$7:$H$42,E$6))</f>
        <v>0</v>
      </c>
      <c r="W272">
        <f>IF(F$6="",0,SUMIFS('Budget ed extra'!$G$7:$G$42,'Budget ed extra'!$J$7:$J$42,$A272,'Budget ed extra'!$H$7:$H$42,F$6))</f>
        <v>0</v>
      </c>
      <c r="X272">
        <f>IF(G$6="",0,SUMIFS('Budget ed extra'!$G$7:$G$42,'Budget ed extra'!$J$7:$J$42,$A272,'Budget ed extra'!$H$7:$H$42,G$6))</f>
        <v>0</v>
      </c>
      <c r="Y272">
        <f>IF(H$6="",0,SUMIFS('Budget ed extra'!$G$7:$G$42,'Budget ed extra'!$J$7:$J$42,$A272,'Budget ed extra'!$H$7:$H$42,H$6))</f>
        <v>0</v>
      </c>
      <c r="Z272">
        <f>IF(I$6="",0,SUMIFS('Budget ed extra'!$G$7:$G$42,'Budget ed extra'!$J$7:$J$42,$A272,'Budget ed extra'!$H$7:$H$42,I$6))</f>
        <v>0</v>
      </c>
      <c r="AA272">
        <f>IF(J$6="",0,SUMIFS('Budget ed extra'!$G$7:$G$42,'Budget ed extra'!$J$7:$J$42,$A272,'Budget ed extra'!$H$7:$H$42,J$6))</f>
        <v>0</v>
      </c>
      <c r="AB272">
        <f>IF(K$6="",0,SUMIFS('Budget ed extra'!$G$7:$G$42,'Budget ed extra'!$J$7:$J$42,$A272,'Budget ed extra'!$H$7:$H$42,K$6))</f>
        <v>0</v>
      </c>
      <c r="AC272">
        <f>IF(L$6="",0,SUMIFS('Budget ed extra'!$G$7:$G$42,'Budget ed extra'!$J$7:$J$42,$A272,'Budget ed extra'!$H$7:$H$42,L$6))</f>
        <v>0</v>
      </c>
      <c r="AD272">
        <f>IF(M$6="",0,SUMIFS('Budget ed extra'!$G$7:$G$42,'Budget ed extra'!$J$7:$J$42,$A272,'Budget ed extra'!$H$7:$H$42,M$6))</f>
        <v>0</v>
      </c>
      <c r="AE272">
        <f>IF(N$6="",0,SUMIFS('Budget ed extra'!$G$7:$G$42,'Budget ed extra'!$J$7:$J$42,$A272,'Budget ed extra'!$H$7:$H$42,N$6))</f>
        <v>0</v>
      </c>
    </row>
    <row r="273">
      <c r="A273" t="n">
        <v>243</v>
      </c>
      <c r="B273">
        <f>DATE($B$2,$B$3+A273-1,1)</f>
        <v>53693.0</v>
      </c>
      <c r="C273">
        <f>IF(D273=0,N(Impostazioni!$B$6),SUMIFS('Budget ed extra'!$B$7:$B$18,'Budget ed extra'!$D$7:$D$18,D273)/COUNTIFS('Budget ed extra'!$D$7:$D$18,D273))</f>
        <v>900</v>
      </c>
      <c r="D273">
        <f>SUMPRODUCT(MAX(('Budget ed extra'!$D$7:$D$18&lt;=A273)*'Budget ed extra'!$D$7:$D$18))</f>
        <v>9</v>
      </c>
      <c r="E273">
        <f>SUMIFS('Budget ed extra'!$G$7:$G$42,'Budget ed extra'!$J$7:$J$42,A273)</f>
        <v>0</v>
      </c>
      <c r="F273">
        <f>SUM(T273:AE273)</f>
        <v>0</v>
      </c>
      <c r="G273">
        <f>MAX(0,E273-F273)</f>
        <v>0</v>
      </c>
      <c r="H273">
        <f>IF($A273&gt;=C$10,C$11,C$9)/12</f>
        <v>0.01575</v>
      </c>
      <c r="I273">
        <f>IF($A273&gt;=D$10,D$11,D$9)/12</f>
        <v>0.01825</v>
      </c>
      <c r="J273">
        <f>IF($A273&gt;=E$10,E$11,E$9)/12</f>
        <v>0.00766666666666667</v>
      </c>
      <c r="K273">
        <f>IF($A273&gt;=F$10,F$11,F$9)/12</f>
        <v>0.00533333333333333</v>
      </c>
      <c r="L273">
        <f>IF($A273&gt;=G$10,G$11,G$9)/12</f>
        <v>0</v>
      </c>
      <c r="M273">
        <f>IF($A273&gt;=H$10,H$11,H$9)/12</f>
        <v>0</v>
      </c>
      <c r="N273">
        <f>IF($A273&gt;=I$10,I$11,I$9)/12</f>
        <v>0</v>
      </c>
      <c r="O273">
        <f>IF($A273&gt;=J$10,J$11,J$9)/12</f>
        <v>0</v>
      </c>
      <c r="P273">
        <f>IF($A273&gt;=K$10,K$11,K$9)/12</f>
        <v>0</v>
      </c>
      <c r="Q273">
        <f>IF($A273&gt;=L$10,L$11,L$9)/12</f>
        <v>0</v>
      </c>
      <c r="R273">
        <f>IF($A273&gt;=M$10,M$11,M$9)/12</f>
        <v>0</v>
      </c>
      <c r="S273">
        <f>IF($A273&gt;=N$10,N$11,N$9)/12</f>
        <v>0</v>
      </c>
      <c r="T273">
        <f>IF(C$6="",0,SUMIFS('Budget ed extra'!$G$7:$G$42,'Budget ed extra'!$J$7:$J$42,$A273,'Budget ed extra'!$H$7:$H$42,C$6))</f>
        <v>0</v>
      </c>
      <c r="U273">
        <f>IF(D$6="",0,SUMIFS('Budget ed extra'!$G$7:$G$42,'Budget ed extra'!$J$7:$J$42,$A273,'Budget ed extra'!$H$7:$H$42,D$6))</f>
        <v>0</v>
      </c>
      <c r="V273">
        <f>IF(E$6="",0,SUMIFS('Budget ed extra'!$G$7:$G$42,'Budget ed extra'!$J$7:$J$42,$A273,'Budget ed extra'!$H$7:$H$42,E$6))</f>
        <v>0</v>
      </c>
      <c r="W273">
        <f>IF(F$6="",0,SUMIFS('Budget ed extra'!$G$7:$G$42,'Budget ed extra'!$J$7:$J$42,$A273,'Budget ed extra'!$H$7:$H$42,F$6))</f>
        <v>0</v>
      </c>
      <c r="X273">
        <f>IF(G$6="",0,SUMIFS('Budget ed extra'!$G$7:$G$42,'Budget ed extra'!$J$7:$J$42,$A273,'Budget ed extra'!$H$7:$H$42,G$6))</f>
        <v>0</v>
      </c>
      <c r="Y273">
        <f>IF(H$6="",0,SUMIFS('Budget ed extra'!$G$7:$G$42,'Budget ed extra'!$J$7:$J$42,$A273,'Budget ed extra'!$H$7:$H$42,H$6))</f>
        <v>0</v>
      </c>
      <c r="Z273">
        <f>IF(I$6="",0,SUMIFS('Budget ed extra'!$G$7:$G$42,'Budget ed extra'!$J$7:$J$42,$A273,'Budget ed extra'!$H$7:$H$42,I$6))</f>
        <v>0</v>
      </c>
      <c r="AA273">
        <f>IF(J$6="",0,SUMIFS('Budget ed extra'!$G$7:$G$42,'Budget ed extra'!$J$7:$J$42,$A273,'Budget ed extra'!$H$7:$H$42,J$6))</f>
        <v>0</v>
      </c>
      <c r="AB273">
        <f>IF(K$6="",0,SUMIFS('Budget ed extra'!$G$7:$G$42,'Budget ed extra'!$J$7:$J$42,$A273,'Budget ed extra'!$H$7:$H$42,K$6))</f>
        <v>0</v>
      </c>
      <c r="AC273">
        <f>IF(L$6="",0,SUMIFS('Budget ed extra'!$G$7:$G$42,'Budget ed extra'!$J$7:$J$42,$A273,'Budget ed extra'!$H$7:$H$42,L$6))</f>
        <v>0</v>
      </c>
      <c r="AD273">
        <f>IF(M$6="",0,SUMIFS('Budget ed extra'!$G$7:$G$42,'Budget ed extra'!$J$7:$J$42,$A273,'Budget ed extra'!$H$7:$H$42,M$6))</f>
        <v>0</v>
      </c>
      <c r="AE273">
        <f>IF(N$6="",0,SUMIFS('Budget ed extra'!$G$7:$G$42,'Budget ed extra'!$J$7:$J$42,$A273,'Budget ed extra'!$H$7:$H$42,N$6))</f>
        <v>0</v>
      </c>
    </row>
    <row r="274">
      <c r="A274" t="n">
        <v>244</v>
      </c>
      <c r="B274">
        <f>DATE($B$2,$B$3+A274-1,1)</f>
        <v>53724.0</v>
      </c>
      <c r="C274">
        <f>IF(D274=0,N(Impostazioni!$B$6),SUMIFS('Budget ed extra'!$B$7:$B$18,'Budget ed extra'!$D$7:$D$18,D274)/COUNTIFS('Budget ed extra'!$D$7:$D$18,D274))</f>
        <v>900</v>
      </c>
      <c r="D274">
        <f>SUMPRODUCT(MAX(('Budget ed extra'!$D$7:$D$18&lt;=A274)*'Budget ed extra'!$D$7:$D$18))</f>
        <v>9</v>
      </c>
      <c r="E274">
        <f>SUMIFS('Budget ed extra'!$G$7:$G$42,'Budget ed extra'!$J$7:$J$42,A274)</f>
        <v>0</v>
      </c>
      <c r="F274">
        <f>SUM(T274:AE274)</f>
        <v>0</v>
      </c>
      <c r="G274">
        <f>MAX(0,E274-F274)</f>
        <v>0</v>
      </c>
      <c r="H274">
        <f>IF($A274&gt;=C$10,C$11,C$9)/12</f>
        <v>0.01575</v>
      </c>
      <c r="I274">
        <f>IF($A274&gt;=D$10,D$11,D$9)/12</f>
        <v>0.01825</v>
      </c>
      <c r="J274">
        <f>IF($A274&gt;=E$10,E$11,E$9)/12</f>
        <v>0.00766666666666667</v>
      </c>
      <c r="K274">
        <f>IF($A274&gt;=F$10,F$11,F$9)/12</f>
        <v>0.00533333333333333</v>
      </c>
      <c r="L274">
        <f>IF($A274&gt;=G$10,G$11,G$9)/12</f>
        <v>0</v>
      </c>
      <c r="M274">
        <f>IF($A274&gt;=H$10,H$11,H$9)/12</f>
        <v>0</v>
      </c>
      <c r="N274">
        <f>IF($A274&gt;=I$10,I$11,I$9)/12</f>
        <v>0</v>
      </c>
      <c r="O274">
        <f>IF($A274&gt;=J$10,J$11,J$9)/12</f>
        <v>0</v>
      </c>
      <c r="P274">
        <f>IF($A274&gt;=K$10,K$11,K$9)/12</f>
        <v>0</v>
      </c>
      <c r="Q274">
        <f>IF($A274&gt;=L$10,L$11,L$9)/12</f>
        <v>0</v>
      </c>
      <c r="R274">
        <f>IF($A274&gt;=M$10,M$11,M$9)/12</f>
        <v>0</v>
      </c>
      <c r="S274">
        <f>IF($A274&gt;=N$10,N$11,N$9)/12</f>
        <v>0</v>
      </c>
      <c r="T274">
        <f>IF(C$6="",0,SUMIFS('Budget ed extra'!$G$7:$G$42,'Budget ed extra'!$J$7:$J$42,$A274,'Budget ed extra'!$H$7:$H$42,C$6))</f>
        <v>0</v>
      </c>
      <c r="U274">
        <f>IF(D$6="",0,SUMIFS('Budget ed extra'!$G$7:$G$42,'Budget ed extra'!$J$7:$J$42,$A274,'Budget ed extra'!$H$7:$H$42,D$6))</f>
        <v>0</v>
      </c>
      <c r="V274">
        <f>IF(E$6="",0,SUMIFS('Budget ed extra'!$G$7:$G$42,'Budget ed extra'!$J$7:$J$42,$A274,'Budget ed extra'!$H$7:$H$42,E$6))</f>
        <v>0</v>
      </c>
      <c r="W274">
        <f>IF(F$6="",0,SUMIFS('Budget ed extra'!$G$7:$G$42,'Budget ed extra'!$J$7:$J$42,$A274,'Budget ed extra'!$H$7:$H$42,F$6))</f>
        <v>0</v>
      </c>
      <c r="X274">
        <f>IF(G$6="",0,SUMIFS('Budget ed extra'!$G$7:$G$42,'Budget ed extra'!$J$7:$J$42,$A274,'Budget ed extra'!$H$7:$H$42,G$6))</f>
        <v>0</v>
      </c>
      <c r="Y274">
        <f>IF(H$6="",0,SUMIFS('Budget ed extra'!$G$7:$G$42,'Budget ed extra'!$J$7:$J$42,$A274,'Budget ed extra'!$H$7:$H$42,H$6))</f>
        <v>0</v>
      </c>
      <c r="Z274">
        <f>IF(I$6="",0,SUMIFS('Budget ed extra'!$G$7:$G$42,'Budget ed extra'!$J$7:$J$42,$A274,'Budget ed extra'!$H$7:$H$42,I$6))</f>
        <v>0</v>
      </c>
      <c r="AA274">
        <f>IF(J$6="",0,SUMIFS('Budget ed extra'!$G$7:$G$42,'Budget ed extra'!$J$7:$J$42,$A274,'Budget ed extra'!$H$7:$H$42,J$6))</f>
        <v>0</v>
      </c>
      <c r="AB274">
        <f>IF(K$6="",0,SUMIFS('Budget ed extra'!$G$7:$G$42,'Budget ed extra'!$J$7:$J$42,$A274,'Budget ed extra'!$H$7:$H$42,K$6))</f>
        <v>0</v>
      </c>
      <c r="AC274">
        <f>IF(L$6="",0,SUMIFS('Budget ed extra'!$G$7:$G$42,'Budget ed extra'!$J$7:$J$42,$A274,'Budget ed extra'!$H$7:$H$42,L$6))</f>
        <v>0</v>
      </c>
      <c r="AD274">
        <f>IF(M$6="",0,SUMIFS('Budget ed extra'!$G$7:$G$42,'Budget ed extra'!$J$7:$J$42,$A274,'Budget ed extra'!$H$7:$H$42,M$6))</f>
        <v>0</v>
      </c>
      <c r="AE274">
        <f>IF(N$6="",0,SUMIFS('Budget ed extra'!$G$7:$G$42,'Budget ed extra'!$J$7:$J$42,$A274,'Budget ed extra'!$H$7:$H$42,N$6))</f>
        <v>0</v>
      </c>
    </row>
    <row r="275">
      <c r="A275" t="n">
        <v>245</v>
      </c>
      <c r="B275">
        <f>DATE($B$2,$B$3+A275-1,1)</f>
        <v>53752.0</v>
      </c>
      <c r="C275">
        <f>IF(D275=0,N(Impostazioni!$B$6),SUMIFS('Budget ed extra'!$B$7:$B$18,'Budget ed extra'!$D$7:$D$18,D275)/COUNTIFS('Budget ed extra'!$D$7:$D$18,D275))</f>
        <v>900</v>
      </c>
      <c r="D275">
        <f>SUMPRODUCT(MAX(('Budget ed extra'!$D$7:$D$18&lt;=A275)*'Budget ed extra'!$D$7:$D$18))</f>
        <v>9</v>
      </c>
      <c r="E275">
        <f>SUMIFS('Budget ed extra'!$G$7:$G$42,'Budget ed extra'!$J$7:$J$42,A275)</f>
        <v>0</v>
      </c>
      <c r="F275">
        <f>SUM(T275:AE275)</f>
        <v>0</v>
      </c>
      <c r="G275">
        <f>MAX(0,E275-F275)</f>
        <v>0</v>
      </c>
      <c r="H275">
        <f>IF($A275&gt;=C$10,C$11,C$9)/12</f>
        <v>0.01575</v>
      </c>
      <c r="I275">
        <f>IF($A275&gt;=D$10,D$11,D$9)/12</f>
        <v>0.01825</v>
      </c>
      <c r="J275">
        <f>IF($A275&gt;=E$10,E$11,E$9)/12</f>
        <v>0.00766666666666667</v>
      </c>
      <c r="K275">
        <f>IF($A275&gt;=F$10,F$11,F$9)/12</f>
        <v>0.00533333333333333</v>
      </c>
      <c r="L275">
        <f>IF($A275&gt;=G$10,G$11,G$9)/12</f>
        <v>0</v>
      </c>
      <c r="M275">
        <f>IF($A275&gt;=H$10,H$11,H$9)/12</f>
        <v>0</v>
      </c>
      <c r="N275">
        <f>IF($A275&gt;=I$10,I$11,I$9)/12</f>
        <v>0</v>
      </c>
      <c r="O275">
        <f>IF($A275&gt;=J$10,J$11,J$9)/12</f>
        <v>0</v>
      </c>
      <c r="P275">
        <f>IF($A275&gt;=K$10,K$11,K$9)/12</f>
        <v>0</v>
      </c>
      <c r="Q275">
        <f>IF($A275&gt;=L$10,L$11,L$9)/12</f>
        <v>0</v>
      </c>
      <c r="R275">
        <f>IF($A275&gt;=M$10,M$11,M$9)/12</f>
        <v>0</v>
      </c>
      <c r="S275">
        <f>IF($A275&gt;=N$10,N$11,N$9)/12</f>
        <v>0</v>
      </c>
      <c r="T275">
        <f>IF(C$6="",0,SUMIFS('Budget ed extra'!$G$7:$G$42,'Budget ed extra'!$J$7:$J$42,$A275,'Budget ed extra'!$H$7:$H$42,C$6))</f>
        <v>0</v>
      </c>
      <c r="U275">
        <f>IF(D$6="",0,SUMIFS('Budget ed extra'!$G$7:$G$42,'Budget ed extra'!$J$7:$J$42,$A275,'Budget ed extra'!$H$7:$H$42,D$6))</f>
        <v>0</v>
      </c>
      <c r="V275">
        <f>IF(E$6="",0,SUMIFS('Budget ed extra'!$G$7:$G$42,'Budget ed extra'!$J$7:$J$42,$A275,'Budget ed extra'!$H$7:$H$42,E$6))</f>
        <v>0</v>
      </c>
      <c r="W275">
        <f>IF(F$6="",0,SUMIFS('Budget ed extra'!$G$7:$G$42,'Budget ed extra'!$J$7:$J$42,$A275,'Budget ed extra'!$H$7:$H$42,F$6))</f>
        <v>0</v>
      </c>
      <c r="X275">
        <f>IF(G$6="",0,SUMIFS('Budget ed extra'!$G$7:$G$42,'Budget ed extra'!$J$7:$J$42,$A275,'Budget ed extra'!$H$7:$H$42,G$6))</f>
        <v>0</v>
      </c>
      <c r="Y275">
        <f>IF(H$6="",0,SUMIFS('Budget ed extra'!$G$7:$G$42,'Budget ed extra'!$J$7:$J$42,$A275,'Budget ed extra'!$H$7:$H$42,H$6))</f>
        <v>0</v>
      </c>
      <c r="Z275">
        <f>IF(I$6="",0,SUMIFS('Budget ed extra'!$G$7:$G$42,'Budget ed extra'!$J$7:$J$42,$A275,'Budget ed extra'!$H$7:$H$42,I$6))</f>
        <v>0</v>
      </c>
      <c r="AA275">
        <f>IF(J$6="",0,SUMIFS('Budget ed extra'!$G$7:$G$42,'Budget ed extra'!$J$7:$J$42,$A275,'Budget ed extra'!$H$7:$H$42,J$6))</f>
        <v>0</v>
      </c>
      <c r="AB275">
        <f>IF(K$6="",0,SUMIFS('Budget ed extra'!$G$7:$G$42,'Budget ed extra'!$J$7:$J$42,$A275,'Budget ed extra'!$H$7:$H$42,K$6))</f>
        <v>0</v>
      </c>
      <c r="AC275">
        <f>IF(L$6="",0,SUMIFS('Budget ed extra'!$G$7:$G$42,'Budget ed extra'!$J$7:$J$42,$A275,'Budget ed extra'!$H$7:$H$42,L$6))</f>
        <v>0</v>
      </c>
      <c r="AD275">
        <f>IF(M$6="",0,SUMIFS('Budget ed extra'!$G$7:$G$42,'Budget ed extra'!$J$7:$J$42,$A275,'Budget ed extra'!$H$7:$H$42,M$6))</f>
        <v>0</v>
      </c>
      <c r="AE275">
        <f>IF(N$6="",0,SUMIFS('Budget ed extra'!$G$7:$G$42,'Budget ed extra'!$J$7:$J$42,$A275,'Budget ed extra'!$H$7:$H$42,N$6))</f>
        <v>0</v>
      </c>
    </row>
    <row r="276">
      <c r="A276" t="n">
        <v>246</v>
      </c>
      <c r="B276">
        <f>DATE($B$2,$B$3+A276-1,1)</f>
        <v>53783.0</v>
      </c>
      <c r="C276">
        <f>IF(D276=0,N(Impostazioni!$B$6),SUMIFS('Budget ed extra'!$B$7:$B$18,'Budget ed extra'!$D$7:$D$18,D276)/COUNTIFS('Budget ed extra'!$D$7:$D$18,D276))</f>
        <v>900</v>
      </c>
      <c r="D276">
        <f>SUMPRODUCT(MAX(('Budget ed extra'!$D$7:$D$18&lt;=A276)*'Budget ed extra'!$D$7:$D$18))</f>
        <v>9</v>
      </c>
      <c r="E276">
        <f>SUMIFS('Budget ed extra'!$G$7:$G$42,'Budget ed extra'!$J$7:$J$42,A276)</f>
        <v>0</v>
      </c>
      <c r="F276">
        <f>SUM(T276:AE276)</f>
        <v>0</v>
      </c>
      <c r="G276">
        <f>MAX(0,E276-F276)</f>
        <v>0</v>
      </c>
      <c r="H276">
        <f>IF($A276&gt;=C$10,C$11,C$9)/12</f>
        <v>0.01575</v>
      </c>
      <c r="I276">
        <f>IF($A276&gt;=D$10,D$11,D$9)/12</f>
        <v>0.01825</v>
      </c>
      <c r="J276">
        <f>IF($A276&gt;=E$10,E$11,E$9)/12</f>
        <v>0.00766666666666667</v>
      </c>
      <c r="K276">
        <f>IF($A276&gt;=F$10,F$11,F$9)/12</f>
        <v>0.00533333333333333</v>
      </c>
      <c r="L276">
        <f>IF($A276&gt;=G$10,G$11,G$9)/12</f>
        <v>0</v>
      </c>
      <c r="M276">
        <f>IF($A276&gt;=H$10,H$11,H$9)/12</f>
        <v>0</v>
      </c>
      <c r="N276">
        <f>IF($A276&gt;=I$10,I$11,I$9)/12</f>
        <v>0</v>
      </c>
      <c r="O276">
        <f>IF($A276&gt;=J$10,J$11,J$9)/12</f>
        <v>0</v>
      </c>
      <c r="P276">
        <f>IF($A276&gt;=K$10,K$11,K$9)/12</f>
        <v>0</v>
      </c>
      <c r="Q276">
        <f>IF($A276&gt;=L$10,L$11,L$9)/12</f>
        <v>0</v>
      </c>
      <c r="R276">
        <f>IF($A276&gt;=M$10,M$11,M$9)/12</f>
        <v>0</v>
      </c>
      <c r="S276">
        <f>IF($A276&gt;=N$10,N$11,N$9)/12</f>
        <v>0</v>
      </c>
      <c r="T276">
        <f>IF(C$6="",0,SUMIFS('Budget ed extra'!$G$7:$G$42,'Budget ed extra'!$J$7:$J$42,$A276,'Budget ed extra'!$H$7:$H$42,C$6))</f>
        <v>0</v>
      </c>
      <c r="U276">
        <f>IF(D$6="",0,SUMIFS('Budget ed extra'!$G$7:$G$42,'Budget ed extra'!$J$7:$J$42,$A276,'Budget ed extra'!$H$7:$H$42,D$6))</f>
        <v>0</v>
      </c>
      <c r="V276">
        <f>IF(E$6="",0,SUMIFS('Budget ed extra'!$G$7:$G$42,'Budget ed extra'!$J$7:$J$42,$A276,'Budget ed extra'!$H$7:$H$42,E$6))</f>
        <v>0</v>
      </c>
      <c r="W276">
        <f>IF(F$6="",0,SUMIFS('Budget ed extra'!$G$7:$G$42,'Budget ed extra'!$J$7:$J$42,$A276,'Budget ed extra'!$H$7:$H$42,F$6))</f>
        <v>0</v>
      </c>
      <c r="X276">
        <f>IF(G$6="",0,SUMIFS('Budget ed extra'!$G$7:$G$42,'Budget ed extra'!$J$7:$J$42,$A276,'Budget ed extra'!$H$7:$H$42,G$6))</f>
        <v>0</v>
      </c>
      <c r="Y276">
        <f>IF(H$6="",0,SUMIFS('Budget ed extra'!$G$7:$G$42,'Budget ed extra'!$J$7:$J$42,$A276,'Budget ed extra'!$H$7:$H$42,H$6))</f>
        <v>0</v>
      </c>
      <c r="Z276">
        <f>IF(I$6="",0,SUMIFS('Budget ed extra'!$G$7:$G$42,'Budget ed extra'!$J$7:$J$42,$A276,'Budget ed extra'!$H$7:$H$42,I$6))</f>
        <v>0</v>
      </c>
      <c r="AA276">
        <f>IF(J$6="",0,SUMIFS('Budget ed extra'!$G$7:$G$42,'Budget ed extra'!$J$7:$J$42,$A276,'Budget ed extra'!$H$7:$H$42,J$6))</f>
        <v>0</v>
      </c>
      <c r="AB276">
        <f>IF(K$6="",0,SUMIFS('Budget ed extra'!$G$7:$G$42,'Budget ed extra'!$J$7:$J$42,$A276,'Budget ed extra'!$H$7:$H$42,K$6))</f>
        <v>0</v>
      </c>
      <c r="AC276">
        <f>IF(L$6="",0,SUMIFS('Budget ed extra'!$G$7:$G$42,'Budget ed extra'!$J$7:$J$42,$A276,'Budget ed extra'!$H$7:$H$42,L$6))</f>
        <v>0</v>
      </c>
      <c r="AD276">
        <f>IF(M$6="",0,SUMIFS('Budget ed extra'!$G$7:$G$42,'Budget ed extra'!$J$7:$J$42,$A276,'Budget ed extra'!$H$7:$H$42,M$6))</f>
        <v>0</v>
      </c>
      <c r="AE276">
        <f>IF(N$6="",0,SUMIFS('Budget ed extra'!$G$7:$G$42,'Budget ed extra'!$J$7:$J$42,$A276,'Budget ed extra'!$H$7:$H$42,N$6))</f>
        <v>0</v>
      </c>
    </row>
    <row r="277">
      <c r="A277" t="n">
        <v>247</v>
      </c>
      <c r="B277">
        <f>DATE($B$2,$B$3+A277-1,1)</f>
        <v>53813.0</v>
      </c>
      <c r="C277">
        <f>IF(D277=0,N(Impostazioni!$B$6),SUMIFS('Budget ed extra'!$B$7:$B$18,'Budget ed extra'!$D$7:$D$18,D277)/COUNTIFS('Budget ed extra'!$D$7:$D$18,D277))</f>
        <v>900</v>
      </c>
      <c r="D277">
        <f>SUMPRODUCT(MAX(('Budget ed extra'!$D$7:$D$18&lt;=A277)*'Budget ed extra'!$D$7:$D$18))</f>
        <v>9</v>
      </c>
      <c r="E277">
        <f>SUMIFS('Budget ed extra'!$G$7:$G$42,'Budget ed extra'!$J$7:$J$42,A277)</f>
        <v>0</v>
      </c>
      <c r="F277">
        <f>SUM(T277:AE277)</f>
        <v>0</v>
      </c>
      <c r="G277">
        <f>MAX(0,E277-F277)</f>
        <v>0</v>
      </c>
      <c r="H277">
        <f>IF($A277&gt;=C$10,C$11,C$9)/12</f>
        <v>0.01575</v>
      </c>
      <c r="I277">
        <f>IF($A277&gt;=D$10,D$11,D$9)/12</f>
        <v>0.01825</v>
      </c>
      <c r="J277">
        <f>IF($A277&gt;=E$10,E$11,E$9)/12</f>
        <v>0.00766666666666667</v>
      </c>
      <c r="K277">
        <f>IF($A277&gt;=F$10,F$11,F$9)/12</f>
        <v>0.00533333333333333</v>
      </c>
      <c r="L277">
        <f>IF($A277&gt;=G$10,G$11,G$9)/12</f>
        <v>0</v>
      </c>
      <c r="M277">
        <f>IF($A277&gt;=H$10,H$11,H$9)/12</f>
        <v>0</v>
      </c>
      <c r="N277">
        <f>IF($A277&gt;=I$10,I$11,I$9)/12</f>
        <v>0</v>
      </c>
      <c r="O277">
        <f>IF($A277&gt;=J$10,J$11,J$9)/12</f>
        <v>0</v>
      </c>
      <c r="P277">
        <f>IF($A277&gt;=K$10,K$11,K$9)/12</f>
        <v>0</v>
      </c>
      <c r="Q277">
        <f>IF($A277&gt;=L$10,L$11,L$9)/12</f>
        <v>0</v>
      </c>
      <c r="R277">
        <f>IF($A277&gt;=M$10,M$11,M$9)/12</f>
        <v>0</v>
      </c>
      <c r="S277">
        <f>IF($A277&gt;=N$10,N$11,N$9)/12</f>
        <v>0</v>
      </c>
      <c r="T277">
        <f>IF(C$6="",0,SUMIFS('Budget ed extra'!$G$7:$G$42,'Budget ed extra'!$J$7:$J$42,$A277,'Budget ed extra'!$H$7:$H$42,C$6))</f>
        <v>0</v>
      </c>
      <c r="U277">
        <f>IF(D$6="",0,SUMIFS('Budget ed extra'!$G$7:$G$42,'Budget ed extra'!$J$7:$J$42,$A277,'Budget ed extra'!$H$7:$H$42,D$6))</f>
        <v>0</v>
      </c>
      <c r="V277">
        <f>IF(E$6="",0,SUMIFS('Budget ed extra'!$G$7:$G$42,'Budget ed extra'!$J$7:$J$42,$A277,'Budget ed extra'!$H$7:$H$42,E$6))</f>
        <v>0</v>
      </c>
      <c r="W277">
        <f>IF(F$6="",0,SUMIFS('Budget ed extra'!$G$7:$G$42,'Budget ed extra'!$J$7:$J$42,$A277,'Budget ed extra'!$H$7:$H$42,F$6))</f>
        <v>0</v>
      </c>
      <c r="X277">
        <f>IF(G$6="",0,SUMIFS('Budget ed extra'!$G$7:$G$42,'Budget ed extra'!$J$7:$J$42,$A277,'Budget ed extra'!$H$7:$H$42,G$6))</f>
        <v>0</v>
      </c>
      <c r="Y277">
        <f>IF(H$6="",0,SUMIFS('Budget ed extra'!$G$7:$G$42,'Budget ed extra'!$J$7:$J$42,$A277,'Budget ed extra'!$H$7:$H$42,H$6))</f>
        <v>0</v>
      </c>
      <c r="Z277">
        <f>IF(I$6="",0,SUMIFS('Budget ed extra'!$G$7:$G$42,'Budget ed extra'!$J$7:$J$42,$A277,'Budget ed extra'!$H$7:$H$42,I$6))</f>
        <v>0</v>
      </c>
      <c r="AA277">
        <f>IF(J$6="",0,SUMIFS('Budget ed extra'!$G$7:$G$42,'Budget ed extra'!$J$7:$J$42,$A277,'Budget ed extra'!$H$7:$H$42,J$6))</f>
        <v>0</v>
      </c>
      <c r="AB277">
        <f>IF(K$6="",0,SUMIFS('Budget ed extra'!$G$7:$G$42,'Budget ed extra'!$J$7:$J$42,$A277,'Budget ed extra'!$H$7:$H$42,K$6))</f>
        <v>0</v>
      </c>
      <c r="AC277">
        <f>IF(L$6="",0,SUMIFS('Budget ed extra'!$G$7:$G$42,'Budget ed extra'!$J$7:$J$42,$A277,'Budget ed extra'!$H$7:$H$42,L$6))</f>
        <v>0</v>
      </c>
      <c r="AD277">
        <f>IF(M$6="",0,SUMIFS('Budget ed extra'!$G$7:$G$42,'Budget ed extra'!$J$7:$J$42,$A277,'Budget ed extra'!$H$7:$H$42,M$6))</f>
        <v>0</v>
      </c>
      <c r="AE277">
        <f>IF(N$6="",0,SUMIFS('Budget ed extra'!$G$7:$G$42,'Budget ed extra'!$J$7:$J$42,$A277,'Budget ed extra'!$H$7:$H$42,N$6))</f>
        <v>0</v>
      </c>
    </row>
    <row r="278">
      <c r="A278" t="n">
        <v>248</v>
      </c>
      <c r="B278">
        <f>DATE($B$2,$B$3+A278-1,1)</f>
        <v>53844.0</v>
      </c>
      <c r="C278">
        <f>IF(D278=0,N(Impostazioni!$B$6),SUMIFS('Budget ed extra'!$B$7:$B$18,'Budget ed extra'!$D$7:$D$18,D278)/COUNTIFS('Budget ed extra'!$D$7:$D$18,D278))</f>
        <v>900</v>
      </c>
      <c r="D278">
        <f>SUMPRODUCT(MAX(('Budget ed extra'!$D$7:$D$18&lt;=A278)*'Budget ed extra'!$D$7:$D$18))</f>
        <v>9</v>
      </c>
      <c r="E278">
        <f>SUMIFS('Budget ed extra'!$G$7:$G$42,'Budget ed extra'!$J$7:$J$42,A278)</f>
        <v>0</v>
      </c>
      <c r="F278">
        <f>SUM(T278:AE278)</f>
        <v>0</v>
      </c>
      <c r="G278">
        <f>MAX(0,E278-F278)</f>
        <v>0</v>
      </c>
      <c r="H278">
        <f>IF($A278&gt;=C$10,C$11,C$9)/12</f>
        <v>0.01575</v>
      </c>
      <c r="I278">
        <f>IF($A278&gt;=D$10,D$11,D$9)/12</f>
        <v>0.01825</v>
      </c>
      <c r="J278">
        <f>IF($A278&gt;=E$10,E$11,E$9)/12</f>
        <v>0.00766666666666667</v>
      </c>
      <c r="K278">
        <f>IF($A278&gt;=F$10,F$11,F$9)/12</f>
        <v>0.00533333333333333</v>
      </c>
      <c r="L278">
        <f>IF($A278&gt;=G$10,G$11,G$9)/12</f>
        <v>0</v>
      </c>
      <c r="M278">
        <f>IF($A278&gt;=H$10,H$11,H$9)/12</f>
        <v>0</v>
      </c>
      <c r="N278">
        <f>IF($A278&gt;=I$10,I$11,I$9)/12</f>
        <v>0</v>
      </c>
      <c r="O278">
        <f>IF($A278&gt;=J$10,J$11,J$9)/12</f>
        <v>0</v>
      </c>
      <c r="P278">
        <f>IF($A278&gt;=K$10,K$11,K$9)/12</f>
        <v>0</v>
      </c>
      <c r="Q278">
        <f>IF($A278&gt;=L$10,L$11,L$9)/12</f>
        <v>0</v>
      </c>
      <c r="R278">
        <f>IF($A278&gt;=M$10,M$11,M$9)/12</f>
        <v>0</v>
      </c>
      <c r="S278">
        <f>IF($A278&gt;=N$10,N$11,N$9)/12</f>
        <v>0</v>
      </c>
      <c r="T278">
        <f>IF(C$6="",0,SUMIFS('Budget ed extra'!$G$7:$G$42,'Budget ed extra'!$J$7:$J$42,$A278,'Budget ed extra'!$H$7:$H$42,C$6))</f>
        <v>0</v>
      </c>
      <c r="U278">
        <f>IF(D$6="",0,SUMIFS('Budget ed extra'!$G$7:$G$42,'Budget ed extra'!$J$7:$J$42,$A278,'Budget ed extra'!$H$7:$H$42,D$6))</f>
        <v>0</v>
      </c>
      <c r="V278">
        <f>IF(E$6="",0,SUMIFS('Budget ed extra'!$G$7:$G$42,'Budget ed extra'!$J$7:$J$42,$A278,'Budget ed extra'!$H$7:$H$42,E$6))</f>
        <v>0</v>
      </c>
      <c r="W278">
        <f>IF(F$6="",0,SUMIFS('Budget ed extra'!$G$7:$G$42,'Budget ed extra'!$J$7:$J$42,$A278,'Budget ed extra'!$H$7:$H$42,F$6))</f>
        <v>0</v>
      </c>
      <c r="X278">
        <f>IF(G$6="",0,SUMIFS('Budget ed extra'!$G$7:$G$42,'Budget ed extra'!$J$7:$J$42,$A278,'Budget ed extra'!$H$7:$H$42,G$6))</f>
        <v>0</v>
      </c>
      <c r="Y278">
        <f>IF(H$6="",0,SUMIFS('Budget ed extra'!$G$7:$G$42,'Budget ed extra'!$J$7:$J$42,$A278,'Budget ed extra'!$H$7:$H$42,H$6))</f>
        <v>0</v>
      </c>
      <c r="Z278">
        <f>IF(I$6="",0,SUMIFS('Budget ed extra'!$G$7:$G$42,'Budget ed extra'!$J$7:$J$42,$A278,'Budget ed extra'!$H$7:$H$42,I$6))</f>
        <v>0</v>
      </c>
      <c r="AA278">
        <f>IF(J$6="",0,SUMIFS('Budget ed extra'!$G$7:$G$42,'Budget ed extra'!$J$7:$J$42,$A278,'Budget ed extra'!$H$7:$H$42,J$6))</f>
        <v>0</v>
      </c>
      <c r="AB278">
        <f>IF(K$6="",0,SUMIFS('Budget ed extra'!$G$7:$G$42,'Budget ed extra'!$J$7:$J$42,$A278,'Budget ed extra'!$H$7:$H$42,K$6))</f>
        <v>0</v>
      </c>
      <c r="AC278">
        <f>IF(L$6="",0,SUMIFS('Budget ed extra'!$G$7:$G$42,'Budget ed extra'!$J$7:$J$42,$A278,'Budget ed extra'!$H$7:$H$42,L$6))</f>
        <v>0</v>
      </c>
      <c r="AD278">
        <f>IF(M$6="",0,SUMIFS('Budget ed extra'!$G$7:$G$42,'Budget ed extra'!$J$7:$J$42,$A278,'Budget ed extra'!$H$7:$H$42,M$6))</f>
        <v>0</v>
      </c>
      <c r="AE278">
        <f>IF(N$6="",0,SUMIFS('Budget ed extra'!$G$7:$G$42,'Budget ed extra'!$J$7:$J$42,$A278,'Budget ed extra'!$H$7:$H$42,N$6))</f>
        <v>0</v>
      </c>
    </row>
    <row r="279">
      <c r="A279" t="n">
        <v>249</v>
      </c>
      <c r="B279">
        <f>DATE($B$2,$B$3+A279-1,1)</f>
        <v>53874.0</v>
      </c>
      <c r="C279">
        <f>IF(D279=0,N(Impostazioni!$B$6),SUMIFS('Budget ed extra'!$B$7:$B$18,'Budget ed extra'!$D$7:$D$18,D279)/COUNTIFS('Budget ed extra'!$D$7:$D$18,D279))</f>
        <v>900</v>
      </c>
      <c r="D279">
        <f>SUMPRODUCT(MAX(('Budget ed extra'!$D$7:$D$18&lt;=A279)*'Budget ed extra'!$D$7:$D$18))</f>
        <v>9</v>
      </c>
      <c r="E279">
        <f>SUMIFS('Budget ed extra'!$G$7:$G$42,'Budget ed extra'!$J$7:$J$42,A279)</f>
        <v>0</v>
      </c>
      <c r="F279">
        <f>SUM(T279:AE279)</f>
        <v>0</v>
      </c>
      <c r="G279">
        <f>MAX(0,E279-F279)</f>
        <v>0</v>
      </c>
      <c r="H279">
        <f>IF($A279&gt;=C$10,C$11,C$9)/12</f>
        <v>0.01575</v>
      </c>
      <c r="I279">
        <f>IF($A279&gt;=D$10,D$11,D$9)/12</f>
        <v>0.01825</v>
      </c>
      <c r="J279">
        <f>IF($A279&gt;=E$10,E$11,E$9)/12</f>
        <v>0.00766666666666667</v>
      </c>
      <c r="K279">
        <f>IF($A279&gt;=F$10,F$11,F$9)/12</f>
        <v>0.00533333333333333</v>
      </c>
      <c r="L279">
        <f>IF($A279&gt;=G$10,G$11,G$9)/12</f>
        <v>0</v>
      </c>
      <c r="M279">
        <f>IF($A279&gt;=H$10,H$11,H$9)/12</f>
        <v>0</v>
      </c>
      <c r="N279">
        <f>IF($A279&gt;=I$10,I$11,I$9)/12</f>
        <v>0</v>
      </c>
      <c r="O279">
        <f>IF($A279&gt;=J$10,J$11,J$9)/12</f>
        <v>0</v>
      </c>
      <c r="P279">
        <f>IF($A279&gt;=K$10,K$11,K$9)/12</f>
        <v>0</v>
      </c>
      <c r="Q279">
        <f>IF($A279&gt;=L$10,L$11,L$9)/12</f>
        <v>0</v>
      </c>
      <c r="R279">
        <f>IF($A279&gt;=M$10,M$11,M$9)/12</f>
        <v>0</v>
      </c>
      <c r="S279">
        <f>IF($A279&gt;=N$10,N$11,N$9)/12</f>
        <v>0</v>
      </c>
      <c r="T279">
        <f>IF(C$6="",0,SUMIFS('Budget ed extra'!$G$7:$G$42,'Budget ed extra'!$J$7:$J$42,$A279,'Budget ed extra'!$H$7:$H$42,C$6))</f>
        <v>0</v>
      </c>
      <c r="U279">
        <f>IF(D$6="",0,SUMIFS('Budget ed extra'!$G$7:$G$42,'Budget ed extra'!$J$7:$J$42,$A279,'Budget ed extra'!$H$7:$H$42,D$6))</f>
        <v>0</v>
      </c>
      <c r="V279">
        <f>IF(E$6="",0,SUMIFS('Budget ed extra'!$G$7:$G$42,'Budget ed extra'!$J$7:$J$42,$A279,'Budget ed extra'!$H$7:$H$42,E$6))</f>
        <v>0</v>
      </c>
      <c r="W279">
        <f>IF(F$6="",0,SUMIFS('Budget ed extra'!$G$7:$G$42,'Budget ed extra'!$J$7:$J$42,$A279,'Budget ed extra'!$H$7:$H$42,F$6))</f>
        <v>0</v>
      </c>
      <c r="X279">
        <f>IF(G$6="",0,SUMIFS('Budget ed extra'!$G$7:$G$42,'Budget ed extra'!$J$7:$J$42,$A279,'Budget ed extra'!$H$7:$H$42,G$6))</f>
        <v>0</v>
      </c>
      <c r="Y279">
        <f>IF(H$6="",0,SUMIFS('Budget ed extra'!$G$7:$G$42,'Budget ed extra'!$J$7:$J$42,$A279,'Budget ed extra'!$H$7:$H$42,H$6))</f>
        <v>0</v>
      </c>
      <c r="Z279">
        <f>IF(I$6="",0,SUMIFS('Budget ed extra'!$G$7:$G$42,'Budget ed extra'!$J$7:$J$42,$A279,'Budget ed extra'!$H$7:$H$42,I$6))</f>
        <v>0</v>
      </c>
      <c r="AA279">
        <f>IF(J$6="",0,SUMIFS('Budget ed extra'!$G$7:$G$42,'Budget ed extra'!$J$7:$J$42,$A279,'Budget ed extra'!$H$7:$H$42,J$6))</f>
        <v>0</v>
      </c>
      <c r="AB279">
        <f>IF(K$6="",0,SUMIFS('Budget ed extra'!$G$7:$G$42,'Budget ed extra'!$J$7:$J$42,$A279,'Budget ed extra'!$H$7:$H$42,K$6))</f>
        <v>0</v>
      </c>
      <c r="AC279">
        <f>IF(L$6="",0,SUMIFS('Budget ed extra'!$G$7:$G$42,'Budget ed extra'!$J$7:$J$42,$A279,'Budget ed extra'!$H$7:$H$42,L$6))</f>
        <v>0</v>
      </c>
      <c r="AD279">
        <f>IF(M$6="",0,SUMIFS('Budget ed extra'!$G$7:$G$42,'Budget ed extra'!$J$7:$J$42,$A279,'Budget ed extra'!$H$7:$H$42,M$6))</f>
        <v>0</v>
      </c>
      <c r="AE279">
        <f>IF(N$6="",0,SUMIFS('Budget ed extra'!$G$7:$G$42,'Budget ed extra'!$J$7:$J$42,$A279,'Budget ed extra'!$H$7:$H$42,N$6))</f>
        <v>0</v>
      </c>
    </row>
    <row r="280">
      <c r="A280" t="n">
        <v>250</v>
      </c>
      <c r="B280">
        <f>DATE($B$2,$B$3+A280-1,1)</f>
        <v>53905.0</v>
      </c>
      <c r="C280">
        <f>IF(D280=0,N(Impostazioni!$B$6),SUMIFS('Budget ed extra'!$B$7:$B$18,'Budget ed extra'!$D$7:$D$18,D280)/COUNTIFS('Budget ed extra'!$D$7:$D$18,D280))</f>
        <v>900</v>
      </c>
      <c r="D280">
        <f>SUMPRODUCT(MAX(('Budget ed extra'!$D$7:$D$18&lt;=A280)*'Budget ed extra'!$D$7:$D$18))</f>
        <v>9</v>
      </c>
      <c r="E280">
        <f>SUMIFS('Budget ed extra'!$G$7:$G$42,'Budget ed extra'!$J$7:$J$42,A280)</f>
        <v>0</v>
      </c>
      <c r="F280">
        <f>SUM(T280:AE280)</f>
        <v>0</v>
      </c>
      <c r="G280">
        <f>MAX(0,E280-F280)</f>
        <v>0</v>
      </c>
      <c r="H280">
        <f>IF($A280&gt;=C$10,C$11,C$9)/12</f>
        <v>0.01575</v>
      </c>
      <c r="I280">
        <f>IF($A280&gt;=D$10,D$11,D$9)/12</f>
        <v>0.01825</v>
      </c>
      <c r="J280">
        <f>IF($A280&gt;=E$10,E$11,E$9)/12</f>
        <v>0.00766666666666667</v>
      </c>
      <c r="K280">
        <f>IF($A280&gt;=F$10,F$11,F$9)/12</f>
        <v>0.00533333333333333</v>
      </c>
      <c r="L280">
        <f>IF($A280&gt;=G$10,G$11,G$9)/12</f>
        <v>0</v>
      </c>
      <c r="M280">
        <f>IF($A280&gt;=H$10,H$11,H$9)/12</f>
        <v>0</v>
      </c>
      <c r="N280">
        <f>IF($A280&gt;=I$10,I$11,I$9)/12</f>
        <v>0</v>
      </c>
      <c r="O280">
        <f>IF($A280&gt;=J$10,J$11,J$9)/12</f>
        <v>0</v>
      </c>
      <c r="P280">
        <f>IF($A280&gt;=K$10,K$11,K$9)/12</f>
        <v>0</v>
      </c>
      <c r="Q280">
        <f>IF($A280&gt;=L$10,L$11,L$9)/12</f>
        <v>0</v>
      </c>
      <c r="R280">
        <f>IF($A280&gt;=M$10,M$11,M$9)/12</f>
        <v>0</v>
      </c>
      <c r="S280">
        <f>IF($A280&gt;=N$10,N$11,N$9)/12</f>
        <v>0</v>
      </c>
      <c r="T280">
        <f>IF(C$6="",0,SUMIFS('Budget ed extra'!$G$7:$G$42,'Budget ed extra'!$J$7:$J$42,$A280,'Budget ed extra'!$H$7:$H$42,C$6))</f>
        <v>0</v>
      </c>
      <c r="U280">
        <f>IF(D$6="",0,SUMIFS('Budget ed extra'!$G$7:$G$42,'Budget ed extra'!$J$7:$J$42,$A280,'Budget ed extra'!$H$7:$H$42,D$6))</f>
        <v>0</v>
      </c>
      <c r="V280">
        <f>IF(E$6="",0,SUMIFS('Budget ed extra'!$G$7:$G$42,'Budget ed extra'!$J$7:$J$42,$A280,'Budget ed extra'!$H$7:$H$42,E$6))</f>
        <v>0</v>
      </c>
      <c r="W280">
        <f>IF(F$6="",0,SUMIFS('Budget ed extra'!$G$7:$G$42,'Budget ed extra'!$J$7:$J$42,$A280,'Budget ed extra'!$H$7:$H$42,F$6))</f>
        <v>0</v>
      </c>
      <c r="X280">
        <f>IF(G$6="",0,SUMIFS('Budget ed extra'!$G$7:$G$42,'Budget ed extra'!$J$7:$J$42,$A280,'Budget ed extra'!$H$7:$H$42,G$6))</f>
        <v>0</v>
      </c>
      <c r="Y280">
        <f>IF(H$6="",0,SUMIFS('Budget ed extra'!$G$7:$G$42,'Budget ed extra'!$J$7:$J$42,$A280,'Budget ed extra'!$H$7:$H$42,H$6))</f>
        <v>0</v>
      </c>
      <c r="Z280">
        <f>IF(I$6="",0,SUMIFS('Budget ed extra'!$G$7:$G$42,'Budget ed extra'!$J$7:$J$42,$A280,'Budget ed extra'!$H$7:$H$42,I$6))</f>
        <v>0</v>
      </c>
      <c r="AA280">
        <f>IF(J$6="",0,SUMIFS('Budget ed extra'!$G$7:$G$42,'Budget ed extra'!$J$7:$J$42,$A280,'Budget ed extra'!$H$7:$H$42,J$6))</f>
        <v>0</v>
      </c>
      <c r="AB280">
        <f>IF(K$6="",0,SUMIFS('Budget ed extra'!$G$7:$G$42,'Budget ed extra'!$J$7:$J$42,$A280,'Budget ed extra'!$H$7:$H$42,K$6))</f>
        <v>0</v>
      </c>
      <c r="AC280">
        <f>IF(L$6="",0,SUMIFS('Budget ed extra'!$G$7:$G$42,'Budget ed extra'!$J$7:$J$42,$A280,'Budget ed extra'!$H$7:$H$42,L$6))</f>
        <v>0</v>
      </c>
      <c r="AD280">
        <f>IF(M$6="",0,SUMIFS('Budget ed extra'!$G$7:$G$42,'Budget ed extra'!$J$7:$J$42,$A280,'Budget ed extra'!$H$7:$H$42,M$6))</f>
        <v>0</v>
      </c>
      <c r="AE280">
        <f>IF(N$6="",0,SUMIFS('Budget ed extra'!$G$7:$G$42,'Budget ed extra'!$J$7:$J$42,$A280,'Budget ed extra'!$H$7:$H$42,N$6))</f>
        <v>0</v>
      </c>
    </row>
    <row r="281">
      <c r="A281" t="n">
        <v>251</v>
      </c>
      <c r="B281">
        <f>DATE($B$2,$B$3+A281-1,1)</f>
        <v>53936.0</v>
      </c>
      <c r="C281">
        <f>IF(D281=0,N(Impostazioni!$B$6),SUMIFS('Budget ed extra'!$B$7:$B$18,'Budget ed extra'!$D$7:$D$18,D281)/COUNTIFS('Budget ed extra'!$D$7:$D$18,D281))</f>
        <v>900</v>
      </c>
      <c r="D281">
        <f>SUMPRODUCT(MAX(('Budget ed extra'!$D$7:$D$18&lt;=A281)*'Budget ed extra'!$D$7:$D$18))</f>
        <v>9</v>
      </c>
      <c r="E281">
        <f>SUMIFS('Budget ed extra'!$G$7:$G$42,'Budget ed extra'!$J$7:$J$42,A281)</f>
        <v>0</v>
      </c>
      <c r="F281">
        <f>SUM(T281:AE281)</f>
        <v>0</v>
      </c>
      <c r="G281">
        <f>MAX(0,E281-F281)</f>
        <v>0</v>
      </c>
      <c r="H281">
        <f>IF($A281&gt;=C$10,C$11,C$9)/12</f>
        <v>0.01575</v>
      </c>
      <c r="I281">
        <f>IF($A281&gt;=D$10,D$11,D$9)/12</f>
        <v>0.01825</v>
      </c>
      <c r="J281">
        <f>IF($A281&gt;=E$10,E$11,E$9)/12</f>
        <v>0.00766666666666667</v>
      </c>
      <c r="K281">
        <f>IF($A281&gt;=F$10,F$11,F$9)/12</f>
        <v>0.00533333333333333</v>
      </c>
      <c r="L281">
        <f>IF($A281&gt;=G$10,G$11,G$9)/12</f>
        <v>0</v>
      </c>
      <c r="M281">
        <f>IF($A281&gt;=H$10,H$11,H$9)/12</f>
        <v>0</v>
      </c>
      <c r="N281">
        <f>IF($A281&gt;=I$10,I$11,I$9)/12</f>
        <v>0</v>
      </c>
      <c r="O281">
        <f>IF($A281&gt;=J$10,J$11,J$9)/12</f>
        <v>0</v>
      </c>
      <c r="P281">
        <f>IF($A281&gt;=K$10,K$11,K$9)/12</f>
        <v>0</v>
      </c>
      <c r="Q281">
        <f>IF($A281&gt;=L$10,L$11,L$9)/12</f>
        <v>0</v>
      </c>
      <c r="R281">
        <f>IF($A281&gt;=M$10,M$11,M$9)/12</f>
        <v>0</v>
      </c>
      <c r="S281">
        <f>IF($A281&gt;=N$10,N$11,N$9)/12</f>
        <v>0</v>
      </c>
      <c r="T281">
        <f>IF(C$6="",0,SUMIFS('Budget ed extra'!$G$7:$G$42,'Budget ed extra'!$J$7:$J$42,$A281,'Budget ed extra'!$H$7:$H$42,C$6))</f>
        <v>0</v>
      </c>
      <c r="U281">
        <f>IF(D$6="",0,SUMIFS('Budget ed extra'!$G$7:$G$42,'Budget ed extra'!$J$7:$J$42,$A281,'Budget ed extra'!$H$7:$H$42,D$6))</f>
        <v>0</v>
      </c>
      <c r="V281">
        <f>IF(E$6="",0,SUMIFS('Budget ed extra'!$G$7:$G$42,'Budget ed extra'!$J$7:$J$42,$A281,'Budget ed extra'!$H$7:$H$42,E$6))</f>
        <v>0</v>
      </c>
      <c r="W281">
        <f>IF(F$6="",0,SUMIFS('Budget ed extra'!$G$7:$G$42,'Budget ed extra'!$J$7:$J$42,$A281,'Budget ed extra'!$H$7:$H$42,F$6))</f>
        <v>0</v>
      </c>
      <c r="X281">
        <f>IF(G$6="",0,SUMIFS('Budget ed extra'!$G$7:$G$42,'Budget ed extra'!$J$7:$J$42,$A281,'Budget ed extra'!$H$7:$H$42,G$6))</f>
        <v>0</v>
      </c>
      <c r="Y281">
        <f>IF(H$6="",0,SUMIFS('Budget ed extra'!$G$7:$G$42,'Budget ed extra'!$J$7:$J$42,$A281,'Budget ed extra'!$H$7:$H$42,H$6))</f>
        <v>0</v>
      </c>
      <c r="Z281">
        <f>IF(I$6="",0,SUMIFS('Budget ed extra'!$G$7:$G$42,'Budget ed extra'!$J$7:$J$42,$A281,'Budget ed extra'!$H$7:$H$42,I$6))</f>
        <v>0</v>
      </c>
      <c r="AA281">
        <f>IF(J$6="",0,SUMIFS('Budget ed extra'!$G$7:$G$42,'Budget ed extra'!$J$7:$J$42,$A281,'Budget ed extra'!$H$7:$H$42,J$6))</f>
        <v>0</v>
      </c>
      <c r="AB281">
        <f>IF(K$6="",0,SUMIFS('Budget ed extra'!$G$7:$G$42,'Budget ed extra'!$J$7:$J$42,$A281,'Budget ed extra'!$H$7:$H$42,K$6))</f>
        <v>0</v>
      </c>
      <c r="AC281">
        <f>IF(L$6="",0,SUMIFS('Budget ed extra'!$G$7:$G$42,'Budget ed extra'!$J$7:$J$42,$A281,'Budget ed extra'!$H$7:$H$42,L$6))</f>
        <v>0</v>
      </c>
      <c r="AD281">
        <f>IF(M$6="",0,SUMIFS('Budget ed extra'!$G$7:$G$42,'Budget ed extra'!$J$7:$J$42,$A281,'Budget ed extra'!$H$7:$H$42,M$6))</f>
        <v>0</v>
      </c>
      <c r="AE281">
        <f>IF(N$6="",0,SUMIFS('Budget ed extra'!$G$7:$G$42,'Budget ed extra'!$J$7:$J$42,$A281,'Budget ed extra'!$H$7:$H$42,N$6))</f>
        <v>0</v>
      </c>
    </row>
    <row r="282">
      <c r="A282" t="n">
        <v>252</v>
      </c>
      <c r="B282">
        <f>DATE($B$2,$B$3+A282-1,1)</f>
        <v>53966.0</v>
      </c>
      <c r="C282">
        <f>IF(D282=0,N(Impostazioni!$B$6),SUMIFS('Budget ed extra'!$B$7:$B$18,'Budget ed extra'!$D$7:$D$18,D282)/COUNTIFS('Budget ed extra'!$D$7:$D$18,D282))</f>
        <v>900</v>
      </c>
      <c r="D282">
        <f>SUMPRODUCT(MAX(('Budget ed extra'!$D$7:$D$18&lt;=A282)*'Budget ed extra'!$D$7:$D$18))</f>
        <v>9</v>
      </c>
      <c r="E282">
        <f>SUMIFS('Budget ed extra'!$G$7:$G$42,'Budget ed extra'!$J$7:$J$42,A282)</f>
        <v>0</v>
      </c>
      <c r="F282">
        <f>SUM(T282:AE282)</f>
        <v>0</v>
      </c>
      <c r="G282">
        <f>MAX(0,E282-F282)</f>
        <v>0</v>
      </c>
      <c r="H282">
        <f>IF($A282&gt;=C$10,C$11,C$9)/12</f>
        <v>0.01575</v>
      </c>
      <c r="I282">
        <f>IF($A282&gt;=D$10,D$11,D$9)/12</f>
        <v>0.01825</v>
      </c>
      <c r="J282">
        <f>IF($A282&gt;=E$10,E$11,E$9)/12</f>
        <v>0.00766666666666667</v>
      </c>
      <c r="K282">
        <f>IF($A282&gt;=F$10,F$11,F$9)/12</f>
        <v>0.00533333333333333</v>
      </c>
      <c r="L282">
        <f>IF($A282&gt;=G$10,G$11,G$9)/12</f>
        <v>0</v>
      </c>
      <c r="M282">
        <f>IF($A282&gt;=H$10,H$11,H$9)/12</f>
        <v>0</v>
      </c>
      <c r="N282">
        <f>IF($A282&gt;=I$10,I$11,I$9)/12</f>
        <v>0</v>
      </c>
      <c r="O282">
        <f>IF($A282&gt;=J$10,J$11,J$9)/12</f>
        <v>0</v>
      </c>
      <c r="P282">
        <f>IF($A282&gt;=K$10,K$11,K$9)/12</f>
        <v>0</v>
      </c>
      <c r="Q282">
        <f>IF($A282&gt;=L$10,L$11,L$9)/12</f>
        <v>0</v>
      </c>
      <c r="R282">
        <f>IF($A282&gt;=M$10,M$11,M$9)/12</f>
        <v>0</v>
      </c>
      <c r="S282">
        <f>IF($A282&gt;=N$10,N$11,N$9)/12</f>
        <v>0</v>
      </c>
      <c r="T282">
        <f>IF(C$6="",0,SUMIFS('Budget ed extra'!$G$7:$G$42,'Budget ed extra'!$J$7:$J$42,$A282,'Budget ed extra'!$H$7:$H$42,C$6))</f>
        <v>0</v>
      </c>
      <c r="U282">
        <f>IF(D$6="",0,SUMIFS('Budget ed extra'!$G$7:$G$42,'Budget ed extra'!$J$7:$J$42,$A282,'Budget ed extra'!$H$7:$H$42,D$6))</f>
        <v>0</v>
      </c>
      <c r="V282">
        <f>IF(E$6="",0,SUMIFS('Budget ed extra'!$G$7:$G$42,'Budget ed extra'!$J$7:$J$42,$A282,'Budget ed extra'!$H$7:$H$42,E$6))</f>
        <v>0</v>
      </c>
      <c r="W282">
        <f>IF(F$6="",0,SUMIFS('Budget ed extra'!$G$7:$G$42,'Budget ed extra'!$J$7:$J$42,$A282,'Budget ed extra'!$H$7:$H$42,F$6))</f>
        <v>0</v>
      </c>
      <c r="X282">
        <f>IF(G$6="",0,SUMIFS('Budget ed extra'!$G$7:$G$42,'Budget ed extra'!$J$7:$J$42,$A282,'Budget ed extra'!$H$7:$H$42,G$6))</f>
        <v>0</v>
      </c>
      <c r="Y282">
        <f>IF(H$6="",0,SUMIFS('Budget ed extra'!$G$7:$G$42,'Budget ed extra'!$J$7:$J$42,$A282,'Budget ed extra'!$H$7:$H$42,H$6))</f>
        <v>0</v>
      </c>
      <c r="Z282">
        <f>IF(I$6="",0,SUMIFS('Budget ed extra'!$G$7:$G$42,'Budget ed extra'!$J$7:$J$42,$A282,'Budget ed extra'!$H$7:$H$42,I$6))</f>
        <v>0</v>
      </c>
      <c r="AA282">
        <f>IF(J$6="",0,SUMIFS('Budget ed extra'!$G$7:$G$42,'Budget ed extra'!$J$7:$J$42,$A282,'Budget ed extra'!$H$7:$H$42,J$6))</f>
        <v>0</v>
      </c>
      <c r="AB282">
        <f>IF(K$6="",0,SUMIFS('Budget ed extra'!$G$7:$G$42,'Budget ed extra'!$J$7:$J$42,$A282,'Budget ed extra'!$H$7:$H$42,K$6))</f>
        <v>0</v>
      </c>
      <c r="AC282">
        <f>IF(L$6="",0,SUMIFS('Budget ed extra'!$G$7:$G$42,'Budget ed extra'!$J$7:$J$42,$A282,'Budget ed extra'!$H$7:$H$42,L$6))</f>
        <v>0</v>
      </c>
      <c r="AD282">
        <f>IF(M$6="",0,SUMIFS('Budget ed extra'!$G$7:$G$42,'Budget ed extra'!$J$7:$J$42,$A282,'Budget ed extra'!$H$7:$H$42,M$6))</f>
        <v>0</v>
      </c>
      <c r="AE282">
        <f>IF(N$6="",0,SUMIFS('Budget ed extra'!$G$7:$G$42,'Budget ed extra'!$J$7:$J$42,$A282,'Budget ed extra'!$H$7:$H$42,N$6))</f>
        <v>0</v>
      </c>
    </row>
    <row r="283">
      <c r="A283" t="n">
        <v>253</v>
      </c>
      <c r="B283">
        <f>DATE($B$2,$B$3+A283-1,1)</f>
        <v>53997.0</v>
      </c>
      <c r="C283">
        <f>IF(D283=0,N(Impostazioni!$B$6),SUMIFS('Budget ed extra'!$B$7:$B$18,'Budget ed extra'!$D$7:$D$18,D283)/COUNTIFS('Budget ed extra'!$D$7:$D$18,D283))</f>
        <v>900</v>
      </c>
      <c r="D283">
        <f>SUMPRODUCT(MAX(('Budget ed extra'!$D$7:$D$18&lt;=A283)*'Budget ed extra'!$D$7:$D$18))</f>
        <v>9</v>
      </c>
      <c r="E283">
        <f>SUMIFS('Budget ed extra'!$G$7:$G$42,'Budget ed extra'!$J$7:$J$42,A283)</f>
        <v>0</v>
      </c>
      <c r="F283">
        <f>SUM(T283:AE283)</f>
        <v>0</v>
      </c>
      <c r="G283">
        <f>MAX(0,E283-F283)</f>
        <v>0</v>
      </c>
      <c r="H283">
        <f>IF($A283&gt;=C$10,C$11,C$9)/12</f>
        <v>0.01575</v>
      </c>
      <c r="I283">
        <f>IF($A283&gt;=D$10,D$11,D$9)/12</f>
        <v>0.01825</v>
      </c>
      <c r="J283">
        <f>IF($A283&gt;=E$10,E$11,E$9)/12</f>
        <v>0.00766666666666667</v>
      </c>
      <c r="K283">
        <f>IF($A283&gt;=F$10,F$11,F$9)/12</f>
        <v>0.00533333333333333</v>
      </c>
      <c r="L283">
        <f>IF($A283&gt;=G$10,G$11,G$9)/12</f>
        <v>0</v>
      </c>
      <c r="M283">
        <f>IF($A283&gt;=H$10,H$11,H$9)/12</f>
        <v>0</v>
      </c>
      <c r="N283">
        <f>IF($A283&gt;=I$10,I$11,I$9)/12</f>
        <v>0</v>
      </c>
      <c r="O283">
        <f>IF($A283&gt;=J$10,J$11,J$9)/12</f>
        <v>0</v>
      </c>
      <c r="P283">
        <f>IF($A283&gt;=K$10,K$11,K$9)/12</f>
        <v>0</v>
      </c>
      <c r="Q283">
        <f>IF($A283&gt;=L$10,L$11,L$9)/12</f>
        <v>0</v>
      </c>
      <c r="R283">
        <f>IF($A283&gt;=M$10,M$11,M$9)/12</f>
        <v>0</v>
      </c>
      <c r="S283">
        <f>IF($A283&gt;=N$10,N$11,N$9)/12</f>
        <v>0</v>
      </c>
      <c r="T283">
        <f>IF(C$6="",0,SUMIFS('Budget ed extra'!$G$7:$G$42,'Budget ed extra'!$J$7:$J$42,$A283,'Budget ed extra'!$H$7:$H$42,C$6))</f>
        <v>0</v>
      </c>
      <c r="U283">
        <f>IF(D$6="",0,SUMIFS('Budget ed extra'!$G$7:$G$42,'Budget ed extra'!$J$7:$J$42,$A283,'Budget ed extra'!$H$7:$H$42,D$6))</f>
        <v>0</v>
      </c>
      <c r="V283">
        <f>IF(E$6="",0,SUMIFS('Budget ed extra'!$G$7:$G$42,'Budget ed extra'!$J$7:$J$42,$A283,'Budget ed extra'!$H$7:$H$42,E$6))</f>
        <v>0</v>
      </c>
      <c r="W283">
        <f>IF(F$6="",0,SUMIFS('Budget ed extra'!$G$7:$G$42,'Budget ed extra'!$J$7:$J$42,$A283,'Budget ed extra'!$H$7:$H$42,F$6))</f>
        <v>0</v>
      </c>
      <c r="X283">
        <f>IF(G$6="",0,SUMIFS('Budget ed extra'!$G$7:$G$42,'Budget ed extra'!$J$7:$J$42,$A283,'Budget ed extra'!$H$7:$H$42,G$6))</f>
        <v>0</v>
      </c>
      <c r="Y283">
        <f>IF(H$6="",0,SUMIFS('Budget ed extra'!$G$7:$G$42,'Budget ed extra'!$J$7:$J$42,$A283,'Budget ed extra'!$H$7:$H$42,H$6))</f>
        <v>0</v>
      </c>
      <c r="Z283">
        <f>IF(I$6="",0,SUMIFS('Budget ed extra'!$G$7:$G$42,'Budget ed extra'!$J$7:$J$42,$A283,'Budget ed extra'!$H$7:$H$42,I$6))</f>
        <v>0</v>
      </c>
      <c r="AA283">
        <f>IF(J$6="",0,SUMIFS('Budget ed extra'!$G$7:$G$42,'Budget ed extra'!$J$7:$J$42,$A283,'Budget ed extra'!$H$7:$H$42,J$6))</f>
        <v>0</v>
      </c>
      <c r="AB283">
        <f>IF(K$6="",0,SUMIFS('Budget ed extra'!$G$7:$G$42,'Budget ed extra'!$J$7:$J$42,$A283,'Budget ed extra'!$H$7:$H$42,K$6))</f>
        <v>0</v>
      </c>
      <c r="AC283">
        <f>IF(L$6="",0,SUMIFS('Budget ed extra'!$G$7:$G$42,'Budget ed extra'!$J$7:$J$42,$A283,'Budget ed extra'!$H$7:$H$42,L$6))</f>
        <v>0</v>
      </c>
      <c r="AD283">
        <f>IF(M$6="",0,SUMIFS('Budget ed extra'!$G$7:$G$42,'Budget ed extra'!$J$7:$J$42,$A283,'Budget ed extra'!$H$7:$H$42,M$6))</f>
        <v>0</v>
      </c>
      <c r="AE283">
        <f>IF(N$6="",0,SUMIFS('Budget ed extra'!$G$7:$G$42,'Budget ed extra'!$J$7:$J$42,$A283,'Budget ed extra'!$H$7:$H$42,N$6))</f>
        <v>0</v>
      </c>
    </row>
    <row r="284">
      <c r="A284" t="n">
        <v>254</v>
      </c>
      <c r="B284">
        <f>DATE($B$2,$B$3+A284-1,1)</f>
        <v>54027.0</v>
      </c>
      <c r="C284">
        <f>IF(D284=0,N(Impostazioni!$B$6),SUMIFS('Budget ed extra'!$B$7:$B$18,'Budget ed extra'!$D$7:$D$18,D284)/COUNTIFS('Budget ed extra'!$D$7:$D$18,D284))</f>
        <v>900</v>
      </c>
      <c r="D284">
        <f>SUMPRODUCT(MAX(('Budget ed extra'!$D$7:$D$18&lt;=A284)*'Budget ed extra'!$D$7:$D$18))</f>
        <v>9</v>
      </c>
      <c r="E284">
        <f>SUMIFS('Budget ed extra'!$G$7:$G$42,'Budget ed extra'!$J$7:$J$42,A284)</f>
        <v>0</v>
      </c>
      <c r="F284">
        <f>SUM(T284:AE284)</f>
        <v>0</v>
      </c>
      <c r="G284">
        <f>MAX(0,E284-F284)</f>
        <v>0</v>
      </c>
      <c r="H284">
        <f>IF($A284&gt;=C$10,C$11,C$9)/12</f>
        <v>0.01575</v>
      </c>
      <c r="I284">
        <f>IF($A284&gt;=D$10,D$11,D$9)/12</f>
        <v>0.01825</v>
      </c>
      <c r="J284">
        <f>IF($A284&gt;=E$10,E$11,E$9)/12</f>
        <v>0.00766666666666667</v>
      </c>
      <c r="K284">
        <f>IF($A284&gt;=F$10,F$11,F$9)/12</f>
        <v>0.00533333333333333</v>
      </c>
      <c r="L284">
        <f>IF($A284&gt;=G$10,G$11,G$9)/12</f>
        <v>0</v>
      </c>
      <c r="M284">
        <f>IF($A284&gt;=H$10,H$11,H$9)/12</f>
        <v>0</v>
      </c>
      <c r="N284">
        <f>IF($A284&gt;=I$10,I$11,I$9)/12</f>
        <v>0</v>
      </c>
      <c r="O284">
        <f>IF($A284&gt;=J$10,J$11,J$9)/12</f>
        <v>0</v>
      </c>
      <c r="P284">
        <f>IF($A284&gt;=K$10,K$11,K$9)/12</f>
        <v>0</v>
      </c>
      <c r="Q284">
        <f>IF($A284&gt;=L$10,L$11,L$9)/12</f>
        <v>0</v>
      </c>
      <c r="R284">
        <f>IF($A284&gt;=M$10,M$11,M$9)/12</f>
        <v>0</v>
      </c>
      <c r="S284">
        <f>IF($A284&gt;=N$10,N$11,N$9)/12</f>
        <v>0</v>
      </c>
      <c r="T284">
        <f>IF(C$6="",0,SUMIFS('Budget ed extra'!$G$7:$G$42,'Budget ed extra'!$J$7:$J$42,$A284,'Budget ed extra'!$H$7:$H$42,C$6))</f>
        <v>0</v>
      </c>
      <c r="U284">
        <f>IF(D$6="",0,SUMIFS('Budget ed extra'!$G$7:$G$42,'Budget ed extra'!$J$7:$J$42,$A284,'Budget ed extra'!$H$7:$H$42,D$6))</f>
        <v>0</v>
      </c>
      <c r="V284">
        <f>IF(E$6="",0,SUMIFS('Budget ed extra'!$G$7:$G$42,'Budget ed extra'!$J$7:$J$42,$A284,'Budget ed extra'!$H$7:$H$42,E$6))</f>
        <v>0</v>
      </c>
      <c r="W284">
        <f>IF(F$6="",0,SUMIFS('Budget ed extra'!$G$7:$G$42,'Budget ed extra'!$J$7:$J$42,$A284,'Budget ed extra'!$H$7:$H$42,F$6))</f>
        <v>0</v>
      </c>
      <c r="X284">
        <f>IF(G$6="",0,SUMIFS('Budget ed extra'!$G$7:$G$42,'Budget ed extra'!$J$7:$J$42,$A284,'Budget ed extra'!$H$7:$H$42,G$6))</f>
        <v>0</v>
      </c>
      <c r="Y284">
        <f>IF(H$6="",0,SUMIFS('Budget ed extra'!$G$7:$G$42,'Budget ed extra'!$J$7:$J$42,$A284,'Budget ed extra'!$H$7:$H$42,H$6))</f>
        <v>0</v>
      </c>
      <c r="Z284">
        <f>IF(I$6="",0,SUMIFS('Budget ed extra'!$G$7:$G$42,'Budget ed extra'!$J$7:$J$42,$A284,'Budget ed extra'!$H$7:$H$42,I$6))</f>
        <v>0</v>
      </c>
      <c r="AA284">
        <f>IF(J$6="",0,SUMIFS('Budget ed extra'!$G$7:$G$42,'Budget ed extra'!$J$7:$J$42,$A284,'Budget ed extra'!$H$7:$H$42,J$6))</f>
        <v>0</v>
      </c>
      <c r="AB284">
        <f>IF(K$6="",0,SUMIFS('Budget ed extra'!$G$7:$G$42,'Budget ed extra'!$J$7:$J$42,$A284,'Budget ed extra'!$H$7:$H$42,K$6))</f>
        <v>0</v>
      </c>
      <c r="AC284">
        <f>IF(L$6="",0,SUMIFS('Budget ed extra'!$G$7:$G$42,'Budget ed extra'!$J$7:$J$42,$A284,'Budget ed extra'!$H$7:$H$42,L$6))</f>
        <v>0</v>
      </c>
      <c r="AD284">
        <f>IF(M$6="",0,SUMIFS('Budget ed extra'!$G$7:$G$42,'Budget ed extra'!$J$7:$J$42,$A284,'Budget ed extra'!$H$7:$H$42,M$6))</f>
        <v>0</v>
      </c>
      <c r="AE284">
        <f>IF(N$6="",0,SUMIFS('Budget ed extra'!$G$7:$G$42,'Budget ed extra'!$J$7:$J$42,$A284,'Budget ed extra'!$H$7:$H$42,N$6))</f>
        <v>0</v>
      </c>
    </row>
    <row r="285">
      <c r="A285" t="n">
        <v>255</v>
      </c>
      <c r="B285">
        <f>DATE($B$2,$B$3+A285-1,1)</f>
        <v>54058.0</v>
      </c>
      <c r="C285">
        <f>IF(D285=0,N(Impostazioni!$B$6),SUMIFS('Budget ed extra'!$B$7:$B$18,'Budget ed extra'!$D$7:$D$18,D285)/COUNTIFS('Budget ed extra'!$D$7:$D$18,D285))</f>
        <v>900</v>
      </c>
      <c r="D285">
        <f>SUMPRODUCT(MAX(('Budget ed extra'!$D$7:$D$18&lt;=A285)*'Budget ed extra'!$D$7:$D$18))</f>
        <v>9</v>
      </c>
      <c r="E285">
        <f>SUMIFS('Budget ed extra'!$G$7:$G$42,'Budget ed extra'!$J$7:$J$42,A285)</f>
        <v>0</v>
      </c>
      <c r="F285">
        <f>SUM(T285:AE285)</f>
        <v>0</v>
      </c>
      <c r="G285">
        <f>MAX(0,E285-F285)</f>
        <v>0</v>
      </c>
      <c r="H285">
        <f>IF($A285&gt;=C$10,C$11,C$9)/12</f>
        <v>0.01575</v>
      </c>
      <c r="I285">
        <f>IF($A285&gt;=D$10,D$11,D$9)/12</f>
        <v>0.01825</v>
      </c>
      <c r="J285">
        <f>IF($A285&gt;=E$10,E$11,E$9)/12</f>
        <v>0.00766666666666667</v>
      </c>
      <c r="K285">
        <f>IF($A285&gt;=F$10,F$11,F$9)/12</f>
        <v>0.00533333333333333</v>
      </c>
      <c r="L285">
        <f>IF($A285&gt;=G$10,G$11,G$9)/12</f>
        <v>0</v>
      </c>
      <c r="M285">
        <f>IF($A285&gt;=H$10,H$11,H$9)/12</f>
        <v>0</v>
      </c>
      <c r="N285">
        <f>IF($A285&gt;=I$10,I$11,I$9)/12</f>
        <v>0</v>
      </c>
      <c r="O285">
        <f>IF($A285&gt;=J$10,J$11,J$9)/12</f>
        <v>0</v>
      </c>
      <c r="P285">
        <f>IF($A285&gt;=K$10,K$11,K$9)/12</f>
        <v>0</v>
      </c>
      <c r="Q285">
        <f>IF($A285&gt;=L$10,L$11,L$9)/12</f>
        <v>0</v>
      </c>
      <c r="R285">
        <f>IF($A285&gt;=M$10,M$11,M$9)/12</f>
        <v>0</v>
      </c>
      <c r="S285">
        <f>IF($A285&gt;=N$10,N$11,N$9)/12</f>
        <v>0</v>
      </c>
      <c r="T285">
        <f>IF(C$6="",0,SUMIFS('Budget ed extra'!$G$7:$G$42,'Budget ed extra'!$J$7:$J$42,$A285,'Budget ed extra'!$H$7:$H$42,C$6))</f>
        <v>0</v>
      </c>
      <c r="U285">
        <f>IF(D$6="",0,SUMIFS('Budget ed extra'!$G$7:$G$42,'Budget ed extra'!$J$7:$J$42,$A285,'Budget ed extra'!$H$7:$H$42,D$6))</f>
        <v>0</v>
      </c>
      <c r="V285">
        <f>IF(E$6="",0,SUMIFS('Budget ed extra'!$G$7:$G$42,'Budget ed extra'!$J$7:$J$42,$A285,'Budget ed extra'!$H$7:$H$42,E$6))</f>
        <v>0</v>
      </c>
      <c r="W285">
        <f>IF(F$6="",0,SUMIFS('Budget ed extra'!$G$7:$G$42,'Budget ed extra'!$J$7:$J$42,$A285,'Budget ed extra'!$H$7:$H$42,F$6))</f>
        <v>0</v>
      </c>
      <c r="X285">
        <f>IF(G$6="",0,SUMIFS('Budget ed extra'!$G$7:$G$42,'Budget ed extra'!$J$7:$J$42,$A285,'Budget ed extra'!$H$7:$H$42,G$6))</f>
        <v>0</v>
      </c>
      <c r="Y285">
        <f>IF(H$6="",0,SUMIFS('Budget ed extra'!$G$7:$G$42,'Budget ed extra'!$J$7:$J$42,$A285,'Budget ed extra'!$H$7:$H$42,H$6))</f>
        <v>0</v>
      </c>
      <c r="Z285">
        <f>IF(I$6="",0,SUMIFS('Budget ed extra'!$G$7:$G$42,'Budget ed extra'!$J$7:$J$42,$A285,'Budget ed extra'!$H$7:$H$42,I$6))</f>
        <v>0</v>
      </c>
      <c r="AA285">
        <f>IF(J$6="",0,SUMIFS('Budget ed extra'!$G$7:$G$42,'Budget ed extra'!$J$7:$J$42,$A285,'Budget ed extra'!$H$7:$H$42,J$6))</f>
        <v>0</v>
      </c>
      <c r="AB285">
        <f>IF(K$6="",0,SUMIFS('Budget ed extra'!$G$7:$G$42,'Budget ed extra'!$J$7:$J$42,$A285,'Budget ed extra'!$H$7:$H$42,K$6))</f>
        <v>0</v>
      </c>
      <c r="AC285">
        <f>IF(L$6="",0,SUMIFS('Budget ed extra'!$G$7:$G$42,'Budget ed extra'!$J$7:$J$42,$A285,'Budget ed extra'!$H$7:$H$42,L$6))</f>
        <v>0</v>
      </c>
      <c r="AD285">
        <f>IF(M$6="",0,SUMIFS('Budget ed extra'!$G$7:$G$42,'Budget ed extra'!$J$7:$J$42,$A285,'Budget ed extra'!$H$7:$H$42,M$6))</f>
        <v>0</v>
      </c>
      <c r="AE285">
        <f>IF(N$6="",0,SUMIFS('Budget ed extra'!$G$7:$G$42,'Budget ed extra'!$J$7:$J$42,$A285,'Budget ed extra'!$H$7:$H$42,N$6))</f>
        <v>0</v>
      </c>
    </row>
    <row r="286">
      <c r="A286" t="n">
        <v>256</v>
      </c>
      <c r="B286">
        <f>DATE($B$2,$B$3+A286-1,1)</f>
        <v>54089.0</v>
      </c>
      <c r="C286">
        <f>IF(D286=0,N(Impostazioni!$B$6),SUMIFS('Budget ed extra'!$B$7:$B$18,'Budget ed extra'!$D$7:$D$18,D286)/COUNTIFS('Budget ed extra'!$D$7:$D$18,D286))</f>
        <v>900</v>
      </c>
      <c r="D286">
        <f>SUMPRODUCT(MAX(('Budget ed extra'!$D$7:$D$18&lt;=A286)*'Budget ed extra'!$D$7:$D$18))</f>
        <v>9</v>
      </c>
      <c r="E286">
        <f>SUMIFS('Budget ed extra'!$G$7:$G$42,'Budget ed extra'!$J$7:$J$42,A286)</f>
        <v>0</v>
      </c>
      <c r="F286">
        <f>SUM(T286:AE286)</f>
        <v>0</v>
      </c>
      <c r="G286">
        <f>MAX(0,E286-F286)</f>
        <v>0</v>
      </c>
      <c r="H286">
        <f>IF($A286&gt;=C$10,C$11,C$9)/12</f>
        <v>0.01575</v>
      </c>
      <c r="I286">
        <f>IF($A286&gt;=D$10,D$11,D$9)/12</f>
        <v>0.01825</v>
      </c>
      <c r="J286">
        <f>IF($A286&gt;=E$10,E$11,E$9)/12</f>
        <v>0.00766666666666667</v>
      </c>
      <c r="K286">
        <f>IF($A286&gt;=F$10,F$11,F$9)/12</f>
        <v>0.00533333333333333</v>
      </c>
      <c r="L286">
        <f>IF($A286&gt;=G$10,G$11,G$9)/12</f>
        <v>0</v>
      </c>
      <c r="M286">
        <f>IF($A286&gt;=H$10,H$11,H$9)/12</f>
        <v>0</v>
      </c>
      <c r="N286">
        <f>IF($A286&gt;=I$10,I$11,I$9)/12</f>
        <v>0</v>
      </c>
      <c r="O286">
        <f>IF($A286&gt;=J$10,J$11,J$9)/12</f>
        <v>0</v>
      </c>
      <c r="P286">
        <f>IF($A286&gt;=K$10,K$11,K$9)/12</f>
        <v>0</v>
      </c>
      <c r="Q286">
        <f>IF($A286&gt;=L$10,L$11,L$9)/12</f>
        <v>0</v>
      </c>
      <c r="R286">
        <f>IF($A286&gt;=M$10,M$11,M$9)/12</f>
        <v>0</v>
      </c>
      <c r="S286">
        <f>IF($A286&gt;=N$10,N$11,N$9)/12</f>
        <v>0</v>
      </c>
      <c r="T286">
        <f>IF(C$6="",0,SUMIFS('Budget ed extra'!$G$7:$G$42,'Budget ed extra'!$J$7:$J$42,$A286,'Budget ed extra'!$H$7:$H$42,C$6))</f>
        <v>0</v>
      </c>
      <c r="U286">
        <f>IF(D$6="",0,SUMIFS('Budget ed extra'!$G$7:$G$42,'Budget ed extra'!$J$7:$J$42,$A286,'Budget ed extra'!$H$7:$H$42,D$6))</f>
        <v>0</v>
      </c>
      <c r="V286">
        <f>IF(E$6="",0,SUMIFS('Budget ed extra'!$G$7:$G$42,'Budget ed extra'!$J$7:$J$42,$A286,'Budget ed extra'!$H$7:$H$42,E$6))</f>
        <v>0</v>
      </c>
      <c r="W286">
        <f>IF(F$6="",0,SUMIFS('Budget ed extra'!$G$7:$G$42,'Budget ed extra'!$J$7:$J$42,$A286,'Budget ed extra'!$H$7:$H$42,F$6))</f>
        <v>0</v>
      </c>
      <c r="X286">
        <f>IF(G$6="",0,SUMIFS('Budget ed extra'!$G$7:$G$42,'Budget ed extra'!$J$7:$J$42,$A286,'Budget ed extra'!$H$7:$H$42,G$6))</f>
        <v>0</v>
      </c>
      <c r="Y286">
        <f>IF(H$6="",0,SUMIFS('Budget ed extra'!$G$7:$G$42,'Budget ed extra'!$J$7:$J$42,$A286,'Budget ed extra'!$H$7:$H$42,H$6))</f>
        <v>0</v>
      </c>
      <c r="Z286">
        <f>IF(I$6="",0,SUMIFS('Budget ed extra'!$G$7:$G$42,'Budget ed extra'!$J$7:$J$42,$A286,'Budget ed extra'!$H$7:$H$42,I$6))</f>
        <v>0</v>
      </c>
      <c r="AA286">
        <f>IF(J$6="",0,SUMIFS('Budget ed extra'!$G$7:$G$42,'Budget ed extra'!$J$7:$J$42,$A286,'Budget ed extra'!$H$7:$H$42,J$6))</f>
        <v>0</v>
      </c>
      <c r="AB286">
        <f>IF(K$6="",0,SUMIFS('Budget ed extra'!$G$7:$G$42,'Budget ed extra'!$J$7:$J$42,$A286,'Budget ed extra'!$H$7:$H$42,K$6))</f>
        <v>0</v>
      </c>
      <c r="AC286">
        <f>IF(L$6="",0,SUMIFS('Budget ed extra'!$G$7:$G$42,'Budget ed extra'!$J$7:$J$42,$A286,'Budget ed extra'!$H$7:$H$42,L$6))</f>
        <v>0</v>
      </c>
      <c r="AD286">
        <f>IF(M$6="",0,SUMIFS('Budget ed extra'!$G$7:$G$42,'Budget ed extra'!$J$7:$J$42,$A286,'Budget ed extra'!$H$7:$H$42,M$6))</f>
        <v>0</v>
      </c>
      <c r="AE286">
        <f>IF(N$6="",0,SUMIFS('Budget ed extra'!$G$7:$G$42,'Budget ed extra'!$J$7:$J$42,$A286,'Budget ed extra'!$H$7:$H$42,N$6))</f>
        <v>0</v>
      </c>
    </row>
    <row r="287">
      <c r="A287" t="n">
        <v>257</v>
      </c>
      <c r="B287">
        <f>DATE($B$2,$B$3+A287-1,1)</f>
        <v>54118.0</v>
      </c>
      <c r="C287">
        <f>IF(D287=0,N(Impostazioni!$B$6),SUMIFS('Budget ed extra'!$B$7:$B$18,'Budget ed extra'!$D$7:$D$18,D287)/COUNTIFS('Budget ed extra'!$D$7:$D$18,D287))</f>
        <v>900</v>
      </c>
      <c r="D287">
        <f>SUMPRODUCT(MAX(('Budget ed extra'!$D$7:$D$18&lt;=A287)*'Budget ed extra'!$D$7:$D$18))</f>
        <v>9</v>
      </c>
      <c r="E287">
        <f>SUMIFS('Budget ed extra'!$G$7:$G$42,'Budget ed extra'!$J$7:$J$42,A287)</f>
        <v>0</v>
      </c>
      <c r="F287">
        <f>SUM(T287:AE287)</f>
        <v>0</v>
      </c>
      <c r="G287">
        <f>MAX(0,E287-F287)</f>
        <v>0</v>
      </c>
      <c r="H287">
        <f>IF($A287&gt;=C$10,C$11,C$9)/12</f>
        <v>0.01575</v>
      </c>
      <c r="I287">
        <f>IF($A287&gt;=D$10,D$11,D$9)/12</f>
        <v>0.01825</v>
      </c>
      <c r="J287">
        <f>IF($A287&gt;=E$10,E$11,E$9)/12</f>
        <v>0.00766666666666667</v>
      </c>
      <c r="K287">
        <f>IF($A287&gt;=F$10,F$11,F$9)/12</f>
        <v>0.00533333333333333</v>
      </c>
      <c r="L287">
        <f>IF($A287&gt;=G$10,G$11,G$9)/12</f>
        <v>0</v>
      </c>
      <c r="M287">
        <f>IF($A287&gt;=H$10,H$11,H$9)/12</f>
        <v>0</v>
      </c>
      <c r="N287">
        <f>IF($A287&gt;=I$10,I$11,I$9)/12</f>
        <v>0</v>
      </c>
      <c r="O287">
        <f>IF($A287&gt;=J$10,J$11,J$9)/12</f>
        <v>0</v>
      </c>
      <c r="P287">
        <f>IF($A287&gt;=K$10,K$11,K$9)/12</f>
        <v>0</v>
      </c>
      <c r="Q287">
        <f>IF($A287&gt;=L$10,L$11,L$9)/12</f>
        <v>0</v>
      </c>
      <c r="R287">
        <f>IF($A287&gt;=M$10,M$11,M$9)/12</f>
        <v>0</v>
      </c>
      <c r="S287">
        <f>IF($A287&gt;=N$10,N$11,N$9)/12</f>
        <v>0</v>
      </c>
      <c r="T287">
        <f>IF(C$6="",0,SUMIFS('Budget ed extra'!$G$7:$G$42,'Budget ed extra'!$J$7:$J$42,$A287,'Budget ed extra'!$H$7:$H$42,C$6))</f>
        <v>0</v>
      </c>
      <c r="U287">
        <f>IF(D$6="",0,SUMIFS('Budget ed extra'!$G$7:$G$42,'Budget ed extra'!$J$7:$J$42,$A287,'Budget ed extra'!$H$7:$H$42,D$6))</f>
        <v>0</v>
      </c>
      <c r="V287">
        <f>IF(E$6="",0,SUMIFS('Budget ed extra'!$G$7:$G$42,'Budget ed extra'!$J$7:$J$42,$A287,'Budget ed extra'!$H$7:$H$42,E$6))</f>
        <v>0</v>
      </c>
      <c r="W287">
        <f>IF(F$6="",0,SUMIFS('Budget ed extra'!$G$7:$G$42,'Budget ed extra'!$J$7:$J$42,$A287,'Budget ed extra'!$H$7:$H$42,F$6))</f>
        <v>0</v>
      </c>
      <c r="X287">
        <f>IF(G$6="",0,SUMIFS('Budget ed extra'!$G$7:$G$42,'Budget ed extra'!$J$7:$J$42,$A287,'Budget ed extra'!$H$7:$H$42,G$6))</f>
        <v>0</v>
      </c>
      <c r="Y287">
        <f>IF(H$6="",0,SUMIFS('Budget ed extra'!$G$7:$G$42,'Budget ed extra'!$J$7:$J$42,$A287,'Budget ed extra'!$H$7:$H$42,H$6))</f>
        <v>0</v>
      </c>
      <c r="Z287">
        <f>IF(I$6="",0,SUMIFS('Budget ed extra'!$G$7:$G$42,'Budget ed extra'!$J$7:$J$42,$A287,'Budget ed extra'!$H$7:$H$42,I$6))</f>
        <v>0</v>
      </c>
      <c r="AA287">
        <f>IF(J$6="",0,SUMIFS('Budget ed extra'!$G$7:$G$42,'Budget ed extra'!$J$7:$J$42,$A287,'Budget ed extra'!$H$7:$H$42,J$6))</f>
        <v>0</v>
      </c>
      <c r="AB287">
        <f>IF(K$6="",0,SUMIFS('Budget ed extra'!$G$7:$G$42,'Budget ed extra'!$J$7:$J$42,$A287,'Budget ed extra'!$H$7:$H$42,K$6))</f>
        <v>0</v>
      </c>
      <c r="AC287">
        <f>IF(L$6="",0,SUMIFS('Budget ed extra'!$G$7:$G$42,'Budget ed extra'!$J$7:$J$42,$A287,'Budget ed extra'!$H$7:$H$42,L$6))</f>
        <v>0</v>
      </c>
      <c r="AD287">
        <f>IF(M$6="",0,SUMIFS('Budget ed extra'!$G$7:$G$42,'Budget ed extra'!$J$7:$J$42,$A287,'Budget ed extra'!$H$7:$H$42,M$6))</f>
        <v>0</v>
      </c>
      <c r="AE287">
        <f>IF(N$6="",0,SUMIFS('Budget ed extra'!$G$7:$G$42,'Budget ed extra'!$J$7:$J$42,$A287,'Budget ed extra'!$H$7:$H$42,N$6))</f>
        <v>0</v>
      </c>
    </row>
    <row r="288">
      <c r="A288" t="n">
        <v>258</v>
      </c>
      <c r="B288">
        <f>DATE($B$2,$B$3+A288-1,1)</f>
        <v>54149.0</v>
      </c>
      <c r="C288">
        <f>IF(D288=0,N(Impostazioni!$B$6),SUMIFS('Budget ed extra'!$B$7:$B$18,'Budget ed extra'!$D$7:$D$18,D288)/COUNTIFS('Budget ed extra'!$D$7:$D$18,D288))</f>
        <v>900</v>
      </c>
      <c r="D288">
        <f>SUMPRODUCT(MAX(('Budget ed extra'!$D$7:$D$18&lt;=A288)*'Budget ed extra'!$D$7:$D$18))</f>
        <v>9</v>
      </c>
      <c r="E288">
        <f>SUMIFS('Budget ed extra'!$G$7:$G$42,'Budget ed extra'!$J$7:$J$42,A288)</f>
        <v>0</v>
      </c>
      <c r="F288">
        <f>SUM(T288:AE288)</f>
        <v>0</v>
      </c>
      <c r="G288">
        <f>MAX(0,E288-F288)</f>
        <v>0</v>
      </c>
      <c r="H288">
        <f>IF($A288&gt;=C$10,C$11,C$9)/12</f>
        <v>0.01575</v>
      </c>
      <c r="I288">
        <f>IF($A288&gt;=D$10,D$11,D$9)/12</f>
        <v>0.01825</v>
      </c>
      <c r="J288">
        <f>IF($A288&gt;=E$10,E$11,E$9)/12</f>
        <v>0.00766666666666667</v>
      </c>
      <c r="K288">
        <f>IF($A288&gt;=F$10,F$11,F$9)/12</f>
        <v>0.00533333333333333</v>
      </c>
      <c r="L288">
        <f>IF($A288&gt;=G$10,G$11,G$9)/12</f>
        <v>0</v>
      </c>
      <c r="M288">
        <f>IF($A288&gt;=H$10,H$11,H$9)/12</f>
        <v>0</v>
      </c>
      <c r="N288">
        <f>IF($A288&gt;=I$10,I$11,I$9)/12</f>
        <v>0</v>
      </c>
      <c r="O288">
        <f>IF($A288&gt;=J$10,J$11,J$9)/12</f>
        <v>0</v>
      </c>
      <c r="P288">
        <f>IF($A288&gt;=K$10,K$11,K$9)/12</f>
        <v>0</v>
      </c>
      <c r="Q288">
        <f>IF($A288&gt;=L$10,L$11,L$9)/12</f>
        <v>0</v>
      </c>
      <c r="R288">
        <f>IF($A288&gt;=M$10,M$11,M$9)/12</f>
        <v>0</v>
      </c>
      <c r="S288">
        <f>IF($A288&gt;=N$10,N$11,N$9)/12</f>
        <v>0</v>
      </c>
      <c r="T288">
        <f>IF(C$6="",0,SUMIFS('Budget ed extra'!$G$7:$G$42,'Budget ed extra'!$J$7:$J$42,$A288,'Budget ed extra'!$H$7:$H$42,C$6))</f>
        <v>0</v>
      </c>
      <c r="U288">
        <f>IF(D$6="",0,SUMIFS('Budget ed extra'!$G$7:$G$42,'Budget ed extra'!$J$7:$J$42,$A288,'Budget ed extra'!$H$7:$H$42,D$6))</f>
        <v>0</v>
      </c>
      <c r="V288">
        <f>IF(E$6="",0,SUMIFS('Budget ed extra'!$G$7:$G$42,'Budget ed extra'!$J$7:$J$42,$A288,'Budget ed extra'!$H$7:$H$42,E$6))</f>
        <v>0</v>
      </c>
      <c r="W288">
        <f>IF(F$6="",0,SUMIFS('Budget ed extra'!$G$7:$G$42,'Budget ed extra'!$J$7:$J$42,$A288,'Budget ed extra'!$H$7:$H$42,F$6))</f>
        <v>0</v>
      </c>
      <c r="X288">
        <f>IF(G$6="",0,SUMIFS('Budget ed extra'!$G$7:$G$42,'Budget ed extra'!$J$7:$J$42,$A288,'Budget ed extra'!$H$7:$H$42,G$6))</f>
        <v>0</v>
      </c>
      <c r="Y288">
        <f>IF(H$6="",0,SUMIFS('Budget ed extra'!$G$7:$G$42,'Budget ed extra'!$J$7:$J$42,$A288,'Budget ed extra'!$H$7:$H$42,H$6))</f>
        <v>0</v>
      </c>
      <c r="Z288">
        <f>IF(I$6="",0,SUMIFS('Budget ed extra'!$G$7:$G$42,'Budget ed extra'!$J$7:$J$42,$A288,'Budget ed extra'!$H$7:$H$42,I$6))</f>
        <v>0</v>
      </c>
      <c r="AA288">
        <f>IF(J$6="",0,SUMIFS('Budget ed extra'!$G$7:$G$42,'Budget ed extra'!$J$7:$J$42,$A288,'Budget ed extra'!$H$7:$H$42,J$6))</f>
        <v>0</v>
      </c>
      <c r="AB288">
        <f>IF(K$6="",0,SUMIFS('Budget ed extra'!$G$7:$G$42,'Budget ed extra'!$J$7:$J$42,$A288,'Budget ed extra'!$H$7:$H$42,K$6))</f>
        <v>0</v>
      </c>
      <c r="AC288">
        <f>IF(L$6="",0,SUMIFS('Budget ed extra'!$G$7:$G$42,'Budget ed extra'!$J$7:$J$42,$A288,'Budget ed extra'!$H$7:$H$42,L$6))</f>
        <v>0</v>
      </c>
      <c r="AD288">
        <f>IF(M$6="",0,SUMIFS('Budget ed extra'!$G$7:$G$42,'Budget ed extra'!$J$7:$J$42,$A288,'Budget ed extra'!$H$7:$H$42,M$6))</f>
        <v>0</v>
      </c>
      <c r="AE288">
        <f>IF(N$6="",0,SUMIFS('Budget ed extra'!$G$7:$G$42,'Budget ed extra'!$J$7:$J$42,$A288,'Budget ed extra'!$H$7:$H$42,N$6))</f>
        <v>0</v>
      </c>
    </row>
    <row r="289">
      <c r="A289" t="n">
        <v>259</v>
      </c>
      <c r="B289">
        <f>DATE($B$2,$B$3+A289-1,1)</f>
        <v>54179.0</v>
      </c>
      <c r="C289">
        <f>IF(D289=0,N(Impostazioni!$B$6),SUMIFS('Budget ed extra'!$B$7:$B$18,'Budget ed extra'!$D$7:$D$18,D289)/COUNTIFS('Budget ed extra'!$D$7:$D$18,D289))</f>
        <v>900</v>
      </c>
      <c r="D289">
        <f>SUMPRODUCT(MAX(('Budget ed extra'!$D$7:$D$18&lt;=A289)*'Budget ed extra'!$D$7:$D$18))</f>
        <v>9</v>
      </c>
      <c r="E289">
        <f>SUMIFS('Budget ed extra'!$G$7:$G$42,'Budget ed extra'!$J$7:$J$42,A289)</f>
        <v>0</v>
      </c>
      <c r="F289">
        <f>SUM(T289:AE289)</f>
        <v>0</v>
      </c>
      <c r="G289">
        <f>MAX(0,E289-F289)</f>
        <v>0</v>
      </c>
      <c r="H289">
        <f>IF($A289&gt;=C$10,C$11,C$9)/12</f>
        <v>0.01575</v>
      </c>
      <c r="I289">
        <f>IF($A289&gt;=D$10,D$11,D$9)/12</f>
        <v>0.01825</v>
      </c>
      <c r="J289">
        <f>IF($A289&gt;=E$10,E$11,E$9)/12</f>
        <v>0.00766666666666667</v>
      </c>
      <c r="K289">
        <f>IF($A289&gt;=F$10,F$11,F$9)/12</f>
        <v>0.00533333333333333</v>
      </c>
      <c r="L289">
        <f>IF($A289&gt;=G$10,G$11,G$9)/12</f>
        <v>0</v>
      </c>
      <c r="M289">
        <f>IF($A289&gt;=H$10,H$11,H$9)/12</f>
        <v>0</v>
      </c>
      <c r="N289">
        <f>IF($A289&gt;=I$10,I$11,I$9)/12</f>
        <v>0</v>
      </c>
      <c r="O289">
        <f>IF($A289&gt;=J$10,J$11,J$9)/12</f>
        <v>0</v>
      </c>
      <c r="P289">
        <f>IF($A289&gt;=K$10,K$11,K$9)/12</f>
        <v>0</v>
      </c>
      <c r="Q289">
        <f>IF($A289&gt;=L$10,L$11,L$9)/12</f>
        <v>0</v>
      </c>
      <c r="R289">
        <f>IF($A289&gt;=M$10,M$11,M$9)/12</f>
        <v>0</v>
      </c>
      <c r="S289">
        <f>IF($A289&gt;=N$10,N$11,N$9)/12</f>
        <v>0</v>
      </c>
      <c r="T289">
        <f>IF(C$6="",0,SUMIFS('Budget ed extra'!$G$7:$G$42,'Budget ed extra'!$J$7:$J$42,$A289,'Budget ed extra'!$H$7:$H$42,C$6))</f>
        <v>0</v>
      </c>
      <c r="U289">
        <f>IF(D$6="",0,SUMIFS('Budget ed extra'!$G$7:$G$42,'Budget ed extra'!$J$7:$J$42,$A289,'Budget ed extra'!$H$7:$H$42,D$6))</f>
        <v>0</v>
      </c>
      <c r="V289">
        <f>IF(E$6="",0,SUMIFS('Budget ed extra'!$G$7:$G$42,'Budget ed extra'!$J$7:$J$42,$A289,'Budget ed extra'!$H$7:$H$42,E$6))</f>
        <v>0</v>
      </c>
      <c r="W289">
        <f>IF(F$6="",0,SUMIFS('Budget ed extra'!$G$7:$G$42,'Budget ed extra'!$J$7:$J$42,$A289,'Budget ed extra'!$H$7:$H$42,F$6))</f>
        <v>0</v>
      </c>
      <c r="X289">
        <f>IF(G$6="",0,SUMIFS('Budget ed extra'!$G$7:$G$42,'Budget ed extra'!$J$7:$J$42,$A289,'Budget ed extra'!$H$7:$H$42,G$6))</f>
        <v>0</v>
      </c>
      <c r="Y289">
        <f>IF(H$6="",0,SUMIFS('Budget ed extra'!$G$7:$G$42,'Budget ed extra'!$J$7:$J$42,$A289,'Budget ed extra'!$H$7:$H$42,H$6))</f>
        <v>0</v>
      </c>
      <c r="Z289">
        <f>IF(I$6="",0,SUMIFS('Budget ed extra'!$G$7:$G$42,'Budget ed extra'!$J$7:$J$42,$A289,'Budget ed extra'!$H$7:$H$42,I$6))</f>
        <v>0</v>
      </c>
      <c r="AA289">
        <f>IF(J$6="",0,SUMIFS('Budget ed extra'!$G$7:$G$42,'Budget ed extra'!$J$7:$J$42,$A289,'Budget ed extra'!$H$7:$H$42,J$6))</f>
        <v>0</v>
      </c>
      <c r="AB289">
        <f>IF(K$6="",0,SUMIFS('Budget ed extra'!$G$7:$G$42,'Budget ed extra'!$J$7:$J$42,$A289,'Budget ed extra'!$H$7:$H$42,K$6))</f>
        <v>0</v>
      </c>
      <c r="AC289">
        <f>IF(L$6="",0,SUMIFS('Budget ed extra'!$G$7:$G$42,'Budget ed extra'!$J$7:$J$42,$A289,'Budget ed extra'!$H$7:$H$42,L$6))</f>
        <v>0</v>
      </c>
      <c r="AD289">
        <f>IF(M$6="",0,SUMIFS('Budget ed extra'!$G$7:$G$42,'Budget ed extra'!$J$7:$J$42,$A289,'Budget ed extra'!$H$7:$H$42,M$6))</f>
        <v>0</v>
      </c>
      <c r="AE289">
        <f>IF(N$6="",0,SUMIFS('Budget ed extra'!$G$7:$G$42,'Budget ed extra'!$J$7:$J$42,$A289,'Budget ed extra'!$H$7:$H$42,N$6))</f>
        <v>0</v>
      </c>
    </row>
    <row r="290">
      <c r="A290" t="n">
        <v>260</v>
      </c>
      <c r="B290">
        <f>DATE($B$2,$B$3+A290-1,1)</f>
        <v>54210.0</v>
      </c>
      <c r="C290">
        <f>IF(D290=0,N(Impostazioni!$B$6),SUMIFS('Budget ed extra'!$B$7:$B$18,'Budget ed extra'!$D$7:$D$18,D290)/COUNTIFS('Budget ed extra'!$D$7:$D$18,D290))</f>
        <v>900</v>
      </c>
      <c r="D290">
        <f>SUMPRODUCT(MAX(('Budget ed extra'!$D$7:$D$18&lt;=A290)*'Budget ed extra'!$D$7:$D$18))</f>
        <v>9</v>
      </c>
      <c r="E290">
        <f>SUMIFS('Budget ed extra'!$G$7:$G$42,'Budget ed extra'!$J$7:$J$42,A290)</f>
        <v>0</v>
      </c>
      <c r="F290">
        <f>SUM(T290:AE290)</f>
        <v>0</v>
      </c>
      <c r="G290">
        <f>MAX(0,E290-F290)</f>
        <v>0</v>
      </c>
      <c r="H290">
        <f>IF($A290&gt;=C$10,C$11,C$9)/12</f>
        <v>0.01575</v>
      </c>
      <c r="I290">
        <f>IF($A290&gt;=D$10,D$11,D$9)/12</f>
        <v>0.01825</v>
      </c>
      <c r="J290">
        <f>IF($A290&gt;=E$10,E$11,E$9)/12</f>
        <v>0.00766666666666667</v>
      </c>
      <c r="K290">
        <f>IF($A290&gt;=F$10,F$11,F$9)/12</f>
        <v>0.00533333333333333</v>
      </c>
      <c r="L290">
        <f>IF($A290&gt;=G$10,G$11,G$9)/12</f>
        <v>0</v>
      </c>
      <c r="M290">
        <f>IF($A290&gt;=H$10,H$11,H$9)/12</f>
        <v>0</v>
      </c>
      <c r="N290">
        <f>IF($A290&gt;=I$10,I$11,I$9)/12</f>
        <v>0</v>
      </c>
      <c r="O290">
        <f>IF($A290&gt;=J$10,J$11,J$9)/12</f>
        <v>0</v>
      </c>
      <c r="P290">
        <f>IF($A290&gt;=K$10,K$11,K$9)/12</f>
        <v>0</v>
      </c>
      <c r="Q290">
        <f>IF($A290&gt;=L$10,L$11,L$9)/12</f>
        <v>0</v>
      </c>
      <c r="R290">
        <f>IF($A290&gt;=M$10,M$11,M$9)/12</f>
        <v>0</v>
      </c>
      <c r="S290">
        <f>IF($A290&gt;=N$10,N$11,N$9)/12</f>
        <v>0</v>
      </c>
      <c r="T290">
        <f>IF(C$6="",0,SUMIFS('Budget ed extra'!$G$7:$G$42,'Budget ed extra'!$J$7:$J$42,$A290,'Budget ed extra'!$H$7:$H$42,C$6))</f>
        <v>0</v>
      </c>
      <c r="U290">
        <f>IF(D$6="",0,SUMIFS('Budget ed extra'!$G$7:$G$42,'Budget ed extra'!$J$7:$J$42,$A290,'Budget ed extra'!$H$7:$H$42,D$6))</f>
        <v>0</v>
      </c>
      <c r="V290">
        <f>IF(E$6="",0,SUMIFS('Budget ed extra'!$G$7:$G$42,'Budget ed extra'!$J$7:$J$42,$A290,'Budget ed extra'!$H$7:$H$42,E$6))</f>
        <v>0</v>
      </c>
      <c r="W290">
        <f>IF(F$6="",0,SUMIFS('Budget ed extra'!$G$7:$G$42,'Budget ed extra'!$J$7:$J$42,$A290,'Budget ed extra'!$H$7:$H$42,F$6))</f>
        <v>0</v>
      </c>
      <c r="X290">
        <f>IF(G$6="",0,SUMIFS('Budget ed extra'!$G$7:$G$42,'Budget ed extra'!$J$7:$J$42,$A290,'Budget ed extra'!$H$7:$H$42,G$6))</f>
        <v>0</v>
      </c>
      <c r="Y290">
        <f>IF(H$6="",0,SUMIFS('Budget ed extra'!$G$7:$G$42,'Budget ed extra'!$J$7:$J$42,$A290,'Budget ed extra'!$H$7:$H$42,H$6))</f>
        <v>0</v>
      </c>
      <c r="Z290">
        <f>IF(I$6="",0,SUMIFS('Budget ed extra'!$G$7:$G$42,'Budget ed extra'!$J$7:$J$42,$A290,'Budget ed extra'!$H$7:$H$42,I$6))</f>
        <v>0</v>
      </c>
      <c r="AA290">
        <f>IF(J$6="",0,SUMIFS('Budget ed extra'!$G$7:$G$42,'Budget ed extra'!$J$7:$J$42,$A290,'Budget ed extra'!$H$7:$H$42,J$6))</f>
        <v>0</v>
      </c>
      <c r="AB290">
        <f>IF(K$6="",0,SUMIFS('Budget ed extra'!$G$7:$G$42,'Budget ed extra'!$J$7:$J$42,$A290,'Budget ed extra'!$H$7:$H$42,K$6))</f>
        <v>0</v>
      </c>
      <c r="AC290">
        <f>IF(L$6="",0,SUMIFS('Budget ed extra'!$G$7:$G$42,'Budget ed extra'!$J$7:$J$42,$A290,'Budget ed extra'!$H$7:$H$42,L$6))</f>
        <v>0</v>
      </c>
      <c r="AD290">
        <f>IF(M$6="",0,SUMIFS('Budget ed extra'!$G$7:$G$42,'Budget ed extra'!$J$7:$J$42,$A290,'Budget ed extra'!$H$7:$H$42,M$6))</f>
        <v>0</v>
      </c>
      <c r="AE290">
        <f>IF(N$6="",0,SUMIFS('Budget ed extra'!$G$7:$G$42,'Budget ed extra'!$J$7:$J$42,$A290,'Budget ed extra'!$H$7:$H$42,N$6))</f>
        <v>0</v>
      </c>
    </row>
    <row r="291">
      <c r="A291" t="n">
        <v>261</v>
      </c>
      <c r="B291">
        <f>DATE($B$2,$B$3+A291-1,1)</f>
        <v>54240.0</v>
      </c>
      <c r="C291">
        <f>IF(D291=0,N(Impostazioni!$B$6),SUMIFS('Budget ed extra'!$B$7:$B$18,'Budget ed extra'!$D$7:$D$18,D291)/COUNTIFS('Budget ed extra'!$D$7:$D$18,D291))</f>
        <v>900</v>
      </c>
      <c r="D291">
        <f>SUMPRODUCT(MAX(('Budget ed extra'!$D$7:$D$18&lt;=A291)*'Budget ed extra'!$D$7:$D$18))</f>
        <v>9</v>
      </c>
      <c r="E291">
        <f>SUMIFS('Budget ed extra'!$G$7:$G$42,'Budget ed extra'!$J$7:$J$42,A291)</f>
        <v>0</v>
      </c>
      <c r="F291">
        <f>SUM(T291:AE291)</f>
        <v>0</v>
      </c>
      <c r="G291">
        <f>MAX(0,E291-F291)</f>
        <v>0</v>
      </c>
      <c r="H291">
        <f>IF($A291&gt;=C$10,C$11,C$9)/12</f>
        <v>0.01575</v>
      </c>
      <c r="I291">
        <f>IF($A291&gt;=D$10,D$11,D$9)/12</f>
        <v>0.01825</v>
      </c>
      <c r="J291">
        <f>IF($A291&gt;=E$10,E$11,E$9)/12</f>
        <v>0.00766666666666667</v>
      </c>
      <c r="K291">
        <f>IF($A291&gt;=F$10,F$11,F$9)/12</f>
        <v>0.00533333333333333</v>
      </c>
      <c r="L291">
        <f>IF($A291&gt;=G$10,G$11,G$9)/12</f>
        <v>0</v>
      </c>
      <c r="M291">
        <f>IF($A291&gt;=H$10,H$11,H$9)/12</f>
        <v>0</v>
      </c>
      <c r="N291">
        <f>IF($A291&gt;=I$10,I$11,I$9)/12</f>
        <v>0</v>
      </c>
      <c r="O291">
        <f>IF($A291&gt;=J$10,J$11,J$9)/12</f>
        <v>0</v>
      </c>
      <c r="P291">
        <f>IF($A291&gt;=K$10,K$11,K$9)/12</f>
        <v>0</v>
      </c>
      <c r="Q291">
        <f>IF($A291&gt;=L$10,L$11,L$9)/12</f>
        <v>0</v>
      </c>
      <c r="R291">
        <f>IF($A291&gt;=M$10,M$11,M$9)/12</f>
        <v>0</v>
      </c>
      <c r="S291">
        <f>IF($A291&gt;=N$10,N$11,N$9)/12</f>
        <v>0</v>
      </c>
      <c r="T291">
        <f>IF(C$6="",0,SUMIFS('Budget ed extra'!$G$7:$G$42,'Budget ed extra'!$J$7:$J$42,$A291,'Budget ed extra'!$H$7:$H$42,C$6))</f>
        <v>0</v>
      </c>
      <c r="U291">
        <f>IF(D$6="",0,SUMIFS('Budget ed extra'!$G$7:$G$42,'Budget ed extra'!$J$7:$J$42,$A291,'Budget ed extra'!$H$7:$H$42,D$6))</f>
        <v>0</v>
      </c>
      <c r="V291">
        <f>IF(E$6="",0,SUMIFS('Budget ed extra'!$G$7:$G$42,'Budget ed extra'!$J$7:$J$42,$A291,'Budget ed extra'!$H$7:$H$42,E$6))</f>
        <v>0</v>
      </c>
      <c r="W291">
        <f>IF(F$6="",0,SUMIFS('Budget ed extra'!$G$7:$G$42,'Budget ed extra'!$J$7:$J$42,$A291,'Budget ed extra'!$H$7:$H$42,F$6))</f>
        <v>0</v>
      </c>
      <c r="X291">
        <f>IF(G$6="",0,SUMIFS('Budget ed extra'!$G$7:$G$42,'Budget ed extra'!$J$7:$J$42,$A291,'Budget ed extra'!$H$7:$H$42,G$6))</f>
        <v>0</v>
      </c>
      <c r="Y291">
        <f>IF(H$6="",0,SUMIFS('Budget ed extra'!$G$7:$G$42,'Budget ed extra'!$J$7:$J$42,$A291,'Budget ed extra'!$H$7:$H$42,H$6))</f>
        <v>0</v>
      </c>
      <c r="Z291">
        <f>IF(I$6="",0,SUMIFS('Budget ed extra'!$G$7:$G$42,'Budget ed extra'!$J$7:$J$42,$A291,'Budget ed extra'!$H$7:$H$42,I$6))</f>
        <v>0</v>
      </c>
      <c r="AA291">
        <f>IF(J$6="",0,SUMIFS('Budget ed extra'!$G$7:$G$42,'Budget ed extra'!$J$7:$J$42,$A291,'Budget ed extra'!$H$7:$H$42,J$6))</f>
        <v>0</v>
      </c>
      <c r="AB291">
        <f>IF(K$6="",0,SUMIFS('Budget ed extra'!$G$7:$G$42,'Budget ed extra'!$J$7:$J$42,$A291,'Budget ed extra'!$H$7:$H$42,K$6))</f>
        <v>0</v>
      </c>
      <c r="AC291">
        <f>IF(L$6="",0,SUMIFS('Budget ed extra'!$G$7:$G$42,'Budget ed extra'!$J$7:$J$42,$A291,'Budget ed extra'!$H$7:$H$42,L$6))</f>
        <v>0</v>
      </c>
      <c r="AD291">
        <f>IF(M$6="",0,SUMIFS('Budget ed extra'!$G$7:$G$42,'Budget ed extra'!$J$7:$J$42,$A291,'Budget ed extra'!$H$7:$H$42,M$6))</f>
        <v>0</v>
      </c>
      <c r="AE291">
        <f>IF(N$6="",0,SUMIFS('Budget ed extra'!$G$7:$G$42,'Budget ed extra'!$J$7:$J$42,$A291,'Budget ed extra'!$H$7:$H$42,N$6))</f>
        <v>0</v>
      </c>
    </row>
    <row r="292">
      <c r="A292" t="n">
        <v>262</v>
      </c>
      <c r="B292">
        <f>DATE($B$2,$B$3+A292-1,1)</f>
        <v>54271.0</v>
      </c>
      <c r="C292">
        <f>IF(D292=0,N(Impostazioni!$B$6),SUMIFS('Budget ed extra'!$B$7:$B$18,'Budget ed extra'!$D$7:$D$18,D292)/COUNTIFS('Budget ed extra'!$D$7:$D$18,D292))</f>
        <v>900</v>
      </c>
      <c r="D292">
        <f>SUMPRODUCT(MAX(('Budget ed extra'!$D$7:$D$18&lt;=A292)*'Budget ed extra'!$D$7:$D$18))</f>
        <v>9</v>
      </c>
      <c r="E292">
        <f>SUMIFS('Budget ed extra'!$G$7:$G$42,'Budget ed extra'!$J$7:$J$42,A292)</f>
        <v>0</v>
      </c>
      <c r="F292">
        <f>SUM(T292:AE292)</f>
        <v>0</v>
      </c>
      <c r="G292">
        <f>MAX(0,E292-F292)</f>
        <v>0</v>
      </c>
      <c r="H292">
        <f>IF($A292&gt;=C$10,C$11,C$9)/12</f>
        <v>0.01575</v>
      </c>
      <c r="I292">
        <f>IF($A292&gt;=D$10,D$11,D$9)/12</f>
        <v>0.01825</v>
      </c>
      <c r="J292">
        <f>IF($A292&gt;=E$10,E$11,E$9)/12</f>
        <v>0.00766666666666667</v>
      </c>
      <c r="K292">
        <f>IF($A292&gt;=F$10,F$11,F$9)/12</f>
        <v>0.00533333333333333</v>
      </c>
      <c r="L292">
        <f>IF($A292&gt;=G$10,G$11,G$9)/12</f>
        <v>0</v>
      </c>
      <c r="M292">
        <f>IF($A292&gt;=H$10,H$11,H$9)/12</f>
        <v>0</v>
      </c>
      <c r="N292">
        <f>IF($A292&gt;=I$10,I$11,I$9)/12</f>
        <v>0</v>
      </c>
      <c r="O292">
        <f>IF($A292&gt;=J$10,J$11,J$9)/12</f>
        <v>0</v>
      </c>
      <c r="P292">
        <f>IF($A292&gt;=K$10,K$11,K$9)/12</f>
        <v>0</v>
      </c>
      <c r="Q292">
        <f>IF($A292&gt;=L$10,L$11,L$9)/12</f>
        <v>0</v>
      </c>
      <c r="R292">
        <f>IF($A292&gt;=M$10,M$11,M$9)/12</f>
        <v>0</v>
      </c>
      <c r="S292">
        <f>IF($A292&gt;=N$10,N$11,N$9)/12</f>
        <v>0</v>
      </c>
      <c r="T292">
        <f>IF(C$6="",0,SUMIFS('Budget ed extra'!$G$7:$G$42,'Budget ed extra'!$J$7:$J$42,$A292,'Budget ed extra'!$H$7:$H$42,C$6))</f>
        <v>0</v>
      </c>
      <c r="U292">
        <f>IF(D$6="",0,SUMIFS('Budget ed extra'!$G$7:$G$42,'Budget ed extra'!$J$7:$J$42,$A292,'Budget ed extra'!$H$7:$H$42,D$6))</f>
        <v>0</v>
      </c>
      <c r="V292">
        <f>IF(E$6="",0,SUMIFS('Budget ed extra'!$G$7:$G$42,'Budget ed extra'!$J$7:$J$42,$A292,'Budget ed extra'!$H$7:$H$42,E$6))</f>
        <v>0</v>
      </c>
      <c r="W292">
        <f>IF(F$6="",0,SUMIFS('Budget ed extra'!$G$7:$G$42,'Budget ed extra'!$J$7:$J$42,$A292,'Budget ed extra'!$H$7:$H$42,F$6))</f>
        <v>0</v>
      </c>
      <c r="X292">
        <f>IF(G$6="",0,SUMIFS('Budget ed extra'!$G$7:$G$42,'Budget ed extra'!$J$7:$J$42,$A292,'Budget ed extra'!$H$7:$H$42,G$6))</f>
        <v>0</v>
      </c>
      <c r="Y292">
        <f>IF(H$6="",0,SUMIFS('Budget ed extra'!$G$7:$G$42,'Budget ed extra'!$J$7:$J$42,$A292,'Budget ed extra'!$H$7:$H$42,H$6))</f>
        <v>0</v>
      </c>
      <c r="Z292">
        <f>IF(I$6="",0,SUMIFS('Budget ed extra'!$G$7:$G$42,'Budget ed extra'!$J$7:$J$42,$A292,'Budget ed extra'!$H$7:$H$42,I$6))</f>
        <v>0</v>
      </c>
      <c r="AA292">
        <f>IF(J$6="",0,SUMIFS('Budget ed extra'!$G$7:$G$42,'Budget ed extra'!$J$7:$J$42,$A292,'Budget ed extra'!$H$7:$H$42,J$6))</f>
        <v>0</v>
      </c>
      <c r="AB292">
        <f>IF(K$6="",0,SUMIFS('Budget ed extra'!$G$7:$G$42,'Budget ed extra'!$J$7:$J$42,$A292,'Budget ed extra'!$H$7:$H$42,K$6))</f>
        <v>0</v>
      </c>
      <c r="AC292">
        <f>IF(L$6="",0,SUMIFS('Budget ed extra'!$G$7:$G$42,'Budget ed extra'!$J$7:$J$42,$A292,'Budget ed extra'!$H$7:$H$42,L$6))</f>
        <v>0</v>
      </c>
      <c r="AD292">
        <f>IF(M$6="",0,SUMIFS('Budget ed extra'!$G$7:$G$42,'Budget ed extra'!$J$7:$J$42,$A292,'Budget ed extra'!$H$7:$H$42,M$6))</f>
        <v>0</v>
      </c>
      <c r="AE292">
        <f>IF(N$6="",0,SUMIFS('Budget ed extra'!$G$7:$G$42,'Budget ed extra'!$J$7:$J$42,$A292,'Budget ed extra'!$H$7:$H$42,N$6))</f>
        <v>0</v>
      </c>
    </row>
    <row r="293">
      <c r="A293" t="n">
        <v>263</v>
      </c>
      <c r="B293">
        <f>DATE($B$2,$B$3+A293-1,1)</f>
        <v>54302.0</v>
      </c>
      <c r="C293">
        <f>IF(D293=0,N(Impostazioni!$B$6),SUMIFS('Budget ed extra'!$B$7:$B$18,'Budget ed extra'!$D$7:$D$18,D293)/COUNTIFS('Budget ed extra'!$D$7:$D$18,D293))</f>
        <v>900</v>
      </c>
      <c r="D293">
        <f>SUMPRODUCT(MAX(('Budget ed extra'!$D$7:$D$18&lt;=A293)*'Budget ed extra'!$D$7:$D$18))</f>
        <v>9</v>
      </c>
      <c r="E293">
        <f>SUMIFS('Budget ed extra'!$G$7:$G$42,'Budget ed extra'!$J$7:$J$42,A293)</f>
        <v>0</v>
      </c>
      <c r="F293">
        <f>SUM(T293:AE293)</f>
        <v>0</v>
      </c>
      <c r="G293">
        <f>MAX(0,E293-F293)</f>
        <v>0</v>
      </c>
      <c r="H293">
        <f>IF($A293&gt;=C$10,C$11,C$9)/12</f>
        <v>0.01575</v>
      </c>
      <c r="I293">
        <f>IF($A293&gt;=D$10,D$11,D$9)/12</f>
        <v>0.01825</v>
      </c>
      <c r="J293">
        <f>IF($A293&gt;=E$10,E$11,E$9)/12</f>
        <v>0.00766666666666667</v>
      </c>
      <c r="K293">
        <f>IF($A293&gt;=F$10,F$11,F$9)/12</f>
        <v>0.00533333333333333</v>
      </c>
      <c r="L293">
        <f>IF($A293&gt;=G$10,G$11,G$9)/12</f>
        <v>0</v>
      </c>
      <c r="M293">
        <f>IF($A293&gt;=H$10,H$11,H$9)/12</f>
        <v>0</v>
      </c>
      <c r="N293">
        <f>IF($A293&gt;=I$10,I$11,I$9)/12</f>
        <v>0</v>
      </c>
      <c r="O293">
        <f>IF($A293&gt;=J$10,J$11,J$9)/12</f>
        <v>0</v>
      </c>
      <c r="P293">
        <f>IF($A293&gt;=K$10,K$11,K$9)/12</f>
        <v>0</v>
      </c>
      <c r="Q293">
        <f>IF($A293&gt;=L$10,L$11,L$9)/12</f>
        <v>0</v>
      </c>
      <c r="R293">
        <f>IF($A293&gt;=M$10,M$11,M$9)/12</f>
        <v>0</v>
      </c>
      <c r="S293">
        <f>IF($A293&gt;=N$10,N$11,N$9)/12</f>
        <v>0</v>
      </c>
      <c r="T293">
        <f>IF(C$6="",0,SUMIFS('Budget ed extra'!$G$7:$G$42,'Budget ed extra'!$J$7:$J$42,$A293,'Budget ed extra'!$H$7:$H$42,C$6))</f>
        <v>0</v>
      </c>
      <c r="U293">
        <f>IF(D$6="",0,SUMIFS('Budget ed extra'!$G$7:$G$42,'Budget ed extra'!$J$7:$J$42,$A293,'Budget ed extra'!$H$7:$H$42,D$6))</f>
        <v>0</v>
      </c>
      <c r="V293">
        <f>IF(E$6="",0,SUMIFS('Budget ed extra'!$G$7:$G$42,'Budget ed extra'!$J$7:$J$42,$A293,'Budget ed extra'!$H$7:$H$42,E$6))</f>
        <v>0</v>
      </c>
      <c r="W293">
        <f>IF(F$6="",0,SUMIFS('Budget ed extra'!$G$7:$G$42,'Budget ed extra'!$J$7:$J$42,$A293,'Budget ed extra'!$H$7:$H$42,F$6))</f>
        <v>0</v>
      </c>
      <c r="X293">
        <f>IF(G$6="",0,SUMIFS('Budget ed extra'!$G$7:$G$42,'Budget ed extra'!$J$7:$J$42,$A293,'Budget ed extra'!$H$7:$H$42,G$6))</f>
        <v>0</v>
      </c>
      <c r="Y293">
        <f>IF(H$6="",0,SUMIFS('Budget ed extra'!$G$7:$G$42,'Budget ed extra'!$J$7:$J$42,$A293,'Budget ed extra'!$H$7:$H$42,H$6))</f>
        <v>0</v>
      </c>
      <c r="Z293">
        <f>IF(I$6="",0,SUMIFS('Budget ed extra'!$G$7:$G$42,'Budget ed extra'!$J$7:$J$42,$A293,'Budget ed extra'!$H$7:$H$42,I$6))</f>
        <v>0</v>
      </c>
      <c r="AA293">
        <f>IF(J$6="",0,SUMIFS('Budget ed extra'!$G$7:$G$42,'Budget ed extra'!$J$7:$J$42,$A293,'Budget ed extra'!$H$7:$H$42,J$6))</f>
        <v>0</v>
      </c>
      <c r="AB293">
        <f>IF(K$6="",0,SUMIFS('Budget ed extra'!$G$7:$G$42,'Budget ed extra'!$J$7:$J$42,$A293,'Budget ed extra'!$H$7:$H$42,K$6))</f>
        <v>0</v>
      </c>
      <c r="AC293">
        <f>IF(L$6="",0,SUMIFS('Budget ed extra'!$G$7:$G$42,'Budget ed extra'!$J$7:$J$42,$A293,'Budget ed extra'!$H$7:$H$42,L$6))</f>
        <v>0</v>
      </c>
      <c r="AD293">
        <f>IF(M$6="",0,SUMIFS('Budget ed extra'!$G$7:$G$42,'Budget ed extra'!$J$7:$J$42,$A293,'Budget ed extra'!$H$7:$H$42,M$6))</f>
        <v>0</v>
      </c>
      <c r="AE293">
        <f>IF(N$6="",0,SUMIFS('Budget ed extra'!$G$7:$G$42,'Budget ed extra'!$J$7:$J$42,$A293,'Budget ed extra'!$H$7:$H$42,N$6))</f>
        <v>0</v>
      </c>
    </row>
    <row r="294">
      <c r="A294" t="n">
        <v>264</v>
      </c>
      <c r="B294">
        <f>DATE($B$2,$B$3+A294-1,1)</f>
        <v>54332.0</v>
      </c>
      <c r="C294">
        <f>IF(D294=0,N(Impostazioni!$B$6),SUMIFS('Budget ed extra'!$B$7:$B$18,'Budget ed extra'!$D$7:$D$18,D294)/COUNTIFS('Budget ed extra'!$D$7:$D$18,D294))</f>
        <v>900</v>
      </c>
      <c r="D294">
        <f>SUMPRODUCT(MAX(('Budget ed extra'!$D$7:$D$18&lt;=A294)*'Budget ed extra'!$D$7:$D$18))</f>
        <v>9</v>
      </c>
      <c r="E294">
        <f>SUMIFS('Budget ed extra'!$G$7:$G$42,'Budget ed extra'!$J$7:$J$42,A294)</f>
        <v>0</v>
      </c>
      <c r="F294">
        <f>SUM(T294:AE294)</f>
        <v>0</v>
      </c>
      <c r="G294">
        <f>MAX(0,E294-F294)</f>
        <v>0</v>
      </c>
      <c r="H294">
        <f>IF($A294&gt;=C$10,C$11,C$9)/12</f>
        <v>0.01575</v>
      </c>
      <c r="I294">
        <f>IF($A294&gt;=D$10,D$11,D$9)/12</f>
        <v>0.01825</v>
      </c>
      <c r="J294">
        <f>IF($A294&gt;=E$10,E$11,E$9)/12</f>
        <v>0.00766666666666667</v>
      </c>
      <c r="K294">
        <f>IF($A294&gt;=F$10,F$11,F$9)/12</f>
        <v>0.00533333333333333</v>
      </c>
      <c r="L294">
        <f>IF($A294&gt;=G$10,G$11,G$9)/12</f>
        <v>0</v>
      </c>
      <c r="M294">
        <f>IF($A294&gt;=H$10,H$11,H$9)/12</f>
        <v>0</v>
      </c>
      <c r="N294">
        <f>IF($A294&gt;=I$10,I$11,I$9)/12</f>
        <v>0</v>
      </c>
      <c r="O294">
        <f>IF($A294&gt;=J$10,J$11,J$9)/12</f>
        <v>0</v>
      </c>
      <c r="P294">
        <f>IF($A294&gt;=K$10,K$11,K$9)/12</f>
        <v>0</v>
      </c>
      <c r="Q294">
        <f>IF($A294&gt;=L$10,L$11,L$9)/12</f>
        <v>0</v>
      </c>
      <c r="R294">
        <f>IF($A294&gt;=M$10,M$11,M$9)/12</f>
        <v>0</v>
      </c>
      <c r="S294">
        <f>IF($A294&gt;=N$10,N$11,N$9)/12</f>
        <v>0</v>
      </c>
      <c r="T294">
        <f>IF(C$6="",0,SUMIFS('Budget ed extra'!$G$7:$G$42,'Budget ed extra'!$J$7:$J$42,$A294,'Budget ed extra'!$H$7:$H$42,C$6))</f>
        <v>0</v>
      </c>
      <c r="U294">
        <f>IF(D$6="",0,SUMIFS('Budget ed extra'!$G$7:$G$42,'Budget ed extra'!$J$7:$J$42,$A294,'Budget ed extra'!$H$7:$H$42,D$6))</f>
        <v>0</v>
      </c>
      <c r="V294">
        <f>IF(E$6="",0,SUMIFS('Budget ed extra'!$G$7:$G$42,'Budget ed extra'!$J$7:$J$42,$A294,'Budget ed extra'!$H$7:$H$42,E$6))</f>
        <v>0</v>
      </c>
      <c r="W294">
        <f>IF(F$6="",0,SUMIFS('Budget ed extra'!$G$7:$G$42,'Budget ed extra'!$J$7:$J$42,$A294,'Budget ed extra'!$H$7:$H$42,F$6))</f>
        <v>0</v>
      </c>
      <c r="X294">
        <f>IF(G$6="",0,SUMIFS('Budget ed extra'!$G$7:$G$42,'Budget ed extra'!$J$7:$J$42,$A294,'Budget ed extra'!$H$7:$H$42,G$6))</f>
        <v>0</v>
      </c>
      <c r="Y294">
        <f>IF(H$6="",0,SUMIFS('Budget ed extra'!$G$7:$G$42,'Budget ed extra'!$J$7:$J$42,$A294,'Budget ed extra'!$H$7:$H$42,H$6))</f>
        <v>0</v>
      </c>
      <c r="Z294">
        <f>IF(I$6="",0,SUMIFS('Budget ed extra'!$G$7:$G$42,'Budget ed extra'!$J$7:$J$42,$A294,'Budget ed extra'!$H$7:$H$42,I$6))</f>
        <v>0</v>
      </c>
      <c r="AA294">
        <f>IF(J$6="",0,SUMIFS('Budget ed extra'!$G$7:$G$42,'Budget ed extra'!$J$7:$J$42,$A294,'Budget ed extra'!$H$7:$H$42,J$6))</f>
        <v>0</v>
      </c>
      <c r="AB294">
        <f>IF(K$6="",0,SUMIFS('Budget ed extra'!$G$7:$G$42,'Budget ed extra'!$J$7:$J$42,$A294,'Budget ed extra'!$H$7:$H$42,K$6))</f>
        <v>0</v>
      </c>
      <c r="AC294">
        <f>IF(L$6="",0,SUMIFS('Budget ed extra'!$G$7:$G$42,'Budget ed extra'!$J$7:$J$42,$A294,'Budget ed extra'!$H$7:$H$42,L$6))</f>
        <v>0</v>
      </c>
      <c r="AD294">
        <f>IF(M$6="",0,SUMIFS('Budget ed extra'!$G$7:$G$42,'Budget ed extra'!$J$7:$J$42,$A294,'Budget ed extra'!$H$7:$H$42,M$6))</f>
        <v>0</v>
      </c>
      <c r="AE294">
        <f>IF(N$6="",0,SUMIFS('Budget ed extra'!$G$7:$G$42,'Budget ed extra'!$J$7:$J$42,$A294,'Budget ed extra'!$H$7:$H$42,N$6))</f>
        <v>0</v>
      </c>
    </row>
    <row r="295">
      <c r="A295" t="n">
        <v>265</v>
      </c>
      <c r="B295">
        <f>DATE($B$2,$B$3+A295-1,1)</f>
        <v>54363.0</v>
      </c>
      <c r="C295">
        <f>IF(D295=0,N(Impostazioni!$B$6),SUMIFS('Budget ed extra'!$B$7:$B$18,'Budget ed extra'!$D$7:$D$18,D295)/COUNTIFS('Budget ed extra'!$D$7:$D$18,D295))</f>
        <v>900</v>
      </c>
      <c r="D295">
        <f>SUMPRODUCT(MAX(('Budget ed extra'!$D$7:$D$18&lt;=A295)*'Budget ed extra'!$D$7:$D$18))</f>
        <v>9</v>
      </c>
      <c r="E295">
        <f>SUMIFS('Budget ed extra'!$G$7:$G$42,'Budget ed extra'!$J$7:$J$42,A295)</f>
        <v>0</v>
      </c>
      <c r="F295">
        <f>SUM(T295:AE295)</f>
        <v>0</v>
      </c>
      <c r="G295">
        <f>MAX(0,E295-F295)</f>
        <v>0</v>
      </c>
      <c r="H295">
        <f>IF($A295&gt;=C$10,C$11,C$9)/12</f>
        <v>0.01575</v>
      </c>
      <c r="I295">
        <f>IF($A295&gt;=D$10,D$11,D$9)/12</f>
        <v>0.01825</v>
      </c>
      <c r="J295">
        <f>IF($A295&gt;=E$10,E$11,E$9)/12</f>
        <v>0.00766666666666667</v>
      </c>
      <c r="K295">
        <f>IF($A295&gt;=F$10,F$11,F$9)/12</f>
        <v>0.00533333333333333</v>
      </c>
      <c r="L295">
        <f>IF($A295&gt;=G$10,G$11,G$9)/12</f>
        <v>0</v>
      </c>
      <c r="M295">
        <f>IF($A295&gt;=H$10,H$11,H$9)/12</f>
        <v>0</v>
      </c>
      <c r="N295">
        <f>IF($A295&gt;=I$10,I$11,I$9)/12</f>
        <v>0</v>
      </c>
      <c r="O295">
        <f>IF($A295&gt;=J$10,J$11,J$9)/12</f>
        <v>0</v>
      </c>
      <c r="P295">
        <f>IF($A295&gt;=K$10,K$11,K$9)/12</f>
        <v>0</v>
      </c>
      <c r="Q295">
        <f>IF($A295&gt;=L$10,L$11,L$9)/12</f>
        <v>0</v>
      </c>
      <c r="R295">
        <f>IF($A295&gt;=M$10,M$11,M$9)/12</f>
        <v>0</v>
      </c>
      <c r="S295">
        <f>IF($A295&gt;=N$10,N$11,N$9)/12</f>
        <v>0</v>
      </c>
      <c r="T295">
        <f>IF(C$6="",0,SUMIFS('Budget ed extra'!$G$7:$G$42,'Budget ed extra'!$J$7:$J$42,$A295,'Budget ed extra'!$H$7:$H$42,C$6))</f>
        <v>0</v>
      </c>
      <c r="U295">
        <f>IF(D$6="",0,SUMIFS('Budget ed extra'!$G$7:$G$42,'Budget ed extra'!$J$7:$J$42,$A295,'Budget ed extra'!$H$7:$H$42,D$6))</f>
        <v>0</v>
      </c>
      <c r="V295">
        <f>IF(E$6="",0,SUMIFS('Budget ed extra'!$G$7:$G$42,'Budget ed extra'!$J$7:$J$42,$A295,'Budget ed extra'!$H$7:$H$42,E$6))</f>
        <v>0</v>
      </c>
      <c r="W295">
        <f>IF(F$6="",0,SUMIFS('Budget ed extra'!$G$7:$G$42,'Budget ed extra'!$J$7:$J$42,$A295,'Budget ed extra'!$H$7:$H$42,F$6))</f>
        <v>0</v>
      </c>
      <c r="X295">
        <f>IF(G$6="",0,SUMIFS('Budget ed extra'!$G$7:$G$42,'Budget ed extra'!$J$7:$J$42,$A295,'Budget ed extra'!$H$7:$H$42,G$6))</f>
        <v>0</v>
      </c>
      <c r="Y295">
        <f>IF(H$6="",0,SUMIFS('Budget ed extra'!$G$7:$G$42,'Budget ed extra'!$J$7:$J$42,$A295,'Budget ed extra'!$H$7:$H$42,H$6))</f>
        <v>0</v>
      </c>
      <c r="Z295">
        <f>IF(I$6="",0,SUMIFS('Budget ed extra'!$G$7:$G$42,'Budget ed extra'!$J$7:$J$42,$A295,'Budget ed extra'!$H$7:$H$42,I$6))</f>
        <v>0</v>
      </c>
      <c r="AA295">
        <f>IF(J$6="",0,SUMIFS('Budget ed extra'!$G$7:$G$42,'Budget ed extra'!$J$7:$J$42,$A295,'Budget ed extra'!$H$7:$H$42,J$6))</f>
        <v>0</v>
      </c>
      <c r="AB295">
        <f>IF(K$6="",0,SUMIFS('Budget ed extra'!$G$7:$G$42,'Budget ed extra'!$J$7:$J$42,$A295,'Budget ed extra'!$H$7:$H$42,K$6))</f>
        <v>0</v>
      </c>
      <c r="AC295">
        <f>IF(L$6="",0,SUMIFS('Budget ed extra'!$G$7:$G$42,'Budget ed extra'!$J$7:$J$42,$A295,'Budget ed extra'!$H$7:$H$42,L$6))</f>
        <v>0</v>
      </c>
      <c r="AD295">
        <f>IF(M$6="",0,SUMIFS('Budget ed extra'!$G$7:$G$42,'Budget ed extra'!$J$7:$J$42,$A295,'Budget ed extra'!$H$7:$H$42,M$6))</f>
        <v>0</v>
      </c>
      <c r="AE295">
        <f>IF(N$6="",0,SUMIFS('Budget ed extra'!$G$7:$G$42,'Budget ed extra'!$J$7:$J$42,$A295,'Budget ed extra'!$H$7:$H$42,N$6))</f>
        <v>0</v>
      </c>
    </row>
    <row r="296">
      <c r="A296" t="n">
        <v>266</v>
      </c>
      <c r="B296">
        <f>DATE($B$2,$B$3+A296-1,1)</f>
        <v>54393.0</v>
      </c>
      <c r="C296">
        <f>IF(D296=0,N(Impostazioni!$B$6),SUMIFS('Budget ed extra'!$B$7:$B$18,'Budget ed extra'!$D$7:$D$18,D296)/COUNTIFS('Budget ed extra'!$D$7:$D$18,D296))</f>
        <v>900</v>
      </c>
      <c r="D296">
        <f>SUMPRODUCT(MAX(('Budget ed extra'!$D$7:$D$18&lt;=A296)*'Budget ed extra'!$D$7:$D$18))</f>
        <v>9</v>
      </c>
      <c r="E296">
        <f>SUMIFS('Budget ed extra'!$G$7:$G$42,'Budget ed extra'!$J$7:$J$42,A296)</f>
        <v>0</v>
      </c>
      <c r="F296">
        <f>SUM(T296:AE296)</f>
        <v>0</v>
      </c>
      <c r="G296">
        <f>MAX(0,E296-F296)</f>
        <v>0</v>
      </c>
      <c r="H296">
        <f>IF($A296&gt;=C$10,C$11,C$9)/12</f>
        <v>0.01575</v>
      </c>
      <c r="I296">
        <f>IF($A296&gt;=D$10,D$11,D$9)/12</f>
        <v>0.01825</v>
      </c>
      <c r="J296">
        <f>IF($A296&gt;=E$10,E$11,E$9)/12</f>
        <v>0.00766666666666667</v>
      </c>
      <c r="K296">
        <f>IF($A296&gt;=F$10,F$11,F$9)/12</f>
        <v>0.00533333333333333</v>
      </c>
      <c r="L296">
        <f>IF($A296&gt;=G$10,G$11,G$9)/12</f>
        <v>0</v>
      </c>
      <c r="M296">
        <f>IF($A296&gt;=H$10,H$11,H$9)/12</f>
        <v>0</v>
      </c>
      <c r="N296">
        <f>IF($A296&gt;=I$10,I$11,I$9)/12</f>
        <v>0</v>
      </c>
      <c r="O296">
        <f>IF($A296&gt;=J$10,J$11,J$9)/12</f>
        <v>0</v>
      </c>
      <c r="P296">
        <f>IF($A296&gt;=K$10,K$11,K$9)/12</f>
        <v>0</v>
      </c>
      <c r="Q296">
        <f>IF($A296&gt;=L$10,L$11,L$9)/12</f>
        <v>0</v>
      </c>
      <c r="R296">
        <f>IF($A296&gt;=M$10,M$11,M$9)/12</f>
        <v>0</v>
      </c>
      <c r="S296">
        <f>IF($A296&gt;=N$10,N$11,N$9)/12</f>
        <v>0</v>
      </c>
      <c r="T296">
        <f>IF(C$6="",0,SUMIFS('Budget ed extra'!$G$7:$G$42,'Budget ed extra'!$J$7:$J$42,$A296,'Budget ed extra'!$H$7:$H$42,C$6))</f>
        <v>0</v>
      </c>
      <c r="U296">
        <f>IF(D$6="",0,SUMIFS('Budget ed extra'!$G$7:$G$42,'Budget ed extra'!$J$7:$J$42,$A296,'Budget ed extra'!$H$7:$H$42,D$6))</f>
        <v>0</v>
      </c>
      <c r="V296">
        <f>IF(E$6="",0,SUMIFS('Budget ed extra'!$G$7:$G$42,'Budget ed extra'!$J$7:$J$42,$A296,'Budget ed extra'!$H$7:$H$42,E$6))</f>
        <v>0</v>
      </c>
      <c r="W296">
        <f>IF(F$6="",0,SUMIFS('Budget ed extra'!$G$7:$G$42,'Budget ed extra'!$J$7:$J$42,$A296,'Budget ed extra'!$H$7:$H$42,F$6))</f>
        <v>0</v>
      </c>
      <c r="X296">
        <f>IF(G$6="",0,SUMIFS('Budget ed extra'!$G$7:$G$42,'Budget ed extra'!$J$7:$J$42,$A296,'Budget ed extra'!$H$7:$H$42,G$6))</f>
        <v>0</v>
      </c>
      <c r="Y296">
        <f>IF(H$6="",0,SUMIFS('Budget ed extra'!$G$7:$G$42,'Budget ed extra'!$J$7:$J$42,$A296,'Budget ed extra'!$H$7:$H$42,H$6))</f>
        <v>0</v>
      </c>
      <c r="Z296">
        <f>IF(I$6="",0,SUMIFS('Budget ed extra'!$G$7:$G$42,'Budget ed extra'!$J$7:$J$42,$A296,'Budget ed extra'!$H$7:$H$42,I$6))</f>
        <v>0</v>
      </c>
      <c r="AA296">
        <f>IF(J$6="",0,SUMIFS('Budget ed extra'!$G$7:$G$42,'Budget ed extra'!$J$7:$J$42,$A296,'Budget ed extra'!$H$7:$H$42,J$6))</f>
        <v>0</v>
      </c>
      <c r="AB296">
        <f>IF(K$6="",0,SUMIFS('Budget ed extra'!$G$7:$G$42,'Budget ed extra'!$J$7:$J$42,$A296,'Budget ed extra'!$H$7:$H$42,K$6))</f>
        <v>0</v>
      </c>
      <c r="AC296">
        <f>IF(L$6="",0,SUMIFS('Budget ed extra'!$G$7:$G$42,'Budget ed extra'!$J$7:$J$42,$A296,'Budget ed extra'!$H$7:$H$42,L$6))</f>
        <v>0</v>
      </c>
      <c r="AD296">
        <f>IF(M$6="",0,SUMIFS('Budget ed extra'!$G$7:$G$42,'Budget ed extra'!$J$7:$J$42,$A296,'Budget ed extra'!$H$7:$H$42,M$6))</f>
        <v>0</v>
      </c>
      <c r="AE296">
        <f>IF(N$6="",0,SUMIFS('Budget ed extra'!$G$7:$G$42,'Budget ed extra'!$J$7:$J$42,$A296,'Budget ed extra'!$H$7:$H$42,N$6))</f>
        <v>0</v>
      </c>
    </row>
    <row r="297">
      <c r="A297" t="n">
        <v>267</v>
      </c>
      <c r="B297">
        <f>DATE($B$2,$B$3+A297-1,1)</f>
        <v>54424.0</v>
      </c>
      <c r="C297">
        <f>IF(D297=0,N(Impostazioni!$B$6),SUMIFS('Budget ed extra'!$B$7:$B$18,'Budget ed extra'!$D$7:$D$18,D297)/COUNTIFS('Budget ed extra'!$D$7:$D$18,D297))</f>
        <v>900</v>
      </c>
      <c r="D297">
        <f>SUMPRODUCT(MAX(('Budget ed extra'!$D$7:$D$18&lt;=A297)*'Budget ed extra'!$D$7:$D$18))</f>
        <v>9</v>
      </c>
      <c r="E297">
        <f>SUMIFS('Budget ed extra'!$G$7:$G$42,'Budget ed extra'!$J$7:$J$42,A297)</f>
        <v>0</v>
      </c>
      <c r="F297">
        <f>SUM(T297:AE297)</f>
        <v>0</v>
      </c>
      <c r="G297">
        <f>MAX(0,E297-F297)</f>
        <v>0</v>
      </c>
      <c r="H297">
        <f>IF($A297&gt;=C$10,C$11,C$9)/12</f>
        <v>0.01575</v>
      </c>
      <c r="I297">
        <f>IF($A297&gt;=D$10,D$11,D$9)/12</f>
        <v>0.01825</v>
      </c>
      <c r="J297">
        <f>IF($A297&gt;=E$10,E$11,E$9)/12</f>
        <v>0.00766666666666667</v>
      </c>
      <c r="K297">
        <f>IF($A297&gt;=F$10,F$11,F$9)/12</f>
        <v>0.00533333333333333</v>
      </c>
      <c r="L297">
        <f>IF($A297&gt;=G$10,G$11,G$9)/12</f>
        <v>0</v>
      </c>
      <c r="M297">
        <f>IF($A297&gt;=H$10,H$11,H$9)/12</f>
        <v>0</v>
      </c>
      <c r="N297">
        <f>IF($A297&gt;=I$10,I$11,I$9)/12</f>
        <v>0</v>
      </c>
      <c r="O297">
        <f>IF($A297&gt;=J$10,J$11,J$9)/12</f>
        <v>0</v>
      </c>
      <c r="P297">
        <f>IF($A297&gt;=K$10,K$11,K$9)/12</f>
        <v>0</v>
      </c>
      <c r="Q297">
        <f>IF($A297&gt;=L$10,L$11,L$9)/12</f>
        <v>0</v>
      </c>
      <c r="R297">
        <f>IF($A297&gt;=M$10,M$11,M$9)/12</f>
        <v>0</v>
      </c>
      <c r="S297">
        <f>IF($A297&gt;=N$10,N$11,N$9)/12</f>
        <v>0</v>
      </c>
      <c r="T297">
        <f>IF(C$6="",0,SUMIFS('Budget ed extra'!$G$7:$G$42,'Budget ed extra'!$J$7:$J$42,$A297,'Budget ed extra'!$H$7:$H$42,C$6))</f>
        <v>0</v>
      </c>
      <c r="U297">
        <f>IF(D$6="",0,SUMIFS('Budget ed extra'!$G$7:$G$42,'Budget ed extra'!$J$7:$J$42,$A297,'Budget ed extra'!$H$7:$H$42,D$6))</f>
        <v>0</v>
      </c>
      <c r="V297">
        <f>IF(E$6="",0,SUMIFS('Budget ed extra'!$G$7:$G$42,'Budget ed extra'!$J$7:$J$42,$A297,'Budget ed extra'!$H$7:$H$42,E$6))</f>
        <v>0</v>
      </c>
      <c r="W297">
        <f>IF(F$6="",0,SUMIFS('Budget ed extra'!$G$7:$G$42,'Budget ed extra'!$J$7:$J$42,$A297,'Budget ed extra'!$H$7:$H$42,F$6))</f>
        <v>0</v>
      </c>
      <c r="X297">
        <f>IF(G$6="",0,SUMIFS('Budget ed extra'!$G$7:$G$42,'Budget ed extra'!$J$7:$J$42,$A297,'Budget ed extra'!$H$7:$H$42,G$6))</f>
        <v>0</v>
      </c>
      <c r="Y297">
        <f>IF(H$6="",0,SUMIFS('Budget ed extra'!$G$7:$G$42,'Budget ed extra'!$J$7:$J$42,$A297,'Budget ed extra'!$H$7:$H$42,H$6))</f>
        <v>0</v>
      </c>
      <c r="Z297">
        <f>IF(I$6="",0,SUMIFS('Budget ed extra'!$G$7:$G$42,'Budget ed extra'!$J$7:$J$42,$A297,'Budget ed extra'!$H$7:$H$42,I$6))</f>
        <v>0</v>
      </c>
      <c r="AA297">
        <f>IF(J$6="",0,SUMIFS('Budget ed extra'!$G$7:$G$42,'Budget ed extra'!$J$7:$J$42,$A297,'Budget ed extra'!$H$7:$H$42,J$6))</f>
        <v>0</v>
      </c>
      <c r="AB297">
        <f>IF(K$6="",0,SUMIFS('Budget ed extra'!$G$7:$G$42,'Budget ed extra'!$J$7:$J$42,$A297,'Budget ed extra'!$H$7:$H$42,K$6))</f>
        <v>0</v>
      </c>
      <c r="AC297">
        <f>IF(L$6="",0,SUMIFS('Budget ed extra'!$G$7:$G$42,'Budget ed extra'!$J$7:$J$42,$A297,'Budget ed extra'!$H$7:$H$42,L$6))</f>
        <v>0</v>
      </c>
      <c r="AD297">
        <f>IF(M$6="",0,SUMIFS('Budget ed extra'!$G$7:$G$42,'Budget ed extra'!$J$7:$J$42,$A297,'Budget ed extra'!$H$7:$H$42,M$6))</f>
        <v>0</v>
      </c>
      <c r="AE297">
        <f>IF(N$6="",0,SUMIFS('Budget ed extra'!$G$7:$G$42,'Budget ed extra'!$J$7:$J$42,$A297,'Budget ed extra'!$H$7:$H$42,N$6))</f>
        <v>0</v>
      </c>
    </row>
    <row r="298">
      <c r="A298" t="n">
        <v>268</v>
      </c>
      <c r="B298">
        <f>DATE($B$2,$B$3+A298-1,1)</f>
        <v>54455.0</v>
      </c>
      <c r="C298">
        <f>IF(D298=0,N(Impostazioni!$B$6),SUMIFS('Budget ed extra'!$B$7:$B$18,'Budget ed extra'!$D$7:$D$18,D298)/COUNTIFS('Budget ed extra'!$D$7:$D$18,D298))</f>
        <v>900</v>
      </c>
      <c r="D298">
        <f>SUMPRODUCT(MAX(('Budget ed extra'!$D$7:$D$18&lt;=A298)*'Budget ed extra'!$D$7:$D$18))</f>
        <v>9</v>
      </c>
      <c r="E298">
        <f>SUMIFS('Budget ed extra'!$G$7:$G$42,'Budget ed extra'!$J$7:$J$42,A298)</f>
        <v>0</v>
      </c>
      <c r="F298">
        <f>SUM(T298:AE298)</f>
        <v>0</v>
      </c>
      <c r="G298">
        <f>MAX(0,E298-F298)</f>
        <v>0</v>
      </c>
      <c r="H298">
        <f>IF($A298&gt;=C$10,C$11,C$9)/12</f>
        <v>0.01575</v>
      </c>
      <c r="I298">
        <f>IF($A298&gt;=D$10,D$11,D$9)/12</f>
        <v>0.01825</v>
      </c>
      <c r="J298">
        <f>IF($A298&gt;=E$10,E$11,E$9)/12</f>
        <v>0.00766666666666667</v>
      </c>
      <c r="K298">
        <f>IF($A298&gt;=F$10,F$11,F$9)/12</f>
        <v>0.00533333333333333</v>
      </c>
      <c r="L298">
        <f>IF($A298&gt;=G$10,G$11,G$9)/12</f>
        <v>0</v>
      </c>
      <c r="M298">
        <f>IF($A298&gt;=H$10,H$11,H$9)/12</f>
        <v>0</v>
      </c>
      <c r="N298">
        <f>IF($A298&gt;=I$10,I$11,I$9)/12</f>
        <v>0</v>
      </c>
      <c r="O298">
        <f>IF($A298&gt;=J$10,J$11,J$9)/12</f>
        <v>0</v>
      </c>
      <c r="P298">
        <f>IF($A298&gt;=K$10,K$11,K$9)/12</f>
        <v>0</v>
      </c>
      <c r="Q298">
        <f>IF($A298&gt;=L$10,L$11,L$9)/12</f>
        <v>0</v>
      </c>
      <c r="R298">
        <f>IF($A298&gt;=M$10,M$11,M$9)/12</f>
        <v>0</v>
      </c>
      <c r="S298">
        <f>IF($A298&gt;=N$10,N$11,N$9)/12</f>
        <v>0</v>
      </c>
      <c r="T298">
        <f>IF(C$6="",0,SUMIFS('Budget ed extra'!$G$7:$G$42,'Budget ed extra'!$J$7:$J$42,$A298,'Budget ed extra'!$H$7:$H$42,C$6))</f>
        <v>0</v>
      </c>
      <c r="U298">
        <f>IF(D$6="",0,SUMIFS('Budget ed extra'!$G$7:$G$42,'Budget ed extra'!$J$7:$J$42,$A298,'Budget ed extra'!$H$7:$H$42,D$6))</f>
        <v>0</v>
      </c>
      <c r="V298">
        <f>IF(E$6="",0,SUMIFS('Budget ed extra'!$G$7:$G$42,'Budget ed extra'!$J$7:$J$42,$A298,'Budget ed extra'!$H$7:$H$42,E$6))</f>
        <v>0</v>
      </c>
      <c r="W298">
        <f>IF(F$6="",0,SUMIFS('Budget ed extra'!$G$7:$G$42,'Budget ed extra'!$J$7:$J$42,$A298,'Budget ed extra'!$H$7:$H$42,F$6))</f>
        <v>0</v>
      </c>
      <c r="X298">
        <f>IF(G$6="",0,SUMIFS('Budget ed extra'!$G$7:$G$42,'Budget ed extra'!$J$7:$J$42,$A298,'Budget ed extra'!$H$7:$H$42,G$6))</f>
        <v>0</v>
      </c>
      <c r="Y298">
        <f>IF(H$6="",0,SUMIFS('Budget ed extra'!$G$7:$G$42,'Budget ed extra'!$J$7:$J$42,$A298,'Budget ed extra'!$H$7:$H$42,H$6))</f>
        <v>0</v>
      </c>
      <c r="Z298">
        <f>IF(I$6="",0,SUMIFS('Budget ed extra'!$G$7:$G$42,'Budget ed extra'!$J$7:$J$42,$A298,'Budget ed extra'!$H$7:$H$42,I$6))</f>
        <v>0</v>
      </c>
      <c r="AA298">
        <f>IF(J$6="",0,SUMIFS('Budget ed extra'!$G$7:$G$42,'Budget ed extra'!$J$7:$J$42,$A298,'Budget ed extra'!$H$7:$H$42,J$6))</f>
        <v>0</v>
      </c>
      <c r="AB298">
        <f>IF(K$6="",0,SUMIFS('Budget ed extra'!$G$7:$G$42,'Budget ed extra'!$J$7:$J$42,$A298,'Budget ed extra'!$H$7:$H$42,K$6))</f>
        <v>0</v>
      </c>
      <c r="AC298">
        <f>IF(L$6="",0,SUMIFS('Budget ed extra'!$G$7:$G$42,'Budget ed extra'!$J$7:$J$42,$A298,'Budget ed extra'!$H$7:$H$42,L$6))</f>
        <v>0</v>
      </c>
      <c r="AD298">
        <f>IF(M$6="",0,SUMIFS('Budget ed extra'!$G$7:$G$42,'Budget ed extra'!$J$7:$J$42,$A298,'Budget ed extra'!$H$7:$H$42,M$6))</f>
        <v>0</v>
      </c>
      <c r="AE298">
        <f>IF(N$6="",0,SUMIFS('Budget ed extra'!$G$7:$G$42,'Budget ed extra'!$J$7:$J$42,$A298,'Budget ed extra'!$H$7:$H$42,N$6))</f>
        <v>0</v>
      </c>
    </row>
    <row r="299">
      <c r="A299" t="n">
        <v>269</v>
      </c>
      <c r="B299">
        <f>DATE($B$2,$B$3+A299-1,1)</f>
        <v>54483.0</v>
      </c>
      <c r="C299">
        <f>IF(D299=0,N(Impostazioni!$B$6),SUMIFS('Budget ed extra'!$B$7:$B$18,'Budget ed extra'!$D$7:$D$18,D299)/COUNTIFS('Budget ed extra'!$D$7:$D$18,D299))</f>
        <v>900</v>
      </c>
      <c r="D299">
        <f>SUMPRODUCT(MAX(('Budget ed extra'!$D$7:$D$18&lt;=A299)*'Budget ed extra'!$D$7:$D$18))</f>
        <v>9</v>
      </c>
      <c r="E299">
        <f>SUMIFS('Budget ed extra'!$G$7:$G$42,'Budget ed extra'!$J$7:$J$42,A299)</f>
        <v>0</v>
      </c>
      <c r="F299">
        <f>SUM(T299:AE299)</f>
        <v>0</v>
      </c>
      <c r="G299">
        <f>MAX(0,E299-F299)</f>
        <v>0</v>
      </c>
      <c r="H299">
        <f>IF($A299&gt;=C$10,C$11,C$9)/12</f>
        <v>0.01575</v>
      </c>
      <c r="I299">
        <f>IF($A299&gt;=D$10,D$11,D$9)/12</f>
        <v>0.01825</v>
      </c>
      <c r="J299">
        <f>IF($A299&gt;=E$10,E$11,E$9)/12</f>
        <v>0.00766666666666667</v>
      </c>
      <c r="K299">
        <f>IF($A299&gt;=F$10,F$11,F$9)/12</f>
        <v>0.00533333333333333</v>
      </c>
      <c r="L299">
        <f>IF($A299&gt;=G$10,G$11,G$9)/12</f>
        <v>0</v>
      </c>
      <c r="M299">
        <f>IF($A299&gt;=H$10,H$11,H$9)/12</f>
        <v>0</v>
      </c>
      <c r="N299">
        <f>IF($A299&gt;=I$10,I$11,I$9)/12</f>
        <v>0</v>
      </c>
      <c r="O299">
        <f>IF($A299&gt;=J$10,J$11,J$9)/12</f>
        <v>0</v>
      </c>
      <c r="P299">
        <f>IF($A299&gt;=K$10,K$11,K$9)/12</f>
        <v>0</v>
      </c>
      <c r="Q299">
        <f>IF($A299&gt;=L$10,L$11,L$9)/12</f>
        <v>0</v>
      </c>
      <c r="R299">
        <f>IF($A299&gt;=M$10,M$11,M$9)/12</f>
        <v>0</v>
      </c>
      <c r="S299">
        <f>IF($A299&gt;=N$10,N$11,N$9)/12</f>
        <v>0</v>
      </c>
      <c r="T299">
        <f>IF(C$6="",0,SUMIFS('Budget ed extra'!$G$7:$G$42,'Budget ed extra'!$J$7:$J$42,$A299,'Budget ed extra'!$H$7:$H$42,C$6))</f>
        <v>0</v>
      </c>
      <c r="U299">
        <f>IF(D$6="",0,SUMIFS('Budget ed extra'!$G$7:$G$42,'Budget ed extra'!$J$7:$J$42,$A299,'Budget ed extra'!$H$7:$H$42,D$6))</f>
        <v>0</v>
      </c>
      <c r="V299">
        <f>IF(E$6="",0,SUMIFS('Budget ed extra'!$G$7:$G$42,'Budget ed extra'!$J$7:$J$42,$A299,'Budget ed extra'!$H$7:$H$42,E$6))</f>
        <v>0</v>
      </c>
      <c r="W299">
        <f>IF(F$6="",0,SUMIFS('Budget ed extra'!$G$7:$G$42,'Budget ed extra'!$J$7:$J$42,$A299,'Budget ed extra'!$H$7:$H$42,F$6))</f>
        <v>0</v>
      </c>
      <c r="X299">
        <f>IF(G$6="",0,SUMIFS('Budget ed extra'!$G$7:$G$42,'Budget ed extra'!$J$7:$J$42,$A299,'Budget ed extra'!$H$7:$H$42,G$6))</f>
        <v>0</v>
      </c>
      <c r="Y299">
        <f>IF(H$6="",0,SUMIFS('Budget ed extra'!$G$7:$G$42,'Budget ed extra'!$J$7:$J$42,$A299,'Budget ed extra'!$H$7:$H$42,H$6))</f>
        <v>0</v>
      </c>
      <c r="Z299">
        <f>IF(I$6="",0,SUMIFS('Budget ed extra'!$G$7:$G$42,'Budget ed extra'!$J$7:$J$42,$A299,'Budget ed extra'!$H$7:$H$42,I$6))</f>
        <v>0</v>
      </c>
      <c r="AA299">
        <f>IF(J$6="",0,SUMIFS('Budget ed extra'!$G$7:$G$42,'Budget ed extra'!$J$7:$J$42,$A299,'Budget ed extra'!$H$7:$H$42,J$6))</f>
        <v>0</v>
      </c>
      <c r="AB299">
        <f>IF(K$6="",0,SUMIFS('Budget ed extra'!$G$7:$G$42,'Budget ed extra'!$J$7:$J$42,$A299,'Budget ed extra'!$H$7:$H$42,K$6))</f>
        <v>0</v>
      </c>
      <c r="AC299">
        <f>IF(L$6="",0,SUMIFS('Budget ed extra'!$G$7:$G$42,'Budget ed extra'!$J$7:$J$42,$A299,'Budget ed extra'!$H$7:$H$42,L$6))</f>
        <v>0</v>
      </c>
      <c r="AD299">
        <f>IF(M$6="",0,SUMIFS('Budget ed extra'!$G$7:$G$42,'Budget ed extra'!$J$7:$J$42,$A299,'Budget ed extra'!$H$7:$H$42,M$6))</f>
        <v>0</v>
      </c>
      <c r="AE299">
        <f>IF(N$6="",0,SUMIFS('Budget ed extra'!$G$7:$G$42,'Budget ed extra'!$J$7:$J$42,$A299,'Budget ed extra'!$H$7:$H$42,N$6))</f>
        <v>0</v>
      </c>
    </row>
    <row r="300">
      <c r="A300" t="n">
        <v>270</v>
      </c>
      <c r="B300">
        <f>DATE($B$2,$B$3+A300-1,1)</f>
        <v>54514.0</v>
      </c>
      <c r="C300">
        <f>IF(D300=0,N(Impostazioni!$B$6),SUMIFS('Budget ed extra'!$B$7:$B$18,'Budget ed extra'!$D$7:$D$18,D300)/COUNTIFS('Budget ed extra'!$D$7:$D$18,D300))</f>
        <v>900</v>
      </c>
      <c r="D300">
        <f>SUMPRODUCT(MAX(('Budget ed extra'!$D$7:$D$18&lt;=A300)*'Budget ed extra'!$D$7:$D$18))</f>
        <v>9</v>
      </c>
      <c r="E300">
        <f>SUMIFS('Budget ed extra'!$G$7:$G$42,'Budget ed extra'!$J$7:$J$42,A300)</f>
        <v>0</v>
      </c>
      <c r="F300">
        <f>SUM(T300:AE300)</f>
        <v>0</v>
      </c>
      <c r="G300">
        <f>MAX(0,E300-F300)</f>
        <v>0</v>
      </c>
      <c r="H300">
        <f>IF($A300&gt;=C$10,C$11,C$9)/12</f>
        <v>0.01575</v>
      </c>
      <c r="I300">
        <f>IF($A300&gt;=D$10,D$11,D$9)/12</f>
        <v>0.01825</v>
      </c>
      <c r="J300">
        <f>IF($A300&gt;=E$10,E$11,E$9)/12</f>
        <v>0.00766666666666667</v>
      </c>
      <c r="K300">
        <f>IF($A300&gt;=F$10,F$11,F$9)/12</f>
        <v>0.00533333333333333</v>
      </c>
      <c r="L300">
        <f>IF($A300&gt;=G$10,G$11,G$9)/12</f>
        <v>0</v>
      </c>
      <c r="M300">
        <f>IF($A300&gt;=H$10,H$11,H$9)/12</f>
        <v>0</v>
      </c>
      <c r="N300">
        <f>IF($A300&gt;=I$10,I$11,I$9)/12</f>
        <v>0</v>
      </c>
      <c r="O300">
        <f>IF($A300&gt;=J$10,J$11,J$9)/12</f>
        <v>0</v>
      </c>
      <c r="P300">
        <f>IF($A300&gt;=K$10,K$11,K$9)/12</f>
        <v>0</v>
      </c>
      <c r="Q300">
        <f>IF($A300&gt;=L$10,L$11,L$9)/12</f>
        <v>0</v>
      </c>
      <c r="R300">
        <f>IF($A300&gt;=M$10,M$11,M$9)/12</f>
        <v>0</v>
      </c>
      <c r="S300">
        <f>IF($A300&gt;=N$10,N$11,N$9)/12</f>
        <v>0</v>
      </c>
      <c r="T300">
        <f>IF(C$6="",0,SUMIFS('Budget ed extra'!$G$7:$G$42,'Budget ed extra'!$J$7:$J$42,$A300,'Budget ed extra'!$H$7:$H$42,C$6))</f>
        <v>0</v>
      </c>
      <c r="U300">
        <f>IF(D$6="",0,SUMIFS('Budget ed extra'!$G$7:$G$42,'Budget ed extra'!$J$7:$J$42,$A300,'Budget ed extra'!$H$7:$H$42,D$6))</f>
        <v>0</v>
      </c>
      <c r="V300">
        <f>IF(E$6="",0,SUMIFS('Budget ed extra'!$G$7:$G$42,'Budget ed extra'!$J$7:$J$42,$A300,'Budget ed extra'!$H$7:$H$42,E$6))</f>
        <v>0</v>
      </c>
      <c r="W300">
        <f>IF(F$6="",0,SUMIFS('Budget ed extra'!$G$7:$G$42,'Budget ed extra'!$J$7:$J$42,$A300,'Budget ed extra'!$H$7:$H$42,F$6))</f>
        <v>0</v>
      </c>
      <c r="X300">
        <f>IF(G$6="",0,SUMIFS('Budget ed extra'!$G$7:$G$42,'Budget ed extra'!$J$7:$J$42,$A300,'Budget ed extra'!$H$7:$H$42,G$6))</f>
        <v>0</v>
      </c>
      <c r="Y300">
        <f>IF(H$6="",0,SUMIFS('Budget ed extra'!$G$7:$G$42,'Budget ed extra'!$J$7:$J$42,$A300,'Budget ed extra'!$H$7:$H$42,H$6))</f>
        <v>0</v>
      </c>
      <c r="Z300">
        <f>IF(I$6="",0,SUMIFS('Budget ed extra'!$G$7:$G$42,'Budget ed extra'!$J$7:$J$42,$A300,'Budget ed extra'!$H$7:$H$42,I$6))</f>
        <v>0</v>
      </c>
      <c r="AA300">
        <f>IF(J$6="",0,SUMIFS('Budget ed extra'!$G$7:$G$42,'Budget ed extra'!$J$7:$J$42,$A300,'Budget ed extra'!$H$7:$H$42,J$6))</f>
        <v>0</v>
      </c>
      <c r="AB300">
        <f>IF(K$6="",0,SUMIFS('Budget ed extra'!$G$7:$G$42,'Budget ed extra'!$J$7:$J$42,$A300,'Budget ed extra'!$H$7:$H$42,K$6))</f>
        <v>0</v>
      </c>
      <c r="AC300">
        <f>IF(L$6="",0,SUMIFS('Budget ed extra'!$G$7:$G$42,'Budget ed extra'!$J$7:$J$42,$A300,'Budget ed extra'!$H$7:$H$42,L$6))</f>
        <v>0</v>
      </c>
      <c r="AD300">
        <f>IF(M$6="",0,SUMIFS('Budget ed extra'!$G$7:$G$42,'Budget ed extra'!$J$7:$J$42,$A300,'Budget ed extra'!$H$7:$H$42,M$6))</f>
        <v>0</v>
      </c>
      <c r="AE300">
        <f>IF(N$6="",0,SUMIFS('Budget ed extra'!$G$7:$G$42,'Budget ed extra'!$J$7:$J$42,$A300,'Budget ed extra'!$H$7:$H$42,N$6))</f>
        <v>0</v>
      </c>
    </row>
    <row r="301">
      <c r="A301" t="n">
        <v>271</v>
      </c>
      <c r="B301">
        <f>DATE($B$2,$B$3+A301-1,1)</f>
        <v>54544.0</v>
      </c>
      <c r="C301">
        <f>IF(D301=0,N(Impostazioni!$B$6),SUMIFS('Budget ed extra'!$B$7:$B$18,'Budget ed extra'!$D$7:$D$18,D301)/COUNTIFS('Budget ed extra'!$D$7:$D$18,D301))</f>
        <v>900</v>
      </c>
      <c r="D301">
        <f>SUMPRODUCT(MAX(('Budget ed extra'!$D$7:$D$18&lt;=A301)*'Budget ed extra'!$D$7:$D$18))</f>
        <v>9</v>
      </c>
      <c r="E301">
        <f>SUMIFS('Budget ed extra'!$G$7:$G$42,'Budget ed extra'!$J$7:$J$42,A301)</f>
        <v>0</v>
      </c>
      <c r="F301">
        <f>SUM(T301:AE301)</f>
        <v>0</v>
      </c>
      <c r="G301">
        <f>MAX(0,E301-F301)</f>
        <v>0</v>
      </c>
      <c r="H301">
        <f>IF($A301&gt;=C$10,C$11,C$9)/12</f>
        <v>0.01575</v>
      </c>
      <c r="I301">
        <f>IF($A301&gt;=D$10,D$11,D$9)/12</f>
        <v>0.01825</v>
      </c>
      <c r="J301">
        <f>IF($A301&gt;=E$10,E$11,E$9)/12</f>
        <v>0.00766666666666667</v>
      </c>
      <c r="K301">
        <f>IF($A301&gt;=F$10,F$11,F$9)/12</f>
        <v>0.00533333333333333</v>
      </c>
      <c r="L301">
        <f>IF($A301&gt;=G$10,G$11,G$9)/12</f>
        <v>0</v>
      </c>
      <c r="M301">
        <f>IF($A301&gt;=H$10,H$11,H$9)/12</f>
        <v>0</v>
      </c>
      <c r="N301">
        <f>IF($A301&gt;=I$10,I$11,I$9)/12</f>
        <v>0</v>
      </c>
      <c r="O301">
        <f>IF($A301&gt;=J$10,J$11,J$9)/12</f>
        <v>0</v>
      </c>
      <c r="P301">
        <f>IF($A301&gt;=K$10,K$11,K$9)/12</f>
        <v>0</v>
      </c>
      <c r="Q301">
        <f>IF($A301&gt;=L$10,L$11,L$9)/12</f>
        <v>0</v>
      </c>
      <c r="R301">
        <f>IF($A301&gt;=M$10,M$11,M$9)/12</f>
        <v>0</v>
      </c>
      <c r="S301">
        <f>IF($A301&gt;=N$10,N$11,N$9)/12</f>
        <v>0</v>
      </c>
      <c r="T301">
        <f>IF(C$6="",0,SUMIFS('Budget ed extra'!$G$7:$G$42,'Budget ed extra'!$J$7:$J$42,$A301,'Budget ed extra'!$H$7:$H$42,C$6))</f>
        <v>0</v>
      </c>
      <c r="U301">
        <f>IF(D$6="",0,SUMIFS('Budget ed extra'!$G$7:$G$42,'Budget ed extra'!$J$7:$J$42,$A301,'Budget ed extra'!$H$7:$H$42,D$6))</f>
        <v>0</v>
      </c>
      <c r="V301">
        <f>IF(E$6="",0,SUMIFS('Budget ed extra'!$G$7:$G$42,'Budget ed extra'!$J$7:$J$42,$A301,'Budget ed extra'!$H$7:$H$42,E$6))</f>
        <v>0</v>
      </c>
      <c r="W301">
        <f>IF(F$6="",0,SUMIFS('Budget ed extra'!$G$7:$G$42,'Budget ed extra'!$J$7:$J$42,$A301,'Budget ed extra'!$H$7:$H$42,F$6))</f>
        <v>0</v>
      </c>
      <c r="X301">
        <f>IF(G$6="",0,SUMIFS('Budget ed extra'!$G$7:$G$42,'Budget ed extra'!$J$7:$J$42,$A301,'Budget ed extra'!$H$7:$H$42,G$6))</f>
        <v>0</v>
      </c>
      <c r="Y301">
        <f>IF(H$6="",0,SUMIFS('Budget ed extra'!$G$7:$G$42,'Budget ed extra'!$J$7:$J$42,$A301,'Budget ed extra'!$H$7:$H$42,H$6))</f>
        <v>0</v>
      </c>
      <c r="Z301">
        <f>IF(I$6="",0,SUMIFS('Budget ed extra'!$G$7:$G$42,'Budget ed extra'!$J$7:$J$42,$A301,'Budget ed extra'!$H$7:$H$42,I$6))</f>
        <v>0</v>
      </c>
      <c r="AA301">
        <f>IF(J$6="",0,SUMIFS('Budget ed extra'!$G$7:$G$42,'Budget ed extra'!$J$7:$J$42,$A301,'Budget ed extra'!$H$7:$H$42,J$6))</f>
        <v>0</v>
      </c>
      <c r="AB301">
        <f>IF(K$6="",0,SUMIFS('Budget ed extra'!$G$7:$G$42,'Budget ed extra'!$J$7:$J$42,$A301,'Budget ed extra'!$H$7:$H$42,K$6))</f>
        <v>0</v>
      </c>
      <c r="AC301">
        <f>IF(L$6="",0,SUMIFS('Budget ed extra'!$G$7:$G$42,'Budget ed extra'!$J$7:$J$42,$A301,'Budget ed extra'!$H$7:$H$42,L$6))</f>
        <v>0</v>
      </c>
      <c r="AD301">
        <f>IF(M$6="",0,SUMIFS('Budget ed extra'!$G$7:$G$42,'Budget ed extra'!$J$7:$J$42,$A301,'Budget ed extra'!$H$7:$H$42,M$6))</f>
        <v>0</v>
      </c>
      <c r="AE301">
        <f>IF(N$6="",0,SUMIFS('Budget ed extra'!$G$7:$G$42,'Budget ed extra'!$J$7:$J$42,$A301,'Budget ed extra'!$H$7:$H$42,N$6))</f>
        <v>0</v>
      </c>
    </row>
    <row r="302">
      <c r="A302" t="n">
        <v>272</v>
      </c>
      <c r="B302">
        <f>DATE($B$2,$B$3+A302-1,1)</f>
        <v>54575.0</v>
      </c>
      <c r="C302">
        <f>IF(D302=0,N(Impostazioni!$B$6),SUMIFS('Budget ed extra'!$B$7:$B$18,'Budget ed extra'!$D$7:$D$18,D302)/COUNTIFS('Budget ed extra'!$D$7:$D$18,D302))</f>
        <v>900</v>
      </c>
      <c r="D302">
        <f>SUMPRODUCT(MAX(('Budget ed extra'!$D$7:$D$18&lt;=A302)*'Budget ed extra'!$D$7:$D$18))</f>
        <v>9</v>
      </c>
      <c r="E302">
        <f>SUMIFS('Budget ed extra'!$G$7:$G$42,'Budget ed extra'!$J$7:$J$42,A302)</f>
        <v>0</v>
      </c>
      <c r="F302">
        <f>SUM(T302:AE302)</f>
        <v>0</v>
      </c>
      <c r="G302">
        <f>MAX(0,E302-F302)</f>
        <v>0</v>
      </c>
      <c r="H302">
        <f>IF($A302&gt;=C$10,C$11,C$9)/12</f>
        <v>0.01575</v>
      </c>
      <c r="I302">
        <f>IF($A302&gt;=D$10,D$11,D$9)/12</f>
        <v>0.01825</v>
      </c>
      <c r="J302">
        <f>IF($A302&gt;=E$10,E$11,E$9)/12</f>
        <v>0.00766666666666667</v>
      </c>
      <c r="K302">
        <f>IF($A302&gt;=F$10,F$11,F$9)/12</f>
        <v>0.00533333333333333</v>
      </c>
      <c r="L302">
        <f>IF($A302&gt;=G$10,G$11,G$9)/12</f>
        <v>0</v>
      </c>
      <c r="M302">
        <f>IF($A302&gt;=H$10,H$11,H$9)/12</f>
        <v>0</v>
      </c>
      <c r="N302">
        <f>IF($A302&gt;=I$10,I$11,I$9)/12</f>
        <v>0</v>
      </c>
      <c r="O302">
        <f>IF($A302&gt;=J$10,J$11,J$9)/12</f>
        <v>0</v>
      </c>
      <c r="P302">
        <f>IF($A302&gt;=K$10,K$11,K$9)/12</f>
        <v>0</v>
      </c>
      <c r="Q302">
        <f>IF($A302&gt;=L$10,L$11,L$9)/12</f>
        <v>0</v>
      </c>
      <c r="R302">
        <f>IF($A302&gt;=M$10,M$11,M$9)/12</f>
        <v>0</v>
      </c>
      <c r="S302">
        <f>IF($A302&gt;=N$10,N$11,N$9)/12</f>
        <v>0</v>
      </c>
      <c r="T302">
        <f>IF(C$6="",0,SUMIFS('Budget ed extra'!$G$7:$G$42,'Budget ed extra'!$J$7:$J$42,$A302,'Budget ed extra'!$H$7:$H$42,C$6))</f>
        <v>0</v>
      </c>
      <c r="U302">
        <f>IF(D$6="",0,SUMIFS('Budget ed extra'!$G$7:$G$42,'Budget ed extra'!$J$7:$J$42,$A302,'Budget ed extra'!$H$7:$H$42,D$6))</f>
        <v>0</v>
      </c>
      <c r="V302">
        <f>IF(E$6="",0,SUMIFS('Budget ed extra'!$G$7:$G$42,'Budget ed extra'!$J$7:$J$42,$A302,'Budget ed extra'!$H$7:$H$42,E$6))</f>
        <v>0</v>
      </c>
      <c r="W302">
        <f>IF(F$6="",0,SUMIFS('Budget ed extra'!$G$7:$G$42,'Budget ed extra'!$J$7:$J$42,$A302,'Budget ed extra'!$H$7:$H$42,F$6))</f>
        <v>0</v>
      </c>
      <c r="X302">
        <f>IF(G$6="",0,SUMIFS('Budget ed extra'!$G$7:$G$42,'Budget ed extra'!$J$7:$J$42,$A302,'Budget ed extra'!$H$7:$H$42,G$6))</f>
        <v>0</v>
      </c>
      <c r="Y302">
        <f>IF(H$6="",0,SUMIFS('Budget ed extra'!$G$7:$G$42,'Budget ed extra'!$J$7:$J$42,$A302,'Budget ed extra'!$H$7:$H$42,H$6))</f>
        <v>0</v>
      </c>
      <c r="Z302">
        <f>IF(I$6="",0,SUMIFS('Budget ed extra'!$G$7:$G$42,'Budget ed extra'!$J$7:$J$42,$A302,'Budget ed extra'!$H$7:$H$42,I$6))</f>
        <v>0</v>
      </c>
      <c r="AA302">
        <f>IF(J$6="",0,SUMIFS('Budget ed extra'!$G$7:$G$42,'Budget ed extra'!$J$7:$J$42,$A302,'Budget ed extra'!$H$7:$H$42,J$6))</f>
        <v>0</v>
      </c>
      <c r="AB302">
        <f>IF(K$6="",0,SUMIFS('Budget ed extra'!$G$7:$G$42,'Budget ed extra'!$J$7:$J$42,$A302,'Budget ed extra'!$H$7:$H$42,K$6))</f>
        <v>0</v>
      </c>
      <c r="AC302">
        <f>IF(L$6="",0,SUMIFS('Budget ed extra'!$G$7:$G$42,'Budget ed extra'!$J$7:$J$42,$A302,'Budget ed extra'!$H$7:$H$42,L$6))</f>
        <v>0</v>
      </c>
      <c r="AD302">
        <f>IF(M$6="",0,SUMIFS('Budget ed extra'!$G$7:$G$42,'Budget ed extra'!$J$7:$J$42,$A302,'Budget ed extra'!$H$7:$H$42,M$6))</f>
        <v>0</v>
      </c>
      <c r="AE302">
        <f>IF(N$6="",0,SUMIFS('Budget ed extra'!$G$7:$G$42,'Budget ed extra'!$J$7:$J$42,$A302,'Budget ed extra'!$H$7:$H$42,N$6))</f>
        <v>0</v>
      </c>
    </row>
    <row r="303">
      <c r="A303" t="n">
        <v>273</v>
      </c>
      <c r="B303">
        <f>DATE($B$2,$B$3+A303-1,1)</f>
        <v>54605.0</v>
      </c>
      <c r="C303">
        <f>IF(D303=0,N(Impostazioni!$B$6),SUMIFS('Budget ed extra'!$B$7:$B$18,'Budget ed extra'!$D$7:$D$18,D303)/COUNTIFS('Budget ed extra'!$D$7:$D$18,D303))</f>
        <v>900</v>
      </c>
      <c r="D303">
        <f>SUMPRODUCT(MAX(('Budget ed extra'!$D$7:$D$18&lt;=A303)*'Budget ed extra'!$D$7:$D$18))</f>
        <v>9</v>
      </c>
      <c r="E303">
        <f>SUMIFS('Budget ed extra'!$G$7:$G$42,'Budget ed extra'!$J$7:$J$42,A303)</f>
        <v>0</v>
      </c>
      <c r="F303">
        <f>SUM(T303:AE303)</f>
        <v>0</v>
      </c>
      <c r="G303">
        <f>MAX(0,E303-F303)</f>
        <v>0</v>
      </c>
      <c r="H303">
        <f>IF($A303&gt;=C$10,C$11,C$9)/12</f>
        <v>0.01575</v>
      </c>
      <c r="I303">
        <f>IF($A303&gt;=D$10,D$11,D$9)/12</f>
        <v>0.01825</v>
      </c>
      <c r="J303">
        <f>IF($A303&gt;=E$10,E$11,E$9)/12</f>
        <v>0.00766666666666667</v>
      </c>
      <c r="K303">
        <f>IF($A303&gt;=F$10,F$11,F$9)/12</f>
        <v>0.00533333333333333</v>
      </c>
      <c r="L303">
        <f>IF($A303&gt;=G$10,G$11,G$9)/12</f>
        <v>0</v>
      </c>
      <c r="M303">
        <f>IF($A303&gt;=H$10,H$11,H$9)/12</f>
        <v>0</v>
      </c>
      <c r="N303">
        <f>IF($A303&gt;=I$10,I$11,I$9)/12</f>
        <v>0</v>
      </c>
      <c r="O303">
        <f>IF($A303&gt;=J$10,J$11,J$9)/12</f>
        <v>0</v>
      </c>
      <c r="P303">
        <f>IF($A303&gt;=K$10,K$11,K$9)/12</f>
        <v>0</v>
      </c>
      <c r="Q303">
        <f>IF($A303&gt;=L$10,L$11,L$9)/12</f>
        <v>0</v>
      </c>
      <c r="R303">
        <f>IF($A303&gt;=M$10,M$11,M$9)/12</f>
        <v>0</v>
      </c>
      <c r="S303">
        <f>IF($A303&gt;=N$10,N$11,N$9)/12</f>
        <v>0</v>
      </c>
      <c r="T303">
        <f>IF(C$6="",0,SUMIFS('Budget ed extra'!$G$7:$G$42,'Budget ed extra'!$J$7:$J$42,$A303,'Budget ed extra'!$H$7:$H$42,C$6))</f>
        <v>0</v>
      </c>
      <c r="U303">
        <f>IF(D$6="",0,SUMIFS('Budget ed extra'!$G$7:$G$42,'Budget ed extra'!$J$7:$J$42,$A303,'Budget ed extra'!$H$7:$H$42,D$6))</f>
        <v>0</v>
      </c>
      <c r="V303">
        <f>IF(E$6="",0,SUMIFS('Budget ed extra'!$G$7:$G$42,'Budget ed extra'!$J$7:$J$42,$A303,'Budget ed extra'!$H$7:$H$42,E$6))</f>
        <v>0</v>
      </c>
      <c r="W303">
        <f>IF(F$6="",0,SUMIFS('Budget ed extra'!$G$7:$G$42,'Budget ed extra'!$J$7:$J$42,$A303,'Budget ed extra'!$H$7:$H$42,F$6))</f>
        <v>0</v>
      </c>
      <c r="X303">
        <f>IF(G$6="",0,SUMIFS('Budget ed extra'!$G$7:$G$42,'Budget ed extra'!$J$7:$J$42,$A303,'Budget ed extra'!$H$7:$H$42,G$6))</f>
        <v>0</v>
      </c>
      <c r="Y303">
        <f>IF(H$6="",0,SUMIFS('Budget ed extra'!$G$7:$G$42,'Budget ed extra'!$J$7:$J$42,$A303,'Budget ed extra'!$H$7:$H$42,H$6))</f>
        <v>0</v>
      </c>
      <c r="Z303">
        <f>IF(I$6="",0,SUMIFS('Budget ed extra'!$G$7:$G$42,'Budget ed extra'!$J$7:$J$42,$A303,'Budget ed extra'!$H$7:$H$42,I$6))</f>
        <v>0</v>
      </c>
      <c r="AA303">
        <f>IF(J$6="",0,SUMIFS('Budget ed extra'!$G$7:$G$42,'Budget ed extra'!$J$7:$J$42,$A303,'Budget ed extra'!$H$7:$H$42,J$6))</f>
        <v>0</v>
      </c>
      <c r="AB303">
        <f>IF(K$6="",0,SUMIFS('Budget ed extra'!$G$7:$G$42,'Budget ed extra'!$J$7:$J$42,$A303,'Budget ed extra'!$H$7:$H$42,K$6))</f>
        <v>0</v>
      </c>
      <c r="AC303">
        <f>IF(L$6="",0,SUMIFS('Budget ed extra'!$G$7:$G$42,'Budget ed extra'!$J$7:$J$42,$A303,'Budget ed extra'!$H$7:$H$42,L$6))</f>
        <v>0</v>
      </c>
      <c r="AD303">
        <f>IF(M$6="",0,SUMIFS('Budget ed extra'!$G$7:$G$42,'Budget ed extra'!$J$7:$J$42,$A303,'Budget ed extra'!$H$7:$H$42,M$6))</f>
        <v>0</v>
      </c>
      <c r="AE303">
        <f>IF(N$6="",0,SUMIFS('Budget ed extra'!$G$7:$G$42,'Budget ed extra'!$J$7:$J$42,$A303,'Budget ed extra'!$H$7:$H$42,N$6))</f>
        <v>0</v>
      </c>
    </row>
    <row r="304">
      <c r="A304" t="n">
        <v>274</v>
      </c>
      <c r="B304">
        <f>DATE($B$2,$B$3+A304-1,1)</f>
        <v>54636.0</v>
      </c>
      <c r="C304">
        <f>IF(D304=0,N(Impostazioni!$B$6),SUMIFS('Budget ed extra'!$B$7:$B$18,'Budget ed extra'!$D$7:$D$18,D304)/COUNTIFS('Budget ed extra'!$D$7:$D$18,D304))</f>
        <v>900</v>
      </c>
      <c r="D304">
        <f>SUMPRODUCT(MAX(('Budget ed extra'!$D$7:$D$18&lt;=A304)*'Budget ed extra'!$D$7:$D$18))</f>
        <v>9</v>
      </c>
      <c r="E304">
        <f>SUMIFS('Budget ed extra'!$G$7:$G$42,'Budget ed extra'!$J$7:$J$42,A304)</f>
        <v>0</v>
      </c>
      <c r="F304">
        <f>SUM(T304:AE304)</f>
        <v>0</v>
      </c>
      <c r="G304">
        <f>MAX(0,E304-F304)</f>
        <v>0</v>
      </c>
      <c r="H304">
        <f>IF($A304&gt;=C$10,C$11,C$9)/12</f>
        <v>0.01575</v>
      </c>
      <c r="I304">
        <f>IF($A304&gt;=D$10,D$11,D$9)/12</f>
        <v>0.01825</v>
      </c>
      <c r="J304">
        <f>IF($A304&gt;=E$10,E$11,E$9)/12</f>
        <v>0.00766666666666667</v>
      </c>
      <c r="K304">
        <f>IF($A304&gt;=F$10,F$11,F$9)/12</f>
        <v>0.00533333333333333</v>
      </c>
      <c r="L304">
        <f>IF($A304&gt;=G$10,G$11,G$9)/12</f>
        <v>0</v>
      </c>
      <c r="M304">
        <f>IF($A304&gt;=H$10,H$11,H$9)/12</f>
        <v>0</v>
      </c>
      <c r="N304">
        <f>IF($A304&gt;=I$10,I$11,I$9)/12</f>
        <v>0</v>
      </c>
      <c r="O304">
        <f>IF($A304&gt;=J$10,J$11,J$9)/12</f>
        <v>0</v>
      </c>
      <c r="P304">
        <f>IF($A304&gt;=K$10,K$11,K$9)/12</f>
        <v>0</v>
      </c>
      <c r="Q304">
        <f>IF($A304&gt;=L$10,L$11,L$9)/12</f>
        <v>0</v>
      </c>
      <c r="R304">
        <f>IF($A304&gt;=M$10,M$11,M$9)/12</f>
        <v>0</v>
      </c>
      <c r="S304">
        <f>IF($A304&gt;=N$10,N$11,N$9)/12</f>
        <v>0</v>
      </c>
      <c r="T304">
        <f>IF(C$6="",0,SUMIFS('Budget ed extra'!$G$7:$G$42,'Budget ed extra'!$J$7:$J$42,$A304,'Budget ed extra'!$H$7:$H$42,C$6))</f>
        <v>0</v>
      </c>
      <c r="U304">
        <f>IF(D$6="",0,SUMIFS('Budget ed extra'!$G$7:$G$42,'Budget ed extra'!$J$7:$J$42,$A304,'Budget ed extra'!$H$7:$H$42,D$6))</f>
        <v>0</v>
      </c>
      <c r="V304">
        <f>IF(E$6="",0,SUMIFS('Budget ed extra'!$G$7:$G$42,'Budget ed extra'!$J$7:$J$42,$A304,'Budget ed extra'!$H$7:$H$42,E$6))</f>
        <v>0</v>
      </c>
      <c r="W304">
        <f>IF(F$6="",0,SUMIFS('Budget ed extra'!$G$7:$G$42,'Budget ed extra'!$J$7:$J$42,$A304,'Budget ed extra'!$H$7:$H$42,F$6))</f>
        <v>0</v>
      </c>
      <c r="X304">
        <f>IF(G$6="",0,SUMIFS('Budget ed extra'!$G$7:$G$42,'Budget ed extra'!$J$7:$J$42,$A304,'Budget ed extra'!$H$7:$H$42,G$6))</f>
        <v>0</v>
      </c>
      <c r="Y304">
        <f>IF(H$6="",0,SUMIFS('Budget ed extra'!$G$7:$G$42,'Budget ed extra'!$J$7:$J$42,$A304,'Budget ed extra'!$H$7:$H$42,H$6))</f>
        <v>0</v>
      </c>
      <c r="Z304">
        <f>IF(I$6="",0,SUMIFS('Budget ed extra'!$G$7:$G$42,'Budget ed extra'!$J$7:$J$42,$A304,'Budget ed extra'!$H$7:$H$42,I$6))</f>
        <v>0</v>
      </c>
      <c r="AA304">
        <f>IF(J$6="",0,SUMIFS('Budget ed extra'!$G$7:$G$42,'Budget ed extra'!$J$7:$J$42,$A304,'Budget ed extra'!$H$7:$H$42,J$6))</f>
        <v>0</v>
      </c>
      <c r="AB304">
        <f>IF(K$6="",0,SUMIFS('Budget ed extra'!$G$7:$G$42,'Budget ed extra'!$J$7:$J$42,$A304,'Budget ed extra'!$H$7:$H$42,K$6))</f>
        <v>0</v>
      </c>
      <c r="AC304">
        <f>IF(L$6="",0,SUMIFS('Budget ed extra'!$G$7:$G$42,'Budget ed extra'!$J$7:$J$42,$A304,'Budget ed extra'!$H$7:$H$42,L$6))</f>
        <v>0</v>
      </c>
      <c r="AD304">
        <f>IF(M$6="",0,SUMIFS('Budget ed extra'!$G$7:$G$42,'Budget ed extra'!$J$7:$J$42,$A304,'Budget ed extra'!$H$7:$H$42,M$6))</f>
        <v>0</v>
      </c>
      <c r="AE304">
        <f>IF(N$6="",0,SUMIFS('Budget ed extra'!$G$7:$G$42,'Budget ed extra'!$J$7:$J$42,$A304,'Budget ed extra'!$H$7:$H$42,N$6))</f>
        <v>0</v>
      </c>
    </row>
    <row r="305">
      <c r="A305" t="n">
        <v>275</v>
      </c>
      <c r="B305">
        <f>DATE($B$2,$B$3+A305-1,1)</f>
        <v>54667.0</v>
      </c>
      <c r="C305">
        <f>IF(D305=0,N(Impostazioni!$B$6),SUMIFS('Budget ed extra'!$B$7:$B$18,'Budget ed extra'!$D$7:$D$18,D305)/COUNTIFS('Budget ed extra'!$D$7:$D$18,D305))</f>
        <v>900</v>
      </c>
      <c r="D305">
        <f>SUMPRODUCT(MAX(('Budget ed extra'!$D$7:$D$18&lt;=A305)*'Budget ed extra'!$D$7:$D$18))</f>
        <v>9</v>
      </c>
      <c r="E305">
        <f>SUMIFS('Budget ed extra'!$G$7:$G$42,'Budget ed extra'!$J$7:$J$42,A305)</f>
        <v>0</v>
      </c>
      <c r="F305">
        <f>SUM(T305:AE305)</f>
        <v>0</v>
      </c>
      <c r="G305">
        <f>MAX(0,E305-F305)</f>
        <v>0</v>
      </c>
      <c r="H305">
        <f>IF($A305&gt;=C$10,C$11,C$9)/12</f>
        <v>0.01575</v>
      </c>
      <c r="I305">
        <f>IF($A305&gt;=D$10,D$11,D$9)/12</f>
        <v>0.01825</v>
      </c>
      <c r="J305">
        <f>IF($A305&gt;=E$10,E$11,E$9)/12</f>
        <v>0.00766666666666667</v>
      </c>
      <c r="K305">
        <f>IF($A305&gt;=F$10,F$11,F$9)/12</f>
        <v>0.00533333333333333</v>
      </c>
      <c r="L305">
        <f>IF($A305&gt;=G$10,G$11,G$9)/12</f>
        <v>0</v>
      </c>
      <c r="M305">
        <f>IF($A305&gt;=H$10,H$11,H$9)/12</f>
        <v>0</v>
      </c>
      <c r="N305">
        <f>IF($A305&gt;=I$10,I$11,I$9)/12</f>
        <v>0</v>
      </c>
      <c r="O305">
        <f>IF($A305&gt;=J$10,J$11,J$9)/12</f>
        <v>0</v>
      </c>
      <c r="P305">
        <f>IF($A305&gt;=K$10,K$11,K$9)/12</f>
        <v>0</v>
      </c>
      <c r="Q305">
        <f>IF($A305&gt;=L$10,L$11,L$9)/12</f>
        <v>0</v>
      </c>
      <c r="R305">
        <f>IF($A305&gt;=M$10,M$11,M$9)/12</f>
        <v>0</v>
      </c>
      <c r="S305">
        <f>IF($A305&gt;=N$10,N$11,N$9)/12</f>
        <v>0</v>
      </c>
      <c r="T305">
        <f>IF(C$6="",0,SUMIFS('Budget ed extra'!$G$7:$G$42,'Budget ed extra'!$J$7:$J$42,$A305,'Budget ed extra'!$H$7:$H$42,C$6))</f>
        <v>0</v>
      </c>
      <c r="U305">
        <f>IF(D$6="",0,SUMIFS('Budget ed extra'!$G$7:$G$42,'Budget ed extra'!$J$7:$J$42,$A305,'Budget ed extra'!$H$7:$H$42,D$6))</f>
        <v>0</v>
      </c>
      <c r="V305">
        <f>IF(E$6="",0,SUMIFS('Budget ed extra'!$G$7:$G$42,'Budget ed extra'!$J$7:$J$42,$A305,'Budget ed extra'!$H$7:$H$42,E$6))</f>
        <v>0</v>
      </c>
      <c r="W305">
        <f>IF(F$6="",0,SUMIFS('Budget ed extra'!$G$7:$G$42,'Budget ed extra'!$J$7:$J$42,$A305,'Budget ed extra'!$H$7:$H$42,F$6))</f>
        <v>0</v>
      </c>
      <c r="X305">
        <f>IF(G$6="",0,SUMIFS('Budget ed extra'!$G$7:$G$42,'Budget ed extra'!$J$7:$J$42,$A305,'Budget ed extra'!$H$7:$H$42,G$6))</f>
        <v>0</v>
      </c>
      <c r="Y305">
        <f>IF(H$6="",0,SUMIFS('Budget ed extra'!$G$7:$G$42,'Budget ed extra'!$J$7:$J$42,$A305,'Budget ed extra'!$H$7:$H$42,H$6))</f>
        <v>0</v>
      </c>
      <c r="Z305">
        <f>IF(I$6="",0,SUMIFS('Budget ed extra'!$G$7:$G$42,'Budget ed extra'!$J$7:$J$42,$A305,'Budget ed extra'!$H$7:$H$42,I$6))</f>
        <v>0</v>
      </c>
      <c r="AA305">
        <f>IF(J$6="",0,SUMIFS('Budget ed extra'!$G$7:$G$42,'Budget ed extra'!$J$7:$J$42,$A305,'Budget ed extra'!$H$7:$H$42,J$6))</f>
        <v>0</v>
      </c>
      <c r="AB305">
        <f>IF(K$6="",0,SUMIFS('Budget ed extra'!$G$7:$G$42,'Budget ed extra'!$J$7:$J$42,$A305,'Budget ed extra'!$H$7:$H$42,K$6))</f>
        <v>0</v>
      </c>
      <c r="AC305">
        <f>IF(L$6="",0,SUMIFS('Budget ed extra'!$G$7:$G$42,'Budget ed extra'!$J$7:$J$42,$A305,'Budget ed extra'!$H$7:$H$42,L$6))</f>
        <v>0</v>
      </c>
      <c r="AD305">
        <f>IF(M$6="",0,SUMIFS('Budget ed extra'!$G$7:$G$42,'Budget ed extra'!$J$7:$J$42,$A305,'Budget ed extra'!$H$7:$H$42,M$6))</f>
        <v>0</v>
      </c>
      <c r="AE305">
        <f>IF(N$6="",0,SUMIFS('Budget ed extra'!$G$7:$G$42,'Budget ed extra'!$J$7:$J$42,$A305,'Budget ed extra'!$H$7:$H$42,N$6))</f>
        <v>0</v>
      </c>
    </row>
    <row r="306">
      <c r="A306" t="n">
        <v>276</v>
      </c>
      <c r="B306">
        <f>DATE($B$2,$B$3+A306-1,1)</f>
        <v>54697.0</v>
      </c>
      <c r="C306">
        <f>IF(D306=0,N(Impostazioni!$B$6),SUMIFS('Budget ed extra'!$B$7:$B$18,'Budget ed extra'!$D$7:$D$18,D306)/COUNTIFS('Budget ed extra'!$D$7:$D$18,D306))</f>
        <v>900</v>
      </c>
      <c r="D306">
        <f>SUMPRODUCT(MAX(('Budget ed extra'!$D$7:$D$18&lt;=A306)*'Budget ed extra'!$D$7:$D$18))</f>
        <v>9</v>
      </c>
      <c r="E306">
        <f>SUMIFS('Budget ed extra'!$G$7:$G$42,'Budget ed extra'!$J$7:$J$42,A306)</f>
        <v>0</v>
      </c>
      <c r="F306">
        <f>SUM(T306:AE306)</f>
        <v>0</v>
      </c>
      <c r="G306">
        <f>MAX(0,E306-F306)</f>
        <v>0</v>
      </c>
      <c r="H306">
        <f>IF($A306&gt;=C$10,C$11,C$9)/12</f>
        <v>0.01575</v>
      </c>
      <c r="I306">
        <f>IF($A306&gt;=D$10,D$11,D$9)/12</f>
        <v>0.01825</v>
      </c>
      <c r="J306">
        <f>IF($A306&gt;=E$10,E$11,E$9)/12</f>
        <v>0.00766666666666667</v>
      </c>
      <c r="K306">
        <f>IF($A306&gt;=F$10,F$11,F$9)/12</f>
        <v>0.00533333333333333</v>
      </c>
      <c r="L306">
        <f>IF($A306&gt;=G$10,G$11,G$9)/12</f>
        <v>0</v>
      </c>
      <c r="M306">
        <f>IF($A306&gt;=H$10,H$11,H$9)/12</f>
        <v>0</v>
      </c>
      <c r="N306">
        <f>IF($A306&gt;=I$10,I$11,I$9)/12</f>
        <v>0</v>
      </c>
      <c r="O306">
        <f>IF($A306&gt;=J$10,J$11,J$9)/12</f>
        <v>0</v>
      </c>
      <c r="P306">
        <f>IF($A306&gt;=K$10,K$11,K$9)/12</f>
        <v>0</v>
      </c>
      <c r="Q306">
        <f>IF($A306&gt;=L$10,L$11,L$9)/12</f>
        <v>0</v>
      </c>
      <c r="R306">
        <f>IF($A306&gt;=M$10,M$11,M$9)/12</f>
        <v>0</v>
      </c>
      <c r="S306">
        <f>IF($A306&gt;=N$10,N$11,N$9)/12</f>
        <v>0</v>
      </c>
      <c r="T306">
        <f>IF(C$6="",0,SUMIFS('Budget ed extra'!$G$7:$G$42,'Budget ed extra'!$J$7:$J$42,$A306,'Budget ed extra'!$H$7:$H$42,C$6))</f>
        <v>0</v>
      </c>
      <c r="U306">
        <f>IF(D$6="",0,SUMIFS('Budget ed extra'!$G$7:$G$42,'Budget ed extra'!$J$7:$J$42,$A306,'Budget ed extra'!$H$7:$H$42,D$6))</f>
        <v>0</v>
      </c>
      <c r="V306">
        <f>IF(E$6="",0,SUMIFS('Budget ed extra'!$G$7:$G$42,'Budget ed extra'!$J$7:$J$42,$A306,'Budget ed extra'!$H$7:$H$42,E$6))</f>
        <v>0</v>
      </c>
      <c r="W306">
        <f>IF(F$6="",0,SUMIFS('Budget ed extra'!$G$7:$G$42,'Budget ed extra'!$J$7:$J$42,$A306,'Budget ed extra'!$H$7:$H$42,F$6))</f>
        <v>0</v>
      </c>
      <c r="X306">
        <f>IF(G$6="",0,SUMIFS('Budget ed extra'!$G$7:$G$42,'Budget ed extra'!$J$7:$J$42,$A306,'Budget ed extra'!$H$7:$H$42,G$6))</f>
        <v>0</v>
      </c>
      <c r="Y306">
        <f>IF(H$6="",0,SUMIFS('Budget ed extra'!$G$7:$G$42,'Budget ed extra'!$J$7:$J$42,$A306,'Budget ed extra'!$H$7:$H$42,H$6))</f>
        <v>0</v>
      </c>
      <c r="Z306">
        <f>IF(I$6="",0,SUMIFS('Budget ed extra'!$G$7:$G$42,'Budget ed extra'!$J$7:$J$42,$A306,'Budget ed extra'!$H$7:$H$42,I$6))</f>
        <v>0</v>
      </c>
      <c r="AA306">
        <f>IF(J$6="",0,SUMIFS('Budget ed extra'!$G$7:$G$42,'Budget ed extra'!$J$7:$J$42,$A306,'Budget ed extra'!$H$7:$H$42,J$6))</f>
        <v>0</v>
      </c>
      <c r="AB306">
        <f>IF(K$6="",0,SUMIFS('Budget ed extra'!$G$7:$G$42,'Budget ed extra'!$J$7:$J$42,$A306,'Budget ed extra'!$H$7:$H$42,K$6))</f>
        <v>0</v>
      </c>
      <c r="AC306">
        <f>IF(L$6="",0,SUMIFS('Budget ed extra'!$G$7:$G$42,'Budget ed extra'!$J$7:$J$42,$A306,'Budget ed extra'!$H$7:$H$42,L$6))</f>
        <v>0</v>
      </c>
      <c r="AD306">
        <f>IF(M$6="",0,SUMIFS('Budget ed extra'!$G$7:$G$42,'Budget ed extra'!$J$7:$J$42,$A306,'Budget ed extra'!$H$7:$H$42,M$6))</f>
        <v>0</v>
      </c>
      <c r="AE306">
        <f>IF(N$6="",0,SUMIFS('Budget ed extra'!$G$7:$G$42,'Budget ed extra'!$J$7:$J$42,$A306,'Budget ed extra'!$H$7:$H$42,N$6))</f>
        <v>0</v>
      </c>
    </row>
    <row r="307">
      <c r="A307" t="n">
        <v>277</v>
      </c>
      <c r="B307">
        <f>DATE($B$2,$B$3+A307-1,1)</f>
        <v>54728.0</v>
      </c>
      <c r="C307">
        <f>IF(D307=0,N(Impostazioni!$B$6),SUMIFS('Budget ed extra'!$B$7:$B$18,'Budget ed extra'!$D$7:$D$18,D307)/COUNTIFS('Budget ed extra'!$D$7:$D$18,D307))</f>
        <v>900</v>
      </c>
      <c r="D307">
        <f>SUMPRODUCT(MAX(('Budget ed extra'!$D$7:$D$18&lt;=A307)*'Budget ed extra'!$D$7:$D$18))</f>
        <v>9</v>
      </c>
      <c r="E307">
        <f>SUMIFS('Budget ed extra'!$G$7:$G$42,'Budget ed extra'!$J$7:$J$42,A307)</f>
        <v>0</v>
      </c>
      <c r="F307">
        <f>SUM(T307:AE307)</f>
        <v>0</v>
      </c>
      <c r="G307">
        <f>MAX(0,E307-F307)</f>
        <v>0</v>
      </c>
      <c r="H307">
        <f>IF($A307&gt;=C$10,C$11,C$9)/12</f>
        <v>0.01575</v>
      </c>
      <c r="I307">
        <f>IF($A307&gt;=D$10,D$11,D$9)/12</f>
        <v>0.01825</v>
      </c>
      <c r="J307">
        <f>IF($A307&gt;=E$10,E$11,E$9)/12</f>
        <v>0.00766666666666667</v>
      </c>
      <c r="K307">
        <f>IF($A307&gt;=F$10,F$11,F$9)/12</f>
        <v>0.00533333333333333</v>
      </c>
      <c r="L307">
        <f>IF($A307&gt;=G$10,G$11,G$9)/12</f>
        <v>0</v>
      </c>
      <c r="M307">
        <f>IF($A307&gt;=H$10,H$11,H$9)/12</f>
        <v>0</v>
      </c>
      <c r="N307">
        <f>IF($A307&gt;=I$10,I$11,I$9)/12</f>
        <v>0</v>
      </c>
      <c r="O307">
        <f>IF($A307&gt;=J$10,J$11,J$9)/12</f>
        <v>0</v>
      </c>
      <c r="P307">
        <f>IF($A307&gt;=K$10,K$11,K$9)/12</f>
        <v>0</v>
      </c>
      <c r="Q307">
        <f>IF($A307&gt;=L$10,L$11,L$9)/12</f>
        <v>0</v>
      </c>
      <c r="R307">
        <f>IF($A307&gt;=M$10,M$11,M$9)/12</f>
        <v>0</v>
      </c>
      <c r="S307">
        <f>IF($A307&gt;=N$10,N$11,N$9)/12</f>
        <v>0</v>
      </c>
      <c r="T307">
        <f>IF(C$6="",0,SUMIFS('Budget ed extra'!$G$7:$G$42,'Budget ed extra'!$J$7:$J$42,$A307,'Budget ed extra'!$H$7:$H$42,C$6))</f>
        <v>0</v>
      </c>
      <c r="U307">
        <f>IF(D$6="",0,SUMIFS('Budget ed extra'!$G$7:$G$42,'Budget ed extra'!$J$7:$J$42,$A307,'Budget ed extra'!$H$7:$H$42,D$6))</f>
        <v>0</v>
      </c>
      <c r="V307">
        <f>IF(E$6="",0,SUMIFS('Budget ed extra'!$G$7:$G$42,'Budget ed extra'!$J$7:$J$42,$A307,'Budget ed extra'!$H$7:$H$42,E$6))</f>
        <v>0</v>
      </c>
      <c r="W307">
        <f>IF(F$6="",0,SUMIFS('Budget ed extra'!$G$7:$G$42,'Budget ed extra'!$J$7:$J$42,$A307,'Budget ed extra'!$H$7:$H$42,F$6))</f>
        <v>0</v>
      </c>
      <c r="X307">
        <f>IF(G$6="",0,SUMIFS('Budget ed extra'!$G$7:$G$42,'Budget ed extra'!$J$7:$J$42,$A307,'Budget ed extra'!$H$7:$H$42,G$6))</f>
        <v>0</v>
      </c>
      <c r="Y307">
        <f>IF(H$6="",0,SUMIFS('Budget ed extra'!$G$7:$G$42,'Budget ed extra'!$J$7:$J$42,$A307,'Budget ed extra'!$H$7:$H$42,H$6))</f>
        <v>0</v>
      </c>
      <c r="Z307">
        <f>IF(I$6="",0,SUMIFS('Budget ed extra'!$G$7:$G$42,'Budget ed extra'!$J$7:$J$42,$A307,'Budget ed extra'!$H$7:$H$42,I$6))</f>
        <v>0</v>
      </c>
      <c r="AA307">
        <f>IF(J$6="",0,SUMIFS('Budget ed extra'!$G$7:$G$42,'Budget ed extra'!$J$7:$J$42,$A307,'Budget ed extra'!$H$7:$H$42,J$6))</f>
        <v>0</v>
      </c>
      <c r="AB307">
        <f>IF(K$6="",0,SUMIFS('Budget ed extra'!$G$7:$G$42,'Budget ed extra'!$J$7:$J$42,$A307,'Budget ed extra'!$H$7:$H$42,K$6))</f>
        <v>0</v>
      </c>
      <c r="AC307">
        <f>IF(L$6="",0,SUMIFS('Budget ed extra'!$G$7:$G$42,'Budget ed extra'!$J$7:$J$42,$A307,'Budget ed extra'!$H$7:$H$42,L$6))</f>
        <v>0</v>
      </c>
      <c r="AD307">
        <f>IF(M$6="",0,SUMIFS('Budget ed extra'!$G$7:$G$42,'Budget ed extra'!$J$7:$J$42,$A307,'Budget ed extra'!$H$7:$H$42,M$6))</f>
        <v>0</v>
      </c>
      <c r="AE307">
        <f>IF(N$6="",0,SUMIFS('Budget ed extra'!$G$7:$G$42,'Budget ed extra'!$J$7:$J$42,$A307,'Budget ed extra'!$H$7:$H$42,N$6))</f>
        <v>0</v>
      </c>
    </row>
    <row r="308">
      <c r="A308" t="n">
        <v>278</v>
      </c>
      <c r="B308">
        <f>DATE($B$2,$B$3+A308-1,1)</f>
        <v>54758.0</v>
      </c>
      <c r="C308">
        <f>IF(D308=0,N(Impostazioni!$B$6),SUMIFS('Budget ed extra'!$B$7:$B$18,'Budget ed extra'!$D$7:$D$18,D308)/COUNTIFS('Budget ed extra'!$D$7:$D$18,D308))</f>
        <v>900</v>
      </c>
      <c r="D308">
        <f>SUMPRODUCT(MAX(('Budget ed extra'!$D$7:$D$18&lt;=A308)*'Budget ed extra'!$D$7:$D$18))</f>
        <v>9</v>
      </c>
      <c r="E308">
        <f>SUMIFS('Budget ed extra'!$G$7:$G$42,'Budget ed extra'!$J$7:$J$42,A308)</f>
        <v>0</v>
      </c>
      <c r="F308">
        <f>SUM(T308:AE308)</f>
        <v>0</v>
      </c>
      <c r="G308">
        <f>MAX(0,E308-F308)</f>
        <v>0</v>
      </c>
      <c r="H308">
        <f>IF($A308&gt;=C$10,C$11,C$9)/12</f>
        <v>0.01575</v>
      </c>
      <c r="I308">
        <f>IF($A308&gt;=D$10,D$11,D$9)/12</f>
        <v>0.01825</v>
      </c>
      <c r="J308">
        <f>IF($A308&gt;=E$10,E$11,E$9)/12</f>
        <v>0.00766666666666667</v>
      </c>
      <c r="K308">
        <f>IF($A308&gt;=F$10,F$11,F$9)/12</f>
        <v>0.00533333333333333</v>
      </c>
      <c r="L308">
        <f>IF($A308&gt;=G$10,G$11,G$9)/12</f>
        <v>0</v>
      </c>
      <c r="M308">
        <f>IF($A308&gt;=H$10,H$11,H$9)/12</f>
        <v>0</v>
      </c>
      <c r="N308">
        <f>IF($A308&gt;=I$10,I$11,I$9)/12</f>
        <v>0</v>
      </c>
      <c r="O308">
        <f>IF($A308&gt;=J$10,J$11,J$9)/12</f>
        <v>0</v>
      </c>
      <c r="P308">
        <f>IF($A308&gt;=K$10,K$11,K$9)/12</f>
        <v>0</v>
      </c>
      <c r="Q308">
        <f>IF($A308&gt;=L$10,L$11,L$9)/12</f>
        <v>0</v>
      </c>
      <c r="R308">
        <f>IF($A308&gt;=M$10,M$11,M$9)/12</f>
        <v>0</v>
      </c>
      <c r="S308">
        <f>IF($A308&gt;=N$10,N$11,N$9)/12</f>
        <v>0</v>
      </c>
      <c r="T308">
        <f>IF(C$6="",0,SUMIFS('Budget ed extra'!$G$7:$G$42,'Budget ed extra'!$J$7:$J$42,$A308,'Budget ed extra'!$H$7:$H$42,C$6))</f>
        <v>0</v>
      </c>
      <c r="U308">
        <f>IF(D$6="",0,SUMIFS('Budget ed extra'!$G$7:$G$42,'Budget ed extra'!$J$7:$J$42,$A308,'Budget ed extra'!$H$7:$H$42,D$6))</f>
        <v>0</v>
      </c>
      <c r="V308">
        <f>IF(E$6="",0,SUMIFS('Budget ed extra'!$G$7:$G$42,'Budget ed extra'!$J$7:$J$42,$A308,'Budget ed extra'!$H$7:$H$42,E$6))</f>
        <v>0</v>
      </c>
      <c r="W308">
        <f>IF(F$6="",0,SUMIFS('Budget ed extra'!$G$7:$G$42,'Budget ed extra'!$J$7:$J$42,$A308,'Budget ed extra'!$H$7:$H$42,F$6))</f>
        <v>0</v>
      </c>
      <c r="X308">
        <f>IF(G$6="",0,SUMIFS('Budget ed extra'!$G$7:$G$42,'Budget ed extra'!$J$7:$J$42,$A308,'Budget ed extra'!$H$7:$H$42,G$6))</f>
        <v>0</v>
      </c>
      <c r="Y308">
        <f>IF(H$6="",0,SUMIFS('Budget ed extra'!$G$7:$G$42,'Budget ed extra'!$J$7:$J$42,$A308,'Budget ed extra'!$H$7:$H$42,H$6))</f>
        <v>0</v>
      </c>
      <c r="Z308">
        <f>IF(I$6="",0,SUMIFS('Budget ed extra'!$G$7:$G$42,'Budget ed extra'!$J$7:$J$42,$A308,'Budget ed extra'!$H$7:$H$42,I$6))</f>
        <v>0</v>
      </c>
      <c r="AA308">
        <f>IF(J$6="",0,SUMIFS('Budget ed extra'!$G$7:$G$42,'Budget ed extra'!$J$7:$J$42,$A308,'Budget ed extra'!$H$7:$H$42,J$6))</f>
        <v>0</v>
      </c>
      <c r="AB308">
        <f>IF(K$6="",0,SUMIFS('Budget ed extra'!$G$7:$G$42,'Budget ed extra'!$J$7:$J$42,$A308,'Budget ed extra'!$H$7:$H$42,K$6))</f>
        <v>0</v>
      </c>
      <c r="AC308">
        <f>IF(L$6="",0,SUMIFS('Budget ed extra'!$G$7:$G$42,'Budget ed extra'!$J$7:$J$42,$A308,'Budget ed extra'!$H$7:$H$42,L$6))</f>
        <v>0</v>
      </c>
      <c r="AD308">
        <f>IF(M$6="",0,SUMIFS('Budget ed extra'!$G$7:$G$42,'Budget ed extra'!$J$7:$J$42,$A308,'Budget ed extra'!$H$7:$H$42,M$6))</f>
        <v>0</v>
      </c>
      <c r="AE308">
        <f>IF(N$6="",0,SUMIFS('Budget ed extra'!$G$7:$G$42,'Budget ed extra'!$J$7:$J$42,$A308,'Budget ed extra'!$H$7:$H$42,N$6))</f>
        <v>0</v>
      </c>
    </row>
    <row r="309">
      <c r="A309" t="n">
        <v>279</v>
      </c>
      <c r="B309">
        <f>DATE($B$2,$B$3+A309-1,1)</f>
        <v>54789.0</v>
      </c>
      <c r="C309">
        <f>IF(D309=0,N(Impostazioni!$B$6),SUMIFS('Budget ed extra'!$B$7:$B$18,'Budget ed extra'!$D$7:$D$18,D309)/COUNTIFS('Budget ed extra'!$D$7:$D$18,D309))</f>
        <v>900</v>
      </c>
      <c r="D309">
        <f>SUMPRODUCT(MAX(('Budget ed extra'!$D$7:$D$18&lt;=A309)*'Budget ed extra'!$D$7:$D$18))</f>
        <v>9</v>
      </c>
      <c r="E309">
        <f>SUMIFS('Budget ed extra'!$G$7:$G$42,'Budget ed extra'!$J$7:$J$42,A309)</f>
        <v>0</v>
      </c>
      <c r="F309">
        <f>SUM(T309:AE309)</f>
        <v>0</v>
      </c>
      <c r="G309">
        <f>MAX(0,E309-F309)</f>
        <v>0</v>
      </c>
      <c r="H309">
        <f>IF($A309&gt;=C$10,C$11,C$9)/12</f>
        <v>0.01575</v>
      </c>
      <c r="I309">
        <f>IF($A309&gt;=D$10,D$11,D$9)/12</f>
        <v>0.01825</v>
      </c>
      <c r="J309">
        <f>IF($A309&gt;=E$10,E$11,E$9)/12</f>
        <v>0.00766666666666667</v>
      </c>
      <c r="K309">
        <f>IF($A309&gt;=F$10,F$11,F$9)/12</f>
        <v>0.00533333333333333</v>
      </c>
      <c r="L309">
        <f>IF($A309&gt;=G$10,G$11,G$9)/12</f>
        <v>0</v>
      </c>
      <c r="M309">
        <f>IF($A309&gt;=H$10,H$11,H$9)/12</f>
        <v>0</v>
      </c>
      <c r="N309">
        <f>IF($A309&gt;=I$10,I$11,I$9)/12</f>
        <v>0</v>
      </c>
      <c r="O309">
        <f>IF($A309&gt;=J$10,J$11,J$9)/12</f>
        <v>0</v>
      </c>
      <c r="P309">
        <f>IF($A309&gt;=K$10,K$11,K$9)/12</f>
        <v>0</v>
      </c>
      <c r="Q309">
        <f>IF($A309&gt;=L$10,L$11,L$9)/12</f>
        <v>0</v>
      </c>
      <c r="R309">
        <f>IF($A309&gt;=M$10,M$11,M$9)/12</f>
        <v>0</v>
      </c>
      <c r="S309">
        <f>IF($A309&gt;=N$10,N$11,N$9)/12</f>
        <v>0</v>
      </c>
      <c r="T309">
        <f>IF(C$6="",0,SUMIFS('Budget ed extra'!$G$7:$G$42,'Budget ed extra'!$J$7:$J$42,$A309,'Budget ed extra'!$H$7:$H$42,C$6))</f>
        <v>0</v>
      </c>
      <c r="U309">
        <f>IF(D$6="",0,SUMIFS('Budget ed extra'!$G$7:$G$42,'Budget ed extra'!$J$7:$J$42,$A309,'Budget ed extra'!$H$7:$H$42,D$6))</f>
        <v>0</v>
      </c>
      <c r="V309">
        <f>IF(E$6="",0,SUMIFS('Budget ed extra'!$G$7:$G$42,'Budget ed extra'!$J$7:$J$42,$A309,'Budget ed extra'!$H$7:$H$42,E$6))</f>
        <v>0</v>
      </c>
      <c r="W309">
        <f>IF(F$6="",0,SUMIFS('Budget ed extra'!$G$7:$G$42,'Budget ed extra'!$J$7:$J$42,$A309,'Budget ed extra'!$H$7:$H$42,F$6))</f>
        <v>0</v>
      </c>
      <c r="X309">
        <f>IF(G$6="",0,SUMIFS('Budget ed extra'!$G$7:$G$42,'Budget ed extra'!$J$7:$J$42,$A309,'Budget ed extra'!$H$7:$H$42,G$6))</f>
        <v>0</v>
      </c>
      <c r="Y309">
        <f>IF(H$6="",0,SUMIFS('Budget ed extra'!$G$7:$G$42,'Budget ed extra'!$J$7:$J$42,$A309,'Budget ed extra'!$H$7:$H$42,H$6))</f>
        <v>0</v>
      </c>
      <c r="Z309">
        <f>IF(I$6="",0,SUMIFS('Budget ed extra'!$G$7:$G$42,'Budget ed extra'!$J$7:$J$42,$A309,'Budget ed extra'!$H$7:$H$42,I$6))</f>
        <v>0</v>
      </c>
      <c r="AA309">
        <f>IF(J$6="",0,SUMIFS('Budget ed extra'!$G$7:$G$42,'Budget ed extra'!$J$7:$J$42,$A309,'Budget ed extra'!$H$7:$H$42,J$6))</f>
        <v>0</v>
      </c>
      <c r="AB309">
        <f>IF(K$6="",0,SUMIFS('Budget ed extra'!$G$7:$G$42,'Budget ed extra'!$J$7:$J$42,$A309,'Budget ed extra'!$H$7:$H$42,K$6))</f>
        <v>0</v>
      </c>
      <c r="AC309">
        <f>IF(L$6="",0,SUMIFS('Budget ed extra'!$G$7:$G$42,'Budget ed extra'!$J$7:$J$42,$A309,'Budget ed extra'!$H$7:$H$42,L$6))</f>
        <v>0</v>
      </c>
      <c r="AD309">
        <f>IF(M$6="",0,SUMIFS('Budget ed extra'!$G$7:$G$42,'Budget ed extra'!$J$7:$J$42,$A309,'Budget ed extra'!$H$7:$H$42,M$6))</f>
        <v>0</v>
      </c>
      <c r="AE309">
        <f>IF(N$6="",0,SUMIFS('Budget ed extra'!$G$7:$G$42,'Budget ed extra'!$J$7:$J$42,$A309,'Budget ed extra'!$H$7:$H$42,N$6))</f>
        <v>0</v>
      </c>
    </row>
    <row r="310">
      <c r="A310" t="n">
        <v>280</v>
      </c>
      <c r="B310">
        <f>DATE($B$2,$B$3+A310-1,1)</f>
        <v>54820.0</v>
      </c>
      <c r="C310">
        <f>IF(D310=0,N(Impostazioni!$B$6),SUMIFS('Budget ed extra'!$B$7:$B$18,'Budget ed extra'!$D$7:$D$18,D310)/COUNTIFS('Budget ed extra'!$D$7:$D$18,D310))</f>
        <v>900</v>
      </c>
      <c r="D310">
        <f>SUMPRODUCT(MAX(('Budget ed extra'!$D$7:$D$18&lt;=A310)*'Budget ed extra'!$D$7:$D$18))</f>
        <v>9</v>
      </c>
      <c r="E310">
        <f>SUMIFS('Budget ed extra'!$G$7:$G$42,'Budget ed extra'!$J$7:$J$42,A310)</f>
        <v>0</v>
      </c>
      <c r="F310">
        <f>SUM(T310:AE310)</f>
        <v>0</v>
      </c>
      <c r="G310">
        <f>MAX(0,E310-F310)</f>
        <v>0</v>
      </c>
      <c r="H310">
        <f>IF($A310&gt;=C$10,C$11,C$9)/12</f>
        <v>0.01575</v>
      </c>
      <c r="I310">
        <f>IF($A310&gt;=D$10,D$11,D$9)/12</f>
        <v>0.01825</v>
      </c>
      <c r="J310">
        <f>IF($A310&gt;=E$10,E$11,E$9)/12</f>
        <v>0.00766666666666667</v>
      </c>
      <c r="K310">
        <f>IF($A310&gt;=F$10,F$11,F$9)/12</f>
        <v>0.00533333333333333</v>
      </c>
      <c r="L310">
        <f>IF($A310&gt;=G$10,G$11,G$9)/12</f>
        <v>0</v>
      </c>
      <c r="M310">
        <f>IF($A310&gt;=H$10,H$11,H$9)/12</f>
        <v>0</v>
      </c>
      <c r="N310">
        <f>IF($A310&gt;=I$10,I$11,I$9)/12</f>
        <v>0</v>
      </c>
      <c r="O310">
        <f>IF($A310&gt;=J$10,J$11,J$9)/12</f>
        <v>0</v>
      </c>
      <c r="P310">
        <f>IF($A310&gt;=K$10,K$11,K$9)/12</f>
        <v>0</v>
      </c>
      <c r="Q310">
        <f>IF($A310&gt;=L$10,L$11,L$9)/12</f>
        <v>0</v>
      </c>
      <c r="R310">
        <f>IF($A310&gt;=M$10,M$11,M$9)/12</f>
        <v>0</v>
      </c>
      <c r="S310">
        <f>IF($A310&gt;=N$10,N$11,N$9)/12</f>
        <v>0</v>
      </c>
      <c r="T310">
        <f>IF(C$6="",0,SUMIFS('Budget ed extra'!$G$7:$G$42,'Budget ed extra'!$J$7:$J$42,$A310,'Budget ed extra'!$H$7:$H$42,C$6))</f>
        <v>0</v>
      </c>
      <c r="U310">
        <f>IF(D$6="",0,SUMIFS('Budget ed extra'!$G$7:$G$42,'Budget ed extra'!$J$7:$J$42,$A310,'Budget ed extra'!$H$7:$H$42,D$6))</f>
        <v>0</v>
      </c>
      <c r="V310">
        <f>IF(E$6="",0,SUMIFS('Budget ed extra'!$G$7:$G$42,'Budget ed extra'!$J$7:$J$42,$A310,'Budget ed extra'!$H$7:$H$42,E$6))</f>
        <v>0</v>
      </c>
      <c r="W310">
        <f>IF(F$6="",0,SUMIFS('Budget ed extra'!$G$7:$G$42,'Budget ed extra'!$J$7:$J$42,$A310,'Budget ed extra'!$H$7:$H$42,F$6))</f>
        <v>0</v>
      </c>
      <c r="X310">
        <f>IF(G$6="",0,SUMIFS('Budget ed extra'!$G$7:$G$42,'Budget ed extra'!$J$7:$J$42,$A310,'Budget ed extra'!$H$7:$H$42,G$6))</f>
        <v>0</v>
      </c>
      <c r="Y310">
        <f>IF(H$6="",0,SUMIFS('Budget ed extra'!$G$7:$G$42,'Budget ed extra'!$J$7:$J$42,$A310,'Budget ed extra'!$H$7:$H$42,H$6))</f>
        <v>0</v>
      </c>
      <c r="Z310">
        <f>IF(I$6="",0,SUMIFS('Budget ed extra'!$G$7:$G$42,'Budget ed extra'!$J$7:$J$42,$A310,'Budget ed extra'!$H$7:$H$42,I$6))</f>
        <v>0</v>
      </c>
      <c r="AA310">
        <f>IF(J$6="",0,SUMIFS('Budget ed extra'!$G$7:$G$42,'Budget ed extra'!$J$7:$J$42,$A310,'Budget ed extra'!$H$7:$H$42,J$6))</f>
        <v>0</v>
      </c>
      <c r="AB310">
        <f>IF(K$6="",0,SUMIFS('Budget ed extra'!$G$7:$G$42,'Budget ed extra'!$J$7:$J$42,$A310,'Budget ed extra'!$H$7:$H$42,K$6))</f>
        <v>0</v>
      </c>
      <c r="AC310">
        <f>IF(L$6="",0,SUMIFS('Budget ed extra'!$G$7:$G$42,'Budget ed extra'!$J$7:$J$42,$A310,'Budget ed extra'!$H$7:$H$42,L$6))</f>
        <v>0</v>
      </c>
      <c r="AD310">
        <f>IF(M$6="",0,SUMIFS('Budget ed extra'!$G$7:$G$42,'Budget ed extra'!$J$7:$J$42,$A310,'Budget ed extra'!$H$7:$H$42,M$6))</f>
        <v>0</v>
      </c>
      <c r="AE310">
        <f>IF(N$6="",0,SUMIFS('Budget ed extra'!$G$7:$G$42,'Budget ed extra'!$J$7:$J$42,$A310,'Budget ed extra'!$H$7:$H$42,N$6))</f>
        <v>0</v>
      </c>
    </row>
    <row r="311">
      <c r="A311" t="n">
        <v>281</v>
      </c>
      <c r="B311">
        <f>DATE($B$2,$B$3+A311-1,1)</f>
        <v>54848.0</v>
      </c>
      <c r="C311">
        <f>IF(D311=0,N(Impostazioni!$B$6),SUMIFS('Budget ed extra'!$B$7:$B$18,'Budget ed extra'!$D$7:$D$18,D311)/COUNTIFS('Budget ed extra'!$D$7:$D$18,D311))</f>
        <v>900</v>
      </c>
      <c r="D311">
        <f>SUMPRODUCT(MAX(('Budget ed extra'!$D$7:$D$18&lt;=A311)*'Budget ed extra'!$D$7:$D$18))</f>
        <v>9</v>
      </c>
      <c r="E311">
        <f>SUMIFS('Budget ed extra'!$G$7:$G$42,'Budget ed extra'!$J$7:$J$42,A311)</f>
        <v>0</v>
      </c>
      <c r="F311">
        <f>SUM(T311:AE311)</f>
        <v>0</v>
      </c>
      <c r="G311">
        <f>MAX(0,E311-F311)</f>
        <v>0</v>
      </c>
      <c r="H311">
        <f>IF($A311&gt;=C$10,C$11,C$9)/12</f>
        <v>0.01575</v>
      </c>
      <c r="I311">
        <f>IF($A311&gt;=D$10,D$11,D$9)/12</f>
        <v>0.01825</v>
      </c>
      <c r="J311">
        <f>IF($A311&gt;=E$10,E$11,E$9)/12</f>
        <v>0.00766666666666667</v>
      </c>
      <c r="K311">
        <f>IF($A311&gt;=F$10,F$11,F$9)/12</f>
        <v>0.00533333333333333</v>
      </c>
      <c r="L311">
        <f>IF($A311&gt;=G$10,G$11,G$9)/12</f>
        <v>0</v>
      </c>
      <c r="M311">
        <f>IF($A311&gt;=H$10,H$11,H$9)/12</f>
        <v>0</v>
      </c>
      <c r="N311">
        <f>IF($A311&gt;=I$10,I$11,I$9)/12</f>
        <v>0</v>
      </c>
      <c r="O311">
        <f>IF($A311&gt;=J$10,J$11,J$9)/12</f>
        <v>0</v>
      </c>
      <c r="P311">
        <f>IF($A311&gt;=K$10,K$11,K$9)/12</f>
        <v>0</v>
      </c>
      <c r="Q311">
        <f>IF($A311&gt;=L$10,L$11,L$9)/12</f>
        <v>0</v>
      </c>
      <c r="R311">
        <f>IF($A311&gt;=M$10,M$11,M$9)/12</f>
        <v>0</v>
      </c>
      <c r="S311">
        <f>IF($A311&gt;=N$10,N$11,N$9)/12</f>
        <v>0</v>
      </c>
      <c r="T311">
        <f>IF(C$6="",0,SUMIFS('Budget ed extra'!$G$7:$G$42,'Budget ed extra'!$J$7:$J$42,$A311,'Budget ed extra'!$H$7:$H$42,C$6))</f>
        <v>0</v>
      </c>
      <c r="U311">
        <f>IF(D$6="",0,SUMIFS('Budget ed extra'!$G$7:$G$42,'Budget ed extra'!$J$7:$J$42,$A311,'Budget ed extra'!$H$7:$H$42,D$6))</f>
        <v>0</v>
      </c>
      <c r="V311">
        <f>IF(E$6="",0,SUMIFS('Budget ed extra'!$G$7:$G$42,'Budget ed extra'!$J$7:$J$42,$A311,'Budget ed extra'!$H$7:$H$42,E$6))</f>
        <v>0</v>
      </c>
      <c r="W311">
        <f>IF(F$6="",0,SUMIFS('Budget ed extra'!$G$7:$G$42,'Budget ed extra'!$J$7:$J$42,$A311,'Budget ed extra'!$H$7:$H$42,F$6))</f>
        <v>0</v>
      </c>
      <c r="X311">
        <f>IF(G$6="",0,SUMIFS('Budget ed extra'!$G$7:$G$42,'Budget ed extra'!$J$7:$J$42,$A311,'Budget ed extra'!$H$7:$H$42,G$6))</f>
        <v>0</v>
      </c>
      <c r="Y311">
        <f>IF(H$6="",0,SUMIFS('Budget ed extra'!$G$7:$G$42,'Budget ed extra'!$J$7:$J$42,$A311,'Budget ed extra'!$H$7:$H$42,H$6))</f>
        <v>0</v>
      </c>
      <c r="Z311">
        <f>IF(I$6="",0,SUMIFS('Budget ed extra'!$G$7:$G$42,'Budget ed extra'!$J$7:$J$42,$A311,'Budget ed extra'!$H$7:$H$42,I$6))</f>
        <v>0</v>
      </c>
      <c r="AA311">
        <f>IF(J$6="",0,SUMIFS('Budget ed extra'!$G$7:$G$42,'Budget ed extra'!$J$7:$J$42,$A311,'Budget ed extra'!$H$7:$H$42,J$6))</f>
        <v>0</v>
      </c>
      <c r="AB311">
        <f>IF(K$6="",0,SUMIFS('Budget ed extra'!$G$7:$G$42,'Budget ed extra'!$J$7:$J$42,$A311,'Budget ed extra'!$H$7:$H$42,K$6))</f>
        <v>0</v>
      </c>
      <c r="AC311">
        <f>IF(L$6="",0,SUMIFS('Budget ed extra'!$G$7:$G$42,'Budget ed extra'!$J$7:$J$42,$A311,'Budget ed extra'!$H$7:$H$42,L$6))</f>
        <v>0</v>
      </c>
      <c r="AD311">
        <f>IF(M$6="",0,SUMIFS('Budget ed extra'!$G$7:$G$42,'Budget ed extra'!$J$7:$J$42,$A311,'Budget ed extra'!$H$7:$H$42,M$6))</f>
        <v>0</v>
      </c>
      <c r="AE311">
        <f>IF(N$6="",0,SUMIFS('Budget ed extra'!$G$7:$G$42,'Budget ed extra'!$J$7:$J$42,$A311,'Budget ed extra'!$H$7:$H$42,N$6))</f>
        <v>0</v>
      </c>
    </row>
    <row r="312">
      <c r="A312" t="n">
        <v>282</v>
      </c>
      <c r="B312">
        <f>DATE($B$2,$B$3+A312-1,1)</f>
        <v>54879.0</v>
      </c>
      <c r="C312">
        <f>IF(D312=0,N(Impostazioni!$B$6),SUMIFS('Budget ed extra'!$B$7:$B$18,'Budget ed extra'!$D$7:$D$18,D312)/COUNTIFS('Budget ed extra'!$D$7:$D$18,D312))</f>
        <v>900</v>
      </c>
      <c r="D312">
        <f>SUMPRODUCT(MAX(('Budget ed extra'!$D$7:$D$18&lt;=A312)*'Budget ed extra'!$D$7:$D$18))</f>
        <v>9</v>
      </c>
      <c r="E312">
        <f>SUMIFS('Budget ed extra'!$G$7:$G$42,'Budget ed extra'!$J$7:$J$42,A312)</f>
        <v>0</v>
      </c>
      <c r="F312">
        <f>SUM(T312:AE312)</f>
        <v>0</v>
      </c>
      <c r="G312">
        <f>MAX(0,E312-F312)</f>
        <v>0</v>
      </c>
      <c r="H312">
        <f>IF($A312&gt;=C$10,C$11,C$9)/12</f>
        <v>0.01575</v>
      </c>
      <c r="I312">
        <f>IF($A312&gt;=D$10,D$11,D$9)/12</f>
        <v>0.01825</v>
      </c>
      <c r="J312">
        <f>IF($A312&gt;=E$10,E$11,E$9)/12</f>
        <v>0.00766666666666667</v>
      </c>
      <c r="K312">
        <f>IF($A312&gt;=F$10,F$11,F$9)/12</f>
        <v>0.00533333333333333</v>
      </c>
      <c r="L312">
        <f>IF($A312&gt;=G$10,G$11,G$9)/12</f>
        <v>0</v>
      </c>
      <c r="M312">
        <f>IF($A312&gt;=H$10,H$11,H$9)/12</f>
        <v>0</v>
      </c>
      <c r="N312">
        <f>IF($A312&gt;=I$10,I$11,I$9)/12</f>
        <v>0</v>
      </c>
      <c r="O312">
        <f>IF($A312&gt;=J$10,J$11,J$9)/12</f>
        <v>0</v>
      </c>
      <c r="P312">
        <f>IF($A312&gt;=K$10,K$11,K$9)/12</f>
        <v>0</v>
      </c>
      <c r="Q312">
        <f>IF($A312&gt;=L$10,L$11,L$9)/12</f>
        <v>0</v>
      </c>
      <c r="R312">
        <f>IF($A312&gt;=M$10,M$11,M$9)/12</f>
        <v>0</v>
      </c>
      <c r="S312">
        <f>IF($A312&gt;=N$10,N$11,N$9)/12</f>
        <v>0</v>
      </c>
      <c r="T312">
        <f>IF(C$6="",0,SUMIFS('Budget ed extra'!$G$7:$G$42,'Budget ed extra'!$J$7:$J$42,$A312,'Budget ed extra'!$H$7:$H$42,C$6))</f>
        <v>0</v>
      </c>
      <c r="U312">
        <f>IF(D$6="",0,SUMIFS('Budget ed extra'!$G$7:$G$42,'Budget ed extra'!$J$7:$J$42,$A312,'Budget ed extra'!$H$7:$H$42,D$6))</f>
        <v>0</v>
      </c>
      <c r="V312">
        <f>IF(E$6="",0,SUMIFS('Budget ed extra'!$G$7:$G$42,'Budget ed extra'!$J$7:$J$42,$A312,'Budget ed extra'!$H$7:$H$42,E$6))</f>
        <v>0</v>
      </c>
      <c r="W312">
        <f>IF(F$6="",0,SUMIFS('Budget ed extra'!$G$7:$G$42,'Budget ed extra'!$J$7:$J$42,$A312,'Budget ed extra'!$H$7:$H$42,F$6))</f>
        <v>0</v>
      </c>
      <c r="X312">
        <f>IF(G$6="",0,SUMIFS('Budget ed extra'!$G$7:$G$42,'Budget ed extra'!$J$7:$J$42,$A312,'Budget ed extra'!$H$7:$H$42,G$6))</f>
        <v>0</v>
      </c>
      <c r="Y312">
        <f>IF(H$6="",0,SUMIFS('Budget ed extra'!$G$7:$G$42,'Budget ed extra'!$J$7:$J$42,$A312,'Budget ed extra'!$H$7:$H$42,H$6))</f>
        <v>0</v>
      </c>
      <c r="Z312">
        <f>IF(I$6="",0,SUMIFS('Budget ed extra'!$G$7:$G$42,'Budget ed extra'!$J$7:$J$42,$A312,'Budget ed extra'!$H$7:$H$42,I$6))</f>
        <v>0</v>
      </c>
      <c r="AA312">
        <f>IF(J$6="",0,SUMIFS('Budget ed extra'!$G$7:$G$42,'Budget ed extra'!$J$7:$J$42,$A312,'Budget ed extra'!$H$7:$H$42,J$6))</f>
        <v>0</v>
      </c>
      <c r="AB312">
        <f>IF(K$6="",0,SUMIFS('Budget ed extra'!$G$7:$G$42,'Budget ed extra'!$J$7:$J$42,$A312,'Budget ed extra'!$H$7:$H$42,K$6))</f>
        <v>0</v>
      </c>
      <c r="AC312">
        <f>IF(L$6="",0,SUMIFS('Budget ed extra'!$G$7:$G$42,'Budget ed extra'!$J$7:$J$42,$A312,'Budget ed extra'!$H$7:$H$42,L$6))</f>
        <v>0</v>
      </c>
      <c r="AD312">
        <f>IF(M$6="",0,SUMIFS('Budget ed extra'!$G$7:$G$42,'Budget ed extra'!$J$7:$J$42,$A312,'Budget ed extra'!$H$7:$H$42,M$6))</f>
        <v>0</v>
      </c>
      <c r="AE312">
        <f>IF(N$6="",0,SUMIFS('Budget ed extra'!$G$7:$G$42,'Budget ed extra'!$J$7:$J$42,$A312,'Budget ed extra'!$H$7:$H$42,N$6))</f>
        <v>0</v>
      </c>
    </row>
    <row r="313">
      <c r="A313" t="n">
        <v>283</v>
      </c>
      <c r="B313">
        <f>DATE($B$2,$B$3+A313-1,1)</f>
        <v>54909.0</v>
      </c>
      <c r="C313">
        <f>IF(D313=0,N(Impostazioni!$B$6),SUMIFS('Budget ed extra'!$B$7:$B$18,'Budget ed extra'!$D$7:$D$18,D313)/COUNTIFS('Budget ed extra'!$D$7:$D$18,D313))</f>
        <v>900</v>
      </c>
      <c r="D313">
        <f>SUMPRODUCT(MAX(('Budget ed extra'!$D$7:$D$18&lt;=A313)*'Budget ed extra'!$D$7:$D$18))</f>
        <v>9</v>
      </c>
      <c r="E313">
        <f>SUMIFS('Budget ed extra'!$G$7:$G$42,'Budget ed extra'!$J$7:$J$42,A313)</f>
        <v>0</v>
      </c>
      <c r="F313">
        <f>SUM(T313:AE313)</f>
        <v>0</v>
      </c>
      <c r="G313">
        <f>MAX(0,E313-F313)</f>
        <v>0</v>
      </c>
      <c r="H313">
        <f>IF($A313&gt;=C$10,C$11,C$9)/12</f>
        <v>0.01575</v>
      </c>
      <c r="I313">
        <f>IF($A313&gt;=D$10,D$11,D$9)/12</f>
        <v>0.01825</v>
      </c>
      <c r="J313">
        <f>IF($A313&gt;=E$10,E$11,E$9)/12</f>
        <v>0.00766666666666667</v>
      </c>
      <c r="K313">
        <f>IF($A313&gt;=F$10,F$11,F$9)/12</f>
        <v>0.00533333333333333</v>
      </c>
      <c r="L313">
        <f>IF($A313&gt;=G$10,G$11,G$9)/12</f>
        <v>0</v>
      </c>
      <c r="M313">
        <f>IF($A313&gt;=H$10,H$11,H$9)/12</f>
        <v>0</v>
      </c>
      <c r="N313">
        <f>IF($A313&gt;=I$10,I$11,I$9)/12</f>
        <v>0</v>
      </c>
      <c r="O313">
        <f>IF($A313&gt;=J$10,J$11,J$9)/12</f>
        <v>0</v>
      </c>
      <c r="P313">
        <f>IF($A313&gt;=K$10,K$11,K$9)/12</f>
        <v>0</v>
      </c>
      <c r="Q313">
        <f>IF($A313&gt;=L$10,L$11,L$9)/12</f>
        <v>0</v>
      </c>
      <c r="R313">
        <f>IF($A313&gt;=M$10,M$11,M$9)/12</f>
        <v>0</v>
      </c>
      <c r="S313">
        <f>IF($A313&gt;=N$10,N$11,N$9)/12</f>
        <v>0</v>
      </c>
      <c r="T313">
        <f>IF(C$6="",0,SUMIFS('Budget ed extra'!$G$7:$G$42,'Budget ed extra'!$J$7:$J$42,$A313,'Budget ed extra'!$H$7:$H$42,C$6))</f>
        <v>0</v>
      </c>
      <c r="U313">
        <f>IF(D$6="",0,SUMIFS('Budget ed extra'!$G$7:$G$42,'Budget ed extra'!$J$7:$J$42,$A313,'Budget ed extra'!$H$7:$H$42,D$6))</f>
        <v>0</v>
      </c>
      <c r="V313">
        <f>IF(E$6="",0,SUMIFS('Budget ed extra'!$G$7:$G$42,'Budget ed extra'!$J$7:$J$42,$A313,'Budget ed extra'!$H$7:$H$42,E$6))</f>
        <v>0</v>
      </c>
      <c r="W313">
        <f>IF(F$6="",0,SUMIFS('Budget ed extra'!$G$7:$G$42,'Budget ed extra'!$J$7:$J$42,$A313,'Budget ed extra'!$H$7:$H$42,F$6))</f>
        <v>0</v>
      </c>
      <c r="X313">
        <f>IF(G$6="",0,SUMIFS('Budget ed extra'!$G$7:$G$42,'Budget ed extra'!$J$7:$J$42,$A313,'Budget ed extra'!$H$7:$H$42,G$6))</f>
        <v>0</v>
      </c>
      <c r="Y313">
        <f>IF(H$6="",0,SUMIFS('Budget ed extra'!$G$7:$G$42,'Budget ed extra'!$J$7:$J$42,$A313,'Budget ed extra'!$H$7:$H$42,H$6))</f>
        <v>0</v>
      </c>
      <c r="Z313">
        <f>IF(I$6="",0,SUMIFS('Budget ed extra'!$G$7:$G$42,'Budget ed extra'!$J$7:$J$42,$A313,'Budget ed extra'!$H$7:$H$42,I$6))</f>
        <v>0</v>
      </c>
      <c r="AA313">
        <f>IF(J$6="",0,SUMIFS('Budget ed extra'!$G$7:$G$42,'Budget ed extra'!$J$7:$J$42,$A313,'Budget ed extra'!$H$7:$H$42,J$6))</f>
        <v>0</v>
      </c>
      <c r="AB313">
        <f>IF(K$6="",0,SUMIFS('Budget ed extra'!$G$7:$G$42,'Budget ed extra'!$J$7:$J$42,$A313,'Budget ed extra'!$H$7:$H$42,K$6))</f>
        <v>0</v>
      </c>
      <c r="AC313">
        <f>IF(L$6="",0,SUMIFS('Budget ed extra'!$G$7:$G$42,'Budget ed extra'!$J$7:$J$42,$A313,'Budget ed extra'!$H$7:$H$42,L$6))</f>
        <v>0</v>
      </c>
      <c r="AD313">
        <f>IF(M$6="",0,SUMIFS('Budget ed extra'!$G$7:$G$42,'Budget ed extra'!$J$7:$J$42,$A313,'Budget ed extra'!$H$7:$H$42,M$6))</f>
        <v>0</v>
      </c>
      <c r="AE313">
        <f>IF(N$6="",0,SUMIFS('Budget ed extra'!$G$7:$G$42,'Budget ed extra'!$J$7:$J$42,$A313,'Budget ed extra'!$H$7:$H$42,N$6))</f>
        <v>0</v>
      </c>
    </row>
    <row r="314">
      <c r="A314" t="n">
        <v>284</v>
      </c>
      <c r="B314">
        <f>DATE($B$2,$B$3+A314-1,1)</f>
        <v>54940.0</v>
      </c>
      <c r="C314">
        <f>IF(D314=0,N(Impostazioni!$B$6),SUMIFS('Budget ed extra'!$B$7:$B$18,'Budget ed extra'!$D$7:$D$18,D314)/COUNTIFS('Budget ed extra'!$D$7:$D$18,D314))</f>
        <v>900</v>
      </c>
      <c r="D314">
        <f>SUMPRODUCT(MAX(('Budget ed extra'!$D$7:$D$18&lt;=A314)*'Budget ed extra'!$D$7:$D$18))</f>
        <v>9</v>
      </c>
      <c r="E314">
        <f>SUMIFS('Budget ed extra'!$G$7:$G$42,'Budget ed extra'!$J$7:$J$42,A314)</f>
        <v>0</v>
      </c>
      <c r="F314">
        <f>SUM(T314:AE314)</f>
        <v>0</v>
      </c>
      <c r="G314">
        <f>MAX(0,E314-F314)</f>
        <v>0</v>
      </c>
      <c r="H314">
        <f>IF($A314&gt;=C$10,C$11,C$9)/12</f>
        <v>0.01575</v>
      </c>
      <c r="I314">
        <f>IF($A314&gt;=D$10,D$11,D$9)/12</f>
        <v>0.01825</v>
      </c>
      <c r="J314">
        <f>IF($A314&gt;=E$10,E$11,E$9)/12</f>
        <v>0.00766666666666667</v>
      </c>
      <c r="K314">
        <f>IF($A314&gt;=F$10,F$11,F$9)/12</f>
        <v>0.00533333333333333</v>
      </c>
      <c r="L314">
        <f>IF($A314&gt;=G$10,G$11,G$9)/12</f>
        <v>0</v>
      </c>
      <c r="M314">
        <f>IF($A314&gt;=H$10,H$11,H$9)/12</f>
        <v>0</v>
      </c>
      <c r="N314">
        <f>IF($A314&gt;=I$10,I$11,I$9)/12</f>
        <v>0</v>
      </c>
      <c r="O314">
        <f>IF($A314&gt;=J$10,J$11,J$9)/12</f>
        <v>0</v>
      </c>
      <c r="P314">
        <f>IF($A314&gt;=K$10,K$11,K$9)/12</f>
        <v>0</v>
      </c>
      <c r="Q314">
        <f>IF($A314&gt;=L$10,L$11,L$9)/12</f>
        <v>0</v>
      </c>
      <c r="R314">
        <f>IF($A314&gt;=M$10,M$11,M$9)/12</f>
        <v>0</v>
      </c>
      <c r="S314">
        <f>IF($A314&gt;=N$10,N$11,N$9)/12</f>
        <v>0</v>
      </c>
      <c r="T314">
        <f>IF(C$6="",0,SUMIFS('Budget ed extra'!$G$7:$G$42,'Budget ed extra'!$J$7:$J$42,$A314,'Budget ed extra'!$H$7:$H$42,C$6))</f>
        <v>0</v>
      </c>
      <c r="U314">
        <f>IF(D$6="",0,SUMIFS('Budget ed extra'!$G$7:$G$42,'Budget ed extra'!$J$7:$J$42,$A314,'Budget ed extra'!$H$7:$H$42,D$6))</f>
        <v>0</v>
      </c>
      <c r="V314">
        <f>IF(E$6="",0,SUMIFS('Budget ed extra'!$G$7:$G$42,'Budget ed extra'!$J$7:$J$42,$A314,'Budget ed extra'!$H$7:$H$42,E$6))</f>
        <v>0</v>
      </c>
      <c r="W314">
        <f>IF(F$6="",0,SUMIFS('Budget ed extra'!$G$7:$G$42,'Budget ed extra'!$J$7:$J$42,$A314,'Budget ed extra'!$H$7:$H$42,F$6))</f>
        <v>0</v>
      </c>
      <c r="X314">
        <f>IF(G$6="",0,SUMIFS('Budget ed extra'!$G$7:$G$42,'Budget ed extra'!$J$7:$J$42,$A314,'Budget ed extra'!$H$7:$H$42,G$6))</f>
        <v>0</v>
      </c>
      <c r="Y314">
        <f>IF(H$6="",0,SUMIFS('Budget ed extra'!$G$7:$G$42,'Budget ed extra'!$J$7:$J$42,$A314,'Budget ed extra'!$H$7:$H$42,H$6))</f>
        <v>0</v>
      </c>
      <c r="Z314">
        <f>IF(I$6="",0,SUMIFS('Budget ed extra'!$G$7:$G$42,'Budget ed extra'!$J$7:$J$42,$A314,'Budget ed extra'!$H$7:$H$42,I$6))</f>
        <v>0</v>
      </c>
      <c r="AA314">
        <f>IF(J$6="",0,SUMIFS('Budget ed extra'!$G$7:$G$42,'Budget ed extra'!$J$7:$J$42,$A314,'Budget ed extra'!$H$7:$H$42,J$6))</f>
        <v>0</v>
      </c>
      <c r="AB314">
        <f>IF(K$6="",0,SUMIFS('Budget ed extra'!$G$7:$G$42,'Budget ed extra'!$J$7:$J$42,$A314,'Budget ed extra'!$H$7:$H$42,K$6))</f>
        <v>0</v>
      </c>
      <c r="AC314">
        <f>IF(L$6="",0,SUMIFS('Budget ed extra'!$G$7:$G$42,'Budget ed extra'!$J$7:$J$42,$A314,'Budget ed extra'!$H$7:$H$42,L$6))</f>
        <v>0</v>
      </c>
      <c r="AD314">
        <f>IF(M$6="",0,SUMIFS('Budget ed extra'!$G$7:$G$42,'Budget ed extra'!$J$7:$J$42,$A314,'Budget ed extra'!$H$7:$H$42,M$6))</f>
        <v>0</v>
      </c>
      <c r="AE314">
        <f>IF(N$6="",0,SUMIFS('Budget ed extra'!$G$7:$G$42,'Budget ed extra'!$J$7:$J$42,$A314,'Budget ed extra'!$H$7:$H$42,N$6))</f>
        <v>0</v>
      </c>
    </row>
    <row r="315">
      <c r="A315" t="n">
        <v>285</v>
      </c>
      <c r="B315">
        <f>DATE($B$2,$B$3+A315-1,1)</f>
        <v>54970.0</v>
      </c>
      <c r="C315">
        <f>IF(D315=0,N(Impostazioni!$B$6),SUMIFS('Budget ed extra'!$B$7:$B$18,'Budget ed extra'!$D$7:$D$18,D315)/COUNTIFS('Budget ed extra'!$D$7:$D$18,D315))</f>
        <v>900</v>
      </c>
      <c r="D315">
        <f>SUMPRODUCT(MAX(('Budget ed extra'!$D$7:$D$18&lt;=A315)*'Budget ed extra'!$D$7:$D$18))</f>
        <v>9</v>
      </c>
      <c r="E315">
        <f>SUMIFS('Budget ed extra'!$G$7:$G$42,'Budget ed extra'!$J$7:$J$42,A315)</f>
        <v>0</v>
      </c>
      <c r="F315">
        <f>SUM(T315:AE315)</f>
        <v>0</v>
      </c>
      <c r="G315">
        <f>MAX(0,E315-F315)</f>
        <v>0</v>
      </c>
      <c r="H315">
        <f>IF($A315&gt;=C$10,C$11,C$9)/12</f>
        <v>0.01575</v>
      </c>
      <c r="I315">
        <f>IF($A315&gt;=D$10,D$11,D$9)/12</f>
        <v>0.01825</v>
      </c>
      <c r="J315">
        <f>IF($A315&gt;=E$10,E$11,E$9)/12</f>
        <v>0.00766666666666667</v>
      </c>
      <c r="K315">
        <f>IF($A315&gt;=F$10,F$11,F$9)/12</f>
        <v>0.00533333333333333</v>
      </c>
      <c r="L315">
        <f>IF($A315&gt;=G$10,G$11,G$9)/12</f>
        <v>0</v>
      </c>
      <c r="M315">
        <f>IF($A315&gt;=H$10,H$11,H$9)/12</f>
        <v>0</v>
      </c>
      <c r="N315">
        <f>IF($A315&gt;=I$10,I$11,I$9)/12</f>
        <v>0</v>
      </c>
      <c r="O315">
        <f>IF($A315&gt;=J$10,J$11,J$9)/12</f>
        <v>0</v>
      </c>
      <c r="P315">
        <f>IF($A315&gt;=K$10,K$11,K$9)/12</f>
        <v>0</v>
      </c>
      <c r="Q315">
        <f>IF($A315&gt;=L$10,L$11,L$9)/12</f>
        <v>0</v>
      </c>
      <c r="R315">
        <f>IF($A315&gt;=M$10,M$11,M$9)/12</f>
        <v>0</v>
      </c>
      <c r="S315">
        <f>IF($A315&gt;=N$10,N$11,N$9)/12</f>
        <v>0</v>
      </c>
      <c r="T315">
        <f>IF(C$6="",0,SUMIFS('Budget ed extra'!$G$7:$G$42,'Budget ed extra'!$J$7:$J$42,$A315,'Budget ed extra'!$H$7:$H$42,C$6))</f>
        <v>0</v>
      </c>
      <c r="U315">
        <f>IF(D$6="",0,SUMIFS('Budget ed extra'!$G$7:$G$42,'Budget ed extra'!$J$7:$J$42,$A315,'Budget ed extra'!$H$7:$H$42,D$6))</f>
        <v>0</v>
      </c>
      <c r="V315">
        <f>IF(E$6="",0,SUMIFS('Budget ed extra'!$G$7:$G$42,'Budget ed extra'!$J$7:$J$42,$A315,'Budget ed extra'!$H$7:$H$42,E$6))</f>
        <v>0</v>
      </c>
      <c r="W315">
        <f>IF(F$6="",0,SUMIFS('Budget ed extra'!$G$7:$G$42,'Budget ed extra'!$J$7:$J$42,$A315,'Budget ed extra'!$H$7:$H$42,F$6))</f>
        <v>0</v>
      </c>
      <c r="X315">
        <f>IF(G$6="",0,SUMIFS('Budget ed extra'!$G$7:$G$42,'Budget ed extra'!$J$7:$J$42,$A315,'Budget ed extra'!$H$7:$H$42,G$6))</f>
        <v>0</v>
      </c>
      <c r="Y315">
        <f>IF(H$6="",0,SUMIFS('Budget ed extra'!$G$7:$G$42,'Budget ed extra'!$J$7:$J$42,$A315,'Budget ed extra'!$H$7:$H$42,H$6))</f>
        <v>0</v>
      </c>
      <c r="Z315">
        <f>IF(I$6="",0,SUMIFS('Budget ed extra'!$G$7:$G$42,'Budget ed extra'!$J$7:$J$42,$A315,'Budget ed extra'!$H$7:$H$42,I$6))</f>
        <v>0</v>
      </c>
      <c r="AA315">
        <f>IF(J$6="",0,SUMIFS('Budget ed extra'!$G$7:$G$42,'Budget ed extra'!$J$7:$J$42,$A315,'Budget ed extra'!$H$7:$H$42,J$6))</f>
        <v>0</v>
      </c>
      <c r="AB315">
        <f>IF(K$6="",0,SUMIFS('Budget ed extra'!$G$7:$G$42,'Budget ed extra'!$J$7:$J$42,$A315,'Budget ed extra'!$H$7:$H$42,K$6))</f>
        <v>0</v>
      </c>
      <c r="AC315">
        <f>IF(L$6="",0,SUMIFS('Budget ed extra'!$G$7:$G$42,'Budget ed extra'!$J$7:$J$42,$A315,'Budget ed extra'!$H$7:$H$42,L$6))</f>
        <v>0</v>
      </c>
      <c r="AD315">
        <f>IF(M$6="",0,SUMIFS('Budget ed extra'!$G$7:$G$42,'Budget ed extra'!$J$7:$J$42,$A315,'Budget ed extra'!$H$7:$H$42,M$6))</f>
        <v>0</v>
      </c>
      <c r="AE315">
        <f>IF(N$6="",0,SUMIFS('Budget ed extra'!$G$7:$G$42,'Budget ed extra'!$J$7:$J$42,$A315,'Budget ed extra'!$H$7:$H$42,N$6))</f>
        <v>0</v>
      </c>
    </row>
    <row r="316">
      <c r="A316" t="n">
        <v>286</v>
      </c>
      <c r="B316">
        <f>DATE($B$2,$B$3+A316-1,1)</f>
        <v>55001.0</v>
      </c>
      <c r="C316">
        <f>IF(D316=0,N(Impostazioni!$B$6),SUMIFS('Budget ed extra'!$B$7:$B$18,'Budget ed extra'!$D$7:$D$18,D316)/COUNTIFS('Budget ed extra'!$D$7:$D$18,D316))</f>
        <v>900</v>
      </c>
      <c r="D316">
        <f>SUMPRODUCT(MAX(('Budget ed extra'!$D$7:$D$18&lt;=A316)*'Budget ed extra'!$D$7:$D$18))</f>
        <v>9</v>
      </c>
      <c r="E316">
        <f>SUMIFS('Budget ed extra'!$G$7:$G$42,'Budget ed extra'!$J$7:$J$42,A316)</f>
        <v>0</v>
      </c>
      <c r="F316">
        <f>SUM(T316:AE316)</f>
        <v>0</v>
      </c>
      <c r="G316">
        <f>MAX(0,E316-F316)</f>
        <v>0</v>
      </c>
      <c r="H316">
        <f>IF($A316&gt;=C$10,C$11,C$9)/12</f>
        <v>0.01575</v>
      </c>
      <c r="I316">
        <f>IF($A316&gt;=D$10,D$11,D$9)/12</f>
        <v>0.01825</v>
      </c>
      <c r="J316">
        <f>IF($A316&gt;=E$10,E$11,E$9)/12</f>
        <v>0.00766666666666667</v>
      </c>
      <c r="K316">
        <f>IF($A316&gt;=F$10,F$11,F$9)/12</f>
        <v>0.00533333333333333</v>
      </c>
      <c r="L316">
        <f>IF($A316&gt;=G$10,G$11,G$9)/12</f>
        <v>0</v>
      </c>
      <c r="M316">
        <f>IF($A316&gt;=H$10,H$11,H$9)/12</f>
        <v>0</v>
      </c>
      <c r="N316">
        <f>IF($A316&gt;=I$10,I$11,I$9)/12</f>
        <v>0</v>
      </c>
      <c r="O316">
        <f>IF($A316&gt;=J$10,J$11,J$9)/12</f>
        <v>0</v>
      </c>
      <c r="P316">
        <f>IF($A316&gt;=K$10,K$11,K$9)/12</f>
        <v>0</v>
      </c>
      <c r="Q316">
        <f>IF($A316&gt;=L$10,L$11,L$9)/12</f>
        <v>0</v>
      </c>
      <c r="R316">
        <f>IF($A316&gt;=M$10,M$11,M$9)/12</f>
        <v>0</v>
      </c>
      <c r="S316">
        <f>IF($A316&gt;=N$10,N$11,N$9)/12</f>
        <v>0</v>
      </c>
      <c r="T316">
        <f>IF(C$6="",0,SUMIFS('Budget ed extra'!$G$7:$G$42,'Budget ed extra'!$J$7:$J$42,$A316,'Budget ed extra'!$H$7:$H$42,C$6))</f>
        <v>0</v>
      </c>
      <c r="U316">
        <f>IF(D$6="",0,SUMIFS('Budget ed extra'!$G$7:$G$42,'Budget ed extra'!$J$7:$J$42,$A316,'Budget ed extra'!$H$7:$H$42,D$6))</f>
        <v>0</v>
      </c>
      <c r="V316">
        <f>IF(E$6="",0,SUMIFS('Budget ed extra'!$G$7:$G$42,'Budget ed extra'!$J$7:$J$42,$A316,'Budget ed extra'!$H$7:$H$42,E$6))</f>
        <v>0</v>
      </c>
      <c r="W316">
        <f>IF(F$6="",0,SUMIFS('Budget ed extra'!$G$7:$G$42,'Budget ed extra'!$J$7:$J$42,$A316,'Budget ed extra'!$H$7:$H$42,F$6))</f>
        <v>0</v>
      </c>
      <c r="X316">
        <f>IF(G$6="",0,SUMIFS('Budget ed extra'!$G$7:$G$42,'Budget ed extra'!$J$7:$J$42,$A316,'Budget ed extra'!$H$7:$H$42,G$6))</f>
        <v>0</v>
      </c>
      <c r="Y316">
        <f>IF(H$6="",0,SUMIFS('Budget ed extra'!$G$7:$G$42,'Budget ed extra'!$J$7:$J$42,$A316,'Budget ed extra'!$H$7:$H$42,H$6))</f>
        <v>0</v>
      </c>
      <c r="Z316">
        <f>IF(I$6="",0,SUMIFS('Budget ed extra'!$G$7:$G$42,'Budget ed extra'!$J$7:$J$42,$A316,'Budget ed extra'!$H$7:$H$42,I$6))</f>
        <v>0</v>
      </c>
      <c r="AA316">
        <f>IF(J$6="",0,SUMIFS('Budget ed extra'!$G$7:$G$42,'Budget ed extra'!$J$7:$J$42,$A316,'Budget ed extra'!$H$7:$H$42,J$6))</f>
        <v>0</v>
      </c>
      <c r="AB316">
        <f>IF(K$6="",0,SUMIFS('Budget ed extra'!$G$7:$G$42,'Budget ed extra'!$J$7:$J$42,$A316,'Budget ed extra'!$H$7:$H$42,K$6))</f>
        <v>0</v>
      </c>
      <c r="AC316">
        <f>IF(L$6="",0,SUMIFS('Budget ed extra'!$G$7:$G$42,'Budget ed extra'!$J$7:$J$42,$A316,'Budget ed extra'!$H$7:$H$42,L$6))</f>
        <v>0</v>
      </c>
      <c r="AD316">
        <f>IF(M$6="",0,SUMIFS('Budget ed extra'!$G$7:$G$42,'Budget ed extra'!$J$7:$J$42,$A316,'Budget ed extra'!$H$7:$H$42,M$6))</f>
        <v>0</v>
      </c>
      <c r="AE316">
        <f>IF(N$6="",0,SUMIFS('Budget ed extra'!$G$7:$G$42,'Budget ed extra'!$J$7:$J$42,$A316,'Budget ed extra'!$H$7:$H$42,N$6))</f>
        <v>0</v>
      </c>
    </row>
    <row r="317">
      <c r="A317" t="n">
        <v>287</v>
      </c>
      <c r="B317">
        <f>DATE($B$2,$B$3+A317-1,1)</f>
        <v>55032.0</v>
      </c>
      <c r="C317">
        <f>IF(D317=0,N(Impostazioni!$B$6),SUMIFS('Budget ed extra'!$B$7:$B$18,'Budget ed extra'!$D$7:$D$18,D317)/COUNTIFS('Budget ed extra'!$D$7:$D$18,D317))</f>
        <v>900</v>
      </c>
      <c r="D317">
        <f>SUMPRODUCT(MAX(('Budget ed extra'!$D$7:$D$18&lt;=A317)*'Budget ed extra'!$D$7:$D$18))</f>
        <v>9</v>
      </c>
      <c r="E317">
        <f>SUMIFS('Budget ed extra'!$G$7:$G$42,'Budget ed extra'!$J$7:$J$42,A317)</f>
        <v>0</v>
      </c>
      <c r="F317">
        <f>SUM(T317:AE317)</f>
        <v>0</v>
      </c>
      <c r="G317">
        <f>MAX(0,E317-F317)</f>
        <v>0</v>
      </c>
      <c r="H317">
        <f>IF($A317&gt;=C$10,C$11,C$9)/12</f>
        <v>0.01575</v>
      </c>
      <c r="I317">
        <f>IF($A317&gt;=D$10,D$11,D$9)/12</f>
        <v>0.01825</v>
      </c>
      <c r="J317">
        <f>IF($A317&gt;=E$10,E$11,E$9)/12</f>
        <v>0.00766666666666667</v>
      </c>
      <c r="K317">
        <f>IF($A317&gt;=F$10,F$11,F$9)/12</f>
        <v>0.00533333333333333</v>
      </c>
      <c r="L317">
        <f>IF($A317&gt;=G$10,G$11,G$9)/12</f>
        <v>0</v>
      </c>
      <c r="M317">
        <f>IF($A317&gt;=H$10,H$11,H$9)/12</f>
        <v>0</v>
      </c>
      <c r="N317">
        <f>IF($A317&gt;=I$10,I$11,I$9)/12</f>
        <v>0</v>
      </c>
      <c r="O317">
        <f>IF($A317&gt;=J$10,J$11,J$9)/12</f>
        <v>0</v>
      </c>
      <c r="P317">
        <f>IF($A317&gt;=K$10,K$11,K$9)/12</f>
        <v>0</v>
      </c>
      <c r="Q317">
        <f>IF($A317&gt;=L$10,L$11,L$9)/12</f>
        <v>0</v>
      </c>
      <c r="R317">
        <f>IF($A317&gt;=M$10,M$11,M$9)/12</f>
        <v>0</v>
      </c>
      <c r="S317">
        <f>IF($A317&gt;=N$10,N$11,N$9)/12</f>
        <v>0</v>
      </c>
      <c r="T317">
        <f>IF(C$6="",0,SUMIFS('Budget ed extra'!$G$7:$G$42,'Budget ed extra'!$J$7:$J$42,$A317,'Budget ed extra'!$H$7:$H$42,C$6))</f>
        <v>0</v>
      </c>
      <c r="U317">
        <f>IF(D$6="",0,SUMIFS('Budget ed extra'!$G$7:$G$42,'Budget ed extra'!$J$7:$J$42,$A317,'Budget ed extra'!$H$7:$H$42,D$6))</f>
        <v>0</v>
      </c>
      <c r="V317">
        <f>IF(E$6="",0,SUMIFS('Budget ed extra'!$G$7:$G$42,'Budget ed extra'!$J$7:$J$42,$A317,'Budget ed extra'!$H$7:$H$42,E$6))</f>
        <v>0</v>
      </c>
      <c r="W317">
        <f>IF(F$6="",0,SUMIFS('Budget ed extra'!$G$7:$G$42,'Budget ed extra'!$J$7:$J$42,$A317,'Budget ed extra'!$H$7:$H$42,F$6))</f>
        <v>0</v>
      </c>
      <c r="X317">
        <f>IF(G$6="",0,SUMIFS('Budget ed extra'!$G$7:$G$42,'Budget ed extra'!$J$7:$J$42,$A317,'Budget ed extra'!$H$7:$H$42,G$6))</f>
        <v>0</v>
      </c>
      <c r="Y317">
        <f>IF(H$6="",0,SUMIFS('Budget ed extra'!$G$7:$G$42,'Budget ed extra'!$J$7:$J$42,$A317,'Budget ed extra'!$H$7:$H$42,H$6))</f>
        <v>0</v>
      </c>
      <c r="Z317">
        <f>IF(I$6="",0,SUMIFS('Budget ed extra'!$G$7:$G$42,'Budget ed extra'!$J$7:$J$42,$A317,'Budget ed extra'!$H$7:$H$42,I$6))</f>
        <v>0</v>
      </c>
      <c r="AA317">
        <f>IF(J$6="",0,SUMIFS('Budget ed extra'!$G$7:$G$42,'Budget ed extra'!$J$7:$J$42,$A317,'Budget ed extra'!$H$7:$H$42,J$6))</f>
        <v>0</v>
      </c>
      <c r="AB317">
        <f>IF(K$6="",0,SUMIFS('Budget ed extra'!$G$7:$G$42,'Budget ed extra'!$J$7:$J$42,$A317,'Budget ed extra'!$H$7:$H$42,K$6))</f>
        <v>0</v>
      </c>
      <c r="AC317">
        <f>IF(L$6="",0,SUMIFS('Budget ed extra'!$G$7:$G$42,'Budget ed extra'!$J$7:$J$42,$A317,'Budget ed extra'!$H$7:$H$42,L$6))</f>
        <v>0</v>
      </c>
      <c r="AD317">
        <f>IF(M$6="",0,SUMIFS('Budget ed extra'!$G$7:$G$42,'Budget ed extra'!$J$7:$J$42,$A317,'Budget ed extra'!$H$7:$H$42,M$6))</f>
        <v>0</v>
      </c>
      <c r="AE317">
        <f>IF(N$6="",0,SUMIFS('Budget ed extra'!$G$7:$G$42,'Budget ed extra'!$J$7:$J$42,$A317,'Budget ed extra'!$H$7:$H$42,N$6))</f>
        <v>0</v>
      </c>
    </row>
    <row r="318">
      <c r="A318" t="n">
        <v>288</v>
      </c>
      <c r="B318">
        <f>DATE($B$2,$B$3+A318-1,1)</f>
        <v>55062.0</v>
      </c>
      <c r="C318">
        <f>IF(D318=0,N(Impostazioni!$B$6),SUMIFS('Budget ed extra'!$B$7:$B$18,'Budget ed extra'!$D$7:$D$18,D318)/COUNTIFS('Budget ed extra'!$D$7:$D$18,D318))</f>
        <v>900</v>
      </c>
      <c r="D318">
        <f>SUMPRODUCT(MAX(('Budget ed extra'!$D$7:$D$18&lt;=A318)*'Budget ed extra'!$D$7:$D$18))</f>
        <v>9</v>
      </c>
      <c r="E318">
        <f>SUMIFS('Budget ed extra'!$G$7:$G$42,'Budget ed extra'!$J$7:$J$42,A318)</f>
        <v>0</v>
      </c>
      <c r="F318">
        <f>SUM(T318:AE318)</f>
        <v>0</v>
      </c>
      <c r="G318">
        <f>MAX(0,E318-F318)</f>
        <v>0</v>
      </c>
      <c r="H318">
        <f>IF($A318&gt;=C$10,C$11,C$9)/12</f>
        <v>0.01575</v>
      </c>
      <c r="I318">
        <f>IF($A318&gt;=D$10,D$11,D$9)/12</f>
        <v>0.01825</v>
      </c>
      <c r="J318">
        <f>IF($A318&gt;=E$10,E$11,E$9)/12</f>
        <v>0.00766666666666667</v>
      </c>
      <c r="K318">
        <f>IF($A318&gt;=F$10,F$11,F$9)/12</f>
        <v>0.00533333333333333</v>
      </c>
      <c r="L318">
        <f>IF($A318&gt;=G$10,G$11,G$9)/12</f>
        <v>0</v>
      </c>
      <c r="M318">
        <f>IF($A318&gt;=H$10,H$11,H$9)/12</f>
        <v>0</v>
      </c>
      <c r="N318">
        <f>IF($A318&gt;=I$10,I$11,I$9)/12</f>
        <v>0</v>
      </c>
      <c r="O318">
        <f>IF($A318&gt;=J$10,J$11,J$9)/12</f>
        <v>0</v>
      </c>
      <c r="P318">
        <f>IF($A318&gt;=K$10,K$11,K$9)/12</f>
        <v>0</v>
      </c>
      <c r="Q318">
        <f>IF($A318&gt;=L$10,L$11,L$9)/12</f>
        <v>0</v>
      </c>
      <c r="R318">
        <f>IF($A318&gt;=M$10,M$11,M$9)/12</f>
        <v>0</v>
      </c>
      <c r="S318">
        <f>IF($A318&gt;=N$10,N$11,N$9)/12</f>
        <v>0</v>
      </c>
      <c r="T318">
        <f>IF(C$6="",0,SUMIFS('Budget ed extra'!$G$7:$G$42,'Budget ed extra'!$J$7:$J$42,$A318,'Budget ed extra'!$H$7:$H$42,C$6))</f>
        <v>0</v>
      </c>
      <c r="U318">
        <f>IF(D$6="",0,SUMIFS('Budget ed extra'!$G$7:$G$42,'Budget ed extra'!$J$7:$J$42,$A318,'Budget ed extra'!$H$7:$H$42,D$6))</f>
        <v>0</v>
      </c>
      <c r="V318">
        <f>IF(E$6="",0,SUMIFS('Budget ed extra'!$G$7:$G$42,'Budget ed extra'!$J$7:$J$42,$A318,'Budget ed extra'!$H$7:$H$42,E$6))</f>
        <v>0</v>
      </c>
      <c r="W318">
        <f>IF(F$6="",0,SUMIFS('Budget ed extra'!$G$7:$G$42,'Budget ed extra'!$J$7:$J$42,$A318,'Budget ed extra'!$H$7:$H$42,F$6))</f>
        <v>0</v>
      </c>
      <c r="X318">
        <f>IF(G$6="",0,SUMIFS('Budget ed extra'!$G$7:$G$42,'Budget ed extra'!$J$7:$J$42,$A318,'Budget ed extra'!$H$7:$H$42,G$6))</f>
        <v>0</v>
      </c>
      <c r="Y318">
        <f>IF(H$6="",0,SUMIFS('Budget ed extra'!$G$7:$G$42,'Budget ed extra'!$J$7:$J$42,$A318,'Budget ed extra'!$H$7:$H$42,H$6))</f>
        <v>0</v>
      </c>
      <c r="Z318">
        <f>IF(I$6="",0,SUMIFS('Budget ed extra'!$G$7:$G$42,'Budget ed extra'!$J$7:$J$42,$A318,'Budget ed extra'!$H$7:$H$42,I$6))</f>
        <v>0</v>
      </c>
      <c r="AA318">
        <f>IF(J$6="",0,SUMIFS('Budget ed extra'!$G$7:$G$42,'Budget ed extra'!$J$7:$J$42,$A318,'Budget ed extra'!$H$7:$H$42,J$6))</f>
        <v>0</v>
      </c>
      <c r="AB318">
        <f>IF(K$6="",0,SUMIFS('Budget ed extra'!$G$7:$G$42,'Budget ed extra'!$J$7:$J$42,$A318,'Budget ed extra'!$H$7:$H$42,K$6))</f>
        <v>0</v>
      </c>
      <c r="AC318">
        <f>IF(L$6="",0,SUMIFS('Budget ed extra'!$G$7:$G$42,'Budget ed extra'!$J$7:$J$42,$A318,'Budget ed extra'!$H$7:$H$42,L$6))</f>
        <v>0</v>
      </c>
      <c r="AD318">
        <f>IF(M$6="",0,SUMIFS('Budget ed extra'!$G$7:$G$42,'Budget ed extra'!$J$7:$J$42,$A318,'Budget ed extra'!$H$7:$H$42,M$6))</f>
        <v>0</v>
      </c>
      <c r="AE318">
        <f>IF(N$6="",0,SUMIFS('Budget ed extra'!$G$7:$G$42,'Budget ed extra'!$J$7:$J$42,$A318,'Budget ed extra'!$H$7:$H$42,N$6))</f>
        <v>0</v>
      </c>
    </row>
    <row r="319">
      <c r="A319" t="n">
        <v>289</v>
      </c>
      <c r="B319">
        <f>DATE($B$2,$B$3+A319-1,1)</f>
        <v>55093.0</v>
      </c>
      <c r="C319">
        <f>IF(D319=0,N(Impostazioni!$B$6),SUMIFS('Budget ed extra'!$B$7:$B$18,'Budget ed extra'!$D$7:$D$18,D319)/COUNTIFS('Budget ed extra'!$D$7:$D$18,D319))</f>
        <v>900</v>
      </c>
      <c r="D319">
        <f>SUMPRODUCT(MAX(('Budget ed extra'!$D$7:$D$18&lt;=A319)*'Budget ed extra'!$D$7:$D$18))</f>
        <v>9</v>
      </c>
      <c r="E319">
        <f>SUMIFS('Budget ed extra'!$G$7:$G$42,'Budget ed extra'!$J$7:$J$42,A319)</f>
        <v>0</v>
      </c>
      <c r="F319">
        <f>SUM(T319:AE319)</f>
        <v>0</v>
      </c>
      <c r="G319">
        <f>MAX(0,E319-F319)</f>
        <v>0</v>
      </c>
      <c r="H319">
        <f>IF($A319&gt;=C$10,C$11,C$9)/12</f>
        <v>0.01575</v>
      </c>
      <c r="I319">
        <f>IF($A319&gt;=D$10,D$11,D$9)/12</f>
        <v>0.01825</v>
      </c>
      <c r="J319">
        <f>IF($A319&gt;=E$10,E$11,E$9)/12</f>
        <v>0.00766666666666667</v>
      </c>
      <c r="K319">
        <f>IF($A319&gt;=F$10,F$11,F$9)/12</f>
        <v>0.00533333333333333</v>
      </c>
      <c r="L319">
        <f>IF($A319&gt;=G$10,G$11,G$9)/12</f>
        <v>0</v>
      </c>
      <c r="M319">
        <f>IF($A319&gt;=H$10,H$11,H$9)/12</f>
        <v>0</v>
      </c>
      <c r="N319">
        <f>IF($A319&gt;=I$10,I$11,I$9)/12</f>
        <v>0</v>
      </c>
      <c r="O319">
        <f>IF($A319&gt;=J$10,J$11,J$9)/12</f>
        <v>0</v>
      </c>
      <c r="P319">
        <f>IF($A319&gt;=K$10,K$11,K$9)/12</f>
        <v>0</v>
      </c>
      <c r="Q319">
        <f>IF($A319&gt;=L$10,L$11,L$9)/12</f>
        <v>0</v>
      </c>
      <c r="R319">
        <f>IF($A319&gt;=M$10,M$11,M$9)/12</f>
        <v>0</v>
      </c>
      <c r="S319">
        <f>IF($A319&gt;=N$10,N$11,N$9)/12</f>
        <v>0</v>
      </c>
      <c r="T319">
        <f>IF(C$6="",0,SUMIFS('Budget ed extra'!$G$7:$G$42,'Budget ed extra'!$J$7:$J$42,$A319,'Budget ed extra'!$H$7:$H$42,C$6))</f>
        <v>0</v>
      </c>
      <c r="U319">
        <f>IF(D$6="",0,SUMIFS('Budget ed extra'!$G$7:$G$42,'Budget ed extra'!$J$7:$J$42,$A319,'Budget ed extra'!$H$7:$H$42,D$6))</f>
        <v>0</v>
      </c>
      <c r="V319">
        <f>IF(E$6="",0,SUMIFS('Budget ed extra'!$G$7:$G$42,'Budget ed extra'!$J$7:$J$42,$A319,'Budget ed extra'!$H$7:$H$42,E$6))</f>
        <v>0</v>
      </c>
      <c r="W319">
        <f>IF(F$6="",0,SUMIFS('Budget ed extra'!$G$7:$G$42,'Budget ed extra'!$J$7:$J$42,$A319,'Budget ed extra'!$H$7:$H$42,F$6))</f>
        <v>0</v>
      </c>
      <c r="X319">
        <f>IF(G$6="",0,SUMIFS('Budget ed extra'!$G$7:$G$42,'Budget ed extra'!$J$7:$J$42,$A319,'Budget ed extra'!$H$7:$H$42,G$6))</f>
        <v>0</v>
      </c>
      <c r="Y319">
        <f>IF(H$6="",0,SUMIFS('Budget ed extra'!$G$7:$G$42,'Budget ed extra'!$J$7:$J$42,$A319,'Budget ed extra'!$H$7:$H$42,H$6))</f>
        <v>0</v>
      </c>
      <c r="Z319">
        <f>IF(I$6="",0,SUMIFS('Budget ed extra'!$G$7:$G$42,'Budget ed extra'!$J$7:$J$42,$A319,'Budget ed extra'!$H$7:$H$42,I$6))</f>
        <v>0</v>
      </c>
      <c r="AA319">
        <f>IF(J$6="",0,SUMIFS('Budget ed extra'!$G$7:$G$42,'Budget ed extra'!$J$7:$J$42,$A319,'Budget ed extra'!$H$7:$H$42,J$6))</f>
        <v>0</v>
      </c>
      <c r="AB319">
        <f>IF(K$6="",0,SUMIFS('Budget ed extra'!$G$7:$G$42,'Budget ed extra'!$J$7:$J$42,$A319,'Budget ed extra'!$H$7:$H$42,K$6))</f>
        <v>0</v>
      </c>
      <c r="AC319">
        <f>IF(L$6="",0,SUMIFS('Budget ed extra'!$G$7:$G$42,'Budget ed extra'!$J$7:$J$42,$A319,'Budget ed extra'!$H$7:$H$42,L$6))</f>
        <v>0</v>
      </c>
      <c r="AD319">
        <f>IF(M$6="",0,SUMIFS('Budget ed extra'!$G$7:$G$42,'Budget ed extra'!$J$7:$J$42,$A319,'Budget ed extra'!$H$7:$H$42,M$6))</f>
        <v>0</v>
      </c>
      <c r="AE319">
        <f>IF(N$6="",0,SUMIFS('Budget ed extra'!$G$7:$G$42,'Budget ed extra'!$J$7:$J$42,$A319,'Budget ed extra'!$H$7:$H$42,N$6))</f>
        <v>0</v>
      </c>
    </row>
    <row r="320">
      <c r="A320" t="n">
        <v>290</v>
      </c>
      <c r="B320">
        <f>DATE($B$2,$B$3+A320-1,1)</f>
        <v>55123.0</v>
      </c>
      <c r="C320">
        <f>IF(D320=0,N(Impostazioni!$B$6),SUMIFS('Budget ed extra'!$B$7:$B$18,'Budget ed extra'!$D$7:$D$18,D320)/COUNTIFS('Budget ed extra'!$D$7:$D$18,D320))</f>
        <v>900</v>
      </c>
      <c r="D320">
        <f>SUMPRODUCT(MAX(('Budget ed extra'!$D$7:$D$18&lt;=A320)*'Budget ed extra'!$D$7:$D$18))</f>
        <v>9</v>
      </c>
      <c r="E320">
        <f>SUMIFS('Budget ed extra'!$G$7:$G$42,'Budget ed extra'!$J$7:$J$42,A320)</f>
        <v>0</v>
      </c>
      <c r="F320">
        <f>SUM(T320:AE320)</f>
        <v>0</v>
      </c>
      <c r="G320">
        <f>MAX(0,E320-F320)</f>
        <v>0</v>
      </c>
      <c r="H320">
        <f>IF($A320&gt;=C$10,C$11,C$9)/12</f>
        <v>0.01575</v>
      </c>
      <c r="I320">
        <f>IF($A320&gt;=D$10,D$11,D$9)/12</f>
        <v>0.01825</v>
      </c>
      <c r="J320">
        <f>IF($A320&gt;=E$10,E$11,E$9)/12</f>
        <v>0.00766666666666667</v>
      </c>
      <c r="K320">
        <f>IF($A320&gt;=F$10,F$11,F$9)/12</f>
        <v>0.00533333333333333</v>
      </c>
      <c r="L320">
        <f>IF($A320&gt;=G$10,G$11,G$9)/12</f>
        <v>0</v>
      </c>
      <c r="M320">
        <f>IF($A320&gt;=H$10,H$11,H$9)/12</f>
        <v>0</v>
      </c>
      <c r="N320">
        <f>IF($A320&gt;=I$10,I$11,I$9)/12</f>
        <v>0</v>
      </c>
      <c r="O320">
        <f>IF($A320&gt;=J$10,J$11,J$9)/12</f>
        <v>0</v>
      </c>
      <c r="P320">
        <f>IF($A320&gt;=K$10,K$11,K$9)/12</f>
        <v>0</v>
      </c>
      <c r="Q320">
        <f>IF($A320&gt;=L$10,L$11,L$9)/12</f>
        <v>0</v>
      </c>
      <c r="R320">
        <f>IF($A320&gt;=M$10,M$11,M$9)/12</f>
        <v>0</v>
      </c>
      <c r="S320">
        <f>IF($A320&gt;=N$10,N$11,N$9)/12</f>
        <v>0</v>
      </c>
      <c r="T320">
        <f>IF(C$6="",0,SUMIFS('Budget ed extra'!$G$7:$G$42,'Budget ed extra'!$J$7:$J$42,$A320,'Budget ed extra'!$H$7:$H$42,C$6))</f>
        <v>0</v>
      </c>
      <c r="U320">
        <f>IF(D$6="",0,SUMIFS('Budget ed extra'!$G$7:$G$42,'Budget ed extra'!$J$7:$J$42,$A320,'Budget ed extra'!$H$7:$H$42,D$6))</f>
        <v>0</v>
      </c>
      <c r="V320">
        <f>IF(E$6="",0,SUMIFS('Budget ed extra'!$G$7:$G$42,'Budget ed extra'!$J$7:$J$42,$A320,'Budget ed extra'!$H$7:$H$42,E$6))</f>
        <v>0</v>
      </c>
      <c r="W320">
        <f>IF(F$6="",0,SUMIFS('Budget ed extra'!$G$7:$G$42,'Budget ed extra'!$J$7:$J$42,$A320,'Budget ed extra'!$H$7:$H$42,F$6))</f>
        <v>0</v>
      </c>
      <c r="X320">
        <f>IF(G$6="",0,SUMIFS('Budget ed extra'!$G$7:$G$42,'Budget ed extra'!$J$7:$J$42,$A320,'Budget ed extra'!$H$7:$H$42,G$6))</f>
        <v>0</v>
      </c>
      <c r="Y320">
        <f>IF(H$6="",0,SUMIFS('Budget ed extra'!$G$7:$G$42,'Budget ed extra'!$J$7:$J$42,$A320,'Budget ed extra'!$H$7:$H$42,H$6))</f>
        <v>0</v>
      </c>
      <c r="Z320">
        <f>IF(I$6="",0,SUMIFS('Budget ed extra'!$G$7:$G$42,'Budget ed extra'!$J$7:$J$42,$A320,'Budget ed extra'!$H$7:$H$42,I$6))</f>
        <v>0</v>
      </c>
      <c r="AA320">
        <f>IF(J$6="",0,SUMIFS('Budget ed extra'!$G$7:$G$42,'Budget ed extra'!$J$7:$J$42,$A320,'Budget ed extra'!$H$7:$H$42,J$6))</f>
        <v>0</v>
      </c>
      <c r="AB320">
        <f>IF(K$6="",0,SUMIFS('Budget ed extra'!$G$7:$G$42,'Budget ed extra'!$J$7:$J$42,$A320,'Budget ed extra'!$H$7:$H$42,K$6))</f>
        <v>0</v>
      </c>
      <c r="AC320">
        <f>IF(L$6="",0,SUMIFS('Budget ed extra'!$G$7:$G$42,'Budget ed extra'!$J$7:$J$42,$A320,'Budget ed extra'!$H$7:$H$42,L$6))</f>
        <v>0</v>
      </c>
      <c r="AD320">
        <f>IF(M$6="",0,SUMIFS('Budget ed extra'!$G$7:$G$42,'Budget ed extra'!$J$7:$J$42,$A320,'Budget ed extra'!$H$7:$H$42,M$6))</f>
        <v>0</v>
      </c>
      <c r="AE320">
        <f>IF(N$6="",0,SUMIFS('Budget ed extra'!$G$7:$G$42,'Budget ed extra'!$J$7:$J$42,$A320,'Budget ed extra'!$H$7:$H$42,N$6))</f>
        <v>0</v>
      </c>
    </row>
    <row r="321">
      <c r="A321" t="n">
        <v>291</v>
      </c>
      <c r="B321">
        <f>DATE($B$2,$B$3+A321-1,1)</f>
        <v>55154.0</v>
      </c>
      <c r="C321">
        <f>IF(D321=0,N(Impostazioni!$B$6),SUMIFS('Budget ed extra'!$B$7:$B$18,'Budget ed extra'!$D$7:$D$18,D321)/COUNTIFS('Budget ed extra'!$D$7:$D$18,D321))</f>
        <v>900</v>
      </c>
      <c r="D321">
        <f>SUMPRODUCT(MAX(('Budget ed extra'!$D$7:$D$18&lt;=A321)*'Budget ed extra'!$D$7:$D$18))</f>
        <v>9</v>
      </c>
      <c r="E321">
        <f>SUMIFS('Budget ed extra'!$G$7:$G$42,'Budget ed extra'!$J$7:$J$42,A321)</f>
        <v>0</v>
      </c>
      <c r="F321">
        <f>SUM(T321:AE321)</f>
        <v>0</v>
      </c>
      <c r="G321">
        <f>MAX(0,E321-F321)</f>
        <v>0</v>
      </c>
      <c r="H321">
        <f>IF($A321&gt;=C$10,C$11,C$9)/12</f>
        <v>0.01575</v>
      </c>
      <c r="I321">
        <f>IF($A321&gt;=D$10,D$11,D$9)/12</f>
        <v>0.01825</v>
      </c>
      <c r="J321">
        <f>IF($A321&gt;=E$10,E$11,E$9)/12</f>
        <v>0.00766666666666667</v>
      </c>
      <c r="K321">
        <f>IF($A321&gt;=F$10,F$11,F$9)/12</f>
        <v>0.00533333333333333</v>
      </c>
      <c r="L321">
        <f>IF($A321&gt;=G$10,G$11,G$9)/12</f>
        <v>0</v>
      </c>
      <c r="M321">
        <f>IF($A321&gt;=H$10,H$11,H$9)/12</f>
        <v>0</v>
      </c>
      <c r="N321">
        <f>IF($A321&gt;=I$10,I$11,I$9)/12</f>
        <v>0</v>
      </c>
      <c r="O321">
        <f>IF($A321&gt;=J$10,J$11,J$9)/12</f>
        <v>0</v>
      </c>
      <c r="P321">
        <f>IF($A321&gt;=K$10,K$11,K$9)/12</f>
        <v>0</v>
      </c>
      <c r="Q321">
        <f>IF($A321&gt;=L$10,L$11,L$9)/12</f>
        <v>0</v>
      </c>
      <c r="R321">
        <f>IF($A321&gt;=M$10,M$11,M$9)/12</f>
        <v>0</v>
      </c>
      <c r="S321">
        <f>IF($A321&gt;=N$10,N$11,N$9)/12</f>
        <v>0</v>
      </c>
      <c r="T321">
        <f>IF(C$6="",0,SUMIFS('Budget ed extra'!$G$7:$G$42,'Budget ed extra'!$J$7:$J$42,$A321,'Budget ed extra'!$H$7:$H$42,C$6))</f>
        <v>0</v>
      </c>
      <c r="U321">
        <f>IF(D$6="",0,SUMIFS('Budget ed extra'!$G$7:$G$42,'Budget ed extra'!$J$7:$J$42,$A321,'Budget ed extra'!$H$7:$H$42,D$6))</f>
        <v>0</v>
      </c>
      <c r="V321">
        <f>IF(E$6="",0,SUMIFS('Budget ed extra'!$G$7:$G$42,'Budget ed extra'!$J$7:$J$42,$A321,'Budget ed extra'!$H$7:$H$42,E$6))</f>
        <v>0</v>
      </c>
      <c r="W321">
        <f>IF(F$6="",0,SUMIFS('Budget ed extra'!$G$7:$G$42,'Budget ed extra'!$J$7:$J$42,$A321,'Budget ed extra'!$H$7:$H$42,F$6))</f>
        <v>0</v>
      </c>
      <c r="X321">
        <f>IF(G$6="",0,SUMIFS('Budget ed extra'!$G$7:$G$42,'Budget ed extra'!$J$7:$J$42,$A321,'Budget ed extra'!$H$7:$H$42,G$6))</f>
        <v>0</v>
      </c>
      <c r="Y321">
        <f>IF(H$6="",0,SUMIFS('Budget ed extra'!$G$7:$G$42,'Budget ed extra'!$J$7:$J$42,$A321,'Budget ed extra'!$H$7:$H$42,H$6))</f>
        <v>0</v>
      </c>
      <c r="Z321">
        <f>IF(I$6="",0,SUMIFS('Budget ed extra'!$G$7:$G$42,'Budget ed extra'!$J$7:$J$42,$A321,'Budget ed extra'!$H$7:$H$42,I$6))</f>
        <v>0</v>
      </c>
      <c r="AA321">
        <f>IF(J$6="",0,SUMIFS('Budget ed extra'!$G$7:$G$42,'Budget ed extra'!$J$7:$J$42,$A321,'Budget ed extra'!$H$7:$H$42,J$6))</f>
        <v>0</v>
      </c>
      <c r="AB321">
        <f>IF(K$6="",0,SUMIFS('Budget ed extra'!$G$7:$G$42,'Budget ed extra'!$J$7:$J$42,$A321,'Budget ed extra'!$H$7:$H$42,K$6))</f>
        <v>0</v>
      </c>
      <c r="AC321">
        <f>IF(L$6="",0,SUMIFS('Budget ed extra'!$G$7:$G$42,'Budget ed extra'!$J$7:$J$42,$A321,'Budget ed extra'!$H$7:$H$42,L$6))</f>
        <v>0</v>
      </c>
      <c r="AD321">
        <f>IF(M$6="",0,SUMIFS('Budget ed extra'!$G$7:$G$42,'Budget ed extra'!$J$7:$J$42,$A321,'Budget ed extra'!$H$7:$H$42,M$6))</f>
        <v>0</v>
      </c>
      <c r="AE321">
        <f>IF(N$6="",0,SUMIFS('Budget ed extra'!$G$7:$G$42,'Budget ed extra'!$J$7:$J$42,$A321,'Budget ed extra'!$H$7:$H$42,N$6))</f>
        <v>0</v>
      </c>
    </row>
    <row r="322">
      <c r="A322" t="n">
        <v>292</v>
      </c>
      <c r="B322">
        <f>DATE($B$2,$B$3+A322-1,1)</f>
        <v>55185.0</v>
      </c>
      <c r="C322">
        <f>IF(D322=0,N(Impostazioni!$B$6),SUMIFS('Budget ed extra'!$B$7:$B$18,'Budget ed extra'!$D$7:$D$18,D322)/COUNTIFS('Budget ed extra'!$D$7:$D$18,D322))</f>
        <v>900</v>
      </c>
      <c r="D322">
        <f>SUMPRODUCT(MAX(('Budget ed extra'!$D$7:$D$18&lt;=A322)*'Budget ed extra'!$D$7:$D$18))</f>
        <v>9</v>
      </c>
      <c r="E322">
        <f>SUMIFS('Budget ed extra'!$G$7:$G$42,'Budget ed extra'!$J$7:$J$42,A322)</f>
        <v>0</v>
      </c>
      <c r="F322">
        <f>SUM(T322:AE322)</f>
        <v>0</v>
      </c>
      <c r="G322">
        <f>MAX(0,E322-F322)</f>
        <v>0</v>
      </c>
      <c r="H322">
        <f>IF($A322&gt;=C$10,C$11,C$9)/12</f>
        <v>0.01575</v>
      </c>
      <c r="I322">
        <f>IF($A322&gt;=D$10,D$11,D$9)/12</f>
        <v>0.01825</v>
      </c>
      <c r="J322">
        <f>IF($A322&gt;=E$10,E$11,E$9)/12</f>
        <v>0.00766666666666667</v>
      </c>
      <c r="K322">
        <f>IF($A322&gt;=F$10,F$11,F$9)/12</f>
        <v>0.00533333333333333</v>
      </c>
      <c r="L322">
        <f>IF($A322&gt;=G$10,G$11,G$9)/12</f>
        <v>0</v>
      </c>
      <c r="M322">
        <f>IF($A322&gt;=H$10,H$11,H$9)/12</f>
        <v>0</v>
      </c>
      <c r="N322">
        <f>IF($A322&gt;=I$10,I$11,I$9)/12</f>
        <v>0</v>
      </c>
      <c r="O322">
        <f>IF($A322&gt;=J$10,J$11,J$9)/12</f>
        <v>0</v>
      </c>
      <c r="P322">
        <f>IF($A322&gt;=K$10,K$11,K$9)/12</f>
        <v>0</v>
      </c>
      <c r="Q322">
        <f>IF($A322&gt;=L$10,L$11,L$9)/12</f>
        <v>0</v>
      </c>
      <c r="R322">
        <f>IF($A322&gt;=M$10,M$11,M$9)/12</f>
        <v>0</v>
      </c>
      <c r="S322">
        <f>IF($A322&gt;=N$10,N$11,N$9)/12</f>
        <v>0</v>
      </c>
      <c r="T322">
        <f>IF(C$6="",0,SUMIFS('Budget ed extra'!$G$7:$G$42,'Budget ed extra'!$J$7:$J$42,$A322,'Budget ed extra'!$H$7:$H$42,C$6))</f>
        <v>0</v>
      </c>
      <c r="U322">
        <f>IF(D$6="",0,SUMIFS('Budget ed extra'!$G$7:$G$42,'Budget ed extra'!$J$7:$J$42,$A322,'Budget ed extra'!$H$7:$H$42,D$6))</f>
        <v>0</v>
      </c>
      <c r="V322">
        <f>IF(E$6="",0,SUMIFS('Budget ed extra'!$G$7:$G$42,'Budget ed extra'!$J$7:$J$42,$A322,'Budget ed extra'!$H$7:$H$42,E$6))</f>
        <v>0</v>
      </c>
      <c r="W322">
        <f>IF(F$6="",0,SUMIFS('Budget ed extra'!$G$7:$G$42,'Budget ed extra'!$J$7:$J$42,$A322,'Budget ed extra'!$H$7:$H$42,F$6))</f>
        <v>0</v>
      </c>
      <c r="X322">
        <f>IF(G$6="",0,SUMIFS('Budget ed extra'!$G$7:$G$42,'Budget ed extra'!$J$7:$J$42,$A322,'Budget ed extra'!$H$7:$H$42,G$6))</f>
        <v>0</v>
      </c>
      <c r="Y322">
        <f>IF(H$6="",0,SUMIFS('Budget ed extra'!$G$7:$G$42,'Budget ed extra'!$J$7:$J$42,$A322,'Budget ed extra'!$H$7:$H$42,H$6))</f>
        <v>0</v>
      </c>
      <c r="Z322">
        <f>IF(I$6="",0,SUMIFS('Budget ed extra'!$G$7:$G$42,'Budget ed extra'!$J$7:$J$42,$A322,'Budget ed extra'!$H$7:$H$42,I$6))</f>
        <v>0</v>
      </c>
      <c r="AA322">
        <f>IF(J$6="",0,SUMIFS('Budget ed extra'!$G$7:$G$42,'Budget ed extra'!$J$7:$J$42,$A322,'Budget ed extra'!$H$7:$H$42,J$6))</f>
        <v>0</v>
      </c>
      <c r="AB322">
        <f>IF(K$6="",0,SUMIFS('Budget ed extra'!$G$7:$G$42,'Budget ed extra'!$J$7:$J$42,$A322,'Budget ed extra'!$H$7:$H$42,K$6))</f>
        <v>0</v>
      </c>
      <c r="AC322">
        <f>IF(L$6="",0,SUMIFS('Budget ed extra'!$G$7:$G$42,'Budget ed extra'!$J$7:$J$42,$A322,'Budget ed extra'!$H$7:$H$42,L$6))</f>
        <v>0</v>
      </c>
      <c r="AD322">
        <f>IF(M$6="",0,SUMIFS('Budget ed extra'!$G$7:$G$42,'Budget ed extra'!$J$7:$J$42,$A322,'Budget ed extra'!$H$7:$H$42,M$6))</f>
        <v>0</v>
      </c>
      <c r="AE322">
        <f>IF(N$6="",0,SUMIFS('Budget ed extra'!$G$7:$G$42,'Budget ed extra'!$J$7:$J$42,$A322,'Budget ed extra'!$H$7:$H$42,N$6))</f>
        <v>0</v>
      </c>
    </row>
    <row r="323">
      <c r="A323" t="n">
        <v>293</v>
      </c>
      <c r="B323">
        <f>DATE($B$2,$B$3+A323-1,1)</f>
        <v>55213.0</v>
      </c>
      <c r="C323">
        <f>IF(D323=0,N(Impostazioni!$B$6),SUMIFS('Budget ed extra'!$B$7:$B$18,'Budget ed extra'!$D$7:$D$18,D323)/COUNTIFS('Budget ed extra'!$D$7:$D$18,D323))</f>
        <v>900</v>
      </c>
      <c r="D323">
        <f>SUMPRODUCT(MAX(('Budget ed extra'!$D$7:$D$18&lt;=A323)*'Budget ed extra'!$D$7:$D$18))</f>
        <v>9</v>
      </c>
      <c r="E323">
        <f>SUMIFS('Budget ed extra'!$G$7:$G$42,'Budget ed extra'!$J$7:$J$42,A323)</f>
        <v>0</v>
      </c>
      <c r="F323">
        <f>SUM(T323:AE323)</f>
        <v>0</v>
      </c>
      <c r="G323">
        <f>MAX(0,E323-F323)</f>
        <v>0</v>
      </c>
      <c r="H323">
        <f>IF($A323&gt;=C$10,C$11,C$9)/12</f>
        <v>0.01575</v>
      </c>
      <c r="I323">
        <f>IF($A323&gt;=D$10,D$11,D$9)/12</f>
        <v>0.01825</v>
      </c>
      <c r="J323">
        <f>IF($A323&gt;=E$10,E$11,E$9)/12</f>
        <v>0.00766666666666667</v>
      </c>
      <c r="K323">
        <f>IF($A323&gt;=F$10,F$11,F$9)/12</f>
        <v>0.00533333333333333</v>
      </c>
      <c r="L323">
        <f>IF($A323&gt;=G$10,G$11,G$9)/12</f>
        <v>0</v>
      </c>
      <c r="M323">
        <f>IF($A323&gt;=H$10,H$11,H$9)/12</f>
        <v>0</v>
      </c>
      <c r="N323">
        <f>IF($A323&gt;=I$10,I$11,I$9)/12</f>
        <v>0</v>
      </c>
      <c r="O323">
        <f>IF($A323&gt;=J$10,J$11,J$9)/12</f>
        <v>0</v>
      </c>
      <c r="P323">
        <f>IF($A323&gt;=K$10,K$11,K$9)/12</f>
        <v>0</v>
      </c>
      <c r="Q323">
        <f>IF($A323&gt;=L$10,L$11,L$9)/12</f>
        <v>0</v>
      </c>
      <c r="R323">
        <f>IF($A323&gt;=M$10,M$11,M$9)/12</f>
        <v>0</v>
      </c>
      <c r="S323">
        <f>IF($A323&gt;=N$10,N$11,N$9)/12</f>
        <v>0</v>
      </c>
      <c r="T323">
        <f>IF(C$6="",0,SUMIFS('Budget ed extra'!$G$7:$G$42,'Budget ed extra'!$J$7:$J$42,$A323,'Budget ed extra'!$H$7:$H$42,C$6))</f>
        <v>0</v>
      </c>
      <c r="U323">
        <f>IF(D$6="",0,SUMIFS('Budget ed extra'!$G$7:$G$42,'Budget ed extra'!$J$7:$J$42,$A323,'Budget ed extra'!$H$7:$H$42,D$6))</f>
        <v>0</v>
      </c>
      <c r="V323">
        <f>IF(E$6="",0,SUMIFS('Budget ed extra'!$G$7:$G$42,'Budget ed extra'!$J$7:$J$42,$A323,'Budget ed extra'!$H$7:$H$42,E$6))</f>
        <v>0</v>
      </c>
      <c r="W323">
        <f>IF(F$6="",0,SUMIFS('Budget ed extra'!$G$7:$G$42,'Budget ed extra'!$J$7:$J$42,$A323,'Budget ed extra'!$H$7:$H$42,F$6))</f>
        <v>0</v>
      </c>
      <c r="X323">
        <f>IF(G$6="",0,SUMIFS('Budget ed extra'!$G$7:$G$42,'Budget ed extra'!$J$7:$J$42,$A323,'Budget ed extra'!$H$7:$H$42,G$6))</f>
        <v>0</v>
      </c>
      <c r="Y323">
        <f>IF(H$6="",0,SUMIFS('Budget ed extra'!$G$7:$G$42,'Budget ed extra'!$J$7:$J$42,$A323,'Budget ed extra'!$H$7:$H$42,H$6))</f>
        <v>0</v>
      </c>
      <c r="Z323">
        <f>IF(I$6="",0,SUMIFS('Budget ed extra'!$G$7:$G$42,'Budget ed extra'!$J$7:$J$42,$A323,'Budget ed extra'!$H$7:$H$42,I$6))</f>
        <v>0</v>
      </c>
      <c r="AA323">
        <f>IF(J$6="",0,SUMIFS('Budget ed extra'!$G$7:$G$42,'Budget ed extra'!$J$7:$J$42,$A323,'Budget ed extra'!$H$7:$H$42,J$6))</f>
        <v>0</v>
      </c>
      <c r="AB323">
        <f>IF(K$6="",0,SUMIFS('Budget ed extra'!$G$7:$G$42,'Budget ed extra'!$J$7:$J$42,$A323,'Budget ed extra'!$H$7:$H$42,K$6))</f>
        <v>0</v>
      </c>
      <c r="AC323">
        <f>IF(L$6="",0,SUMIFS('Budget ed extra'!$G$7:$G$42,'Budget ed extra'!$J$7:$J$42,$A323,'Budget ed extra'!$H$7:$H$42,L$6))</f>
        <v>0</v>
      </c>
      <c r="AD323">
        <f>IF(M$6="",0,SUMIFS('Budget ed extra'!$G$7:$G$42,'Budget ed extra'!$J$7:$J$42,$A323,'Budget ed extra'!$H$7:$H$42,M$6))</f>
        <v>0</v>
      </c>
      <c r="AE323">
        <f>IF(N$6="",0,SUMIFS('Budget ed extra'!$G$7:$G$42,'Budget ed extra'!$J$7:$J$42,$A323,'Budget ed extra'!$H$7:$H$42,N$6))</f>
        <v>0</v>
      </c>
    </row>
    <row r="324">
      <c r="A324" t="n">
        <v>294</v>
      </c>
      <c r="B324">
        <f>DATE($B$2,$B$3+A324-1,1)</f>
        <v>55244.0</v>
      </c>
      <c r="C324">
        <f>IF(D324=0,N(Impostazioni!$B$6),SUMIFS('Budget ed extra'!$B$7:$B$18,'Budget ed extra'!$D$7:$D$18,D324)/COUNTIFS('Budget ed extra'!$D$7:$D$18,D324))</f>
        <v>900</v>
      </c>
      <c r="D324">
        <f>SUMPRODUCT(MAX(('Budget ed extra'!$D$7:$D$18&lt;=A324)*'Budget ed extra'!$D$7:$D$18))</f>
        <v>9</v>
      </c>
      <c r="E324">
        <f>SUMIFS('Budget ed extra'!$G$7:$G$42,'Budget ed extra'!$J$7:$J$42,A324)</f>
        <v>0</v>
      </c>
      <c r="F324">
        <f>SUM(T324:AE324)</f>
        <v>0</v>
      </c>
      <c r="G324">
        <f>MAX(0,E324-F324)</f>
        <v>0</v>
      </c>
      <c r="H324">
        <f>IF($A324&gt;=C$10,C$11,C$9)/12</f>
        <v>0.01575</v>
      </c>
      <c r="I324">
        <f>IF($A324&gt;=D$10,D$11,D$9)/12</f>
        <v>0.01825</v>
      </c>
      <c r="J324">
        <f>IF($A324&gt;=E$10,E$11,E$9)/12</f>
        <v>0.00766666666666667</v>
      </c>
      <c r="K324">
        <f>IF($A324&gt;=F$10,F$11,F$9)/12</f>
        <v>0.00533333333333333</v>
      </c>
      <c r="L324">
        <f>IF($A324&gt;=G$10,G$11,G$9)/12</f>
        <v>0</v>
      </c>
      <c r="M324">
        <f>IF($A324&gt;=H$10,H$11,H$9)/12</f>
        <v>0</v>
      </c>
      <c r="N324">
        <f>IF($A324&gt;=I$10,I$11,I$9)/12</f>
        <v>0</v>
      </c>
      <c r="O324">
        <f>IF($A324&gt;=J$10,J$11,J$9)/12</f>
        <v>0</v>
      </c>
      <c r="P324">
        <f>IF($A324&gt;=K$10,K$11,K$9)/12</f>
        <v>0</v>
      </c>
      <c r="Q324">
        <f>IF($A324&gt;=L$10,L$11,L$9)/12</f>
        <v>0</v>
      </c>
      <c r="R324">
        <f>IF($A324&gt;=M$10,M$11,M$9)/12</f>
        <v>0</v>
      </c>
      <c r="S324">
        <f>IF($A324&gt;=N$10,N$11,N$9)/12</f>
        <v>0</v>
      </c>
      <c r="T324">
        <f>IF(C$6="",0,SUMIFS('Budget ed extra'!$G$7:$G$42,'Budget ed extra'!$J$7:$J$42,$A324,'Budget ed extra'!$H$7:$H$42,C$6))</f>
        <v>0</v>
      </c>
      <c r="U324">
        <f>IF(D$6="",0,SUMIFS('Budget ed extra'!$G$7:$G$42,'Budget ed extra'!$J$7:$J$42,$A324,'Budget ed extra'!$H$7:$H$42,D$6))</f>
        <v>0</v>
      </c>
      <c r="V324">
        <f>IF(E$6="",0,SUMIFS('Budget ed extra'!$G$7:$G$42,'Budget ed extra'!$J$7:$J$42,$A324,'Budget ed extra'!$H$7:$H$42,E$6))</f>
        <v>0</v>
      </c>
      <c r="W324">
        <f>IF(F$6="",0,SUMIFS('Budget ed extra'!$G$7:$G$42,'Budget ed extra'!$J$7:$J$42,$A324,'Budget ed extra'!$H$7:$H$42,F$6))</f>
        <v>0</v>
      </c>
      <c r="X324">
        <f>IF(G$6="",0,SUMIFS('Budget ed extra'!$G$7:$G$42,'Budget ed extra'!$J$7:$J$42,$A324,'Budget ed extra'!$H$7:$H$42,G$6))</f>
        <v>0</v>
      </c>
      <c r="Y324">
        <f>IF(H$6="",0,SUMIFS('Budget ed extra'!$G$7:$G$42,'Budget ed extra'!$J$7:$J$42,$A324,'Budget ed extra'!$H$7:$H$42,H$6))</f>
        <v>0</v>
      </c>
      <c r="Z324">
        <f>IF(I$6="",0,SUMIFS('Budget ed extra'!$G$7:$G$42,'Budget ed extra'!$J$7:$J$42,$A324,'Budget ed extra'!$H$7:$H$42,I$6))</f>
        <v>0</v>
      </c>
      <c r="AA324">
        <f>IF(J$6="",0,SUMIFS('Budget ed extra'!$G$7:$G$42,'Budget ed extra'!$J$7:$J$42,$A324,'Budget ed extra'!$H$7:$H$42,J$6))</f>
        <v>0</v>
      </c>
      <c r="AB324">
        <f>IF(K$6="",0,SUMIFS('Budget ed extra'!$G$7:$G$42,'Budget ed extra'!$J$7:$J$42,$A324,'Budget ed extra'!$H$7:$H$42,K$6))</f>
        <v>0</v>
      </c>
      <c r="AC324">
        <f>IF(L$6="",0,SUMIFS('Budget ed extra'!$G$7:$G$42,'Budget ed extra'!$J$7:$J$42,$A324,'Budget ed extra'!$H$7:$H$42,L$6))</f>
        <v>0</v>
      </c>
      <c r="AD324">
        <f>IF(M$6="",0,SUMIFS('Budget ed extra'!$G$7:$G$42,'Budget ed extra'!$J$7:$J$42,$A324,'Budget ed extra'!$H$7:$H$42,M$6))</f>
        <v>0</v>
      </c>
      <c r="AE324">
        <f>IF(N$6="",0,SUMIFS('Budget ed extra'!$G$7:$G$42,'Budget ed extra'!$J$7:$J$42,$A324,'Budget ed extra'!$H$7:$H$42,N$6))</f>
        <v>0</v>
      </c>
    </row>
    <row r="325">
      <c r="A325" t="n">
        <v>295</v>
      </c>
      <c r="B325">
        <f>DATE($B$2,$B$3+A325-1,1)</f>
        <v>55274.0</v>
      </c>
      <c r="C325">
        <f>IF(D325=0,N(Impostazioni!$B$6),SUMIFS('Budget ed extra'!$B$7:$B$18,'Budget ed extra'!$D$7:$D$18,D325)/COUNTIFS('Budget ed extra'!$D$7:$D$18,D325))</f>
        <v>900</v>
      </c>
      <c r="D325">
        <f>SUMPRODUCT(MAX(('Budget ed extra'!$D$7:$D$18&lt;=A325)*'Budget ed extra'!$D$7:$D$18))</f>
        <v>9</v>
      </c>
      <c r="E325">
        <f>SUMIFS('Budget ed extra'!$G$7:$G$42,'Budget ed extra'!$J$7:$J$42,A325)</f>
        <v>0</v>
      </c>
      <c r="F325">
        <f>SUM(T325:AE325)</f>
        <v>0</v>
      </c>
      <c r="G325">
        <f>MAX(0,E325-F325)</f>
        <v>0</v>
      </c>
      <c r="H325">
        <f>IF($A325&gt;=C$10,C$11,C$9)/12</f>
        <v>0.01575</v>
      </c>
      <c r="I325">
        <f>IF($A325&gt;=D$10,D$11,D$9)/12</f>
        <v>0.01825</v>
      </c>
      <c r="J325">
        <f>IF($A325&gt;=E$10,E$11,E$9)/12</f>
        <v>0.00766666666666667</v>
      </c>
      <c r="K325">
        <f>IF($A325&gt;=F$10,F$11,F$9)/12</f>
        <v>0.00533333333333333</v>
      </c>
      <c r="L325">
        <f>IF($A325&gt;=G$10,G$11,G$9)/12</f>
        <v>0</v>
      </c>
      <c r="M325">
        <f>IF($A325&gt;=H$10,H$11,H$9)/12</f>
        <v>0</v>
      </c>
      <c r="N325">
        <f>IF($A325&gt;=I$10,I$11,I$9)/12</f>
        <v>0</v>
      </c>
      <c r="O325">
        <f>IF($A325&gt;=J$10,J$11,J$9)/12</f>
        <v>0</v>
      </c>
      <c r="P325">
        <f>IF($A325&gt;=K$10,K$11,K$9)/12</f>
        <v>0</v>
      </c>
      <c r="Q325">
        <f>IF($A325&gt;=L$10,L$11,L$9)/12</f>
        <v>0</v>
      </c>
      <c r="R325">
        <f>IF($A325&gt;=M$10,M$11,M$9)/12</f>
        <v>0</v>
      </c>
      <c r="S325">
        <f>IF($A325&gt;=N$10,N$11,N$9)/12</f>
        <v>0</v>
      </c>
      <c r="T325">
        <f>IF(C$6="",0,SUMIFS('Budget ed extra'!$G$7:$G$42,'Budget ed extra'!$J$7:$J$42,$A325,'Budget ed extra'!$H$7:$H$42,C$6))</f>
        <v>0</v>
      </c>
      <c r="U325">
        <f>IF(D$6="",0,SUMIFS('Budget ed extra'!$G$7:$G$42,'Budget ed extra'!$J$7:$J$42,$A325,'Budget ed extra'!$H$7:$H$42,D$6))</f>
        <v>0</v>
      </c>
      <c r="V325">
        <f>IF(E$6="",0,SUMIFS('Budget ed extra'!$G$7:$G$42,'Budget ed extra'!$J$7:$J$42,$A325,'Budget ed extra'!$H$7:$H$42,E$6))</f>
        <v>0</v>
      </c>
      <c r="W325">
        <f>IF(F$6="",0,SUMIFS('Budget ed extra'!$G$7:$G$42,'Budget ed extra'!$J$7:$J$42,$A325,'Budget ed extra'!$H$7:$H$42,F$6))</f>
        <v>0</v>
      </c>
      <c r="X325">
        <f>IF(G$6="",0,SUMIFS('Budget ed extra'!$G$7:$G$42,'Budget ed extra'!$J$7:$J$42,$A325,'Budget ed extra'!$H$7:$H$42,G$6))</f>
        <v>0</v>
      </c>
      <c r="Y325">
        <f>IF(H$6="",0,SUMIFS('Budget ed extra'!$G$7:$G$42,'Budget ed extra'!$J$7:$J$42,$A325,'Budget ed extra'!$H$7:$H$42,H$6))</f>
        <v>0</v>
      </c>
      <c r="Z325">
        <f>IF(I$6="",0,SUMIFS('Budget ed extra'!$G$7:$G$42,'Budget ed extra'!$J$7:$J$42,$A325,'Budget ed extra'!$H$7:$H$42,I$6))</f>
        <v>0</v>
      </c>
      <c r="AA325">
        <f>IF(J$6="",0,SUMIFS('Budget ed extra'!$G$7:$G$42,'Budget ed extra'!$J$7:$J$42,$A325,'Budget ed extra'!$H$7:$H$42,J$6))</f>
        <v>0</v>
      </c>
      <c r="AB325">
        <f>IF(K$6="",0,SUMIFS('Budget ed extra'!$G$7:$G$42,'Budget ed extra'!$J$7:$J$42,$A325,'Budget ed extra'!$H$7:$H$42,K$6))</f>
        <v>0</v>
      </c>
      <c r="AC325">
        <f>IF(L$6="",0,SUMIFS('Budget ed extra'!$G$7:$G$42,'Budget ed extra'!$J$7:$J$42,$A325,'Budget ed extra'!$H$7:$H$42,L$6))</f>
        <v>0</v>
      </c>
      <c r="AD325">
        <f>IF(M$6="",0,SUMIFS('Budget ed extra'!$G$7:$G$42,'Budget ed extra'!$J$7:$J$42,$A325,'Budget ed extra'!$H$7:$H$42,M$6))</f>
        <v>0</v>
      </c>
      <c r="AE325">
        <f>IF(N$6="",0,SUMIFS('Budget ed extra'!$G$7:$G$42,'Budget ed extra'!$J$7:$J$42,$A325,'Budget ed extra'!$H$7:$H$42,N$6))</f>
        <v>0</v>
      </c>
    </row>
    <row r="326">
      <c r="A326" t="n">
        <v>296</v>
      </c>
      <c r="B326">
        <f>DATE($B$2,$B$3+A326-1,1)</f>
        <v>55305.0</v>
      </c>
      <c r="C326">
        <f>IF(D326=0,N(Impostazioni!$B$6),SUMIFS('Budget ed extra'!$B$7:$B$18,'Budget ed extra'!$D$7:$D$18,D326)/COUNTIFS('Budget ed extra'!$D$7:$D$18,D326))</f>
        <v>900</v>
      </c>
      <c r="D326">
        <f>SUMPRODUCT(MAX(('Budget ed extra'!$D$7:$D$18&lt;=A326)*'Budget ed extra'!$D$7:$D$18))</f>
        <v>9</v>
      </c>
      <c r="E326">
        <f>SUMIFS('Budget ed extra'!$G$7:$G$42,'Budget ed extra'!$J$7:$J$42,A326)</f>
        <v>0</v>
      </c>
      <c r="F326">
        <f>SUM(T326:AE326)</f>
        <v>0</v>
      </c>
      <c r="G326">
        <f>MAX(0,E326-F326)</f>
        <v>0</v>
      </c>
      <c r="H326">
        <f>IF($A326&gt;=C$10,C$11,C$9)/12</f>
        <v>0.01575</v>
      </c>
      <c r="I326">
        <f>IF($A326&gt;=D$10,D$11,D$9)/12</f>
        <v>0.01825</v>
      </c>
      <c r="J326">
        <f>IF($A326&gt;=E$10,E$11,E$9)/12</f>
        <v>0.00766666666666667</v>
      </c>
      <c r="K326">
        <f>IF($A326&gt;=F$10,F$11,F$9)/12</f>
        <v>0.00533333333333333</v>
      </c>
      <c r="L326">
        <f>IF($A326&gt;=G$10,G$11,G$9)/12</f>
        <v>0</v>
      </c>
      <c r="M326">
        <f>IF($A326&gt;=H$10,H$11,H$9)/12</f>
        <v>0</v>
      </c>
      <c r="N326">
        <f>IF($A326&gt;=I$10,I$11,I$9)/12</f>
        <v>0</v>
      </c>
      <c r="O326">
        <f>IF($A326&gt;=J$10,J$11,J$9)/12</f>
        <v>0</v>
      </c>
      <c r="P326">
        <f>IF($A326&gt;=K$10,K$11,K$9)/12</f>
        <v>0</v>
      </c>
      <c r="Q326">
        <f>IF($A326&gt;=L$10,L$11,L$9)/12</f>
        <v>0</v>
      </c>
      <c r="R326">
        <f>IF($A326&gt;=M$10,M$11,M$9)/12</f>
        <v>0</v>
      </c>
      <c r="S326">
        <f>IF($A326&gt;=N$10,N$11,N$9)/12</f>
        <v>0</v>
      </c>
      <c r="T326">
        <f>IF(C$6="",0,SUMIFS('Budget ed extra'!$G$7:$G$42,'Budget ed extra'!$J$7:$J$42,$A326,'Budget ed extra'!$H$7:$H$42,C$6))</f>
        <v>0</v>
      </c>
      <c r="U326">
        <f>IF(D$6="",0,SUMIFS('Budget ed extra'!$G$7:$G$42,'Budget ed extra'!$J$7:$J$42,$A326,'Budget ed extra'!$H$7:$H$42,D$6))</f>
        <v>0</v>
      </c>
      <c r="V326">
        <f>IF(E$6="",0,SUMIFS('Budget ed extra'!$G$7:$G$42,'Budget ed extra'!$J$7:$J$42,$A326,'Budget ed extra'!$H$7:$H$42,E$6))</f>
        <v>0</v>
      </c>
      <c r="W326">
        <f>IF(F$6="",0,SUMIFS('Budget ed extra'!$G$7:$G$42,'Budget ed extra'!$J$7:$J$42,$A326,'Budget ed extra'!$H$7:$H$42,F$6))</f>
        <v>0</v>
      </c>
      <c r="X326">
        <f>IF(G$6="",0,SUMIFS('Budget ed extra'!$G$7:$G$42,'Budget ed extra'!$J$7:$J$42,$A326,'Budget ed extra'!$H$7:$H$42,G$6))</f>
        <v>0</v>
      </c>
      <c r="Y326">
        <f>IF(H$6="",0,SUMIFS('Budget ed extra'!$G$7:$G$42,'Budget ed extra'!$J$7:$J$42,$A326,'Budget ed extra'!$H$7:$H$42,H$6))</f>
        <v>0</v>
      </c>
      <c r="Z326">
        <f>IF(I$6="",0,SUMIFS('Budget ed extra'!$G$7:$G$42,'Budget ed extra'!$J$7:$J$42,$A326,'Budget ed extra'!$H$7:$H$42,I$6))</f>
        <v>0</v>
      </c>
      <c r="AA326">
        <f>IF(J$6="",0,SUMIFS('Budget ed extra'!$G$7:$G$42,'Budget ed extra'!$J$7:$J$42,$A326,'Budget ed extra'!$H$7:$H$42,J$6))</f>
        <v>0</v>
      </c>
      <c r="AB326">
        <f>IF(K$6="",0,SUMIFS('Budget ed extra'!$G$7:$G$42,'Budget ed extra'!$J$7:$J$42,$A326,'Budget ed extra'!$H$7:$H$42,K$6))</f>
        <v>0</v>
      </c>
      <c r="AC326">
        <f>IF(L$6="",0,SUMIFS('Budget ed extra'!$G$7:$G$42,'Budget ed extra'!$J$7:$J$42,$A326,'Budget ed extra'!$H$7:$H$42,L$6))</f>
        <v>0</v>
      </c>
      <c r="AD326">
        <f>IF(M$6="",0,SUMIFS('Budget ed extra'!$G$7:$G$42,'Budget ed extra'!$J$7:$J$42,$A326,'Budget ed extra'!$H$7:$H$42,M$6))</f>
        <v>0</v>
      </c>
      <c r="AE326">
        <f>IF(N$6="",0,SUMIFS('Budget ed extra'!$G$7:$G$42,'Budget ed extra'!$J$7:$J$42,$A326,'Budget ed extra'!$H$7:$H$42,N$6))</f>
        <v>0</v>
      </c>
    </row>
    <row r="327">
      <c r="A327" t="n">
        <v>297</v>
      </c>
      <c r="B327">
        <f>DATE($B$2,$B$3+A327-1,1)</f>
        <v>55335.0</v>
      </c>
      <c r="C327">
        <f>IF(D327=0,N(Impostazioni!$B$6),SUMIFS('Budget ed extra'!$B$7:$B$18,'Budget ed extra'!$D$7:$D$18,D327)/COUNTIFS('Budget ed extra'!$D$7:$D$18,D327))</f>
        <v>900</v>
      </c>
      <c r="D327">
        <f>SUMPRODUCT(MAX(('Budget ed extra'!$D$7:$D$18&lt;=A327)*'Budget ed extra'!$D$7:$D$18))</f>
        <v>9</v>
      </c>
      <c r="E327">
        <f>SUMIFS('Budget ed extra'!$G$7:$G$42,'Budget ed extra'!$J$7:$J$42,A327)</f>
        <v>0</v>
      </c>
      <c r="F327">
        <f>SUM(T327:AE327)</f>
        <v>0</v>
      </c>
      <c r="G327">
        <f>MAX(0,E327-F327)</f>
        <v>0</v>
      </c>
      <c r="H327">
        <f>IF($A327&gt;=C$10,C$11,C$9)/12</f>
        <v>0.01575</v>
      </c>
      <c r="I327">
        <f>IF($A327&gt;=D$10,D$11,D$9)/12</f>
        <v>0.01825</v>
      </c>
      <c r="J327">
        <f>IF($A327&gt;=E$10,E$11,E$9)/12</f>
        <v>0.00766666666666667</v>
      </c>
      <c r="K327">
        <f>IF($A327&gt;=F$10,F$11,F$9)/12</f>
        <v>0.00533333333333333</v>
      </c>
      <c r="L327">
        <f>IF($A327&gt;=G$10,G$11,G$9)/12</f>
        <v>0</v>
      </c>
      <c r="M327">
        <f>IF($A327&gt;=H$10,H$11,H$9)/12</f>
        <v>0</v>
      </c>
      <c r="N327">
        <f>IF($A327&gt;=I$10,I$11,I$9)/12</f>
        <v>0</v>
      </c>
      <c r="O327">
        <f>IF($A327&gt;=J$10,J$11,J$9)/12</f>
        <v>0</v>
      </c>
      <c r="P327">
        <f>IF($A327&gt;=K$10,K$11,K$9)/12</f>
        <v>0</v>
      </c>
      <c r="Q327">
        <f>IF($A327&gt;=L$10,L$11,L$9)/12</f>
        <v>0</v>
      </c>
      <c r="R327">
        <f>IF($A327&gt;=M$10,M$11,M$9)/12</f>
        <v>0</v>
      </c>
      <c r="S327">
        <f>IF($A327&gt;=N$10,N$11,N$9)/12</f>
        <v>0</v>
      </c>
      <c r="T327">
        <f>IF(C$6="",0,SUMIFS('Budget ed extra'!$G$7:$G$42,'Budget ed extra'!$J$7:$J$42,$A327,'Budget ed extra'!$H$7:$H$42,C$6))</f>
        <v>0</v>
      </c>
      <c r="U327">
        <f>IF(D$6="",0,SUMIFS('Budget ed extra'!$G$7:$G$42,'Budget ed extra'!$J$7:$J$42,$A327,'Budget ed extra'!$H$7:$H$42,D$6))</f>
        <v>0</v>
      </c>
      <c r="V327">
        <f>IF(E$6="",0,SUMIFS('Budget ed extra'!$G$7:$G$42,'Budget ed extra'!$J$7:$J$42,$A327,'Budget ed extra'!$H$7:$H$42,E$6))</f>
        <v>0</v>
      </c>
      <c r="W327">
        <f>IF(F$6="",0,SUMIFS('Budget ed extra'!$G$7:$G$42,'Budget ed extra'!$J$7:$J$42,$A327,'Budget ed extra'!$H$7:$H$42,F$6))</f>
        <v>0</v>
      </c>
      <c r="X327">
        <f>IF(G$6="",0,SUMIFS('Budget ed extra'!$G$7:$G$42,'Budget ed extra'!$J$7:$J$42,$A327,'Budget ed extra'!$H$7:$H$42,G$6))</f>
        <v>0</v>
      </c>
      <c r="Y327">
        <f>IF(H$6="",0,SUMIFS('Budget ed extra'!$G$7:$G$42,'Budget ed extra'!$J$7:$J$42,$A327,'Budget ed extra'!$H$7:$H$42,H$6))</f>
        <v>0</v>
      </c>
      <c r="Z327">
        <f>IF(I$6="",0,SUMIFS('Budget ed extra'!$G$7:$G$42,'Budget ed extra'!$J$7:$J$42,$A327,'Budget ed extra'!$H$7:$H$42,I$6))</f>
        <v>0</v>
      </c>
      <c r="AA327">
        <f>IF(J$6="",0,SUMIFS('Budget ed extra'!$G$7:$G$42,'Budget ed extra'!$J$7:$J$42,$A327,'Budget ed extra'!$H$7:$H$42,J$6))</f>
        <v>0</v>
      </c>
      <c r="AB327">
        <f>IF(K$6="",0,SUMIFS('Budget ed extra'!$G$7:$G$42,'Budget ed extra'!$J$7:$J$42,$A327,'Budget ed extra'!$H$7:$H$42,K$6))</f>
        <v>0</v>
      </c>
      <c r="AC327">
        <f>IF(L$6="",0,SUMIFS('Budget ed extra'!$G$7:$G$42,'Budget ed extra'!$J$7:$J$42,$A327,'Budget ed extra'!$H$7:$H$42,L$6))</f>
        <v>0</v>
      </c>
      <c r="AD327">
        <f>IF(M$6="",0,SUMIFS('Budget ed extra'!$G$7:$G$42,'Budget ed extra'!$J$7:$J$42,$A327,'Budget ed extra'!$H$7:$H$42,M$6))</f>
        <v>0</v>
      </c>
      <c r="AE327">
        <f>IF(N$6="",0,SUMIFS('Budget ed extra'!$G$7:$G$42,'Budget ed extra'!$J$7:$J$42,$A327,'Budget ed extra'!$H$7:$H$42,N$6))</f>
        <v>0</v>
      </c>
    </row>
    <row r="328">
      <c r="A328" t="n">
        <v>298</v>
      </c>
      <c r="B328">
        <f>DATE($B$2,$B$3+A328-1,1)</f>
        <v>55366.0</v>
      </c>
      <c r="C328">
        <f>IF(D328=0,N(Impostazioni!$B$6),SUMIFS('Budget ed extra'!$B$7:$B$18,'Budget ed extra'!$D$7:$D$18,D328)/COUNTIFS('Budget ed extra'!$D$7:$D$18,D328))</f>
        <v>900</v>
      </c>
      <c r="D328">
        <f>SUMPRODUCT(MAX(('Budget ed extra'!$D$7:$D$18&lt;=A328)*'Budget ed extra'!$D$7:$D$18))</f>
        <v>9</v>
      </c>
      <c r="E328">
        <f>SUMIFS('Budget ed extra'!$G$7:$G$42,'Budget ed extra'!$J$7:$J$42,A328)</f>
        <v>0</v>
      </c>
      <c r="F328">
        <f>SUM(T328:AE328)</f>
        <v>0</v>
      </c>
      <c r="G328">
        <f>MAX(0,E328-F328)</f>
        <v>0</v>
      </c>
      <c r="H328">
        <f>IF($A328&gt;=C$10,C$11,C$9)/12</f>
        <v>0.01575</v>
      </c>
      <c r="I328">
        <f>IF($A328&gt;=D$10,D$11,D$9)/12</f>
        <v>0.01825</v>
      </c>
      <c r="J328">
        <f>IF($A328&gt;=E$10,E$11,E$9)/12</f>
        <v>0.00766666666666667</v>
      </c>
      <c r="K328">
        <f>IF($A328&gt;=F$10,F$11,F$9)/12</f>
        <v>0.00533333333333333</v>
      </c>
      <c r="L328">
        <f>IF($A328&gt;=G$10,G$11,G$9)/12</f>
        <v>0</v>
      </c>
      <c r="M328">
        <f>IF($A328&gt;=H$10,H$11,H$9)/12</f>
        <v>0</v>
      </c>
      <c r="N328">
        <f>IF($A328&gt;=I$10,I$11,I$9)/12</f>
        <v>0</v>
      </c>
      <c r="O328">
        <f>IF($A328&gt;=J$10,J$11,J$9)/12</f>
        <v>0</v>
      </c>
      <c r="P328">
        <f>IF($A328&gt;=K$10,K$11,K$9)/12</f>
        <v>0</v>
      </c>
      <c r="Q328">
        <f>IF($A328&gt;=L$10,L$11,L$9)/12</f>
        <v>0</v>
      </c>
      <c r="R328">
        <f>IF($A328&gt;=M$10,M$11,M$9)/12</f>
        <v>0</v>
      </c>
      <c r="S328">
        <f>IF($A328&gt;=N$10,N$11,N$9)/12</f>
        <v>0</v>
      </c>
      <c r="T328">
        <f>IF(C$6="",0,SUMIFS('Budget ed extra'!$G$7:$G$42,'Budget ed extra'!$J$7:$J$42,$A328,'Budget ed extra'!$H$7:$H$42,C$6))</f>
        <v>0</v>
      </c>
      <c r="U328">
        <f>IF(D$6="",0,SUMIFS('Budget ed extra'!$G$7:$G$42,'Budget ed extra'!$J$7:$J$42,$A328,'Budget ed extra'!$H$7:$H$42,D$6))</f>
        <v>0</v>
      </c>
      <c r="V328">
        <f>IF(E$6="",0,SUMIFS('Budget ed extra'!$G$7:$G$42,'Budget ed extra'!$J$7:$J$42,$A328,'Budget ed extra'!$H$7:$H$42,E$6))</f>
        <v>0</v>
      </c>
      <c r="W328">
        <f>IF(F$6="",0,SUMIFS('Budget ed extra'!$G$7:$G$42,'Budget ed extra'!$J$7:$J$42,$A328,'Budget ed extra'!$H$7:$H$42,F$6))</f>
        <v>0</v>
      </c>
      <c r="X328">
        <f>IF(G$6="",0,SUMIFS('Budget ed extra'!$G$7:$G$42,'Budget ed extra'!$J$7:$J$42,$A328,'Budget ed extra'!$H$7:$H$42,G$6))</f>
        <v>0</v>
      </c>
      <c r="Y328">
        <f>IF(H$6="",0,SUMIFS('Budget ed extra'!$G$7:$G$42,'Budget ed extra'!$J$7:$J$42,$A328,'Budget ed extra'!$H$7:$H$42,H$6))</f>
        <v>0</v>
      </c>
      <c r="Z328">
        <f>IF(I$6="",0,SUMIFS('Budget ed extra'!$G$7:$G$42,'Budget ed extra'!$J$7:$J$42,$A328,'Budget ed extra'!$H$7:$H$42,I$6))</f>
        <v>0</v>
      </c>
      <c r="AA328">
        <f>IF(J$6="",0,SUMIFS('Budget ed extra'!$G$7:$G$42,'Budget ed extra'!$J$7:$J$42,$A328,'Budget ed extra'!$H$7:$H$42,J$6))</f>
        <v>0</v>
      </c>
      <c r="AB328">
        <f>IF(K$6="",0,SUMIFS('Budget ed extra'!$G$7:$G$42,'Budget ed extra'!$J$7:$J$42,$A328,'Budget ed extra'!$H$7:$H$42,K$6))</f>
        <v>0</v>
      </c>
      <c r="AC328">
        <f>IF(L$6="",0,SUMIFS('Budget ed extra'!$G$7:$G$42,'Budget ed extra'!$J$7:$J$42,$A328,'Budget ed extra'!$H$7:$H$42,L$6))</f>
        <v>0</v>
      </c>
      <c r="AD328">
        <f>IF(M$6="",0,SUMIFS('Budget ed extra'!$G$7:$G$42,'Budget ed extra'!$J$7:$J$42,$A328,'Budget ed extra'!$H$7:$H$42,M$6))</f>
        <v>0</v>
      </c>
      <c r="AE328">
        <f>IF(N$6="",0,SUMIFS('Budget ed extra'!$G$7:$G$42,'Budget ed extra'!$J$7:$J$42,$A328,'Budget ed extra'!$H$7:$H$42,N$6))</f>
        <v>0</v>
      </c>
    </row>
    <row r="329">
      <c r="A329" t="n">
        <v>299</v>
      </c>
      <c r="B329">
        <f>DATE($B$2,$B$3+A329-1,1)</f>
        <v>55397.0</v>
      </c>
      <c r="C329">
        <f>IF(D329=0,N(Impostazioni!$B$6),SUMIFS('Budget ed extra'!$B$7:$B$18,'Budget ed extra'!$D$7:$D$18,D329)/COUNTIFS('Budget ed extra'!$D$7:$D$18,D329))</f>
        <v>900</v>
      </c>
      <c r="D329">
        <f>SUMPRODUCT(MAX(('Budget ed extra'!$D$7:$D$18&lt;=A329)*'Budget ed extra'!$D$7:$D$18))</f>
        <v>9</v>
      </c>
      <c r="E329">
        <f>SUMIFS('Budget ed extra'!$G$7:$G$42,'Budget ed extra'!$J$7:$J$42,A329)</f>
        <v>0</v>
      </c>
      <c r="F329">
        <f>SUM(T329:AE329)</f>
        <v>0</v>
      </c>
      <c r="G329">
        <f>MAX(0,E329-F329)</f>
        <v>0</v>
      </c>
      <c r="H329">
        <f>IF($A329&gt;=C$10,C$11,C$9)/12</f>
        <v>0.01575</v>
      </c>
      <c r="I329">
        <f>IF($A329&gt;=D$10,D$11,D$9)/12</f>
        <v>0.01825</v>
      </c>
      <c r="J329">
        <f>IF($A329&gt;=E$10,E$11,E$9)/12</f>
        <v>0.00766666666666667</v>
      </c>
      <c r="K329">
        <f>IF($A329&gt;=F$10,F$11,F$9)/12</f>
        <v>0.00533333333333333</v>
      </c>
      <c r="L329">
        <f>IF($A329&gt;=G$10,G$11,G$9)/12</f>
        <v>0</v>
      </c>
      <c r="M329">
        <f>IF($A329&gt;=H$10,H$11,H$9)/12</f>
        <v>0</v>
      </c>
      <c r="N329">
        <f>IF($A329&gt;=I$10,I$11,I$9)/12</f>
        <v>0</v>
      </c>
      <c r="O329">
        <f>IF($A329&gt;=J$10,J$11,J$9)/12</f>
        <v>0</v>
      </c>
      <c r="P329">
        <f>IF($A329&gt;=K$10,K$11,K$9)/12</f>
        <v>0</v>
      </c>
      <c r="Q329">
        <f>IF($A329&gt;=L$10,L$11,L$9)/12</f>
        <v>0</v>
      </c>
      <c r="R329">
        <f>IF($A329&gt;=M$10,M$11,M$9)/12</f>
        <v>0</v>
      </c>
      <c r="S329">
        <f>IF($A329&gt;=N$10,N$11,N$9)/12</f>
        <v>0</v>
      </c>
      <c r="T329">
        <f>IF(C$6="",0,SUMIFS('Budget ed extra'!$G$7:$G$42,'Budget ed extra'!$J$7:$J$42,$A329,'Budget ed extra'!$H$7:$H$42,C$6))</f>
        <v>0</v>
      </c>
      <c r="U329">
        <f>IF(D$6="",0,SUMIFS('Budget ed extra'!$G$7:$G$42,'Budget ed extra'!$J$7:$J$42,$A329,'Budget ed extra'!$H$7:$H$42,D$6))</f>
        <v>0</v>
      </c>
      <c r="V329">
        <f>IF(E$6="",0,SUMIFS('Budget ed extra'!$G$7:$G$42,'Budget ed extra'!$J$7:$J$42,$A329,'Budget ed extra'!$H$7:$H$42,E$6))</f>
        <v>0</v>
      </c>
      <c r="W329">
        <f>IF(F$6="",0,SUMIFS('Budget ed extra'!$G$7:$G$42,'Budget ed extra'!$J$7:$J$42,$A329,'Budget ed extra'!$H$7:$H$42,F$6))</f>
        <v>0</v>
      </c>
      <c r="X329">
        <f>IF(G$6="",0,SUMIFS('Budget ed extra'!$G$7:$G$42,'Budget ed extra'!$J$7:$J$42,$A329,'Budget ed extra'!$H$7:$H$42,G$6))</f>
        <v>0</v>
      </c>
      <c r="Y329">
        <f>IF(H$6="",0,SUMIFS('Budget ed extra'!$G$7:$G$42,'Budget ed extra'!$J$7:$J$42,$A329,'Budget ed extra'!$H$7:$H$42,H$6))</f>
        <v>0</v>
      </c>
      <c r="Z329">
        <f>IF(I$6="",0,SUMIFS('Budget ed extra'!$G$7:$G$42,'Budget ed extra'!$J$7:$J$42,$A329,'Budget ed extra'!$H$7:$H$42,I$6))</f>
        <v>0</v>
      </c>
      <c r="AA329">
        <f>IF(J$6="",0,SUMIFS('Budget ed extra'!$G$7:$G$42,'Budget ed extra'!$J$7:$J$42,$A329,'Budget ed extra'!$H$7:$H$42,J$6))</f>
        <v>0</v>
      </c>
      <c r="AB329">
        <f>IF(K$6="",0,SUMIFS('Budget ed extra'!$G$7:$G$42,'Budget ed extra'!$J$7:$J$42,$A329,'Budget ed extra'!$H$7:$H$42,K$6))</f>
        <v>0</v>
      </c>
      <c r="AC329">
        <f>IF(L$6="",0,SUMIFS('Budget ed extra'!$G$7:$G$42,'Budget ed extra'!$J$7:$J$42,$A329,'Budget ed extra'!$H$7:$H$42,L$6))</f>
        <v>0</v>
      </c>
      <c r="AD329">
        <f>IF(M$6="",0,SUMIFS('Budget ed extra'!$G$7:$G$42,'Budget ed extra'!$J$7:$J$42,$A329,'Budget ed extra'!$H$7:$H$42,M$6))</f>
        <v>0</v>
      </c>
      <c r="AE329">
        <f>IF(N$6="",0,SUMIFS('Budget ed extra'!$G$7:$G$42,'Budget ed extra'!$J$7:$J$42,$A329,'Budget ed extra'!$H$7:$H$42,N$6))</f>
        <v>0</v>
      </c>
    </row>
    <row r="330">
      <c r="A330" t="n">
        <v>300</v>
      </c>
      <c r="B330">
        <f>DATE($B$2,$B$3+A330-1,1)</f>
        <v>55427.0</v>
      </c>
      <c r="C330">
        <f>IF(D330=0,N(Impostazioni!$B$6),SUMIFS('Budget ed extra'!$B$7:$B$18,'Budget ed extra'!$D$7:$D$18,D330)/COUNTIFS('Budget ed extra'!$D$7:$D$18,D330))</f>
        <v>900</v>
      </c>
      <c r="D330">
        <f>SUMPRODUCT(MAX(('Budget ed extra'!$D$7:$D$18&lt;=A330)*'Budget ed extra'!$D$7:$D$18))</f>
        <v>9</v>
      </c>
      <c r="E330">
        <f>SUMIFS('Budget ed extra'!$G$7:$G$42,'Budget ed extra'!$J$7:$J$42,A330)</f>
        <v>0</v>
      </c>
      <c r="F330">
        <f>SUM(T330:AE330)</f>
        <v>0</v>
      </c>
      <c r="G330">
        <f>MAX(0,E330-F330)</f>
        <v>0</v>
      </c>
      <c r="H330">
        <f>IF($A330&gt;=C$10,C$11,C$9)/12</f>
        <v>0.01575</v>
      </c>
      <c r="I330">
        <f>IF($A330&gt;=D$10,D$11,D$9)/12</f>
        <v>0.01825</v>
      </c>
      <c r="J330">
        <f>IF($A330&gt;=E$10,E$11,E$9)/12</f>
        <v>0.00766666666666667</v>
      </c>
      <c r="K330">
        <f>IF($A330&gt;=F$10,F$11,F$9)/12</f>
        <v>0.00533333333333333</v>
      </c>
      <c r="L330">
        <f>IF($A330&gt;=G$10,G$11,G$9)/12</f>
        <v>0</v>
      </c>
      <c r="M330">
        <f>IF($A330&gt;=H$10,H$11,H$9)/12</f>
        <v>0</v>
      </c>
      <c r="N330">
        <f>IF($A330&gt;=I$10,I$11,I$9)/12</f>
        <v>0</v>
      </c>
      <c r="O330">
        <f>IF($A330&gt;=J$10,J$11,J$9)/12</f>
        <v>0</v>
      </c>
      <c r="P330">
        <f>IF($A330&gt;=K$10,K$11,K$9)/12</f>
        <v>0</v>
      </c>
      <c r="Q330">
        <f>IF($A330&gt;=L$10,L$11,L$9)/12</f>
        <v>0</v>
      </c>
      <c r="R330">
        <f>IF($A330&gt;=M$10,M$11,M$9)/12</f>
        <v>0</v>
      </c>
      <c r="S330">
        <f>IF($A330&gt;=N$10,N$11,N$9)/12</f>
        <v>0</v>
      </c>
      <c r="T330">
        <f>IF(C$6="",0,SUMIFS('Budget ed extra'!$G$7:$G$42,'Budget ed extra'!$J$7:$J$42,$A330,'Budget ed extra'!$H$7:$H$42,C$6))</f>
        <v>0</v>
      </c>
      <c r="U330">
        <f>IF(D$6="",0,SUMIFS('Budget ed extra'!$G$7:$G$42,'Budget ed extra'!$J$7:$J$42,$A330,'Budget ed extra'!$H$7:$H$42,D$6))</f>
        <v>0</v>
      </c>
      <c r="V330">
        <f>IF(E$6="",0,SUMIFS('Budget ed extra'!$G$7:$G$42,'Budget ed extra'!$J$7:$J$42,$A330,'Budget ed extra'!$H$7:$H$42,E$6))</f>
        <v>0</v>
      </c>
      <c r="W330">
        <f>IF(F$6="",0,SUMIFS('Budget ed extra'!$G$7:$G$42,'Budget ed extra'!$J$7:$J$42,$A330,'Budget ed extra'!$H$7:$H$42,F$6))</f>
        <v>0</v>
      </c>
      <c r="X330">
        <f>IF(G$6="",0,SUMIFS('Budget ed extra'!$G$7:$G$42,'Budget ed extra'!$J$7:$J$42,$A330,'Budget ed extra'!$H$7:$H$42,G$6))</f>
        <v>0</v>
      </c>
      <c r="Y330">
        <f>IF(H$6="",0,SUMIFS('Budget ed extra'!$G$7:$G$42,'Budget ed extra'!$J$7:$J$42,$A330,'Budget ed extra'!$H$7:$H$42,H$6))</f>
        <v>0</v>
      </c>
      <c r="Z330">
        <f>IF(I$6="",0,SUMIFS('Budget ed extra'!$G$7:$G$42,'Budget ed extra'!$J$7:$J$42,$A330,'Budget ed extra'!$H$7:$H$42,I$6))</f>
        <v>0</v>
      </c>
      <c r="AA330">
        <f>IF(J$6="",0,SUMIFS('Budget ed extra'!$G$7:$G$42,'Budget ed extra'!$J$7:$J$42,$A330,'Budget ed extra'!$H$7:$H$42,J$6))</f>
        <v>0</v>
      </c>
      <c r="AB330">
        <f>IF(K$6="",0,SUMIFS('Budget ed extra'!$G$7:$G$42,'Budget ed extra'!$J$7:$J$42,$A330,'Budget ed extra'!$H$7:$H$42,K$6))</f>
        <v>0</v>
      </c>
      <c r="AC330">
        <f>IF(L$6="",0,SUMIFS('Budget ed extra'!$G$7:$G$42,'Budget ed extra'!$J$7:$J$42,$A330,'Budget ed extra'!$H$7:$H$42,L$6))</f>
        <v>0</v>
      </c>
      <c r="AD330">
        <f>IF(M$6="",0,SUMIFS('Budget ed extra'!$G$7:$G$42,'Budget ed extra'!$J$7:$J$42,$A330,'Budget ed extra'!$H$7:$H$42,M$6))</f>
        <v>0</v>
      </c>
      <c r="AE330">
        <f>IF(N$6="",0,SUMIFS('Budget ed extra'!$G$7:$G$42,'Budget ed extra'!$J$7:$J$42,$A330,'Budget ed extra'!$H$7:$H$42,N$6))</f>
        <v>0</v>
      </c>
    </row>
    <row r="331">
      <c r="A331" t="n">
        <v>301</v>
      </c>
      <c r="B331">
        <f>DATE($B$2,$B$3+A331-1,1)</f>
        <v>55458.0</v>
      </c>
      <c r="C331">
        <f>IF(D331=0,N(Impostazioni!$B$6),SUMIFS('Budget ed extra'!$B$7:$B$18,'Budget ed extra'!$D$7:$D$18,D331)/COUNTIFS('Budget ed extra'!$D$7:$D$18,D331))</f>
        <v>900</v>
      </c>
      <c r="D331">
        <f>SUMPRODUCT(MAX(('Budget ed extra'!$D$7:$D$18&lt;=A331)*'Budget ed extra'!$D$7:$D$18))</f>
        <v>9</v>
      </c>
      <c r="E331">
        <f>SUMIFS('Budget ed extra'!$G$7:$G$42,'Budget ed extra'!$J$7:$J$42,A331)</f>
        <v>0</v>
      </c>
      <c r="F331">
        <f>SUM(T331:AE331)</f>
        <v>0</v>
      </c>
      <c r="G331">
        <f>MAX(0,E331-F331)</f>
        <v>0</v>
      </c>
      <c r="H331">
        <f>IF($A331&gt;=C$10,C$11,C$9)/12</f>
        <v>0.01575</v>
      </c>
      <c r="I331">
        <f>IF($A331&gt;=D$10,D$11,D$9)/12</f>
        <v>0.01825</v>
      </c>
      <c r="J331">
        <f>IF($A331&gt;=E$10,E$11,E$9)/12</f>
        <v>0.00766666666666667</v>
      </c>
      <c r="K331">
        <f>IF($A331&gt;=F$10,F$11,F$9)/12</f>
        <v>0.00533333333333333</v>
      </c>
      <c r="L331">
        <f>IF($A331&gt;=G$10,G$11,G$9)/12</f>
        <v>0</v>
      </c>
      <c r="M331">
        <f>IF($A331&gt;=H$10,H$11,H$9)/12</f>
        <v>0</v>
      </c>
      <c r="N331">
        <f>IF($A331&gt;=I$10,I$11,I$9)/12</f>
        <v>0</v>
      </c>
      <c r="O331">
        <f>IF($A331&gt;=J$10,J$11,J$9)/12</f>
        <v>0</v>
      </c>
      <c r="P331">
        <f>IF($A331&gt;=K$10,K$11,K$9)/12</f>
        <v>0</v>
      </c>
      <c r="Q331">
        <f>IF($A331&gt;=L$10,L$11,L$9)/12</f>
        <v>0</v>
      </c>
      <c r="R331">
        <f>IF($A331&gt;=M$10,M$11,M$9)/12</f>
        <v>0</v>
      </c>
      <c r="S331">
        <f>IF($A331&gt;=N$10,N$11,N$9)/12</f>
        <v>0</v>
      </c>
      <c r="T331">
        <f>IF(C$6="",0,SUMIFS('Budget ed extra'!$G$7:$G$42,'Budget ed extra'!$J$7:$J$42,$A331,'Budget ed extra'!$H$7:$H$42,C$6))</f>
        <v>0</v>
      </c>
      <c r="U331">
        <f>IF(D$6="",0,SUMIFS('Budget ed extra'!$G$7:$G$42,'Budget ed extra'!$J$7:$J$42,$A331,'Budget ed extra'!$H$7:$H$42,D$6))</f>
        <v>0</v>
      </c>
      <c r="V331">
        <f>IF(E$6="",0,SUMIFS('Budget ed extra'!$G$7:$G$42,'Budget ed extra'!$J$7:$J$42,$A331,'Budget ed extra'!$H$7:$H$42,E$6))</f>
        <v>0</v>
      </c>
      <c r="W331">
        <f>IF(F$6="",0,SUMIFS('Budget ed extra'!$G$7:$G$42,'Budget ed extra'!$J$7:$J$42,$A331,'Budget ed extra'!$H$7:$H$42,F$6))</f>
        <v>0</v>
      </c>
      <c r="X331">
        <f>IF(G$6="",0,SUMIFS('Budget ed extra'!$G$7:$G$42,'Budget ed extra'!$J$7:$J$42,$A331,'Budget ed extra'!$H$7:$H$42,G$6))</f>
        <v>0</v>
      </c>
      <c r="Y331">
        <f>IF(H$6="",0,SUMIFS('Budget ed extra'!$G$7:$G$42,'Budget ed extra'!$J$7:$J$42,$A331,'Budget ed extra'!$H$7:$H$42,H$6))</f>
        <v>0</v>
      </c>
      <c r="Z331">
        <f>IF(I$6="",0,SUMIFS('Budget ed extra'!$G$7:$G$42,'Budget ed extra'!$J$7:$J$42,$A331,'Budget ed extra'!$H$7:$H$42,I$6))</f>
        <v>0</v>
      </c>
      <c r="AA331">
        <f>IF(J$6="",0,SUMIFS('Budget ed extra'!$G$7:$G$42,'Budget ed extra'!$J$7:$J$42,$A331,'Budget ed extra'!$H$7:$H$42,J$6))</f>
        <v>0</v>
      </c>
      <c r="AB331">
        <f>IF(K$6="",0,SUMIFS('Budget ed extra'!$G$7:$G$42,'Budget ed extra'!$J$7:$J$42,$A331,'Budget ed extra'!$H$7:$H$42,K$6))</f>
        <v>0</v>
      </c>
      <c r="AC331">
        <f>IF(L$6="",0,SUMIFS('Budget ed extra'!$G$7:$G$42,'Budget ed extra'!$J$7:$J$42,$A331,'Budget ed extra'!$H$7:$H$42,L$6))</f>
        <v>0</v>
      </c>
      <c r="AD331">
        <f>IF(M$6="",0,SUMIFS('Budget ed extra'!$G$7:$G$42,'Budget ed extra'!$J$7:$J$42,$A331,'Budget ed extra'!$H$7:$H$42,M$6))</f>
        <v>0</v>
      </c>
      <c r="AE331">
        <f>IF(N$6="",0,SUMIFS('Budget ed extra'!$G$7:$G$42,'Budget ed extra'!$J$7:$J$42,$A331,'Budget ed extra'!$H$7:$H$42,N$6))</f>
        <v>0</v>
      </c>
    </row>
    <row r="332">
      <c r="A332" t="n">
        <v>302</v>
      </c>
      <c r="B332">
        <f>DATE($B$2,$B$3+A332-1,1)</f>
        <v>55488.0</v>
      </c>
      <c r="C332">
        <f>IF(D332=0,N(Impostazioni!$B$6),SUMIFS('Budget ed extra'!$B$7:$B$18,'Budget ed extra'!$D$7:$D$18,D332)/COUNTIFS('Budget ed extra'!$D$7:$D$18,D332))</f>
        <v>900</v>
      </c>
      <c r="D332">
        <f>SUMPRODUCT(MAX(('Budget ed extra'!$D$7:$D$18&lt;=A332)*'Budget ed extra'!$D$7:$D$18))</f>
        <v>9</v>
      </c>
      <c r="E332">
        <f>SUMIFS('Budget ed extra'!$G$7:$G$42,'Budget ed extra'!$J$7:$J$42,A332)</f>
        <v>0</v>
      </c>
      <c r="F332">
        <f>SUM(T332:AE332)</f>
        <v>0</v>
      </c>
      <c r="G332">
        <f>MAX(0,E332-F332)</f>
        <v>0</v>
      </c>
      <c r="H332">
        <f>IF($A332&gt;=C$10,C$11,C$9)/12</f>
        <v>0.01575</v>
      </c>
      <c r="I332">
        <f>IF($A332&gt;=D$10,D$11,D$9)/12</f>
        <v>0.01825</v>
      </c>
      <c r="J332">
        <f>IF($A332&gt;=E$10,E$11,E$9)/12</f>
        <v>0.00766666666666667</v>
      </c>
      <c r="K332">
        <f>IF($A332&gt;=F$10,F$11,F$9)/12</f>
        <v>0.00533333333333333</v>
      </c>
      <c r="L332">
        <f>IF($A332&gt;=G$10,G$11,G$9)/12</f>
        <v>0</v>
      </c>
      <c r="M332">
        <f>IF($A332&gt;=H$10,H$11,H$9)/12</f>
        <v>0</v>
      </c>
      <c r="N332">
        <f>IF($A332&gt;=I$10,I$11,I$9)/12</f>
        <v>0</v>
      </c>
      <c r="O332">
        <f>IF($A332&gt;=J$10,J$11,J$9)/12</f>
        <v>0</v>
      </c>
      <c r="P332">
        <f>IF($A332&gt;=K$10,K$11,K$9)/12</f>
        <v>0</v>
      </c>
      <c r="Q332">
        <f>IF($A332&gt;=L$10,L$11,L$9)/12</f>
        <v>0</v>
      </c>
      <c r="R332">
        <f>IF($A332&gt;=M$10,M$11,M$9)/12</f>
        <v>0</v>
      </c>
      <c r="S332">
        <f>IF($A332&gt;=N$10,N$11,N$9)/12</f>
        <v>0</v>
      </c>
      <c r="T332">
        <f>IF(C$6="",0,SUMIFS('Budget ed extra'!$G$7:$G$42,'Budget ed extra'!$J$7:$J$42,$A332,'Budget ed extra'!$H$7:$H$42,C$6))</f>
        <v>0</v>
      </c>
      <c r="U332">
        <f>IF(D$6="",0,SUMIFS('Budget ed extra'!$G$7:$G$42,'Budget ed extra'!$J$7:$J$42,$A332,'Budget ed extra'!$H$7:$H$42,D$6))</f>
        <v>0</v>
      </c>
      <c r="V332">
        <f>IF(E$6="",0,SUMIFS('Budget ed extra'!$G$7:$G$42,'Budget ed extra'!$J$7:$J$42,$A332,'Budget ed extra'!$H$7:$H$42,E$6))</f>
        <v>0</v>
      </c>
      <c r="W332">
        <f>IF(F$6="",0,SUMIFS('Budget ed extra'!$G$7:$G$42,'Budget ed extra'!$J$7:$J$42,$A332,'Budget ed extra'!$H$7:$H$42,F$6))</f>
        <v>0</v>
      </c>
      <c r="X332">
        <f>IF(G$6="",0,SUMIFS('Budget ed extra'!$G$7:$G$42,'Budget ed extra'!$J$7:$J$42,$A332,'Budget ed extra'!$H$7:$H$42,G$6))</f>
        <v>0</v>
      </c>
      <c r="Y332">
        <f>IF(H$6="",0,SUMIFS('Budget ed extra'!$G$7:$G$42,'Budget ed extra'!$J$7:$J$42,$A332,'Budget ed extra'!$H$7:$H$42,H$6))</f>
        <v>0</v>
      </c>
      <c r="Z332">
        <f>IF(I$6="",0,SUMIFS('Budget ed extra'!$G$7:$G$42,'Budget ed extra'!$J$7:$J$42,$A332,'Budget ed extra'!$H$7:$H$42,I$6))</f>
        <v>0</v>
      </c>
      <c r="AA332">
        <f>IF(J$6="",0,SUMIFS('Budget ed extra'!$G$7:$G$42,'Budget ed extra'!$J$7:$J$42,$A332,'Budget ed extra'!$H$7:$H$42,J$6))</f>
        <v>0</v>
      </c>
      <c r="AB332">
        <f>IF(K$6="",0,SUMIFS('Budget ed extra'!$G$7:$G$42,'Budget ed extra'!$J$7:$J$42,$A332,'Budget ed extra'!$H$7:$H$42,K$6))</f>
        <v>0</v>
      </c>
      <c r="AC332">
        <f>IF(L$6="",0,SUMIFS('Budget ed extra'!$G$7:$G$42,'Budget ed extra'!$J$7:$J$42,$A332,'Budget ed extra'!$H$7:$H$42,L$6))</f>
        <v>0</v>
      </c>
      <c r="AD332">
        <f>IF(M$6="",0,SUMIFS('Budget ed extra'!$G$7:$G$42,'Budget ed extra'!$J$7:$J$42,$A332,'Budget ed extra'!$H$7:$H$42,M$6))</f>
        <v>0</v>
      </c>
      <c r="AE332">
        <f>IF(N$6="",0,SUMIFS('Budget ed extra'!$G$7:$G$42,'Budget ed extra'!$J$7:$J$42,$A332,'Budget ed extra'!$H$7:$H$42,N$6))</f>
        <v>0</v>
      </c>
    </row>
    <row r="333">
      <c r="A333" t="n">
        <v>303</v>
      </c>
      <c r="B333">
        <f>DATE($B$2,$B$3+A333-1,1)</f>
        <v>55519.0</v>
      </c>
      <c r="C333">
        <f>IF(D333=0,N(Impostazioni!$B$6),SUMIFS('Budget ed extra'!$B$7:$B$18,'Budget ed extra'!$D$7:$D$18,D333)/COUNTIFS('Budget ed extra'!$D$7:$D$18,D333))</f>
        <v>900</v>
      </c>
      <c r="D333">
        <f>SUMPRODUCT(MAX(('Budget ed extra'!$D$7:$D$18&lt;=A333)*'Budget ed extra'!$D$7:$D$18))</f>
        <v>9</v>
      </c>
      <c r="E333">
        <f>SUMIFS('Budget ed extra'!$G$7:$G$42,'Budget ed extra'!$J$7:$J$42,A333)</f>
        <v>0</v>
      </c>
      <c r="F333">
        <f>SUM(T333:AE333)</f>
        <v>0</v>
      </c>
      <c r="G333">
        <f>MAX(0,E333-F333)</f>
        <v>0</v>
      </c>
      <c r="H333">
        <f>IF($A333&gt;=C$10,C$11,C$9)/12</f>
        <v>0.01575</v>
      </c>
      <c r="I333">
        <f>IF($A333&gt;=D$10,D$11,D$9)/12</f>
        <v>0.01825</v>
      </c>
      <c r="J333">
        <f>IF($A333&gt;=E$10,E$11,E$9)/12</f>
        <v>0.00766666666666667</v>
      </c>
      <c r="K333">
        <f>IF($A333&gt;=F$10,F$11,F$9)/12</f>
        <v>0.00533333333333333</v>
      </c>
      <c r="L333">
        <f>IF($A333&gt;=G$10,G$11,G$9)/12</f>
        <v>0</v>
      </c>
      <c r="M333">
        <f>IF($A333&gt;=H$10,H$11,H$9)/12</f>
        <v>0</v>
      </c>
      <c r="N333">
        <f>IF($A333&gt;=I$10,I$11,I$9)/12</f>
        <v>0</v>
      </c>
      <c r="O333">
        <f>IF($A333&gt;=J$10,J$11,J$9)/12</f>
        <v>0</v>
      </c>
      <c r="P333">
        <f>IF($A333&gt;=K$10,K$11,K$9)/12</f>
        <v>0</v>
      </c>
      <c r="Q333">
        <f>IF($A333&gt;=L$10,L$11,L$9)/12</f>
        <v>0</v>
      </c>
      <c r="R333">
        <f>IF($A333&gt;=M$10,M$11,M$9)/12</f>
        <v>0</v>
      </c>
      <c r="S333">
        <f>IF($A333&gt;=N$10,N$11,N$9)/12</f>
        <v>0</v>
      </c>
      <c r="T333">
        <f>IF(C$6="",0,SUMIFS('Budget ed extra'!$G$7:$G$42,'Budget ed extra'!$J$7:$J$42,$A333,'Budget ed extra'!$H$7:$H$42,C$6))</f>
        <v>0</v>
      </c>
      <c r="U333">
        <f>IF(D$6="",0,SUMIFS('Budget ed extra'!$G$7:$G$42,'Budget ed extra'!$J$7:$J$42,$A333,'Budget ed extra'!$H$7:$H$42,D$6))</f>
        <v>0</v>
      </c>
      <c r="V333">
        <f>IF(E$6="",0,SUMIFS('Budget ed extra'!$G$7:$G$42,'Budget ed extra'!$J$7:$J$42,$A333,'Budget ed extra'!$H$7:$H$42,E$6))</f>
        <v>0</v>
      </c>
      <c r="W333">
        <f>IF(F$6="",0,SUMIFS('Budget ed extra'!$G$7:$G$42,'Budget ed extra'!$J$7:$J$42,$A333,'Budget ed extra'!$H$7:$H$42,F$6))</f>
        <v>0</v>
      </c>
      <c r="X333">
        <f>IF(G$6="",0,SUMIFS('Budget ed extra'!$G$7:$G$42,'Budget ed extra'!$J$7:$J$42,$A333,'Budget ed extra'!$H$7:$H$42,G$6))</f>
        <v>0</v>
      </c>
      <c r="Y333">
        <f>IF(H$6="",0,SUMIFS('Budget ed extra'!$G$7:$G$42,'Budget ed extra'!$J$7:$J$42,$A333,'Budget ed extra'!$H$7:$H$42,H$6))</f>
        <v>0</v>
      </c>
      <c r="Z333">
        <f>IF(I$6="",0,SUMIFS('Budget ed extra'!$G$7:$G$42,'Budget ed extra'!$J$7:$J$42,$A333,'Budget ed extra'!$H$7:$H$42,I$6))</f>
        <v>0</v>
      </c>
      <c r="AA333">
        <f>IF(J$6="",0,SUMIFS('Budget ed extra'!$G$7:$G$42,'Budget ed extra'!$J$7:$J$42,$A333,'Budget ed extra'!$H$7:$H$42,J$6))</f>
        <v>0</v>
      </c>
      <c r="AB333">
        <f>IF(K$6="",0,SUMIFS('Budget ed extra'!$G$7:$G$42,'Budget ed extra'!$J$7:$J$42,$A333,'Budget ed extra'!$H$7:$H$42,K$6))</f>
        <v>0</v>
      </c>
      <c r="AC333">
        <f>IF(L$6="",0,SUMIFS('Budget ed extra'!$G$7:$G$42,'Budget ed extra'!$J$7:$J$42,$A333,'Budget ed extra'!$H$7:$H$42,L$6))</f>
        <v>0</v>
      </c>
      <c r="AD333">
        <f>IF(M$6="",0,SUMIFS('Budget ed extra'!$G$7:$G$42,'Budget ed extra'!$J$7:$J$42,$A333,'Budget ed extra'!$H$7:$H$42,M$6))</f>
        <v>0</v>
      </c>
      <c r="AE333">
        <f>IF(N$6="",0,SUMIFS('Budget ed extra'!$G$7:$G$42,'Budget ed extra'!$J$7:$J$42,$A333,'Budget ed extra'!$H$7:$H$42,N$6))</f>
        <v>0</v>
      </c>
    </row>
    <row r="334">
      <c r="A334" t="n">
        <v>304</v>
      </c>
      <c r="B334">
        <f>DATE($B$2,$B$3+A334-1,1)</f>
        <v>55550.0</v>
      </c>
      <c r="C334">
        <f>IF(D334=0,N(Impostazioni!$B$6),SUMIFS('Budget ed extra'!$B$7:$B$18,'Budget ed extra'!$D$7:$D$18,D334)/COUNTIFS('Budget ed extra'!$D$7:$D$18,D334))</f>
        <v>900</v>
      </c>
      <c r="D334">
        <f>SUMPRODUCT(MAX(('Budget ed extra'!$D$7:$D$18&lt;=A334)*'Budget ed extra'!$D$7:$D$18))</f>
        <v>9</v>
      </c>
      <c r="E334">
        <f>SUMIFS('Budget ed extra'!$G$7:$G$42,'Budget ed extra'!$J$7:$J$42,A334)</f>
        <v>0</v>
      </c>
      <c r="F334">
        <f>SUM(T334:AE334)</f>
        <v>0</v>
      </c>
      <c r="G334">
        <f>MAX(0,E334-F334)</f>
        <v>0</v>
      </c>
      <c r="H334">
        <f>IF($A334&gt;=C$10,C$11,C$9)/12</f>
        <v>0.01575</v>
      </c>
      <c r="I334">
        <f>IF($A334&gt;=D$10,D$11,D$9)/12</f>
        <v>0.01825</v>
      </c>
      <c r="J334">
        <f>IF($A334&gt;=E$10,E$11,E$9)/12</f>
        <v>0.00766666666666667</v>
      </c>
      <c r="K334">
        <f>IF($A334&gt;=F$10,F$11,F$9)/12</f>
        <v>0.00533333333333333</v>
      </c>
      <c r="L334">
        <f>IF($A334&gt;=G$10,G$11,G$9)/12</f>
        <v>0</v>
      </c>
      <c r="M334">
        <f>IF($A334&gt;=H$10,H$11,H$9)/12</f>
        <v>0</v>
      </c>
      <c r="N334">
        <f>IF($A334&gt;=I$10,I$11,I$9)/12</f>
        <v>0</v>
      </c>
      <c r="O334">
        <f>IF($A334&gt;=J$10,J$11,J$9)/12</f>
        <v>0</v>
      </c>
      <c r="P334">
        <f>IF($A334&gt;=K$10,K$11,K$9)/12</f>
        <v>0</v>
      </c>
      <c r="Q334">
        <f>IF($A334&gt;=L$10,L$11,L$9)/12</f>
        <v>0</v>
      </c>
      <c r="R334">
        <f>IF($A334&gt;=M$10,M$11,M$9)/12</f>
        <v>0</v>
      </c>
      <c r="S334">
        <f>IF($A334&gt;=N$10,N$11,N$9)/12</f>
        <v>0</v>
      </c>
      <c r="T334">
        <f>IF(C$6="",0,SUMIFS('Budget ed extra'!$G$7:$G$42,'Budget ed extra'!$J$7:$J$42,$A334,'Budget ed extra'!$H$7:$H$42,C$6))</f>
        <v>0</v>
      </c>
      <c r="U334">
        <f>IF(D$6="",0,SUMIFS('Budget ed extra'!$G$7:$G$42,'Budget ed extra'!$J$7:$J$42,$A334,'Budget ed extra'!$H$7:$H$42,D$6))</f>
        <v>0</v>
      </c>
      <c r="V334">
        <f>IF(E$6="",0,SUMIFS('Budget ed extra'!$G$7:$G$42,'Budget ed extra'!$J$7:$J$42,$A334,'Budget ed extra'!$H$7:$H$42,E$6))</f>
        <v>0</v>
      </c>
      <c r="W334">
        <f>IF(F$6="",0,SUMIFS('Budget ed extra'!$G$7:$G$42,'Budget ed extra'!$J$7:$J$42,$A334,'Budget ed extra'!$H$7:$H$42,F$6))</f>
        <v>0</v>
      </c>
      <c r="X334">
        <f>IF(G$6="",0,SUMIFS('Budget ed extra'!$G$7:$G$42,'Budget ed extra'!$J$7:$J$42,$A334,'Budget ed extra'!$H$7:$H$42,G$6))</f>
        <v>0</v>
      </c>
      <c r="Y334">
        <f>IF(H$6="",0,SUMIFS('Budget ed extra'!$G$7:$G$42,'Budget ed extra'!$J$7:$J$42,$A334,'Budget ed extra'!$H$7:$H$42,H$6))</f>
        <v>0</v>
      </c>
      <c r="Z334">
        <f>IF(I$6="",0,SUMIFS('Budget ed extra'!$G$7:$G$42,'Budget ed extra'!$J$7:$J$42,$A334,'Budget ed extra'!$H$7:$H$42,I$6))</f>
        <v>0</v>
      </c>
      <c r="AA334">
        <f>IF(J$6="",0,SUMIFS('Budget ed extra'!$G$7:$G$42,'Budget ed extra'!$J$7:$J$42,$A334,'Budget ed extra'!$H$7:$H$42,J$6))</f>
        <v>0</v>
      </c>
      <c r="AB334">
        <f>IF(K$6="",0,SUMIFS('Budget ed extra'!$G$7:$G$42,'Budget ed extra'!$J$7:$J$42,$A334,'Budget ed extra'!$H$7:$H$42,K$6))</f>
        <v>0</v>
      </c>
      <c r="AC334">
        <f>IF(L$6="",0,SUMIFS('Budget ed extra'!$G$7:$G$42,'Budget ed extra'!$J$7:$J$42,$A334,'Budget ed extra'!$H$7:$H$42,L$6))</f>
        <v>0</v>
      </c>
      <c r="AD334">
        <f>IF(M$6="",0,SUMIFS('Budget ed extra'!$G$7:$G$42,'Budget ed extra'!$J$7:$J$42,$A334,'Budget ed extra'!$H$7:$H$42,M$6))</f>
        <v>0</v>
      </c>
      <c r="AE334">
        <f>IF(N$6="",0,SUMIFS('Budget ed extra'!$G$7:$G$42,'Budget ed extra'!$J$7:$J$42,$A334,'Budget ed extra'!$H$7:$H$42,N$6))</f>
        <v>0</v>
      </c>
    </row>
    <row r="335">
      <c r="A335" t="n">
        <v>305</v>
      </c>
      <c r="B335">
        <f>DATE($B$2,$B$3+A335-1,1)</f>
        <v>55579.0</v>
      </c>
      <c r="C335">
        <f>IF(D335=0,N(Impostazioni!$B$6),SUMIFS('Budget ed extra'!$B$7:$B$18,'Budget ed extra'!$D$7:$D$18,D335)/COUNTIFS('Budget ed extra'!$D$7:$D$18,D335))</f>
        <v>900</v>
      </c>
      <c r="D335">
        <f>SUMPRODUCT(MAX(('Budget ed extra'!$D$7:$D$18&lt;=A335)*'Budget ed extra'!$D$7:$D$18))</f>
        <v>9</v>
      </c>
      <c r="E335">
        <f>SUMIFS('Budget ed extra'!$G$7:$G$42,'Budget ed extra'!$J$7:$J$42,A335)</f>
        <v>0</v>
      </c>
      <c r="F335">
        <f>SUM(T335:AE335)</f>
        <v>0</v>
      </c>
      <c r="G335">
        <f>MAX(0,E335-F335)</f>
        <v>0</v>
      </c>
      <c r="H335">
        <f>IF($A335&gt;=C$10,C$11,C$9)/12</f>
        <v>0.01575</v>
      </c>
      <c r="I335">
        <f>IF($A335&gt;=D$10,D$11,D$9)/12</f>
        <v>0.01825</v>
      </c>
      <c r="J335">
        <f>IF($A335&gt;=E$10,E$11,E$9)/12</f>
        <v>0.00766666666666667</v>
      </c>
      <c r="K335">
        <f>IF($A335&gt;=F$10,F$11,F$9)/12</f>
        <v>0.00533333333333333</v>
      </c>
      <c r="L335">
        <f>IF($A335&gt;=G$10,G$11,G$9)/12</f>
        <v>0</v>
      </c>
      <c r="M335">
        <f>IF($A335&gt;=H$10,H$11,H$9)/12</f>
        <v>0</v>
      </c>
      <c r="N335">
        <f>IF($A335&gt;=I$10,I$11,I$9)/12</f>
        <v>0</v>
      </c>
      <c r="O335">
        <f>IF($A335&gt;=J$10,J$11,J$9)/12</f>
        <v>0</v>
      </c>
      <c r="P335">
        <f>IF($A335&gt;=K$10,K$11,K$9)/12</f>
        <v>0</v>
      </c>
      <c r="Q335">
        <f>IF($A335&gt;=L$10,L$11,L$9)/12</f>
        <v>0</v>
      </c>
      <c r="R335">
        <f>IF($A335&gt;=M$10,M$11,M$9)/12</f>
        <v>0</v>
      </c>
      <c r="S335">
        <f>IF($A335&gt;=N$10,N$11,N$9)/12</f>
        <v>0</v>
      </c>
      <c r="T335">
        <f>IF(C$6="",0,SUMIFS('Budget ed extra'!$G$7:$G$42,'Budget ed extra'!$J$7:$J$42,$A335,'Budget ed extra'!$H$7:$H$42,C$6))</f>
        <v>0</v>
      </c>
      <c r="U335">
        <f>IF(D$6="",0,SUMIFS('Budget ed extra'!$G$7:$G$42,'Budget ed extra'!$J$7:$J$42,$A335,'Budget ed extra'!$H$7:$H$42,D$6))</f>
        <v>0</v>
      </c>
      <c r="V335">
        <f>IF(E$6="",0,SUMIFS('Budget ed extra'!$G$7:$G$42,'Budget ed extra'!$J$7:$J$42,$A335,'Budget ed extra'!$H$7:$H$42,E$6))</f>
        <v>0</v>
      </c>
      <c r="W335">
        <f>IF(F$6="",0,SUMIFS('Budget ed extra'!$G$7:$G$42,'Budget ed extra'!$J$7:$J$42,$A335,'Budget ed extra'!$H$7:$H$42,F$6))</f>
        <v>0</v>
      </c>
      <c r="X335">
        <f>IF(G$6="",0,SUMIFS('Budget ed extra'!$G$7:$G$42,'Budget ed extra'!$J$7:$J$42,$A335,'Budget ed extra'!$H$7:$H$42,G$6))</f>
        <v>0</v>
      </c>
      <c r="Y335">
        <f>IF(H$6="",0,SUMIFS('Budget ed extra'!$G$7:$G$42,'Budget ed extra'!$J$7:$J$42,$A335,'Budget ed extra'!$H$7:$H$42,H$6))</f>
        <v>0</v>
      </c>
      <c r="Z335">
        <f>IF(I$6="",0,SUMIFS('Budget ed extra'!$G$7:$G$42,'Budget ed extra'!$J$7:$J$42,$A335,'Budget ed extra'!$H$7:$H$42,I$6))</f>
        <v>0</v>
      </c>
      <c r="AA335">
        <f>IF(J$6="",0,SUMIFS('Budget ed extra'!$G$7:$G$42,'Budget ed extra'!$J$7:$J$42,$A335,'Budget ed extra'!$H$7:$H$42,J$6))</f>
        <v>0</v>
      </c>
      <c r="AB335">
        <f>IF(K$6="",0,SUMIFS('Budget ed extra'!$G$7:$G$42,'Budget ed extra'!$J$7:$J$42,$A335,'Budget ed extra'!$H$7:$H$42,K$6))</f>
        <v>0</v>
      </c>
      <c r="AC335">
        <f>IF(L$6="",0,SUMIFS('Budget ed extra'!$G$7:$G$42,'Budget ed extra'!$J$7:$J$42,$A335,'Budget ed extra'!$H$7:$H$42,L$6))</f>
        <v>0</v>
      </c>
      <c r="AD335">
        <f>IF(M$6="",0,SUMIFS('Budget ed extra'!$G$7:$G$42,'Budget ed extra'!$J$7:$J$42,$A335,'Budget ed extra'!$H$7:$H$42,M$6))</f>
        <v>0</v>
      </c>
      <c r="AE335">
        <f>IF(N$6="",0,SUMIFS('Budget ed extra'!$G$7:$G$42,'Budget ed extra'!$J$7:$J$42,$A335,'Budget ed extra'!$H$7:$H$42,N$6))</f>
        <v>0</v>
      </c>
    </row>
    <row r="336">
      <c r="A336" t="n">
        <v>306</v>
      </c>
      <c r="B336">
        <f>DATE($B$2,$B$3+A336-1,1)</f>
        <v>55610.0</v>
      </c>
      <c r="C336">
        <f>IF(D336=0,N(Impostazioni!$B$6),SUMIFS('Budget ed extra'!$B$7:$B$18,'Budget ed extra'!$D$7:$D$18,D336)/COUNTIFS('Budget ed extra'!$D$7:$D$18,D336))</f>
        <v>900</v>
      </c>
      <c r="D336">
        <f>SUMPRODUCT(MAX(('Budget ed extra'!$D$7:$D$18&lt;=A336)*'Budget ed extra'!$D$7:$D$18))</f>
        <v>9</v>
      </c>
      <c r="E336">
        <f>SUMIFS('Budget ed extra'!$G$7:$G$42,'Budget ed extra'!$J$7:$J$42,A336)</f>
        <v>0</v>
      </c>
      <c r="F336">
        <f>SUM(T336:AE336)</f>
        <v>0</v>
      </c>
      <c r="G336">
        <f>MAX(0,E336-F336)</f>
        <v>0</v>
      </c>
      <c r="H336">
        <f>IF($A336&gt;=C$10,C$11,C$9)/12</f>
        <v>0.01575</v>
      </c>
      <c r="I336">
        <f>IF($A336&gt;=D$10,D$11,D$9)/12</f>
        <v>0.01825</v>
      </c>
      <c r="J336">
        <f>IF($A336&gt;=E$10,E$11,E$9)/12</f>
        <v>0.00766666666666667</v>
      </c>
      <c r="K336">
        <f>IF($A336&gt;=F$10,F$11,F$9)/12</f>
        <v>0.00533333333333333</v>
      </c>
      <c r="L336">
        <f>IF($A336&gt;=G$10,G$11,G$9)/12</f>
        <v>0</v>
      </c>
      <c r="M336">
        <f>IF($A336&gt;=H$10,H$11,H$9)/12</f>
        <v>0</v>
      </c>
      <c r="N336">
        <f>IF($A336&gt;=I$10,I$11,I$9)/12</f>
        <v>0</v>
      </c>
      <c r="O336">
        <f>IF($A336&gt;=J$10,J$11,J$9)/12</f>
        <v>0</v>
      </c>
      <c r="P336">
        <f>IF($A336&gt;=K$10,K$11,K$9)/12</f>
        <v>0</v>
      </c>
      <c r="Q336">
        <f>IF($A336&gt;=L$10,L$11,L$9)/12</f>
        <v>0</v>
      </c>
      <c r="R336">
        <f>IF($A336&gt;=M$10,M$11,M$9)/12</f>
        <v>0</v>
      </c>
      <c r="S336">
        <f>IF($A336&gt;=N$10,N$11,N$9)/12</f>
        <v>0</v>
      </c>
      <c r="T336">
        <f>IF(C$6="",0,SUMIFS('Budget ed extra'!$G$7:$G$42,'Budget ed extra'!$J$7:$J$42,$A336,'Budget ed extra'!$H$7:$H$42,C$6))</f>
        <v>0</v>
      </c>
      <c r="U336">
        <f>IF(D$6="",0,SUMIFS('Budget ed extra'!$G$7:$G$42,'Budget ed extra'!$J$7:$J$42,$A336,'Budget ed extra'!$H$7:$H$42,D$6))</f>
        <v>0</v>
      </c>
      <c r="V336">
        <f>IF(E$6="",0,SUMIFS('Budget ed extra'!$G$7:$G$42,'Budget ed extra'!$J$7:$J$42,$A336,'Budget ed extra'!$H$7:$H$42,E$6))</f>
        <v>0</v>
      </c>
      <c r="W336">
        <f>IF(F$6="",0,SUMIFS('Budget ed extra'!$G$7:$G$42,'Budget ed extra'!$J$7:$J$42,$A336,'Budget ed extra'!$H$7:$H$42,F$6))</f>
        <v>0</v>
      </c>
      <c r="X336">
        <f>IF(G$6="",0,SUMIFS('Budget ed extra'!$G$7:$G$42,'Budget ed extra'!$J$7:$J$42,$A336,'Budget ed extra'!$H$7:$H$42,G$6))</f>
        <v>0</v>
      </c>
      <c r="Y336">
        <f>IF(H$6="",0,SUMIFS('Budget ed extra'!$G$7:$G$42,'Budget ed extra'!$J$7:$J$42,$A336,'Budget ed extra'!$H$7:$H$42,H$6))</f>
        <v>0</v>
      </c>
      <c r="Z336">
        <f>IF(I$6="",0,SUMIFS('Budget ed extra'!$G$7:$G$42,'Budget ed extra'!$J$7:$J$42,$A336,'Budget ed extra'!$H$7:$H$42,I$6))</f>
        <v>0</v>
      </c>
      <c r="AA336">
        <f>IF(J$6="",0,SUMIFS('Budget ed extra'!$G$7:$G$42,'Budget ed extra'!$J$7:$J$42,$A336,'Budget ed extra'!$H$7:$H$42,J$6))</f>
        <v>0</v>
      </c>
      <c r="AB336">
        <f>IF(K$6="",0,SUMIFS('Budget ed extra'!$G$7:$G$42,'Budget ed extra'!$J$7:$J$42,$A336,'Budget ed extra'!$H$7:$H$42,K$6))</f>
        <v>0</v>
      </c>
      <c r="AC336">
        <f>IF(L$6="",0,SUMIFS('Budget ed extra'!$G$7:$G$42,'Budget ed extra'!$J$7:$J$42,$A336,'Budget ed extra'!$H$7:$H$42,L$6))</f>
        <v>0</v>
      </c>
      <c r="AD336">
        <f>IF(M$6="",0,SUMIFS('Budget ed extra'!$G$7:$G$42,'Budget ed extra'!$J$7:$J$42,$A336,'Budget ed extra'!$H$7:$H$42,M$6))</f>
        <v>0</v>
      </c>
      <c r="AE336">
        <f>IF(N$6="",0,SUMIFS('Budget ed extra'!$G$7:$G$42,'Budget ed extra'!$J$7:$J$42,$A336,'Budget ed extra'!$H$7:$H$42,N$6))</f>
        <v>0</v>
      </c>
    </row>
    <row r="337">
      <c r="A337" t="n">
        <v>307</v>
      </c>
      <c r="B337">
        <f>DATE($B$2,$B$3+A337-1,1)</f>
        <v>55640.0</v>
      </c>
      <c r="C337">
        <f>IF(D337=0,N(Impostazioni!$B$6),SUMIFS('Budget ed extra'!$B$7:$B$18,'Budget ed extra'!$D$7:$D$18,D337)/COUNTIFS('Budget ed extra'!$D$7:$D$18,D337))</f>
        <v>900</v>
      </c>
      <c r="D337">
        <f>SUMPRODUCT(MAX(('Budget ed extra'!$D$7:$D$18&lt;=A337)*'Budget ed extra'!$D$7:$D$18))</f>
        <v>9</v>
      </c>
      <c r="E337">
        <f>SUMIFS('Budget ed extra'!$G$7:$G$42,'Budget ed extra'!$J$7:$J$42,A337)</f>
        <v>0</v>
      </c>
      <c r="F337">
        <f>SUM(T337:AE337)</f>
        <v>0</v>
      </c>
      <c r="G337">
        <f>MAX(0,E337-F337)</f>
        <v>0</v>
      </c>
      <c r="H337">
        <f>IF($A337&gt;=C$10,C$11,C$9)/12</f>
        <v>0.01575</v>
      </c>
      <c r="I337">
        <f>IF($A337&gt;=D$10,D$11,D$9)/12</f>
        <v>0.01825</v>
      </c>
      <c r="J337">
        <f>IF($A337&gt;=E$10,E$11,E$9)/12</f>
        <v>0.00766666666666667</v>
      </c>
      <c r="K337">
        <f>IF($A337&gt;=F$10,F$11,F$9)/12</f>
        <v>0.00533333333333333</v>
      </c>
      <c r="L337">
        <f>IF($A337&gt;=G$10,G$11,G$9)/12</f>
        <v>0</v>
      </c>
      <c r="M337">
        <f>IF($A337&gt;=H$10,H$11,H$9)/12</f>
        <v>0</v>
      </c>
      <c r="N337">
        <f>IF($A337&gt;=I$10,I$11,I$9)/12</f>
        <v>0</v>
      </c>
      <c r="O337">
        <f>IF($A337&gt;=J$10,J$11,J$9)/12</f>
        <v>0</v>
      </c>
      <c r="P337">
        <f>IF($A337&gt;=K$10,K$11,K$9)/12</f>
        <v>0</v>
      </c>
      <c r="Q337">
        <f>IF($A337&gt;=L$10,L$11,L$9)/12</f>
        <v>0</v>
      </c>
      <c r="R337">
        <f>IF($A337&gt;=M$10,M$11,M$9)/12</f>
        <v>0</v>
      </c>
      <c r="S337">
        <f>IF($A337&gt;=N$10,N$11,N$9)/12</f>
        <v>0</v>
      </c>
      <c r="T337">
        <f>IF(C$6="",0,SUMIFS('Budget ed extra'!$G$7:$G$42,'Budget ed extra'!$J$7:$J$42,$A337,'Budget ed extra'!$H$7:$H$42,C$6))</f>
        <v>0</v>
      </c>
      <c r="U337">
        <f>IF(D$6="",0,SUMIFS('Budget ed extra'!$G$7:$G$42,'Budget ed extra'!$J$7:$J$42,$A337,'Budget ed extra'!$H$7:$H$42,D$6))</f>
        <v>0</v>
      </c>
      <c r="V337">
        <f>IF(E$6="",0,SUMIFS('Budget ed extra'!$G$7:$G$42,'Budget ed extra'!$J$7:$J$42,$A337,'Budget ed extra'!$H$7:$H$42,E$6))</f>
        <v>0</v>
      </c>
      <c r="W337">
        <f>IF(F$6="",0,SUMIFS('Budget ed extra'!$G$7:$G$42,'Budget ed extra'!$J$7:$J$42,$A337,'Budget ed extra'!$H$7:$H$42,F$6))</f>
        <v>0</v>
      </c>
      <c r="X337">
        <f>IF(G$6="",0,SUMIFS('Budget ed extra'!$G$7:$G$42,'Budget ed extra'!$J$7:$J$42,$A337,'Budget ed extra'!$H$7:$H$42,G$6))</f>
        <v>0</v>
      </c>
      <c r="Y337">
        <f>IF(H$6="",0,SUMIFS('Budget ed extra'!$G$7:$G$42,'Budget ed extra'!$J$7:$J$42,$A337,'Budget ed extra'!$H$7:$H$42,H$6))</f>
        <v>0</v>
      </c>
      <c r="Z337">
        <f>IF(I$6="",0,SUMIFS('Budget ed extra'!$G$7:$G$42,'Budget ed extra'!$J$7:$J$42,$A337,'Budget ed extra'!$H$7:$H$42,I$6))</f>
        <v>0</v>
      </c>
      <c r="AA337">
        <f>IF(J$6="",0,SUMIFS('Budget ed extra'!$G$7:$G$42,'Budget ed extra'!$J$7:$J$42,$A337,'Budget ed extra'!$H$7:$H$42,J$6))</f>
        <v>0</v>
      </c>
      <c r="AB337">
        <f>IF(K$6="",0,SUMIFS('Budget ed extra'!$G$7:$G$42,'Budget ed extra'!$J$7:$J$42,$A337,'Budget ed extra'!$H$7:$H$42,K$6))</f>
        <v>0</v>
      </c>
      <c r="AC337">
        <f>IF(L$6="",0,SUMIFS('Budget ed extra'!$G$7:$G$42,'Budget ed extra'!$J$7:$J$42,$A337,'Budget ed extra'!$H$7:$H$42,L$6))</f>
        <v>0</v>
      </c>
      <c r="AD337">
        <f>IF(M$6="",0,SUMIFS('Budget ed extra'!$G$7:$G$42,'Budget ed extra'!$J$7:$J$42,$A337,'Budget ed extra'!$H$7:$H$42,M$6))</f>
        <v>0</v>
      </c>
      <c r="AE337">
        <f>IF(N$6="",0,SUMIFS('Budget ed extra'!$G$7:$G$42,'Budget ed extra'!$J$7:$J$42,$A337,'Budget ed extra'!$H$7:$H$42,N$6))</f>
        <v>0</v>
      </c>
    </row>
    <row r="338">
      <c r="A338" t="n">
        <v>308</v>
      </c>
      <c r="B338">
        <f>DATE($B$2,$B$3+A338-1,1)</f>
        <v>55671.0</v>
      </c>
      <c r="C338">
        <f>IF(D338=0,N(Impostazioni!$B$6),SUMIFS('Budget ed extra'!$B$7:$B$18,'Budget ed extra'!$D$7:$D$18,D338)/COUNTIFS('Budget ed extra'!$D$7:$D$18,D338))</f>
        <v>900</v>
      </c>
      <c r="D338">
        <f>SUMPRODUCT(MAX(('Budget ed extra'!$D$7:$D$18&lt;=A338)*'Budget ed extra'!$D$7:$D$18))</f>
        <v>9</v>
      </c>
      <c r="E338">
        <f>SUMIFS('Budget ed extra'!$G$7:$G$42,'Budget ed extra'!$J$7:$J$42,A338)</f>
        <v>0</v>
      </c>
      <c r="F338">
        <f>SUM(T338:AE338)</f>
        <v>0</v>
      </c>
      <c r="G338">
        <f>MAX(0,E338-F338)</f>
        <v>0</v>
      </c>
      <c r="H338">
        <f>IF($A338&gt;=C$10,C$11,C$9)/12</f>
        <v>0.01575</v>
      </c>
      <c r="I338">
        <f>IF($A338&gt;=D$10,D$11,D$9)/12</f>
        <v>0.01825</v>
      </c>
      <c r="J338">
        <f>IF($A338&gt;=E$10,E$11,E$9)/12</f>
        <v>0.00766666666666667</v>
      </c>
      <c r="K338">
        <f>IF($A338&gt;=F$10,F$11,F$9)/12</f>
        <v>0.00533333333333333</v>
      </c>
      <c r="L338">
        <f>IF($A338&gt;=G$10,G$11,G$9)/12</f>
        <v>0</v>
      </c>
      <c r="M338">
        <f>IF($A338&gt;=H$10,H$11,H$9)/12</f>
        <v>0</v>
      </c>
      <c r="N338">
        <f>IF($A338&gt;=I$10,I$11,I$9)/12</f>
        <v>0</v>
      </c>
      <c r="O338">
        <f>IF($A338&gt;=J$10,J$11,J$9)/12</f>
        <v>0</v>
      </c>
      <c r="P338">
        <f>IF($A338&gt;=K$10,K$11,K$9)/12</f>
        <v>0</v>
      </c>
      <c r="Q338">
        <f>IF($A338&gt;=L$10,L$11,L$9)/12</f>
        <v>0</v>
      </c>
      <c r="R338">
        <f>IF($A338&gt;=M$10,M$11,M$9)/12</f>
        <v>0</v>
      </c>
      <c r="S338">
        <f>IF($A338&gt;=N$10,N$11,N$9)/12</f>
        <v>0</v>
      </c>
      <c r="T338">
        <f>IF(C$6="",0,SUMIFS('Budget ed extra'!$G$7:$G$42,'Budget ed extra'!$J$7:$J$42,$A338,'Budget ed extra'!$H$7:$H$42,C$6))</f>
        <v>0</v>
      </c>
      <c r="U338">
        <f>IF(D$6="",0,SUMIFS('Budget ed extra'!$G$7:$G$42,'Budget ed extra'!$J$7:$J$42,$A338,'Budget ed extra'!$H$7:$H$42,D$6))</f>
        <v>0</v>
      </c>
      <c r="V338">
        <f>IF(E$6="",0,SUMIFS('Budget ed extra'!$G$7:$G$42,'Budget ed extra'!$J$7:$J$42,$A338,'Budget ed extra'!$H$7:$H$42,E$6))</f>
        <v>0</v>
      </c>
      <c r="W338">
        <f>IF(F$6="",0,SUMIFS('Budget ed extra'!$G$7:$G$42,'Budget ed extra'!$J$7:$J$42,$A338,'Budget ed extra'!$H$7:$H$42,F$6))</f>
        <v>0</v>
      </c>
      <c r="X338">
        <f>IF(G$6="",0,SUMIFS('Budget ed extra'!$G$7:$G$42,'Budget ed extra'!$J$7:$J$42,$A338,'Budget ed extra'!$H$7:$H$42,G$6))</f>
        <v>0</v>
      </c>
      <c r="Y338">
        <f>IF(H$6="",0,SUMIFS('Budget ed extra'!$G$7:$G$42,'Budget ed extra'!$J$7:$J$42,$A338,'Budget ed extra'!$H$7:$H$42,H$6))</f>
        <v>0</v>
      </c>
      <c r="Z338">
        <f>IF(I$6="",0,SUMIFS('Budget ed extra'!$G$7:$G$42,'Budget ed extra'!$J$7:$J$42,$A338,'Budget ed extra'!$H$7:$H$42,I$6))</f>
        <v>0</v>
      </c>
      <c r="AA338">
        <f>IF(J$6="",0,SUMIFS('Budget ed extra'!$G$7:$G$42,'Budget ed extra'!$J$7:$J$42,$A338,'Budget ed extra'!$H$7:$H$42,J$6))</f>
        <v>0</v>
      </c>
      <c r="AB338">
        <f>IF(K$6="",0,SUMIFS('Budget ed extra'!$G$7:$G$42,'Budget ed extra'!$J$7:$J$42,$A338,'Budget ed extra'!$H$7:$H$42,K$6))</f>
        <v>0</v>
      </c>
      <c r="AC338">
        <f>IF(L$6="",0,SUMIFS('Budget ed extra'!$G$7:$G$42,'Budget ed extra'!$J$7:$J$42,$A338,'Budget ed extra'!$H$7:$H$42,L$6))</f>
        <v>0</v>
      </c>
      <c r="AD338">
        <f>IF(M$6="",0,SUMIFS('Budget ed extra'!$G$7:$G$42,'Budget ed extra'!$J$7:$J$42,$A338,'Budget ed extra'!$H$7:$H$42,M$6))</f>
        <v>0</v>
      </c>
      <c r="AE338">
        <f>IF(N$6="",0,SUMIFS('Budget ed extra'!$G$7:$G$42,'Budget ed extra'!$J$7:$J$42,$A338,'Budget ed extra'!$H$7:$H$42,N$6))</f>
        <v>0</v>
      </c>
    </row>
    <row r="339">
      <c r="A339" t="n">
        <v>309</v>
      </c>
      <c r="B339">
        <f>DATE($B$2,$B$3+A339-1,1)</f>
        <v>55701.0</v>
      </c>
      <c r="C339">
        <f>IF(D339=0,N(Impostazioni!$B$6),SUMIFS('Budget ed extra'!$B$7:$B$18,'Budget ed extra'!$D$7:$D$18,D339)/COUNTIFS('Budget ed extra'!$D$7:$D$18,D339))</f>
        <v>900</v>
      </c>
      <c r="D339">
        <f>SUMPRODUCT(MAX(('Budget ed extra'!$D$7:$D$18&lt;=A339)*'Budget ed extra'!$D$7:$D$18))</f>
        <v>9</v>
      </c>
      <c r="E339">
        <f>SUMIFS('Budget ed extra'!$G$7:$G$42,'Budget ed extra'!$J$7:$J$42,A339)</f>
        <v>0</v>
      </c>
      <c r="F339">
        <f>SUM(T339:AE339)</f>
        <v>0</v>
      </c>
      <c r="G339">
        <f>MAX(0,E339-F339)</f>
        <v>0</v>
      </c>
      <c r="H339">
        <f>IF($A339&gt;=C$10,C$11,C$9)/12</f>
        <v>0.01575</v>
      </c>
      <c r="I339">
        <f>IF($A339&gt;=D$10,D$11,D$9)/12</f>
        <v>0.01825</v>
      </c>
      <c r="J339">
        <f>IF($A339&gt;=E$10,E$11,E$9)/12</f>
        <v>0.00766666666666667</v>
      </c>
      <c r="K339">
        <f>IF($A339&gt;=F$10,F$11,F$9)/12</f>
        <v>0.00533333333333333</v>
      </c>
      <c r="L339">
        <f>IF($A339&gt;=G$10,G$11,G$9)/12</f>
        <v>0</v>
      </c>
      <c r="M339">
        <f>IF($A339&gt;=H$10,H$11,H$9)/12</f>
        <v>0</v>
      </c>
      <c r="N339">
        <f>IF($A339&gt;=I$10,I$11,I$9)/12</f>
        <v>0</v>
      </c>
      <c r="O339">
        <f>IF($A339&gt;=J$10,J$11,J$9)/12</f>
        <v>0</v>
      </c>
      <c r="P339">
        <f>IF($A339&gt;=K$10,K$11,K$9)/12</f>
        <v>0</v>
      </c>
      <c r="Q339">
        <f>IF($A339&gt;=L$10,L$11,L$9)/12</f>
        <v>0</v>
      </c>
      <c r="R339">
        <f>IF($A339&gt;=M$10,M$11,M$9)/12</f>
        <v>0</v>
      </c>
      <c r="S339">
        <f>IF($A339&gt;=N$10,N$11,N$9)/12</f>
        <v>0</v>
      </c>
      <c r="T339">
        <f>IF(C$6="",0,SUMIFS('Budget ed extra'!$G$7:$G$42,'Budget ed extra'!$J$7:$J$42,$A339,'Budget ed extra'!$H$7:$H$42,C$6))</f>
        <v>0</v>
      </c>
      <c r="U339">
        <f>IF(D$6="",0,SUMIFS('Budget ed extra'!$G$7:$G$42,'Budget ed extra'!$J$7:$J$42,$A339,'Budget ed extra'!$H$7:$H$42,D$6))</f>
        <v>0</v>
      </c>
      <c r="V339">
        <f>IF(E$6="",0,SUMIFS('Budget ed extra'!$G$7:$G$42,'Budget ed extra'!$J$7:$J$42,$A339,'Budget ed extra'!$H$7:$H$42,E$6))</f>
        <v>0</v>
      </c>
      <c r="W339">
        <f>IF(F$6="",0,SUMIFS('Budget ed extra'!$G$7:$G$42,'Budget ed extra'!$J$7:$J$42,$A339,'Budget ed extra'!$H$7:$H$42,F$6))</f>
        <v>0</v>
      </c>
      <c r="X339">
        <f>IF(G$6="",0,SUMIFS('Budget ed extra'!$G$7:$G$42,'Budget ed extra'!$J$7:$J$42,$A339,'Budget ed extra'!$H$7:$H$42,G$6))</f>
        <v>0</v>
      </c>
      <c r="Y339">
        <f>IF(H$6="",0,SUMIFS('Budget ed extra'!$G$7:$G$42,'Budget ed extra'!$J$7:$J$42,$A339,'Budget ed extra'!$H$7:$H$42,H$6))</f>
        <v>0</v>
      </c>
      <c r="Z339">
        <f>IF(I$6="",0,SUMIFS('Budget ed extra'!$G$7:$G$42,'Budget ed extra'!$J$7:$J$42,$A339,'Budget ed extra'!$H$7:$H$42,I$6))</f>
        <v>0</v>
      </c>
      <c r="AA339">
        <f>IF(J$6="",0,SUMIFS('Budget ed extra'!$G$7:$G$42,'Budget ed extra'!$J$7:$J$42,$A339,'Budget ed extra'!$H$7:$H$42,J$6))</f>
        <v>0</v>
      </c>
      <c r="AB339">
        <f>IF(K$6="",0,SUMIFS('Budget ed extra'!$G$7:$G$42,'Budget ed extra'!$J$7:$J$42,$A339,'Budget ed extra'!$H$7:$H$42,K$6))</f>
        <v>0</v>
      </c>
      <c r="AC339">
        <f>IF(L$6="",0,SUMIFS('Budget ed extra'!$G$7:$G$42,'Budget ed extra'!$J$7:$J$42,$A339,'Budget ed extra'!$H$7:$H$42,L$6))</f>
        <v>0</v>
      </c>
      <c r="AD339">
        <f>IF(M$6="",0,SUMIFS('Budget ed extra'!$G$7:$G$42,'Budget ed extra'!$J$7:$J$42,$A339,'Budget ed extra'!$H$7:$H$42,M$6))</f>
        <v>0</v>
      </c>
      <c r="AE339">
        <f>IF(N$6="",0,SUMIFS('Budget ed extra'!$G$7:$G$42,'Budget ed extra'!$J$7:$J$42,$A339,'Budget ed extra'!$H$7:$H$42,N$6))</f>
        <v>0</v>
      </c>
    </row>
    <row r="340">
      <c r="A340" t="n">
        <v>310</v>
      </c>
      <c r="B340">
        <f>DATE($B$2,$B$3+A340-1,1)</f>
        <v>55732.0</v>
      </c>
      <c r="C340">
        <f>IF(D340=0,N(Impostazioni!$B$6),SUMIFS('Budget ed extra'!$B$7:$B$18,'Budget ed extra'!$D$7:$D$18,D340)/COUNTIFS('Budget ed extra'!$D$7:$D$18,D340))</f>
        <v>900</v>
      </c>
      <c r="D340">
        <f>SUMPRODUCT(MAX(('Budget ed extra'!$D$7:$D$18&lt;=A340)*'Budget ed extra'!$D$7:$D$18))</f>
        <v>9</v>
      </c>
      <c r="E340">
        <f>SUMIFS('Budget ed extra'!$G$7:$G$42,'Budget ed extra'!$J$7:$J$42,A340)</f>
        <v>0</v>
      </c>
      <c r="F340">
        <f>SUM(T340:AE340)</f>
        <v>0</v>
      </c>
      <c r="G340">
        <f>MAX(0,E340-F340)</f>
        <v>0</v>
      </c>
      <c r="H340">
        <f>IF($A340&gt;=C$10,C$11,C$9)/12</f>
        <v>0.01575</v>
      </c>
      <c r="I340">
        <f>IF($A340&gt;=D$10,D$11,D$9)/12</f>
        <v>0.01825</v>
      </c>
      <c r="J340">
        <f>IF($A340&gt;=E$10,E$11,E$9)/12</f>
        <v>0.00766666666666667</v>
      </c>
      <c r="K340">
        <f>IF($A340&gt;=F$10,F$11,F$9)/12</f>
        <v>0.00533333333333333</v>
      </c>
      <c r="L340">
        <f>IF($A340&gt;=G$10,G$11,G$9)/12</f>
        <v>0</v>
      </c>
      <c r="M340">
        <f>IF($A340&gt;=H$10,H$11,H$9)/12</f>
        <v>0</v>
      </c>
      <c r="N340">
        <f>IF($A340&gt;=I$10,I$11,I$9)/12</f>
        <v>0</v>
      </c>
      <c r="O340">
        <f>IF($A340&gt;=J$10,J$11,J$9)/12</f>
        <v>0</v>
      </c>
      <c r="P340">
        <f>IF($A340&gt;=K$10,K$11,K$9)/12</f>
        <v>0</v>
      </c>
      <c r="Q340">
        <f>IF($A340&gt;=L$10,L$11,L$9)/12</f>
        <v>0</v>
      </c>
      <c r="R340">
        <f>IF($A340&gt;=M$10,M$11,M$9)/12</f>
        <v>0</v>
      </c>
      <c r="S340">
        <f>IF($A340&gt;=N$10,N$11,N$9)/12</f>
        <v>0</v>
      </c>
      <c r="T340">
        <f>IF(C$6="",0,SUMIFS('Budget ed extra'!$G$7:$G$42,'Budget ed extra'!$J$7:$J$42,$A340,'Budget ed extra'!$H$7:$H$42,C$6))</f>
        <v>0</v>
      </c>
      <c r="U340">
        <f>IF(D$6="",0,SUMIFS('Budget ed extra'!$G$7:$G$42,'Budget ed extra'!$J$7:$J$42,$A340,'Budget ed extra'!$H$7:$H$42,D$6))</f>
        <v>0</v>
      </c>
      <c r="V340">
        <f>IF(E$6="",0,SUMIFS('Budget ed extra'!$G$7:$G$42,'Budget ed extra'!$J$7:$J$42,$A340,'Budget ed extra'!$H$7:$H$42,E$6))</f>
        <v>0</v>
      </c>
      <c r="W340">
        <f>IF(F$6="",0,SUMIFS('Budget ed extra'!$G$7:$G$42,'Budget ed extra'!$J$7:$J$42,$A340,'Budget ed extra'!$H$7:$H$42,F$6))</f>
        <v>0</v>
      </c>
      <c r="X340">
        <f>IF(G$6="",0,SUMIFS('Budget ed extra'!$G$7:$G$42,'Budget ed extra'!$J$7:$J$42,$A340,'Budget ed extra'!$H$7:$H$42,G$6))</f>
        <v>0</v>
      </c>
      <c r="Y340">
        <f>IF(H$6="",0,SUMIFS('Budget ed extra'!$G$7:$G$42,'Budget ed extra'!$J$7:$J$42,$A340,'Budget ed extra'!$H$7:$H$42,H$6))</f>
        <v>0</v>
      </c>
      <c r="Z340">
        <f>IF(I$6="",0,SUMIFS('Budget ed extra'!$G$7:$G$42,'Budget ed extra'!$J$7:$J$42,$A340,'Budget ed extra'!$H$7:$H$42,I$6))</f>
        <v>0</v>
      </c>
      <c r="AA340">
        <f>IF(J$6="",0,SUMIFS('Budget ed extra'!$G$7:$G$42,'Budget ed extra'!$J$7:$J$42,$A340,'Budget ed extra'!$H$7:$H$42,J$6))</f>
        <v>0</v>
      </c>
      <c r="AB340">
        <f>IF(K$6="",0,SUMIFS('Budget ed extra'!$G$7:$G$42,'Budget ed extra'!$J$7:$J$42,$A340,'Budget ed extra'!$H$7:$H$42,K$6))</f>
        <v>0</v>
      </c>
      <c r="AC340">
        <f>IF(L$6="",0,SUMIFS('Budget ed extra'!$G$7:$G$42,'Budget ed extra'!$J$7:$J$42,$A340,'Budget ed extra'!$H$7:$H$42,L$6))</f>
        <v>0</v>
      </c>
      <c r="AD340">
        <f>IF(M$6="",0,SUMIFS('Budget ed extra'!$G$7:$G$42,'Budget ed extra'!$J$7:$J$42,$A340,'Budget ed extra'!$H$7:$H$42,M$6))</f>
        <v>0</v>
      </c>
      <c r="AE340">
        <f>IF(N$6="",0,SUMIFS('Budget ed extra'!$G$7:$G$42,'Budget ed extra'!$J$7:$J$42,$A340,'Budget ed extra'!$H$7:$H$42,N$6))</f>
        <v>0</v>
      </c>
    </row>
    <row r="341">
      <c r="A341" t="n">
        <v>311</v>
      </c>
      <c r="B341">
        <f>DATE($B$2,$B$3+A341-1,1)</f>
        <v>55763.0</v>
      </c>
      <c r="C341">
        <f>IF(D341=0,N(Impostazioni!$B$6),SUMIFS('Budget ed extra'!$B$7:$B$18,'Budget ed extra'!$D$7:$D$18,D341)/COUNTIFS('Budget ed extra'!$D$7:$D$18,D341))</f>
        <v>900</v>
      </c>
      <c r="D341">
        <f>SUMPRODUCT(MAX(('Budget ed extra'!$D$7:$D$18&lt;=A341)*'Budget ed extra'!$D$7:$D$18))</f>
        <v>9</v>
      </c>
      <c r="E341">
        <f>SUMIFS('Budget ed extra'!$G$7:$G$42,'Budget ed extra'!$J$7:$J$42,A341)</f>
        <v>0</v>
      </c>
      <c r="F341">
        <f>SUM(T341:AE341)</f>
        <v>0</v>
      </c>
      <c r="G341">
        <f>MAX(0,E341-F341)</f>
        <v>0</v>
      </c>
      <c r="H341">
        <f>IF($A341&gt;=C$10,C$11,C$9)/12</f>
        <v>0.01575</v>
      </c>
      <c r="I341">
        <f>IF($A341&gt;=D$10,D$11,D$9)/12</f>
        <v>0.01825</v>
      </c>
      <c r="J341">
        <f>IF($A341&gt;=E$10,E$11,E$9)/12</f>
        <v>0.00766666666666667</v>
      </c>
      <c r="K341">
        <f>IF($A341&gt;=F$10,F$11,F$9)/12</f>
        <v>0.00533333333333333</v>
      </c>
      <c r="L341">
        <f>IF($A341&gt;=G$10,G$11,G$9)/12</f>
        <v>0</v>
      </c>
      <c r="M341">
        <f>IF($A341&gt;=H$10,H$11,H$9)/12</f>
        <v>0</v>
      </c>
      <c r="N341">
        <f>IF($A341&gt;=I$10,I$11,I$9)/12</f>
        <v>0</v>
      </c>
      <c r="O341">
        <f>IF($A341&gt;=J$10,J$11,J$9)/12</f>
        <v>0</v>
      </c>
      <c r="P341">
        <f>IF($A341&gt;=K$10,K$11,K$9)/12</f>
        <v>0</v>
      </c>
      <c r="Q341">
        <f>IF($A341&gt;=L$10,L$11,L$9)/12</f>
        <v>0</v>
      </c>
      <c r="R341">
        <f>IF($A341&gt;=M$10,M$11,M$9)/12</f>
        <v>0</v>
      </c>
      <c r="S341">
        <f>IF($A341&gt;=N$10,N$11,N$9)/12</f>
        <v>0</v>
      </c>
      <c r="T341">
        <f>IF(C$6="",0,SUMIFS('Budget ed extra'!$G$7:$G$42,'Budget ed extra'!$J$7:$J$42,$A341,'Budget ed extra'!$H$7:$H$42,C$6))</f>
        <v>0</v>
      </c>
      <c r="U341">
        <f>IF(D$6="",0,SUMIFS('Budget ed extra'!$G$7:$G$42,'Budget ed extra'!$J$7:$J$42,$A341,'Budget ed extra'!$H$7:$H$42,D$6))</f>
        <v>0</v>
      </c>
      <c r="V341">
        <f>IF(E$6="",0,SUMIFS('Budget ed extra'!$G$7:$G$42,'Budget ed extra'!$J$7:$J$42,$A341,'Budget ed extra'!$H$7:$H$42,E$6))</f>
        <v>0</v>
      </c>
      <c r="W341">
        <f>IF(F$6="",0,SUMIFS('Budget ed extra'!$G$7:$G$42,'Budget ed extra'!$J$7:$J$42,$A341,'Budget ed extra'!$H$7:$H$42,F$6))</f>
        <v>0</v>
      </c>
      <c r="X341">
        <f>IF(G$6="",0,SUMIFS('Budget ed extra'!$G$7:$G$42,'Budget ed extra'!$J$7:$J$42,$A341,'Budget ed extra'!$H$7:$H$42,G$6))</f>
        <v>0</v>
      </c>
      <c r="Y341">
        <f>IF(H$6="",0,SUMIFS('Budget ed extra'!$G$7:$G$42,'Budget ed extra'!$J$7:$J$42,$A341,'Budget ed extra'!$H$7:$H$42,H$6))</f>
        <v>0</v>
      </c>
      <c r="Z341">
        <f>IF(I$6="",0,SUMIFS('Budget ed extra'!$G$7:$G$42,'Budget ed extra'!$J$7:$J$42,$A341,'Budget ed extra'!$H$7:$H$42,I$6))</f>
        <v>0</v>
      </c>
      <c r="AA341">
        <f>IF(J$6="",0,SUMIFS('Budget ed extra'!$G$7:$G$42,'Budget ed extra'!$J$7:$J$42,$A341,'Budget ed extra'!$H$7:$H$42,J$6))</f>
        <v>0</v>
      </c>
      <c r="AB341">
        <f>IF(K$6="",0,SUMIFS('Budget ed extra'!$G$7:$G$42,'Budget ed extra'!$J$7:$J$42,$A341,'Budget ed extra'!$H$7:$H$42,K$6))</f>
        <v>0</v>
      </c>
      <c r="AC341">
        <f>IF(L$6="",0,SUMIFS('Budget ed extra'!$G$7:$G$42,'Budget ed extra'!$J$7:$J$42,$A341,'Budget ed extra'!$H$7:$H$42,L$6))</f>
        <v>0</v>
      </c>
      <c r="AD341">
        <f>IF(M$6="",0,SUMIFS('Budget ed extra'!$G$7:$G$42,'Budget ed extra'!$J$7:$J$42,$A341,'Budget ed extra'!$H$7:$H$42,M$6))</f>
        <v>0</v>
      </c>
      <c r="AE341">
        <f>IF(N$6="",0,SUMIFS('Budget ed extra'!$G$7:$G$42,'Budget ed extra'!$J$7:$J$42,$A341,'Budget ed extra'!$H$7:$H$42,N$6))</f>
        <v>0</v>
      </c>
    </row>
    <row r="342">
      <c r="A342" t="n">
        <v>312</v>
      </c>
      <c r="B342">
        <f>DATE($B$2,$B$3+A342-1,1)</f>
        <v>55793.0</v>
      </c>
      <c r="C342">
        <f>IF(D342=0,N(Impostazioni!$B$6),SUMIFS('Budget ed extra'!$B$7:$B$18,'Budget ed extra'!$D$7:$D$18,D342)/COUNTIFS('Budget ed extra'!$D$7:$D$18,D342))</f>
        <v>900</v>
      </c>
      <c r="D342">
        <f>SUMPRODUCT(MAX(('Budget ed extra'!$D$7:$D$18&lt;=A342)*'Budget ed extra'!$D$7:$D$18))</f>
        <v>9</v>
      </c>
      <c r="E342">
        <f>SUMIFS('Budget ed extra'!$G$7:$G$42,'Budget ed extra'!$J$7:$J$42,A342)</f>
        <v>0</v>
      </c>
      <c r="F342">
        <f>SUM(T342:AE342)</f>
        <v>0</v>
      </c>
      <c r="G342">
        <f>MAX(0,E342-F342)</f>
        <v>0</v>
      </c>
      <c r="H342">
        <f>IF($A342&gt;=C$10,C$11,C$9)/12</f>
        <v>0.01575</v>
      </c>
      <c r="I342">
        <f>IF($A342&gt;=D$10,D$11,D$9)/12</f>
        <v>0.01825</v>
      </c>
      <c r="J342">
        <f>IF($A342&gt;=E$10,E$11,E$9)/12</f>
        <v>0.00766666666666667</v>
      </c>
      <c r="K342">
        <f>IF($A342&gt;=F$10,F$11,F$9)/12</f>
        <v>0.00533333333333333</v>
      </c>
      <c r="L342">
        <f>IF($A342&gt;=G$10,G$11,G$9)/12</f>
        <v>0</v>
      </c>
      <c r="M342">
        <f>IF($A342&gt;=H$10,H$11,H$9)/12</f>
        <v>0</v>
      </c>
      <c r="N342">
        <f>IF($A342&gt;=I$10,I$11,I$9)/12</f>
        <v>0</v>
      </c>
      <c r="O342">
        <f>IF($A342&gt;=J$10,J$11,J$9)/12</f>
        <v>0</v>
      </c>
      <c r="P342">
        <f>IF($A342&gt;=K$10,K$11,K$9)/12</f>
        <v>0</v>
      </c>
      <c r="Q342">
        <f>IF($A342&gt;=L$10,L$11,L$9)/12</f>
        <v>0</v>
      </c>
      <c r="R342">
        <f>IF($A342&gt;=M$10,M$11,M$9)/12</f>
        <v>0</v>
      </c>
      <c r="S342">
        <f>IF($A342&gt;=N$10,N$11,N$9)/12</f>
        <v>0</v>
      </c>
      <c r="T342">
        <f>IF(C$6="",0,SUMIFS('Budget ed extra'!$G$7:$G$42,'Budget ed extra'!$J$7:$J$42,$A342,'Budget ed extra'!$H$7:$H$42,C$6))</f>
        <v>0</v>
      </c>
      <c r="U342">
        <f>IF(D$6="",0,SUMIFS('Budget ed extra'!$G$7:$G$42,'Budget ed extra'!$J$7:$J$42,$A342,'Budget ed extra'!$H$7:$H$42,D$6))</f>
        <v>0</v>
      </c>
      <c r="V342">
        <f>IF(E$6="",0,SUMIFS('Budget ed extra'!$G$7:$G$42,'Budget ed extra'!$J$7:$J$42,$A342,'Budget ed extra'!$H$7:$H$42,E$6))</f>
        <v>0</v>
      </c>
      <c r="W342">
        <f>IF(F$6="",0,SUMIFS('Budget ed extra'!$G$7:$G$42,'Budget ed extra'!$J$7:$J$42,$A342,'Budget ed extra'!$H$7:$H$42,F$6))</f>
        <v>0</v>
      </c>
      <c r="X342">
        <f>IF(G$6="",0,SUMIFS('Budget ed extra'!$G$7:$G$42,'Budget ed extra'!$J$7:$J$42,$A342,'Budget ed extra'!$H$7:$H$42,G$6))</f>
        <v>0</v>
      </c>
      <c r="Y342">
        <f>IF(H$6="",0,SUMIFS('Budget ed extra'!$G$7:$G$42,'Budget ed extra'!$J$7:$J$42,$A342,'Budget ed extra'!$H$7:$H$42,H$6))</f>
        <v>0</v>
      </c>
      <c r="Z342">
        <f>IF(I$6="",0,SUMIFS('Budget ed extra'!$G$7:$G$42,'Budget ed extra'!$J$7:$J$42,$A342,'Budget ed extra'!$H$7:$H$42,I$6))</f>
        <v>0</v>
      </c>
      <c r="AA342">
        <f>IF(J$6="",0,SUMIFS('Budget ed extra'!$G$7:$G$42,'Budget ed extra'!$J$7:$J$42,$A342,'Budget ed extra'!$H$7:$H$42,J$6))</f>
        <v>0</v>
      </c>
      <c r="AB342">
        <f>IF(K$6="",0,SUMIFS('Budget ed extra'!$G$7:$G$42,'Budget ed extra'!$J$7:$J$42,$A342,'Budget ed extra'!$H$7:$H$42,K$6))</f>
        <v>0</v>
      </c>
      <c r="AC342">
        <f>IF(L$6="",0,SUMIFS('Budget ed extra'!$G$7:$G$42,'Budget ed extra'!$J$7:$J$42,$A342,'Budget ed extra'!$H$7:$H$42,L$6))</f>
        <v>0</v>
      </c>
      <c r="AD342">
        <f>IF(M$6="",0,SUMIFS('Budget ed extra'!$G$7:$G$42,'Budget ed extra'!$J$7:$J$42,$A342,'Budget ed extra'!$H$7:$H$42,M$6))</f>
        <v>0</v>
      </c>
      <c r="AE342">
        <f>IF(N$6="",0,SUMIFS('Budget ed extra'!$G$7:$G$42,'Budget ed extra'!$J$7:$J$42,$A342,'Budget ed extra'!$H$7:$H$42,N$6))</f>
        <v>0</v>
      </c>
    </row>
    <row r="343">
      <c r="A343" t="n">
        <v>313</v>
      </c>
      <c r="B343">
        <f>DATE($B$2,$B$3+A343-1,1)</f>
        <v>55824.0</v>
      </c>
      <c r="C343">
        <f>IF(D343=0,N(Impostazioni!$B$6),SUMIFS('Budget ed extra'!$B$7:$B$18,'Budget ed extra'!$D$7:$D$18,D343)/COUNTIFS('Budget ed extra'!$D$7:$D$18,D343))</f>
        <v>900</v>
      </c>
      <c r="D343">
        <f>SUMPRODUCT(MAX(('Budget ed extra'!$D$7:$D$18&lt;=A343)*'Budget ed extra'!$D$7:$D$18))</f>
        <v>9</v>
      </c>
      <c r="E343">
        <f>SUMIFS('Budget ed extra'!$G$7:$G$42,'Budget ed extra'!$J$7:$J$42,A343)</f>
        <v>0</v>
      </c>
      <c r="F343">
        <f>SUM(T343:AE343)</f>
        <v>0</v>
      </c>
      <c r="G343">
        <f>MAX(0,E343-F343)</f>
        <v>0</v>
      </c>
      <c r="H343">
        <f>IF($A343&gt;=C$10,C$11,C$9)/12</f>
        <v>0.01575</v>
      </c>
      <c r="I343">
        <f>IF($A343&gt;=D$10,D$11,D$9)/12</f>
        <v>0.01825</v>
      </c>
      <c r="J343">
        <f>IF($A343&gt;=E$10,E$11,E$9)/12</f>
        <v>0.00766666666666667</v>
      </c>
      <c r="K343">
        <f>IF($A343&gt;=F$10,F$11,F$9)/12</f>
        <v>0.00533333333333333</v>
      </c>
      <c r="L343">
        <f>IF($A343&gt;=G$10,G$11,G$9)/12</f>
        <v>0</v>
      </c>
      <c r="M343">
        <f>IF($A343&gt;=H$10,H$11,H$9)/12</f>
        <v>0</v>
      </c>
      <c r="N343">
        <f>IF($A343&gt;=I$10,I$11,I$9)/12</f>
        <v>0</v>
      </c>
      <c r="O343">
        <f>IF($A343&gt;=J$10,J$11,J$9)/12</f>
        <v>0</v>
      </c>
      <c r="P343">
        <f>IF($A343&gt;=K$10,K$11,K$9)/12</f>
        <v>0</v>
      </c>
      <c r="Q343">
        <f>IF($A343&gt;=L$10,L$11,L$9)/12</f>
        <v>0</v>
      </c>
      <c r="R343">
        <f>IF($A343&gt;=M$10,M$11,M$9)/12</f>
        <v>0</v>
      </c>
      <c r="S343">
        <f>IF($A343&gt;=N$10,N$11,N$9)/12</f>
        <v>0</v>
      </c>
      <c r="T343">
        <f>IF(C$6="",0,SUMIFS('Budget ed extra'!$G$7:$G$42,'Budget ed extra'!$J$7:$J$42,$A343,'Budget ed extra'!$H$7:$H$42,C$6))</f>
        <v>0</v>
      </c>
      <c r="U343">
        <f>IF(D$6="",0,SUMIFS('Budget ed extra'!$G$7:$G$42,'Budget ed extra'!$J$7:$J$42,$A343,'Budget ed extra'!$H$7:$H$42,D$6))</f>
        <v>0</v>
      </c>
      <c r="V343">
        <f>IF(E$6="",0,SUMIFS('Budget ed extra'!$G$7:$G$42,'Budget ed extra'!$J$7:$J$42,$A343,'Budget ed extra'!$H$7:$H$42,E$6))</f>
        <v>0</v>
      </c>
      <c r="W343">
        <f>IF(F$6="",0,SUMIFS('Budget ed extra'!$G$7:$G$42,'Budget ed extra'!$J$7:$J$42,$A343,'Budget ed extra'!$H$7:$H$42,F$6))</f>
        <v>0</v>
      </c>
      <c r="X343">
        <f>IF(G$6="",0,SUMIFS('Budget ed extra'!$G$7:$G$42,'Budget ed extra'!$J$7:$J$42,$A343,'Budget ed extra'!$H$7:$H$42,G$6))</f>
        <v>0</v>
      </c>
      <c r="Y343">
        <f>IF(H$6="",0,SUMIFS('Budget ed extra'!$G$7:$G$42,'Budget ed extra'!$J$7:$J$42,$A343,'Budget ed extra'!$H$7:$H$42,H$6))</f>
        <v>0</v>
      </c>
      <c r="Z343">
        <f>IF(I$6="",0,SUMIFS('Budget ed extra'!$G$7:$G$42,'Budget ed extra'!$J$7:$J$42,$A343,'Budget ed extra'!$H$7:$H$42,I$6))</f>
        <v>0</v>
      </c>
      <c r="AA343">
        <f>IF(J$6="",0,SUMIFS('Budget ed extra'!$G$7:$G$42,'Budget ed extra'!$J$7:$J$42,$A343,'Budget ed extra'!$H$7:$H$42,J$6))</f>
        <v>0</v>
      </c>
      <c r="AB343">
        <f>IF(K$6="",0,SUMIFS('Budget ed extra'!$G$7:$G$42,'Budget ed extra'!$J$7:$J$42,$A343,'Budget ed extra'!$H$7:$H$42,K$6))</f>
        <v>0</v>
      </c>
      <c r="AC343">
        <f>IF(L$6="",0,SUMIFS('Budget ed extra'!$G$7:$G$42,'Budget ed extra'!$J$7:$J$42,$A343,'Budget ed extra'!$H$7:$H$42,L$6))</f>
        <v>0</v>
      </c>
      <c r="AD343">
        <f>IF(M$6="",0,SUMIFS('Budget ed extra'!$G$7:$G$42,'Budget ed extra'!$J$7:$J$42,$A343,'Budget ed extra'!$H$7:$H$42,M$6))</f>
        <v>0</v>
      </c>
      <c r="AE343">
        <f>IF(N$6="",0,SUMIFS('Budget ed extra'!$G$7:$G$42,'Budget ed extra'!$J$7:$J$42,$A343,'Budget ed extra'!$H$7:$H$42,N$6))</f>
        <v>0</v>
      </c>
    </row>
    <row r="344">
      <c r="A344" t="n">
        <v>314</v>
      </c>
      <c r="B344">
        <f>DATE($B$2,$B$3+A344-1,1)</f>
        <v>55854.0</v>
      </c>
      <c r="C344">
        <f>IF(D344=0,N(Impostazioni!$B$6),SUMIFS('Budget ed extra'!$B$7:$B$18,'Budget ed extra'!$D$7:$D$18,D344)/COUNTIFS('Budget ed extra'!$D$7:$D$18,D344))</f>
        <v>900</v>
      </c>
      <c r="D344">
        <f>SUMPRODUCT(MAX(('Budget ed extra'!$D$7:$D$18&lt;=A344)*'Budget ed extra'!$D$7:$D$18))</f>
        <v>9</v>
      </c>
      <c r="E344">
        <f>SUMIFS('Budget ed extra'!$G$7:$G$42,'Budget ed extra'!$J$7:$J$42,A344)</f>
        <v>0</v>
      </c>
      <c r="F344">
        <f>SUM(T344:AE344)</f>
        <v>0</v>
      </c>
      <c r="G344">
        <f>MAX(0,E344-F344)</f>
        <v>0</v>
      </c>
      <c r="H344">
        <f>IF($A344&gt;=C$10,C$11,C$9)/12</f>
        <v>0.01575</v>
      </c>
      <c r="I344">
        <f>IF($A344&gt;=D$10,D$11,D$9)/12</f>
        <v>0.01825</v>
      </c>
      <c r="J344">
        <f>IF($A344&gt;=E$10,E$11,E$9)/12</f>
        <v>0.00766666666666667</v>
      </c>
      <c r="K344">
        <f>IF($A344&gt;=F$10,F$11,F$9)/12</f>
        <v>0.00533333333333333</v>
      </c>
      <c r="L344">
        <f>IF($A344&gt;=G$10,G$11,G$9)/12</f>
        <v>0</v>
      </c>
      <c r="M344">
        <f>IF($A344&gt;=H$10,H$11,H$9)/12</f>
        <v>0</v>
      </c>
      <c r="N344">
        <f>IF($A344&gt;=I$10,I$11,I$9)/12</f>
        <v>0</v>
      </c>
      <c r="O344">
        <f>IF($A344&gt;=J$10,J$11,J$9)/12</f>
        <v>0</v>
      </c>
      <c r="P344">
        <f>IF($A344&gt;=K$10,K$11,K$9)/12</f>
        <v>0</v>
      </c>
      <c r="Q344">
        <f>IF($A344&gt;=L$10,L$11,L$9)/12</f>
        <v>0</v>
      </c>
      <c r="R344">
        <f>IF($A344&gt;=M$10,M$11,M$9)/12</f>
        <v>0</v>
      </c>
      <c r="S344">
        <f>IF($A344&gt;=N$10,N$11,N$9)/12</f>
        <v>0</v>
      </c>
      <c r="T344">
        <f>IF(C$6="",0,SUMIFS('Budget ed extra'!$G$7:$G$42,'Budget ed extra'!$J$7:$J$42,$A344,'Budget ed extra'!$H$7:$H$42,C$6))</f>
        <v>0</v>
      </c>
      <c r="U344">
        <f>IF(D$6="",0,SUMIFS('Budget ed extra'!$G$7:$G$42,'Budget ed extra'!$J$7:$J$42,$A344,'Budget ed extra'!$H$7:$H$42,D$6))</f>
        <v>0</v>
      </c>
      <c r="V344">
        <f>IF(E$6="",0,SUMIFS('Budget ed extra'!$G$7:$G$42,'Budget ed extra'!$J$7:$J$42,$A344,'Budget ed extra'!$H$7:$H$42,E$6))</f>
        <v>0</v>
      </c>
      <c r="W344">
        <f>IF(F$6="",0,SUMIFS('Budget ed extra'!$G$7:$G$42,'Budget ed extra'!$J$7:$J$42,$A344,'Budget ed extra'!$H$7:$H$42,F$6))</f>
        <v>0</v>
      </c>
      <c r="X344">
        <f>IF(G$6="",0,SUMIFS('Budget ed extra'!$G$7:$G$42,'Budget ed extra'!$J$7:$J$42,$A344,'Budget ed extra'!$H$7:$H$42,G$6))</f>
        <v>0</v>
      </c>
      <c r="Y344">
        <f>IF(H$6="",0,SUMIFS('Budget ed extra'!$G$7:$G$42,'Budget ed extra'!$J$7:$J$42,$A344,'Budget ed extra'!$H$7:$H$42,H$6))</f>
        <v>0</v>
      </c>
      <c r="Z344">
        <f>IF(I$6="",0,SUMIFS('Budget ed extra'!$G$7:$G$42,'Budget ed extra'!$J$7:$J$42,$A344,'Budget ed extra'!$H$7:$H$42,I$6))</f>
        <v>0</v>
      </c>
      <c r="AA344">
        <f>IF(J$6="",0,SUMIFS('Budget ed extra'!$G$7:$G$42,'Budget ed extra'!$J$7:$J$42,$A344,'Budget ed extra'!$H$7:$H$42,J$6))</f>
        <v>0</v>
      </c>
      <c r="AB344">
        <f>IF(K$6="",0,SUMIFS('Budget ed extra'!$G$7:$G$42,'Budget ed extra'!$J$7:$J$42,$A344,'Budget ed extra'!$H$7:$H$42,K$6))</f>
        <v>0</v>
      </c>
      <c r="AC344">
        <f>IF(L$6="",0,SUMIFS('Budget ed extra'!$G$7:$G$42,'Budget ed extra'!$J$7:$J$42,$A344,'Budget ed extra'!$H$7:$H$42,L$6))</f>
        <v>0</v>
      </c>
      <c r="AD344">
        <f>IF(M$6="",0,SUMIFS('Budget ed extra'!$G$7:$G$42,'Budget ed extra'!$J$7:$J$42,$A344,'Budget ed extra'!$H$7:$H$42,M$6))</f>
        <v>0</v>
      </c>
      <c r="AE344">
        <f>IF(N$6="",0,SUMIFS('Budget ed extra'!$G$7:$G$42,'Budget ed extra'!$J$7:$J$42,$A344,'Budget ed extra'!$H$7:$H$42,N$6))</f>
        <v>0</v>
      </c>
    </row>
    <row r="345">
      <c r="A345" t="n">
        <v>315</v>
      </c>
      <c r="B345">
        <f>DATE($B$2,$B$3+A345-1,1)</f>
        <v>55885.0</v>
      </c>
      <c r="C345">
        <f>IF(D345=0,N(Impostazioni!$B$6),SUMIFS('Budget ed extra'!$B$7:$B$18,'Budget ed extra'!$D$7:$D$18,D345)/COUNTIFS('Budget ed extra'!$D$7:$D$18,D345))</f>
        <v>900</v>
      </c>
      <c r="D345">
        <f>SUMPRODUCT(MAX(('Budget ed extra'!$D$7:$D$18&lt;=A345)*'Budget ed extra'!$D$7:$D$18))</f>
        <v>9</v>
      </c>
      <c r="E345">
        <f>SUMIFS('Budget ed extra'!$G$7:$G$42,'Budget ed extra'!$J$7:$J$42,A345)</f>
        <v>0</v>
      </c>
      <c r="F345">
        <f>SUM(T345:AE345)</f>
        <v>0</v>
      </c>
      <c r="G345">
        <f>MAX(0,E345-F345)</f>
        <v>0</v>
      </c>
      <c r="H345">
        <f>IF($A345&gt;=C$10,C$11,C$9)/12</f>
        <v>0.01575</v>
      </c>
      <c r="I345">
        <f>IF($A345&gt;=D$10,D$11,D$9)/12</f>
        <v>0.01825</v>
      </c>
      <c r="J345">
        <f>IF($A345&gt;=E$10,E$11,E$9)/12</f>
        <v>0.00766666666666667</v>
      </c>
      <c r="K345">
        <f>IF($A345&gt;=F$10,F$11,F$9)/12</f>
        <v>0.00533333333333333</v>
      </c>
      <c r="L345">
        <f>IF($A345&gt;=G$10,G$11,G$9)/12</f>
        <v>0</v>
      </c>
      <c r="M345">
        <f>IF($A345&gt;=H$10,H$11,H$9)/12</f>
        <v>0</v>
      </c>
      <c r="N345">
        <f>IF($A345&gt;=I$10,I$11,I$9)/12</f>
        <v>0</v>
      </c>
      <c r="O345">
        <f>IF($A345&gt;=J$10,J$11,J$9)/12</f>
        <v>0</v>
      </c>
      <c r="P345">
        <f>IF($A345&gt;=K$10,K$11,K$9)/12</f>
        <v>0</v>
      </c>
      <c r="Q345">
        <f>IF($A345&gt;=L$10,L$11,L$9)/12</f>
        <v>0</v>
      </c>
      <c r="R345">
        <f>IF($A345&gt;=M$10,M$11,M$9)/12</f>
        <v>0</v>
      </c>
      <c r="S345">
        <f>IF($A345&gt;=N$10,N$11,N$9)/12</f>
        <v>0</v>
      </c>
      <c r="T345">
        <f>IF(C$6="",0,SUMIFS('Budget ed extra'!$G$7:$G$42,'Budget ed extra'!$J$7:$J$42,$A345,'Budget ed extra'!$H$7:$H$42,C$6))</f>
        <v>0</v>
      </c>
      <c r="U345">
        <f>IF(D$6="",0,SUMIFS('Budget ed extra'!$G$7:$G$42,'Budget ed extra'!$J$7:$J$42,$A345,'Budget ed extra'!$H$7:$H$42,D$6))</f>
        <v>0</v>
      </c>
      <c r="V345">
        <f>IF(E$6="",0,SUMIFS('Budget ed extra'!$G$7:$G$42,'Budget ed extra'!$J$7:$J$42,$A345,'Budget ed extra'!$H$7:$H$42,E$6))</f>
        <v>0</v>
      </c>
      <c r="W345">
        <f>IF(F$6="",0,SUMIFS('Budget ed extra'!$G$7:$G$42,'Budget ed extra'!$J$7:$J$42,$A345,'Budget ed extra'!$H$7:$H$42,F$6))</f>
        <v>0</v>
      </c>
      <c r="X345">
        <f>IF(G$6="",0,SUMIFS('Budget ed extra'!$G$7:$G$42,'Budget ed extra'!$J$7:$J$42,$A345,'Budget ed extra'!$H$7:$H$42,G$6))</f>
        <v>0</v>
      </c>
      <c r="Y345">
        <f>IF(H$6="",0,SUMIFS('Budget ed extra'!$G$7:$G$42,'Budget ed extra'!$J$7:$J$42,$A345,'Budget ed extra'!$H$7:$H$42,H$6))</f>
        <v>0</v>
      </c>
      <c r="Z345">
        <f>IF(I$6="",0,SUMIFS('Budget ed extra'!$G$7:$G$42,'Budget ed extra'!$J$7:$J$42,$A345,'Budget ed extra'!$H$7:$H$42,I$6))</f>
        <v>0</v>
      </c>
      <c r="AA345">
        <f>IF(J$6="",0,SUMIFS('Budget ed extra'!$G$7:$G$42,'Budget ed extra'!$J$7:$J$42,$A345,'Budget ed extra'!$H$7:$H$42,J$6))</f>
        <v>0</v>
      </c>
      <c r="AB345">
        <f>IF(K$6="",0,SUMIFS('Budget ed extra'!$G$7:$G$42,'Budget ed extra'!$J$7:$J$42,$A345,'Budget ed extra'!$H$7:$H$42,K$6))</f>
        <v>0</v>
      </c>
      <c r="AC345">
        <f>IF(L$6="",0,SUMIFS('Budget ed extra'!$G$7:$G$42,'Budget ed extra'!$J$7:$J$42,$A345,'Budget ed extra'!$H$7:$H$42,L$6))</f>
        <v>0</v>
      </c>
      <c r="AD345">
        <f>IF(M$6="",0,SUMIFS('Budget ed extra'!$G$7:$G$42,'Budget ed extra'!$J$7:$J$42,$A345,'Budget ed extra'!$H$7:$H$42,M$6))</f>
        <v>0</v>
      </c>
      <c r="AE345">
        <f>IF(N$6="",0,SUMIFS('Budget ed extra'!$G$7:$G$42,'Budget ed extra'!$J$7:$J$42,$A345,'Budget ed extra'!$H$7:$H$42,N$6))</f>
        <v>0</v>
      </c>
    </row>
    <row r="346">
      <c r="A346" t="n">
        <v>316</v>
      </c>
      <c r="B346">
        <f>DATE($B$2,$B$3+A346-1,1)</f>
        <v>55916.0</v>
      </c>
      <c r="C346">
        <f>IF(D346=0,N(Impostazioni!$B$6),SUMIFS('Budget ed extra'!$B$7:$B$18,'Budget ed extra'!$D$7:$D$18,D346)/COUNTIFS('Budget ed extra'!$D$7:$D$18,D346))</f>
        <v>900</v>
      </c>
      <c r="D346">
        <f>SUMPRODUCT(MAX(('Budget ed extra'!$D$7:$D$18&lt;=A346)*'Budget ed extra'!$D$7:$D$18))</f>
        <v>9</v>
      </c>
      <c r="E346">
        <f>SUMIFS('Budget ed extra'!$G$7:$G$42,'Budget ed extra'!$J$7:$J$42,A346)</f>
        <v>0</v>
      </c>
      <c r="F346">
        <f>SUM(T346:AE346)</f>
        <v>0</v>
      </c>
      <c r="G346">
        <f>MAX(0,E346-F346)</f>
        <v>0</v>
      </c>
      <c r="H346">
        <f>IF($A346&gt;=C$10,C$11,C$9)/12</f>
        <v>0.01575</v>
      </c>
      <c r="I346">
        <f>IF($A346&gt;=D$10,D$11,D$9)/12</f>
        <v>0.01825</v>
      </c>
      <c r="J346">
        <f>IF($A346&gt;=E$10,E$11,E$9)/12</f>
        <v>0.00766666666666667</v>
      </c>
      <c r="K346">
        <f>IF($A346&gt;=F$10,F$11,F$9)/12</f>
        <v>0.00533333333333333</v>
      </c>
      <c r="L346">
        <f>IF($A346&gt;=G$10,G$11,G$9)/12</f>
        <v>0</v>
      </c>
      <c r="M346">
        <f>IF($A346&gt;=H$10,H$11,H$9)/12</f>
        <v>0</v>
      </c>
      <c r="N346">
        <f>IF($A346&gt;=I$10,I$11,I$9)/12</f>
        <v>0</v>
      </c>
      <c r="O346">
        <f>IF($A346&gt;=J$10,J$11,J$9)/12</f>
        <v>0</v>
      </c>
      <c r="P346">
        <f>IF($A346&gt;=K$10,K$11,K$9)/12</f>
        <v>0</v>
      </c>
      <c r="Q346">
        <f>IF($A346&gt;=L$10,L$11,L$9)/12</f>
        <v>0</v>
      </c>
      <c r="R346">
        <f>IF($A346&gt;=M$10,M$11,M$9)/12</f>
        <v>0</v>
      </c>
      <c r="S346">
        <f>IF($A346&gt;=N$10,N$11,N$9)/12</f>
        <v>0</v>
      </c>
      <c r="T346">
        <f>IF(C$6="",0,SUMIFS('Budget ed extra'!$G$7:$G$42,'Budget ed extra'!$J$7:$J$42,$A346,'Budget ed extra'!$H$7:$H$42,C$6))</f>
        <v>0</v>
      </c>
      <c r="U346">
        <f>IF(D$6="",0,SUMIFS('Budget ed extra'!$G$7:$G$42,'Budget ed extra'!$J$7:$J$42,$A346,'Budget ed extra'!$H$7:$H$42,D$6))</f>
        <v>0</v>
      </c>
      <c r="V346">
        <f>IF(E$6="",0,SUMIFS('Budget ed extra'!$G$7:$G$42,'Budget ed extra'!$J$7:$J$42,$A346,'Budget ed extra'!$H$7:$H$42,E$6))</f>
        <v>0</v>
      </c>
      <c r="W346">
        <f>IF(F$6="",0,SUMIFS('Budget ed extra'!$G$7:$G$42,'Budget ed extra'!$J$7:$J$42,$A346,'Budget ed extra'!$H$7:$H$42,F$6))</f>
        <v>0</v>
      </c>
      <c r="X346">
        <f>IF(G$6="",0,SUMIFS('Budget ed extra'!$G$7:$G$42,'Budget ed extra'!$J$7:$J$42,$A346,'Budget ed extra'!$H$7:$H$42,G$6))</f>
        <v>0</v>
      </c>
      <c r="Y346">
        <f>IF(H$6="",0,SUMIFS('Budget ed extra'!$G$7:$G$42,'Budget ed extra'!$J$7:$J$42,$A346,'Budget ed extra'!$H$7:$H$42,H$6))</f>
        <v>0</v>
      </c>
      <c r="Z346">
        <f>IF(I$6="",0,SUMIFS('Budget ed extra'!$G$7:$G$42,'Budget ed extra'!$J$7:$J$42,$A346,'Budget ed extra'!$H$7:$H$42,I$6))</f>
        <v>0</v>
      </c>
      <c r="AA346">
        <f>IF(J$6="",0,SUMIFS('Budget ed extra'!$G$7:$G$42,'Budget ed extra'!$J$7:$J$42,$A346,'Budget ed extra'!$H$7:$H$42,J$6))</f>
        <v>0</v>
      </c>
      <c r="AB346">
        <f>IF(K$6="",0,SUMIFS('Budget ed extra'!$G$7:$G$42,'Budget ed extra'!$J$7:$J$42,$A346,'Budget ed extra'!$H$7:$H$42,K$6))</f>
        <v>0</v>
      </c>
      <c r="AC346">
        <f>IF(L$6="",0,SUMIFS('Budget ed extra'!$G$7:$G$42,'Budget ed extra'!$J$7:$J$42,$A346,'Budget ed extra'!$H$7:$H$42,L$6))</f>
        <v>0</v>
      </c>
      <c r="AD346">
        <f>IF(M$6="",0,SUMIFS('Budget ed extra'!$G$7:$G$42,'Budget ed extra'!$J$7:$J$42,$A346,'Budget ed extra'!$H$7:$H$42,M$6))</f>
        <v>0</v>
      </c>
      <c r="AE346">
        <f>IF(N$6="",0,SUMIFS('Budget ed extra'!$G$7:$G$42,'Budget ed extra'!$J$7:$J$42,$A346,'Budget ed extra'!$H$7:$H$42,N$6))</f>
        <v>0</v>
      </c>
    </row>
    <row r="347">
      <c r="A347" t="n">
        <v>317</v>
      </c>
      <c r="B347">
        <f>DATE($B$2,$B$3+A347-1,1)</f>
        <v>55944.0</v>
      </c>
      <c r="C347">
        <f>IF(D347=0,N(Impostazioni!$B$6),SUMIFS('Budget ed extra'!$B$7:$B$18,'Budget ed extra'!$D$7:$D$18,D347)/COUNTIFS('Budget ed extra'!$D$7:$D$18,D347))</f>
        <v>900</v>
      </c>
      <c r="D347">
        <f>SUMPRODUCT(MAX(('Budget ed extra'!$D$7:$D$18&lt;=A347)*'Budget ed extra'!$D$7:$D$18))</f>
        <v>9</v>
      </c>
      <c r="E347">
        <f>SUMIFS('Budget ed extra'!$G$7:$G$42,'Budget ed extra'!$J$7:$J$42,A347)</f>
        <v>0</v>
      </c>
      <c r="F347">
        <f>SUM(T347:AE347)</f>
        <v>0</v>
      </c>
      <c r="G347">
        <f>MAX(0,E347-F347)</f>
        <v>0</v>
      </c>
      <c r="H347">
        <f>IF($A347&gt;=C$10,C$11,C$9)/12</f>
        <v>0.01575</v>
      </c>
      <c r="I347">
        <f>IF($A347&gt;=D$10,D$11,D$9)/12</f>
        <v>0.01825</v>
      </c>
      <c r="J347">
        <f>IF($A347&gt;=E$10,E$11,E$9)/12</f>
        <v>0.00766666666666667</v>
      </c>
      <c r="K347">
        <f>IF($A347&gt;=F$10,F$11,F$9)/12</f>
        <v>0.00533333333333333</v>
      </c>
      <c r="L347">
        <f>IF($A347&gt;=G$10,G$11,G$9)/12</f>
        <v>0</v>
      </c>
      <c r="M347">
        <f>IF($A347&gt;=H$10,H$11,H$9)/12</f>
        <v>0</v>
      </c>
      <c r="N347">
        <f>IF($A347&gt;=I$10,I$11,I$9)/12</f>
        <v>0</v>
      </c>
      <c r="O347">
        <f>IF($A347&gt;=J$10,J$11,J$9)/12</f>
        <v>0</v>
      </c>
      <c r="P347">
        <f>IF($A347&gt;=K$10,K$11,K$9)/12</f>
        <v>0</v>
      </c>
      <c r="Q347">
        <f>IF($A347&gt;=L$10,L$11,L$9)/12</f>
        <v>0</v>
      </c>
      <c r="R347">
        <f>IF($A347&gt;=M$10,M$11,M$9)/12</f>
        <v>0</v>
      </c>
      <c r="S347">
        <f>IF($A347&gt;=N$10,N$11,N$9)/12</f>
        <v>0</v>
      </c>
      <c r="T347">
        <f>IF(C$6="",0,SUMIFS('Budget ed extra'!$G$7:$G$42,'Budget ed extra'!$J$7:$J$42,$A347,'Budget ed extra'!$H$7:$H$42,C$6))</f>
        <v>0</v>
      </c>
      <c r="U347">
        <f>IF(D$6="",0,SUMIFS('Budget ed extra'!$G$7:$G$42,'Budget ed extra'!$J$7:$J$42,$A347,'Budget ed extra'!$H$7:$H$42,D$6))</f>
        <v>0</v>
      </c>
      <c r="V347">
        <f>IF(E$6="",0,SUMIFS('Budget ed extra'!$G$7:$G$42,'Budget ed extra'!$J$7:$J$42,$A347,'Budget ed extra'!$H$7:$H$42,E$6))</f>
        <v>0</v>
      </c>
      <c r="W347">
        <f>IF(F$6="",0,SUMIFS('Budget ed extra'!$G$7:$G$42,'Budget ed extra'!$J$7:$J$42,$A347,'Budget ed extra'!$H$7:$H$42,F$6))</f>
        <v>0</v>
      </c>
      <c r="X347">
        <f>IF(G$6="",0,SUMIFS('Budget ed extra'!$G$7:$G$42,'Budget ed extra'!$J$7:$J$42,$A347,'Budget ed extra'!$H$7:$H$42,G$6))</f>
        <v>0</v>
      </c>
      <c r="Y347">
        <f>IF(H$6="",0,SUMIFS('Budget ed extra'!$G$7:$G$42,'Budget ed extra'!$J$7:$J$42,$A347,'Budget ed extra'!$H$7:$H$42,H$6))</f>
        <v>0</v>
      </c>
      <c r="Z347">
        <f>IF(I$6="",0,SUMIFS('Budget ed extra'!$G$7:$G$42,'Budget ed extra'!$J$7:$J$42,$A347,'Budget ed extra'!$H$7:$H$42,I$6))</f>
        <v>0</v>
      </c>
      <c r="AA347">
        <f>IF(J$6="",0,SUMIFS('Budget ed extra'!$G$7:$G$42,'Budget ed extra'!$J$7:$J$42,$A347,'Budget ed extra'!$H$7:$H$42,J$6))</f>
        <v>0</v>
      </c>
      <c r="AB347">
        <f>IF(K$6="",0,SUMIFS('Budget ed extra'!$G$7:$G$42,'Budget ed extra'!$J$7:$J$42,$A347,'Budget ed extra'!$H$7:$H$42,K$6))</f>
        <v>0</v>
      </c>
      <c r="AC347">
        <f>IF(L$6="",0,SUMIFS('Budget ed extra'!$G$7:$G$42,'Budget ed extra'!$J$7:$J$42,$A347,'Budget ed extra'!$H$7:$H$42,L$6))</f>
        <v>0</v>
      </c>
      <c r="AD347">
        <f>IF(M$6="",0,SUMIFS('Budget ed extra'!$G$7:$G$42,'Budget ed extra'!$J$7:$J$42,$A347,'Budget ed extra'!$H$7:$H$42,M$6))</f>
        <v>0</v>
      </c>
      <c r="AE347">
        <f>IF(N$6="",0,SUMIFS('Budget ed extra'!$G$7:$G$42,'Budget ed extra'!$J$7:$J$42,$A347,'Budget ed extra'!$H$7:$H$42,N$6))</f>
        <v>0</v>
      </c>
    </row>
    <row r="348">
      <c r="A348" t="n">
        <v>318</v>
      </c>
      <c r="B348">
        <f>DATE($B$2,$B$3+A348-1,1)</f>
        <v>55975.0</v>
      </c>
      <c r="C348">
        <f>IF(D348=0,N(Impostazioni!$B$6),SUMIFS('Budget ed extra'!$B$7:$B$18,'Budget ed extra'!$D$7:$D$18,D348)/COUNTIFS('Budget ed extra'!$D$7:$D$18,D348))</f>
        <v>900</v>
      </c>
      <c r="D348">
        <f>SUMPRODUCT(MAX(('Budget ed extra'!$D$7:$D$18&lt;=A348)*'Budget ed extra'!$D$7:$D$18))</f>
        <v>9</v>
      </c>
      <c r="E348">
        <f>SUMIFS('Budget ed extra'!$G$7:$G$42,'Budget ed extra'!$J$7:$J$42,A348)</f>
        <v>0</v>
      </c>
      <c r="F348">
        <f>SUM(T348:AE348)</f>
        <v>0</v>
      </c>
      <c r="G348">
        <f>MAX(0,E348-F348)</f>
        <v>0</v>
      </c>
      <c r="H348">
        <f>IF($A348&gt;=C$10,C$11,C$9)/12</f>
        <v>0.01575</v>
      </c>
      <c r="I348">
        <f>IF($A348&gt;=D$10,D$11,D$9)/12</f>
        <v>0.01825</v>
      </c>
      <c r="J348">
        <f>IF($A348&gt;=E$10,E$11,E$9)/12</f>
        <v>0.00766666666666667</v>
      </c>
      <c r="K348">
        <f>IF($A348&gt;=F$10,F$11,F$9)/12</f>
        <v>0.00533333333333333</v>
      </c>
      <c r="L348">
        <f>IF($A348&gt;=G$10,G$11,G$9)/12</f>
        <v>0</v>
      </c>
      <c r="M348">
        <f>IF($A348&gt;=H$10,H$11,H$9)/12</f>
        <v>0</v>
      </c>
      <c r="N348">
        <f>IF($A348&gt;=I$10,I$11,I$9)/12</f>
        <v>0</v>
      </c>
      <c r="O348">
        <f>IF($A348&gt;=J$10,J$11,J$9)/12</f>
        <v>0</v>
      </c>
      <c r="P348">
        <f>IF($A348&gt;=K$10,K$11,K$9)/12</f>
        <v>0</v>
      </c>
      <c r="Q348">
        <f>IF($A348&gt;=L$10,L$11,L$9)/12</f>
        <v>0</v>
      </c>
      <c r="R348">
        <f>IF($A348&gt;=M$10,M$11,M$9)/12</f>
        <v>0</v>
      </c>
      <c r="S348">
        <f>IF($A348&gt;=N$10,N$11,N$9)/12</f>
        <v>0</v>
      </c>
      <c r="T348">
        <f>IF(C$6="",0,SUMIFS('Budget ed extra'!$G$7:$G$42,'Budget ed extra'!$J$7:$J$42,$A348,'Budget ed extra'!$H$7:$H$42,C$6))</f>
        <v>0</v>
      </c>
      <c r="U348">
        <f>IF(D$6="",0,SUMIFS('Budget ed extra'!$G$7:$G$42,'Budget ed extra'!$J$7:$J$42,$A348,'Budget ed extra'!$H$7:$H$42,D$6))</f>
        <v>0</v>
      </c>
      <c r="V348">
        <f>IF(E$6="",0,SUMIFS('Budget ed extra'!$G$7:$G$42,'Budget ed extra'!$J$7:$J$42,$A348,'Budget ed extra'!$H$7:$H$42,E$6))</f>
        <v>0</v>
      </c>
      <c r="W348">
        <f>IF(F$6="",0,SUMIFS('Budget ed extra'!$G$7:$G$42,'Budget ed extra'!$J$7:$J$42,$A348,'Budget ed extra'!$H$7:$H$42,F$6))</f>
        <v>0</v>
      </c>
      <c r="X348">
        <f>IF(G$6="",0,SUMIFS('Budget ed extra'!$G$7:$G$42,'Budget ed extra'!$J$7:$J$42,$A348,'Budget ed extra'!$H$7:$H$42,G$6))</f>
        <v>0</v>
      </c>
      <c r="Y348">
        <f>IF(H$6="",0,SUMIFS('Budget ed extra'!$G$7:$G$42,'Budget ed extra'!$J$7:$J$42,$A348,'Budget ed extra'!$H$7:$H$42,H$6))</f>
        <v>0</v>
      </c>
      <c r="Z348">
        <f>IF(I$6="",0,SUMIFS('Budget ed extra'!$G$7:$G$42,'Budget ed extra'!$J$7:$J$42,$A348,'Budget ed extra'!$H$7:$H$42,I$6))</f>
        <v>0</v>
      </c>
      <c r="AA348">
        <f>IF(J$6="",0,SUMIFS('Budget ed extra'!$G$7:$G$42,'Budget ed extra'!$J$7:$J$42,$A348,'Budget ed extra'!$H$7:$H$42,J$6))</f>
        <v>0</v>
      </c>
      <c r="AB348">
        <f>IF(K$6="",0,SUMIFS('Budget ed extra'!$G$7:$G$42,'Budget ed extra'!$J$7:$J$42,$A348,'Budget ed extra'!$H$7:$H$42,K$6))</f>
        <v>0</v>
      </c>
      <c r="AC348">
        <f>IF(L$6="",0,SUMIFS('Budget ed extra'!$G$7:$G$42,'Budget ed extra'!$J$7:$J$42,$A348,'Budget ed extra'!$H$7:$H$42,L$6))</f>
        <v>0</v>
      </c>
      <c r="AD348">
        <f>IF(M$6="",0,SUMIFS('Budget ed extra'!$G$7:$G$42,'Budget ed extra'!$J$7:$J$42,$A348,'Budget ed extra'!$H$7:$H$42,M$6))</f>
        <v>0</v>
      </c>
      <c r="AE348">
        <f>IF(N$6="",0,SUMIFS('Budget ed extra'!$G$7:$G$42,'Budget ed extra'!$J$7:$J$42,$A348,'Budget ed extra'!$H$7:$H$42,N$6))</f>
        <v>0</v>
      </c>
    </row>
    <row r="349">
      <c r="A349" t="n">
        <v>319</v>
      </c>
      <c r="B349">
        <f>DATE($B$2,$B$3+A349-1,1)</f>
        <v>56005.0</v>
      </c>
      <c r="C349">
        <f>IF(D349=0,N(Impostazioni!$B$6),SUMIFS('Budget ed extra'!$B$7:$B$18,'Budget ed extra'!$D$7:$D$18,D349)/COUNTIFS('Budget ed extra'!$D$7:$D$18,D349))</f>
        <v>900</v>
      </c>
      <c r="D349">
        <f>SUMPRODUCT(MAX(('Budget ed extra'!$D$7:$D$18&lt;=A349)*'Budget ed extra'!$D$7:$D$18))</f>
        <v>9</v>
      </c>
      <c r="E349">
        <f>SUMIFS('Budget ed extra'!$G$7:$G$42,'Budget ed extra'!$J$7:$J$42,A349)</f>
        <v>0</v>
      </c>
      <c r="F349">
        <f>SUM(T349:AE349)</f>
        <v>0</v>
      </c>
      <c r="G349">
        <f>MAX(0,E349-F349)</f>
        <v>0</v>
      </c>
      <c r="H349">
        <f>IF($A349&gt;=C$10,C$11,C$9)/12</f>
        <v>0.01575</v>
      </c>
      <c r="I349">
        <f>IF($A349&gt;=D$10,D$11,D$9)/12</f>
        <v>0.01825</v>
      </c>
      <c r="J349">
        <f>IF($A349&gt;=E$10,E$11,E$9)/12</f>
        <v>0.00766666666666667</v>
      </c>
      <c r="K349">
        <f>IF($A349&gt;=F$10,F$11,F$9)/12</f>
        <v>0.00533333333333333</v>
      </c>
      <c r="L349">
        <f>IF($A349&gt;=G$10,G$11,G$9)/12</f>
        <v>0</v>
      </c>
      <c r="M349">
        <f>IF($A349&gt;=H$10,H$11,H$9)/12</f>
        <v>0</v>
      </c>
      <c r="N349">
        <f>IF($A349&gt;=I$10,I$11,I$9)/12</f>
        <v>0</v>
      </c>
      <c r="O349">
        <f>IF($A349&gt;=J$10,J$11,J$9)/12</f>
        <v>0</v>
      </c>
      <c r="P349">
        <f>IF($A349&gt;=K$10,K$11,K$9)/12</f>
        <v>0</v>
      </c>
      <c r="Q349">
        <f>IF($A349&gt;=L$10,L$11,L$9)/12</f>
        <v>0</v>
      </c>
      <c r="R349">
        <f>IF($A349&gt;=M$10,M$11,M$9)/12</f>
        <v>0</v>
      </c>
      <c r="S349">
        <f>IF($A349&gt;=N$10,N$11,N$9)/12</f>
        <v>0</v>
      </c>
      <c r="T349">
        <f>IF(C$6="",0,SUMIFS('Budget ed extra'!$G$7:$G$42,'Budget ed extra'!$J$7:$J$42,$A349,'Budget ed extra'!$H$7:$H$42,C$6))</f>
        <v>0</v>
      </c>
      <c r="U349">
        <f>IF(D$6="",0,SUMIFS('Budget ed extra'!$G$7:$G$42,'Budget ed extra'!$J$7:$J$42,$A349,'Budget ed extra'!$H$7:$H$42,D$6))</f>
        <v>0</v>
      </c>
      <c r="V349">
        <f>IF(E$6="",0,SUMIFS('Budget ed extra'!$G$7:$G$42,'Budget ed extra'!$J$7:$J$42,$A349,'Budget ed extra'!$H$7:$H$42,E$6))</f>
        <v>0</v>
      </c>
      <c r="W349">
        <f>IF(F$6="",0,SUMIFS('Budget ed extra'!$G$7:$G$42,'Budget ed extra'!$J$7:$J$42,$A349,'Budget ed extra'!$H$7:$H$42,F$6))</f>
        <v>0</v>
      </c>
      <c r="X349">
        <f>IF(G$6="",0,SUMIFS('Budget ed extra'!$G$7:$G$42,'Budget ed extra'!$J$7:$J$42,$A349,'Budget ed extra'!$H$7:$H$42,G$6))</f>
        <v>0</v>
      </c>
      <c r="Y349">
        <f>IF(H$6="",0,SUMIFS('Budget ed extra'!$G$7:$G$42,'Budget ed extra'!$J$7:$J$42,$A349,'Budget ed extra'!$H$7:$H$42,H$6))</f>
        <v>0</v>
      </c>
      <c r="Z349">
        <f>IF(I$6="",0,SUMIFS('Budget ed extra'!$G$7:$G$42,'Budget ed extra'!$J$7:$J$42,$A349,'Budget ed extra'!$H$7:$H$42,I$6))</f>
        <v>0</v>
      </c>
      <c r="AA349">
        <f>IF(J$6="",0,SUMIFS('Budget ed extra'!$G$7:$G$42,'Budget ed extra'!$J$7:$J$42,$A349,'Budget ed extra'!$H$7:$H$42,J$6))</f>
        <v>0</v>
      </c>
      <c r="AB349">
        <f>IF(K$6="",0,SUMIFS('Budget ed extra'!$G$7:$G$42,'Budget ed extra'!$J$7:$J$42,$A349,'Budget ed extra'!$H$7:$H$42,K$6))</f>
        <v>0</v>
      </c>
      <c r="AC349">
        <f>IF(L$6="",0,SUMIFS('Budget ed extra'!$G$7:$G$42,'Budget ed extra'!$J$7:$J$42,$A349,'Budget ed extra'!$H$7:$H$42,L$6))</f>
        <v>0</v>
      </c>
      <c r="AD349">
        <f>IF(M$6="",0,SUMIFS('Budget ed extra'!$G$7:$G$42,'Budget ed extra'!$J$7:$J$42,$A349,'Budget ed extra'!$H$7:$H$42,M$6))</f>
        <v>0</v>
      </c>
      <c r="AE349">
        <f>IF(N$6="",0,SUMIFS('Budget ed extra'!$G$7:$G$42,'Budget ed extra'!$J$7:$J$42,$A349,'Budget ed extra'!$H$7:$H$42,N$6))</f>
        <v>0</v>
      </c>
    </row>
    <row r="350">
      <c r="A350" t="n">
        <v>320</v>
      </c>
      <c r="B350">
        <f>DATE($B$2,$B$3+A350-1,1)</f>
        <v>56036.0</v>
      </c>
      <c r="C350">
        <f>IF(D350=0,N(Impostazioni!$B$6),SUMIFS('Budget ed extra'!$B$7:$B$18,'Budget ed extra'!$D$7:$D$18,D350)/COUNTIFS('Budget ed extra'!$D$7:$D$18,D350))</f>
        <v>900</v>
      </c>
      <c r="D350">
        <f>SUMPRODUCT(MAX(('Budget ed extra'!$D$7:$D$18&lt;=A350)*'Budget ed extra'!$D$7:$D$18))</f>
        <v>9</v>
      </c>
      <c r="E350">
        <f>SUMIFS('Budget ed extra'!$G$7:$G$42,'Budget ed extra'!$J$7:$J$42,A350)</f>
        <v>0</v>
      </c>
      <c r="F350">
        <f>SUM(T350:AE350)</f>
        <v>0</v>
      </c>
      <c r="G350">
        <f>MAX(0,E350-F350)</f>
        <v>0</v>
      </c>
      <c r="H350">
        <f>IF($A350&gt;=C$10,C$11,C$9)/12</f>
        <v>0.01575</v>
      </c>
      <c r="I350">
        <f>IF($A350&gt;=D$10,D$11,D$9)/12</f>
        <v>0.01825</v>
      </c>
      <c r="J350">
        <f>IF($A350&gt;=E$10,E$11,E$9)/12</f>
        <v>0.00766666666666667</v>
      </c>
      <c r="K350">
        <f>IF($A350&gt;=F$10,F$11,F$9)/12</f>
        <v>0.00533333333333333</v>
      </c>
      <c r="L350">
        <f>IF($A350&gt;=G$10,G$11,G$9)/12</f>
        <v>0</v>
      </c>
      <c r="M350">
        <f>IF($A350&gt;=H$10,H$11,H$9)/12</f>
        <v>0</v>
      </c>
      <c r="N350">
        <f>IF($A350&gt;=I$10,I$11,I$9)/12</f>
        <v>0</v>
      </c>
      <c r="O350">
        <f>IF($A350&gt;=J$10,J$11,J$9)/12</f>
        <v>0</v>
      </c>
      <c r="P350">
        <f>IF($A350&gt;=K$10,K$11,K$9)/12</f>
        <v>0</v>
      </c>
      <c r="Q350">
        <f>IF($A350&gt;=L$10,L$11,L$9)/12</f>
        <v>0</v>
      </c>
      <c r="R350">
        <f>IF($A350&gt;=M$10,M$11,M$9)/12</f>
        <v>0</v>
      </c>
      <c r="S350">
        <f>IF($A350&gt;=N$10,N$11,N$9)/12</f>
        <v>0</v>
      </c>
      <c r="T350">
        <f>IF(C$6="",0,SUMIFS('Budget ed extra'!$G$7:$G$42,'Budget ed extra'!$J$7:$J$42,$A350,'Budget ed extra'!$H$7:$H$42,C$6))</f>
        <v>0</v>
      </c>
      <c r="U350">
        <f>IF(D$6="",0,SUMIFS('Budget ed extra'!$G$7:$G$42,'Budget ed extra'!$J$7:$J$42,$A350,'Budget ed extra'!$H$7:$H$42,D$6))</f>
        <v>0</v>
      </c>
      <c r="V350">
        <f>IF(E$6="",0,SUMIFS('Budget ed extra'!$G$7:$G$42,'Budget ed extra'!$J$7:$J$42,$A350,'Budget ed extra'!$H$7:$H$42,E$6))</f>
        <v>0</v>
      </c>
      <c r="W350">
        <f>IF(F$6="",0,SUMIFS('Budget ed extra'!$G$7:$G$42,'Budget ed extra'!$J$7:$J$42,$A350,'Budget ed extra'!$H$7:$H$42,F$6))</f>
        <v>0</v>
      </c>
      <c r="X350">
        <f>IF(G$6="",0,SUMIFS('Budget ed extra'!$G$7:$G$42,'Budget ed extra'!$J$7:$J$42,$A350,'Budget ed extra'!$H$7:$H$42,G$6))</f>
        <v>0</v>
      </c>
      <c r="Y350">
        <f>IF(H$6="",0,SUMIFS('Budget ed extra'!$G$7:$G$42,'Budget ed extra'!$J$7:$J$42,$A350,'Budget ed extra'!$H$7:$H$42,H$6))</f>
        <v>0</v>
      </c>
      <c r="Z350">
        <f>IF(I$6="",0,SUMIFS('Budget ed extra'!$G$7:$G$42,'Budget ed extra'!$J$7:$J$42,$A350,'Budget ed extra'!$H$7:$H$42,I$6))</f>
        <v>0</v>
      </c>
      <c r="AA350">
        <f>IF(J$6="",0,SUMIFS('Budget ed extra'!$G$7:$G$42,'Budget ed extra'!$J$7:$J$42,$A350,'Budget ed extra'!$H$7:$H$42,J$6))</f>
        <v>0</v>
      </c>
      <c r="AB350">
        <f>IF(K$6="",0,SUMIFS('Budget ed extra'!$G$7:$G$42,'Budget ed extra'!$J$7:$J$42,$A350,'Budget ed extra'!$H$7:$H$42,K$6))</f>
        <v>0</v>
      </c>
      <c r="AC350">
        <f>IF(L$6="",0,SUMIFS('Budget ed extra'!$G$7:$G$42,'Budget ed extra'!$J$7:$J$42,$A350,'Budget ed extra'!$H$7:$H$42,L$6))</f>
        <v>0</v>
      </c>
      <c r="AD350">
        <f>IF(M$6="",0,SUMIFS('Budget ed extra'!$G$7:$G$42,'Budget ed extra'!$J$7:$J$42,$A350,'Budget ed extra'!$H$7:$H$42,M$6))</f>
        <v>0</v>
      </c>
      <c r="AE350">
        <f>IF(N$6="",0,SUMIFS('Budget ed extra'!$G$7:$G$42,'Budget ed extra'!$J$7:$J$42,$A350,'Budget ed extra'!$H$7:$H$42,N$6))</f>
        <v>0</v>
      </c>
    </row>
    <row r="351">
      <c r="A351" t="n">
        <v>321</v>
      </c>
      <c r="B351">
        <f>DATE($B$2,$B$3+A351-1,1)</f>
        <v>56066.0</v>
      </c>
      <c r="C351">
        <f>IF(D351=0,N(Impostazioni!$B$6),SUMIFS('Budget ed extra'!$B$7:$B$18,'Budget ed extra'!$D$7:$D$18,D351)/COUNTIFS('Budget ed extra'!$D$7:$D$18,D351))</f>
        <v>900</v>
      </c>
      <c r="D351">
        <f>SUMPRODUCT(MAX(('Budget ed extra'!$D$7:$D$18&lt;=A351)*'Budget ed extra'!$D$7:$D$18))</f>
        <v>9</v>
      </c>
      <c r="E351">
        <f>SUMIFS('Budget ed extra'!$G$7:$G$42,'Budget ed extra'!$J$7:$J$42,A351)</f>
        <v>0</v>
      </c>
      <c r="F351">
        <f>SUM(T351:AE351)</f>
        <v>0</v>
      </c>
      <c r="G351">
        <f>MAX(0,E351-F351)</f>
        <v>0</v>
      </c>
      <c r="H351">
        <f>IF($A351&gt;=C$10,C$11,C$9)/12</f>
        <v>0.01575</v>
      </c>
      <c r="I351">
        <f>IF($A351&gt;=D$10,D$11,D$9)/12</f>
        <v>0.01825</v>
      </c>
      <c r="J351">
        <f>IF($A351&gt;=E$10,E$11,E$9)/12</f>
        <v>0.00766666666666667</v>
      </c>
      <c r="K351">
        <f>IF($A351&gt;=F$10,F$11,F$9)/12</f>
        <v>0.00533333333333333</v>
      </c>
      <c r="L351">
        <f>IF($A351&gt;=G$10,G$11,G$9)/12</f>
        <v>0</v>
      </c>
      <c r="M351">
        <f>IF($A351&gt;=H$10,H$11,H$9)/12</f>
        <v>0</v>
      </c>
      <c r="N351">
        <f>IF($A351&gt;=I$10,I$11,I$9)/12</f>
        <v>0</v>
      </c>
      <c r="O351">
        <f>IF($A351&gt;=J$10,J$11,J$9)/12</f>
        <v>0</v>
      </c>
      <c r="P351">
        <f>IF($A351&gt;=K$10,K$11,K$9)/12</f>
        <v>0</v>
      </c>
      <c r="Q351">
        <f>IF($A351&gt;=L$10,L$11,L$9)/12</f>
        <v>0</v>
      </c>
      <c r="R351">
        <f>IF($A351&gt;=M$10,M$11,M$9)/12</f>
        <v>0</v>
      </c>
      <c r="S351">
        <f>IF($A351&gt;=N$10,N$11,N$9)/12</f>
        <v>0</v>
      </c>
      <c r="T351">
        <f>IF(C$6="",0,SUMIFS('Budget ed extra'!$G$7:$G$42,'Budget ed extra'!$J$7:$J$42,$A351,'Budget ed extra'!$H$7:$H$42,C$6))</f>
        <v>0</v>
      </c>
      <c r="U351">
        <f>IF(D$6="",0,SUMIFS('Budget ed extra'!$G$7:$G$42,'Budget ed extra'!$J$7:$J$42,$A351,'Budget ed extra'!$H$7:$H$42,D$6))</f>
        <v>0</v>
      </c>
      <c r="V351">
        <f>IF(E$6="",0,SUMIFS('Budget ed extra'!$G$7:$G$42,'Budget ed extra'!$J$7:$J$42,$A351,'Budget ed extra'!$H$7:$H$42,E$6))</f>
        <v>0</v>
      </c>
      <c r="W351">
        <f>IF(F$6="",0,SUMIFS('Budget ed extra'!$G$7:$G$42,'Budget ed extra'!$J$7:$J$42,$A351,'Budget ed extra'!$H$7:$H$42,F$6))</f>
        <v>0</v>
      </c>
      <c r="X351">
        <f>IF(G$6="",0,SUMIFS('Budget ed extra'!$G$7:$G$42,'Budget ed extra'!$J$7:$J$42,$A351,'Budget ed extra'!$H$7:$H$42,G$6))</f>
        <v>0</v>
      </c>
      <c r="Y351">
        <f>IF(H$6="",0,SUMIFS('Budget ed extra'!$G$7:$G$42,'Budget ed extra'!$J$7:$J$42,$A351,'Budget ed extra'!$H$7:$H$42,H$6))</f>
        <v>0</v>
      </c>
      <c r="Z351">
        <f>IF(I$6="",0,SUMIFS('Budget ed extra'!$G$7:$G$42,'Budget ed extra'!$J$7:$J$42,$A351,'Budget ed extra'!$H$7:$H$42,I$6))</f>
        <v>0</v>
      </c>
      <c r="AA351">
        <f>IF(J$6="",0,SUMIFS('Budget ed extra'!$G$7:$G$42,'Budget ed extra'!$J$7:$J$42,$A351,'Budget ed extra'!$H$7:$H$42,J$6))</f>
        <v>0</v>
      </c>
      <c r="AB351">
        <f>IF(K$6="",0,SUMIFS('Budget ed extra'!$G$7:$G$42,'Budget ed extra'!$J$7:$J$42,$A351,'Budget ed extra'!$H$7:$H$42,K$6))</f>
        <v>0</v>
      </c>
      <c r="AC351">
        <f>IF(L$6="",0,SUMIFS('Budget ed extra'!$G$7:$G$42,'Budget ed extra'!$J$7:$J$42,$A351,'Budget ed extra'!$H$7:$H$42,L$6))</f>
        <v>0</v>
      </c>
      <c r="AD351">
        <f>IF(M$6="",0,SUMIFS('Budget ed extra'!$G$7:$G$42,'Budget ed extra'!$J$7:$J$42,$A351,'Budget ed extra'!$H$7:$H$42,M$6))</f>
        <v>0</v>
      </c>
      <c r="AE351">
        <f>IF(N$6="",0,SUMIFS('Budget ed extra'!$G$7:$G$42,'Budget ed extra'!$J$7:$J$42,$A351,'Budget ed extra'!$H$7:$H$42,N$6))</f>
        <v>0</v>
      </c>
    </row>
    <row r="352">
      <c r="A352" t="n">
        <v>322</v>
      </c>
      <c r="B352">
        <f>DATE($B$2,$B$3+A352-1,1)</f>
        <v>56097.0</v>
      </c>
      <c r="C352">
        <f>IF(D352=0,N(Impostazioni!$B$6),SUMIFS('Budget ed extra'!$B$7:$B$18,'Budget ed extra'!$D$7:$D$18,D352)/COUNTIFS('Budget ed extra'!$D$7:$D$18,D352))</f>
        <v>900</v>
      </c>
      <c r="D352">
        <f>SUMPRODUCT(MAX(('Budget ed extra'!$D$7:$D$18&lt;=A352)*'Budget ed extra'!$D$7:$D$18))</f>
        <v>9</v>
      </c>
      <c r="E352">
        <f>SUMIFS('Budget ed extra'!$G$7:$G$42,'Budget ed extra'!$J$7:$J$42,A352)</f>
        <v>0</v>
      </c>
      <c r="F352">
        <f>SUM(T352:AE352)</f>
        <v>0</v>
      </c>
      <c r="G352">
        <f>MAX(0,E352-F352)</f>
        <v>0</v>
      </c>
      <c r="H352">
        <f>IF($A352&gt;=C$10,C$11,C$9)/12</f>
        <v>0.01575</v>
      </c>
      <c r="I352">
        <f>IF($A352&gt;=D$10,D$11,D$9)/12</f>
        <v>0.01825</v>
      </c>
      <c r="J352">
        <f>IF($A352&gt;=E$10,E$11,E$9)/12</f>
        <v>0.00766666666666667</v>
      </c>
      <c r="K352">
        <f>IF($A352&gt;=F$10,F$11,F$9)/12</f>
        <v>0.00533333333333333</v>
      </c>
      <c r="L352">
        <f>IF($A352&gt;=G$10,G$11,G$9)/12</f>
        <v>0</v>
      </c>
      <c r="M352">
        <f>IF($A352&gt;=H$10,H$11,H$9)/12</f>
        <v>0</v>
      </c>
      <c r="N352">
        <f>IF($A352&gt;=I$10,I$11,I$9)/12</f>
        <v>0</v>
      </c>
      <c r="O352">
        <f>IF($A352&gt;=J$10,J$11,J$9)/12</f>
        <v>0</v>
      </c>
      <c r="P352">
        <f>IF($A352&gt;=K$10,K$11,K$9)/12</f>
        <v>0</v>
      </c>
      <c r="Q352">
        <f>IF($A352&gt;=L$10,L$11,L$9)/12</f>
        <v>0</v>
      </c>
      <c r="R352">
        <f>IF($A352&gt;=M$10,M$11,M$9)/12</f>
        <v>0</v>
      </c>
      <c r="S352">
        <f>IF($A352&gt;=N$10,N$11,N$9)/12</f>
        <v>0</v>
      </c>
      <c r="T352">
        <f>IF(C$6="",0,SUMIFS('Budget ed extra'!$G$7:$G$42,'Budget ed extra'!$J$7:$J$42,$A352,'Budget ed extra'!$H$7:$H$42,C$6))</f>
        <v>0</v>
      </c>
      <c r="U352">
        <f>IF(D$6="",0,SUMIFS('Budget ed extra'!$G$7:$G$42,'Budget ed extra'!$J$7:$J$42,$A352,'Budget ed extra'!$H$7:$H$42,D$6))</f>
        <v>0</v>
      </c>
      <c r="V352">
        <f>IF(E$6="",0,SUMIFS('Budget ed extra'!$G$7:$G$42,'Budget ed extra'!$J$7:$J$42,$A352,'Budget ed extra'!$H$7:$H$42,E$6))</f>
        <v>0</v>
      </c>
      <c r="W352">
        <f>IF(F$6="",0,SUMIFS('Budget ed extra'!$G$7:$G$42,'Budget ed extra'!$J$7:$J$42,$A352,'Budget ed extra'!$H$7:$H$42,F$6))</f>
        <v>0</v>
      </c>
      <c r="X352">
        <f>IF(G$6="",0,SUMIFS('Budget ed extra'!$G$7:$G$42,'Budget ed extra'!$J$7:$J$42,$A352,'Budget ed extra'!$H$7:$H$42,G$6))</f>
        <v>0</v>
      </c>
      <c r="Y352">
        <f>IF(H$6="",0,SUMIFS('Budget ed extra'!$G$7:$G$42,'Budget ed extra'!$J$7:$J$42,$A352,'Budget ed extra'!$H$7:$H$42,H$6))</f>
        <v>0</v>
      </c>
      <c r="Z352">
        <f>IF(I$6="",0,SUMIFS('Budget ed extra'!$G$7:$G$42,'Budget ed extra'!$J$7:$J$42,$A352,'Budget ed extra'!$H$7:$H$42,I$6))</f>
        <v>0</v>
      </c>
      <c r="AA352">
        <f>IF(J$6="",0,SUMIFS('Budget ed extra'!$G$7:$G$42,'Budget ed extra'!$J$7:$J$42,$A352,'Budget ed extra'!$H$7:$H$42,J$6))</f>
        <v>0</v>
      </c>
      <c r="AB352">
        <f>IF(K$6="",0,SUMIFS('Budget ed extra'!$G$7:$G$42,'Budget ed extra'!$J$7:$J$42,$A352,'Budget ed extra'!$H$7:$H$42,K$6))</f>
        <v>0</v>
      </c>
      <c r="AC352">
        <f>IF(L$6="",0,SUMIFS('Budget ed extra'!$G$7:$G$42,'Budget ed extra'!$J$7:$J$42,$A352,'Budget ed extra'!$H$7:$H$42,L$6))</f>
        <v>0</v>
      </c>
      <c r="AD352">
        <f>IF(M$6="",0,SUMIFS('Budget ed extra'!$G$7:$G$42,'Budget ed extra'!$J$7:$J$42,$A352,'Budget ed extra'!$H$7:$H$42,M$6))</f>
        <v>0</v>
      </c>
      <c r="AE352">
        <f>IF(N$6="",0,SUMIFS('Budget ed extra'!$G$7:$G$42,'Budget ed extra'!$J$7:$J$42,$A352,'Budget ed extra'!$H$7:$H$42,N$6))</f>
        <v>0</v>
      </c>
    </row>
    <row r="353">
      <c r="A353" t="n">
        <v>323</v>
      </c>
      <c r="B353">
        <f>DATE($B$2,$B$3+A353-1,1)</f>
        <v>56128.0</v>
      </c>
      <c r="C353">
        <f>IF(D353=0,N(Impostazioni!$B$6),SUMIFS('Budget ed extra'!$B$7:$B$18,'Budget ed extra'!$D$7:$D$18,D353)/COUNTIFS('Budget ed extra'!$D$7:$D$18,D353))</f>
        <v>900</v>
      </c>
      <c r="D353">
        <f>SUMPRODUCT(MAX(('Budget ed extra'!$D$7:$D$18&lt;=A353)*'Budget ed extra'!$D$7:$D$18))</f>
        <v>9</v>
      </c>
      <c r="E353">
        <f>SUMIFS('Budget ed extra'!$G$7:$G$42,'Budget ed extra'!$J$7:$J$42,A353)</f>
        <v>0</v>
      </c>
      <c r="F353">
        <f>SUM(T353:AE353)</f>
        <v>0</v>
      </c>
      <c r="G353">
        <f>MAX(0,E353-F353)</f>
        <v>0</v>
      </c>
      <c r="H353">
        <f>IF($A353&gt;=C$10,C$11,C$9)/12</f>
        <v>0.01575</v>
      </c>
      <c r="I353">
        <f>IF($A353&gt;=D$10,D$11,D$9)/12</f>
        <v>0.01825</v>
      </c>
      <c r="J353">
        <f>IF($A353&gt;=E$10,E$11,E$9)/12</f>
        <v>0.00766666666666667</v>
      </c>
      <c r="K353">
        <f>IF($A353&gt;=F$10,F$11,F$9)/12</f>
        <v>0.00533333333333333</v>
      </c>
      <c r="L353">
        <f>IF($A353&gt;=G$10,G$11,G$9)/12</f>
        <v>0</v>
      </c>
      <c r="M353">
        <f>IF($A353&gt;=H$10,H$11,H$9)/12</f>
        <v>0</v>
      </c>
      <c r="N353">
        <f>IF($A353&gt;=I$10,I$11,I$9)/12</f>
        <v>0</v>
      </c>
      <c r="O353">
        <f>IF($A353&gt;=J$10,J$11,J$9)/12</f>
        <v>0</v>
      </c>
      <c r="P353">
        <f>IF($A353&gt;=K$10,K$11,K$9)/12</f>
        <v>0</v>
      </c>
      <c r="Q353">
        <f>IF($A353&gt;=L$10,L$11,L$9)/12</f>
        <v>0</v>
      </c>
      <c r="R353">
        <f>IF($A353&gt;=M$10,M$11,M$9)/12</f>
        <v>0</v>
      </c>
      <c r="S353">
        <f>IF($A353&gt;=N$10,N$11,N$9)/12</f>
        <v>0</v>
      </c>
      <c r="T353">
        <f>IF(C$6="",0,SUMIFS('Budget ed extra'!$G$7:$G$42,'Budget ed extra'!$J$7:$J$42,$A353,'Budget ed extra'!$H$7:$H$42,C$6))</f>
        <v>0</v>
      </c>
      <c r="U353">
        <f>IF(D$6="",0,SUMIFS('Budget ed extra'!$G$7:$G$42,'Budget ed extra'!$J$7:$J$42,$A353,'Budget ed extra'!$H$7:$H$42,D$6))</f>
        <v>0</v>
      </c>
      <c r="V353">
        <f>IF(E$6="",0,SUMIFS('Budget ed extra'!$G$7:$G$42,'Budget ed extra'!$J$7:$J$42,$A353,'Budget ed extra'!$H$7:$H$42,E$6))</f>
        <v>0</v>
      </c>
      <c r="W353">
        <f>IF(F$6="",0,SUMIFS('Budget ed extra'!$G$7:$G$42,'Budget ed extra'!$J$7:$J$42,$A353,'Budget ed extra'!$H$7:$H$42,F$6))</f>
        <v>0</v>
      </c>
      <c r="X353">
        <f>IF(G$6="",0,SUMIFS('Budget ed extra'!$G$7:$G$42,'Budget ed extra'!$J$7:$J$42,$A353,'Budget ed extra'!$H$7:$H$42,G$6))</f>
        <v>0</v>
      </c>
      <c r="Y353">
        <f>IF(H$6="",0,SUMIFS('Budget ed extra'!$G$7:$G$42,'Budget ed extra'!$J$7:$J$42,$A353,'Budget ed extra'!$H$7:$H$42,H$6))</f>
        <v>0</v>
      </c>
      <c r="Z353">
        <f>IF(I$6="",0,SUMIFS('Budget ed extra'!$G$7:$G$42,'Budget ed extra'!$J$7:$J$42,$A353,'Budget ed extra'!$H$7:$H$42,I$6))</f>
        <v>0</v>
      </c>
      <c r="AA353">
        <f>IF(J$6="",0,SUMIFS('Budget ed extra'!$G$7:$G$42,'Budget ed extra'!$J$7:$J$42,$A353,'Budget ed extra'!$H$7:$H$42,J$6))</f>
        <v>0</v>
      </c>
      <c r="AB353">
        <f>IF(K$6="",0,SUMIFS('Budget ed extra'!$G$7:$G$42,'Budget ed extra'!$J$7:$J$42,$A353,'Budget ed extra'!$H$7:$H$42,K$6))</f>
        <v>0</v>
      </c>
      <c r="AC353">
        <f>IF(L$6="",0,SUMIFS('Budget ed extra'!$G$7:$G$42,'Budget ed extra'!$J$7:$J$42,$A353,'Budget ed extra'!$H$7:$H$42,L$6))</f>
        <v>0</v>
      </c>
      <c r="AD353">
        <f>IF(M$6="",0,SUMIFS('Budget ed extra'!$G$7:$G$42,'Budget ed extra'!$J$7:$J$42,$A353,'Budget ed extra'!$H$7:$H$42,M$6))</f>
        <v>0</v>
      </c>
      <c r="AE353">
        <f>IF(N$6="",0,SUMIFS('Budget ed extra'!$G$7:$G$42,'Budget ed extra'!$J$7:$J$42,$A353,'Budget ed extra'!$H$7:$H$42,N$6))</f>
        <v>0</v>
      </c>
    </row>
    <row r="354">
      <c r="A354" t="n">
        <v>324</v>
      </c>
      <c r="B354">
        <f>DATE($B$2,$B$3+A354-1,1)</f>
        <v>56158.0</v>
      </c>
      <c r="C354">
        <f>IF(D354=0,N(Impostazioni!$B$6),SUMIFS('Budget ed extra'!$B$7:$B$18,'Budget ed extra'!$D$7:$D$18,D354)/COUNTIFS('Budget ed extra'!$D$7:$D$18,D354))</f>
        <v>900</v>
      </c>
      <c r="D354">
        <f>SUMPRODUCT(MAX(('Budget ed extra'!$D$7:$D$18&lt;=A354)*'Budget ed extra'!$D$7:$D$18))</f>
        <v>9</v>
      </c>
      <c r="E354">
        <f>SUMIFS('Budget ed extra'!$G$7:$G$42,'Budget ed extra'!$J$7:$J$42,A354)</f>
        <v>0</v>
      </c>
      <c r="F354">
        <f>SUM(T354:AE354)</f>
        <v>0</v>
      </c>
      <c r="G354">
        <f>MAX(0,E354-F354)</f>
        <v>0</v>
      </c>
      <c r="H354">
        <f>IF($A354&gt;=C$10,C$11,C$9)/12</f>
        <v>0.01575</v>
      </c>
      <c r="I354">
        <f>IF($A354&gt;=D$10,D$11,D$9)/12</f>
        <v>0.01825</v>
      </c>
      <c r="J354">
        <f>IF($A354&gt;=E$10,E$11,E$9)/12</f>
        <v>0.00766666666666667</v>
      </c>
      <c r="K354">
        <f>IF($A354&gt;=F$10,F$11,F$9)/12</f>
        <v>0.00533333333333333</v>
      </c>
      <c r="L354">
        <f>IF($A354&gt;=G$10,G$11,G$9)/12</f>
        <v>0</v>
      </c>
      <c r="M354">
        <f>IF($A354&gt;=H$10,H$11,H$9)/12</f>
        <v>0</v>
      </c>
      <c r="N354">
        <f>IF($A354&gt;=I$10,I$11,I$9)/12</f>
        <v>0</v>
      </c>
      <c r="O354">
        <f>IF($A354&gt;=J$10,J$11,J$9)/12</f>
        <v>0</v>
      </c>
      <c r="P354">
        <f>IF($A354&gt;=K$10,K$11,K$9)/12</f>
        <v>0</v>
      </c>
      <c r="Q354">
        <f>IF($A354&gt;=L$10,L$11,L$9)/12</f>
        <v>0</v>
      </c>
      <c r="R354">
        <f>IF($A354&gt;=M$10,M$11,M$9)/12</f>
        <v>0</v>
      </c>
      <c r="S354">
        <f>IF($A354&gt;=N$10,N$11,N$9)/12</f>
        <v>0</v>
      </c>
      <c r="T354">
        <f>IF(C$6="",0,SUMIFS('Budget ed extra'!$G$7:$G$42,'Budget ed extra'!$J$7:$J$42,$A354,'Budget ed extra'!$H$7:$H$42,C$6))</f>
        <v>0</v>
      </c>
      <c r="U354">
        <f>IF(D$6="",0,SUMIFS('Budget ed extra'!$G$7:$G$42,'Budget ed extra'!$J$7:$J$42,$A354,'Budget ed extra'!$H$7:$H$42,D$6))</f>
        <v>0</v>
      </c>
      <c r="V354">
        <f>IF(E$6="",0,SUMIFS('Budget ed extra'!$G$7:$G$42,'Budget ed extra'!$J$7:$J$42,$A354,'Budget ed extra'!$H$7:$H$42,E$6))</f>
        <v>0</v>
      </c>
      <c r="W354">
        <f>IF(F$6="",0,SUMIFS('Budget ed extra'!$G$7:$G$42,'Budget ed extra'!$J$7:$J$42,$A354,'Budget ed extra'!$H$7:$H$42,F$6))</f>
        <v>0</v>
      </c>
      <c r="X354">
        <f>IF(G$6="",0,SUMIFS('Budget ed extra'!$G$7:$G$42,'Budget ed extra'!$J$7:$J$42,$A354,'Budget ed extra'!$H$7:$H$42,G$6))</f>
        <v>0</v>
      </c>
      <c r="Y354">
        <f>IF(H$6="",0,SUMIFS('Budget ed extra'!$G$7:$G$42,'Budget ed extra'!$J$7:$J$42,$A354,'Budget ed extra'!$H$7:$H$42,H$6))</f>
        <v>0</v>
      </c>
      <c r="Z354">
        <f>IF(I$6="",0,SUMIFS('Budget ed extra'!$G$7:$G$42,'Budget ed extra'!$J$7:$J$42,$A354,'Budget ed extra'!$H$7:$H$42,I$6))</f>
        <v>0</v>
      </c>
      <c r="AA354">
        <f>IF(J$6="",0,SUMIFS('Budget ed extra'!$G$7:$G$42,'Budget ed extra'!$J$7:$J$42,$A354,'Budget ed extra'!$H$7:$H$42,J$6))</f>
        <v>0</v>
      </c>
      <c r="AB354">
        <f>IF(K$6="",0,SUMIFS('Budget ed extra'!$G$7:$G$42,'Budget ed extra'!$J$7:$J$42,$A354,'Budget ed extra'!$H$7:$H$42,K$6))</f>
        <v>0</v>
      </c>
      <c r="AC354">
        <f>IF(L$6="",0,SUMIFS('Budget ed extra'!$G$7:$G$42,'Budget ed extra'!$J$7:$J$42,$A354,'Budget ed extra'!$H$7:$H$42,L$6))</f>
        <v>0</v>
      </c>
      <c r="AD354">
        <f>IF(M$6="",0,SUMIFS('Budget ed extra'!$G$7:$G$42,'Budget ed extra'!$J$7:$J$42,$A354,'Budget ed extra'!$H$7:$H$42,M$6))</f>
        <v>0</v>
      </c>
      <c r="AE354">
        <f>IF(N$6="",0,SUMIFS('Budget ed extra'!$G$7:$G$42,'Budget ed extra'!$J$7:$J$42,$A354,'Budget ed extra'!$H$7:$H$42,N$6))</f>
        <v>0</v>
      </c>
    </row>
    <row r="355">
      <c r="A355" t="n">
        <v>325</v>
      </c>
      <c r="B355">
        <f>DATE($B$2,$B$3+A355-1,1)</f>
        <v>56189.0</v>
      </c>
      <c r="C355">
        <f>IF(D355=0,N(Impostazioni!$B$6),SUMIFS('Budget ed extra'!$B$7:$B$18,'Budget ed extra'!$D$7:$D$18,D355)/COUNTIFS('Budget ed extra'!$D$7:$D$18,D355))</f>
        <v>900</v>
      </c>
      <c r="D355">
        <f>SUMPRODUCT(MAX(('Budget ed extra'!$D$7:$D$18&lt;=A355)*'Budget ed extra'!$D$7:$D$18))</f>
        <v>9</v>
      </c>
      <c r="E355">
        <f>SUMIFS('Budget ed extra'!$G$7:$G$42,'Budget ed extra'!$J$7:$J$42,A355)</f>
        <v>0</v>
      </c>
      <c r="F355">
        <f>SUM(T355:AE355)</f>
        <v>0</v>
      </c>
      <c r="G355">
        <f>MAX(0,E355-F355)</f>
        <v>0</v>
      </c>
      <c r="H355">
        <f>IF($A355&gt;=C$10,C$11,C$9)/12</f>
        <v>0.01575</v>
      </c>
      <c r="I355">
        <f>IF($A355&gt;=D$10,D$11,D$9)/12</f>
        <v>0.01825</v>
      </c>
      <c r="J355">
        <f>IF($A355&gt;=E$10,E$11,E$9)/12</f>
        <v>0.00766666666666667</v>
      </c>
      <c r="K355">
        <f>IF($A355&gt;=F$10,F$11,F$9)/12</f>
        <v>0.00533333333333333</v>
      </c>
      <c r="L355">
        <f>IF($A355&gt;=G$10,G$11,G$9)/12</f>
        <v>0</v>
      </c>
      <c r="M355">
        <f>IF($A355&gt;=H$10,H$11,H$9)/12</f>
        <v>0</v>
      </c>
      <c r="N355">
        <f>IF($A355&gt;=I$10,I$11,I$9)/12</f>
        <v>0</v>
      </c>
      <c r="O355">
        <f>IF($A355&gt;=J$10,J$11,J$9)/12</f>
        <v>0</v>
      </c>
      <c r="P355">
        <f>IF($A355&gt;=K$10,K$11,K$9)/12</f>
        <v>0</v>
      </c>
      <c r="Q355">
        <f>IF($A355&gt;=L$10,L$11,L$9)/12</f>
        <v>0</v>
      </c>
      <c r="R355">
        <f>IF($A355&gt;=M$10,M$11,M$9)/12</f>
        <v>0</v>
      </c>
      <c r="S355">
        <f>IF($A355&gt;=N$10,N$11,N$9)/12</f>
        <v>0</v>
      </c>
      <c r="T355">
        <f>IF(C$6="",0,SUMIFS('Budget ed extra'!$G$7:$G$42,'Budget ed extra'!$J$7:$J$42,$A355,'Budget ed extra'!$H$7:$H$42,C$6))</f>
        <v>0</v>
      </c>
      <c r="U355">
        <f>IF(D$6="",0,SUMIFS('Budget ed extra'!$G$7:$G$42,'Budget ed extra'!$J$7:$J$42,$A355,'Budget ed extra'!$H$7:$H$42,D$6))</f>
        <v>0</v>
      </c>
      <c r="V355">
        <f>IF(E$6="",0,SUMIFS('Budget ed extra'!$G$7:$G$42,'Budget ed extra'!$J$7:$J$42,$A355,'Budget ed extra'!$H$7:$H$42,E$6))</f>
        <v>0</v>
      </c>
      <c r="W355">
        <f>IF(F$6="",0,SUMIFS('Budget ed extra'!$G$7:$G$42,'Budget ed extra'!$J$7:$J$42,$A355,'Budget ed extra'!$H$7:$H$42,F$6))</f>
        <v>0</v>
      </c>
      <c r="X355">
        <f>IF(G$6="",0,SUMIFS('Budget ed extra'!$G$7:$G$42,'Budget ed extra'!$J$7:$J$42,$A355,'Budget ed extra'!$H$7:$H$42,G$6))</f>
        <v>0</v>
      </c>
      <c r="Y355">
        <f>IF(H$6="",0,SUMIFS('Budget ed extra'!$G$7:$G$42,'Budget ed extra'!$J$7:$J$42,$A355,'Budget ed extra'!$H$7:$H$42,H$6))</f>
        <v>0</v>
      </c>
      <c r="Z355">
        <f>IF(I$6="",0,SUMIFS('Budget ed extra'!$G$7:$G$42,'Budget ed extra'!$J$7:$J$42,$A355,'Budget ed extra'!$H$7:$H$42,I$6))</f>
        <v>0</v>
      </c>
      <c r="AA355">
        <f>IF(J$6="",0,SUMIFS('Budget ed extra'!$G$7:$G$42,'Budget ed extra'!$J$7:$J$42,$A355,'Budget ed extra'!$H$7:$H$42,J$6))</f>
        <v>0</v>
      </c>
      <c r="AB355">
        <f>IF(K$6="",0,SUMIFS('Budget ed extra'!$G$7:$G$42,'Budget ed extra'!$J$7:$J$42,$A355,'Budget ed extra'!$H$7:$H$42,K$6))</f>
        <v>0</v>
      </c>
      <c r="AC355">
        <f>IF(L$6="",0,SUMIFS('Budget ed extra'!$G$7:$G$42,'Budget ed extra'!$J$7:$J$42,$A355,'Budget ed extra'!$H$7:$H$42,L$6))</f>
        <v>0</v>
      </c>
      <c r="AD355">
        <f>IF(M$6="",0,SUMIFS('Budget ed extra'!$G$7:$G$42,'Budget ed extra'!$J$7:$J$42,$A355,'Budget ed extra'!$H$7:$H$42,M$6))</f>
        <v>0</v>
      </c>
      <c r="AE355">
        <f>IF(N$6="",0,SUMIFS('Budget ed extra'!$G$7:$G$42,'Budget ed extra'!$J$7:$J$42,$A355,'Budget ed extra'!$H$7:$H$42,N$6))</f>
        <v>0</v>
      </c>
    </row>
    <row r="356">
      <c r="A356" t="n">
        <v>326</v>
      </c>
      <c r="B356">
        <f>DATE($B$2,$B$3+A356-1,1)</f>
        <v>56219.0</v>
      </c>
      <c r="C356">
        <f>IF(D356=0,N(Impostazioni!$B$6),SUMIFS('Budget ed extra'!$B$7:$B$18,'Budget ed extra'!$D$7:$D$18,D356)/COUNTIFS('Budget ed extra'!$D$7:$D$18,D356))</f>
        <v>900</v>
      </c>
      <c r="D356">
        <f>SUMPRODUCT(MAX(('Budget ed extra'!$D$7:$D$18&lt;=A356)*'Budget ed extra'!$D$7:$D$18))</f>
        <v>9</v>
      </c>
      <c r="E356">
        <f>SUMIFS('Budget ed extra'!$G$7:$G$42,'Budget ed extra'!$J$7:$J$42,A356)</f>
        <v>0</v>
      </c>
      <c r="F356">
        <f>SUM(T356:AE356)</f>
        <v>0</v>
      </c>
      <c r="G356">
        <f>MAX(0,E356-F356)</f>
        <v>0</v>
      </c>
      <c r="H356">
        <f>IF($A356&gt;=C$10,C$11,C$9)/12</f>
        <v>0.01575</v>
      </c>
      <c r="I356">
        <f>IF($A356&gt;=D$10,D$11,D$9)/12</f>
        <v>0.01825</v>
      </c>
      <c r="J356">
        <f>IF($A356&gt;=E$10,E$11,E$9)/12</f>
        <v>0.00766666666666667</v>
      </c>
      <c r="K356">
        <f>IF($A356&gt;=F$10,F$11,F$9)/12</f>
        <v>0.00533333333333333</v>
      </c>
      <c r="L356">
        <f>IF($A356&gt;=G$10,G$11,G$9)/12</f>
        <v>0</v>
      </c>
      <c r="M356">
        <f>IF($A356&gt;=H$10,H$11,H$9)/12</f>
        <v>0</v>
      </c>
      <c r="N356">
        <f>IF($A356&gt;=I$10,I$11,I$9)/12</f>
        <v>0</v>
      </c>
      <c r="O356">
        <f>IF($A356&gt;=J$10,J$11,J$9)/12</f>
        <v>0</v>
      </c>
      <c r="P356">
        <f>IF($A356&gt;=K$10,K$11,K$9)/12</f>
        <v>0</v>
      </c>
      <c r="Q356">
        <f>IF($A356&gt;=L$10,L$11,L$9)/12</f>
        <v>0</v>
      </c>
      <c r="R356">
        <f>IF($A356&gt;=M$10,M$11,M$9)/12</f>
        <v>0</v>
      </c>
      <c r="S356">
        <f>IF($A356&gt;=N$10,N$11,N$9)/12</f>
        <v>0</v>
      </c>
      <c r="T356">
        <f>IF(C$6="",0,SUMIFS('Budget ed extra'!$G$7:$G$42,'Budget ed extra'!$J$7:$J$42,$A356,'Budget ed extra'!$H$7:$H$42,C$6))</f>
        <v>0</v>
      </c>
      <c r="U356">
        <f>IF(D$6="",0,SUMIFS('Budget ed extra'!$G$7:$G$42,'Budget ed extra'!$J$7:$J$42,$A356,'Budget ed extra'!$H$7:$H$42,D$6))</f>
        <v>0</v>
      </c>
      <c r="V356">
        <f>IF(E$6="",0,SUMIFS('Budget ed extra'!$G$7:$G$42,'Budget ed extra'!$J$7:$J$42,$A356,'Budget ed extra'!$H$7:$H$42,E$6))</f>
        <v>0</v>
      </c>
      <c r="W356">
        <f>IF(F$6="",0,SUMIFS('Budget ed extra'!$G$7:$G$42,'Budget ed extra'!$J$7:$J$42,$A356,'Budget ed extra'!$H$7:$H$42,F$6))</f>
        <v>0</v>
      </c>
      <c r="X356">
        <f>IF(G$6="",0,SUMIFS('Budget ed extra'!$G$7:$G$42,'Budget ed extra'!$J$7:$J$42,$A356,'Budget ed extra'!$H$7:$H$42,G$6))</f>
        <v>0</v>
      </c>
      <c r="Y356">
        <f>IF(H$6="",0,SUMIFS('Budget ed extra'!$G$7:$G$42,'Budget ed extra'!$J$7:$J$42,$A356,'Budget ed extra'!$H$7:$H$42,H$6))</f>
        <v>0</v>
      </c>
      <c r="Z356">
        <f>IF(I$6="",0,SUMIFS('Budget ed extra'!$G$7:$G$42,'Budget ed extra'!$J$7:$J$42,$A356,'Budget ed extra'!$H$7:$H$42,I$6))</f>
        <v>0</v>
      </c>
      <c r="AA356">
        <f>IF(J$6="",0,SUMIFS('Budget ed extra'!$G$7:$G$42,'Budget ed extra'!$J$7:$J$42,$A356,'Budget ed extra'!$H$7:$H$42,J$6))</f>
        <v>0</v>
      </c>
      <c r="AB356">
        <f>IF(K$6="",0,SUMIFS('Budget ed extra'!$G$7:$G$42,'Budget ed extra'!$J$7:$J$42,$A356,'Budget ed extra'!$H$7:$H$42,K$6))</f>
        <v>0</v>
      </c>
      <c r="AC356">
        <f>IF(L$6="",0,SUMIFS('Budget ed extra'!$G$7:$G$42,'Budget ed extra'!$J$7:$J$42,$A356,'Budget ed extra'!$H$7:$H$42,L$6))</f>
        <v>0</v>
      </c>
      <c r="AD356">
        <f>IF(M$6="",0,SUMIFS('Budget ed extra'!$G$7:$G$42,'Budget ed extra'!$J$7:$J$42,$A356,'Budget ed extra'!$H$7:$H$42,M$6))</f>
        <v>0</v>
      </c>
      <c r="AE356">
        <f>IF(N$6="",0,SUMIFS('Budget ed extra'!$G$7:$G$42,'Budget ed extra'!$J$7:$J$42,$A356,'Budget ed extra'!$H$7:$H$42,N$6))</f>
        <v>0</v>
      </c>
    </row>
    <row r="357">
      <c r="A357" t="n">
        <v>327</v>
      </c>
      <c r="B357">
        <f>DATE($B$2,$B$3+A357-1,1)</f>
        <v>56250.0</v>
      </c>
      <c r="C357">
        <f>IF(D357=0,N(Impostazioni!$B$6),SUMIFS('Budget ed extra'!$B$7:$B$18,'Budget ed extra'!$D$7:$D$18,D357)/COUNTIFS('Budget ed extra'!$D$7:$D$18,D357))</f>
        <v>900</v>
      </c>
      <c r="D357">
        <f>SUMPRODUCT(MAX(('Budget ed extra'!$D$7:$D$18&lt;=A357)*'Budget ed extra'!$D$7:$D$18))</f>
        <v>9</v>
      </c>
      <c r="E357">
        <f>SUMIFS('Budget ed extra'!$G$7:$G$42,'Budget ed extra'!$J$7:$J$42,A357)</f>
        <v>0</v>
      </c>
      <c r="F357">
        <f>SUM(T357:AE357)</f>
        <v>0</v>
      </c>
      <c r="G357">
        <f>MAX(0,E357-F357)</f>
        <v>0</v>
      </c>
      <c r="H357">
        <f>IF($A357&gt;=C$10,C$11,C$9)/12</f>
        <v>0.01575</v>
      </c>
      <c r="I357">
        <f>IF($A357&gt;=D$10,D$11,D$9)/12</f>
        <v>0.01825</v>
      </c>
      <c r="J357">
        <f>IF($A357&gt;=E$10,E$11,E$9)/12</f>
        <v>0.00766666666666667</v>
      </c>
      <c r="K357">
        <f>IF($A357&gt;=F$10,F$11,F$9)/12</f>
        <v>0.00533333333333333</v>
      </c>
      <c r="L357">
        <f>IF($A357&gt;=G$10,G$11,G$9)/12</f>
        <v>0</v>
      </c>
      <c r="M357">
        <f>IF($A357&gt;=H$10,H$11,H$9)/12</f>
        <v>0</v>
      </c>
      <c r="N357">
        <f>IF($A357&gt;=I$10,I$11,I$9)/12</f>
        <v>0</v>
      </c>
      <c r="O357">
        <f>IF($A357&gt;=J$10,J$11,J$9)/12</f>
        <v>0</v>
      </c>
      <c r="P357">
        <f>IF($A357&gt;=K$10,K$11,K$9)/12</f>
        <v>0</v>
      </c>
      <c r="Q357">
        <f>IF($A357&gt;=L$10,L$11,L$9)/12</f>
        <v>0</v>
      </c>
      <c r="R357">
        <f>IF($A357&gt;=M$10,M$11,M$9)/12</f>
        <v>0</v>
      </c>
      <c r="S357">
        <f>IF($A357&gt;=N$10,N$11,N$9)/12</f>
        <v>0</v>
      </c>
      <c r="T357">
        <f>IF(C$6="",0,SUMIFS('Budget ed extra'!$G$7:$G$42,'Budget ed extra'!$J$7:$J$42,$A357,'Budget ed extra'!$H$7:$H$42,C$6))</f>
        <v>0</v>
      </c>
      <c r="U357">
        <f>IF(D$6="",0,SUMIFS('Budget ed extra'!$G$7:$G$42,'Budget ed extra'!$J$7:$J$42,$A357,'Budget ed extra'!$H$7:$H$42,D$6))</f>
        <v>0</v>
      </c>
      <c r="V357">
        <f>IF(E$6="",0,SUMIFS('Budget ed extra'!$G$7:$G$42,'Budget ed extra'!$J$7:$J$42,$A357,'Budget ed extra'!$H$7:$H$42,E$6))</f>
        <v>0</v>
      </c>
      <c r="W357">
        <f>IF(F$6="",0,SUMIFS('Budget ed extra'!$G$7:$G$42,'Budget ed extra'!$J$7:$J$42,$A357,'Budget ed extra'!$H$7:$H$42,F$6))</f>
        <v>0</v>
      </c>
      <c r="X357">
        <f>IF(G$6="",0,SUMIFS('Budget ed extra'!$G$7:$G$42,'Budget ed extra'!$J$7:$J$42,$A357,'Budget ed extra'!$H$7:$H$42,G$6))</f>
        <v>0</v>
      </c>
      <c r="Y357">
        <f>IF(H$6="",0,SUMIFS('Budget ed extra'!$G$7:$G$42,'Budget ed extra'!$J$7:$J$42,$A357,'Budget ed extra'!$H$7:$H$42,H$6))</f>
        <v>0</v>
      </c>
      <c r="Z357">
        <f>IF(I$6="",0,SUMIFS('Budget ed extra'!$G$7:$G$42,'Budget ed extra'!$J$7:$J$42,$A357,'Budget ed extra'!$H$7:$H$42,I$6))</f>
        <v>0</v>
      </c>
      <c r="AA357">
        <f>IF(J$6="",0,SUMIFS('Budget ed extra'!$G$7:$G$42,'Budget ed extra'!$J$7:$J$42,$A357,'Budget ed extra'!$H$7:$H$42,J$6))</f>
        <v>0</v>
      </c>
      <c r="AB357">
        <f>IF(K$6="",0,SUMIFS('Budget ed extra'!$G$7:$G$42,'Budget ed extra'!$J$7:$J$42,$A357,'Budget ed extra'!$H$7:$H$42,K$6))</f>
        <v>0</v>
      </c>
      <c r="AC357">
        <f>IF(L$6="",0,SUMIFS('Budget ed extra'!$G$7:$G$42,'Budget ed extra'!$J$7:$J$42,$A357,'Budget ed extra'!$H$7:$H$42,L$6))</f>
        <v>0</v>
      </c>
      <c r="AD357">
        <f>IF(M$6="",0,SUMIFS('Budget ed extra'!$G$7:$G$42,'Budget ed extra'!$J$7:$J$42,$A357,'Budget ed extra'!$H$7:$H$42,M$6))</f>
        <v>0</v>
      </c>
      <c r="AE357">
        <f>IF(N$6="",0,SUMIFS('Budget ed extra'!$G$7:$G$42,'Budget ed extra'!$J$7:$J$42,$A357,'Budget ed extra'!$H$7:$H$42,N$6))</f>
        <v>0</v>
      </c>
    </row>
    <row r="358">
      <c r="A358" t="n">
        <v>328</v>
      </c>
      <c r="B358">
        <f>DATE($B$2,$B$3+A358-1,1)</f>
        <v>56281.0</v>
      </c>
      <c r="C358">
        <f>IF(D358=0,N(Impostazioni!$B$6),SUMIFS('Budget ed extra'!$B$7:$B$18,'Budget ed extra'!$D$7:$D$18,D358)/COUNTIFS('Budget ed extra'!$D$7:$D$18,D358))</f>
        <v>900</v>
      </c>
      <c r="D358">
        <f>SUMPRODUCT(MAX(('Budget ed extra'!$D$7:$D$18&lt;=A358)*'Budget ed extra'!$D$7:$D$18))</f>
        <v>9</v>
      </c>
      <c r="E358">
        <f>SUMIFS('Budget ed extra'!$G$7:$G$42,'Budget ed extra'!$J$7:$J$42,A358)</f>
        <v>0</v>
      </c>
      <c r="F358">
        <f>SUM(T358:AE358)</f>
        <v>0</v>
      </c>
      <c r="G358">
        <f>MAX(0,E358-F358)</f>
        <v>0</v>
      </c>
      <c r="H358">
        <f>IF($A358&gt;=C$10,C$11,C$9)/12</f>
        <v>0.01575</v>
      </c>
      <c r="I358">
        <f>IF($A358&gt;=D$10,D$11,D$9)/12</f>
        <v>0.01825</v>
      </c>
      <c r="J358">
        <f>IF($A358&gt;=E$10,E$11,E$9)/12</f>
        <v>0.00766666666666667</v>
      </c>
      <c r="K358">
        <f>IF($A358&gt;=F$10,F$11,F$9)/12</f>
        <v>0.00533333333333333</v>
      </c>
      <c r="L358">
        <f>IF($A358&gt;=G$10,G$11,G$9)/12</f>
        <v>0</v>
      </c>
      <c r="M358">
        <f>IF($A358&gt;=H$10,H$11,H$9)/12</f>
        <v>0</v>
      </c>
      <c r="N358">
        <f>IF($A358&gt;=I$10,I$11,I$9)/12</f>
        <v>0</v>
      </c>
      <c r="O358">
        <f>IF($A358&gt;=J$10,J$11,J$9)/12</f>
        <v>0</v>
      </c>
      <c r="P358">
        <f>IF($A358&gt;=K$10,K$11,K$9)/12</f>
        <v>0</v>
      </c>
      <c r="Q358">
        <f>IF($A358&gt;=L$10,L$11,L$9)/12</f>
        <v>0</v>
      </c>
      <c r="R358">
        <f>IF($A358&gt;=M$10,M$11,M$9)/12</f>
        <v>0</v>
      </c>
      <c r="S358">
        <f>IF($A358&gt;=N$10,N$11,N$9)/12</f>
        <v>0</v>
      </c>
      <c r="T358">
        <f>IF(C$6="",0,SUMIFS('Budget ed extra'!$G$7:$G$42,'Budget ed extra'!$J$7:$J$42,$A358,'Budget ed extra'!$H$7:$H$42,C$6))</f>
        <v>0</v>
      </c>
      <c r="U358">
        <f>IF(D$6="",0,SUMIFS('Budget ed extra'!$G$7:$G$42,'Budget ed extra'!$J$7:$J$42,$A358,'Budget ed extra'!$H$7:$H$42,D$6))</f>
        <v>0</v>
      </c>
      <c r="V358">
        <f>IF(E$6="",0,SUMIFS('Budget ed extra'!$G$7:$G$42,'Budget ed extra'!$J$7:$J$42,$A358,'Budget ed extra'!$H$7:$H$42,E$6))</f>
        <v>0</v>
      </c>
      <c r="W358">
        <f>IF(F$6="",0,SUMIFS('Budget ed extra'!$G$7:$G$42,'Budget ed extra'!$J$7:$J$42,$A358,'Budget ed extra'!$H$7:$H$42,F$6))</f>
        <v>0</v>
      </c>
      <c r="X358">
        <f>IF(G$6="",0,SUMIFS('Budget ed extra'!$G$7:$G$42,'Budget ed extra'!$J$7:$J$42,$A358,'Budget ed extra'!$H$7:$H$42,G$6))</f>
        <v>0</v>
      </c>
      <c r="Y358">
        <f>IF(H$6="",0,SUMIFS('Budget ed extra'!$G$7:$G$42,'Budget ed extra'!$J$7:$J$42,$A358,'Budget ed extra'!$H$7:$H$42,H$6))</f>
        <v>0</v>
      </c>
      <c r="Z358">
        <f>IF(I$6="",0,SUMIFS('Budget ed extra'!$G$7:$G$42,'Budget ed extra'!$J$7:$J$42,$A358,'Budget ed extra'!$H$7:$H$42,I$6))</f>
        <v>0</v>
      </c>
      <c r="AA358">
        <f>IF(J$6="",0,SUMIFS('Budget ed extra'!$G$7:$G$42,'Budget ed extra'!$J$7:$J$42,$A358,'Budget ed extra'!$H$7:$H$42,J$6))</f>
        <v>0</v>
      </c>
      <c r="AB358">
        <f>IF(K$6="",0,SUMIFS('Budget ed extra'!$G$7:$G$42,'Budget ed extra'!$J$7:$J$42,$A358,'Budget ed extra'!$H$7:$H$42,K$6))</f>
        <v>0</v>
      </c>
      <c r="AC358">
        <f>IF(L$6="",0,SUMIFS('Budget ed extra'!$G$7:$G$42,'Budget ed extra'!$J$7:$J$42,$A358,'Budget ed extra'!$H$7:$H$42,L$6))</f>
        <v>0</v>
      </c>
      <c r="AD358">
        <f>IF(M$6="",0,SUMIFS('Budget ed extra'!$G$7:$G$42,'Budget ed extra'!$J$7:$J$42,$A358,'Budget ed extra'!$H$7:$H$42,M$6))</f>
        <v>0</v>
      </c>
      <c r="AE358">
        <f>IF(N$6="",0,SUMIFS('Budget ed extra'!$G$7:$G$42,'Budget ed extra'!$J$7:$J$42,$A358,'Budget ed extra'!$H$7:$H$42,N$6))</f>
        <v>0</v>
      </c>
    </row>
    <row r="359">
      <c r="A359" t="n">
        <v>329</v>
      </c>
      <c r="B359">
        <f>DATE($B$2,$B$3+A359-1,1)</f>
        <v>56309.0</v>
      </c>
      <c r="C359">
        <f>IF(D359=0,N(Impostazioni!$B$6),SUMIFS('Budget ed extra'!$B$7:$B$18,'Budget ed extra'!$D$7:$D$18,D359)/COUNTIFS('Budget ed extra'!$D$7:$D$18,D359))</f>
        <v>900</v>
      </c>
      <c r="D359">
        <f>SUMPRODUCT(MAX(('Budget ed extra'!$D$7:$D$18&lt;=A359)*'Budget ed extra'!$D$7:$D$18))</f>
        <v>9</v>
      </c>
      <c r="E359">
        <f>SUMIFS('Budget ed extra'!$G$7:$G$42,'Budget ed extra'!$J$7:$J$42,A359)</f>
        <v>0</v>
      </c>
      <c r="F359">
        <f>SUM(T359:AE359)</f>
        <v>0</v>
      </c>
      <c r="G359">
        <f>MAX(0,E359-F359)</f>
        <v>0</v>
      </c>
      <c r="H359">
        <f>IF($A359&gt;=C$10,C$11,C$9)/12</f>
        <v>0.01575</v>
      </c>
      <c r="I359">
        <f>IF($A359&gt;=D$10,D$11,D$9)/12</f>
        <v>0.01825</v>
      </c>
      <c r="J359">
        <f>IF($A359&gt;=E$10,E$11,E$9)/12</f>
        <v>0.00766666666666667</v>
      </c>
      <c r="K359">
        <f>IF($A359&gt;=F$10,F$11,F$9)/12</f>
        <v>0.00533333333333333</v>
      </c>
      <c r="L359">
        <f>IF($A359&gt;=G$10,G$11,G$9)/12</f>
        <v>0</v>
      </c>
      <c r="M359">
        <f>IF($A359&gt;=H$10,H$11,H$9)/12</f>
        <v>0</v>
      </c>
      <c r="N359">
        <f>IF($A359&gt;=I$10,I$11,I$9)/12</f>
        <v>0</v>
      </c>
      <c r="O359">
        <f>IF($A359&gt;=J$10,J$11,J$9)/12</f>
        <v>0</v>
      </c>
      <c r="P359">
        <f>IF($A359&gt;=K$10,K$11,K$9)/12</f>
        <v>0</v>
      </c>
      <c r="Q359">
        <f>IF($A359&gt;=L$10,L$11,L$9)/12</f>
        <v>0</v>
      </c>
      <c r="R359">
        <f>IF($A359&gt;=M$10,M$11,M$9)/12</f>
        <v>0</v>
      </c>
      <c r="S359">
        <f>IF($A359&gt;=N$10,N$11,N$9)/12</f>
        <v>0</v>
      </c>
      <c r="T359">
        <f>IF(C$6="",0,SUMIFS('Budget ed extra'!$G$7:$G$42,'Budget ed extra'!$J$7:$J$42,$A359,'Budget ed extra'!$H$7:$H$42,C$6))</f>
        <v>0</v>
      </c>
      <c r="U359">
        <f>IF(D$6="",0,SUMIFS('Budget ed extra'!$G$7:$G$42,'Budget ed extra'!$J$7:$J$42,$A359,'Budget ed extra'!$H$7:$H$42,D$6))</f>
        <v>0</v>
      </c>
      <c r="V359">
        <f>IF(E$6="",0,SUMIFS('Budget ed extra'!$G$7:$G$42,'Budget ed extra'!$J$7:$J$42,$A359,'Budget ed extra'!$H$7:$H$42,E$6))</f>
        <v>0</v>
      </c>
      <c r="W359">
        <f>IF(F$6="",0,SUMIFS('Budget ed extra'!$G$7:$G$42,'Budget ed extra'!$J$7:$J$42,$A359,'Budget ed extra'!$H$7:$H$42,F$6))</f>
        <v>0</v>
      </c>
      <c r="X359">
        <f>IF(G$6="",0,SUMIFS('Budget ed extra'!$G$7:$G$42,'Budget ed extra'!$J$7:$J$42,$A359,'Budget ed extra'!$H$7:$H$42,G$6))</f>
        <v>0</v>
      </c>
      <c r="Y359">
        <f>IF(H$6="",0,SUMIFS('Budget ed extra'!$G$7:$G$42,'Budget ed extra'!$J$7:$J$42,$A359,'Budget ed extra'!$H$7:$H$42,H$6))</f>
        <v>0</v>
      </c>
      <c r="Z359">
        <f>IF(I$6="",0,SUMIFS('Budget ed extra'!$G$7:$G$42,'Budget ed extra'!$J$7:$J$42,$A359,'Budget ed extra'!$H$7:$H$42,I$6))</f>
        <v>0</v>
      </c>
      <c r="AA359">
        <f>IF(J$6="",0,SUMIFS('Budget ed extra'!$G$7:$G$42,'Budget ed extra'!$J$7:$J$42,$A359,'Budget ed extra'!$H$7:$H$42,J$6))</f>
        <v>0</v>
      </c>
      <c r="AB359">
        <f>IF(K$6="",0,SUMIFS('Budget ed extra'!$G$7:$G$42,'Budget ed extra'!$J$7:$J$42,$A359,'Budget ed extra'!$H$7:$H$42,K$6))</f>
        <v>0</v>
      </c>
      <c r="AC359">
        <f>IF(L$6="",0,SUMIFS('Budget ed extra'!$G$7:$G$42,'Budget ed extra'!$J$7:$J$42,$A359,'Budget ed extra'!$H$7:$H$42,L$6))</f>
        <v>0</v>
      </c>
      <c r="AD359">
        <f>IF(M$6="",0,SUMIFS('Budget ed extra'!$G$7:$G$42,'Budget ed extra'!$J$7:$J$42,$A359,'Budget ed extra'!$H$7:$H$42,M$6))</f>
        <v>0</v>
      </c>
      <c r="AE359">
        <f>IF(N$6="",0,SUMIFS('Budget ed extra'!$G$7:$G$42,'Budget ed extra'!$J$7:$J$42,$A359,'Budget ed extra'!$H$7:$H$42,N$6))</f>
        <v>0</v>
      </c>
    </row>
    <row r="360">
      <c r="A360" t="n">
        <v>330</v>
      </c>
      <c r="B360">
        <f>DATE($B$2,$B$3+A360-1,1)</f>
        <v>56340.0</v>
      </c>
      <c r="C360">
        <f>IF(D360=0,N(Impostazioni!$B$6),SUMIFS('Budget ed extra'!$B$7:$B$18,'Budget ed extra'!$D$7:$D$18,D360)/COUNTIFS('Budget ed extra'!$D$7:$D$18,D360))</f>
        <v>900</v>
      </c>
      <c r="D360">
        <f>SUMPRODUCT(MAX(('Budget ed extra'!$D$7:$D$18&lt;=A360)*'Budget ed extra'!$D$7:$D$18))</f>
        <v>9</v>
      </c>
      <c r="E360">
        <f>SUMIFS('Budget ed extra'!$G$7:$G$42,'Budget ed extra'!$J$7:$J$42,A360)</f>
        <v>0</v>
      </c>
      <c r="F360">
        <f>SUM(T360:AE360)</f>
        <v>0</v>
      </c>
      <c r="G360">
        <f>MAX(0,E360-F360)</f>
        <v>0</v>
      </c>
      <c r="H360">
        <f>IF($A360&gt;=C$10,C$11,C$9)/12</f>
        <v>0.01575</v>
      </c>
      <c r="I360">
        <f>IF($A360&gt;=D$10,D$11,D$9)/12</f>
        <v>0.01825</v>
      </c>
      <c r="J360">
        <f>IF($A360&gt;=E$10,E$11,E$9)/12</f>
        <v>0.00766666666666667</v>
      </c>
      <c r="K360">
        <f>IF($A360&gt;=F$10,F$11,F$9)/12</f>
        <v>0.00533333333333333</v>
      </c>
      <c r="L360">
        <f>IF($A360&gt;=G$10,G$11,G$9)/12</f>
        <v>0</v>
      </c>
      <c r="M360">
        <f>IF($A360&gt;=H$10,H$11,H$9)/12</f>
        <v>0</v>
      </c>
      <c r="N360">
        <f>IF($A360&gt;=I$10,I$11,I$9)/12</f>
        <v>0</v>
      </c>
      <c r="O360">
        <f>IF($A360&gt;=J$10,J$11,J$9)/12</f>
        <v>0</v>
      </c>
      <c r="P360">
        <f>IF($A360&gt;=K$10,K$11,K$9)/12</f>
        <v>0</v>
      </c>
      <c r="Q360">
        <f>IF($A360&gt;=L$10,L$11,L$9)/12</f>
        <v>0</v>
      </c>
      <c r="R360">
        <f>IF($A360&gt;=M$10,M$11,M$9)/12</f>
        <v>0</v>
      </c>
      <c r="S360">
        <f>IF($A360&gt;=N$10,N$11,N$9)/12</f>
        <v>0</v>
      </c>
      <c r="T360">
        <f>IF(C$6="",0,SUMIFS('Budget ed extra'!$G$7:$G$42,'Budget ed extra'!$J$7:$J$42,$A360,'Budget ed extra'!$H$7:$H$42,C$6))</f>
        <v>0</v>
      </c>
      <c r="U360">
        <f>IF(D$6="",0,SUMIFS('Budget ed extra'!$G$7:$G$42,'Budget ed extra'!$J$7:$J$42,$A360,'Budget ed extra'!$H$7:$H$42,D$6))</f>
        <v>0</v>
      </c>
      <c r="V360">
        <f>IF(E$6="",0,SUMIFS('Budget ed extra'!$G$7:$G$42,'Budget ed extra'!$J$7:$J$42,$A360,'Budget ed extra'!$H$7:$H$42,E$6))</f>
        <v>0</v>
      </c>
      <c r="W360">
        <f>IF(F$6="",0,SUMIFS('Budget ed extra'!$G$7:$G$42,'Budget ed extra'!$J$7:$J$42,$A360,'Budget ed extra'!$H$7:$H$42,F$6))</f>
        <v>0</v>
      </c>
      <c r="X360">
        <f>IF(G$6="",0,SUMIFS('Budget ed extra'!$G$7:$G$42,'Budget ed extra'!$J$7:$J$42,$A360,'Budget ed extra'!$H$7:$H$42,G$6))</f>
        <v>0</v>
      </c>
      <c r="Y360">
        <f>IF(H$6="",0,SUMIFS('Budget ed extra'!$G$7:$G$42,'Budget ed extra'!$J$7:$J$42,$A360,'Budget ed extra'!$H$7:$H$42,H$6))</f>
        <v>0</v>
      </c>
      <c r="Z360">
        <f>IF(I$6="",0,SUMIFS('Budget ed extra'!$G$7:$G$42,'Budget ed extra'!$J$7:$J$42,$A360,'Budget ed extra'!$H$7:$H$42,I$6))</f>
        <v>0</v>
      </c>
      <c r="AA360">
        <f>IF(J$6="",0,SUMIFS('Budget ed extra'!$G$7:$G$42,'Budget ed extra'!$J$7:$J$42,$A360,'Budget ed extra'!$H$7:$H$42,J$6))</f>
        <v>0</v>
      </c>
      <c r="AB360">
        <f>IF(K$6="",0,SUMIFS('Budget ed extra'!$G$7:$G$42,'Budget ed extra'!$J$7:$J$42,$A360,'Budget ed extra'!$H$7:$H$42,K$6))</f>
        <v>0</v>
      </c>
      <c r="AC360">
        <f>IF(L$6="",0,SUMIFS('Budget ed extra'!$G$7:$G$42,'Budget ed extra'!$J$7:$J$42,$A360,'Budget ed extra'!$H$7:$H$42,L$6))</f>
        <v>0</v>
      </c>
      <c r="AD360">
        <f>IF(M$6="",0,SUMIFS('Budget ed extra'!$G$7:$G$42,'Budget ed extra'!$J$7:$J$42,$A360,'Budget ed extra'!$H$7:$H$42,M$6))</f>
        <v>0</v>
      </c>
      <c r="AE360">
        <f>IF(N$6="",0,SUMIFS('Budget ed extra'!$G$7:$G$42,'Budget ed extra'!$J$7:$J$42,$A360,'Budget ed extra'!$H$7:$H$42,N$6))</f>
        <v>0</v>
      </c>
    </row>
    <row r="361">
      <c r="A361" t="n">
        <v>331</v>
      </c>
      <c r="B361">
        <f>DATE($B$2,$B$3+A361-1,1)</f>
        <v>56370.0</v>
      </c>
      <c r="C361">
        <f>IF(D361=0,N(Impostazioni!$B$6),SUMIFS('Budget ed extra'!$B$7:$B$18,'Budget ed extra'!$D$7:$D$18,D361)/COUNTIFS('Budget ed extra'!$D$7:$D$18,D361))</f>
        <v>900</v>
      </c>
      <c r="D361">
        <f>SUMPRODUCT(MAX(('Budget ed extra'!$D$7:$D$18&lt;=A361)*'Budget ed extra'!$D$7:$D$18))</f>
        <v>9</v>
      </c>
      <c r="E361">
        <f>SUMIFS('Budget ed extra'!$G$7:$G$42,'Budget ed extra'!$J$7:$J$42,A361)</f>
        <v>0</v>
      </c>
      <c r="F361">
        <f>SUM(T361:AE361)</f>
        <v>0</v>
      </c>
      <c r="G361">
        <f>MAX(0,E361-F361)</f>
        <v>0</v>
      </c>
      <c r="H361">
        <f>IF($A361&gt;=C$10,C$11,C$9)/12</f>
        <v>0.01575</v>
      </c>
      <c r="I361">
        <f>IF($A361&gt;=D$10,D$11,D$9)/12</f>
        <v>0.01825</v>
      </c>
      <c r="J361">
        <f>IF($A361&gt;=E$10,E$11,E$9)/12</f>
        <v>0.00766666666666667</v>
      </c>
      <c r="K361">
        <f>IF($A361&gt;=F$10,F$11,F$9)/12</f>
        <v>0.00533333333333333</v>
      </c>
      <c r="L361">
        <f>IF($A361&gt;=G$10,G$11,G$9)/12</f>
        <v>0</v>
      </c>
      <c r="M361">
        <f>IF($A361&gt;=H$10,H$11,H$9)/12</f>
        <v>0</v>
      </c>
      <c r="N361">
        <f>IF($A361&gt;=I$10,I$11,I$9)/12</f>
        <v>0</v>
      </c>
      <c r="O361">
        <f>IF($A361&gt;=J$10,J$11,J$9)/12</f>
        <v>0</v>
      </c>
      <c r="P361">
        <f>IF($A361&gt;=K$10,K$11,K$9)/12</f>
        <v>0</v>
      </c>
      <c r="Q361">
        <f>IF($A361&gt;=L$10,L$11,L$9)/12</f>
        <v>0</v>
      </c>
      <c r="R361">
        <f>IF($A361&gt;=M$10,M$11,M$9)/12</f>
        <v>0</v>
      </c>
      <c r="S361">
        <f>IF($A361&gt;=N$10,N$11,N$9)/12</f>
        <v>0</v>
      </c>
      <c r="T361">
        <f>IF(C$6="",0,SUMIFS('Budget ed extra'!$G$7:$G$42,'Budget ed extra'!$J$7:$J$42,$A361,'Budget ed extra'!$H$7:$H$42,C$6))</f>
        <v>0</v>
      </c>
      <c r="U361">
        <f>IF(D$6="",0,SUMIFS('Budget ed extra'!$G$7:$G$42,'Budget ed extra'!$J$7:$J$42,$A361,'Budget ed extra'!$H$7:$H$42,D$6))</f>
        <v>0</v>
      </c>
      <c r="V361">
        <f>IF(E$6="",0,SUMIFS('Budget ed extra'!$G$7:$G$42,'Budget ed extra'!$J$7:$J$42,$A361,'Budget ed extra'!$H$7:$H$42,E$6))</f>
        <v>0</v>
      </c>
      <c r="W361">
        <f>IF(F$6="",0,SUMIFS('Budget ed extra'!$G$7:$G$42,'Budget ed extra'!$J$7:$J$42,$A361,'Budget ed extra'!$H$7:$H$42,F$6))</f>
        <v>0</v>
      </c>
      <c r="X361">
        <f>IF(G$6="",0,SUMIFS('Budget ed extra'!$G$7:$G$42,'Budget ed extra'!$J$7:$J$42,$A361,'Budget ed extra'!$H$7:$H$42,G$6))</f>
        <v>0</v>
      </c>
      <c r="Y361">
        <f>IF(H$6="",0,SUMIFS('Budget ed extra'!$G$7:$G$42,'Budget ed extra'!$J$7:$J$42,$A361,'Budget ed extra'!$H$7:$H$42,H$6))</f>
        <v>0</v>
      </c>
      <c r="Z361">
        <f>IF(I$6="",0,SUMIFS('Budget ed extra'!$G$7:$G$42,'Budget ed extra'!$J$7:$J$42,$A361,'Budget ed extra'!$H$7:$H$42,I$6))</f>
        <v>0</v>
      </c>
      <c r="AA361">
        <f>IF(J$6="",0,SUMIFS('Budget ed extra'!$G$7:$G$42,'Budget ed extra'!$J$7:$J$42,$A361,'Budget ed extra'!$H$7:$H$42,J$6))</f>
        <v>0</v>
      </c>
      <c r="AB361">
        <f>IF(K$6="",0,SUMIFS('Budget ed extra'!$G$7:$G$42,'Budget ed extra'!$J$7:$J$42,$A361,'Budget ed extra'!$H$7:$H$42,K$6))</f>
        <v>0</v>
      </c>
      <c r="AC361">
        <f>IF(L$6="",0,SUMIFS('Budget ed extra'!$G$7:$G$42,'Budget ed extra'!$J$7:$J$42,$A361,'Budget ed extra'!$H$7:$H$42,L$6))</f>
        <v>0</v>
      </c>
      <c r="AD361">
        <f>IF(M$6="",0,SUMIFS('Budget ed extra'!$G$7:$G$42,'Budget ed extra'!$J$7:$J$42,$A361,'Budget ed extra'!$H$7:$H$42,M$6))</f>
        <v>0</v>
      </c>
      <c r="AE361">
        <f>IF(N$6="",0,SUMIFS('Budget ed extra'!$G$7:$G$42,'Budget ed extra'!$J$7:$J$42,$A361,'Budget ed extra'!$H$7:$H$42,N$6))</f>
        <v>0</v>
      </c>
    </row>
    <row r="362">
      <c r="A362" t="n">
        <v>332</v>
      </c>
      <c r="B362">
        <f>DATE($B$2,$B$3+A362-1,1)</f>
        <v>56401.0</v>
      </c>
      <c r="C362">
        <f>IF(D362=0,N(Impostazioni!$B$6),SUMIFS('Budget ed extra'!$B$7:$B$18,'Budget ed extra'!$D$7:$D$18,D362)/COUNTIFS('Budget ed extra'!$D$7:$D$18,D362))</f>
        <v>900</v>
      </c>
      <c r="D362">
        <f>SUMPRODUCT(MAX(('Budget ed extra'!$D$7:$D$18&lt;=A362)*'Budget ed extra'!$D$7:$D$18))</f>
        <v>9</v>
      </c>
      <c r="E362">
        <f>SUMIFS('Budget ed extra'!$G$7:$G$42,'Budget ed extra'!$J$7:$J$42,A362)</f>
        <v>0</v>
      </c>
      <c r="F362">
        <f>SUM(T362:AE362)</f>
        <v>0</v>
      </c>
      <c r="G362">
        <f>MAX(0,E362-F362)</f>
        <v>0</v>
      </c>
      <c r="H362">
        <f>IF($A362&gt;=C$10,C$11,C$9)/12</f>
        <v>0.01575</v>
      </c>
      <c r="I362">
        <f>IF($A362&gt;=D$10,D$11,D$9)/12</f>
        <v>0.01825</v>
      </c>
      <c r="J362">
        <f>IF($A362&gt;=E$10,E$11,E$9)/12</f>
        <v>0.00766666666666667</v>
      </c>
      <c r="K362">
        <f>IF($A362&gt;=F$10,F$11,F$9)/12</f>
        <v>0.00533333333333333</v>
      </c>
      <c r="L362">
        <f>IF($A362&gt;=G$10,G$11,G$9)/12</f>
        <v>0</v>
      </c>
      <c r="M362">
        <f>IF($A362&gt;=H$10,H$11,H$9)/12</f>
        <v>0</v>
      </c>
      <c r="N362">
        <f>IF($A362&gt;=I$10,I$11,I$9)/12</f>
        <v>0</v>
      </c>
      <c r="O362">
        <f>IF($A362&gt;=J$10,J$11,J$9)/12</f>
        <v>0</v>
      </c>
      <c r="P362">
        <f>IF($A362&gt;=K$10,K$11,K$9)/12</f>
        <v>0</v>
      </c>
      <c r="Q362">
        <f>IF($A362&gt;=L$10,L$11,L$9)/12</f>
        <v>0</v>
      </c>
      <c r="R362">
        <f>IF($A362&gt;=M$10,M$11,M$9)/12</f>
        <v>0</v>
      </c>
      <c r="S362">
        <f>IF($A362&gt;=N$10,N$11,N$9)/12</f>
        <v>0</v>
      </c>
      <c r="T362">
        <f>IF(C$6="",0,SUMIFS('Budget ed extra'!$G$7:$G$42,'Budget ed extra'!$J$7:$J$42,$A362,'Budget ed extra'!$H$7:$H$42,C$6))</f>
        <v>0</v>
      </c>
      <c r="U362">
        <f>IF(D$6="",0,SUMIFS('Budget ed extra'!$G$7:$G$42,'Budget ed extra'!$J$7:$J$42,$A362,'Budget ed extra'!$H$7:$H$42,D$6))</f>
        <v>0</v>
      </c>
      <c r="V362">
        <f>IF(E$6="",0,SUMIFS('Budget ed extra'!$G$7:$G$42,'Budget ed extra'!$J$7:$J$42,$A362,'Budget ed extra'!$H$7:$H$42,E$6))</f>
        <v>0</v>
      </c>
      <c r="W362">
        <f>IF(F$6="",0,SUMIFS('Budget ed extra'!$G$7:$G$42,'Budget ed extra'!$J$7:$J$42,$A362,'Budget ed extra'!$H$7:$H$42,F$6))</f>
        <v>0</v>
      </c>
      <c r="X362">
        <f>IF(G$6="",0,SUMIFS('Budget ed extra'!$G$7:$G$42,'Budget ed extra'!$J$7:$J$42,$A362,'Budget ed extra'!$H$7:$H$42,G$6))</f>
        <v>0</v>
      </c>
      <c r="Y362">
        <f>IF(H$6="",0,SUMIFS('Budget ed extra'!$G$7:$G$42,'Budget ed extra'!$J$7:$J$42,$A362,'Budget ed extra'!$H$7:$H$42,H$6))</f>
        <v>0</v>
      </c>
      <c r="Z362">
        <f>IF(I$6="",0,SUMIFS('Budget ed extra'!$G$7:$G$42,'Budget ed extra'!$J$7:$J$42,$A362,'Budget ed extra'!$H$7:$H$42,I$6))</f>
        <v>0</v>
      </c>
      <c r="AA362">
        <f>IF(J$6="",0,SUMIFS('Budget ed extra'!$G$7:$G$42,'Budget ed extra'!$J$7:$J$42,$A362,'Budget ed extra'!$H$7:$H$42,J$6))</f>
        <v>0</v>
      </c>
      <c r="AB362">
        <f>IF(K$6="",0,SUMIFS('Budget ed extra'!$G$7:$G$42,'Budget ed extra'!$J$7:$J$42,$A362,'Budget ed extra'!$H$7:$H$42,K$6))</f>
        <v>0</v>
      </c>
      <c r="AC362">
        <f>IF(L$6="",0,SUMIFS('Budget ed extra'!$G$7:$G$42,'Budget ed extra'!$J$7:$J$42,$A362,'Budget ed extra'!$H$7:$H$42,L$6))</f>
        <v>0</v>
      </c>
      <c r="AD362">
        <f>IF(M$6="",0,SUMIFS('Budget ed extra'!$G$7:$G$42,'Budget ed extra'!$J$7:$J$42,$A362,'Budget ed extra'!$H$7:$H$42,M$6))</f>
        <v>0</v>
      </c>
      <c r="AE362">
        <f>IF(N$6="",0,SUMIFS('Budget ed extra'!$G$7:$G$42,'Budget ed extra'!$J$7:$J$42,$A362,'Budget ed extra'!$H$7:$H$42,N$6))</f>
        <v>0</v>
      </c>
    </row>
    <row r="363">
      <c r="A363" t="n">
        <v>333</v>
      </c>
      <c r="B363">
        <f>DATE($B$2,$B$3+A363-1,1)</f>
        <v>56431.0</v>
      </c>
      <c r="C363">
        <f>IF(D363=0,N(Impostazioni!$B$6),SUMIFS('Budget ed extra'!$B$7:$B$18,'Budget ed extra'!$D$7:$D$18,D363)/COUNTIFS('Budget ed extra'!$D$7:$D$18,D363))</f>
        <v>900</v>
      </c>
      <c r="D363">
        <f>SUMPRODUCT(MAX(('Budget ed extra'!$D$7:$D$18&lt;=A363)*'Budget ed extra'!$D$7:$D$18))</f>
        <v>9</v>
      </c>
      <c r="E363">
        <f>SUMIFS('Budget ed extra'!$G$7:$G$42,'Budget ed extra'!$J$7:$J$42,A363)</f>
        <v>0</v>
      </c>
      <c r="F363">
        <f>SUM(T363:AE363)</f>
        <v>0</v>
      </c>
      <c r="G363">
        <f>MAX(0,E363-F363)</f>
        <v>0</v>
      </c>
      <c r="H363">
        <f>IF($A363&gt;=C$10,C$11,C$9)/12</f>
        <v>0.01575</v>
      </c>
      <c r="I363">
        <f>IF($A363&gt;=D$10,D$11,D$9)/12</f>
        <v>0.01825</v>
      </c>
      <c r="J363">
        <f>IF($A363&gt;=E$10,E$11,E$9)/12</f>
        <v>0.00766666666666667</v>
      </c>
      <c r="K363">
        <f>IF($A363&gt;=F$10,F$11,F$9)/12</f>
        <v>0.00533333333333333</v>
      </c>
      <c r="L363">
        <f>IF($A363&gt;=G$10,G$11,G$9)/12</f>
        <v>0</v>
      </c>
      <c r="M363">
        <f>IF($A363&gt;=H$10,H$11,H$9)/12</f>
        <v>0</v>
      </c>
      <c r="N363">
        <f>IF($A363&gt;=I$10,I$11,I$9)/12</f>
        <v>0</v>
      </c>
      <c r="O363">
        <f>IF($A363&gt;=J$10,J$11,J$9)/12</f>
        <v>0</v>
      </c>
      <c r="P363">
        <f>IF($A363&gt;=K$10,K$11,K$9)/12</f>
        <v>0</v>
      </c>
      <c r="Q363">
        <f>IF($A363&gt;=L$10,L$11,L$9)/12</f>
        <v>0</v>
      </c>
      <c r="R363">
        <f>IF($A363&gt;=M$10,M$11,M$9)/12</f>
        <v>0</v>
      </c>
      <c r="S363">
        <f>IF($A363&gt;=N$10,N$11,N$9)/12</f>
        <v>0</v>
      </c>
      <c r="T363">
        <f>IF(C$6="",0,SUMIFS('Budget ed extra'!$G$7:$G$42,'Budget ed extra'!$J$7:$J$42,$A363,'Budget ed extra'!$H$7:$H$42,C$6))</f>
        <v>0</v>
      </c>
      <c r="U363">
        <f>IF(D$6="",0,SUMIFS('Budget ed extra'!$G$7:$G$42,'Budget ed extra'!$J$7:$J$42,$A363,'Budget ed extra'!$H$7:$H$42,D$6))</f>
        <v>0</v>
      </c>
      <c r="V363">
        <f>IF(E$6="",0,SUMIFS('Budget ed extra'!$G$7:$G$42,'Budget ed extra'!$J$7:$J$42,$A363,'Budget ed extra'!$H$7:$H$42,E$6))</f>
        <v>0</v>
      </c>
      <c r="W363">
        <f>IF(F$6="",0,SUMIFS('Budget ed extra'!$G$7:$G$42,'Budget ed extra'!$J$7:$J$42,$A363,'Budget ed extra'!$H$7:$H$42,F$6))</f>
        <v>0</v>
      </c>
      <c r="X363">
        <f>IF(G$6="",0,SUMIFS('Budget ed extra'!$G$7:$G$42,'Budget ed extra'!$J$7:$J$42,$A363,'Budget ed extra'!$H$7:$H$42,G$6))</f>
        <v>0</v>
      </c>
      <c r="Y363">
        <f>IF(H$6="",0,SUMIFS('Budget ed extra'!$G$7:$G$42,'Budget ed extra'!$J$7:$J$42,$A363,'Budget ed extra'!$H$7:$H$42,H$6))</f>
        <v>0</v>
      </c>
      <c r="Z363">
        <f>IF(I$6="",0,SUMIFS('Budget ed extra'!$G$7:$G$42,'Budget ed extra'!$J$7:$J$42,$A363,'Budget ed extra'!$H$7:$H$42,I$6))</f>
        <v>0</v>
      </c>
      <c r="AA363">
        <f>IF(J$6="",0,SUMIFS('Budget ed extra'!$G$7:$G$42,'Budget ed extra'!$J$7:$J$42,$A363,'Budget ed extra'!$H$7:$H$42,J$6))</f>
        <v>0</v>
      </c>
      <c r="AB363">
        <f>IF(K$6="",0,SUMIFS('Budget ed extra'!$G$7:$G$42,'Budget ed extra'!$J$7:$J$42,$A363,'Budget ed extra'!$H$7:$H$42,K$6))</f>
        <v>0</v>
      </c>
      <c r="AC363">
        <f>IF(L$6="",0,SUMIFS('Budget ed extra'!$G$7:$G$42,'Budget ed extra'!$J$7:$J$42,$A363,'Budget ed extra'!$H$7:$H$42,L$6))</f>
        <v>0</v>
      </c>
      <c r="AD363">
        <f>IF(M$6="",0,SUMIFS('Budget ed extra'!$G$7:$G$42,'Budget ed extra'!$J$7:$J$42,$A363,'Budget ed extra'!$H$7:$H$42,M$6))</f>
        <v>0</v>
      </c>
      <c r="AE363">
        <f>IF(N$6="",0,SUMIFS('Budget ed extra'!$G$7:$G$42,'Budget ed extra'!$J$7:$J$42,$A363,'Budget ed extra'!$H$7:$H$42,N$6))</f>
        <v>0</v>
      </c>
    </row>
    <row r="364">
      <c r="A364" t="n">
        <v>334</v>
      </c>
      <c r="B364">
        <f>DATE($B$2,$B$3+A364-1,1)</f>
        <v>56462.0</v>
      </c>
      <c r="C364">
        <f>IF(D364=0,N(Impostazioni!$B$6),SUMIFS('Budget ed extra'!$B$7:$B$18,'Budget ed extra'!$D$7:$D$18,D364)/COUNTIFS('Budget ed extra'!$D$7:$D$18,D364))</f>
        <v>900</v>
      </c>
      <c r="D364">
        <f>SUMPRODUCT(MAX(('Budget ed extra'!$D$7:$D$18&lt;=A364)*'Budget ed extra'!$D$7:$D$18))</f>
        <v>9</v>
      </c>
      <c r="E364">
        <f>SUMIFS('Budget ed extra'!$G$7:$G$42,'Budget ed extra'!$J$7:$J$42,A364)</f>
        <v>0</v>
      </c>
      <c r="F364">
        <f>SUM(T364:AE364)</f>
        <v>0</v>
      </c>
      <c r="G364">
        <f>MAX(0,E364-F364)</f>
        <v>0</v>
      </c>
      <c r="H364">
        <f>IF($A364&gt;=C$10,C$11,C$9)/12</f>
        <v>0.01575</v>
      </c>
      <c r="I364">
        <f>IF($A364&gt;=D$10,D$11,D$9)/12</f>
        <v>0.01825</v>
      </c>
      <c r="J364">
        <f>IF($A364&gt;=E$10,E$11,E$9)/12</f>
        <v>0.00766666666666667</v>
      </c>
      <c r="K364">
        <f>IF($A364&gt;=F$10,F$11,F$9)/12</f>
        <v>0.00533333333333333</v>
      </c>
      <c r="L364">
        <f>IF($A364&gt;=G$10,G$11,G$9)/12</f>
        <v>0</v>
      </c>
      <c r="M364">
        <f>IF($A364&gt;=H$10,H$11,H$9)/12</f>
        <v>0</v>
      </c>
      <c r="N364">
        <f>IF($A364&gt;=I$10,I$11,I$9)/12</f>
        <v>0</v>
      </c>
      <c r="O364">
        <f>IF($A364&gt;=J$10,J$11,J$9)/12</f>
        <v>0</v>
      </c>
      <c r="P364">
        <f>IF($A364&gt;=K$10,K$11,K$9)/12</f>
        <v>0</v>
      </c>
      <c r="Q364">
        <f>IF($A364&gt;=L$10,L$11,L$9)/12</f>
        <v>0</v>
      </c>
      <c r="R364">
        <f>IF($A364&gt;=M$10,M$11,M$9)/12</f>
        <v>0</v>
      </c>
      <c r="S364">
        <f>IF($A364&gt;=N$10,N$11,N$9)/12</f>
        <v>0</v>
      </c>
      <c r="T364">
        <f>IF(C$6="",0,SUMIFS('Budget ed extra'!$G$7:$G$42,'Budget ed extra'!$J$7:$J$42,$A364,'Budget ed extra'!$H$7:$H$42,C$6))</f>
        <v>0</v>
      </c>
      <c r="U364">
        <f>IF(D$6="",0,SUMIFS('Budget ed extra'!$G$7:$G$42,'Budget ed extra'!$J$7:$J$42,$A364,'Budget ed extra'!$H$7:$H$42,D$6))</f>
        <v>0</v>
      </c>
      <c r="V364">
        <f>IF(E$6="",0,SUMIFS('Budget ed extra'!$G$7:$G$42,'Budget ed extra'!$J$7:$J$42,$A364,'Budget ed extra'!$H$7:$H$42,E$6))</f>
        <v>0</v>
      </c>
      <c r="W364">
        <f>IF(F$6="",0,SUMIFS('Budget ed extra'!$G$7:$G$42,'Budget ed extra'!$J$7:$J$42,$A364,'Budget ed extra'!$H$7:$H$42,F$6))</f>
        <v>0</v>
      </c>
      <c r="X364">
        <f>IF(G$6="",0,SUMIFS('Budget ed extra'!$G$7:$G$42,'Budget ed extra'!$J$7:$J$42,$A364,'Budget ed extra'!$H$7:$H$42,G$6))</f>
        <v>0</v>
      </c>
      <c r="Y364">
        <f>IF(H$6="",0,SUMIFS('Budget ed extra'!$G$7:$G$42,'Budget ed extra'!$J$7:$J$42,$A364,'Budget ed extra'!$H$7:$H$42,H$6))</f>
        <v>0</v>
      </c>
      <c r="Z364">
        <f>IF(I$6="",0,SUMIFS('Budget ed extra'!$G$7:$G$42,'Budget ed extra'!$J$7:$J$42,$A364,'Budget ed extra'!$H$7:$H$42,I$6))</f>
        <v>0</v>
      </c>
      <c r="AA364">
        <f>IF(J$6="",0,SUMIFS('Budget ed extra'!$G$7:$G$42,'Budget ed extra'!$J$7:$J$42,$A364,'Budget ed extra'!$H$7:$H$42,J$6))</f>
        <v>0</v>
      </c>
      <c r="AB364">
        <f>IF(K$6="",0,SUMIFS('Budget ed extra'!$G$7:$G$42,'Budget ed extra'!$J$7:$J$42,$A364,'Budget ed extra'!$H$7:$H$42,K$6))</f>
        <v>0</v>
      </c>
      <c r="AC364">
        <f>IF(L$6="",0,SUMIFS('Budget ed extra'!$G$7:$G$42,'Budget ed extra'!$J$7:$J$42,$A364,'Budget ed extra'!$H$7:$H$42,L$6))</f>
        <v>0</v>
      </c>
      <c r="AD364">
        <f>IF(M$6="",0,SUMIFS('Budget ed extra'!$G$7:$G$42,'Budget ed extra'!$J$7:$J$42,$A364,'Budget ed extra'!$H$7:$H$42,M$6))</f>
        <v>0</v>
      </c>
      <c r="AE364">
        <f>IF(N$6="",0,SUMIFS('Budget ed extra'!$G$7:$G$42,'Budget ed extra'!$J$7:$J$42,$A364,'Budget ed extra'!$H$7:$H$42,N$6))</f>
        <v>0</v>
      </c>
    </row>
    <row r="365">
      <c r="A365" t="n">
        <v>335</v>
      </c>
      <c r="B365">
        <f>DATE($B$2,$B$3+A365-1,1)</f>
        <v>56493.0</v>
      </c>
      <c r="C365">
        <f>IF(D365=0,N(Impostazioni!$B$6),SUMIFS('Budget ed extra'!$B$7:$B$18,'Budget ed extra'!$D$7:$D$18,D365)/COUNTIFS('Budget ed extra'!$D$7:$D$18,D365))</f>
        <v>900</v>
      </c>
      <c r="D365">
        <f>SUMPRODUCT(MAX(('Budget ed extra'!$D$7:$D$18&lt;=A365)*'Budget ed extra'!$D$7:$D$18))</f>
        <v>9</v>
      </c>
      <c r="E365">
        <f>SUMIFS('Budget ed extra'!$G$7:$G$42,'Budget ed extra'!$J$7:$J$42,A365)</f>
        <v>0</v>
      </c>
      <c r="F365">
        <f>SUM(T365:AE365)</f>
        <v>0</v>
      </c>
      <c r="G365">
        <f>MAX(0,E365-F365)</f>
        <v>0</v>
      </c>
      <c r="H365">
        <f>IF($A365&gt;=C$10,C$11,C$9)/12</f>
        <v>0.01575</v>
      </c>
      <c r="I365">
        <f>IF($A365&gt;=D$10,D$11,D$9)/12</f>
        <v>0.01825</v>
      </c>
      <c r="J365">
        <f>IF($A365&gt;=E$10,E$11,E$9)/12</f>
        <v>0.00766666666666667</v>
      </c>
      <c r="K365">
        <f>IF($A365&gt;=F$10,F$11,F$9)/12</f>
        <v>0.00533333333333333</v>
      </c>
      <c r="L365">
        <f>IF($A365&gt;=G$10,G$11,G$9)/12</f>
        <v>0</v>
      </c>
      <c r="M365">
        <f>IF($A365&gt;=H$10,H$11,H$9)/12</f>
        <v>0</v>
      </c>
      <c r="N365">
        <f>IF($A365&gt;=I$10,I$11,I$9)/12</f>
        <v>0</v>
      </c>
      <c r="O365">
        <f>IF($A365&gt;=J$10,J$11,J$9)/12</f>
        <v>0</v>
      </c>
      <c r="P365">
        <f>IF($A365&gt;=K$10,K$11,K$9)/12</f>
        <v>0</v>
      </c>
      <c r="Q365">
        <f>IF($A365&gt;=L$10,L$11,L$9)/12</f>
        <v>0</v>
      </c>
      <c r="R365">
        <f>IF($A365&gt;=M$10,M$11,M$9)/12</f>
        <v>0</v>
      </c>
      <c r="S365">
        <f>IF($A365&gt;=N$10,N$11,N$9)/12</f>
        <v>0</v>
      </c>
      <c r="T365">
        <f>IF(C$6="",0,SUMIFS('Budget ed extra'!$G$7:$G$42,'Budget ed extra'!$J$7:$J$42,$A365,'Budget ed extra'!$H$7:$H$42,C$6))</f>
        <v>0</v>
      </c>
      <c r="U365">
        <f>IF(D$6="",0,SUMIFS('Budget ed extra'!$G$7:$G$42,'Budget ed extra'!$J$7:$J$42,$A365,'Budget ed extra'!$H$7:$H$42,D$6))</f>
        <v>0</v>
      </c>
      <c r="V365">
        <f>IF(E$6="",0,SUMIFS('Budget ed extra'!$G$7:$G$42,'Budget ed extra'!$J$7:$J$42,$A365,'Budget ed extra'!$H$7:$H$42,E$6))</f>
        <v>0</v>
      </c>
      <c r="W365">
        <f>IF(F$6="",0,SUMIFS('Budget ed extra'!$G$7:$G$42,'Budget ed extra'!$J$7:$J$42,$A365,'Budget ed extra'!$H$7:$H$42,F$6))</f>
        <v>0</v>
      </c>
      <c r="X365">
        <f>IF(G$6="",0,SUMIFS('Budget ed extra'!$G$7:$G$42,'Budget ed extra'!$J$7:$J$42,$A365,'Budget ed extra'!$H$7:$H$42,G$6))</f>
        <v>0</v>
      </c>
      <c r="Y365">
        <f>IF(H$6="",0,SUMIFS('Budget ed extra'!$G$7:$G$42,'Budget ed extra'!$J$7:$J$42,$A365,'Budget ed extra'!$H$7:$H$42,H$6))</f>
        <v>0</v>
      </c>
      <c r="Z365">
        <f>IF(I$6="",0,SUMIFS('Budget ed extra'!$G$7:$G$42,'Budget ed extra'!$J$7:$J$42,$A365,'Budget ed extra'!$H$7:$H$42,I$6))</f>
        <v>0</v>
      </c>
      <c r="AA365">
        <f>IF(J$6="",0,SUMIFS('Budget ed extra'!$G$7:$G$42,'Budget ed extra'!$J$7:$J$42,$A365,'Budget ed extra'!$H$7:$H$42,J$6))</f>
        <v>0</v>
      </c>
      <c r="AB365">
        <f>IF(K$6="",0,SUMIFS('Budget ed extra'!$G$7:$G$42,'Budget ed extra'!$J$7:$J$42,$A365,'Budget ed extra'!$H$7:$H$42,K$6))</f>
        <v>0</v>
      </c>
      <c r="AC365">
        <f>IF(L$6="",0,SUMIFS('Budget ed extra'!$G$7:$G$42,'Budget ed extra'!$J$7:$J$42,$A365,'Budget ed extra'!$H$7:$H$42,L$6))</f>
        <v>0</v>
      </c>
      <c r="AD365">
        <f>IF(M$6="",0,SUMIFS('Budget ed extra'!$G$7:$G$42,'Budget ed extra'!$J$7:$J$42,$A365,'Budget ed extra'!$H$7:$H$42,M$6))</f>
        <v>0</v>
      </c>
      <c r="AE365">
        <f>IF(N$6="",0,SUMIFS('Budget ed extra'!$G$7:$G$42,'Budget ed extra'!$J$7:$J$42,$A365,'Budget ed extra'!$H$7:$H$42,N$6))</f>
        <v>0</v>
      </c>
    </row>
    <row r="366">
      <c r="A366" t="n">
        <v>336</v>
      </c>
      <c r="B366">
        <f>DATE($B$2,$B$3+A366-1,1)</f>
        <v>56523.0</v>
      </c>
      <c r="C366">
        <f>IF(D366=0,N(Impostazioni!$B$6),SUMIFS('Budget ed extra'!$B$7:$B$18,'Budget ed extra'!$D$7:$D$18,D366)/COUNTIFS('Budget ed extra'!$D$7:$D$18,D366))</f>
        <v>900</v>
      </c>
      <c r="D366">
        <f>SUMPRODUCT(MAX(('Budget ed extra'!$D$7:$D$18&lt;=A366)*'Budget ed extra'!$D$7:$D$18))</f>
        <v>9</v>
      </c>
      <c r="E366">
        <f>SUMIFS('Budget ed extra'!$G$7:$G$42,'Budget ed extra'!$J$7:$J$42,A366)</f>
        <v>0</v>
      </c>
      <c r="F366">
        <f>SUM(T366:AE366)</f>
        <v>0</v>
      </c>
      <c r="G366">
        <f>MAX(0,E366-F366)</f>
        <v>0</v>
      </c>
      <c r="H366">
        <f>IF($A366&gt;=C$10,C$11,C$9)/12</f>
        <v>0.01575</v>
      </c>
      <c r="I366">
        <f>IF($A366&gt;=D$10,D$11,D$9)/12</f>
        <v>0.01825</v>
      </c>
      <c r="J366">
        <f>IF($A366&gt;=E$10,E$11,E$9)/12</f>
        <v>0.00766666666666667</v>
      </c>
      <c r="K366">
        <f>IF($A366&gt;=F$10,F$11,F$9)/12</f>
        <v>0.00533333333333333</v>
      </c>
      <c r="L366">
        <f>IF($A366&gt;=G$10,G$11,G$9)/12</f>
        <v>0</v>
      </c>
      <c r="M366">
        <f>IF($A366&gt;=H$10,H$11,H$9)/12</f>
        <v>0</v>
      </c>
      <c r="N366">
        <f>IF($A366&gt;=I$10,I$11,I$9)/12</f>
        <v>0</v>
      </c>
      <c r="O366">
        <f>IF($A366&gt;=J$10,J$11,J$9)/12</f>
        <v>0</v>
      </c>
      <c r="P366">
        <f>IF($A366&gt;=K$10,K$11,K$9)/12</f>
        <v>0</v>
      </c>
      <c r="Q366">
        <f>IF($A366&gt;=L$10,L$11,L$9)/12</f>
        <v>0</v>
      </c>
      <c r="R366">
        <f>IF($A366&gt;=M$10,M$11,M$9)/12</f>
        <v>0</v>
      </c>
      <c r="S366">
        <f>IF($A366&gt;=N$10,N$11,N$9)/12</f>
        <v>0</v>
      </c>
      <c r="T366">
        <f>IF(C$6="",0,SUMIFS('Budget ed extra'!$G$7:$G$42,'Budget ed extra'!$J$7:$J$42,$A366,'Budget ed extra'!$H$7:$H$42,C$6))</f>
        <v>0</v>
      </c>
      <c r="U366">
        <f>IF(D$6="",0,SUMIFS('Budget ed extra'!$G$7:$G$42,'Budget ed extra'!$J$7:$J$42,$A366,'Budget ed extra'!$H$7:$H$42,D$6))</f>
        <v>0</v>
      </c>
      <c r="V366">
        <f>IF(E$6="",0,SUMIFS('Budget ed extra'!$G$7:$G$42,'Budget ed extra'!$J$7:$J$42,$A366,'Budget ed extra'!$H$7:$H$42,E$6))</f>
        <v>0</v>
      </c>
      <c r="W366">
        <f>IF(F$6="",0,SUMIFS('Budget ed extra'!$G$7:$G$42,'Budget ed extra'!$J$7:$J$42,$A366,'Budget ed extra'!$H$7:$H$42,F$6))</f>
        <v>0</v>
      </c>
      <c r="X366">
        <f>IF(G$6="",0,SUMIFS('Budget ed extra'!$G$7:$G$42,'Budget ed extra'!$J$7:$J$42,$A366,'Budget ed extra'!$H$7:$H$42,G$6))</f>
        <v>0</v>
      </c>
      <c r="Y366">
        <f>IF(H$6="",0,SUMIFS('Budget ed extra'!$G$7:$G$42,'Budget ed extra'!$J$7:$J$42,$A366,'Budget ed extra'!$H$7:$H$42,H$6))</f>
        <v>0</v>
      </c>
      <c r="Z366">
        <f>IF(I$6="",0,SUMIFS('Budget ed extra'!$G$7:$G$42,'Budget ed extra'!$J$7:$J$42,$A366,'Budget ed extra'!$H$7:$H$42,I$6))</f>
        <v>0</v>
      </c>
      <c r="AA366">
        <f>IF(J$6="",0,SUMIFS('Budget ed extra'!$G$7:$G$42,'Budget ed extra'!$J$7:$J$42,$A366,'Budget ed extra'!$H$7:$H$42,J$6))</f>
        <v>0</v>
      </c>
      <c r="AB366">
        <f>IF(K$6="",0,SUMIFS('Budget ed extra'!$G$7:$G$42,'Budget ed extra'!$J$7:$J$42,$A366,'Budget ed extra'!$H$7:$H$42,K$6))</f>
        <v>0</v>
      </c>
      <c r="AC366">
        <f>IF(L$6="",0,SUMIFS('Budget ed extra'!$G$7:$G$42,'Budget ed extra'!$J$7:$J$42,$A366,'Budget ed extra'!$H$7:$H$42,L$6))</f>
        <v>0</v>
      </c>
      <c r="AD366">
        <f>IF(M$6="",0,SUMIFS('Budget ed extra'!$G$7:$G$42,'Budget ed extra'!$J$7:$J$42,$A366,'Budget ed extra'!$H$7:$H$42,M$6))</f>
        <v>0</v>
      </c>
      <c r="AE366">
        <f>IF(N$6="",0,SUMIFS('Budget ed extra'!$G$7:$G$42,'Budget ed extra'!$J$7:$J$42,$A366,'Budget ed extra'!$H$7:$H$42,N$6))</f>
        <v>0</v>
      </c>
    </row>
    <row r="367">
      <c r="A367" t="n">
        <v>337</v>
      </c>
      <c r="B367">
        <f>DATE($B$2,$B$3+A367-1,1)</f>
        <v>56554.0</v>
      </c>
      <c r="C367">
        <f>IF(D367=0,N(Impostazioni!$B$6),SUMIFS('Budget ed extra'!$B$7:$B$18,'Budget ed extra'!$D$7:$D$18,D367)/COUNTIFS('Budget ed extra'!$D$7:$D$18,D367))</f>
        <v>900</v>
      </c>
      <c r="D367">
        <f>SUMPRODUCT(MAX(('Budget ed extra'!$D$7:$D$18&lt;=A367)*'Budget ed extra'!$D$7:$D$18))</f>
        <v>9</v>
      </c>
      <c r="E367">
        <f>SUMIFS('Budget ed extra'!$G$7:$G$42,'Budget ed extra'!$J$7:$J$42,A367)</f>
        <v>0</v>
      </c>
      <c r="F367">
        <f>SUM(T367:AE367)</f>
        <v>0</v>
      </c>
      <c r="G367">
        <f>MAX(0,E367-F367)</f>
        <v>0</v>
      </c>
      <c r="H367">
        <f>IF($A367&gt;=C$10,C$11,C$9)/12</f>
        <v>0.01575</v>
      </c>
      <c r="I367">
        <f>IF($A367&gt;=D$10,D$11,D$9)/12</f>
        <v>0.01825</v>
      </c>
      <c r="J367">
        <f>IF($A367&gt;=E$10,E$11,E$9)/12</f>
        <v>0.00766666666666667</v>
      </c>
      <c r="K367">
        <f>IF($A367&gt;=F$10,F$11,F$9)/12</f>
        <v>0.00533333333333333</v>
      </c>
      <c r="L367">
        <f>IF($A367&gt;=G$10,G$11,G$9)/12</f>
        <v>0</v>
      </c>
      <c r="M367">
        <f>IF($A367&gt;=H$10,H$11,H$9)/12</f>
        <v>0</v>
      </c>
      <c r="N367">
        <f>IF($A367&gt;=I$10,I$11,I$9)/12</f>
        <v>0</v>
      </c>
      <c r="O367">
        <f>IF($A367&gt;=J$10,J$11,J$9)/12</f>
        <v>0</v>
      </c>
      <c r="P367">
        <f>IF($A367&gt;=K$10,K$11,K$9)/12</f>
        <v>0</v>
      </c>
      <c r="Q367">
        <f>IF($A367&gt;=L$10,L$11,L$9)/12</f>
        <v>0</v>
      </c>
      <c r="R367">
        <f>IF($A367&gt;=M$10,M$11,M$9)/12</f>
        <v>0</v>
      </c>
      <c r="S367">
        <f>IF($A367&gt;=N$10,N$11,N$9)/12</f>
        <v>0</v>
      </c>
      <c r="T367">
        <f>IF(C$6="",0,SUMIFS('Budget ed extra'!$G$7:$G$42,'Budget ed extra'!$J$7:$J$42,$A367,'Budget ed extra'!$H$7:$H$42,C$6))</f>
        <v>0</v>
      </c>
      <c r="U367">
        <f>IF(D$6="",0,SUMIFS('Budget ed extra'!$G$7:$G$42,'Budget ed extra'!$J$7:$J$42,$A367,'Budget ed extra'!$H$7:$H$42,D$6))</f>
        <v>0</v>
      </c>
      <c r="V367">
        <f>IF(E$6="",0,SUMIFS('Budget ed extra'!$G$7:$G$42,'Budget ed extra'!$J$7:$J$42,$A367,'Budget ed extra'!$H$7:$H$42,E$6))</f>
        <v>0</v>
      </c>
      <c r="W367">
        <f>IF(F$6="",0,SUMIFS('Budget ed extra'!$G$7:$G$42,'Budget ed extra'!$J$7:$J$42,$A367,'Budget ed extra'!$H$7:$H$42,F$6))</f>
        <v>0</v>
      </c>
      <c r="X367">
        <f>IF(G$6="",0,SUMIFS('Budget ed extra'!$G$7:$G$42,'Budget ed extra'!$J$7:$J$42,$A367,'Budget ed extra'!$H$7:$H$42,G$6))</f>
        <v>0</v>
      </c>
      <c r="Y367">
        <f>IF(H$6="",0,SUMIFS('Budget ed extra'!$G$7:$G$42,'Budget ed extra'!$J$7:$J$42,$A367,'Budget ed extra'!$H$7:$H$42,H$6))</f>
        <v>0</v>
      </c>
      <c r="Z367">
        <f>IF(I$6="",0,SUMIFS('Budget ed extra'!$G$7:$G$42,'Budget ed extra'!$J$7:$J$42,$A367,'Budget ed extra'!$H$7:$H$42,I$6))</f>
        <v>0</v>
      </c>
      <c r="AA367">
        <f>IF(J$6="",0,SUMIFS('Budget ed extra'!$G$7:$G$42,'Budget ed extra'!$J$7:$J$42,$A367,'Budget ed extra'!$H$7:$H$42,J$6))</f>
        <v>0</v>
      </c>
      <c r="AB367">
        <f>IF(K$6="",0,SUMIFS('Budget ed extra'!$G$7:$G$42,'Budget ed extra'!$J$7:$J$42,$A367,'Budget ed extra'!$H$7:$H$42,K$6))</f>
        <v>0</v>
      </c>
      <c r="AC367">
        <f>IF(L$6="",0,SUMIFS('Budget ed extra'!$G$7:$G$42,'Budget ed extra'!$J$7:$J$42,$A367,'Budget ed extra'!$H$7:$H$42,L$6))</f>
        <v>0</v>
      </c>
      <c r="AD367">
        <f>IF(M$6="",0,SUMIFS('Budget ed extra'!$G$7:$G$42,'Budget ed extra'!$J$7:$J$42,$A367,'Budget ed extra'!$H$7:$H$42,M$6))</f>
        <v>0</v>
      </c>
      <c r="AE367">
        <f>IF(N$6="",0,SUMIFS('Budget ed extra'!$G$7:$G$42,'Budget ed extra'!$J$7:$J$42,$A367,'Budget ed extra'!$H$7:$H$42,N$6))</f>
        <v>0</v>
      </c>
    </row>
    <row r="368">
      <c r="A368" t="n">
        <v>338</v>
      </c>
      <c r="B368">
        <f>DATE($B$2,$B$3+A368-1,1)</f>
        <v>56584.0</v>
      </c>
      <c r="C368">
        <f>IF(D368=0,N(Impostazioni!$B$6),SUMIFS('Budget ed extra'!$B$7:$B$18,'Budget ed extra'!$D$7:$D$18,D368)/COUNTIFS('Budget ed extra'!$D$7:$D$18,D368))</f>
        <v>900</v>
      </c>
      <c r="D368">
        <f>SUMPRODUCT(MAX(('Budget ed extra'!$D$7:$D$18&lt;=A368)*'Budget ed extra'!$D$7:$D$18))</f>
        <v>9</v>
      </c>
      <c r="E368">
        <f>SUMIFS('Budget ed extra'!$G$7:$G$42,'Budget ed extra'!$J$7:$J$42,A368)</f>
        <v>0</v>
      </c>
      <c r="F368">
        <f>SUM(T368:AE368)</f>
        <v>0</v>
      </c>
      <c r="G368">
        <f>MAX(0,E368-F368)</f>
        <v>0</v>
      </c>
      <c r="H368">
        <f>IF($A368&gt;=C$10,C$11,C$9)/12</f>
        <v>0.01575</v>
      </c>
      <c r="I368">
        <f>IF($A368&gt;=D$10,D$11,D$9)/12</f>
        <v>0.01825</v>
      </c>
      <c r="J368">
        <f>IF($A368&gt;=E$10,E$11,E$9)/12</f>
        <v>0.00766666666666667</v>
      </c>
      <c r="K368">
        <f>IF($A368&gt;=F$10,F$11,F$9)/12</f>
        <v>0.00533333333333333</v>
      </c>
      <c r="L368">
        <f>IF($A368&gt;=G$10,G$11,G$9)/12</f>
        <v>0</v>
      </c>
      <c r="M368">
        <f>IF($A368&gt;=H$10,H$11,H$9)/12</f>
        <v>0</v>
      </c>
      <c r="N368">
        <f>IF($A368&gt;=I$10,I$11,I$9)/12</f>
        <v>0</v>
      </c>
      <c r="O368">
        <f>IF($A368&gt;=J$10,J$11,J$9)/12</f>
        <v>0</v>
      </c>
      <c r="P368">
        <f>IF($A368&gt;=K$10,K$11,K$9)/12</f>
        <v>0</v>
      </c>
      <c r="Q368">
        <f>IF($A368&gt;=L$10,L$11,L$9)/12</f>
        <v>0</v>
      </c>
      <c r="R368">
        <f>IF($A368&gt;=M$10,M$11,M$9)/12</f>
        <v>0</v>
      </c>
      <c r="S368">
        <f>IF($A368&gt;=N$10,N$11,N$9)/12</f>
        <v>0</v>
      </c>
      <c r="T368">
        <f>IF(C$6="",0,SUMIFS('Budget ed extra'!$G$7:$G$42,'Budget ed extra'!$J$7:$J$42,$A368,'Budget ed extra'!$H$7:$H$42,C$6))</f>
        <v>0</v>
      </c>
      <c r="U368">
        <f>IF(D$6="",0,SUMIFS('Budget ed extra'!$G$7:$G$42,'Budget ed extra'!$J$7:$J$42,$A368,'Budget ed extra'!$H$7:$H$42,D$6))</f>
        <v>0</v>
      </c>
      <c r="V368">
        <f>IF(E$6="",0,SUMIFS('Budget ed extra'!$G$7:$G$42,'Budget ed extra'!$J$7:$J$42,$A368,'Budget ed extra'!$H$7:$H$42,E$6))</f>
        <v>0</v>
      </c>
      <c r="W368">
        <f>IF(F$6="",0,SUMIFS('Budget ed extra'!$G$7:$G$42,'Budget ed extra'!$J$7:$J$42,$A368,'Budget ed extra'!$H$7:$H$42,F$6))</f>
        <v>0</v>
      </c>
      <c r="X368">
        <f>IF(G$6="",0,SUMIFS('Budget ed extra'!$G$7:$G$42,'Budget ed extra'!$J$7:$J$42,$A368,'Budget ed extra'!$H$7:$H$42,G$6))</f>
        <v>0</v>
      </c>
      <c r="Y368">
        <f>IF(H$6="",0,SUMIFS('Budget ed extra'!$G$7:$G$42,'Budget ed extra'!$J$7:$J$42,$A368,'Budget ed extra'!$H$7:$H$42,H$6))</f>
        <v>0</v>
      </c>
      <c r="Z368">
        <f>IF(I$6="",0,SUMIFS('Budget ed extra'!$G$7:$G$42,'Budget ed extra'!$J$7:$J$42,$A368,'Budget ed extra'!$H$7:$H$42,I$6))</f>
        <v>0</v>
      </c>
      <c r="AA368">
        <f>IF(J$6="",0,SUMIFS('Budget ed extra'!$G$7:$G$42,'Budget ed extra'!$J$7:$J$42,$A368,'Budget ed extra'!$H$7:$H$42,J$6))</f>
        <v>0</v>
      </c>
      <c r="AB368">
        <f>IF(K$6="",0,SUMIFS('Budget ed extra'!$G$7:$G$42,'Budget ed extra'!$J$7:$J$42,$A368,'Budget ed extra'!$H$7:$H$42,K$6))</f>
        <v>0</v>
      </c>
      <c r="AC368">
        <f>IF(L$6="",0,SUMIFS('Budget ed extra'!$G$7:$G$42,'Budget ed extra'!$J$7:$J$42,$A368,'Budget ed extra'!$H$7:$H$42,L$6))</f>
        <v>0</v>
      </c>
      <c r="AD368">
        <f>IF(M$6="",0,SUMIFS('Budget ed extra'!$G$7:$G$42,'Budget ed extra'!$J$7:$J$42,$A368,'Budget ed extra'!$H$7:$H$42,M$6))</f>
        <v>0</v>
      </c>
      <c r="AE368">
        <f>IF(N$6="",0,SUMIFS('Budget ed extra'!$G$7:$G$42,'Budget ed extra'!$J$7:$J$42,$A368,'Budget ed extra'!$H$7:$H$42,N$6))</f>
        <v>0</v>
      </c>
    </row>
    <row r="369">
      <c r="A369" t="n">
        <v>339</v>
      </c>
      <c r="B369">
        <f>DATE($B$2,$B$3+A369-1,1)</f>
        <v>56615.0</v>
      </c>
      <c r="C369">
        <f>IF(D369=0,N(Impostazioni!$B$6),SUMIFS('Budget ed extra'!$B$7:$B$18,'Budget ed extra'!$D$7:$D$18,D369)/COUNTIFS('Budget ed extra'!$D$7:$D$18,D369))</f>
        <v>900</v>
      </c>
      <c r="D369">
        <f>SUMPRODUCT(MAX(('Budget ed extra'!$D$7:$D$18&lt;=A369)*'Budget ed extra'!$D$7:$D$18))</f>
        <v>9</v>
      </c>
      <c r="E369">
        <f>SUMIFS('Budget ed extra'!$G$7:$G$42,'Budget ed extra'!$J$7:$J$42,A369)</f>
        <v>0</v>
      </c>
      <c r="F369">
        <f>SUM(T369:AE369)</f>
        <v>0</v>
      </c>
      <c r="G369">
        <f>MAX(0,E369-F369)</f>
        <v>0</v>
      </c>
      <c r="H369">
        <f>IF($A369&gt;=C$10,C$11,C$9)/12</f>
        <v>0.01575</v>
      </c>
      <c r="I369">
        <f>IF($A369&gt;=D$10,D$11,D$9)/12</f>
        <v>0.01825</v>
      </c>
      <c r="J369">
        <f>IF($A369&gt;=E$10,E$11,E$9)/12</f>
        <v>0.00766666666666667</v>
      </c>
      <c r="K369">
        <f>IF($A369&gt;=F$10,F$11,F$9)/12</f>
        <v>0.00533333333333333</v>
      </c>
      <c r="L369">
        <f>IF($A369&gt;=G$10,G$11,G$9)/12</f>
        <v>0</v>
      </c>
      <c r="M369">
        <f>IF($A369&gt;=H$10,H$11,H$9)/12</f>
        <v>0</v>
      </c>
      <c r="N369">
        <f>IF($A369&gt;=I$10,I$11,I$9)/12</f>
        <v>0</v>
      </c>
      <c r="O369">
        <f>IF($A369&gt;=J$10,J$11,J$9)/12</f>
        <v>0</v>
      </c>
      <c r="P369">
        <f>IF($A369&gt;=K$10,K$11,K$9)/12</f>
        <v>0</v>
      </c>
      <c r="Q369">
        <f>IF($A369&gt;=L$10,L$11,L$9)/12</f>
        <v>0</v>
      </c>
      <c r="R369">
        <f>IF($A369&gt;=M$10,M$11,M$9)/12</f>
        <v>0</v>
      </c>
      <c r="S369">
        <f>IF($A369&gt;=N$10,N$11,N$9)/12</f>
        <v>0</v>
      </c>
      <c r="T369">
        <f>IF(C$6="",0,SUMIFS('Budget ed extra'!$G$7:$G$42,'Budget ed extra'!$J$7:$J$42,$A369,'Budget ed extra'!$H$7:$H$42,C$6))</f>
        <v>0</v>
      </c>
      <c r="U369">
        <f>IF(D$6="",0,SUMIFS('Budget ed extra'!$G$7:$G$42,'Budget ed extra'!$J$7:$J$42,$A369,'Budget ed extra'!$H$7:$H$42,D$6))</f>
        <v>0</v>
      </c>
      <c r="V369">
        <f>IF(E$6="",0,SUMIFS('Budget ed extra'!$G$7:$G$42,'Budget ed extra'!$J$7:$J$42,$A369,'Budget ed extra'!$H$7:$H$42,E$6))</f>
        <v>0</v>
      </c>
      <c r="W369">
        <f>IF(F$6="",0,SUMIFS('Budget ed extra'!$G$7:$G$42,'Budget ed extra'!$J$7:$J$42,$A369,'Budget ed extra'!$H$7:$H$42,F$6))</f>
        <v>0</v>
      </c>
      <c r="X369">
        <f>IF(G$6="",0,SUMIFS('Budget ed extra'!$G$7:$G$42,'Budget ed extra'!$J$7:$J$42,$A369,'Budget ed extra'!$H$7:$H$42,G$6))</f>
        <v>0</v>
      </c>
      <c r="Y369">
        <f>IF(H$6="",0,SUMIFS('Budget ed extra'!$G$7:$G$42,'Budget ed extra'!$J$7:$J$42,$A369,'Budget ed extra'!$H$7:$H$42,H$6))</f>
        <v>0</v>
      </c>
      <c r="Z369">
        <f>IF(I$6="",0,SUMIFS('Budget ed extra'!$G$7:$G$42,'Budget ed extra'!$J$7:$J$42,$A369,'Budget ed extra'!$H$7:$H$42,I$6))</f>
        <v>0</v>
      </c>
      <c r="AA369">
        <f>IF(J$6="",0,SUMIFS('Budget ed extra'!$G$7:$G$42,'Budget ed extra'!$J$7:$J$42,$A369,'Budget ed extra'!$H$7:$H$42,J$6))</f>
        <v>0</v>
      </c>
      <c r="AB369">
        <f>IF(K$6="",0,SUMIFS('Budget ed extra'!$G$7:$G$42,'Budget ed extra'!$J$7:$J$42,$A369,'Budget ed extra'!$H$7:$H$42,K$6))</f>
        <v>0</v>
      </c>
      <c r="AC369">
        <f>IF(L$6="",0,SUMIFS('Budget ed extra'!$G$7:$G$42,'Budget ed extra'!$J$7:$J$42,$A369,'Budget ed extra'!$H$7:$H$42,L$6))</f>
        <v>0</v>
      </c>
      <c r="AD369">
        <f>IF(M$6="",0,SUMIFS('Budget ed extra'!$G$7:$G$42,'Budget ed extra'!$J$7:$J$42,$A369,'Budget ed extra'!$H$7:$H$42,M$6))</f>
        <v>0</v>
      </c>
      <c r="AE369">
        <f>IF(N$6="",0,SUMIFS('Budget ed extra'!$G$7:$G$42,'Budget ed extra'!$J$7:$J$42,$A369,'Budget ed extra'!$H$7:$H$42,N$6))</f>
        <v>0</v>
      </c>
    </row>
    <row r="370">
      <c r="A370" t="n">
        <v>340</v>
      </c>
      <c r="B370">
        <f>DATE($B$2,$B$3+A370-1,1)</f>
        <v>56646.0</v>
      </c>
      <c r="C370">
        <f>IF(D370=0,N(Impostazioni!$B$6),SUMIFS('Budget ed extra'!$B$7:$B$18,'Budget ed extra'!$D$7:$D$18,D370)/COUNTIFS('Budget ed extra'!$D$7:$D$18,D370))</f>
        <v>900</v>
      </c>
      <c r="D370">
        <f>SUMPRODUCT(MAX(('Budget ed extra'!$D$7:$D$18&lt;=A370)*'Budget ed extra'!$D$7:$D$18))</f>
        <v>9</v>
      </c>
      <c r="E370">
        <f>SUMIFS('Budget ed extra'!$G$7:$G$42,'Budget ed extra'!$J$7:$J$42,A370)</f>
        <v>0</v>
      </c>
      <c r="F370">
        <f>SUM(T370:AE370)</f>
        <v>0</v>
      </c>
      <c r="G370">
        <f>MAX(0,E370-F370)</f>
        <v>0</v>
      </c>
      <c r="H370">
        <f>IF($A370&gt;=C$10,C$11,C$9)/12</f>
        <v>0.01575</v>
      </c>
      <c r="I370">
        <f>IF($A370&gt;=D$10,D$11,D$9)/12</f>
        <v>0.01825</v>
      </c>
      <c r="J370">
        <f>IF($A370&gt;=E$10,E$11,E$9)/12</f>
        <v>0.00766666666666667</v>
      </c>
      <c r="K370">
        <f>IF($A370&gt;=F$10,F$11,F$9)/12</f>
        <v>0.00533333333333333</v>
      </c>
      <c r="L370">
        <f>IF($A370&gt;=G$10,G$11,G$9)/12</f>
        <v>0</v>
      </c>
      <c r="M370">
        <f>IF($A370&gt;=H$10,H$11,H$9)/12</f>
        <v>0</v>
      </c>
      <c r="N370">
        <f>IF($A370&gt;=I$10,I$11,I$9)/12</f>
        <v>0</v>
      </c>
      <c r="O370">
        <f>IF($A370&gt;=J$10,J$11,J$9)/12</f>
        <v>0</v>
      </c>
      <c r="P370">
        <f>IF($A370&gt;=K$10,K$11,K$9)/12</f>
        <v>0</v>
      </c>
      <c r="Q370">
        <f>IF($A370&gt;=L$10,L$11,L$9)/12</f>
        <v>0</v>
      </c>
      <c r="R370">
        <f>IF($A370&gt;=M$10,M$11,M$9)/12</f>
        <v>0</v>
      </c>
      <c r="S370">
        <f>IF($A370&gt;=N$10,N$11,N$9)/12</f>
        <v>0</v>
      </c>
      <c r="T370">
        <f>IF(C$6="",0,SUMIFS('Budget ed extra'!$G$7:$G$42,'Budget ed extra'!$J$7:$J$42,$A370,'Budget ed extra'!$H$7:$H$42,C$6))</f>
        <v>0</v>
      </c>
      <c r="U370">
        <f>IF(D$6="",0,SUMIFS('Budget ed extra'!$G$7:$G$42,'Budget ed extra'!$J$7:$J$42,$A370,'Budget ed extra'!$H$7:$H$42,D$6))</f>
        <v>0</v>
      </c>
      <c r="V370">
        <f>IF(E$6="",0,SUMIFS('Budget ed extra'!$G$7:$G$42,'Budget ed extra'!$J$7:$J$42,$A370,'Budget ed extra'!$H$7:$H$42,E$6))</f>
        <v>0</v>
      </c>
      <c r="W370">
        <f>IF(F$6="",0,SUMIFS('Budget ed extra'!$G$7:$G$42,'Budget ed extra'!$J$7:$J$42,$A370,'Budget ed extra'!$H$7:$H$42,F$6))</f>
        <v>0</v>
      </c>
      <c r="X370">
        <f>IF(G$6="",0,SUMIFS('Budget ed extra'!$G$7:$G$42,'Budget ed extra'!$J$7:$J$42,$A370,'Budget ed extra'!$H$7:$H$42,G$6))</f>
        <v>0</v>
      </c>
      <c r="Y370">
        <f>IF(H$6="",0,SUMIFS('Budget ed extra'!$G$7:$G$42,'Budget ed extra'!$J$7:$J$42,$A370,'Budget ed extra'!$H$7:$H$42,H$6))</f>
        <v>0</v>
      </c>
      <c r="Z370">
        <f>IF(I$6="",0,SUMIFS('Budget ed extra'!$G$7:$G$42,'Budget ed extra'!$J$7:$J$42,$A370,'Budget ed extra'!$H$7:$H$42,I$6))</f>
        <v>0</v>
      </c>
      <c r="AA370">
        <f>IF(J$6="",0,SUMIFS('Budget ed extra'!$G$7:$G$42,'Budget ed extra'!$J$7:$J$42,$A370,'Budget ed extra'!$H$7:$H$42,J$6))</f>
        <v>0</v>
      </c>
      <c r="AB370">
        <f>IF(K$6="",0,SUMIFS('Budget ed extra'!$G$7:$G$42,'Budget ed extra'!$J$7:$J$42,$A370,'Budget ed extra'!$H$7:$H$42,K$6))</f>
        <v>0</v>
      </c>
      <c r="AC370">
        <f>IF(L$6="",0,SUMIFS('Budget ed extra'!$G$7:$G$42,'Budget ed extra'!$J$7:$J$42,$A370,'Budget ed extra'!$H$7:$H$42,L$6))</f>
        <v>0</v>
      </c>
      <c r="AD370">
        <f>IF(M$6="",0,SUMIFS('Budget ed extra'!$G$7:$G$42,'Budget ed extra'!$J$7:$J$42,$A370,'Budget ed extra'!$H$7:$H$42,M$6))</f>
        <v>0</v>
      </c>
      <c r="AE370">
        <f>IF(N$6="",0,SUMIFS('Budget ed extra'!$G$7:$G$42,'Budget ed extra'!$J$7:$J$42,$A370,'Budget ed extra'!$H$7:$H$42,N$6))</f>
        <v>0</v>
      </c>
    </row>
    <row r="371">
      <c r="A371" t="n">
        <v>341</v>
      </c>
      <c r="B371">
        <f>DATE($B$2,$B$3+A371-1,1)</f>
        <v>56674.0</v>
      </c>
      <c r="C371">
        <f>IF(D371=0,N(Impostazioni!$B$6),SUMIFS('Budget ed extra'!$B$7:$B$18,'Budget ed extra'!$D$7:$D$18,D371)/COUNTIFS('Budget ed extra'!$D$7:$D$18,D371))</f>
        <v>900</v>
      </c>
      <c r="D371">
        <f>SUMPRODUCT(MAX(('Budget ed extra'!$D$7:$D$18&lt;=A371)*'Budget ed extra'!$D$7:$D$18))</f>
        <v>9</v>
      </c>
      <c r="E371">
        <f>SUMIFS('Budget ed extra'!$G$7:$G$42,'Budget ed extra'!$J$7:$J$42,A371)</f>
        <v>0</v>
      </c>
      <c r="F371">
        <f>SUM(T371:AE371)</f>
        <v>0</v>
      </c>
      <c r="G371">
        <f>MAX(0,E371-F371)</f>
        <v>0</v>
      </c>
      <c r="H371">
        <f>IF($A371&gt;=C$10,C$11,C$9)/12</f>
        <v>0.01575</v>
      </c>
      <c r="I371">
        <f>IF($A371&gt;=D$10,D$11,D$9)/12</f>
        <v>0.01825</v>
      </c>
      <c r="J371">
        <f>IF($A371&gt;=E$10,E$11,E$9)/12</f>
        <v>0.00766666666666667</v>
      </c>
      <c r="K371">
        <f>IF($A371&gt;=F$10,F$11,F$9)/12</f>
        <v>0.00533333333333333</v>
      </c>
      <c r="L371">
        <f>IF($A371&gt;=G$10,G$11,G$9)/12</f>
        <v>0</v>
      </c>
      <c r="M371">
        <f>IF($A371&gt;=H$10,H$11,H$9)/12</f>
        <v>0</v>
      </c>
      <c r="N371">
        <f>IF($A371&gt;=I$10,I$11,I$9)/12</f>
        <v>0</v>
      </c>
      <c r="O371">
        <f>IF($A371&gt;=J$10,J$11,J$9)/12</f>
        <v>0</v>
      </c>
      <c r="P371">
        <f>IF($A371&gt;=K$10,K$11,K$9)/12</f>
        <v>0</v>
      </c>
      <c r="Q371">
        <f>IF($A371&gt;=L$10,L$11,L$9)/12</f>
        <v>0</v>
      </c>
      <c r="R371">
        <f>IF($A371&gt;=M$10,M$11,M$9)/12</f>
        <v>0</v>
      </c>
      <c r="S371">
        <f>IF($A371&gt;=N$10,N$11,N$9)/12</f>
        <v>0</v>
      </c>
      <c r="T371">
        <f>IF(C$6="",0,SUMIFS('Budget ed extra'!$G$7:$G$42,'Budget ed extra'!$J$7:$J$42,$A371,'Budget ed extra'!$H$7:$H$42,C$6))</f>
        <v>0</v>
      </c>
      <c r="U371">
        <f>IF(D$6="",0,SUMIFS('Budget ed extra'!$G$7:$G$42,'Budget ed extra'!$J$7:$J$42,$A371,'Budget ed extra'!$H$7:$H$42,D$6))</f>
        <v>0</v>
      </c>
      <c r="V371">
        <f>IF(E$6="",0,SUMIFS('Budget ed extra'!$G$7:$G$42,'Budget ed extra'!$J$7:$J$42,$A371,'Budget ed extra'!$H$7:$H$42,E$6))</f>
        <v>0</v>
      </c>
      <c r="W371">
        <f>IF(F$6="",0,SUMIFS('Budget ed extra'!$G$7:$G$42,'Budget ed extra'!$J$7:$J$42,$A371,'Budget ed extra'!$H$7:$H$42,F$6))</f>
        <v>0</v>
      </c>
      <c r="X371">
        <f>IF(G$6="",0,SUMIFS('Budget ed extra'!$G$7:$G$42,'Budget ed extra'!$J$7:$J$42,$A371,'Budget ed extra'!$H$7:$H$42,G$6))</f>
        <v>0</v>
      </c>
      <c r="Y371">
        <f>IF(H$6="",0,SUMIFS('Budget ed extra'!$G$7:$G$42,'Budget ed extra'!$J$7:$J$42,$A371,'Budget ed extra'!$H$7:$H$42,H$6))</f>
        <v>0</v>
      </c>
      <c r="Z371">
        <f>IF(I$6="",0,SUMIFS('Budget ed extra'!$G$7:$G$42,'Budget ed extra'!$J$7:$J$42,$A371,'Budget ed extra'!$H$7:$H$42,I$6))</f>
        <v>0</v>
      </c>
      <c r="AA371">
        <f>IF(J$6="",0,SUMIFS('Budget ed extra'!$G$7:$G$42,'Budget ed extra'!$J$7:$J$42,$A371,'Budget ed extra'!$H$7:$H$42,J$6))</f>
        <v>0</v>
      </c>
      <c r="AB371">
        <f>IF(K$6="",0,SUMIFS('Budget ed extra'!$G$7:$G$42,'Budget ed extra'!$J$7:$J$42,$A371,'Budget ed extra'!$H$7:$H$42,K$6))</f>
        <v>0</v>
      </c>
      <c r="AC371">
        <f>IF(L$6="",0,SUMIFS('Budget ed extra'!$G$7:$G$42,'Budget ed extra'!$J$7:$J$42,$A371,'Budget ed extra'!$H$7:$H$42,L$6))</f>
        <v>0</v>
      </c>
      <c r="AD371">
        <f>IF(M$6="",0,SUMIFS('Budget ed extra'!$G$7:$G$42,'Budget ed extra'!$J$7:$J$42,$A371,'Budget ed extra'!$H$7:$H$42,M$6))</f>
        <v>0</v>
      </c>
      <c r="AE371">
        <f>IF(N$6="",0,SUMIFS('Budget ed extra'!$G$7:$G$42,'Budget ed extra'!$J$7:$J$42,$A371,'Budget ed extra'!$H$7:$H$42,N$6))</f>
        <v>0</v>
      </c>
    </row>
    <row r="372">
      <c r="A372" t="n">
        <v>342</v>
      </c>
      <c r="B372">
        <f>DATE($B$2,$B$3+A372-1,1)</f>
        <v>56705.0</v>
      </c>
      <c r="C372">
        <f>IF(D372=0,N(Impostazioni!$B$6),SUMIFS('Budget ed extra'!$B$7:$B$18,'Budget ed extra'!$D$7:$D$18,D372)/COUNTIFS('Budget ed extra'!$D$7:$D$18,D372))</f>
        <v>900</v>
      </c>
      <c r="D372">
        <f>SUMPRODUCT(MAX(('Budget ed extra'!$D$7:$D$18&lt;=A372)*'Budget ed extra'!$D$7:$D$18))</f>
        <v>9</v>
      </c>
      <c r="E372">
        <f>SUMIFS('Budget ed extra'!$G$7:$G$42,'Budget ed extra'!$J$7:$J$42,A372)</f>
        <v>0</v>
      </c>
      <c r="F372">
        <f>SUM(T372:AE372)</f>
        <v>0</v>
      </c>
      <c r="G372">
        <f>MAX(0,E372-F372)</f>
        <v>0</v>
      </c>
      <c r="H372">
        <f>IF($A372&gt;=C$10,C$11,C$9)/12</f>
        <v>0.01575</v>
      </c>
      <c r="I372">
        <f>IF($A372&gt;=D$10,D$11,D$9)/12</f>
        <v>0.01825</v>
      </c>
      <c r="J372">
        <f>IF($A372&gt;=E$10,E$11,E$9)/12</f>
        <v>0.00766666666666667</v>
      </c>
      <c r="K372">
        <f>IF($A372&gt;=F$10,F$11,F$9)/12</f>
        <v>0.00533333333333333</v>
      </c>
      <c r="L372">
        <f>IF($A372&gt;=G$10,G$11,G$9)/12</f>
        <v>0</v>
      </c>
      <c r="M372">
        <f>IF($A372&gt;=H$10,H$11,H$9)/12</f>
        <v>0</v>
      </c>
      <c r="N372">
        <f>IF($A372&gt;=I$10,I$11,I$9)/12</f>
        <v>0</v>
      </c>
      <c r="O372">
        <f>IF($A372&gt;=J$10,J$11,J$9)/12</f>
        <v>0</v>
      </c>
      <c r="P372">
        <f>IF($A372&gt;=K$10,K$11,K$9)/12</f>
        <v>0</v>
      </c>
      <c r="Q372">
        <f>IF($A372&gt;=L$10,L$11,L$9)/12</f>
        <v>0</v>
      </c>
      <c r="R372">
        <f>IF($A372&gt;=M$10,M$11,M$9)/12</f>
        <v>0</v>
      </c>
      <c r="S372">
        <f>IF($A372&gt;=N$10,N$11,N$9)/12</f>
        <v>0</v>
      </c>
      <c r="T372">
        <f>IF(C$6="",0,SUMIFS('Budget ed extra'!$G$7:$G$42,'Budget ed extra'!$J$7:$J$42,$A372,'Budget ed extra'!$H$7:$H$42,C$6))</f>
        <v>0</v>
      </c>
      <c r="U372">
        <f>IF(D$6="",0,SUMIFS('Budget ed extra'!$G$7:$G$42,'Budget ed extra'!$J$7:$J$42,$A372,'Budget ed extra'!$H$7:$H$42,D$6))</f>
        <v>0</v>
      </c>
      <c r="V372">
        <f>IF(E$6="",0,SUMIFS('Budget ed extra'!$G$7:$G$42,'Budget ed extra'!$J$7:$J$42,$A372,'Budget ed extra'!$H$7:$H$42,E$6))</f>
        <v>0</v>
      </c>
      <c r="W372">
        <f>IF(F$6="",0,SUMIFS('Budget ed extra'!$G$7:$G$42,'Budget ed extra'!$J$7:$J$42,$A372,'Budget ed extra'!$H$7:$H$42,F$6))</f>
        <v>0</v>
      </c>
      <c r="X372">
        <f>IF(G$6="",0,SUMIFS('Budget ed extra'!$G$7:$G$42,'Budget ed extra'!$J$7:$J$42,$A372,'Budget ed extra'!$H$7:$H$42,G$6))</f>
        <v>0</v>
      </c>
      <c r="Y372">
        <f>IF(H$6="",0,SUMIFS('Budget ed extra'!$G$7:$G$42,'Budget ed extra'!$J$7:$J$42,$A372,'Budget ed extra'!$H$7:$H$42,H$6))</f>
        <v>0</v>
      </c>
      <c r="Z372">
        <f>IF(I$6="",0,SUMIFS('Budget ed extra'!$G$7:$G$42,'Budget ed extra'!$J$7:$J$42,$A372,'Budget ed extra'!$H$7:$H$42,I$6))</f>
        <v>0</v>
      </c>
      <c r="AA372">
        <f>IF(J$6="",0,SUMIFS('Budget ed extra'!$G$7:$G$42,'Budget ed extra'!$J$7:$J$42,$A372,'Budget ed extra'!$H$7:$H$42,J$6))</f>
        <v>0</v>
      </c>
      <c r="AB372">
        <f>IF(K$6="",0,SUMIFS('Budget ed extra'!$G$7:$G$42,'Budget ed extra'!$J$7:$J$42,$A372,'Budget ed extra'!$H$7:$H$42,K$6))</f>
        <v>0</v>
      </c>
      <c r="AC372">
        <f>IF(L$6="",0,SUMIFS('Budget ed extra'!$G$7:$G$42,'Budget ed extra'!$J$7:$J$42,$A372,'Budget ed extra'!$H$7:$H$42,L$6))</f>
        <v>0</v>
      </c>
      <c r="AD372">
        <f>IF(M$6="",0,SUMIFS('Budget ed extra'!$G$7:$G$42,'Budget ed extra'!$J$7:$J$42,$A372,'Budget ed extra'!$H$7:$H$42,M$6))</f>
        <v>0</v>
      </c>
      <c r="AE372">
        <f>IF(N$6="",0,SUMIFS('Budget ed extra'!$G$7:$G$42,'Budget ed extra'!$J$7:$J$42,$A372,'Budget ed extra'!$H$7:$H$42,N$6))</f>
        <v>0</v>
      </c>
    </row>
    <row r="373">
      <c r="A373" t="n">
        <v>343</v>
      </c>
      <c r="B373">
        <f>DATE($B$2,$B$3+A373-1,1)</f>
        <v>56735.0</v>
      </c>
      <c r="C373">
        <f>IF(D373=0,N(Impostazioni!$B$6),SUMIFS('Budget ed extra'!$B$7:$B$18,'Budget ed extra'!$D$7:$D$18,D373)/COUNTIFS('Budget ed extra'!$D$7:$D$18,D373))</f>
        <v>900</v>
      </c>
      <c r="D373">
        <f>SUMPRODUCT(MAX(('Budget ed extra'!$D$7:$D$18&lt;=A373)*'Budget ed extra'!$D$7:$D$18))</f>
        <v>9</v>
      </c>
      <c r="E373">
        <f>SUMIFS('Budget ed extra'!$G$7:$G$42,'Budget ed extra'!$J$7:$J$42,A373)</f>
        <v>0</v>
      </c>
      <c r="F373">
        <f>SUM(T373:AE373)</f>
        <v>0</v>
      </c>
      <c r="G373">
        <f>MAX(0,E373-F373)</f>
        <v>0</v>
      </c>
      <c r="H373">
        <f>IF($A373&gt;=C$10,C$11,C$9)/12</f>
        <v>0.01575</v>
      </c>
      <c r="I373">
        <f>IF($A373&gt;=D$10,D$11,D$9)/12</f>
        <v>0.01825</v>
      </c>
      <c r="J373">
        <f>IF($A373&gt;=E$10,E$11,E$9)/12</f>
        <v>0.00766666666666667</v>
      </c>
      <c r="K373">
        <f>IF($A373&gt;=F$10,F$11,F$9)/12</f>
        <v>0.00533333333333333</v>
      </c>
      <c r="L373">
        <f>IF($A373&gt;=G$10,G$11,G$9)/12</f>
        <v>0</v>
      </c>
      <c r="M373">
        <f>IF($A373&gt;=H$10,H$11,H$9)/12</f>
        <v>0</v>
      </c>
      <c r="N373">
        <f>IF($A373&gt;=I$10,I$11,I$9)/12</f>
        <v>0</v>
      </c>
      <c r="O373">
        <f>IF($A373&gt;=J$10,J$11,J$9)/12</f>
        <v>0</v>
      </c>
      <c r="P373">
        <f>IF($A373&gt;=K$10,K$11,K$9)/12</f>
        <v>0</v>
      </c>
      <c r="Q373">
        <f>IF($A373&gt;=L$10,L$11,L$9)/12</f>
        <v>0</v>
      </c>
      <c r="R373">
        <f>IF($A373&gt;=M$10,M$11,M$9)/12</f>
        <v>0</v>
      </c>
      <c r="S373">
        <f>IF($A373&gt;=N$10,N$11,N$9)/12</f>
        <v>0</v>
      </c>
      <c r="T373">
        <f>IF(C$6="",0,SUMIFS('Budget ed extra'!$G$7:$G$42,'Budget ed extra'!$J$7:$J$42,$A373,'Budget ed extra'!$H$7:$H$42,C$6))</f>
        <v>0</v>
      </c>
      <c r="U373">
        <f>IF(D$6="",0,SUMIFS('Budget ed extra'!$G$7:$G$42,'Budget ed extra'!$J$7:$J$42,$A373,'Budget ed extra'!$H$7:$H$42,D$6))</f>
        <v>0</v>
      </c>
      <c r="V373">
        <f>IF(E$6="",0,SUMIFS('Budget ed extra'!$G$7:$G$42,'Budget ed extra'!$J$7:$J$42,$A373,'Budget ed extra'!$H$7:$H$42,E$6))</f>
        <v>0</v>
      </c>
      <c r="W373">
        <f>IF(F$6="",0,SUMIFS('Budget ed extra'!$G$7:$G$42,'Budget ed extra'!$J$7:$J$42,$A373,'Budget ed extra'!$H$7:$H$42,F$6))</f>
        <v>0</v>
      </c>
      <c r="X373">
        <f>IF(G$6="",0,SUMIFS('Budget ed extra'!$G$7:$G$42,'Budget ed extra'!$J$7:$J$42,$A373,'Budget ed extra'!$H$7:$H$42,G$6))</f>
        <v>0</v>
      </c>
      <c r="Y373">
        <f>IF(H$6="",0,SUMIFS('Budget ed extra'!$G$7:$G$42,'Budget ed extra'!$J$7:$J$42,$A373,'Budget ed extra'!$H$7:$H$42,H$6))</f>
        <v>0</v>
      </c>
      <c r="Z373">
        <f>IF(I$6="",0,SUMIFS('Budget ed extra'!$G$7:$G$42,'Budget ed extra'!$J$7:$J$42,$A373,'Budget ed extra'!$H$7:$H$42,I$6))</f>
        <v>0</v>
      </c>
      <c r="AA373">
        <f>IF(J$6="",0,SUMIFS('Budget ed extra'!$G$7:$G$42,'Budget ed extra'!$J$7:$J$42,$A373,'Budget ed extra'!$H$7:$H$42,J$6))</f>
        <v>0</v>
      </c>
      <c r="AB373">
        <f>IF(K$6="",0,SUMIFS('Budget ed extra'!$G$7:$G$42,'Budget ed extra'!$J$7:$J$42,$A373,'Budget ed extra'!$H$7:$H$42,K$6))</f>
        <v>0</v>
      </c>
      <c r="AC373">
        <f>IF(L$6="",0,SUMIFS('Budget ed extra'!$G$7:$G$42,'Budget ed extra'!$J$7:$J$42,$A373,'Budget ed extra'!$H$7:$H$42,L$6))</f>
        <v>0</v>
      </c>
      <c r="AD373">
        <f>IF(M$6="",0,SUMIFS('Budget ed extra'!$G$7:$G$42,'Budget ed extra'!$J$7:$J$42,$A373,'Budget ed extra'!$H$7:$H$42,M$6))</f>
        <v>0</v>
      </c>
      <c r="AE373">
        <f>IF(N$6="",0,SUMIFS('Budget ed extra'!$G$7:$G$42,'Budget ed extra'!$J$7:$J$42,$A373,'Budget ed extra'!$H$7:$H$42,N$6))</f>
        <v>0</v>
      </c>
    </row>
    <row r="374">
      <c r="A374" t="n">
        <v>344</v>
      </c>
      <c r="B374">
        <f>DATE($B$2,$B$3+A374-1,1)</f>
        <v>56766.0</v>
      </c>
      <c r="C374">
        <f>IF(D374=0,N(Impostazioni!$B$6),SUMIFS('Budget ed extra'!$B$7:$B$18,'Budget ed extra'!$D$7:$D$18,D374)/COUNTIFS('Budget ed extra'!$D$7:$D$18,D374))</f>
        <v>900</v>
      </c>
      <c r="D374">
        <f>SUMPRODUCT(MAX(('Budget ed extra'!$D$7:$D$18&lt;=A374)*'Budget ed extra'!$D$7:$D$18))</f>
        <v>9</v>
      </c>
      <c r="E374">
        <f>SUMIFS('Budget ed extra'!$G$7:$G$42,'Budget ed extra'!$J$7:$J$42,A374)</f>
        <v>0</v>
      </c>
      <c r="F374">
        <f>SUM(T374:AE374)</f>
        <v>0</v>
      </c>
      <c r="G374">
        <f>MAX(0,E374-F374)</f>
        <v>0</v>
      </c>
      <c r="H374">
        <f>IF($A374&gt;=C$10,C$11,C$9)/12</f>
        <v>0.01575</v>
      </c>
      <c r="I374">
        <f>IF($A374&gt;=D$10,D$11,D$9)/12</f>
        <v>0.01825</v>
      </c>
      <c r="J374">
        <f>IF($A374&gt;=E$10,E$11,E$9)/12</f>
        <v>0.00766666666666667</v>
      </c>
      <c r="K374">
        <f>IF($A374&gt;=F$10,F$11,F$9)/12</f>
        <v>0.00533333333333333</v>
      </c>
      <c r="L374">
        <f>IF($A374&gt;=G$10,G$11,G$9)/12</f>
        <v>0</v>
      </c>
      <c r="M374">
        <f>IF($A374&gt;=H$10,H$11,H$9)/12</f>
        <v>0</v>
      </c>
      <c r="N374">
        <f>IF($A374&gt;=I$10,I$11,I$9)/12</f>
        <v>0</v>
      </c>
      <c r="O374">
        <f>IF($A374&gt;=J$10,J$11,J$9)/12</f>
        <v>0</v>
      </c>
      <c r="P374">
        <f>IF($A374&gt;=K$10,K$11,K$9)/12</f>
        <v>0</v>
      </c>
      <c r="Q374">
        <f>IF($A374&gt;=L$10,L$11,L$9)/12</f>
        <v>0</v>
      </c>
      <c r="R374">
        <f>IF($A374&gt;=M$10,M$11,M$9)/12</f>
        <v>0</v>
      </c>
      <c r="S374">
        <f>IF($A374&gt;=N$10,N$11,N$9)/12</f>
        <v>0</v>
      </c>
      <c r="T374">
        <f>IF(C$6="",0,SUMIFS('Budget ed extra'!$G$7:$G$42,'Budget ed extra'!$J$7:$J$42,$A374,'Budget ed extra'!$H$7:$H$42,C$6))</f>
        <v>0</v>
      </c>
      <c r="U374">
        <f>IF(D$6="",0,SUMIFS('Budget ed extra'!$G$7:$G$42,'Budget ed extra'!$J$7:$J$42,$A374,'Budget ed extra'!$H$7:$H$42,D$6))</f>
        <v>0</v>
      </c>
      <c r="V374">
        <f>IF(E$6="",0,SUMIFS('Budget ed extra'!$G$7:$G$42,'Budget ed extra'!$J$7:$J$42,$A374,'Budget ed extra'!$H$7:$H$42,E$6))</f>
        <v>0</v>
      </c>
      <c r="W374">
        <f>IF(F$6="",0,SUMIFS('Budget ed extra'!$G$7:$G$42,'Budget ed extra'!$J$7:$J$42,$A374,'Budget ed extra'!$H$7:$H$42,F$6))</f>
        <v>0</v>
      </c>
      <c r="X374">
        <f>IF(G$6="",0,SUMIFS('Budget ed extra'!$G$7:$G$42,'Budget ed extra'!$J$7:$J$42,$A374,'Budget ed extra'!$H$7:$H$42,G$6))</f>
        <v>0</v>
      </c>
      <c r="Y374">
        <f>IF(H$6="",0,SUMIFS('Budget ed extra'!$G$7:$G$42,'Budget ed extra'!$J$7:$J$42,$A374,'Budget ed extra'!$H$7:$H$42,H$6))</f>
        <v>0</v>
      </c>
      <c r="Z374">
        <f>IF(I$6="",0,SUMIFS('Budget ed extra'!$G$7:$G$42,'Budget ed extra'!$J$7:$J$42,$A374,'Budget ed extra'!$H$7:$H$42,I$6))</f>
        <v>0</v>
      </c>
      <c r="AA374">
        <f>IF(J$6="",0,SUMIFS('Budget ed extra'!$G$7:$G$42,'Budget ed extra'!$J$7:$J$42,$A374,'Budget ed extra'!$H$7:$H$42,J$6))</f>
        <v>0</v>
      </c>
      <c r="AB374">
        <f>IF(K$6="",0,SUMIFS('Budget ed extra'!$G$7:$G$42,'Budget ed extra'!$J$7:$J$42,$A374,'Budget ed extra'!$H$7:$H$42,K$6))</f>
        <v>0</v>
      </c>
      <c r="AC374">
        <f>IF(L$6="",0,SUMIFS('Budget ed extra'!$G$7:$G$42,'Budget ed extra'!$J$7:$J$42,$A374,'Budget ed extra'!$H$7:$H$42,L$6))</f>
        <v>0</v>
      </c>
      <c r="AD374">
        <f>IF(M$6="",0,SUMIFS('Budget ed extra'!$G$7:$G$42,'Budget ed extra'!$J$7:$J$42,$A374,'Budget ed extra'!$H$7:$H$42,M$6))</f>
        <v>0</v>
      </c>
      <c r="AE374">
        <f>IF(N$6="",0,SUMIFS('Budget ed extra'!$G$7:$G$42,'Budget ed extra'!$J$7:$J$42,$A374,'Budget ed extra'!$H$7:$H$42,N$6))</f>
        <v>0</v>
      </c>
    </row>
    <row r="375">
      <c r="A375" t="n">
        <v>345</v>
      </c>
      <c r="B375">
        <f>DATE($B$2,$B$3+A375-1,1)</f>
        <v>56796.0</v>
      </c>
      <c r="C375">
        <f>IF(D375=0,N(Impostazioni!$B$6),SUMIFS('Budget ed extra'!$B$7:$B$18,'Budget ed extra'!$D$7:$D$18,D375)/COUNTIFS('Budget ed extra'!$D$7:$D$18,D375))</f>
        <v>900</v>
      </c>
      <c r="D375">
        <f>SUMPRODUCT(MAX(('Budget ed extra'!$D$7:$D$18&lt;=A375)*'Budget ed extra'!$D$7:$D$18))</f>
        <v>9</v>
      </c>
      <c r="E375">
        <f>SUMIFS('Budget ed extra'!$G$7:$G$42,'Budget ed extra'!$J$7:$J$42,A375)</f>
        <v>0</v>
      </c>
      <c r="F375">
        <f>SUM(T375:AE375)</f>
        <v>0</v>
      </c>
      <c r="G375">
        <f>MAX(0,E375-F375)</f>
        <v>0</v>
      </c>
      <c r="H375">
        <f>IF($A375&gt;=C$10,C$11,C$9)/12</f>
        <v>0.01575</v>
      </c>
      <c r="I375">
        <f>IF($A375&gt;=D$10,D$11,D$9)/12</f>
        <v>0.01825</v>
      </c>
      <c r="J375">
        <f>IF($A375&gt;=E$10,E$11,E$9)/12</f>
        <v>0.00766666666666667</v>
      </c>
      <c r="K375">
        <f>IF($A375&gt;=F$10,F$11,F$9)/12</f>
        <v>0.00533333333333333</v>
      </c>
      <c r="L375">
        <f>IF($A375&gt;=G$10,G$11,G$9)/12</f>
        <v>0</v>
      </c>
      <c r="M375">
        <f>IF($A375&gt;=H$10,H$11,H$9)/12</f>
        <v>0</v>
      </c>
      <c r="N375">
        <f>IF($A375&gt;=I$10,I$11,I$9)/12</f>
        <v>0</v>
      </c>
      <c r="O375">
        <f>IF($A375&gt;=J$10,J$11,J$9)/12</f>
        <v>0</v>
      </c>
      <c r="P375">
        <f>IF($A375&gt;=K$10,K$11,K$9)/12</f>
        <v>0</v>
      </c>
      <c r="Q375">
        <f>IF($A375&gt;=L$10,L$11,L$9)/12</f>
        <v>0</v>
      </c>
      <c r="R375">
        <f>IF($A375&gt;=M$10,M$11,M$9)/12</f>
        <v>0</v>
      </c>
      <c r="S375">
        <f>IF($A375&gt;=N$10,N$11,N$9)/12</f>
        <v>0</v>
      </c>
      <c r="T375">
        <f>IF(C$6="",0,SUMIFS('Budget ed extra'!$G$7:$G$42,'Budget ed extra'!$J$7:$J$42,$A375,'Budget ed extra'!$H$7:$H$42,C$6))</f>
        <v>0</v>
      </c>
      <c r="U375">
        <f>IF(D$6="",0,SUMIFS('Budget ed extra'!$G$7:$G$42,'Budget ed extra'!$J$7:$J$42,$A375,'Budget ed extra'!$H$7:$H$42,D$6))</f>
        <v>0</v>
      </c>
      <c r="V375">
        <f>IF(E$6="",0,SUMIFS('Budget ed extra'!$G$7:$G$42,'Budget ed extra'!$J$7:$J$42,$A375,'Budget ed extra'!$H$7:$H$42,E$6))</f>
        <v>0</v>
      </c>
      <c r="W375">
        <f>IF(F$6="",0,SUMIFS('Budget ed extra'!$G$7:$G$42,'Budget ed extra'!$J$7:$J$42,$A375,'Budget ed extra'!$H$7:$H$42,F$6))</f>
        <v>0</v>
      </c>
      <c r="X375">
        <f>IF(G$6="",0,SUMIFS('Budget ed extra'!$G$7:$G$42,'Budget ed extra'!$J$7:$J$42,$A375,'Budget ed extra'!$H$7:$H$42,G$6))</f>
        <v>0</v>
      </c>
      <c r="Y375">
        <f>IF(H$6="",0,SUMIFS('Budget ed extra'!$G$7:$G$42,'Budget ed extra'!$J$7:$J$42,$A375,'Budget ed extra'!$H$7:$H$42,H$6))</f>
        <v>0</v>
      </c>
      <c r="Z375">
        <f>IF(I$6="",0,SUMIFS('Budget ed extra'!$G$7:$G$42,'Budget ed extra'!$J$7:$J$42,$A375,'Budget ed extra'!$H$7:$H$42,I$6))</f>
        <v>0</v>
      </c>
      <c r="AA375">
        <f>IF(J$6="",0,SUMIFS('Budget ed extra'!$G$7:$G$42,'Budget ed extra'!$J$7:$J$42,$A375,'Budget ed extra'!$H$7:$H$42,J$6))</f>
        <v>0</v>
      </c>
      <c r="AB375">
        <f>IF(K$6="",0,SUMIFS('Budget ed extra'!$G$7:$G$42,'Budget ed extra'!$J$7:$J$42,$A375,'Budget ed extra'!$H$7:$H$42,K$6))</f>
        <v>0</v>
      </c>
      <c r="AC375">
        <f>IF(L$6="",0,SUMIFS('Budget ed extra'!$G$7:$G$42,'Budget ed extra'!$J$7:$J$42,$A375,'Budget ed extra'!$H$7:$H$42,L$6))</f>
        <v>0</v>
      </c>
      <c r="AD375">
        <f>IF(M$6="",0,SUMIFS('Budget ed extra'!$G$7:$G$42,'Budget ed extra'!$J$7:$J$42,$A375,'Budget ed extra'!$H$7:$H$42,M$6))</f>
        <v>0</v>
      </c>
      <c r="AE375">
        <f>IF(N$6="",0,SUMIFS('Budget ed extra'!$G$7:$G$42,'Budget ed extra'!$J$7:$J$42,$A375,'Budget ed extra'!$H$7:$H$42,N$6))</f>
        <v>0</v>
      </c>
    </row>
    <row r="376">
      <c r="A376" t="n">
        <v>346</v>
      </c>
      <c r="B376">
        <f>DATE($B$2,$B$3+A376-1,1)</f>
        <v>56827.0</v>
      </c>
      <c r="C376">
        <f>IF(D376=0,N(Impostazioni!$B$6),SUMIFS('Budget ed extra'!$B$7:$B$18,'Budget ed extra'!$D$7:$D$18,D376)/COUNTIFS('Budget ed extra'!$D$7:$D$18,D376))</f>
        <v>900</v>
      </c>
      <c r="D376">
        <f>SUMPRODUCT(MAX(('Budget ed extra'!$D$7:$D$18&lt;=A376)*'Budget ed extra'!$D$7:$D$18))</f>
        <v>9</v>
      </c>
      <c r="E376">
        <f>SUMIFS('Budget ed extra'!$G$7:$G$42,'Budget ed extra'!$J$7:$J$42,A376)</f>
        <v>0</v>
      </c>
      <c r="F376">
        <f>SUM(T376:AE376)</f>
        <v>0</v>
      </c>
      <c r="G376">
        <f>MAX(0,E376-F376)</f>
        <v>0</v>
      </c>
      <c r="H376">
        <f>IF($A376&gt;=C$10,C$11,C$9)/12</f>
        <v>0.01575</v>
      </c>
      <c r="I376">
        <f>IF($A376&gt;=D$10,D$11,D$9)/12</f>
        <v>0.01825</v>
      </c>
      <c r="J376">
        <f>IF($A376&gt;=E$10,E$11,E$9)/12</f>
        <v>0.00766666666666667</v>
      </c>
      <c r="K376">
        <f>IF($A376&gt;=F$10,F$11,F$9)/12</f>
        <v>0.00533333333333333</v>
      </c>
      <c r="L376">
        <f>IF($A376&gt;=G$10,G$11,G$9)/12</f>
        <v>0</v>
      </c>
      <c r="M376">
        <f>IF($A376&gt;=H$10,H$11,H$9)/12</f>
        <v>0</v>
      </c>
      <c r="N376">
        <f>IF($A376&gt;=I$10,I$11,I$9)/12</f>
        <v>0</v>
      </c>
      <c r="O376">
        <f>IF($A376&gt;=J$10,J$11,J$9)/12</f>
        <v>0</v>
      </c>
      <c r="P376">
        <f>IF($A376&gt;=K$10,K$11,K$9)/12</f>
        <v>0</v>
      </c>
      <c r="Q376">
        <f>IF($A376&gt;=L$10,L$11,L$9)/12</f>
        <v>0</v>
      </c>
      <c r="R376">
        <f>IF($A376&gt;=M$10,M$11,M$9)/12</f>
        <v>0</v>
      </c>
      <c r="S376">
        <f>IF($A376&gt;=N$10,N$11,N$9)/12</f>
        <v>0</v>
      </c>
      <c r="T376">
        <f>IF(C$6="",0,SUMIFS('Budget ed extra'!$G$7:$G$42,'Budget ed extra'!$J$7:$J$42,$A376,'Budget ed extra'!$H$7:$H$42,C$6))</f>
        <v>0</v>
      </c>
      <c r="U376">
        <f>IF(D$6="",0,SUMIFS('Budget ed extra'!$G$7:$G$42,'Budget ed extra'!$J$7:$J$42,$A376,'Budget ed extra'!$H$7:$H$42,D$6))</f>
        <v>0</v>
      </c>
      <c r="V376">
        <f>IF(E$6="",0,SUMIFS('Budget ed extra'!$G$7:$G$42,'Budget ed extra'!$J$7:$J$42,$A376,'Budget ed extra'!$H$7:$H$42,E$6))</f>
        <v>0</v>
      </c>
      <c r="W376">
        <f>IF(F$6="",0,SUMIFS('Budget ed extra'!$G$7:$G$42,'Budget ed extra'!$J$7:$J$42,$A376,'Budget ed extra'!$H$7:$H$42,F$6))</f>
        <v>0</v>
      </c>
      <c r="X376">
        <f>IF(G$6="",0,SUMIFS('Budget ed extra'!$G$7:$G$42,'Budget ed extra'!$J$7:$J$42,$A376,'Budget ed extra'!$H$7:$H$42,G$6))</f>
        <v>0</v>
      </c>
      <c r="Y376">
        <f>IF(H$6="",0,SUMIFS('Budget ed extra'!$G$7:$G$42,'Budget ed extra'!$J$7:$J$42,$A376,'Budget ed extra'!$H$7:$H$42,H$6))</f>
        <v>0</v>
      </c>
      <c r="Z376">
        <f>IF(I$6="",0,SUMIFS('Budget ed extra'!$G$7:$G$42,'Budget ed extra'!$J$7:$J$42,$A376,'Budget ed extra'!$H$7:$H$42,I$6))</f>
        <v>0</v>
      </c>
      <c r="AA376">
        <f>IF(J$6="",0,SUMIFS('Budget ed extra'!$G$7:$G$42,'Budget ed extra'!$J$7:$J$42,$A376,'Budget ed extra'!$H$7:$H$42,J$6))</f>
        <v>0</v>
      </c>
      <c r="AB376">
        <f>IF(K$6="",0,SUMIFS('Budget ed extra'!$G$7:$G$42,'Budget ed extra'!$J$7:$J$42,$A376,'Budget ed extra'!$H$7:$H$42,K$6))</f>
        <v>0</v>
      </c>
      <c r="AC376">
        <f>IF(L$6="",0,SUMIFS('Budget ed extra'!$G$7:$G$42,'Budget ed extra'!$J$7:$J$42,$A376,'Budget ed extra'!$H$7:$H$42,L$6))</f>
        <v>0</v>
      </c>
      <c r="AD376">
        <f>IF(M$6="",0,SUMIFS('Budget ed extra'!$G$7:$G$42,'Budget ed extra'!$J$7:$J$42,$A376,'Budget ed extra'!$H$7:$H$42,M$6))</f>
        <v>0</v>
      </c>
      <c r="AE376">
        <f>IF(N$6="",0,SUMIFS('Budget ed extra'!$G$7:$G$42,'Budget ed extra'!$J$7:$J$42,$A376,'Budget ed extra'!$H$7:$H$42,N$6))</f>
        <v>0</v>
      </c>
    </row>
    <row r="377">
      <c r="A377" t="n">
        <v>347</v>
      </c>
      <c r="B377">
        <f>DATE($B$2,$B$3+A377-1,1)</f>
        <v>56858.0</v>
      </c>
      <c r="C377">
        <f>IF(D377=0,N(Impostazioni!$B$6),SUMIFS('Budget ed extra'!$B$7:$B$18,'Budget ed extra'!$D$7:$D$18,D377)/COUNTIFS('Budget ed extra'!$D$7:$D$18,D377))</f>
        <v>900</v>
      </c>
      <c r="D377">
        <f>SUMPRODUCT(MAX(('Budget ed extra'!$D$7:$D$18&lt;=A377)*'Budget ed extra'!$D$7:$D$18))</f>
        <v>9</v>
      </c>
      <c r="E377">
        <f>SUMIFS('Budget ed extra'!$G$7:$G$42,'Budget ed extra'!$J$7:$J$42,A377)</f>
        <v>0</v>
      </c>
      <c r="F377">
        <f>SUM(T377:AE377)</f>
        <v>0</v>
      </c>
      <c r="G377">
        <f>MAX(0,E377-F377)</f>
        <v>0</v>
      </c>
      <c r="H377">
        <f>IF($A377&gt;=C$10,C$11,C$9)/12</f>
        <v>0.01575</v>
      </c>
      <c r="I377">
        <f>IF($A377&gt;=D$10,D$11,D$9)/12</f>
        <v>0.01825</v>
      </c>
      <c r="J377">
        <f>IF($A377&gt;=E$10,E$11,E$9)/12</f>
        <v>0.00766666666666667</v>
      </c>
      <c r="K377">
        <f>IF($A377&gt;=F$10,F$11,F$9)/12</f>
        <v>0.00533333333333333</v>
      </c>
      <c r="L377">
        <f>IF($A377&gt;=G$10,G$11,G$9)/12</f>
        <v>0</v>
      </c>
      <c r="M377">
        <f>IF($A377&gt;=H$10,H$11,H$9)/12</f>
        <v>0</v>
      </c>
      <c r="N377">
        <f>IF($A377&gt;=I$10,I$11,I$9)/12</f>
        <v>0</v>
      </c>
      <c r="O377">
        <f>IF($A377&gt;=J$10,J$11,J$9)/12</f>
        <v>0</v>
      </c>
      <c r="P377">
        <f>IF($A377&gt;=K$10,K$11,K$9)/12</f>
        <v>0</v>
      </c>
      <c r="Q377">
        <f>IF($A377&gt;=L$10,L$11,L$9)/12</f>
        <v>0</v>
      </c>
      <c r="R377">
        <f>IF($A377&gt;=M$10,M$11,M$9)/12</f>
        <v>0</v>
      </c>
      <c r="S377">
        <f>IF($A377&gt;=N$10,N$11,N$9)/12</f>
        <v>0</v>
      </c>
      <c r="T377">
        <f>IF(C$6="",0,SUMIFS('Budget ed extra'!$G$7:$G$42,'Budget ed extra'!$J$7:$J$42,$A377,'Budget ed extra'!$H$7:$H$42,C$6))</f>
        <v>0</v>
      </c>
      <c r="U377">
        <f>IF(D$6="",0,SUMIFS('Budget ed extra'!$G$7:$G$42,'Budget ed extra'!$J$7:$J$42,$A377,'Budget ed extra'!$H$7:$H$42,D$6))</f>
        <v>0</v>
      </c>
      <c r="V377">
        <f>IF(E$6="",0,SUMIFS('Budget ed extra'!$G$7:$G$42,'Budget ed extra'!$J$7:$J$42,$A377,'Budget ed extra'!$H$7:$H$42,E$6))</f>
        <v>0</v>
      </c>
      <c r="W377">
        <f>IF(F$6="",0,SUMIFS('Budget ed extra'!$G$7:$G$42,'Budget ed extra'!$J$7:$J$42,$A377,'Budget ed extra'!$H$7:$H$42,F$6))</f>
        <v>0</v>
      </c>
      <c r="X377">
        <f>IF(G$6="",0,SUMIFS('Budget ed extra'!$G$7:$G$42,'Budget ed extra'!$J$7:$J$42,$A377,'Budget ed extra'!$H$7:$H$42,G$6))</f>
        <v>0</v>
      </c>
      <c r="Y377">
        <f>IF(H$6="",0,SUMIFS('Budget ed extra'!$G$7:$G$42,'Budget ed extra'!$J$7:$J$42,$A377,'Budget ed extra'!$H$7:$H$42,H$6))</f>
        <v>0</v>
      </c>
      <c r="Z377">
        <f>IF(I$6="",0,SUMIFS('Budget ed extra'!$G$7:$G$42,'Budget ed extra'!$J$7:$J$42,$A377,'Budget ed extra'!$H$7:$H$42,I$6))</f>
        <v>0</v>
      </c>
      <c r="AA377">
        <f>IF(J$6="",0,SUMIFS('Budget ed extra'!$G$7:$G$42,'Budget ed extra'!$J$7:$J$42,$A377,'Budget ed extra'!$H$7:$H$42,J$6))</f>
        <v>0</v>
      </c>
      <c r="AB377">
        <f>IF(K$6="",0,SUMIFS('Budget ed extra'!$G$7:$G$42,'Budget ed extra'!$J$7:$J$42,$A377,'Budget ed extra'!$H$7:$H$42,K$6))</f>
        <v>0</v>
      </c>
      <c r="AC377">
        <f>IF(L$6="",0,SUMIFS('Budget ed extra'!$G$7:$G$42,'Budget ed extra'!$J$7:$J$42,$A377,'Budget ed extra'!$H$7:$H$42,L$6))</f>
        <v>0</v>
      </c>
      <c r="AD377">
        <f>IF(M$6="",0,SUMIFS('Budget ed extra'!$G$7:$G$42,'Budget ed extra'!$J$7:$J$42,$A377,'Budget ed extra'!$H$7:$H$42,M$6))</f>
        <v>0</v>
      </c>
      <c r="AE377">
        <f>IF(N$6="",0,SUMIFS('Budget ed extra'!$G$7:$G$42,'Budget ed extra'!$J$7:$J$42,$A377,'Budget ed extra'!$H$7:$H$42,N$6))</f>
        <v>0</v>
      </c>
    </row>
    <row r="378">
      <c r="A378" t="n">
        <v>348</v>
      </c>
      <c r="B378">
        <f>DATE($B$2,$B$3+A378-1,1)</f>
        <v>56888.0</v>
      </c>
      <c r="C378">
        <f>IF(D378=0,N(Impostazioni!$B$6),SUMIFS('Budget ed extra'!$B$7:$B$18,'Budget ed extra'!$D$7:$D$18,D378)/COUNTIFS('Budget ed extra'!$D$7:$D$18,D378))</f>
        <v>900</v>
      </c>
      <c r="D378">
        <f>SUMPRODUCT(MAX(('Budget ed extra'!$D$7:$D$18&lt;=A378)*'Budget ed extra'!$D$7:$D$18))</f>
        <v>9</v>
      </c>
      <c r="E378">
        <f>SUMIFS('Budget ed extra'!$G$7:$G$42,'Budget ed extra'!$J$7:$J$42,A378)</f>
        <v>0</v>
      </c>
      <c r="F378">
        <f>SUM(T378:AE378)</f>
        <v>0</v>
      </c>
      <c r="G378">
        <f>MAX(0,E378-F378)</f>
        <v>0</v>
      </c>
      <c r="H378">
        <f>IF($A378&gt;=C$10,C$11,C$9)/12</f>
        <v>0.01575</v>
      </c>
      <c r="I378">
        <f>IF($A378&gt;=D$10,D$11,D$9)/12</f>
        <v>0.01825</v>
      </c>
      <c r="J378">
        <f>IF($A378&gt;=E$10,E$11,E$9)/12</f>
        <v>0.00766666666666667</v>
      </c>
      <c r="K378">
        <f>IF($A378&gt;=F$10,F$11,F$9)/12</f>
        <v>0.00533333333333333</v>
      </c>
      <c r="L378">
        <f>IF($A378&gt;=G$10,G$11,G$9)/12</f>
        <v>0</v>
      </c>
      <c r="M378">
        <f>IF($A378&gt;=H$10,H$11,H$9)/12</f>
        <v>0</v>
      </c>
      <c r="N378">
        <f>IF($A378&gt;=I$10,I$11,I$9)/12</f>
        <v>0</v>
      </c>
      <c r="O378">
        <f>IF($A378&gt;=J$10,J$11,J$9)/12</f>
        <v>0</v>
      </c>
      <c r="P378">
        <f>IF($A378&gt;=K$10,K$11,K$9)/12</f>
        <v>0</v>
      </c>
      <c r="Q378">
        <f>IF($A378&gt;=L$10,L$11,L$9)/12</f>
        <v>0</v>
      </c>
      <c r="R378">
        <f>IF($A378&gt;=M$10,M$11,M$9)/12</f>
        <v>0</v>
      </c>
      <c r="S378">
        <f>IF($A378&gt;=N$10,N$11,N$9)/12</f>
        <v>0</v>
      </c>
      <c r="T378">
        <f>IF(C$6="",0,SUMIFS('Budget ed extra'!$G$7:$G$42,'Budget ed extra'!$J$7:$J$42,$A378,'Budget ed extra'!$H$7:$H$42,C$6))</f>
        <v>0</v>
      </c>
      <c r="U378">
        <f>IF(D$6="",0,SUMIFS('Budget ed extra'!$G$7:$G$42,'Budget ed extra'!$J$7:$J$42,$A378,'Budget ed extra'!$H$7:$H$42,D$6))</f>
        <v>0</v>
      </c>
      <c r="V378">
        <f>IF(E$6="",0,SUMIFS('Budget ed extra'!$G$7:$G$42,'Budget ed extra'!$J$7:$J$42,$A378,'Budget ed extra'!$H$7:$H$42,E$6))</f>
        <v>0</v>
      </c>
      <c r="W378">
        <f>IF(F$6="",0,SUMIFS('Budget ed extra'!$G$7:$G$42,'Budget ed extra'!$J$7:$J$42,$A378,'Budget ed extra'!$H$7:$H$42,F$6))</f>
        <v>0</v>
      </c>
      <c r="X378">
        <f>IF(G$6="",0,SUMIFS('Budget ed extra'!$G$7:$G$42,'Budget ed extra'!$J$7:$J$42,$A378,'Budget ed extra'!$H$7:$H$42,G$6))</f>
        <v>0</v>
      </c>
      <c r="Y378">
        <f>IF(H$6="",0,SUMIFS('Budget ed extra'!$G$7:$G$42,'Budget ed extra'!$J$7:$J$42,$A378,'Budget ed extra'!$H$7:$H$42,H$6))</f>
        <v>0</v>
      </c>
      <c r="Z378">
        <f>IF(I$6="",0,SUMIFS('Budget ed extra'!$G$7:$G$42,'Budget ed extra'!$J$7:$J$42,$A378,'Budget ed extra'!$H$7:$H$42,I$6))</f>
        <v>0</v>
      </c>
      <c r="AA378">
        <f>IF(J$6="",0,SUMIFS('Budget ed extra'!$G$7:$G$42,'Budget ed extra'!$J$7:$J$42,$A378,'Budget ed extra'!$H$7:$H$42,J$6))</f>
        <v>0</v>
      </c>
      <c r="AB378">
        <f>IF(K$6="",0,SUMIFS('Budget ed extra'!$G$7:$G$42,'Budget ed extra'!$J$7:$J$42,$A378,'Budget ed extra'!$H$7:$H$42,K$6))</f>
        <v>0</v>
      </c>
      <c r="AC378">
        <f>IF(L$6="",0,SUMIFS('Budget ed extra'!$G$7:$G$42,'Budget ed extra'!$J$7:$J$42,$A378,'Budget ed extra'!$H$7:$H$42,L$6))</f>
        <v>0</v>
      </c>
      <c r="AD378">
        <f>IF(M$6="",0,SUMIFS('Budget ed extra'!$G$7:$G$42,'Budget ed extra'!$J$7:$J$42,$A378,'Budget ed extra'!$H$7:$H$42,M$6))</f>
        <v>0</v>
      </c>
      <c r="AE378">
        <f>IF(N$6="",0,SUMIFS('Budget ed extra'!$G$7:$G$42,'Budget ed extra'!$J$7:$J$42,$A378,'Budget ed extra'!$H$7:$H$42,N$6))</f>
        <v>0</v>
      </c>
    </row>
    <row r="379">
      <c r="A379" t="n">
        <v>349</v>
      </c>
      <c r="B379">
        <f>DATE($B$2,$B$3+A379-1,1)</f>
        <v>56919.0</v>
      </c>
      <c r="C379">
        <f>IF(D379=0,N(Impostazioni!$B$6),SUMIFS('Budget ed extra'!$B$7:$B$18,'Budget ed extra'!$D$7:$D$18,D379)/COUNTIFS('Budget ed extra'!$D$7:$D$18,D379))</f>
        <v>900</v>
      </c>
      <c r="D379">
        <f>SUMPRODUCT(MAX(('Budget ed extra'!$D$7:$D$18&lt;=A379)*'Budget ed extra'!$D$7:$D$18))</f>
        <v>9</v>
      </c>
      <c r="E379">
        <f>SUMIFS('Budget ed extra'!$G$7:$G$42,'Budget ed extra'!$J$7:$J$42,A379)</f>
        <v>0</v>
      </c>
      <c r="F379">
        <f>SUM(T379:AE379)</f>
        <v>0</v>
      </c>
      <c r="G379">
        <f>MAX(0,E379-F379)</f>
        <v>0</v>
      </c>
      <c r="H379">
        <f>IF($A379&gt;=C$10,C$11,C$9)/12</f>
        <v>0.01575</v>
      </c>
      <c r="I379">
        <f>IF($A379&gt;=D$10,D$11,D$9)/12</f>
        <v>0.01825</v>
      </c>
      <c r="J379">
        <f>IF($A379&gt;=E$10,E$11,E$9)/12</f>
        <v>0.00766666666666667</v>
      </c>
      <c r="K379">
        <f>IF($A379&gt;=F$10,F$11,F$9)/12</f>
        <v>0.00533333333333333</v>
      </c>
      <c r="L379">
        <f>IF($A379&gt;=G$10,G$11,G$9)/12</f>
        <v>0</v>
      </c>
      <c r="M379">
        <f>IF($A379&gt;=H$10,H$11,H$9)/12</f>
        <v>0</v>
      </c>
      <c r="N379">
        <f>IF($A379&gt;=I$10,I$11,I$9)/12</f>
        <v>0</v>
      </c>
      <c r="O379">
        <f>IF($A379&gt;=J$10,J$11,J$9)/12</f>
        <v>0</v>
      </c>
      <c r="P379">
        <f>IF($A379&gt;=K$10,K$11,K$9)/12</f>
        <v>0</v>
      </c>
      <c r="Q379">
        <f>IF($A379&gt;=L$10,L$11,L$9)/12</f>
        <v>0</v>
      </c>
      <c r="R379">
        <f>IF($A379&gt;=M$10,M$11,M$9)/12</f>
        <v>0</v>
      </c>
      <c r="S379">
        <f>IF($A379&gt;=N$10,N$11,N$9)/12</f>
        <v>0</v>
      </c>
      <c r="T379">
        <f>IF(C$6="",0,SUMIFS('Budget ed extra'!$G$7:$G$42,'Budget ed extra'!$J$7:$J$42,$A379,'Budget ed extra'!$H$7:$H$42,C$6))</f>
        <v>0</v>
      </c>
      <c r="U379">
        <f>IF(D$6="",0,SUMIFS('Budget ed extra'!$G$7:$G$42,'Budget ed extra'!$J$7:$J$42,$A379,'Budget ed extra'!$H$7:$H$42,D$6))</f>
        <v>0</v>
      </c>
      <c r="V379">
        <f>IF(E$6="",0,SUMIFS('Budget ed extra'!$G$7:$G$42,'Budget ed extra'!$J$7:$J$42,$A379,'Budget ed extra'!$H$7:$H$42,E$6))</f>
        <v>0</v>
      </c>
      <c r="W379">
        <f>IF(F$6="",0,SUMIFS('Budget ed extra'!$G$7:$G$42,'Budget ed extra'!$J$7:$J$42,$A379,'Budget ed extra'!$H$7:$H$42,F$6))</f>
        <v>0</v>
      </c>
      <c r="X379">
        <f>IF(G$6="",0,SUMIFS('Budget ed extra'!$G$7:$G$42,'Budget ed extra'!$J$7:$J$42,$A379,'Budget ed extra'!$H$7:$H$42,G$6))</f>
        <v>0</v>
      </c>
      <c r="Y379">
        <f>IF(H$6="",0,SUMIFS('Budget ed extra'!$G$7:$G$42,'Budget ed extra'!$J$7:$J$42,$A379,'Budget ed extra'!$H$7:$H$42,H$6))</f>
        <v>0</v>
      </c>
      <c r="Z379">
        <f>IF(I$6="",0,SUMIFS('Budget ed extra'!$G$7:$G$42,'Budget ed extra'!$J$7:$J$42,$A379,'Budget ed extra'!$H$7:$H$42,I$6))</f>
        <v>0</v>
      </c>
      <c r="AA379">
        <f>IF(J$6="",0,SUMIFS('Budget ed extra'!$G$7:$G$42,'Budget ed extra'!$J$7:$J$42,$A379,'Budget ed extra'!$H$7:$H$42,J$6))</f>
        <v>0</v>
      </c>
      <c r="AB379">
        <f>IF(K$6="",0,SUMIFS('Budget ed extra'!$G$7:$G$42,'Budget ed extra'!$J$7:$J$42,$A379,'Budget ed extra'!$H$7:$H$42,K$6))</f>
        <v>0</v>
      </c>
      <c r="AC379">
        <f>IF(L$6="",0,SUMIFS('Budget ed extra'!$G$7:$G$42,'Budget ed extra'!$J$7:$J$42,$A379,'Budget ed extra'!$H$7:$H$42,L$6))</f>
        <v>0</v>
      </c>
      <c r="AD379">
        <f>IF(M$6="",0,SUMIFS('Budget ed extra'!$G$7:$G$42,'Budget ed extra'!$J$7:$J$42,$A379,'Budget ed extra'!$H$7:$H$42,M$6))</f>
        <v>0</v>
      </c>
      <c r="AE379">
        <f>IF(N$6="",0,SUMIFS('Budget ed extra'!$G$7:$G$42,'Budget ed extra'!$J$7:$J$42,$A379,'Budget ed extra'!$H$7:$H$42,N$6))</f>
        <v>0</v>
      </c>
    </row>
    <row r="380">
      <c r="A380" t="n">
        <v>350</v>
      </c>
      <c r="B380">
        <f>DATE($B$2,$B$3+A380-1,1)</f>
        <v>56949.0</v>
      </c>
      <c r="C380">
        <f>IF(D380=0,N(Impostazioni!$B$6),SUMIFS('Budget ed extra'!$B$7:$B$18,'Budget ed extra'!$D$7:$D$18,D380)/COUNTIFS('Budget ed extra'!$D$7:$D$18,D380))</f>
        <v>900</v>
      </c>
      <c r="D380">
        <f>SUMPRODUCT(MAX(('Budget ed extra'!$D$7:$D$18&lt;=A380)*'Budget ed extra'!$D$7:$D$18))</f>
        <v>9</v>
      </c>
      <c r="E380">
        <f>SUMIFS('Budget ed extra'!$G$7:$G$42,'Budget ed extra'!$J$7:$J$42,A380)</f>
        <v>0</v>
      </c>
      <c r="F380">
        <f>SUM(T380:AE380)</f>
        <v>0</v>
      </c>
      <c r="G380">
        <f>MAX(0,E380-F380)</f>
        <v>0</v>
      </c>
      <c r="H380">
        <f>IF($A380&gt;=C$10,C$11,C$9)/12</f>
        <v>0.01575</v>
      </c>
      <c r="I380">
        <f>IF($A380&gt;=D$10,D$11,D$9)/12</f>
        <v>0.01825</v>
      </c>
      <c r="J380">
        <f>IF($A380&gt;=E$10,E$11,E$9)/12</f>
        <v>0.00766666666666667</v>
      </c>
      <c r="K380">
        <f>IF($A380&gt;=F$10,F$11,F$9)/12</f>
        <v>0.00533333333333333</v>
      </c>
      <c r="L380">
        <f>IF($A380&gt;=G$10,G$11,G$9)/12</f>
        <v>0</v>
      </c>
      <c r="M380">
        <f>IF($A380&gt;=H$10,H$11,H$9)/12</f>
        <v>0</v>
      </c>
      <c r="N380">
        <f>IF($A380&gt;=I$10,I$11,I$9)/12</f>
        <v>0</v>
      </c>
      <c r="O380">
        <f>IF($A380&gt;=J$10,J$11,J$9)/12</f>
        <v>0</v>
      </c>
      <c r="P380">
        <f>IF($A380&gt;=K$10,K$11,K$9)/12</f>
        <v>0</v>
      </c>
      <c r="Q380">
        <f>IF($A380&gt;=L$10,L$11,L$9)/12</f>
        <v>0</v>
      </c>
      <c r="R380">
        <f>IF($A380&gt;=M$10,M$11,M$9)/12</f>
        <v>0</v>
      </c>
      <c r="S380">
        <f>IF($A380&gt;=N$10,N$11,N$9)/12</f>
        <v>0</v>
      </c>
      <c r="T380">
        <f>IF(C$6="",0,SUMIFS('Budget ed extra'!$G$7:$G$42,'Budget ed extra'!$J$7:$J$42,$A380,'Budget ed extra'!$H$7:$H$42,C$6))</f>
        <v>0</v>
      </c>
      <c r="U380">
        <f>IF(D$6="",0,SUMIFS('Budget ed extra'!$G$7:$G$42,'Budget ed extra'!$J$7:$J$42,$A380,'Budget ed extra'!$H$7:$H$42,D$6))</f>
        <v>0</v>
      </c>
      <c r="V380">
        <f>IF(E$6="",0,SUMIFS('Budget ed extra'!$G$7:$G$42,'Budget ed extra'!$J$7:$J$42,$A380,'Budget ed extra'!$H$7:$H$42,E$6))</f>
        <v>0</v>
      </c>
      <c r="W380">
        <f>IF(F$6="",0,SUMIFS('Budget ed extra'!$G$7:$G$42,'Budget ed extra'!$J$7:$J$42,$A380,'Budget ed extra'!$H$7:$H$42,F$6))</f>
        <v>0</v>
      </c>
      <c r="X380">
        <f>IF(G$6="",0,SUMIFS('Budget ed extra'!$G$7:$G$42,'Budget ed extra'!$J$7:$J$42,$A380,'Budget ed extra'!$H$7:$H$42,G$6))</f>
        <v>0</v>
      </c>
      <c r="Y380">
        <f>IF(H$6="",0,SUMIFS('Budget ed extra'!$G$7:$G$42,'Budget ed extra'!$J$7:$J$42,$A380,'Budget ed extra'!$H$7:$H$42,H$6))</f>
        <v>0</v>
      </c>
      <c r="Z380">
        <f>IF(I$6="",0,SUMIFS('Budget ed extra'!$G$7:$G$42,'Budget ed extra'!$J$7:$J$42,$A380,'Budget ed extra'!$H$7:$H$42,I$6))</f>
        <v>0</v>
      </c>
      <c r="AA380">
        <f>IF(J$6="",0,SUMIFS('Budget ed extra'!$G$7:$G$42,'Budget ed extra'!$J$7:$J$42,$A380,'Budget ed extra'!$H$7:$H$42,J$6))</f>
        <v>0</v>
      </c>
      <c r="AB380">
        <f>IF(K$6="",0,SUMIFS('Budget ed extra'!$G$7:$G$42,'Budget ed extra'!$J$7:$J$42,$A380,'Budget ed extra'!$H$7:$H$42,K$6))</f>
        <v>0</v>
      </c>
      <c r="AC380">
        <f>IF(L$6="",0,SUMIFS('Budget ed extra'!$G$7:$G$42,'Budget ed extra'!$J$7:$J$42,$A380,'Budget ed extra'!$H$7:$H$42,L$6))</f>
        <v>0</v>
      </c>
      <c r="AD380">
        <f>IF(M$6="",0,SUMIFS('Budget ed extra'!$G$7:$G$42,'Budget ed extra'!$J$7:$J$42,$A380,'Budget ed extra'!$H$7:$H$42,M$6))</f>
        <v>0</v>
      </c>
      <c r="AE380">
        <f>IF(N$6="",0,SUMIFS('Budget ed extra'!$G$7:$G$42,'Budget ed extra'!$J$7:$J$42,$A380,'Budget ed extra'!$H$7:$H$42,N$6))</f>
        <v>0</v>
      </c>
    </row>
    <row r="381">
      <c r="A381" t="n">
        <v>351</v>
      </c>
      <c r="B381">
        <f>DATE($B$2,$B$3+A381-1,1)</f>
        <v>56980.0</v>
      </c>
      <c r="C381">
        <f>IF(D381=0,N(Impostazioni!$B$6),SUMIFS('Budget ed extra'!$B$7:$B$18,'Budget ed extra'!$D$7:$D$18,D381)/COUNTIFS('Budget ed extra'!$D$7:$D$18,D381))</f>
        <v>900</v>
      </c>
      <c r="D381">
        <f>SUMPRODUCT(MAX(('Budget ed extra'!$D$7:$D$18&lt;=A381)*'Budget ed extra'!$D$7:$D$18))</f>
        <v>9</v>
      </c>
      <c r="E381">
        <f>SUMIFS('Budget ed extra'!$G$7:$G$42,'Budget ed extra'!$J$7:$J$42,A381)</f>
        <v>0</v>
      </c>
      <c r="F381">
        <f>SUM(T381:AE381)</f>
        <v>0</v>
      </c>
      <c r="G381">
        <f>MAX(0,E381-F381)</f>
        <v>0</v>
      </c>
      <c r="H381">
        <f>IF($A381&gt;=C$10,C$11,C$9)/12</f>
        <v>0.01575</v>
      </c>
      <c r="I381">
        <f>IF($A381&gt;=D$10,D$11,D$9)/12</f>
        <v>0.01825</v>
      </c>
      <c r="J381">
        <f>IF($A381&gt;=E$10,E$11,E$9)/12</f>
        <v>0.00766666666666667</v>
      </c>
      <c r="K381">
        <f>IF($A381&gt;=F$10,F$11,F$9)/12</f>
        <v>0.00533333333333333</v>
      </c>
      <c r="L381">
        <f>IF($A381&gt;=G$10,G$11,G$9)/12</f>
        <v>0</v>
      </c>
      <c r="M381">
        <f>IF($A381&gt;=H$10,H$11,H$9)/12</f>
        <v>0</v>
      </c>
      <c r="N381">
        <f>IF($A381&gt;=I$10,I$11,I$9)/12</f>
        <v>0</v>
      </c>
      <c r="O381">
        <f>IF($A381&gt;=J$10,J$11,J$9)/12</f>
        <v>0</v>
      </c>
      <c r="P381">
        <f>IF($A381&gt;=K$10,K$11,K$9)/12</f>
        <v>0</v>
      </c>
      <c r="Q381">
        <f>IF($A381&gt;=L$10,L$11,L$9)/12</f>
        <v>0</v>
      </c>
      <c r="R381">
        <f>IF($A381&gt;=M$10,M$11,M$9)/12</f>
        <v>0</v>
      </c>
      <c r="S381">
        <f>IF($A381&gt;=N$10,N$11,N$9)/12</f>
        <v>0</v>
      </c>
      <c r="T381">
        <f>IF(C$6="",0,SUMIFS('Budget ed extra'!$G$7:$G$42,'Budget ed extra'!$J$7:$J$42,$A381,'Budget ed extra'!$H$7:$H$42,C$6))</f>
        <v>0</v>
      </c>
      <c r="U381">
        <f>IF(D$6="",0,SUMIFS('Budget ed extra'!$G$7:$G$42,'Budget ed extra'!$J$7:$J$42,$A381,'Budget ed extra'!$H$7:$H$42,D$6))</f>
        <v>0</v>
      </c>
      <c r="V381">
        <f>IF(E$6="",0,SUMIFS('Budget ed extra'!$G$7:$G$42,'Budget ed extra'!$J$7:$J$42,$A381,'Budget ed extra'!$H$7:$H$42,E$6))</f>
        <v>0</v>
      </c>
      <c r="W381">
        <f>IF(F$6="",0,SUMIFS('Budget ed extra'!$G$7:$G$42,'Budget ed extra'!$J$7:$J$42,$A381,'Budget ed extra'!$H$7:$H$42,F$6))</f>
        <v>0</v>
      </c>
      <c r="X381">
        <f>IF(G$6="",0,SUMIFS('Budget ed extra'!$G$7:$G$42,'Budget ed extra'!$J$7:$J$42,$A381,'Budget ed extra'!$H$7:$H$42,G$6))</f>
        <v>0</v>
      </c>
      <c r="Y381">
        <f>IF(H$6="",0,SUMIFS('Budget ed extra'!$G$7:$G$42,'Budget ed extra'!$J$7:$J$42,$A381,'Budget ed extra'!$H$7:$H$42,H$6))</f>
        <v>0</v>
      </c>
      <c r="Z381">
        <f>IF(I$6="",0,SUMIFS('Budget ed extra'!$G$7:$G$42,'Budget ed extra'!$J$7:$J$42,$A381,'Budget ed extra'!$H$7:$H$42,I$6))</f>
        <v>0</v>
      </c>
      <c r="AA381">
        <f>IF(J$6="",0,SUMIFS('Budget ed extra'!$G$7:$G$42,'Budget ed extra'!$J$7:$J$42,$A381,'Budget ed extra'!$H$7:$H$42,J$6))</f>
        <v>0</v>
      </c>
      <c r="AB381">
        <f>IF(K$6="",0,SUMIFS('Budget ed extra'!$G$7:$G$42,'Budget ed extra'!$J$7:$J$42,$A381,'Budget ed extra'!$H$7:$H$42,K$6))</f>
        <v>0</v>
      </c>
      <c r="AC381">
        <f>IF(L$6="",0,SUMIFS('Budget ed extra'!$G$7:$G$42,'Budget ed extra'!$J$7:$J$42,$A381,'Budget ed extra'!$H$7:$H$42,L$6))</f>
        <v>0</v>
      </c>
      <c r="AD381">
        <f>IF(M$6="",0,SUMIFS('Budget ed extra'!$G$7:$G$42,'Budget ed extra'!$J$7:$J$42,$A381,'Budget ed extra'!$H$7:$H$42,M$6))</f>
        <v>0</v>
      </c>
      <c r="AE381">
        <f>IF(N$6="",0,SUMIFS('Budget ed extra'!$G$7:$G$42,'Budget ed extra'!$J$7:$J$42,$A381,'Budget ed extra'!$H$7:$H$42,N$6))</f>
        <v>0</v>
      </c>
    </row>
    <row r="382">
      <c r="A382" t="n">
        <v>352</v>
      </c>
      <c r="B382">
        <f>DATE($B$2,$B$3+A382-1,1)</f>
        <v>57011.0</v>
      </c>
      <c r="C382">
        <f>IF(D382=0,N(Impostazioni!$B$6),SUMIFS('Budget ed extra'!$B$7:$B$18,'Budget ed extra'!$D$7:$D$18,D382)/COUNTIFS('Budget ed extra'!$D$7:$D$18,D382))</f>
        <v>900</v>
      </c>
      <c r="D382">
        <f>SUMPRODUCT(MAX(('Budget ed extra'!$D$7:$D$18&lt;=A382)*'Budget ed extra'!$D$7:$D$18))</f>
        <v>9</v>
      </c>
      <c r="E382">
        <f>SUMIFS('Budget ed extra'!$G$7:$G$42,'Budget ed extra'!$J$7:$J$42,A382)</f>
        <v>0</v>
      </c>
      <c r="F382">
        <f>SUM(T382:AE382)</f>
        <v>0</v>
      </c>
      <c r="G382">
        <f>MAX(0,E382-F382)</f>
        <v>0</v>
      </c>
      <c r="H382">
        <f>IF($A382&gt;=C$10,C$11,C$9)/12</f>
        <v>0.01575</v>
      </c>
      <c r="I382">
        <f>IF($A382&gt;=D$10,D$11,D$9)/12</f>
        <v>0.01825</v>
      </c>
      <c r="J382">
        <f>IF($A382&gt;=E$10,E$11,E$9)/12</f>
        <v>0.00766666666666667</v>
      </c>
      <c r="K382">
        <f>IF($A382&gt;=F$10,F$11,F$9)/12</f>
        <v>0.00533333333333333</v>
      </c>
      <c r="L382">
        <f>IF($A382&gt;=G$10,G$11,G$9)/12</f>
        <v>0</v>
      </c>
      <c r="M382">
        <f>IF($A382&gt;=H$10,H$11,H$9)/12</f>
        <v>0</v>
      </c>
      <c r="N382">
        <f>IF($A382&gt;=I$10,I$11,I$9)/12</f>
        <v>0</v>
      </c>
      <c r="O382">
        <f>IF($A382&gt;=J$10,J$11,J$9)/12</f>
        <v>0</v>
      </c>
      <c r="P382">
        <f>IF($A382&gt;=K$10,K$11,K$9)/12</f>
        <v>0</v>
      </c>
      <c r="Q382">
        <f>IF($A382&gt;=L$10,L$11,L$9)/12</f>
        <v>0</v>
      </c>
      <c r="R382">
        <f>IF($A382&gt;=M$10,M$11,M$9)/12</f>
        <v>0</v>
      </c>
      <c r="S382">
        <f>IF($A382&gt;=N$10,N$11,N$9)/12</f>
        <v>0</v>
      </c>
      <c r="T382">
        <f>IF(C$6="",0,SUMIFS('Budget ed extra'!$G$7:$G$42,'Budget ed extra'!$J$7:$J$42,$A382,'Budget ed extra'!$H$7:$H$42,C$6))</f>
        <v>0</v>
      </c>
      <c r="U382">
        <f>IF(D$6="",0,SUMIFS('Budget ed extra'!$G$7:$G$42,'Budget ed extra'!$J$7:$J$42,$A382,'Budget ed extra'!$H$7:$H$42,D$6))</f>
        <v>0</v>
      </c>
      <c r="V382">
        <f>IF(E$6="",0,SUMIFS('Budget ed extra'!$G$7:$G$42,'Budget ed extra'!$J$7:$J$42,$A382,'Budget ed extra'!$H$7:$H$42,E$6))</f>
        <v>0</v>
      </c>
      <c r="W382">
        <f>IF(F$6="",0,SUMIFS('Budget ed extra'!$G$7:$G$42,'Budget ed extra'!$J$7:$J$42,$A382,'Budget ed extra'!$H$7:$H$42,F$6))</f>
        <v>0</v>
      </c>
      <c r="X382">
        <f>IF(G$6="",0,SUMIFS('Budget ed extra'!$G$7:$G$42,'Budget ed extra'!$J$7:$J$42,$A382,'Budget ed extra'!$H$7:$H$42,G$6))</f>
        <v>0</v>
      </c>
      <c r="Y382">
        <f>IF(H$6="",0,SUMIFS('Budget ed extra'!$G$7:$G$42,'Budget ed extra'!$J$7:$J$42,$A382,'Budget ed extra'!$H$7:$H$42,H$6))</f>
        <v>0</v>
      </c>
      <c r="Z382">
        <f>IF(I$6="",0,SUMIFS('Budget ed extra'!$G$7:$G$42,'Budget ed extra'!$J$7:$J$42,$A382,'Budget ed extra'!$H$7:$H$42,I$6))</f>
        <v>0</v>
      </c>
      <c r="AA382">
        <f>IF(J$6="",0,SUMIFS('Budget ed extra'!$G$7:$G$42,'Budget ed extra'!$J$7:$J$42,$A382,'Budget ed extra'!$H$7:$H$42,J$6))</f>
        <v>0</v>
      </c>
      <c r="AB382">
        <f>IF(K$6="",0,SUMIFS('Budget ed extra'!$G$7:$G$42,'Budget ed extra'!$J$7:$J$42,$A382,'Budget ed extra'!$H$7:$H$42,K$6))</f>
        <v>0</v>
      </c>
      <c r="AC382">
        <f>IF(L$6="",0,SUMIFS('Budget ed extra'!$G$7:$G$42,'Budget ed extra'!$J$7:$J$42,$A382,'Budget ed extra'!$H$7:$H$42,L$6))</f>
        <v>0</v>
      </c>
      <c r="AD382">
        <f>IF(M$6="",0,SUMIFS('Budget ed extra'!$G$7:$G$42,'Budget ed extra'!$J$7:$J$42,$A382,'Budget ed extra'!$H$7:$H$42,M$6))</f>
        <v>0</v>
      </c>
      <c r="AE382">
        <f>IF(N$6="",0,SUMIFS('Budget ed extra'!$G$7:$G$42,'Budget ed extra'!$J$7:$J$42,$A382,'Budget ed extra'!$H$7:$H$42,N$6))</f>
        <v>0</v>
      </c>
    </row>
    <row r="383">
      <c r="A383" t="n">
        <v>353</v>
      </c>
      <c r="B383">
        <f>DATE($B$2,$B$3+A383-1,1)</f>
        <v>57040.0</v>
      </c>
      <c r="C383">
        <f>IF(D383=0,N(Impostazioni!$B$6),SUMIFS('Budget ed extra'!$B$7:$B$18,'Budget ed extra'!$D$7:$D$18,D383)/COUNTIFS('Budget ed extra'!$D$7:$D$18,D383))</f>
        <v>900</v>
      </c>
      <c r="D383">
        <f>SUMPRODUCT(MAX(('Budget ed extra'!$D$7:$D$18&lt;=A383)*'Budget ed extra'!$D$7:$D$18))</f>
        <v>9</v>
      </c>
      <c r="E383">
        <f>SUMIFS('Budget ed extra'!$G$7:$G$42,'Budget ed extra'!$J$7:$J$42,A383)</f>
        <v>0</v>
      </c>
      <c r="F383">
        <f>SUM(T383:AE383)</f>
        <v>0</v>
      </c>
      <c r="G383">
        <f>MAX(0,E383-F383)</f>
        <v>0</v>
      </c>
      <c r="H383">
        <f>IF($A383&gt;=C$10,C$11,C$9)/12</f>
        <v>0.01575</v>
      </c>
      <c r="I383">
        <f>IF($A383&gt;=D$10,D$11,D$9)/12</f>
        <v>0.01825</v>
      </c>
      <c r="J383">
        <f>IF($A383&gt;=E$10,E$11,E$9)/12</f>
        <v>0.00766666666666667</v>
      </c>
      <c r="K383">
        <f>IF($A383&gt;=F$10,F$11,F$9)/12</f>
        <v>0.00533333333333333</v>
      </c>
      <c r="L383">
        <f>IF($A383&gt;=G$10,G$11,G$9)/12</f>
        <v>0</v>
      </c>
      <c r="M383">
        <f>IF($A383&gt;=H$10,H$11,H$9)/12</f>
        <v>0</v>
      </c>
      <c r="N383">
        <f>IF($A383&gt;=I$10,I$11,I$9)/12</f>
        <v>0</v>
      </c>
      <c r="O383">
        <f>IF($A383&gt;=J$10,J$11,J$9)/12</f>
        <v>0</v>
      </c>
      <c r="P383">
        <f>IF($A383&gt;=K$10,K$11,K$9)/12</f>
        <v>0</v>
      </c>
      <c r="Q383">
        <f>IF($A383&gt;=L$10,L$11,L$9)/12</f>
        <v>0</v>
      </c>
      <c r="R383">
        <f>IF($A383&gt;=M$10,M$11,M$9)/12</f>
        <v>0</v>
      </c>
      <c r="S383">
        <f>IF($A383&gt;=N$10,N$11,N$9)/12</f>
        <v>0</v>
      </c>
      <c r="T383">
        <f>IF(C$6="",0,SUMIFS('Budget ed extra'!$G$7:$G$42,'Budget ed extra'!$J$7:$J$42,$A383,'Budget ed extra'!$H$7:$H$42,C$6))</f>
        <v>0</v>
      </c>
      <c r="U383">
        <f>IF(D$6="",0,SUMIFS('Budget ed extra'!$G$7:$G$42,'Budget ed extra'!$J$7:$J$42,$A383,'Budget ed extra'!$H$7:$H$42,D$6))</f>
        <v>0</v>
      </c>
      <c r="V383">
        <f>IF(E$6="",0,SUMIFS('Budget ed extra'!$G$7:$G$42,'Budget ed extra'!$J$7:$J$42,$A383,'Budget ed extra'!$H$7:$H$42,E$6))</f>
        <v>0</v>
      </c>
      <c r="W383">
        <f>IF(F$6="",0,SUMIFS('Budget ed extra'!$G$7:$G$42,'Budget ed extra'!$J$7:$J$42,$A383,'Budget ed extra'!$H$7:$H$42,F$6))</f>
        <v>0</v>
      </c>
      <c r="X383">
        <f>IF(G$6="",0,SUMIFS('Budget ed extra'!$G$7:$G$42,'Budget ed extra'!$J$7:$J$42,$A383,'Budget ed extra'!$H$7:$H$42,G$6))</f>
        <v>0</v>
      </c>
      <c r="Y383">
        <f>IF(H$6="",0,SUMIFS('Budget ed extra'!$G$7:$G$42,'Budget ed extra'!$J$7:$J$42,$A383,'Budget ed extra'!$H$7:$H$42,H$6))</f>
        <v>0</v>
      </c>
      <c r="Z383">
        <f>IF(I$6="",0,SUMIFS('Budget ed extra'!$G$7:$G$42,'Budget ed extra'!$J$7:$J$42,$A383,'Budget ed extra'!$H$7:$H$42,I$6))</f>
        <v>0</v>
      </c>
      <c r="AA383">
        <f>IF(J$6="",0,SUMIFS('Budget ed extra'!$G$7:$G$42,'Budget ed extra'!$J$7:$J$42,$A383,'Budget ed extra'!$H$7:$H$42,J$6))</f>
        <v>0</v>
      </c>
      <c r="AB383">
        <f>IF(K$6="",0,SUMIFS('Budget ed extra'!$G$7:$G$42,'Budget ed extra'!$J$7:$J$42,$A383,'Budget ed extra'!$H$7:$H$42,K$6))</f>
        <v>0</v>
      </c>
      <c r="AC383">
        <f>IF(L$6="",0,SUMIFS('Budget ed extra'!$G$7:$G$42,'Budget ed extra'!$J$7:$J$42,$A383,'Budget ed extra'!$H$7:$H$42,L$6))</f>
        <v>0</v>
      </c>
      <c r="AD383">
        <f>IF(M$6="",0,SUMIFS('Budget ed extra'!$G$7:$G$42,'Budget ed extra'!$J$7:$J$42,$A383,'Budget ed extra'!$H$7:$H$42,M$6))</f>
        <v>0</v>
      </c>
      <c r="AE383">
        <f>IF(N$6="",0,SUMIFS('Budget ed extra'!$G$7:$G$42,'Budget ed extra'!$J$7:$J$42,$A383,'Budget ed extra'!$H$7:$H$42,N$6))</f>
        <v>0</v>
      </c>
    </row>
    <row r="384">
      <c r="A384" t="n">
        <v>354</v>
      </c>
      <c r="B384">
        <f>DATE($B$2,$B$3+A384-1,1)</f>
        <v>57071.0</v>
      </c>
      <c r="C384">
        <f>IF(D384=0,N(Impostazioni!$B$6),SUMIFS('Budget ed extra'!$B$7:$B$18,'Budget ed extra'!$D$7:$D$18,D384)/COUNTIFS('Budget ed extra'!$D$7:$D$18,D384))</f>
        <v>900</v>
      </c>
      <c r="D384">
        <f>SUMPRODUCT(MAX(('Budget ed extra'!$D$7:$D$18&lt;=A384)*'Budget ed extra'!$D$7:$D$18))</f>
        <v>9</v>
      </c>
      <c r="E384">
        <f>SUMIFS('Budget ed extra'!$G$7:$G$42,'Budget ed extra'!$J$7:$J$42,A384)</f>
        <v>0</v>
      </c>
      <c r="F384">
        <f>SUM(T384:AE384)</f>
        <v>0</v>
      </c>
      <c r="G384">
        <f>MAX(0,E384-F384)</f>
        <v>0</v>
      </c>
      <c r="H384">
        <f>IF($A384&gt;=C$10,C$11,C$9)/12</f>
        <v>0.01575</v>
      </c>
      <c r="I384">
        <f>IF($A384&gt;=D$10,D$11,D$9)/12</f>
        <v>0.01825</v>
      </c>
      <c r="J384">
        <f>IF($A384&gt;=E$10,E$11,E$9)/12</f>
        <v>0.00766666666666667</v>
      </c>
      <c r="K384">
        <f>IF($A384&gt;=F$10,F$11,F$9)/12</f>
        <v>0.00533333333333333</v>
      </c>
      <c r="L384">
        <f>IF($A384&gt;=G$10,G$11,G$9)/12</f>
        <v>0</v>
      </c>
      <c r="M384">
        <f>IF($A384&gt;=H$10,H$11,H$9)/12</f>
        <v>0</v>
      </c>
      <c r="N384">
        <f>IF($A384&gt;=I$10,I$11,I$9)/12</f>
        <v>0</v>
      </c>
      <c r="O384">
        <f>IF($A384&gt;=J$10,J$11,J$9)/12</f>
        <v>0</v>
      </c>
      <c r="P384">
        <f>IF($A384&gt;=K$10,K$11,K$9)/12</f>
        <v>0</v>
      </c>
      <c r="Q384">
        <f>IF($A384&gt;=L$10,L$11,L$9)/12</f>
        <v>0</v>
      </c>
      <c r="R384">
        <f>IF($A384&gt;=M$10,M$11,M$9)/12</f>
        <v>0</v>
      </c>
      <c r="S384">
        <f>IF($A384&gt;=N$10,N$11,N$9)/12</f>
        <v>0</v>
      </c>
      <c r="T384">
        <f>IF(C$6="",0,SUMIFS('Budget ed extra'!$G$7:$G$42,'Budget ed extra'!$J$7:$J$42,$A384,'Budget ed extra'!$H$7:$H$42,C$6))</f>
        <v>0</v>
      </c>
      <c r="U384">
        <f>IF(D$6="",0,SUMIFS('Budget ed extra'!$G$7:$G$42,'Budget ed extra'!$J$7:$J$42,$A384,'Budget ed extra'!$H$7:$H$42,D$6))</f>
        <v>0</v>
      </c>
      <c r="V384">
        <f>IF(E$6="",0,SUMIFS('Budget ed extra'!$G$7:$G$42,'Budget ed extra'!$J$7:$J$42,$A384,'Budget ed extra'!$H$7:$H$42,E$6))</f>
        <v>0</v>
      </c>
      <c r="W384">
        <f>IF(F$6="",0,SUMIFS('Budget ed extra'!$G$7:$G$42,'Budget ed extra'!$J$7:$J$42,$A384,'Budget ed extra'!$H$7:$H$42,F$6))</f>
        <v>0</v>
      </c>
      <c r="X384">
        <f>IF(G$6="",0,SUMIFS('Budget ed extra'!$G$7:$G$42,'Budget ed extra'!$J$7:$J$42,$A384,'Budget ed extra'!$H$7:$H$42,G$6))</f>
        <v>0</v>
      </c>
      <c r="Y384">
        <f>IF(H$6="",0,SUMIFS('Budget ed extra'!$G$7:$G$42,'Budget ed extra'!$J$7:$J$42,$A384,'Budget ed extra'!$H$7:$H$42,H$6))</f>
        <v>0</v>
      </c>
      <c r="Z384">
        <f>IF(I$6="",0,SUMIFS('Budget ed extra'!$G$7:$G$42,'Budget ed extra'!$J$7:$J$42,$A384,'Budget ed extra'!$H$7:$H$42,I$6))</f>
        <v>0</v>
      </c>
      <c r="AA384">
        <f>IF(J$6="",0,SUMIFS('Budget ed extra'!$G$7:$G$42,'Budget ed extra'!$J$7:$J$42,$A384,'Budget ed extra'!$H$7:$H$42,J$6))</f>
        <v>0</v>
      </c>
      <c r="AB384">
        <f>IF(K$6="",0,SUMIFS('Budget ed extra'!$G$7:$G$42,'Budget ed extra'!$J$7:$J$42,$A384,'Budget ed extra'!$H$7:$H$42,K$6))</f>
        <v>0</v>
      </c>
      <c r="AC384">
        <f>IF(L$6="",0,SUMIFS('Budget ed extra'!$G$7:$G$42,'Budget ed extra'!$J$7:$J$42,$A384,'Budget ed extra'!$H$7:$H$42,L$6))</f>
        <v>0</v>
      </c>
      <c r="AD384">
        <f>IF(M$6="",0,SUMIFS('Budget ed extra'!$G$7:$G$42,'Budget ed extra'!$J$7:$J$42,$A384,'Budget ed extra'!$H$7:$H$42,M$6))</f>
        <v>0</v>
      </c>
      <c r="AE384">
        <f>IF(N$6="",0,SUMIFS('Budget ed extra'!$G$7:$G$42,'Budget ed extra'!$J$7:$J$42,$A384,'Budget ed extra'!$H$7:$H$42,N$6))</f>
        <v>0</v>
      </c>
    </row>
    <row r="385">
      <c r="A385" t="n">
        <v>355</v>
      </c>
      <c r="B385">
        <f>DATE($B$2,$B$3+A385-1,1)</f>
        <v>57101.0</v>
      </c>
      <c r="C385">
        <f>IF(D385=0,N(Impostazioni!$B$6),SUMIFS('Budget ed extra'!$B$7:$B$18,'Budget ed extra'!$D$7:$D$18,D385)/COUNTIFS('Budget ed extra'!$D$7:$D$18,D385))</f>
        <v>900</v>
      </c>
      <c r="D385">
        <f>SUMPRODUCT(MAX(('Budget ed extra'!$D$7:$D$18&lt;=A385)*'Budget ed extra'!$D$7:$D$18))</f>
        <v>9</v>
      </c>
      <c r="E385">
        <f>SUMIFS('Budget ed extra'!$G$7:$G$42,'Budget ed extra'!$J$7:$J$42,A385)</f>
        <v>0</v>
      </c>
      <c r="F385">
        <f>SUM(T385:AE385)</f>
        <v>0</v>
      </c>
      <c r="G385">
        <f>MAX(0,E385-F385)</f>
        <v>0</v>
      </c>
      <c r="H385">
        <f>IF($A385&gt;=C$10,C$11,C$9)/12</f>
        <v>0.01575</v>
      </c>
      <c r="I385">
        <f>IF($A385&gt;=D$10,D$11,D$9)/12</f>
        <v>0.01825</v>
      </c>
      <c r="J385">
        <f>IF($A385&gt;=E$10,E$11,E$9)/12</f>
        <v>0.00766666666666667</v>
      </c>
      <c r="K385">
        <f>IF($A385&gt;=F$10,F$11,F$9)/12</f>
        <v>0.00533333333333333</v>
      </c>
      <c r="L385">
        <f>IF($A385&gt;=G$10,G$11,G$9)/12</f>
        <v>0</v>
      </c>
      <c r="M385">
        <f>IF($A385&gt;=H$10,H$11,H$9)/12</f>
        <v>0</v>
      </c>
      <c r="N385">
        <f>IF($A385&gt;=I$10,I$11,I$9)/12</f>
        <v>0</v>
      </c>
      <c r="O385">
        <f>IF($A385&gt;=J$10,J$11,J$9)/12</f>
        <v>0</v>
      </c>
      <c r="P385">
        <f>IF($A385&gt;=K$10,K$11,K$9)/12</f>
        <v>0</v>
      </c>
      <c r="Q385">
        <f>IF($A385&gt;=L$10,L$11,L$9)/12</f>
        <v>0</v>
      </c>
      <c r="R385">
        <f>IF($A385&gt;=M$10,M$11,M$9)/12</f>
        <v>0</v>
      </c>
      <c r="S385">
        <f>IF($A385&gt;=N$10,N$11,N$9)/12</f>
        <v>0</v>
      </c>
      <c r="T385">
        <f>IF(C$6="",0,SUMIFS('Budget ed extra'!$G$7:$G$42,'Budget ed extra'!$J$7:$J$42,$A385,'Budget ed extra'!$H$7:$H$42,C$6))</f>
        <v>0</v>
      </c>
      <c r="U385">
        <f>IF(D$6="",0,SUMIFS('Budget ed extra'!$G$7:$G$42,'Budget ed extra'!$J$7:$J$42,$A385,'Budget ed extra'!$H$7:$H$42,D$6))</f>
        <v>0</v>
      </c>
      <c r="V385">
        <f>IF(E$6="",0,SUMIFS('Budget ed extra'!$G$7:$G$42,'Budget ed extra'!$J$7:$J$42,$A385,'Budget ed extra'!$H$7:$H$42,E$6))</f>
        <v>0</v>
      </c>
      <c r="W385">
        <f>IF(F$6="",0,SUMIFS('Budget ed extra'!$G$7:$G$42,'Budget ed extra'!$J$7:$J$42,$A385,'Budget ed extra'!$H$7:$H$42,F$6))</f>
        <v>0</v>
      </c>
      <c r="X385">
        <f>IF(G$6="",0,SUMIFS('Budget ed extra'!$G$7:$G$42,'Budget ed extra'!$J$7:$J$42,$A385,'Budget ed extra'!$H$7:$H$42,G$6))</f>
        <v>0</v>
      </c>
      <c r="Y385">
        <f>IF(H$6="",0,SUMIFS('Budget ed extra'!$G$7:$G$42,'Budget ed extra'!$J$7:$J$42,$A385,'Budget ed extra'!$H$7:$H$42,H$6))</f>
        <v>0</v>
      </c>
      <c r="Z385">
        <f>IF(I$6="",0,SUMIFS('Budget ed extra'!$G$7:$G$42,'Budget ed extra'!$J$7:$J$42,$A385,'Budget ed extra'!$H$7:$H$42,I$6))</f>
        <v>0</v>
      </c>
      <c r="AA385">
        <f>IF(J$6="",0,SUMIFS('Budget ed extra'!$G$7:$G$42,'Budget ed extra'!$J$7:$J$42,$A385,'Budget ed extra'!$H$7:$H$42,J$6))</f>
        <v>0</v>
      </c>
      <c r="AB385">
        <f>IF(K$6="",0,SUMIFS('Budget ed extra'!$G$7:$G$42,'Budget ed extra'!$J$7:$J$42,$A385,'Budget ed extra'!$H$7:$H$42,K$6))</f>
        <v>0</v>
      </c>
      <c r="AC385">
        <f>IF(L$6="",0,SUMIFS('Budget ed extra'!$G$7:$G$42,'Budget ed extra'!$J$7:$J$42,$A385,'Budget ed extra'!$H$7:$H$42,L$6))</f>
        <v>0</v>
      </c>
      <c r="AD385">
        <f>IF(M$6="",0,SUMIFS('Budget ed extra'!$G$7:$G$42,'Budget ed extra'!$J$7:$J$42,$A385,'Budget ed extra'!$H$7:$H$42,M$6))</f>
        <v>0</v>
      </c>
      <c r="AE385">
        <f>IF(N$6="",0,SUMIFS('Budget ed extra'!$G$7:$G$42,'Budget ed extra'!$J$7:$J$42,$A385,'Budget ed extra'!$H$7:$H$42,N$6))</f>
        <v>0</v>
      </c>
    </row>
    <row r="386">
      <c r="A386" t="n">
        <v>356</v>
      </c>
      <c r="B386">
        <f>DATE($B$2,$B$3+A386-1,1)</f>
        <v>57132.0</v>
      </c>
      <c r="C386">
        <f>IF(D386=0,N(Impostazioni!$B$6),SUMIFS('Budget ed extra'!$B$7:$B$18,'Budget ed extra'!$D$7:$D$18,D386)/COUNTIFS('Budget ed extra'!$D$7:$D$18,D386))</f>
        <v>900</v>
      </c>
      <c r="D386">
        <f>SUMPRODUCT(MAX(('Budget ed extra'!$D$7:$D$18&lt;=A386)*'Budget ed extra'!$D$7:$D$18))</f>
        <v>9</v>
      </c>
      <c r="E386">
        <f>SUMIFS('Budget ed extra'!$G$7:$G$42,'Budget ed extra'!$J$7:$J$42,A386)</f>
        <v>0</v>
      </c>
      <c r="F386">
        <f>SUM(T386:AE386)</f>
        <v>0</v>
      </c>
      <c r="G386">
        <f>MAX(0,E386-F386)</f>
        <v>0</v>
      </c>
      <c r="H386">
        <f>IF($A386&gt;=C$10,C$11,C$9)/12</f>
        <v>0.01575</v>
      </c>
      <c r="I386">
        <f>IF($A386&gt;=D$10,D$11,D$9)/12</f>
        <v>0.01825</v>
      </c>
      <c r="J386">
        <f>IF($A386&gt;=E$10,E$11,E$9)/12</f>
        <v>0.00766666666666667</v>
      </c>
      <c r="K386">
        <f>IF($A386&gt;=F$10,F$11,F$9)/12</f>
        <v>0.00533333333333333</v>
      </c>
      <c r="L386">
        <f>IF($A386&gt;=G$10,G$11,G$9)/12</f>
        <v>0</v>
      </c>
      <c r="M386">
        <f>IF($A386&gt;=H$10,H$11,H$9)/12</f>
        <v>0</v>
      </c>
      <c r="N386">
        <f>IF($A386&gt;=I$10,I$11,I$9)/12</f>
        <v>0</v>
      </c>
      <c r="O386">
        <f>IF($A386&gt;=J$10,J$11,J$9)/12</f>
        <v>0</v>
      </c>
      <c r="P386">
        <f>IF($A386&gt;=K$10,K$11,K$9)/12</f>
        <v>0</v>
      </c>
      <c r="Q386">
        <f>IF($A386&gt;=L$10,L$11,L$9)/12</f>
        <v>0</v>
      </c>
      <c r="R386">
        <f>IF($A386&gt;=M$10,M$11,M$9)/12</f>
        <v>0</v>
      </c>
      <c r="S386">
        <f>IF($A386&gt;=N$10,N$11,N$9)/12</f>
        <v>0</v>
      </c>
      <c r="T386">
        <f>IF(C$6="",0,SUMIFS('Budget ed extra'!$G$7:$G$42,'Budget ed extra'!$J$7:$J$42,$A386,'Budget ed extra'!$H$7:$H$42,C$6))</f>
        <v>0</v>
      </c>
      <c r="U386">
        <f>IF(D$6="",0,SUMIFS('Budget ed extra'!$G$7:$G$42,'Budget ed extra'!$J$7:$J$42,$A386,'Budget ed extra'!$H$7:$H$42,D$6))</f>
        <v>0</v>
      </c>
      <c r="V386">
        <f>IF(E$6="",0,SUMIFS('Budget ed extra'!$G$7:$G$42,'Budget ed extra'!$J$7:$J$42,$A386,'Budget ed extra'!$H$7:$H$42,E$6))</f>
        <v>0</v>
      </c>
      <c r="W386">
        <f>IF(F$6="",0,SUMIFS('Budget ed extra'!$G$7:$G$42,'Budget ed extra'!$J$7:$J$42,$A386,'Budget ed extra'!$H$7:$H$42,F$6))</f>
        <v>0</v>
      </c>
      <c r="X386">
        <f>IF(G$6="",0,SUMIFS('Budget ed extra'!$G$7:$G$42,'Budget ed extra'!$J$7:$J$42,$A386,'Budget ed extra'!$H$7:$H$42,G$6))</f>
        <v>0</v>
      </c>
      <c r="Y386">
        <f>IF(H$6="",0,SUMIFS('Budget ed extra'!$G$7:$G$42,'Budget ed extra'!$J$7:$J$42,$A386,'Budget ed extra'!$H$7:$H$42,H$6))</f>
        <v>0</v>
      </c>
      <c r="Z386">
        <f>IF(I$6="",0,SUMIFS('Budget ed extra'!$G$7:$G$42,'Budget ed extra'!$J$7:$J$42,$A386,'Budget ed extra'!$H$7:$H$42,I$6))</f>
        <v>0</v>
      </c>
      <c r="AA386">
        <f>IF(J$6="",0,SUMIFS('Budget ed extra'!$G$7:$G$42,'Budget ed extra'!$J$7:$J$42,$A386,'Budget ed extra'!$H$7:$H$42,J$6))</f>
        <v>0</v>
      </c>
      <c r="AB386">
        <f>IF(K$6="",0,SUMIFS('Budget ed extra'!$G$7:$G$42,'Budget ed extra'!$J$7:$J$42,$A386,'Budget ed extra'!$H$7:$H$42,K$6))</f>
        <v>0</v>
      </c>
      <c r="AC386">
        <f>IF(L$6="",0,SUMIFS('Budget ed extra'!$G$7:$G$42,'Budget ed extra'!$J$7:$J$42,$A386,'Budget ed extra'!$H$7:$H$42,L$6))</f>
        <v>0</v>
      </c>
      <c r="AD386">
        <f>IF(M$6="",0,SUMIFS('Budget ed extra'!$G$7:$G$42,'Budget ed extra'!$J$7:$J$42,$A386,'Budget ed extra'!$H$7:$H$42,M$6))</f>
        <v>0</v>
      </c>
      <c r="AE386">
        <f>IF(N$6="",0,SUMIFS('Budget ed extra'!$G$7:$G$42,'Budget ed extra'!$J$7:$J$42,$A386,'Budget ed extra'!$H$7:$H$42,N$6))</f>
        <v>0</v>
      </c>
    </row>
    <row r="387">
      <c r="A387" t="n">
        <v>357</v>
      </c>
      <c r="B387">
        <f>DATE($B$2,$B$3+A387-1,1)</f>
        <v>57162.0</v>
      </c>
      <c r="C387">
        <f>IF(D387=0,N(Impostazioni!$B$6),SUMIFS('Budget ed extra'!$B$7:$B$18,'Budget ed extra'!$D$7:$D$18,D387)/COUNTIFS('Budget ed extra'!$D$7:$D$18,D387))</f>
        <v>900</v>
      </c>
      <c r="D387">
        <f>SUMPRODUCT(MAX(('Budget ed extra'!$D$7:$D$18&lt;=A387)*'Budget ed extra'!$D$7:$D$18))</f>
        <v>9</v>
      </c>
      <c r="E387">
        <f>SUMIFS('Budget ed extra'!$G$7:$G$42,'Budget ed extra'!$J$7:$J$42,A387)</f>
        <v>0</v>
      </c>
      <c r="F387">
        <f>SUM(T387:AE387)</f>
        <v>0</v>
      </c>
      <c r="G387">
        <f>MAX(0,E387-F387)</f>
        <v>0</v>
      </c>
      <c r="H387">
        <f>IF($A387&gt;=C$10,C$11,C$9)/12</f>
        <v>0.01575</v>
      </c>
      <c r="I387">
        <f>IF($A387&gt;=D$10,D$11,D$9)/12</f>
        <v>0.01825</v>
      </c>
      <c r="J387">
        <f>IF($A387&gt;=E$10,E$11,E$9)/12</f>
        <v>0.00766666666666667</v>
      </c>
      <c r="K387">
        <f>IF($A387&gt;=F$10,F$11,F$9)/12</f>
        <v>0.00533333333333333</v>
      </c>
      <c r="L387">
        <f>IF($A387&gt;=G$10,G$11,G$9)/12</f>
        <v>0</v>
      </c>
      <c r="M387">
        <f>IF($A387&gt;=H$10,H$11,H$9)/12</f>
        <v>0</v>
      </c>
      <c r="N387">
        <f>IF($A387&gt;=I$10,I$11,I$9)/12</f>
        <v>0</v>
      </c>
      <c r="O387">
        <f>IF($A387&gt;=J$10,J$11,J$9)/12</f>
        <v>0</v>
      </c>
      <c r="P387">
        <f>IF($A387&gt;=K$10,K$11,K$9)/12</f>
        <v>0</v>
      </c>
      <c r="Q387">
        <f>IF($A387&gt;=L$10,L$11,L$9)/12</f>
        <v>0</v>
      </c>
      <c r="R387">
        <f>IF($A387&gt;=M$10,M$11,M$9)/12</f>
        <v>0</v>
      </c>
      <c r="S387">
        <f>IF($A387&gt;=N$10,N$11,N$9)/12</f>
        <v>0</v>
      </c>
      <c r="T387">
        <f>IF(C$6="",0,SUMIFS('Budget ed extra'!$G$7:$G$42,'Budget ed extra'!$J$7:$J$42,$A387,'Budget ed extra'!$H$7:$H$42,C$6))</f>
        <v>0</v>
      </c>
      <c r="U387">
        <f>IF(D$6="",0,SUMIFS('Budget ed extra'!$G$7:$G$42,'Budget ed extra'!$J$7:$J$42,$A387,'Budget ed extra'!$H$7:$H$42,D$6))</f>
        <v>0</v>
      </c>
      <c r="V387">
        <f>IF(E$6="",0,SUMIFS('Budget ed extra'!$G$7:$G$42,'Budget ed extra'!$J$7:$J$42,$A387,'Budget ed extra'!$H$7:$H$42,E$6))</f>
        <v>0</v>
      </c>
      <c r="W387">
        <f>IF(F$6="",0,SUMIFS('Budget ed extra'!$G$7:$G$42,'Budget ed extra'!$J$7:$J$42,$A387,'Budget ed extra'!$H$7:$H$42,F$6))</f>
        <v>0</v>
      </c>
      <c r="X387">
        <f>IF(G$6="",0,SUMIFS('Budget ed extra'!$G$7:$G$42,'Budget ed extra'!$J$7:$J$42,$A387,'Budget ed extra'!$H$7:$H$42,G$6))</f>
        <v>0</v>
      </c>
      <c r="Y387">
        <f>IF(H$6="",0,SUMIFS('Budget ed extra'!$G$7:$G$42,'Budget ed extra'!$J$7:$J$42,$A387,'Budget ed extra'!$H$7:$H$42,H$6))</f>
        <v>0</v>
      </c>
      <c r="Z387">
        <f>IF(I$6="",0,SUMIFS('Budget ed extra'!$G$7:$G$42,'Budget ed extra'!$J$7:$J$42,$A387,'Budget ed extra'!$H$7:$H$42,I$6))</f>
        <v>0</v>
      </c>
      <c r="AA387">
        <f>IF(J$6="",0,SUMIFS('Budget ed extra'!$G$7:$G$42,'Budget ed extra'!$J$7:$J$42,$A387,'Budget ed extra'!$H$7:$H$42,J$6))</f>
        <v>0</v>
      </c>
      <c r="AB387">
        <f>IF(K$6="",0,SUMIFS('Budget ed extra'!$G$7:$G$42,'Budget ed extra'!$J$7:$J$42,$A387,'Budget ed extra'!$H$7:$H$42,K$6))</f>
        <v>0</v>
      </c>
      <c r="AC387">
        <f>IF(L$6="",0,SUMIFS('Budget ed extra'!$G$7:$G$42,'Budget ed extra'!$J$7:$J$42,$A387,'Budget ed extra'!$H$7:$H$42,L$6))</f>
        <v>0</v>
      </c>
      <c r="AD387">
        <f>IF(M$6="",0,SUMIFS('Budget ed extra'!$G$7:$G$42,'Budget ed extra'!$J$7:$J$42,$A387,'Budget ed extra'!$H$7:$H$42,M$6))</f>
        <v>0</v>
      </c>
      <c r="AE387">
        <f>IF(N$6="",0,SUMIFS('Budget ed extra'!$G$7:$G$42,'Budget ed extra'!$J$7:$J$42,$A387,'Budget ed extra'!$H$7:$H$42,N$6))</f>
        <v>0</v>
      </c>
    </row>
    <row r="388">
      <c r="A388" t="n">
        <v>358</v>
      </c>
      <c r="B388">
        <f>DATE($B$2,$B$3+A388-1,1)</f>
        <v>57193.0</v>
      </c>
      <c r="C388">
        <f>IF(D388=0,N(Impostazioni!$B$6),SUMIFS('Budget ed extra'!$B$7:$B$18,'Budget ed extra'!$D$7:$D$18,D388)/COUNTIFS('Budget ed extra'!$D$7:$D$18,D388))</f>
        <v>900</v>
      </c>
      <c r="D388">
        <f>SUMPRODUCT(MAX(('Budget ed extra'!$D$7:$D$18&lt;=A388)*'Budget ed extra'!$D$7:$D$18))</f>
        <v>9</v>
      </c>
      <c r="E388">
        <f>SUMIFS('Budget ed extra'!$G$7:$G$42,'Budget ed extra'!$J$7:$J$42,A388)</f>
        <v>0</v>
      </c>
      <c r="F388">
        <f>SUM(T388:AE388)</f>
        <v>0</v>
      </c>
      <c r="G388">
        <f>MAX(0,E388-F388)</f>
        <v>0</v>
      </c>
      <c r="H388">
        <f>IF($A388&gt;=C$10,C$11,C$9)/12</f>
        <v>0.01575</v>
      </c>
      <c r="I388">
        <f>IF($A388&gt;=D$10,D$11,D$9)/12</f>
        <v>0.01825</v>
      </c>
      <c r="J388">
        <f>IF($A388&gt;=E$10,E$11,E$9)/12</f>
        <v>0.00766666666666667</v>
      </c>
      <c r="K388">
        <f>IF($A388&gt;=F$10,F$11,F$9)/12</f>
        <v>0.00533333333333333</v>
      </c>
      <c r="L388">
        <f>IF($A388&gt;=G$10,G$11,G$9)/12</f>
        <v>0</v>
      </c>
      <c r="M388">
        <f>IF($A388&gt;=H$10,H$11,H$9)/12</f>
        <v>0</v>
      </c>
      <c r="N388">
        <f>IF($A388&gt;=I$10,I$11,I$9)/12</f>
        <v>0</v>
      </c>
      <c r="O388">
        <f>IF($A388&gt;=J$10,J$11,J$9)/12</f>
        <v>0</v>
      </c>
      <c r="P388">
        <f>IF($A388&gt;=K$10,K$11,K$9)/12</f>
        <v>0</v>
      </c>
      <c r="Q388">
        <f>IF($A388&gt;=L$10,L$11,L$9)/12</f>
        <v>0</v>
      </c>
      <c r="R388">
        <f>IF($A388&gt;=M$10,M$11,M$9)/12</f>
        <v>0</v>
      </c>
      <c r="S388">
        <f>IF($A388&gt;=N$10,N$11,N$9)/12</f>
        <v>0</v>
      </c>
      <c r="T388">
        <f>IF(C$6="",0,SUMIFS('Budget ed extra'!$G$7:$G$42,'Budget ed extra'!$J$7:$J$42,$A388,'Budget ed extra'!$H$7:$H$42,C$6))</f>
        <v>0</v>
      </c>
      <c r="U388">
        <f>IF(D$6="",0,SUMIFS('Budget ed extra'!$G$7:$G$42,'Budget ed extra'!$J$7:$J$42,$A388,'Budget ed extra'!$H$7:$H$42,D$6))</f>
        <v>0</v>
      </c>
      <c r="V388">
        <f>IF(E$6="",0,SUMIFS('Budget ed extra'!$G$7:$G$42,'Budget ed extra'!$J$7:$J$42,$A388,'Budget ed extra'!$H$7:$H$42,E$6))</f>
        <v>0</v>
      </c>
      <c r="W388">
        <f>IF(F$6="",0,SUMIFS('Budget ed extra'!$G$7:$G$42,'Budget ed extra'!$J$7:$J$42,$A388,'Budget ed extra'!$H$7:$H$42,F$6))</f>
        <v>0</v>
      </c>
      <c r="X388">
        <f>IF(G$6="",0,SUMIFS('Budget ed extra'!$G$7:$G$42,'Budget ed extra'!$J$7:$J$42,$A388,'Budget ed extra'!$H$7:$H$42,G$6))</f>
        <v>0</v>
      </c>
      <c r="Y388">
        <f>IF(H$6="",0,SUMIFS('Budget ed extra'!$G$7:$G$42,'Budget ed extra'!$J$7:$J$42,$A388,'Budget ed extra'!$H$7:$H$42,H$6))</f>
        <v>0</v>
      </c>
      <c r="Z388">
        <f>IF(I$6="",0,SUMIFS('Budget ed extra'!$G$7:$G$42,'Budget ed extra'!$J$7:$J$42,$A388,'Budget ed extra'!$H$7:$H$42,I$6))</f>
        <v>0</v>
      </c>
      <c r="AA388">
        <f>IF(J$6="",0,SUMIFS('Budget ed extra'!$G$7:$G$42,'Budget ed extra'!$J$7:$J$42,$A388,'Budget ed extra'!$H$7:$H$42,J$6))</f>
        <v>0</v>
      </c>
      <c r="AB388">
        <f>IF(K$6="",0,SUMIFS('Budget ed extra'!$G$7:$G$42,'Budget ed extra'!$J$7:$J$42,$A388,'Budget ed extra'!$H$7:$H$42,K$6))</f>
        <v>0</v>
      </c>
      <c r="AC388">
        <f>IF(L$6="",0,SUMIFS('Budget ed extra'!$G$7:$G$42,'Budget ed extra'!$J$7:$J$42,$A388,'Budget ed extra'!$H$7:$H$42,L$6))</f>
        <v>0</v>
      </c>
      <c r="AD388">
        <f>IF(M$6="",0,SUMIFS('Budget ed extra'!$G$7:$G$42,'Budget ed extra'!$J$7:$J$42,$A388,'Budget ed extra'!$H$7:$H$42,M$6))</f>
        <v>0</v>
      </c>
      <c r="AE388">
        <f>IF(N$6="",0,SUMIFS('Budget ed extra'!$G$7:$G$42,'Budget ed extra'!$J$7:$J$42,$A388,'Budget ed extra'!$H$7:$H$42,N$6))</f>
        <v>0</v>
      </c>
    </row>
    <row r="389">
      <c r="A389" t="n">
        <v>359</v>
      </c>
      <c r="B389">
        <f>DATE($B$2,$B$3+A389-1,1)</f>
        <v>57224.0</v>
      </c>
      <c r="C389">
        <f>IF(D389=0,N(Impostazioni!$B$6),SUMIFS('Budget ed extra'!$B$7:$B$18,'Budget ed extra'!$D$7:$D$18,D389)/COUNTIFS('Budget ed extra'!$D$7:$D$18,D389))</f>
        <v>900</v>
      </c>
      <c r="D389">
        <f>SUMPRODUCT(MAX(('Budget ed extra'!$D$7:$D$18&lt;=A389)*'Budget ed extra'!$D$7:$D$18))</f>
        <v>9</v>
      </c>
      <c r="E389">
        <f>SUMIFS('Budget ed extra'!$G$7:$G$42,'Budget ed extra'!$J$7:$J$42,A389)</f>
        <v>0</v>
      </c>
      <c r="F389">
        <f>SUM(T389:AE389)</f>
        <v>0</v>
      </c>
      <c r="G389">
        <f>MAX(0,E389-F389)</f>
        <v>0</v>
      </c>
      <c r="H389">
        <f>IF($A389&gt;=C$10,C$11,C$9)/12</f>
        <v>0.01575</v>
      </c>
      <c r="I389">
        <f>IF($A389&gt;=D$10,D$11,D$9)/12</f>
        <v>0.01825</v>
      </c>
      <c r="J389">
        <f>IF($A389&gt;=E$10,E$11,E$9)/12</f>
        <v>0.00766666666666667</v>
      </c>
      <c r="K389">
        <f>IF($A389&gt;=F$10,F$11,F$9)/12</f>
        <v>0.00533333333333333</v>
      </c>
      <c r="L389">
        <f>IF($A389&gt;=G$10,G$11,G$9)/12</f>
        <v>0</v>
      </c>
      <c r="M389">
        <f>IF($A389&gt;=H$10,H$11,H$9)/12</f>
        <v>0</v>
      </c>
      <c r="N389">
        <f>IF($A389&gt;=I$10,I$11,I$9)/12</f>
        <v>0</v>
      </c>
      <c r="O389">
        <f>IF($A389&gt;=J$10,J$11,J$9)/12</f>
        <v>0</v>
      </c>
      <c r="P389">
        <f>IF($A389&gt;=K$10,K$11,K$9)/12</f>
        <v>0</v>
      </c>
      <c r="Q389">
        <f>IF($A389&gt;=L$10,L$11,L$9)/12</f>
        <v>0</v>
      </c>
      <c r="R389">
        <f>IF($A389&gt;=M$10,M$11,M$9)/12</f>
        <v>0</v>
      </c>
      <c r="S389">
        <f>IF($A389&gt;=N$10,N$11,N$9)/12</f>
        <v>0</v>
      </c>
      <c r="T389">
        <f>IF(C$6="",0,SUMIFS('Budget ed extra'!$G$7:$G$42,'Budget ed extra'!$J$7:$J$42,$A389,'Budget ed extra'!$H$7:$H$42,C$6))</f>
        <v>0</v>
      </c>
      <c r="U389">
        <f>IF(D$6="",0,SUMIFS('Budget ed extra'!$G$7:$G$42,'Budget ed extra'!$J$7:$J$42,$A389,'Budget ed extra'!$H$7:$H$42,D$6))</f>
        <v>0</v>
      </c>
      <c r="V389">
        <f>IF(E$6="",0,SUMIFS('Budget ed extra'!$G$7:$G$42,'Budget ed extra'!$J$7:$J$42,$A389,'Budget ed extra'!$H$7:$H$42,E$6))</f>
        <v>0</v>
      </c>
      <c r="W389">
        <f>IF(F$6="",0,SUMIFS('Budget ed extra'!$G$7:$G$42,'Budget ed extra'!$J$7:$J$42,$A389,'Budget ed extra'!$H$7:$H$42,F$6))</f>
        <v>0</v>
      </c>
      <c r="X389">
        <f>IF(G$6="",0,SUMIFS('Budget ed extra'!$G$7:$G$42,'Budget ed extra'!$J$7:$J$42,$A389,'Budget ed extra'!$H$7:$H$42,G$6))</f>
        <v>0</v>
      </c>
      <c r="Y389">
        <f>IF(H$6="",0,SUMIFS('Budget ed extra'!$G$7:$G$42,'Budget ed extra'!$J$7:$J$42,$A389,'Budget ed extra'!$H$7:$H$42,H$6))</f>
        <v>0</v>
      </c>
      <c r="Z389">
        <f>IF(I$6="",0,SUMIFS('Budget ed extra'!$G$7:$G$42,'Budget ed extra'!$J$7:$J$42,$A389,'Budget ed extra'!$H$7:$H$42,I$6))</f>
        <v>0</v>
      </c>
      <c r="AA389">
        <f>IF(J$6="",0,SUMIFS('Budget ed extra'!$G$7:$G$42,'Budget ed extra'!$J$7:$J$42,$A389,'Budget ed extra'!$H$7:$H$42,J$6))</f>
        <v>0</v>
      </c>
      <c r="AB389">
        <f>IF(K$6="",0,SUMIFS('Budget ed extra'!$G$7:$G$42,'Budget ed extra'!$J$7:$J$42,$A389,'Budget ed extra'!$H$7:$H$42,K$6))</f>
        <v>0</v>
      </c>
      <c r="AC389">
        <f>IF(L$6="",0,SUMIFS('Budget ed extra'!$G$7:$G$42,'Budget ed extra'!$J$7:$J$42,$A389,'Budget ed extra'!$H$7:$H$42,L$6))</f>
        <v>0</v>
      </c>
      <c r="AD389">
        <f>IF(M$6="",0,SUMIFS('Budget ed extra'!$G$7:$G$42,'Budget ed extra'!$J$7:$J$42,$A389,'Budget ed extra'!$H$7:$H$42,M$6))</f>
        <v>0</v>
      </c>
      <c r="AE389">
        <f>IF(N$6="",0,SUMIFS('Budget ed extra'!$G$7:$G$42,'Budget ed extra'!$J$7:$J$42,$A389,'Budget ed extra'!$H$7:$H$42,N$6))</f>
        <v>0</v>
      </c>
    </row>
    <row r="390">
      <c r="A390" t="n">
        <v>360</v>
      </c>
      <c r="B390">
        <f>DATE($B$2,$B$3+A390-1,1)</f>
        <v>57254.0</v>
      </c>
      <c r="C390">
        <f>IF(D390=0,N(Impostazioni!$B$6),SUMIFS('Budget ed extra'!$B$7:$B$18,'Budget ed extra'!$D$7:$D$18,D390)/COUNTIFS('Budget ed extra'!$D$7:$D$18,D390))</f>
        <v>900</v>
      </c>
      <c r="D390">
        <f>SUMPRODUCT(MAX(('Budget ed extra'!$D$7:$D$18&lt;=A390)*'Budget ed extra'!$D$7:$D$18))</f>
        <v>9</v>
      </c>
      <c r="E390">
        <f>SUMIFS('Budget ed extra'!$G$7:$G$42,'Budget ed extra'!$J$7:$J$42,A390)</f>
        <v>0</v>
      </c>
      <c r="F390">
        <f>SUM(T390:AE390)</f>
        <v>0</v>
      </c>
      <c r="G390">
        <f>MAX(0,E390-F390)</f>
        <v>0</v>
      </c>
      <c r="H390">
        <f>IF($A390&gt;=C$10,C$11,C$9)/12</f>
        <v>0.01575</v>
      </c>
      <c r="I390">
        <f>IF($A390&gt;=D$10,D$11,D$9)/12</f>
        <v>0.01825</v>
      </c>
      <c r="J390">
        <f>IF($A390&gt;=E$10,E$11,E$9)/12</f>
        <v>0.00766666666666667</v>
      </c>
      <c r="K390">
        <f>IF($A390&gt;=F$10,F$11,F$9)/12</f>
        <v>0.00533333333333333</v>
      </c>
      <c r="L390">
        <f>IF($A390&gt;=G$10,G$11,G$9)/12</f>
        <v>0</v>
      </c>
      <c r="M390">
        <f>IF($A390&gt;=H$10,H$11,H$9)/12</f>
        <v>0</v>
      </c>
      <c r="N390">
        <f>IF($A390&gt;=I$10,I$11,I$9)/12</f>
        <v>0</v>
      </c>
      <c r="O390">
        <f>IF($A390&gt;=J$10,J$11,J$9)/12</f>
        <v>0</v>
      </c>
      <c r="P390">
        <f>IF($A390&gt;=K$10,K$11,K$9)/12</f>
        <v>0</v>
      </c>
      <c r="Q390">
        <f>IF($A390&gt;=L$10,L$11,L$9)/12</f>
        <v>0</v>
      </c>
      <c r="R390">
        <f>IF($A390&gt;=M$10,M$11,M$9)/12</f>
        <v>0</v>
      </c>
      <c r="S390">
        <f>IF($A390&gt;=N$10,N$11,N$9)/12</f>
        <v>0</v>
      </c>
      <c r="T390">
        <f>IF(C$6="",0,SUMIFS('Budget ed extra'!$G$7:$G$42,'Budget ed extra'!$J$7:$J$42,$A390,'Budget ed extra'!$H$7:$H$42,C$6))</f>
        <v>0</v>
      </c>
      <c r="U390">
        <f>IF(D$6="",0,SUMIFS('Budget ed extra'!$G$7:$G$42,'Budget ed extra'!$J$7:$J$42,$A390,'Budget ed extra'!$H$7:$H$42,D$6))</f>
        <v>0</v>
      </c>
      <c r="V390">
        <f>IF(E$6="",0,SUMIFS('Budget ed extra'!$G$7:$G$42,'Budget ed extra'!$J$7:$J$42,$A390,'Budget ed extra'!$H$7:$H$42,E$6))</f>
        <v>0</v>
      </c>
      <c r="W390">
        <f>IF(F$6="",0,SUMIFS('Budget ed extra'!$G$7:$G$42,'Budget ed extra'!$J$7:$J$42,$A390,'Budget ed extra'!$H$7:$H$42,F$6))</f>
        <v>0</v>
      </c>
      <c r="X390">
        <f>IF(G$6="",0,SUMIFS('Budget ed extra'!$G$7:$G$42,'Budget ed extra'!$J$7:$J$42,$A390,'Budget ed extra'!$H$7:$H$42,G$6))</f>
        <v>0</v>
      </c>
      <c r="Y390">
        <f>IF(H$6="",0,SUMIFS('Budget ed extra'!$G$7:$G$42,'Budget ed extra'!$J$7:$J$42,$A390,'Budget ed extra'!$H$7:$H$42,H$6))</f>
        <v>0</v>
      </c>
      <c r="Z390">
        <f>IF(I$6="",0,SUMIFS('Budget ed extra'!$G$7:$G$42,'Budget ed extra'!$J$7:$J$42,$A390,'Budget ed extra'!$H$7:$H$42,I$6))</f>
        <v>0</v>
      </c>
      <c r="AA390">
        <f>IF(J$6="",0,SUMIFS('Budget ed extra'!$G$7:$G$42,'Budget ed extra'!$J$7:$J$42,$A390,'Budget ed extra'!$H$7:$H$42,J$6))</f>
        <v>0</v>
      </c>
      <c r="AB390">
        <f>IF(K$6="",0,SUMIFS('Budget ed extra'!$G$7:$G$42,'Budget ed extra'!$J$7:$J$42,$A390,'Budget ed extra'!$H$7:$H$42,K$6))</f>
        <v>0</v>
      </c>
      <c r="AC390">
        <f>IF(L$6="",0,SUMIFS('Budget ed extra'!$G$7:$G$42,'Budget ed extra'!$J$7:$J$42,$A390,'Budget ed extra'!$H$7:$H$42,L$6))</f>
        <v>0</v>
      </c>
      <c r="AD390">
        <f>IF(M$6="",0,SUMIFS('Budget ed extra'!$G$7:$G$42,'Budget ed extra'!$J$7:$J$42,$A390,'Budget ed extra'!$H$7:$H$42,M$6))</f>
        <v>0</v>
      </c>
      <c r="AE390">
        <f>IF(N$6="",0,SUMIFS('Budget ed extra'!$G$7:$G$42,'Budget ed extra'!$J$7:$J$42,$A390,'Budget ed extra'!$H$7:$H$42,N$6))</f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E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Strategia a valanga</t>
        </is>
      </c>
    </row>
    <row r="2">
      <c r="A2" t="inlineStr">
        <is>
          <t>Mesi per finire</t>
        </is>
      </c>
      <c r="B2">
        <f>MAX(AT3:BE3)</f>
        <v>25</v>
      </c>
    </row>
    <row r="3">
      <c r="A3" t="inlineStr">
        <is>
          <t>Interessi totali</t>
        </is>
      </c>
      <c r="B3">
        <f>SUM(H31:H390)</f>
        <v>1673.95</v>
      </c>
      <c r="AT3">
        <f>IF('Calc base'!C$8&lt;=0,0,IF(COUNTIF(AT31:AT390,"&gt;0.004")&gt;=360,9999,COUNTIF(AT31:AT390,"&gt;0.004")+1))</f>
        <v>10</v>
      </c>
      <c r="AU3">
        <f>IF('Calc base'!D$8&lt;=0,0,IF(COUNTIF(AU31:AU390,"&gt;0.004")&gt;=360,9999,COUNTIF(AU31:AU390,"&gt;0.004")+1))</f>
        <v>7</v>
      </c>
      <c r="AV3">
        <f>IF('Calc base'!E$8&lt;=0,0,IF(COUNTIF(AV31:AV390,"&gt;0.004")&gt;=360,9999,COUNTIF(AV31:AV390,"&gt;0.004")+1))</f>
        <v>18</v>
      </c>
      <c r="AW3">
        <f>IF('Calc base'!F$8&lt;=0,0,IF(COUNTIF(AW31:AW390,"&gt;0.004")&gt;=360,9999,COUNTIF(AW31:AW390,"&gt;0.004")+1))</f>
        <v>25</v>
      </c>
      <c r="AX3">
        <f>IF('Calc base'!G$8&lt;=0,0,IF(COUNTIF(AX31:AX390,"&gt;0.004")&gt;=360,9999,COUNTIF(AX31:AX390,"&gt;0.004")+1))</f>
        <v>12</v>
      </c>
      <c r="AY3">
        <f>IF('Calc base'!H$8&lt;=0,0,IF(COUNTIF(AY31:AY390,"&gt;0.004")&gt;=360,9999,COUNTIF(AY31:AY390,"&gt;0.004")+1))</f>
        <v>25</v>
      </c>
      <c r="AZ3">
        <f>IF('Calc base'!I$8&lt;=0,0,IF(COUNTIF(AZ31:AZ390,"&gt;0.004")&gt;=360,9999,COUNTIF(AZ31:AZ390,"&gt;0.004")+1))</f>
        <v>0</v>
      </c>
      <c r="BA3">
        <f>IF('Calc base'!J$8&lt;=0,0,IF(COUNTIF(BA31:BA390,"&gt;0.004")&gt;=360,9999,COUNTIF(BA31:BA390,"&gt;0.004")+1))</f>
        <v>0</v>
      </c>
      <c r="BB3">
        <f>IF('Calc base'!K$8&lt;=0,0,IF(COUNTIF(BB31:BB390,"&gt;0.004")&gt;=360,9999,COUNTIF(BB31:BB390,"&gt;0.004")+1))</f>
        <v>0</v>
      </c>
      <c r="BC3">
        <f>IF('Calc base'!L$8&lt;=0,0,IF(COUNTIF(BC31:BC390,"&gt;0.004")&gt;=360,9999,COUNTIF(BC31:BC390,"&gt;0.004")+1))</f>
        <v>0</v>
      </c>
      <c r="BD3">
        <f>IF('Calc base'!M$8&lt;=0,0,IF(COUNTIF(BD31:BD390,"&gt;0.004")&gt;=360,9999,COUNTIF(BD31:BD390,"&gt;0.004")+1))</f>
        <v>0</v>
      </c>
      <c r="BE3">
        <f>IF('Calc base'!N$8&lt;=0,0,IF(COUNTIF(BE31:BE390,"&gt;0.004")&gt;=360,9999,COUNTIF(BE31:BE390,"&gt;0.004")+1))</f>
        <v>0</v>
      </c>
    </row>
    <row r="4">
      <c r="A4" t="inlineStr">
        <is>
          <t>Pagato in tutto</t>
        </is>
      </c>
      <c r="B4">
        <f>SUM(I31:I390)</f>
        <v>23263.95</v>
      </c>
      <c r="AT4">
        <f>SUMPRODUCT(ROUND(AT30:AT389*(1+'Calc base'!H31:H390),2)-AT30:AT389)</f>
        <v>198.32</v>
      </c>
      <c r="AU4">
        <f>SUMPRODUCT(ROUND(AU30:AU389*(1+'Calc base'!I31:I390),2)-AU30:AU389)</f>
        <v>7.16999999999996</v>
      </c>
      <c r="AV4">
        <f>SUMPRODUCT(ROUND(AV30:AV389*(1+'Calc base'!J31:J390),2)-AV30:AV389)</f>
        <v>631.08</v>
      </c>
      <c r="AW4">
        <f>SUMPRODUCT(ROUND(AW30:AW389*(1+'Calc base'!K31:K390),2)-AW30:AW389)</f>
        <v>837.38</v>
      </c>
      <c r="AX4">
        <f>SUMPRODUCT(ROUND(AX30:AX389*(1+'Calc base'!L31:L390),2)-AX30:AX389)</f>
        <v>0</v>
      </c>
      <c r="AY4">
        <f>SUMPRODUCT(ROUND(AY30:AY389*(1+'Calc base'!M31:M390),2)-AY30:AY389)</f>
        <v>0</v>
      </c>
      <c r="AZ4">
        <f>SUMPRODUCT(ROUND(AZ30:AZ389*(1+'Calc base'!N31:N390),2)-AZ30:AZ389)</f>
        <v>0</v>
      </c>
      <c r="BA4">
        <f>SUMPRODUCT(ROUND(BA30:BA389*(1+'Calc base'!O31:O390),2)-BA30:BA389)</f>
        <v>0</v>
      </c>
      <c r="BB4">
        <f>SUMPRODUCT(ROUND(BB30:BB389*(1+'Calc base'!P31:P390),2)-BB30:BB389)</f>
        <v>0</v>
      </c>
      <c r="BC4">
        <f>SUMPRODUCT(ROUND(BC30:BC389*(1+'Calc base'!Q31:Q390),2)-BC30:BC389)</f>
        <v>0</v>
      </c>
      <c r="BD4">
        <f>SUMPRODUCT(ROUND(BD30:BD389*(1+'Calc base'!R31:R390),2)-BD30:BD389)</f>
        <v>0</v>
      </c>
      <c r="BE4">
        <f>SUMPRODUCT(ROUND(BE30:BE389*(1+'Calc base'!S31:S390),2)-BE30:BE389)</f>
        <v>0</v>
      </c>
    </row>
    <row r="5">
      <c r="A5" t="inlineStr">
        <is>
          <t>Debito dopo 30 anni</t>
        </is>
      </c>
      <c r="B5">
        <f>G390</f>
        <v>0</v>
      </c>
      <c r="AT5">
        <f>'Calc base'!C$8+AT4-AT390</f>
        <v>2598.32</v>
      </c>
      <c r="AU5">
        <f>'Calc base'!D$8+AU4-AU390</f>
        <v>857.17</v>
      </c>
      <c r="AV5">
        <f>'Calc base'!E$8+AV4-AV390</f>
        <v>7431.08</v>
      </c>
      <c r="AW5">
        <f>'Calc base'!F$8+AW4-AW390</f>
        <v>10337.38</v>
      </c>
      <c r="AX5">
        <f>'Calc base'!G$8+AX4-AX390</f>
        <v>540</v>
      </c>
      <c r="AY5">
        <f>'Calc base'!H$8+AY4-AY390</f>
        <v>1500</v>
      </c>
      <c r="AZ5">
        <f>'Calc base'!I$8+AZ4-AZ390</f>
        <v>0</v>
      </c>
      <c r="BA5">
        <f>'Calc base'!J$8+BA4-BA390</f>
        <v>0</v>
      </c>
      <c r="BB5">
        <f>'Calc base'!K$8+BB4-BB390</f>
        <v>0</v>
      </c>
      <c r="BC5">
        <f>'Calc base'!L$8+BC4-BC390</f>
        <v>0</v>
      </c>
      <c r="BD5">
        <f>'Calc base'!M$8+BD4-BD390</f>
        <v>0</v>
      </c>
      <c r="BE5">
        <f>'Calc base'!N$8+BE4-BE390</f>
        <v>0</v>
      </c>
    </row>
    <row r="6">
      <c r="A6" t="inlineStr">
        <is>
          <t>Fine</t>
        </is>
      </c>
      <c r="B6">
        <f>IF(B2=0,"",IF(B2=9999,"oltre 30 anni",DATE('Calc base'!$B$2,'Calc base'!$B$3+B2-1,1)))</f>
        <v>47058.0</v>
      </c>
    </row>
    <row r="7">
      <c r="A7" t="inlineStr">
        <is>
          <t>Debito iniziale</t>
        </is>
      </c>
      <c r="B7">
        <f>G30</f>
        <v>21590</v>
      </c>
    </row>
    <row r="29">
      <c r="B29" t="inlineStr">
        <is>
          <t>ΣA</t>
        </is>
      </c>
      <c r="C29" t="inlineStr">
        <is>
          <t>Σ rate minime</t>
        </is>
      </c>
      <c r="D29" t="inlineStr">
        <is>
          <t>Σ resto</t>
        </is>
      </c>
      <c r="E29" t="inlineStr">
        <is>
          <t>Extra disponibile</t>
        </is>
      </c>
      <c r="F29" t="inlineStr">
        <is>
          <t>Σ extra</t>
        </is>
      </c>
      <c r="G29" t="inlineStr">
        <is>
          <t>Debito totale</t>
        </is>
      </c>
      <c r="H29" t="inlineStr">
        <is>
          <t>Interessi</t>
        </is>
      </c>
      <c r="I29" t="inlineStr">
        <is>
          <t>Pagato</t>
        </is>
      </c>
    </row>
    <row r="30">
      <c r="G30">
        <f>SUM(AT30:BE30)</f>
        <v>21590</v>
      </c>
      <c r="AT30">
        <f>'Calc base'!C$8</f>
        <v>2400</v>
      </c>
      <c r="AU30">
        <f>'Calc base'!D$8</f>
        <v>850</v>
      </c>
      <c r="AV30">
        <f>'Calc base'!E$8</f>
        <v>6800</v>
      </c>
      <c r="AW30">
        <f>'Calc base'!F$8</f>
        <v>9500</v>
      </c>
      <c r="AX30">
        <f>'Calc base'!G$8</f>
        <v>540</v>
      </c>
      <c r="AY30">
        <f>'Calc base'!H$8</f>
        <v>1500</v>
      </c>
      <c r="AZ30">
        <f>'Calc base'!I$8</f>
        <v>0</v>
      </c>
      <c r="BA30">
        <f>'Calc base'!J$8</f>
        <v>0</v>
      </c>
      <c r="BB30">
        <f>'Calc base'!K$8</f>
        <v>0</v>
      </c>
      <c r="BC30">
        <f>'Calc base'!L$8</f>
        <v>0</v>
      </c>
      <c r="BD30">
        <f>'Calc base'!M$8</f>
        <v>0</v>
      </c>
      <c r="BE30">
        <f>'Calc base'!N$8</f>
        <v>0</v>
      </c>
    </row>
    <row r="31">
      <c r="A31" t="n">
        <v>1</v>
      </c>
      <c r="B31">
        <f>SUMPRODUCT(ROUND($AT30:$BE30*(1+'Calc base'!$H31:$S31),2))</f>
        <v>21730.6</v>
      </c>
      <c r="C31">
        <f>SUM(J31:U31)</f>
        <v>676</v>
      </c>
      <c r="D31">
        <f>SUM(V31:AG31)</f>
        <v>21054.6</v>
      </c>
      <c r="E31">
        <f>MAX(0,IF(Impostazioni!$B$7="No",'Calc base'!$C31-$C$31,'Calc base'!$C31-C31)+'Calc base'!$G31+'Calc base'!$F31-(B31-C31-D31))</f>
        <v>124</v>
      </c>
      <c r="F31">
        <f>SUM(AH31:AS31)</f>
        <v>124</v>
      </c>
      <c r="G31">
        <f>SUM(AT31:BE31)</f>
        <v>20930.6</v>
      </c>
      <c r="H31">
        <f>B31-G30</f>
        <v>140.599999999999</v>
      </c>
      <c r="I31">
        <f>B31-G31</f>
        <v>800</v>
      </c>
      <c r="J31">
        <f>IF(AT30&lt;=0,0,IF(ROUND(AT30*(1+'Calc base'!H31),2)-MAX('Calc base'!C$12,ROUND('Calc base'!C$13*AT30,2))&lt;1,ROUND(AT30*(1+'Calc base'!H31),2),MAX('Calc base'!C$12,ROUND('Calc base'!C$13*AT30,2))))</f>
        <v>72</v>
      </c>
      <c r="K31">
        <f>IF(AU30&lt;=0,0,IF(ROUND(AU30*(1+'Calc base'!I31),2)-MAX('Calc base'!D$12,ROUND('Calc base'!D$13*AU30,2))&lt;1,ROUND(AU30*(1+'Calc base'!I31),2),MAX('Calc base'!D$12,ROUND('Calc base'!D$13*AU30,2))))</f>
        <v>34</v>
      </c>
      <c r="L31">
        <f>IF(AV30&lt;=0,0,IF(ROUND(AV30*(1+'Calc base'!J31),2)-MAX('Calc base'!E$12,ROUND('Calc base'!E$13*AV30,2))&lt;1,ROUND(AV30*(1+'Calc base'!J31),2),MAX('Calc base'!E$12,ROUND('Calc base'!E$13*AV30,2))))</f>
        <v>210</v>
      </c>
      <c r="M31">
        <f>IF(AW30&lt;=0,0,IF(ROUND(AW30*(1+'Calc base'!K31),2)-MAX('Calc base'!F$12,ROUND('Calc base'!F$13*AW30,2))&lt;1,ROUND(AW30*(1+'Calc base'!K31),2),MAX('Calc base'!F$12,ROUND('Calc base'!F$13*AW30,2))))</f>
        <v>265</v>
      </c>
      <c r="N31">
        <f>IF(AX30&lt;=0,0,IF(ROUND(AX30*(1+'Calc base'!L31),2)-MAX('Calc base'!G$12,ROUND('Calc base'!G$13*AX30,2))&lt;1,ROUND(AX30*(1+'Calc base'!L31),2),MAX('Calc base'!G$12,ROUND('Calc base'!G$13*AX30,2))))</f>
        <v>45</v>
      </c>
      <c r="O31">
        <f>IF(AY30&lt;=0,0,IF(ROUND(AY30*(1+'Calc base'!M31),2)-MAX('Calc base'!H$12,ROUND('Calc base'!H$13*AY30,2))&lt;1,ROUND(AY30*(1+'Calc base'!M31),2),MAX('Calc base'!H$12,ROUND('Calc base'!H$13*AY30,2))))</f>
        <v>50</v>
      </c>
      <c r="P31">
        <f>IF(AZ30&lt;=0,0,IF(ROUND(AZ30*(1+'Calc base'!N31),2)-MAX('Calc base'!I$12,ROUND('Calc base'!I$13*AZ30,2))&lt;1,ROUND(AZ30*(1+'Calc base'!N31),2),MAX('Calc base'!I$12,ROUND('Calc base'!I$13*AZ30,2))))</f>
        <v>0</v>
      </c>
      <c r="Q31">
        <f>IF(BA30&lt;=0,0,IF(ROUND(BA30*(1+'Calc base'!O31),2)-MAX('Calc base'!J$12,ROUND('Calc base'!J$13*BA30,2))&lt;1,ROUND(BA30*(1+'Calc base'!O31),2),MAX('Calc base'!J$12,ROUND('Calc base'!J$13*BA30,2))))</f>
        <v>0</v>
      </c>
      <c r="R31">
        <f>IF(BB30&lt;=0,0,IF(ROUND(BB30*(1+'Calc base'!P31),2)-MAX('Calc base'!K$12,ROUND('Calc base'!K$13*BB30,2))&lt;1,ROUND(BB30*(1+'Calc base'!P31),2),MAX('Calc base'!K$12,ROUND('Calc base'!K$13*BB30,2))))</f>
        <v>0</v>
      </c>
      <c r="S31">
        <f>IF(BC30&lt;=0,0,IF(ROUND(BC30*(1+'Calc base'!Q31),2)-MAX('Calc base'!L$12,ROUND('Calc base'!L$13*BC30,2))&lt;1,ROUND(BC30*(1+'Calc base'!Q31),2),MAX('Calc base'!L$12,ROUND('Calc base'!L$13*BC30,2))))</f>
        <v>0</v>
      </c>
      <c r="T31">
        <f>IF(BD30&lt;=0,0,IF(ROUND(BD30*(1+'Calc base'!R31),2)-MAX('Calc base'!M$12,ROUND('Calc base'!M$13*BD30,2))&lt;1,ROUND(BD30*(1+'Calc base'!R31),2),MAX('Calc base'!M$12,ROUND('Calc base'!M$13*BD30,2))))</f>
        <v>0</v>
      </c>
      <c r="U31">
        <f>IF(BE30&lt;=0,0,IF(ROUND(BE30*(1+'Calc base'!S31),2)-MAX('Calc base'!N$12,ROUND('Calc base'!N$13*BE30,2))&lt;1,ROUND(BE30*(1+'Calc base'!S31),2),MAX('Calc base'!N$12,ROUND('Calc base'!N$13*BE30,2))))</f>
        <v>0</v>
      </c>
      <c r="V31">
        <f>MAX(0,ROUND(AT30*(1+'Calc base'!H31),2)-J31-'Calc base'!T31)</f>
        <v>2365.8</v>
      </c>
      <c r="W31">
        <f>MAX(0,ROUND(AU30*(1+'Calc base'!I31),2)-K31-'Calc base'!U31)</f>
        <v>816</v>
      </c>
      <c r="X31">
        <f>MAX(0,ROUND(AV30*(1+'Calc base'!J31),2)-L31-'Calc base'!V31)</f>
        <v>6642.13</v>
      </c>
      <c r="Y31">
        <f>MAX(0,ROUND(AW30*(1+'Calc base'!K31),2)-M31-'Calc base'!W31)</f>
        <v>9285.67</v>
      </c>
      <c r="Z31">
        <f>MAX(0,ROUND(AX30*(1+'Calc base'!L31),2)-N31-'Calc base'!X31)</f>
        <v>495</v>
      </c>
      <c r="AA31">
        <f>MAX(0,ROUND(AY30*(1+'Calc base'!M31),2)-O31-'Calc base'!Y31)</f>
        <v>1450</v>
      </c>
      <c r="AB31">
        <f>MAX(0,ROUND(AZ30*(1+'Calc base'!N31),2)-P31-'Calc base'!Z31)</f>
        <v>0</v>
      </c>
      <c r="AC31">
        <f>MAX(0,ROUND(BA30*(1+'Calc base'!O31),2)-Q31-'Calc base'!AA31)</f>
        <v>0</v>
      </c>
      <c r="AD31">
        <f>MAX(0,ROUND(BB30*(1+'Calc base'!P31),2)-R31-'Calc base'!AB31)</f>
        <v>0</v>
      </c>
      <c r="AE31">
        <f>MAX(0,ROUND(BC30*(1+'Calc base'!Q31),2)-S31-'Calc base'!AC31)</f>
        <v>0</v>
      </c>
      <c r="AF31">
        <f>MAX(0,ROUND(BD30*(1+'Calc base'!R31),2)-T31-'Calc base'!AD31)</f>
        <v>0</v>
      </c>
      <c r="AG31">
        <f>MAX(0,ROUND(BE30*(1+'Calc base'!S31),2)-U31-'Calc base'!AE31)</f>
        <v>0</v>
      </c>
      <c r="AH31">
        <f>IF('Calc base'!C$14=0,0,MIN(V31,MAX(0,$E31-SUMPRODUCT($V31:$AG31,'Calc base'!$C$14:$N$14,('Calc base'!$H31:$S31&gt;'Calc base'!H31)+('Calc base'!$H31:$S31='Calc base'!H31)*('Calc base'!$C$17:$N$17&lt;'Calc base'!C$17)))))</f>
        <v>124</v>
      </c>
      <c r="AI31">
        <f>IF('Calc base'!D$14=0,0,MIN(W31,MAX(0,$E31-SUMPRODUCT($V31:$AG31,'Calc base'!$C$14:$N$14,('Calc base'!$H31:$S31&gt;'Calc base'!I31)+('Calc base'!$H31:$S31='Calc base'!I31)*('Calc base'!$C$17:$N$17&lt;'Calc base'!D$17)))))</f>
        <v>0</v>
      </c>
      <c r="AJ31">
        <f>IF('Calc base'!E$14=0,0,MIN(X31,MAX(0,$E31-SUMPRODUCT($V31:$AG31,'Calc base'!$C$14:$N$14,('Calc base'!$H31:$S31&gt;'Calc base'!J31)+('Calc base'!$H31:$S31='Calc base'!J31)*('Calc base'!$C$17:$N$17&lt;'Calc base'!E$17)))))</f>
        <v>0</v>
      </c>
      <c r="AK31">
        <f>IF('Calc base'!F$14=0,0,MIN(Y31,MAX(0,$E31-SUMPRODUCT($V31:$AG31,'Calc base'!$C$14:$N$14,('Calc base'!$H31:$S31&gt;'Calc base'!K31)+('Calc base'!$H31:$S31='Calc base'!K31)*('Calc base'!$C$17:$N$17&lt;'Calc base'!F$17)))))</f>
        <v>0</v>
      </c>
      <c r="AL31">
        <f>IF('Calc base'!G$14=0,0,MIN(Z31,MAX(0,$E31-SUMPRODUCT($V31:$AG31,'Calc base'!$C$14:$N$14,('Calc base'!$H31:$S31&gt;'Calc base'!L31)+('Calc base'!$H31:$S31='Calc base'!L31)*('Calc base'!$C$17:$N$17&lt;'Calc base'!G$17)))))</f>
        <v>0</v>
      </c>
      <c r="AM31">
        <f>IF('Calc base'!H$14=0,0,MIN(AA31,MAX(0,$E31-SUMPRODUCT($V31:$AG31,'Calc base'!$C$14:$N$14,('Calc base'!$H31:$S31&gt;'Calc base'!M31)+('Calc base'!$H31:$S31='Calc base'!M31)*('Calc base'!$C$17:$N$17&lt;'Calc base'!H$17)))))</f>
        <v>0</v>
      </c>
      <c r="AN31">
        <f>IF('Calc base'!I$14=0,0,MIN(AB31,MAX(0,$E31-SUMPRODUCT($V31:$AG31,'Calc base'!$C$14:$N$14,('Calc base'!$H31:$S31&gt;'Calc base'!N31)+('Calc base'!$H31:$S31='Calc base'!N31)*('Calc base'!$C$17:$N$17&lt;'Calc base'!I$17)))))</f>
        <v>0</v>
      </c>
      <c r="AO31">
        <f>IF('Calc base'!J$14=0,0,MIN(AC31,MAX(0,$E31-SUMPRODUCT($V31:$AG31,'Calc base'!$C$14:$N$14,('Calc base'!$H31:$S31&gt;'Calc base'!O31)+('Calc base'!$H31:$S31='Calc base'!O31)*('Calc base'!$C$17:$N$17&lt;'Calc base'!J$17)))))</f>
        <v>0</v>
      </c>
      <c r="AP31">
        <f>IF('Calc base'!K$14=0,0,MIN(AD31,MAX(0,$E31-SUMPRODUCT($V31:$AG31,'Calc base'!$C$14:$N$14,('Calc base'!$H31:$S31&gt;'Calc base'!P31)+('Calc base'!$H31:$S31='Calc base'!P31)*('Calc base'!$C$17:$N$17&lt;'Calc base'!K$17)))))</f>
        <v>0</v>
      </c>
      <c r="AQ31">
        <f>IF('Calc base'!L$14=0,0,MIN(AE31,MAX(0,$E31-SUMPRODUCT($V31:$AG31,'Calc base'!$C$14:$N$14,('Calc base'!$H31:$S31&gt;'Calc base'!Q31)+('Calc base'!$H31:$S31='Calc base'!Q31)*('Calc base'!$C$17:$N$17&lt;'Calc base'!L$17)))))</f>
        <v>0</v>
      </c>
      <c r="AR31">
        <f>IF('Calc base'!M$14=0,0,MIN(AF31,MAX(0,$E31-SUMPRODUCT($V31:$AG31,'Calc base'!$C$14:$N$14,('Calc base'!$H31:$S31&gt;'Calc base'!R31)+('Calc base'!$H31:$S31='Calc base'!R31)*('Calc base'!$C$17:$N$17&lt;'Calc base'!M$17)))))</f>
        <v>0</v>
      </c>
      <c r="AS31">
        <f>IF('Calc base'!N$14=0,0,MIN(AG31,MAX(0,$E31-SUMPRODUCT($V31:$AG31,'Calc base'!$C$14:$N$14,('Calc base'!$H31:$S31&gt;'Calc base'!S31)+('Calc base'!$H31:$S31='Calc base'!S31)*('Calc base'!$C$17:$N$17&lt;'Calc base'!N$17)))))</f>
        <v>0</v>
      </c>
      <c r="AT31">
        <f>V31-AH31</f>
        <v>2241.8</v>
      </c>
      <c r="AU31">
        <f>W31-AI31</f>
        <v>816</v>
      </c>
      <c r="AV31">
        <f>X31-AJ31</f>
        <v>6642.13</v>
      </c>
      <c r="AW31">
        <f>Y31-AK31</f>
        <v>9285.67</v>
      </c>
      <c r="AX31">
        <f>Z31-AL31</f>
        <v>495</v>
      </c>
      <c r="AY31">
        <f>AA31-AM31</f>
        <v>1450</v>
      </c>
      <c r="AZ31">
        <f>AB31-AN31</f>
        <v>0</v>
      </c>
      <c r="BA31">
        <f>AC31-AO31</f>
        <v>0</v>
      </c>
      <c r="BB31">
        <f>AD31-AP31</f>
        <v>0</v>
      </c>
      <c r="BC31">
        <f>AE31-AQ31</f>
        <v>0</v>
      </c>
      <c r="BD31">
        <f>AF31-AR31</f>
        <v>0</v>
      </c>
      <c r="BE31">
        <f>AG31-AS31</f>
        <v>0</v>
      </c>
    </row>
    <row r="32">
      <c r="A32" t="n">
        <v>2</v>
      </c>
      <c r="B32">
        <f>SUMPRODUCT(ROUND($AT31:$BE31*(1+'Calc base'!$H32:$S32),2))</f>
        <v>21066.35</v>
      </c>
      <c r="C32">
        <f>SUM(J32:U32)</f>
        <v>669.89</v>
      </c>
      <c r="D32">
        <f>SUM(V32:AG32)</f>
        <v>20396.46</v>
      </c>
      <c r="E32">
        <f>MAX(0,IF(Impostazioni!$B$7="No",'Calc base'!$C32-$C$31,'Calc base'!$C32-C32)+'Calc base'!$G32+'Calc base'!$F32-(B32-C32-D32))</f>
        <v>630.11</v>
      </c>
      <c r="F32">
        <f>SUM(AH32:AS32)</f>
        <v>630.11</v>
      </c>
      <c r="G32">
        <f>SUM(AT32:BE32)</f>
        <v>19766.35</v>
      </c>
      <c r="H32">
        <f>B32-G31</f>
        <v>135.750000000004</v>
      </c>
      <c r="I32">
        <f>B32-G32</f>
        <v>1300</v>
      </c>
      <c r="J32">
        <f>IF(AT31&lt;=0,0,IF(ROUND(AT31*(1+'Calc base'!H32),2)-MAX('Calc base'!C$12,ROUND('Calc base'!C$13*AT31,2))&lt;1,ROUND(AT31*(1+'Calc base'!H32),2),MAX('Calc base'!C$12,ROUND('Calc base'!C$13*AT31,2))))</f>
        <v>67.25</v>
      </c>
      <c r="K32">
        <f>IF(AU31&lt;=0,0,IF(ROUND(AU31*(1+'Calc base'!I32),2)-MAX('Calc base'!D$12,ROUND('Calc base'!D$13*AU31,2))&lt;1,ROUND(AU31*(1+'Calc base'!I32),2),MAX('Calc base'!D$12,ROUND('Calc base'!D$13*AU31,2))))</f>
        <v>32.64</v>
      </c>
      <c r="L32">
        <f>IF(AV31&lt;=0,0,IF(ROUND(AV31*(1+'Calc base'!J32),2)-MAX('Calc base'!E$12,ROUND('Calc base'!E$13*AV31,2))&lt;1,ROUND(AV31*(1+'Calc base'!J32),2),MAX('Calc base'!E$12,ROUND('Calc base'!E$13*AV31,2))))</f>
        <v>210</v>
      </c>
      <c r="M32">
        <f>IF(AW31&lt;=0,0,IF(ROUND(AW31*(1+'Calc base'!K32),2)-MAX('Calc base'!F$12,ROUND('Calc base'!F$13*AW31,2))&lt;1,ROUND(AW31*(1+'Calc base'!K32),2),MAX('Calc base'!F$12,ROUND('Calc base'!F$13*AW31,2))))</f>
        <v>265</v>
      </c>
      <c r="N32">
        <f>IF(AX31&lt;=0,0,IF(ROUND(AX31*(1+'Calc base'!L32),2)-MAX('Calc base'!G$12,ROUND('Calc base'!G$13*AX31,2))&lt;1,ROUND(AX31*(1+'Calc base'!L32),2),MAX('Calc base'!G$12,ROUND('Calc base'!G$13*AX31,2))))</f>
        <v>45</v>
      </c>
      <c r="O32">
        <f>IF(AY31&lt;=0,0,IF(ROUND(AY31*(1+'Calc base'!M32),2)-MAX('Calc base'!H$12,ROUND('Calc base'!H$13*AY31,2))&lt;1,ROUND(AY31*(1+'Calc base'!M32),2),MAX('Calc base'!H$12,ROUND('Calc base'!H$13*AY31,2))))</f>
        <v>50</v>
      </c>
      <c r="P32">
        <f>IF(AZ31&lt;=0,0,IF(ROUND(AZ31*(1+'Calc base'!N32),2)-MAX('Calc base'!I$12,ROUND('Calc base'!I$13*AZ31,2))&lt;1,ROUND(AZ31*(1+'Calc base'!N32),2),MAX('Calc base'!I$12,ROUND('Calc base'!I$13*AZ31,2))))</f>
        <v>0</v>
      </c>
      <c r="Q32">
        <f>IF(BA31&lt;=0,0,IF(ROUND(BA31*(1+'Calc base'!O32),2)-MAX('Calc base'!J$12,ROUND('Calc base'!J$13*BA31,2))&lt;1,ROUND(BA31*(1+'Calc base'!O32),2),MAX('Calc base'!J$12,ROUND('Calc base'!J$13*BA31,2))))</f>
        <v>0</v>
      </c>
      <c r="R32">
        <f>IF(BB31&lt;=0,0,IF(ROUND(BB31*(1+'Calc base'!P32),2)-MAX('Calc base'!K$12,ROUND('Calc base'!K$13*BB31,2))&lt;1,ROUND(BB31*(1+'Calc base'!P32),2),MAX('Calc base'!K$12,ROUND('Calc base'!K$13*BB31,2))))</f>
        <v>0</v>
      </c>
      <c r="S32">
        <f>IF(BC31&lt;=0,0,IF(ROUND(BC31*(1+'Calc base'!Q32),2)-MAX('Calc base'!L$12,ROUND('Calc base'!L$13*BC31,2))&lt;1,ROUND(BC31*(1+'Calc base'!Q32),2),MAX('Calc base'!L$12,ROUND('Calc base'!L$13*BC31,2))))</f>
        <v>0</v>
      </c>
      <c r="T32">
        <f>IF(BD31&lt;=0,0,IF(ROUND(BD31*(1+'Calc base'!R32),2)-MAX('Calc base'!M$12,ROUND('Calc base'!M$13*BD31,2))&lt;1,ROUND(BD31*(1+'Calc base'!R32),2),MAX('Calc base'!M$12,ROUND('Calc base'!M$13*BD31,2))))</f>
        <v>0</v>
      </c>
      <c r="U32">
        <f>IF(BE31&lt;=0,0,IF(ROUND(BE31*(1+'Calc base'!S32),2)-MAX('Calc base'!N$12,ROUND('Calc base'!N$13*BE31,2))&lt;1,ROUND(BE31*(1+'Calc base'!S32),2),MAX('Calc base'!N$12,ROUND('Calc base'!N$13*BE31,2))))</f>
        <v>0</v>
      </c>
      <c r="V32">
        <f>MAX(0,ROUND(AT31*(1+'Calc base'!H32),2)-J32-'Calc base'!T32)</f>
        <v>2209.86</v>
      </c>
      <c r="W32">
        <f>MAX(0,ROUND(AU31*(1+'Calc base'!I32),2)-K32-'Calc base'!U32)</f>
        <v>783.36</v>
      </c>
      <c r="X32">
        <f>MAX(0,ROUND(AV31*(1+'Calc base'!J32),2)-L32-'Calc base'!V32)</f>
        <v>6483.05</v>
      </c>
      <c r="Y32">
        <f>MAX(0,ROUND(AW31*(1+'Calc base'!K32),2)-M32-'Calc base'!W32)</f>
        <v>9070.19</v>
      </c>
      <c r="Z32">
        <f>MAX(0,ROUND(AX31*(1+'Calc base'!L32),2)-N32-'Calc base'!X32)</f>
        <v>450</v>
      </c>
      <c r="AA32">
        <f>MAX(0,ROUND(AY31*(1+'Calc base'!M32),2)-O32-'Calc base'!Y32)</f>
        <v>1400</v>
      </c>
      <c r="AB32">
        <f>MAX(0,ROUND(AZ31*(1+'Calc base'!N32),2)-P32-'Calc base'!Z32)</f>
        <v>0</v>
      </c>
      <c r="AC32">
        <f>MAX(0,ROUND(BA31*(1+'Calc base'!O32),2)-Q32-'Calc base'!AA32)</f>
        <v>0</v>
      </c>
      <c r="AD32">
        <f>MAX(0,ROUND(BB31*(1+'Calc base'!P32),2)-R32-'Calc base'!AB32)</f>
        <v>0</v>
      </c>
      <c r="AE32">
        <f>MAX(0,ROUND(BC31*(1+'Calc base'!Q32),2)-S32-'Calc base'!AC32)</f>
        <v>0</v>
      </c>
      <c r="AF32">
        <f>MAX(0,ROUND(BD31*(1+'Calc base'!R32),2)-T32-'Calc base'!AD32)</f>
        <v>0</v>
      </c>
      <c r="AG32">
        <f>MAX(0,ROUND(BE31*(1+'Calc base'!S32),2)-U32-'Calc base'!AE32)</f>
        <v>0</v>
      </c>
      <c r="AH32">
        <f>IF('Calc base'!C$14=0,0,MIN(V32,MAX(0,$E32-SUMPRODUCT($V32:$AG32,'Calc base'!$C$14:$N$14,('Calc base'!$H32:$S32&gt;'Calc base'!H32)+('Calc base'!$H32:$S32='Calc base'!H32)*('Calc base'!$C$17:$N$17&lt;'Calc base'!C$17)))))</f>
        <v>630.11</v>
      </c>
      <c r="AI32">
        <f>IF('Calc base'!D$14=0,0,MIN(W32,MAX(0,$E32-SUMPRODUCT($V32:$AG32,'Calc base'!$C$14:$N$14,('Calc base'!$H32:$S32&gt;'Calc base'!I32)+('Calc base'!$H32:$S32='Calc base'!I32)*('Calc base'!$C$17:$N$17&lt;'Calc base'!D$17)))))</f>
        <v>0</v>
      </c>
      <c r="AJ32">
        <f>IF('Calc base'!E$14=0,0,MIN(X32,MAX(0,$E32-SUMPRODUCT($V32:$AG32,'Calc base'!$C$14:$N$14,('Calc base'!$H32:$S32&gt;'Calc base'!J32)+('Calc base'!$H32:$S32='Calc base'!J32)*('Calc base'!$C$17:$N$17&lt;'Calc base'!E$17)))))</f>
        <v>0</v>
      </c>
      <c r="AK32">
        <f>IF('Calc base'!F$14=0,0,MIN(Y32,MAX(0,$E32-SUMPRODUCT($V32:$AG32,'Calc base'!$C$14:$N$14,('Calc base'!$H32:$S32&gt;'Calc base'!K32)+('Calc base'!$H32:$S32='Calc base'!K32)*('Calc base'!$C$17:$N$17&lt;'Calc base'!F$17)))))</f>
        <v>0</v>
      </c>
      <c r="AL32">
        <f>IF('Calc base'!G$14=0,0,MIN(Z32,MAX(0,$E32-SUMPRODUCT($V32:$AG32,'Calc base'!$C$14:$N$14,('Calc base'!$H32:$S32&gt;'Calc base'!L32)+('Calc base'!$H32:$S32='Calc base'!L32)*('Calc base'!$C$17:$N$17&lt;'Calc base'!G$17)))))</f>
        <v>0</v>
      </c>
      <c r="AM32">
        <f>IF('Calc base'!H$14=0,0,MIN(AA32,MAX(0,$E32-SUMPRODUCT($V32:$AG32,'Calc base'!$C$14:$N$14,('Calc base'!$H32:$S32&gt;'Calc base'!M32)+('Calc base'!$H32:$S32='Calc base'!M32)*('Calc base'!$C$17:$N$17&lt;'Calc base'!H$17)))))</f>
        <v>0</v>
      </c>
      <c r="AN32">
        <f>IF('Calc base'!I$14=0,0,MIN(AB32,MAX(0,$E32-SUMPRODUCT($V32:$AG32,'Calc base'!$C$14:$N$14,('Calc base'!$H32:$S32&gt;'Calc base'!N32)+('Calc base'!$H32:$S32='Calc base'!N32)*('Calc base'!$C$17:$N$17&lt;'Calc base'!I$17)))))</f>
        <v>0</v>
      </c>
      <c r="AO32">
        <f>IF('Calc base'!J$14=0,0,MIN(AC32,MAX(0,$E32-SUMPRODUCT($V32:$AG32,'Calc base'!$C$14:$N$14,('Calc base'!$H32:$S32&gt;'Calc base'!O32)+('Calc base'!$H32:$S32='Calc base'!O32)*('Calc base'!$C$17:$N$17&lt;'Calc base'!J$17)))))</f>
        <v>0</v>
      </c>
      <c r="AP32">
        <f>IF('Calc base'!K$14=0,0,MIN(AD32,MAX(0,$E32-SUMPRODUCT($V32:$AG32,'Calc base'!$C$14:$N$14,('Calc base'!$H32:$S32&gt;'Calc base'!P32)+('Calc base'!$H32:$S32='Calc base'!P32)*('Calc base'!$C$17:$N$17&lt;'Calc base'!K$17)))))</f>
        <v>0</v>
      </c>
      <c r="AQ32">
        <f>IF('Calc base'!L$14=0,0,MIN(AE32,MAX(0,$E32-SUMPRODUCT($V32:$AG32,'Calc base'!$C$14:$N$14,('Calc base'!$H32:$S32&gt;'Calc base'!Q32)+('Calc base'!$H32:$S32='Calc base'!Q32)*('Calc base'!$C$17:$N$17&lt;'Calc base'!L$17)))))</f>
        <v>0</v>
      </c>
      <c r="AR32">
        <f>IF('Calc base'!M$14=0,0,MIN(AF32,MAX(0,$E32-SUMPRODUCT($V32:$AG32,'Calc base'!$C$14:$N$14,('Calc base'!$H32:$S32&gt;'Calc base'!R32)+('Calc base'!$H32:$S32='Calc base'!R32)*('Calc base'!$C$17:$N$17&lt;'Calc base'!M$17)))))</f>
        <v>0</v>
      </c>
      <c r="AS32">
        <f>IF('Calc base'!N$14=0,0,MIN(AG32,MAX(0,$E32-SUMPRODUCT($V32:$AG32,'Calc base'!$C$14:$N$14,('Calc base'!$H32:$S32&gt;'Calc base'!S32)+('Calc base'!$H32:$S32='Calc base'!S32)*('Calc base'!$C$17:$N$17&lt;'Calc base'!N$17)))))</f>
        <v>0</v>
      </c>
      <c r="AT32">
        <f>V32-AH32</f>
        <v>1579.75</v>
      </c>
      <c r="AU32">
        <f>W32-AI32</f>
        <v>783.36</v>
      </c>
      <c r="AV32">
        <f>X32-AJ32</f>
        <v>6483.05</v>
      </c>
      <c r="AW32">
        <f>Y32-AK32</f>
        <v>9070.19</v>
      </c>
      <c r="AX32">
        <f>Z32-AL32</f>
        <v>450</v>
      </c>
      <c r="AY32">
        <f>AA32-AM32</f>
        <v>1400</v>
      </c>
      <c r="AZ32">
        <f>AB32-AN32</f>
        <v>0</v>
      </c>
      <c r="BA32">
        <f>AC32-AO32</f>
        <v>0</v>
      </c>
      <c r="BB32">
        <f>AD32-AP32</f>
        <v>0</v>
      </c>
      <c r="BC32">
        <f>AE32-AQ32</f>
        <v>0</v>
      </c>
      <c r="BD32">
        <f>AF32-AR32</f>
        <v>0</v>
      </c>
      <c r="BE32">
        <f>AG32-AS32</f>
        <v>0</v>
      </c>
    </row>
    <row r="33">
      <c r="A33" t="n">
        <v>3</v>
      </c>
      <c r="B33">
        <f>SUMPRODUCT(ROUND($AT32:$BE32*(1+'Calc base'!$H33:$S33),2))</f>
        <v>19889.3</v>
      </c>
      <c r="C33">
        <f>SUM(J33:U33)</f>
        <v>648.72</v>
      </c>
      <c r="D33">
        <f>SUM(V33:AG33)</f>
        <v>19240.58</v>
      </c>
      <c r="E33">
        <f>MAX(0,IF(Impostazioni!$B$7="No",'Calc base'!$C33-$C$31,'Calc base'!$C33-C33)+'Calc base'!$G33+'Calc base'!$F33-(B33-C33-D33))</f>
        <v>151.28</v>
      </c>
      <c r="F33">
        <f>SUM(AH33:AS33)</f>
        <v>151.28</v>
      </c>
      <c r="G33">
        <f>SUM(AT33:BE33)</f>
        <v>19089.3</v>
      </c>
      <c r="H33">
        <f>B33-G32</f>
        <v>122.949999999997</v>
      </c>
      <c r="I33">
        <f>B33-G33</f>
        <v>800</v>
      </c>
      <c r="J33">
        <f>IF(AT32&lt;=0,0,IF(ROUND(AT32*(1+'Calc base'!H33),2)-MAX('Calc base'!C$12,ROUND('Calc base'!C$13*AT32,2))&lt;1,ROUND(AT32*(1+'Calc base'!H33),2),MAX('Calc base'!C$12,ROUND('Calc base'!C$13*AT32,2))))</f>
        <v>47.39</v>
      </c>
      <c r="K33">
        <f>IF(AU32&lt;=0,0,IF(ROUND(AU32*(1+'Calc base'!I33),2)-MAX('Calc base'!D$12,ROUND('Calc base'!D$13*AU32,2))&lt;1,ROUND(AU32*(1+'Calc base'!I33),2),MAX('Calc base'!D$12,ROUND('Calc base'!D$13*AU32,2))))</f>
        <v>31.33</v>
      </c>
      <c r="L33">
        <f>IF(AV32&lt;=0,0,IF(ROUND(AV32*(1+'Calc base'!J33),2)-MAX('Calc base'!E$12,ROUND('Calc base'!E$13*AV32,2))&lt;1,ROUND(AV32*(1+'Calc base'!J33),2),MAX('Calc base'!E$12,ROUND('Calc base'!E$13*AV32,2))))</f>
        <v>210</v>
      </c>
      <c r="M33">
        <f>IF(AW32&lt;=0,0,IF(ROUND(AW32*(1+'Calc base'!K33),2)-MAX('Calc base'!F$12,ROUND('Calc base'!F$13*AW32,2))&lt;1,ROUND(AW32*(1+'Calc base'!K33),2),MAX('Calc base'!F$12,ROUND('Calc base'!F$13*AW32,2))))</f>
        <v>265</v>
      </c>
      <c r="N33">
        <f>IF(AX32&lt;=0,0,IF(ROUND(AX32*(1+'Calc base'!L33),2)-MAX('Calc base'!G$12,ROUND('Calc base'!G$13*AX32,2))&lt;1,ROUND(AX32*(1+'Calc base'!L33),2),MAX('Calc base'!G$12,ROUND('Calc base'!G$13*AX32,2))))</f>
        <v>45</v>
      </c>
      <c r="O33">
        <f>IF(AY32&lt;=0,0,IF(ROUND(AY32*(1+'Calc base'!M33),2)-MAX('Calc base'!H$12,ROUND('Calc base'!H$13*AY32,2))&lt;1,ROUND(AY32*(1+'Calc base'!M33),2),MAX('Calc base'!H$12,ROUND('Calc base'!H$13*AY32,2))))</f>
        <v>50</v>
      </c>
      <c r="P33">
        <f>IF(AZ32&lt;=0,0,IF(ROUND(AZ32*(1+'Calc base'!N33),2)-MAX('Calc base'!I$12,ROUND('Calc base'!I$13*AZ32,2))&lt;1,ROUND(AZ32*(1+'Calc base'!N33),2),MAX('Calc base'!I$12,ROUND('Calc base'!I$13*AZ32,2))))</f>
        <v>0</v>
      </c>
      <c r="Q33">
        <f>IF(BA32&lt;=0,0,IF(ROUND(BA32*(1+'Calc base'!O33),2)-MAX('Calc base'!J$12,ROUND('Calc base'!J$13*BA32,2))&lt;1,ROUND(BA32*(1+'Calc base'!O33),2),MAX('Calc base'!J$12,ROUND('Calc base'!J$13*BA32,2))))</f>
        <v>0</v>
      </c>
      <c r="R33">
        <f>IF(BB32&lt;=0,0,IF(ROUND(BB32*(1+'Calc base'!P33),2)-MAX('Calc base'!K$12,ROUND('Calc base'!K$13*BB32,2))&lt;1,ROUND(BB32*(1+'Calc base'!P33),2),MAX('Calc base'!K$12,ROUND('Calc base'!K$13*BB32,2))))</f>
        <v>0</v>
      </c>
      <c r="S33">
        <f>IF(BC32&lt;=0,0,IF(ROUND(BC32*(1+'Calc base'!Q33),2)-MAX('Calc base'!L$12,ROUND('Calc base'!L$13*BC32,2))&lt;1,ROUND(BC32*(1+'Calc base'!Q33),2),MAX('Calc base'!L$12,ROUND('Calc base'!L$13*BC32,2))))</f>
        <v>0</v>
      </c>
      <c r="T33">
        <f>IF(BD32&lt;=0,0,IF(ROUND(BD32*(1+'Calc base'!R33),2)-MAX('Calc base'!M$12,ROUND('Calc base'!M$13*BD32,2))&lt;1,ROUND(BD32*(1+'Calc base'!R33),2),MAX('Calc base'!M$12,ROUND('Calc base'!M$13*BD32,2))))</f>
        <v>0</v>
      </c>
      <c r="U33">
        <f>IF(BE32&lt;=0,0,IF(ROUND(BE32*(1+'Calc base'!S33),2)-MAX('Calc base'!N$12,ROUND('Calc base'!N$13*BE32,2))&lt;1,ROUND(BE32*(1+'Calc base'!S33),2),MAX('Calc base'!N$12,ROUND('Calc base'!N$13*BE32,2))))</f>
        <v>0</v>
      </c>
      <c r="V33">
        <f>MAX(0,ROUND(AT32*(1+'Calc base'!H33),2)-J33-'Calc base'!T33)</f>
        <v>1557.24</v>
      </c>
      <c r="W33">
        <f>MAX(0,ROUND(AU32*(1+'Calc base'!I33),2)-K33-'Calc base'!U33)</f>
        <v>752.03</v>
      </c>
      <c r="X33">
        <f>MAX(0,ROUND(AV32*(1+'Calc base'!J33),2)-L33-'Calc base'!V33)</f>
        <v>6322.75</v>
      </c>
      <c r="Y33">
        <f>MAX(0,ROUND(AW32*(1+'Calc base'!K33),2)-M33-'Calc base'!W33)</f>
        <v>8853.56</v>
      </c>
      <c r="Z33">
        <f>MAX(0,ROUND(AX32*(1+'Calc base'!L33),2)-N33-'Calc base'!X33)</f>
        <v>405</v>
      </c>
      <c r="AA33">
        <f>MAX(0,ROUND(AY32*(1+'Calc base'!M33),2)-O33-'Calc base'!Y33)</f>
        <v>1350</v>
      </c>
      <c r="AB33">
        <f>MAX(0,ROUND(AZ32*(1+'Calc base'!N33),2)-P33-'Calc base'!Z33)</f>
        <v>0</v>
      </c>
      <c r="AC33">
        <f>MAX(0,ROUND(BA32*(1+'Calc base'!O33),2)-Q33-'Calc base'!AA33)</f>
        <v>0</v>
      </c>
      <c r="AD33">
        <f>MAX(0,ROUND(BB32*(1+'Calc base'!P33),2)-R33-'Calc base'!AB33)</f>
        <v>0</v>
      </c>
      <c r="AE33">
        <f>MAX(0,ROUND(BC32*(1+'Calc base'!Q33),2)-S33-'Calc base'!AC33)</f>
        <v>0</v>
      </c>
      <c r="AF33">
        <f>MAX(0,ROUND(BD32*(1+'Calc base'!R33),2)-T33-'Calc base'!AD33)</f>
        <v>0</v>
      </c>
      <c r="AG33">
        <f>MAX(0,ROUND(BE32*(1+'Calc base'!S33),2)-U33-'Calc base'!AE33)</f>
        <v>0</v>
      </c>
      <c r="AH33">
        <f>IF('Calc base'!C$14=0,0,MIN(V33,MAX(0,$E33-SUMPRODUCT($V33:$AG33,'Calc base'!$C$14:$N$14,('Calc base'!$H33:$S33&gt;'Calc base'!H33)+('Calc base'!$H33:$S33='Calc base'!H33)*('Calc base'!$C$17:$N$17&lt;'Calc base'!C$17)))))</f>
        <v>151.28</v>
      </c>
      <c r="AI33">
        <f>IF('Calc base'!D$14=0,0,MIN(W33,MAX(0,$E33-SUMPRODUCT($V33:$AG33,'Calc base'!$C$14:$N$14,('Calc base'!$H33:$S33&gt;'Calc base'!I33)+('Calc base'!$H33:$S33='Calc base'!I33)*('Calc base'!$C$17:$N$17&lt;'Calc base'!D$17)))))</f>
        <v>0</v>
      </c>
      <c r="AJ33">
        <f>IF('Calc base'!E$14=0,0,MIN(X33,MAX(0,$E33-SUMPRODUCT($V33:$AG33,'Calc base'!$C$14:$N$14,('Calc base'!$H33:$S33&gt;'Calc base'!J33)+('Calc base'!$H33:$S33='Calc base'!J33)*('Calc base'!$C$17:$N$17&lt;'Calc base'!E$17)))))</f>
        <v>0</v>
      </c>
      <c r="AK33">
        <f>IF('Calc base'!F$14=0,0,MIN(Y33,MAX(0,$E33-SUMPRODUCT($V33:$AG33,'Calc base'!$C$14:$N$14,('Calc base'!$H33:$S33&gt;'Calc base'!K33)+('Calc base'!$H33:$S33='Calc base'!K33)*('Calc base'!$C$17:$N$17&lt;'Calc base'!F$17)))))</f>
        <v>0</v>
      </c>
      <c r="AL33">
        <f>IF('Calc base'!G$14=0,0,MIN(Z33,MAX(0,$E33-SUMPRODUCT($V33:$AG33,'Calc base'!$C$14:$N$14,('Calc base'!$H33:$S33&gt;'Calc base'!L33)+('Calc base'!$H33:$S33='Calc base'!L33)*('Calc base'!$C$17:$N$17&lt;'Calc base'!G$17)))))</f>
        <v>0</v>
      </c>
      <c r="AM33">
        <f>IF('Calc base'!H$14=0,0,MIN(AA33,MAX(0,$E33-SUMPRODUCT($V33:$AG33,'Calc base'!$C$14:$N$14,('Calc base'!$H33:$S33&gt;'Calc base'!M33)+('Calc base'!$H33:$S33='Calc base'!M33)*('Calc base'!$C$17:$N$17&lt;'Calc base'!H$17)))))</f>
        <v>0</v>
      </c>
      <c r="AN33">
        <f>IF('Calc base'!I$14=0,0,MIN(AB33,MAX(0,$E33-SUMPRODUCT($V33:$AG33,'Calc base'!$C$14:$N$14,('Calc base'!$H33:$S33&gt;'Calc base'!N33)+('Calc base'!$H33:$S33='Calc base'!N33)*('Calc base'!$C$17:$N$17&lt;'Calc base'!I$17)))))</f>
        <v>0</v>
      </c>
      <c r="AO33">
        <f>IF('Calc base'!J$14=0,0,MIN(AC33,MAX(0,$E33-SUMPRODUCT($V33:$AG33,'Calc base'!$C$14:$N$14,('Calc base'!$H33:$S33&gt;'Calc base'!O33)+('Calc base'!$H33:$S33='Calc base'!O33)*('Calc base'!$C$17:$N$17&lt;'Calc base'!J$17)))))</f>
        <v>0</v>
      </c>
      <c r="AP33">
        <f>IF('Calc base'!K$14=0,0,MIN(AD33,MAX(0,$E33-SUMPRODUCT($V33:$AG33,'Calc base'!$C$14:$N$14,('Calc base'!$H33:$S33&gt;'Calc base'!P33)+('Calc base'!$H33:$S33='Calc base'!P33)*('Calc base'!$C$17:$N$17&lt;'Calc base'!K$17)))))</f>
        <v>0</v>
      </c>
      <c r="AQ33">
        <f>IF('Calc base'!L$14=0,0,MIN(AE33,MAX(0,$E33-SUMPRODUCT($V33:$AG33,'Calc base'!$C$14:$N$14,('Calc base'!$H33:$S33&gt;'Calc base'!Q33)+('Calc base'!$H33:$S33='Calc base'!Q33)*('Calc base'!$C$17:$N$17&lt;'Calc base'!L$17)))))</f>
        <v>0</v>
      </c>
      <c r="AR33">
        <f>IF('Calc base'!M$14=0,0,MIN(AF33,MAX(0,$E33-SUMPRODUCT($V33:$AG33,'Calc base'!$C$14:$N$14,('Calc base'!$H33:$S33&gt;'Calc base'!R33)+('Calc base'!$H33:$S33='Calc base'!R33)*('Calc base'!$C$17:$N$17&lt;'Calc base'!M$17)))))</f>
        <v>0</v>
      </c>
      <c r="AS33">
        <f>IF('Calc base'!N$14=0,0,MIN(AG33,MAX(0,$E33-SUMPRODUCT($V33:$AG33,'Calc base'!$C$14:$N$14,('Calc base'!$H33:$S33&gt;'Calc base'!S33)+('Calc base'!$H33:$S33='Calc base'!S33)*('Calc base'!$C$17:$N$17&lt;'Calc base'!N$17)))))</f>
        <v>0</v>
      </c>
      <c r="AT33">
        <f>V33-AH33</f>
        <v>1405.96</v>
      </c>
      <c r="AU33">
        <f>W33-AI33</f>
        <v>752.03</v>
      </c>
      <c r="AV33">
        <f>X33-AJ33</f>
        <v>6322.75</v>
      </c>
      <c r="AW33">
        <f>Y33-AK33</f>
        <v>8853.56</v>
      </c>
      <c r="AX33">
        <f>Z33-AL33</f>
        <v>405</v>
      </c>
      <c r="AY33">
        <f>AA33-AM33</f>
        <v>1350</v>
      </c>
      <c r="AZ33">
        <f>AB33-AN33</f>
        <v>0</v>
      </c>
      <c r="BA33">
        <f>AC33-AO33</f>
        <v>0</v>
      </c>
      <c r="BB33">
        <f>AD33-AP33</f>
        <v>0</v>
      </c>
      <c r="BC33">
        <f>AE33-AQ33</f>
        <v>0</v>
      </c>
      <c r="BD33">
        <f>AF33-AR33</f>
        <v>0</v>
      </c>
      <c r="BE33">
        <f>AG33-AS33</f>
        <v>0</v>
      </c>
    </row>
    <row r="34">
      <c r="A34" t="n">
        <v>4</v>
      </c>
      <c r="B34">
        <f>SUMPRODUCT(ROUND($AT33:$BE33*(1+'Calc base'!$H34:$S34),2))</f>
        <v>19207.13</v>
      </c>
      <c r="C34">
        <f>SUM(J34:U34)</f>
        <v>642.26</v>
      </c>
      <c r="D34">
        <f>SUM(V34:AG34)</f>
        <v>18564.87</v>
      </c>
      <c r="E34">
        <f>MAX(0,IF(Impostazioni!$B$7="No",'Calc base'!$C34-$C$31,'Calc base'!$C34-C34)+'Calc base'!$G34+'Calc base'!$F34-(B34-C34-D34))</f>
        <v>157.74</v>
      </c>
      <c r="F34">
        <f>SUM(AH34:AS34)</f>
        <v>157.74</v>
      </c>
      <c r="G34">
        <f>SUM(AT34:BE34)</f>
        <v>18407.13</v>
      </c>
      <c r="H34">
        <f>B34-G33</f>
        <v>117.830000000002</v>
      </c>
      <c r="I34">
        <f>B34-G34</f>
        <v>800</v>
      </c>
      <c r="J34">
        <f>IF(AT33&lt;=0,0,IF(ROUND(AT33*(1+'Calc base'!H34),2)-MAX('Calc base'!C$12,ROUND('Calc base'!C$13*AT33,2))&lt;1,ROUND(AT33*(1+'Calc base'!H34),2),MAX('Calc base'!C$12,ROUND('Calc base'!C$13*AT33,2))))</f>
        <v>42.18</v>
      </c>
      <c r="K34">
        <f>IF(AU33&lt;=0,0,IF(ROUND(AU33*(1+'Calc base'!I34),2)-MAX('Calc base'!D$12,ROUND('Calc base'!D$13*AU33,2))&lt;1,ROUND(AU33*(1+'Calc base'!I34),2),MAX('Calc base'!D$12,ROUND('Calc base'!D$13*AU33,2))))</f>
        <v>30.08</v>
      </c>
      <c r="L34">
        <f>IF(AV33&lt;=0,0,IF(ROUND(AV33*(1+'Calc base'!J34),2)-MAX('Calc base'!E$12,ROUND('Calc base'!E$13*AV33,2))&lt;1,ROUND(AV33*(1+'Calc base'!J34),2),MAX('Calc base'!E$12,ROUND('Calc base'!E$13*AV33,2))))</f>
        <v>210</v>
      </c>
      <c r="M34">
        <f>IF(AW33&lt;=0,0,IF(ROUND(AW33*(1+'Calc base'!K34),2)-MAX('Calc base'!F$12,ROUND('Calc base'!F$13*AW33,2))&lt;1,ROUND(AW33*(1+'Calc base'!K34),2),MAX('Calc base'!F$12,ROUND('Calc base'!F$13*AW33,2))))</f>
        <v>265</v>
      </c>
      <c r="N34">
        <f>IF(AX33&lt;=0,0,IF(ROUND(AX33*(1+'Calc base'!L34),2)-MAX('Calc base'!G$12,ROUND('Calc base'!G$13*AX33,2))&lt;1,ROUND(AX33*(1+'Calc base'!L34),2),MAX('Calc base'!G$12,ROUND('Calc base'!G$13*AX33,2))))</f>
        <v>45</v>
      </c>
      <c r="O34">
        <f>IF(AY33&lt;=0,0,IF(ROUND(AY33*(1+'Calc base'!M34),2)-MAX('Calc base'!H$12,ROUND('Calc base'!H$13*AY33,2))&lt;1,ROUND(AY33*(1+'Calc base'!M34),2),MAX('Calc base'!H$12,ROUND('Calc base'!H$13*AY33,2))))</f>
        <v>50</v>
      </c>
      <c r="P34">
        <f>IF(AZ33&lt;=0,0,IF(ROUND(AZ33*(1+'Calc base'!N34),2)-MAX('Calc base'!I$12,ROUND('Calc base'!I$13*AZ33,2))&lt;1,ROUND(AZ33*(1+'Calc base'!N34),2),MAX('Calc base'!I$12,ROUND('Calc base'!I$13*AZ33,2))))</f>
        <v>0</v>
      </c>
      <c r="Q34">
        <f>IF(BA33&lt;=0,0,IF(ROUND(BA33*(1+'Calc base'!O34),2)-MAX('Calc base'!J$12,ROUND('Calc base'!J$13*BA33,2))&lt;1,ROUND(BA33*(1+'Calc base'!O34),2),MAX('Calc base'!J$12,ROUND('Calc base'!J$13*BA33,2))))</f>
        <v>0</v>
      </c>
      <c r="R34">
        <f>IF(BB33&lt;=0,0,IF(ROUND(BB33*(1+'Calc base'!P34),2)-MAX('Calc base'!K$12,ROUND('Calc base'!K$13*BB33,2))&lt;1,ROUND(BB33*(1+'Calc base'!P34),2),MAX('Calc base'!K$12,ROUND('Calc base'!K$13*BB33,2))))</f>
        <v>0</v>
      </c>
      <c r="S34">
        <f>IF(BC33&lt;=0,0,IF(ROUND(BC33*(1+'Calc base'!Q34),2)-MAX('Calc base'!L$12,ROUND('Calc base'!L$13*BC33,2))&lt;1,ROUND(BC33*(1+'Calc base'!Q34),2),MAX('Calc base'!L$12,ROUND('Calc base'!L$13*BC33,2))))</f>
        <v>0</v>
      </c>
      <c r="T34">
        <f>IF(BD33&lt;=0,0,IF(ROUND(BD33*(1+'Calc base'!R34),2)-MAX('Calc base'!M$12,ROUND('Calc base'!M$13*BD33,2))&lt;1,ROUND(BD33*(1+'Calc base'!R34),2),MAX('Calc base'!M$12,ROUND('Calc base'!M$13*BD33,2))))</f>
        <v>0</v>
      </c>
      <c r="U34">
        <f>IF(BE33&lt;=0,0,IF(ROUND(BE33*(1+'Calc base'!S34),2)-MAX('Calc base'!N$12,ROUND('Calc base'!N$13*BE33,2))&lt;1,ROUND(BE33*(1+'Calc base'!S34),2),MAX('Calc base'!N$12,ROUND('Calc base'!N$13*BE33,2))))</f>
        <v>0</v>
      </c>
      <c r="V34">
        <f>MAX(0,ROUND(AT33*(1+'Calc base'!H34),2)-J34-'Calc base'!T34)</f>
        <v>1385.92</v>
      </c>
      <c r="W34">
        <f>MAX(0,ROUND(AU33*(1+'Calc base'!I34),2)-K34-'Calc base'!U34)</f>
        <v>721.95</v>
      </c>
      <c r="X34">
        <f>MAX(0,ROUND(AV33*(1+'Calc base'!J34),2)-L34-'Calc base'!V34)</f>
        <v>6161.22</v>
      </c>
      <c r="Y34">
        <f>MAX(0,ROUND(AW33*(1+'Calc base'!K34),2)-M34-'Calc base'!W34)</f>
        <v>8635.78</v>
      </c>
      <c r="Z34">
        <f>MAX(0,ROUND(AX33*(1+'Calc base'!L34),2)-N34-'Calc base'!X34)</f>
        <v>360</v>
      </c>
      <c r="AA34">
        <f>MAX(0,ROUND(AY33*(1+'Calc base'!M34),2)-O34-'Calc base'!Y34)</f>
        <v>1300</v>
      </c>
      <c r="AB34">
        <f>MAX(0,ROUND(AZ33*(1+'Calc base'!N34),2)-P34-'Calc base'!Z34)</f>
        <v>0</v>
      </c>
      <c r="AC34">
        <f>MAX(0,ROUND(BA33*(1+'Calc base'!O34),2)-Q34-'Calc base'!AA34)</f>
        <v>0</v>
      </c>
      <c r="AD34">
        <f>MAX(0,ROUND(BB33*(1+'Calc base'!P34),2)-R34-'Calc base'!AB34)</f>
        <v>0</v>
      </c>
      <c r="AE34">
        <f>MAX(0,ROUND(BC33*(1+'Calc base'!Q34),2)-S34-'Calc base'!AC34)</f>
        <v>0</v>
      </c>
      <c r="AF34">
        <f>MAX(0,ROUND(BD33*(1+'Calc base'!R34),2)-T34-'Calc base'!AD34)</f>
        <v>0</v>
      </c>
      <c r="AG34">
        <f>MAX(0,ROUND(BE33*(1+'Calc base'!S34),2)-U34-'Calc base'!AE34)</f>
        <v>0</v>
      </c>
      <c r="AH34">
        <f>IF('Calc base'!C$14=0,0,MIN(V34,MAX(0,$E34-SUMPRODUCT($V34:$AG34,'Calc base'!$C$14:$N$14,('Calc base'!$H34:$S34&gt;'Calc base'!H34)+('Calc base'!$H34:$S34='Calc base'!H34)*('Calc base'!$C$17:$N$17&lt;'Calc base'!C$17)))))</f>
        <v>157.74</v>
      </c>
      <c r="AI34">
        <f>IF('Calc base'!D$14=0,0,MIN(W34,MAX(0,$E34-SUMPRODUCT($V34:$AG34,'Calc base'!$C$14:$N$14,('Calc base'!$H34:$S34&gt;'Calc base'!I34)+('Calc base'!$H34:$S34='Calc base'!I34)*('Calc base'!$C$17:$N$17&lt;'Calc base'!D$17)))))</f>
        <v>0</v>
      </c>
      <c r="AJ34">
        <f>IF('Calc base'!E$14=0,0,MIN(X34,MAX(0,$E34-SUMPRODUCT($V34:$AG34,'Calc base'!$C$14:$N$14,('Calc base'!$H34:$S34&gt;'Calc base'!J34)+('Calc base'!$H34:$S34='Calc base'!J34)*('Calc base'!$C$17:$N$17&lt;'Calc base'!E$17)))))</f>
        <v>0</v>
      </c>
      <c r="AK34">
        <f>IF('Calc base'!F$14=0,0,MIN(Y34,MAX(0,$E34-SUMPRODUCT($V34:$AG34,'Calc base'!$C$14:$N$14,('Calc base'!$H34:$S34&gt;'Calc base'!K34)+('Calc base'!$H34:$S34='Calc base'!K34)*('Calc base'!$C$17:$N$17&lt;'Calc base'!F$17)))))</f>
        <v>0</v>
      </c>
      <c r="AL34">
        <f>IF('Calc base'!G$14=0,0,MIN(Z34,MAX(0,$E34-SUMPRODUCT($V34:$AG34,'Calc base'!$C$14:$N$14,('Calc base'!$H34:$S34&gt;'Calc base'!L34)+('Calc base'!$H34:$S34='Calc base'!L34)*('Calc base'!$C$17:$N$17&lt;'Calc base'!G$17)))))</f>
        <v>0</v>
      </c>
      <c r="AM34">
        <f>IF('Calc base'!H$14=0,0,MIN(AA34,MAX(0,$E34-SUMPRODUCT($V34:$AG34,'Calc base'!$C$14:$N$14,('Calc base'!$H34:$S34&gt;'Calc base'!M34)+('Calc base'!$H34:$S34='Calc base'!M34)*('Calc base'!$C$17:$N$17&lt;'Calc base'!H$17)))))</f>
        <v>0</v>
      </c>
      <c r="AN34">
        <f>IF('Calc base'!I$14=0,0,MIN(AB34,MAX(0,$E34-SUMPRODUCT($V34:$AG34,'Calc base'!$C$14:$N$14,('Calc base'!$H34:$S34&gt;'Calc base'!N34)+('Calc base'!$H34:$S34='Calc base'!N34)*('Calc base'!$C$17:$N$17&lt;'Calc base'!I$17)))))</f>
        <v>0</v>
      </c>
      <c r="AO34">
        <f>IF('Calc base'!J$14=0,0,MIN(AC34,MAX(0,$E34-SUMPRODUCT($V34:$AG34,'Calc base'!$C$14:$N$14,('Calc base'!$H34:$S34&gt;'Calc base'!O34)+('Calc base'!$H34:$S34='Calc base'!O34)*('Calc base'!$C$17:$N$17&lt;'Calc base'!J$17)))))</f>
        <v>0</v>
      </c>
      <c r="AP34">
        <f>IF('Calc base'!K$14=0,0,MIN(AD34,MAX(0,$E34-SUMPRODUCT($V34:$AG34,'Calc base'!$C$14:$N$14,('Calc base'!$H34:$S34&gt;'Calc base'!P34)+('Calc base'!$H34:$S34='Calc base'!P34)*('Calc base'!$C$17:$N$17&lt;'Calc base'!K$17)))))</f>
        <v>0</v>
      </c>
      <c r="AQ34">
        <f>IF('Calc base'!L$14=0,0,MIN(AE34,MAX(0,$E34-SUMPRODUCT($V34:$AG34,'Calc base'!$C$14:$N$14,('Calc base'!$H34:$S34&gt;'Calc base'!Q34)+('Calc base'!$H34:$S34='Calc base'!Q34)*('Calc base'!$C$17:$N$17&lt;'Calc base'!L$17)))))</f>
        <v>0</v>
      </c>
      <c r="AR34">
        <f>IF('Calc base'!M$14=0,0,MIN(AF34,MAX(0,$E34-SUMPRODUCT($V34:$AG34,'Calc base'!$C$14:$N$14,('Calc base'!$H34:$S34&gt;'Calc base'!R34)+('Calc base'!$H34:$S34='Calc base'!R34)*('Calc base'!$C$17:$N$17&lt;'Calc base'!M$17)))))</f>
        <v>0</v>
      </c>
      <c r="AS34">
        <f>IF('Calc base'!N$14=0,0,MIN(AG34,MAX(0,$E34-SUMPRODUCT($V34:$AG34,'Calc base'!$C$14:$N$14,('Calc base'!$H34:$S34&gt;'Calc base'!S34)+('Calc base'!$H34:$S34='Calc base'!S34)*('Calc base'!$C$17:$N$17&lt;'Calc base'!N$17)))))</f>
        <v>0</v>
      </c>
      <c r="AT34">
        <f>V34-AH34</f>
        <v>1228.18</v>
      </c>
      <c r="AU34">
        <f>W34-AI34</f>
        <v>721.95</v>
      </c>
      <c r="AV34">
        <f>X34-AJ34</f>
        <v>6161.22</v>
      </c>
      <c r="AW34">
        <f>Y34-AK34</f>
        <v>8635.78</v>
      </c>
      <c r="AX34">
        <f>Z34-AL34</f>
        <v>360</v>
      </c>
      <c r="AY34">
        <f>AA34-AM34</f>
        <v>1300</v>
      </c>
      <c r="AZ34">
        <f>AB34-AN34</f>
        <v>0</v>
      </c>
      <c r="BA34">
        <f>AC34-AO34</f>
        <v>0</v>
      </c>
      <c r="BB34">
        <f>AD34-AP34</f>
        <v>0</v>
      </c>
      <c r="BC34">
        <f>AE34-AQ34</f>
        <v>0</v>
      </c>
      <c r="BD34">
        <f>AF34-AR34</f>
        <v>0</v>
      </c>
      <c r="BE34">
        <f>AG34-AS34</f>
        <v>0</v>
      </c>
    </row>
    <row r="35">
      <c r="A35" t="n">
        <v>5</v>
      </c>
      <c r="B35">
        <f>SUMPRODUCT(ROUND($AT34:$BE34*(1+'Calc base'!$H35:$S35),2))</f>
        <v>18519.77</v>
      </c>
      <c r="C35">
        <f>SUM(J35:U35)</f>
        <v>635.73</v>
      </c>
      <c r="D35">
        <f>SUM(V35:AG35)</f>
        <v>17484.04</v>
      </c>
      <c r="E35">
        <f>MAX(0,IF(Impostazioni!$B$7="No",'Calc base'!$C35-$C$31,'Calc base'!$C35-C35)+'Calc base'!$G35+'Calc base'!$F35-(B35-C35-D35))</f>
        <v>164.27</v>
      </c>
      <c r="F35">
        <f>SUM(AH35:AS35)</f>
        <v>164.27</v>
      </c>
      <c r="G35">
        <f>SUM(AT35:BE35)</f>
        <v>17319.77</v>
      </c>
      <c r="H35">
        <f>B35-G34</f>
        <v>112.639999999999</v>
      </c>
      <c r="I35">
        <f>B35-G35</f>
        <v>1200</v>
      </c>
      <c r="J35">
        <f>IF(AT34&lt;=0,0,IF(ROUND(AT34*(1+'Calc base'!H35),2)-MAX('Calc base'!C$12,ROUND('Calc base'!C$13*AT34,2))&lt;1,ROUND(AT34*(1+'Calc base'!H35),2),MAX('Calc base'!C$12,ROUND('Calc base'!C$13*AT34,2))))</f>
        <v>36.85</v>
      </c>
      <c r="K35">
        <f>IF(AU34&lt;=0,0,IF(ROUND(AU34*(1+'Calc base'!I35),2)-MAX('Calc base'!D$12,ROUND('Calc base'!D$13*AU34,2))&lt;1,ROUND(AU34*(1+'Calc base'!I35),2),MAX('Calc base'!D$12,ROUND('Calc base'!D$13*AU34,2))))</f>
        <v>28.88</v>
      </c>
      <c r="L35">
        <f>IF(AV34&lt;=0,0,IF(ROUND(AV34*(1+'Calc base'!J35),2)-MAX('Calc base'!E$12,ROUND('Calc base'!E$13*AV34,2))&lt;1,ROUND(AV34*(1+'Calc base'!J35),2),MAX('Calc base'!E$12,ROUND('Calc base'!E$13*AV34,2))))</f>
        <v>210</v>
      </c>
      <c r="M35">
        <f>IF(AW34&lt;=0,0,IF(ROUND(AW34*(1+'Calc base'!K35),2)-MAX('Calc base'!F$12,ROUND('Calc base'!F$13*AW34,2))&lt;1,ROUND(AW34*(1+'Calc base'!K35),2),MAX('Calc base'!F$12,ROUND('Calc base'!F$13*AW34,2))))</f>
        <v>265</v>
      </c>
      <c r="N35">
        <f>IF(AX34&lt;=0,0,IF(ROUND(AX34*(1+'Calc base'!L35),2)-MAX('Calc base'!G$12,ROUND('Calc base'!G$13*AX34,2))&lt;1,ROUND(AX34*(1+'Calc base'!L35),2),MAX('Calc base'!G$12,ROUND('Calc base'!G$13*AX34,2))))</f>
        <v>45</v>
      </c>
      <c r="O35">
        <f>IF(AY34&lt;=0,0,IF(ROUND(AY34*(1+'Calc base'!M35),2)-MAX('Calc base'!H$12,ROUND('Calc base'!H$13*AY34,2))&lt;1,ROUND(AY34*(1+'Calc base'!M35),2),MAX('Calc base'!H$12,ROUND('Calc base'!H$13*AY34,2))))</f>
        <v>50</v>
      </c>
      <c r="P35">
        <f>IF(AZ34&lt;=0,0,IF(ROUND(AZ34*(1+'Calc base'!N35),2)-MAX('Calc base'!I$12,ROUND('Calc base'!I$13*AZ34,2))&lt;1,ROUND(AZ34*(1+'Calc base'!N35),2),MAX('Calc base'!I$12,ROUND('Calc base'!I$13*AZ34,2))))</f>
        <v>0</v>
      </c>
      <c r="Q35">
        <f>IF(BA34&lt;=0,0,IF(ROUND(BA34*(1+'Calc base'!O35),2)-MAX('Calc base'!J$12,ROUND('Calc base'!J$13*BA34,2))&lt;1,ROUND(BA34*(1+'Calc base'!O35),2),MAX('Calc base'!J$12,ROUND('Calc base'!J$13*BA34,2))))</f>
        <v>0</v>
      </c>
      <c r="R35">
        <f>IF(BB34&lt;=0,0,IF(ROUND(BB34*(1+'Calc base'!P35),2)-MAX('Calc base'!K$12,ROUND('Calc base'!K$13*BB34,2))&lt;1,ROUND(BB34*(1+'Calc base'!P35),2),MAX('Calc base'!K$12,ROUND('Calc base'!K$13*BB34,2))))</f>
        <v>0</v>
      </c>
      <c r="S35">
        <f>IF(BC34&lt;=0,0,IF(ROUND(BC34*(1+'Calc base'!Q35),2)-MAX('Calc base'!L$12,ROUND('Calc base'!L$13*BC34,2))&lt;1,ROUND(BC34*(1+'Calc base'!Q35),2),MAX('Calc base'!L$12,ROUND('Calc base'!L$13*BC34,2))))</f>
        <v>0</v>
      </c>
      <c r="T35">
        <f>IF(BD34&lt;=0,0,IF(ROUND(BD34*(1+'Calc base'!R35),2)-MAX('Calc base'!M$12,ROUND('Calc base'!M$13*BD34,2))&lt;1,ROUND(BD34*(1+'Calc base'!R35),2),MAX('Calc base'!M$12,ROUND('Calc base'!M$13*BD34,2))))</f>
        <v>0</v>
      </c>
      <c r="U35">
        <f>IF(BE34&lt;=0,0,IF(ROUND(BE34*(1+'Calc base'!S35),2)-MAX('Calc base'!N$12,ROUND('Calc base'!N$13*BE34,2))&lt;1,ROUND(BE34*(1+'Calc base'!S35),2),MAX('Calc base'!N$12,ROUND('Calc base'!N$13*BE34,2))))</f>
        <v>0</v>
      </c>
      <c r="V35">
        <f>MAX(0,ROUND(AT34*(1+'Calc base'!H35),2)-J35-'Calc base'!T35)</f>
        <v>1210.67</v>
      </c>
      <c r="W35">
        <f>MAX(0,ROUND(AU34*(1+'Calc base'!I35),2)-K35-'Calc base'!U35)</f>
        <v>293.07</v>
      </c>
      <c r="X35">
        <f>MAX(0,ROUND(AV34*(1+'Calc base'!J35),2)-L35-'Calc base'!V35)</f>
        <v>5998.46</v>
      </c>
      <c r="Y35">
        <f>MAX(0,ROUND(AW34*(1+'Calc base'!K35),2)-M35-'Calc base'!W35)</f>
        <v>8416.84</v>
      </c>
      <c r="Z35">
        <f>MAX(0,ROUND(AX34*(1+'Calc base'!L35),2)-N35-'Calc base'!X35)</f>
        <v>315</v>
      </c>
      <c r="AA35">
        <f>MAX(0,ROUND(AY34*(1+'Calc base'!M35),2)-O35-'Calc base'!Y35)</f>
        <v>1250</v>
      </c>
      <c r="AB35">
        <f>MAX(0,ROUND(AZ34*(1+'Calc base'!N35),2)-P35-'Calc base'!Z35)</f>
        <v>0</v>
      </c>
      <c r="AC35">
        <f>MAX(0,ROUND(BA34*(1+'Calc base'!O35),2)-Q35-'Calc base'!AA35)</f>
        <v>0</v>
      </c>
      <c r="AD35">
        <f>MAX(0,ROUND(BB34*(1+'Calc base'!P35),2)-R35-'Calc base'!AB35)</f>
        <v>0</v>
      </c>
      <c r="AE35">
        <f>MAX(0,ROUND(BC34*(1+'Calc base'!Q35),2)-S35-'Calc base'!AC35)</f>
        <v>0</v>
      </c>
      <c r="AF35">
        <f>MAX(0,ROUND(BD34*(1+'Calc base'!R35),2)-T35-'Calc base'!AD35)</f>
        <v>0</v>
      </c>
      <c r="AG35">
        <f>MAX(0,ROUND(BE34*(1+'Calc base'!S35),2)-U35-'Calc base'!AE35)</f>
        <v>0</v>
      </c>
      <c r="AH35">
        <f>IF('Calc base'!C$14=0,0,MIN(V35,MAX(0,$E35-SUMPRODUCT($V35:$AG35,'Calc base'!$C$14:$N$14,('Calc base'!$H35:$S35&gt;'Calc base'!H35)+('Calc base'!$H35:$S35='Calc base'!H35)*('Calc base'!$C$17:$N$17&lt;'Calc base'!C$17)))))</f>
        <v>164.27</v>
      </c>
      <c r="AI35">
        <f>IF('Calc base'!D$14=0,0,MIN(W35,MAX(0,$E35-SUMPRODUCT($V35:$AG35,'Calc base'!$C$14:$N$14,('Calc base'!$H35:$S35&gt;'Calc base'!I35)+('Calc base'!$H35:$S35='Calc base'!I35)*('Calc base'!$C$17:$N$17&lt;'Calc base'!D$17)))))</f>
        <v>0</v>
      </c>
      <c r="AJ35">
        <f>IF('Calc base'!E$14=0,0,MIN(X35,MAX(0,$E35-SUMPRODUCT($V35:$AG35,'Calc base'!$C$14:$N$14,('Calc base'!$H35:$S35&gt;'Calc base'!J35)+('Calc base'!$H35:$S35='Calc base'!J35)*('Calc base'!$C$17:$N$17&lt;'Calc base'!E$17)))))</f>
        <v>0</v>
      </c>
      <c r="AK35">
        <f>IF('Calc base'!F$14=0,0,MIN(Y35,MAX(0,$E35-SUMPRODUCT($V35:$AG35,'Calc base'!$C$14:$N$14,('Calc base'!$H35:$S35&gt;'Calc base'!K35)+('Calc base'!$H35:$S35='Calc base'!K35)*('Calc base'!$C$17:$N$17&lt;'Calc base'!F$17)))))</f>
        <v>0</v>
      </c>
      <c r="AL35">
        <f>IF('Calc base'!G$14=0,0,MIN(Z35,MAX(0,$E35-SUMPRODUCT($V35:$AG35,'Calc base'!$C$14:$N$14,('Calc base'!$H35:$S35&gt;'Calc base'!L35)+('Calc base'!$H35:$S35='Calc base'!L35)*('Calc base'!$C$17:$N$17&lt;'Calc base'!G$17)))))</f>
        <v>0</v>
      </c>
      <c r="AM35">
        <f>IF('Calc base'!H$14=0,0,MIN(AA35,MAX(0,$E35-SUMPRODUCT($V35:$AG35,'Calc base'!$C$14:$N$14,('Calc base'!$H35:$S35&gt;'Calc base'!M35)+('Calc base'!$H35:$S35='Calc base'!M35)*('Calc base'!$C$17:$N$17&lt;'Calc base'!H$17)))))</f>
        <v>0</v>
      </c>
      <c r="AN35">
        <f>IF('Calc base'!I$14=0,0,MIN(AB35,MAX(0,$E35-SUMPRODUCT($V35:$AG35,'Calc base'!$C$14:$N$14,('Calc base'!$H35:$S35&gt;'Calc base'!N35)+('Calc base'!$H35:$S35='Calc base'!N35)*('Calc base'!$C$17:$N$17&lt;'Calc base'!I$17)))))</f>
        <v>0</v>
      </c>
      <c r="AO35">
        <f>IF('Calc base'!J$14=0,0,MIN(AC35,MAX(0,$E35-SUMPRODUCT($V35:$AG35,'Calc base'!$C$14:$N$14,('Calc base'!$H35:$S35&gt;'Calc base'!O35)+('Calc base'!$H35:$S35='Calc base'!O35)*('Calc base'!$C$17:$N$17&lt;'Calc base'!J$17)))))</f>
        <v>0</v>
      </c>
      <c r="AP35">
        <f>IF('Calc base'!K$14=0,0,MIN(AD35,MAX(0,$E35-SUMPRODUCT($V35:$AG35,'Calc base'!$C$14:$N$14,('Calc base'!$H35:$S35&gt;'Calc base'!P35)+('Calc base'!$H35:$S35='Calc base'!P35)*('Calc base'!$C$17:$N$17&lt;'Calc base'!K$17)))))</f>
        <v>0</v>
      </c>
      <c r="AQ35">
        <f>IF('Calc base'!L$14=0,0,MIN(AE35,MAX(0,$E35-SUMPRODUCT($V35:$AG35,'Calc base'!$C$14:$N$14,('Calc base'!$H35:$S35&gt;'Calc base'!Q35)+('Calc base'!$H35:$S35='Calc base'!Q35)*('Calc base'!$C$17:$N$17&lt;'Calc base'!L$17)))))</f>
        <v>0</v>
      </c>
      <c r="AR35">
        <f>IF('Calc base'!M$14=0,0,MIN(AF35,MAX(0,$E35-SUMPRODUCT($V35:$AG35,'Calc base'!$C$14:$N$14,('Calc base'!$H35:$S35&gt;'Calc base'!R35)+('Calc base'!$H35:$S35='Calc base'!R35)*('Calc base'!$C$17:$N$17&lt;'Calc base'!M$17)))))</f>
        <v>0</v>
      </c>
      <c r="AS35">
        <f>IF('Calc base'!N$14=0,0,MIN(AG35,MAX(0,$E35-SUMPRODUCT($V35:$AG35,'Calc base'!$C$14:$N$14,('Calc base'!$H35:$S35&gt;'Calc base'!S35)+('Calc base'!$H35:$S35='Calc base'!S35)*('Calc base'!$C$17:$N$17&lt;'Calc base'!N$17)))))</f>
        <v>0</v>
      </c>
      <c r="AT35">
        <f>V35-AH35</f>
        <v>1046.4</v>
      </c>
      <c r="AU35">
        <f>W35-AI35</f>
        <v>293.07</v>
      </c>
      <c r="AV35">
        <f>X35-AJ35</f>
        <v>5998.46</v>
      </c>
      <c r="AW35">
        <f>Y35-AK35</f>
        <v>8416.84</v>
      </c>
      <c r="AX35">
        <f>Z35-AL35</f>
        <v>315</v>
      </c>
      <c r="AY35">
        <f>AA35-AM35</f>
        <v>1250</v>
      </c>
      <c r="AZ35">
        <f>AB35-AN35</f>
        <v>0</v>
      </c>
      <c r="BA35">
        <f>AC35-AO35</f>
        <v>0</v>
      </c>
      <c r="BB35">
        <f>AD35-AP35</f>
        <v>0</v>
      </c>
      <c r="BC35">
        <f>AE35-AQ35</f>
        <v>0</v>
      </c>
      <c r="BD35">
        <f>AF35-AR35</f>
        <v>0</v>
      </c>
      <c r="BE35">
        <f>AG35-AS35</f>
        <v>0</v>
      </c>
    </row>
    <row r="36">
      <c r="A36" t="n">
        <v>6</v>
      </c>
      <c r="B36">
        <f>SUMPRODUCT(ROUND($AT35:$BE35*(1+'Calc base'!$H36:$S36),2))</f>
        <v>17432.48</v>
      </c>
      <c r="C36">
        <f>SUM(J36:U36)</f>
        <v>626.39</v>
      </c>
      <c r="D36">
        <f>SUM(V36:AG36)</f>
        <v>16806.09</v>
      </c>
      <c r="E36">
        <f>MAX(0,IF(Impostazioni!$B$7="No",'Calc base'!$C36-$C$31,'Calc base'!$C36-C36)+'Calc base'!$G36+'Calc base'!$F36-(B36-C36-D36))</f>
        <v>173.61</v>
      </c>
      <c r="F36">
        <f>SUM(AH36:AS36)</f>
        <v>173.61</v>
      </c>
      <c r="G36">
        <f>SUM(AT36:BE36)</f>
        <v>16632.48</v>
      </c>
      <c r="H36">
        <f>B36-G35</f>
        <v>112.709999999999</v>
      </c>
      <c r="I36">
        <f>B36-G36</f>
        <v>800</v>
      </c>
      <c r="J36">
        <f>IF(AT35&lt;=0,0,IF(ROUND(AT35*(1+'Calc base'!H36),2)-MAX('Calc base'!C$12,ROUND('Calc base'!C$13*AT35,2))&lt;1,ROUND(AT35*(1+'Calc base'!H36),2),MAX('Calc base'!C$12,ROUND('Calc base'!C$13*AT35,2))))</f>
        <v>31.39</v>
      </c>
      <c r="K36">
        <f>IF(AU35&lt;=0,0,IF(ROUND(AU35*(1+'Calc base'!I36),2)-MAX('Calc base'!D$12,ROUND('Calc base'!D$13*AU35,2))&lt;1,ROUND(AU35*(1+'Calc base'!I36),2),MAX('Calc base'!D$12,ROUND('Calc base'!D$13*AU35,2))))</f>
        <v>25</v>
      </c>
      <c r="L36">
        <f>IF(AV35&lt;=0,0,IF(ROUND(AV35*(1+'Calc base'!J36),2)-MAX('Calc base'!E$12,ROUND('Calc base'!E$13*AV35,2))&lt;1,ROUND(AV35*(1+'Calc base'!J36),2),MAX('Calc base'!E$12,ROUND('Calc base'!E$13*AV35,2))))</f>
        <v>210</v>
      </c>
      <c r="M36">
        <f>IF(AW35&lt;=0,0,IF(ROUND(AW35*(1+'Calc base'!K36),2)-MAX('Calc base'!F$12,ROUND('Calc base'!F$13*AW35,2))&lt;1,ROUND(AW35*(1+'Calc base'!K36),2),MAX('Calc base'!F$12,ROUND('Calc base'!F$13*AW35,2))))</f>
        <v>265</v>
      </c>
      <c r="N36">
        <f>IF(AX35&lt;=0,0,IF(ROUND(AX35*(1+'Calc base'!L36),2)-MAX('Calc base'!G$12,ROUND('Calc base'!G$13*AX35,2))&lt;1,ROUND(AX35*(1+'Calc base'!L36),2),MAX('Calc base'!G$12,ROUND('Calc base'!G$13*AX35,2))))</f>
        <v>45</v>
      </c>
      <c r="O36">
        <f>IF(AY35&lt;=0,0,IF(ROUND(AY35*(1+'Calc base'!M36),2)-MAX('Calc base'!H$12,ROUND('Calc base'!H$13*AY35,2))&lt;1,ROUND(AY35*(1+'Calc base'!M36),2),MAX('Calc base'!H$12,ROUND('Calc base'!H$13*AY35,2))))</f>
        <v>50</v>
      </c>
      <c r="P36">
        <f>IF(AZ35&lt;=0,0,IF(ROUND(AZ35*(1+'Calc base'!N36),2)-MAX('Calc base'!I$12,ROUND('Calc base'!I$13*AZ35,2))&lt;1,ROUND(AZ35*(1+'Calc base'!N36),2),MAX('Calc base'!I$12,ROUND('Calc base'!I$13*AZ35,2))))</f>
        <v>0</v>
      </c>
      <c r="Q36">
        <f>IF(BA35&lt;=0,0,IF(ROUND(BA35*(1+'Calc base'!O36),2)-MAX('Calc base'!J$12,ROUND('Calc base'!J$13*BA35,2))&lt;1,ROUND(BA35*(1+'Calc base'!O36),2),MAX('Calc base'!J$12,ROUND('Calc base'!J$13*BA35,2))))</f>
        <v>0</v>
      </c>
      <c r="R36">
        <f>IF(BB35&lt;=0,0,IF(ROUND(BB35*(1+'Calc base'!P36),2)-MAX('Calc base'!K$12,ROUND('Calc base'!K$13*BB35,2))&lt;1,ROUND(BB35*(1+'Calc base'!P36),2),MAX('Calc base'!K$12,ROUND('Calc base'!K$13*BB35,2))))</f>
        <v>0</v>
      </c>
      <c r="S36">
        <f>IF(BC35&lt;=0,0,IF(ROUND(BC35*(1+'Calc base'!Q36),2)-MAX('Calc base'!L$12,ROUND('Calc base'!L$13*BC35,2))&lt;1,ROUND(BC35*(1+'Calc base'!Q36),2),MAX('Calc base'!L$12,ROUND('Calc base'!L$13*BC35,2))))</f>
        <v>0</v>
      </c>
      <c r="T36">
        <f>IF(BD35&lt;=0,0,IF(ROUND(BD35*(1+'Calc base'!R36),2)-MAX('Calc base'!M$12,ROUND('Calc base'!M$13*BD35,2))&lt;1,ROUND(BD35*(1+'Calc base'!R36),2),MAX('Calc base'!M$12,ROUND('Calc base'!M$13*BD35,2))))</f>
        <v>0</v>
      </c>
      <c r="U36">
        <f>IF(BE35&lt;=0,0,IF(ROUND(BE35*(1+'Calc base'!S36),2)-MAX('Calc base'!N$12,ROUND('Calc base'!N$13*BE35,2))&lt;1,ROUND(BE35*(1+'Calc base'!S36),2),MAX('Calc base'!N$12,ROUND('Calc base'!N$13*BE35,2))))</f>
        <v>0</v>
      </c>
      <c r="V36">
        <f>MAX(0,ROUND(AT35*(1+'Calc base'!H36),2)-J36-'Calc base'!T36)</f>
        <v>1031.49</v>
      </c>
      <c r="W36">
        <f>MAX(0,ROUND(AU35*(1+'Calc base'!I36),2)-K36-'Calc base'!U36)</f>
        <v>273.42</v>
      </c>
      <c r="X36">
        <f>MAX(0,ROUND(AV35*(1+'Calc base'!J36),2)-L36-'Calc base'!V36)</f>
        <v>5834.45</v>
      </c>
      <c r="Y36">
        <f>MAX(0,ROUND(AW35*(1+'Calc base'!K36),2)-M36-'Calc base'!W36)</f>
        <v>8196.73</v>
      </c>
      <c r="Z36">
        <f>MAX(0,ROUND(AX35*(1+'Calc base'!L36),2)-N36-'Calc base'!X36)</f>
        <v>270</v>
      </c>
      <c r="AA36">
        <f>MAX(0,ROUND(AY35*(1+'Calc base'!M36),2)-O36-'Calc base'!Y36)</f>
        <v>1200</v>
      </c>
      <c r="AB36">
        <f>MAX(0,ROUND(AZ35*(1+'Calc base'!N36),2)-P36-'Calc base'!Z36)</f>
        <v>0</v>
      </c>
      <c r="AC36">
        <f>MAX(0,ROUND(BA35*(1+'Calc base'!O36),2)-Q36-'Calc base'!AA36)</f>
        <v>0</v>
      </c>
      <c r="AD36">
        <f>MAX(0,ROUND(BB35*(1+'Calc base'!P36),2)-R36-'Calc base'!AB36)</f>
        <v>0</v>
      </c>
      <c r="AE36">
        <f>MAX(0,ROUND(BC35*(1+'Calc base'!Q36),2)-S36-'Calc base'!AC36)</f>
        <v>0</v>
      </c>
      <c r="AF36">
        <f>MAX(0,ROUND(BD35*(1+'Calc base'!R36),2)-T36-'Calc base'!AD36)</f>
        <v>0</v>
      </c>
      <c r="AG36">
        <f>MAX(0,ROUND(BE35*(1+'Calc base'!S36),2)-U36-'Calc base'!AE36)</f>
        <v>0</v>
      </c>
      <c r="AH36">
        <f>IF('Calc base'!C$14=0,0,MIN(V36,MAX(0,$E36-SUMPRODUCT($V36:$AG36,'Calc base'!$C$14:$N$14,('Calc base'!$H36:$S36&gt;'Calc base'!H36)+('Calc base'!$H36:$S36='Calc base'!H36)*('Calc base'!$C$17:$N$17&lt;'Calc base'!C$17)))))</f>
        <v>0</v>
      </c>
      <c r="AI36">
        <f>IF('Calc base'!D$14=0,0,MIN(W36,MAX(0,$E36-SUMPRODUCT($V36:$AG36,'Calc base'!$C$14:$N$14,('Calc base'!$H36:$S36&gt;'Calc base'!I36)+('Calc base'!$H36:$S36='Calc base'!I36)*('Calc base'!$C$17:$N$17&lt;'Calc base'!D$17)))))</f>
        <v>173.61</v>
      </c>
      <c r="AJ36">
        <f>IF('Calc base'!E$14=0,0,MIN(X36,MAX(0,$E36-SUMPRODUCT($V36:$AG36,'Calc base'!$C$14:$N$14,('Calc base'!$H36:$S36&gt;'Calc base'!J36)+('Calc base'!$H36:$S36='Calc base'!J36)*('Calc base'!$C$17:$N$17&lt;'Calc base'!E$17)))))</f>
        <v>0</v>
      </c>
      <c r="AK36">
        <f>IF('Calc base'!F$14=0,0,MIN(Y36,MAX(0,$E36-SUMPRODUCT($V36:$AG36,'Calc base'!$C$14:$N$14,('Calc base'!$H36:$S36&gt;'Calc base'!K36)+('Calc base'!$H36:$S36='Calc base'!K36)*('Calc base'!$C$17:$N$17&lt;'Calc base'!F$17)))))</f>
        <v>0</v>
      </c>
      <c r="AL36">
        <f>IF('Calc base'!G$14=0,0,MIN(Z36,MAX(0,$E36-SUMPRODUCT($V36:$AG36,'Calc base'!$C$14:$N$14,('Calc base'!$H36:$S36&gt;'Calc base'!L36)+('Calc base'!$H36:$S36='Calc base'!L36)*('Calc base'!$C$17:$N$17&lt;'Calc base'!G$17)))))</f>
        <v>0</v>
      </c>
      <c r="AM36">
        <f>IF('Calc base'!H$14=0,0,MIN(AA36,MAX(0,$E36-SUMPRODUCT($V36:$AG36,'Calc base'!$C$14:$N$14,('Calc base'!$H36:$S36&gt;'Calc base'!M36)+('Calc base'!$H36:$S36='Calc base'!M36)*('Calc base'!$C$17:$N$17&lt;'Calc base'!H$17)))))</f>
        <v>0</v>
      </c>
      <c r="AN36">
        <f>IF('Calc base'!I$14=0,0,MIN(AB36,MAX(0,$E36-SUMPRODUCT($V36:$AG36,'Calc base'!$C$14:$N$14,('Calc base'!$H36:$S36&gt;'Calc base'!N36)+('Calc base'!$H36:$S36='Calc base'!N36)*('Calc base'!$C$17:$N$17&lt;'Calc base'!I$17)))))</f>
        <v>0</v>
      </c>
      <c r="AO36">
        <f>IF('Calc base'!J$14=0,0,MIN(AC36,MAX(0,$E36-SUMPRODUCT($V36:$AG36,'Calc base'!$C$14:$N$14,('Calc base'!$H36:$S36&gt;'Calc base'!O36)+('Calc base'!$H36:$S36='Calc base'!O36)*('Calc base'!$C$17:$N$17&lt;'Calc base'!J$17)))))</f>
        <v>0</v>
      </c>
      <c r="AP36">
        <f>IF('Calc base'!K$14=0,0,MIN(AD36,MAX(0,$E36-SUMPRODUCT($V36:$AG36,'Calc base'!$C$14:$N$14,('Calc base'!$H36:$S36&gt;'Calc base'!P36)+('Calc base'!$H36:$S36='Calc base'!P36)*('Calc base'!$C$17:$N$17&lt;'Calc base'!K$17)))))</f>
        <v>0</v>
      </c>
      <c r="AQ36">
        <f>IF('Calc base'!L$14=0,0,MIN(AE36,MAX(0,$E36-SUMPRODUCT($V36:$AG36,'Calc base'!$C$14:$N$14,('Calc base'!$H36:$S36&gt;'Calc base'!Q36)+('Calc base'!$H36:$S36='Calc base'!Q36)*('Calc base'!$C$17:$N$17&lt;'Calc base'!L$17)))))</f>
        <v>0</v>
      </c>
      <c r="AR36">
        <f>IF('Calc base'!M$14=0,0,MIN(AF36,MAX(0,$E36-SUMPRODUCT($V36:$AG36,'Calc base'!$C$14:$N$14,('Calc base'!$H36:$S36&gt;'Calc base'!R36)+('Calc base'!$H36:$S36='Calc base'!R36)*('Calc base'!$C$17:$N$17&lt;'Calc base'!M$17)))))</f>
        <v>0</v>
      </c>
      <c r="AS36">
        <f>IF('Calc base'!N$14=0,0,MIN(AG36,MAX(0,$E36-SUMPRODUCT($V36:$AG36,'Calc base'!$C$14:$N$14,('Calc base'!$H36:$S36&gt;'Calc base'!S36)+('Calc base'!$H36:$S36='Calc base'!S36)*('Calc base'!$C$17:$N$17&lt;'Calc base'!N$17)))))</f>
        <v>0</v>
      </c>
      <c r="AT36">
        <f>V36-AH36</f>
        <v>1031.49</v>
      </c>
      <c r="AU36">
        <f>W36-AI36</f>
        <v>99.81</v>
      </c>
      <c r="AV36">
        <f>X36-AJ36</f>
        <v>5834.45</v>
      </c>
      <c r="AW36">
        <f>Y36-AK36</f>
        <v>8196.73</v>
      </c>
      <c r="AX36">
        <f>Z36-AL36</f>
        <v>270</v>
      </c>
      <c r="AY36">
        <f>AA36-AM36</f>
        <v>1200</v>
      </c>
      <c r="AZ36">
        <f>AB36-AN36</f>
        <v>0</v>
      </c>
      <c r="BA36">
        <f>AC36-AO36</f>
        <v>0</v>
      </c>
      <c r="BB36">
        <f>AD36-AP36</f>
        <v>0</v>
      </c>
      <c r="BC36">
        <f>AE36-AQ36</f>
        <v>0</v>
      </c>
      <c r="BD36">
        <f>AF36-AR36</f>
        <v>0</v>
      </c>
      <c r="BE36">
        <f>AG36-AS36</f>
        <v>0</v>
      </c>
    </row>
    <row r="37">
      <c r="A37" t="n">
        <v>7</v>
      </c>
      <c r="B37">
        <f>SUMPRODUCT(ROUND($AT36:$BE36*(1+'Calc base'!$H37:$S37),2))</f>
        <v>16739</v>
      </c>
      <c r="C37">
        <f>SUM(J37:U37)</f>
        <v>625.94</v>
      </c>
      <c r="D37">
        <f>SUM(V37:AG37)</f>
        <v>16113.06</v>
      </c>
      <c r="E37">
        <f>MAX(0,IF(Impostazioni!$B$7="No",'Calc base'!$C37-$C$31,'Calc base'!$C37-C37)+'Calc base'!$G37+'Calc base'!$F37-(B37-C37-D37))</f>
        <v>174.06</v>
      </c>
      <c r="F37">
        <f>SUM(AH37:AS37)</f>
        <v>174.06</v>
      </c>
      <c r="G37">
        <f>SUM(AT37:BE37)</f>
        <v>15939</v>
      </c>
      <c r="H37">
        <f>B37-G36</f>
        <v>106.52</v>
      </c>
      <c r="I37">
        <f>B37-G37</f>
        <v>799.999999999998</v>
      </c>
      <c r="J37">
        <f>IF(AT36&lt;=0,0,IF(ROUND(AT36*(1+'Calc base'!H37),2)-MAX('Calc base'!C$12,ROUND('Calc base'!C$13*AT36,2))&lt;1,ROUND(AT36*(1+'Calc base'!H37),2),MAX('Calc base'!C$12,ROUND('Calc base'!C$13*AT36,2))))</f>
        <v>30.94</v>
      </c>
      <c r="K37">
        <f>IF(AU36&lt;=0,0,IF(ROUND(AU36*(1+'Calc base'!I37),2)-MAX('Calc base'!D$12,ROUND('Calc base'!D$13*AU36,2))&lt;1,ROUND(AU36*(1+'Calc base'!I37),2),MAX('Calc base'!D$12,ROUND('Calc base'!D$13*AU36,2))))</f>
        <v>25</v>
      </c>
      <c r="L37">
        <f>IF(AV36&lt;=0,0,IF(ROUND(AV36*(1+'Calc base'!J37),2)-MAX('Calc base'!E$12,ROUND('Calc base'!E$13*AV36,2))&lt;1,ROUND(AV36*(1+'Calc base'!J37),2),MAX('Calc base'!E$12,ROUND('Calc base'!E$13*AV36,2))))</f>
        <v>210</v>
      </c>
      <c r="M37">
        <f>IF(AW36&lt;=0,0,IF(ROUND(AW36*(1+'Calc base'!K37),2)-MAX('Calc base'!F$12,ROUND('Calc base'!F$13*AW36,2))&lt;1,ROUND(AW36*(1+'Calc base'!K37),2),MAX('Calc base'!F$12,ROUND('Calc base'!F$13*AW36,2))))</f>
        <v>265</v>
      </c>
      <c r="N37">
        <f>IF(AX36&lt;=0,0,IF(ROUND(AX36*(1+'Calc base'!L37),2)-MAX('Calc base'!G$12,ROUND('Calc base'!G$13*AX36,2))&lt;1,ROUND(AX36*(1+'Calc base'!L37),2),MAX('Calc base'!G$12,ROUND('Calc base'!G$13*AX36,2))))</f>
        <v>45</v>
      </c>
      <c r="O37">
        <f>IF(AY36&lt;=0,0,IF(ROUND(AY36*(1+'Calc base'!M37),2)-MAX('Calc base'!H$12,ROUND('Calc base'!H$13*AY36,2))&lt;1,ROUND(AY36*(1+'Calc base'!M37),2),MAX('Calc base'!H$12,ROUND('Calc base'!H$13*AY36,2))))</f>
        <v>50</v>
      </c>
      <c r="P37">
        <f>IF(AZ36&lt;=0,0,IF(ROUND(AZ36*(1+'Calc base'!N37),2)-MAX('Calc base'!I$12,ROUND('Calc base'!I$13*AZ36,2))&lt;1,ROUND(AZ36*(1+'Calc base'!N37),2),MAX('Calc base'!I$12,ROUND('Calc base'!I$13*AZ36,2))))</f>
        <v>0</v>
      </c>
      <c r="Q37">
        <f>IF(BA36&lt;=0,0,IF(ROUND(BA36*(1+'Calc base'!O37),2)-MAX('Calc base'!J$12,ROUND('Calc base'!J$13*BA36,2))&lt;1,ROUND(BA36*(1+'Calc base'!O37),2),MAX('Calc base'!J$12,ROUND('Calc base'!J$13*BA36,2))))</f>
        <v>0</v>
      </c>
      <c r="R37">
        <f>IF(BB36&lt;=0,0,IF(ROUND(BB36*(1+'Calc base'!P37),2)-MAX('Calc base'!K$12,ROUND('Calc base'!K$13*BB36,2))&lt;1,ROUND(BB36*(1+'Calc base'!P37),2),MAX('Calc base'!K$12,ROUND('Calc base'!K$13*BB36,2))))</f>
        <v>0</v>
      </c>
      <c r="S37">
        <f>IF(BC36&lt;=0,0,IF(ROUND(BC36*(1+'Calc base'!Q37),2)-MAX('Calc base'!L$12,ROUND('Calc base'!L$13*BC36,2))&lt;1,ROUND(BC36*(1+'Calc base'!Q37),2),MAX('Calc base'!L$12,ROUND('Calc base'!L$13*BC36,2))))</f>
        <v>0</v>
      </c>
      <c r="T37">
        <f>IF(BD36&lt;=0,0,IF(ROUND(BD36*(1+'Calc base'!R37),2)-MAX('Calc base'!M$12,ROUND('Calc base'!M$13*BD36,2))&lt;1,ROUND(BD36*(1+'Calc base'!R37),2),MAX('Calc base'!M$12,ROUND('Calc base'!M$13*BD36,2))))</f>
        <v>0</v>
      </c>
      <c r="U37">
        <f>IF(BE36&lt;=0,0,IF(ROUND(BE36*(1+'Calc base'!S37),2)-MAX('Calc base'!N$12,ROUND('Calc base'!N$13*BE36,2))&lt;1,ROUND(BE36*(1+'Calc base'!S37),2),MAX('Calc base'!N$12,ROUND('Calc base'!N$13*BE36,2))))</f>
        <v>0</v>
      </c>
      <c r="V37">
        <f>MAX(0,ROUND(AT36*(1+'Calc base'!H37),2)-J37-'Calc base'!T37)</f>
        <v>1016.8</v>
      </c>
      <c r="W37">
        <f>MAX(0,ROUND(AU36*(1+'Calc base'!I37),2)-K37-'Calc base'!U37)</f>
        <v>76.63</v>
      </c>
      <c r="X37">
        <f>MAX(0,ROUND(AV36*(1+'Calc base'!J37),2)-L37-'Calc base'!V37)</f>
        <v>5669.18</v>
      </c>
      <c r="Y37">
        <f>MAX(0,ROUND(AW36*(1+'Calc base'!K37),2)-M37-'Calc base'!W37)</f>
        <v>7975.45</v>
      </c>
      <c r="Z37">
        <f>MAX(0,ROUND(AX36*(1+'Calc base'!L37),2)-N37-'Calc base'!X37)</f>
        <v>225</v>
      </c>
      <c r="AA37">
        <f>MAX(0,ROUND(AY36*(1+'Calc base'!M37),2)-O37-'Calc base'!Y37)</f>
        <v>1150</v>
      </c>
      <c r="AB37">
        <f>MAX(0,ROUND(AZ36*(1+'Calc base'!N37),2)-P37-'Calc base'!Z37)</f>
        <v>0</v>
      </c>
      <c r="AC37">
        <f>MAX(0,ROUND(BA36*(1+'Calc base'!O37),2)-Q37-'Calc base'!AA37)</f>
        <v>0</v>
      </c>
      <c r="AD37">
        <f>MAX(0,ROUND(BB36*(1+'Calc base'!P37),2)-R37-'Calc base'!AB37)</f>
        <v>0</v>
      </c>
      <c r="AE37">
        <f>MAX(0,ROUND(BC36*(1+'Calc base'!Q37),2)-S37-'Calc base'!AC37)</f>
        <v>0</v>
      </c>
      <c r="AF37">
        <f>MAX(0,ROUND(BD36*(1+'Calc base'!R37),2)-T37-'Calc base'!AD37)</f>
        <v>0</v>
      </c>
      <c r="AG37">
        <f>MAX(0,ROUND(BE36*(1+'Calc base'!S37),2)-U37-'Calc base'!AE37)</f>
        <v>0</v>
      </c>
      <c r="AH37">
        <f>IF('Calc base'!C$14=0,0,MIN(V37,MAX(0,$E37-SUMPRODUCT($V37:$AG37,'Calc base'!$C$14:$N$14,('Calc base'!$H37:$S37&gt;'Calc base'!H37)+('Calc base'!$H37:$S37='Calc base'!H37)*('Calc base'!$C$17:$N$17&lt;'Calc base'!C$17)))))</f>
        <v>97.43</v>
      </c>
      <c r="AI37">
        <f>IF('Calc base'!D$14=0,0,MIN(W37,MAX(0,$E37-SUMPRODUCT($V37:$AG37,'Calc base'!$C$14:$N$14,('Calc base'!$H37:$S37&gt;'Calc base'!I37)+('Calc base'!$H37:$S37='Calc base'!I37)*('Calc base'!$C$17:$N$17&lt;'Calc base'!D$17)))))</f>
        <v>76.63</v>
      </c>
      <c r="AJ37">
        <f>IF('Calc base'!E$14=0,0,MIN(X37,MAX(0,$E37-SUMPRODUCT($V37:$AG37,'Calc base'!$C$14:$N$14,('Calc base'!$H37:$S37&gt;'Calc base'!J37)+('Calc base'!$H37:$S37='Calc base'!J37)*('Calc base'!$C$17:$N$17&lt;'Calc base'!E$17)))))</f>
        <v>0</v>
      </c>
      <c r="AK37">
        <f>IF('Calc base'!F$14=0,0,MIN(Y37,MAX(0,$E37-SUMPRODUCT($V37:$AG37,'Calc base'!$C$14:$N$14,('Calc base'!$H37:$S37&gt;'Calc base'!K37)+('Calc base'!$H37:$S37='Calc base'!K37)*('Calc base'!$C$17:$N$17&lt;'Calc base'!F$17)))))</f>
        <v>0</v>
      </c>
      <c r="AL37">
        <f>IF('Calc base'!G$14=0,0,MIN(Z37,MAX(0,$E37-SUMPRODUCT($V37:$AG37,'Calc base'!$C$14:$N$14,('Calc base'!$H37:$S37&gt;'Calc base'!L37)+('Calc base'!$H37:$S37='Calc base'!L37)*('Calc base'!$C$17:$N$17&lt;'Calc base'!G$17)))))</f>
        <v>0</v>
      </c>
      <c r="AM37">
        <f>IF('Calc base'!H$14=0,0,MIN(AA37,MAX(0,$E37-SUMPRODUCT($V37:$AG37,'Calc base'!$C$14:$N$14,('Calc base'!$H37:$S37&gt;'Calc base'!M37)+('Calc base'!$H37:$S37='Calc base'!M37)*('Calc base'!$C$17:$N$17&lt;'Calc base'!H$17)))))</f>
        <v>0</v>
      </c>
      <c r="AN37">
        <f>IF('Calc base'!I$14=0,0,MIN(AB37,MAX(0,$E37-SUMPRODUCT($V37:$AG37,'Calc base'!$C$14:$N$14,('Calc base'!$H37:$S37&gt;'Calc base'!N37)+('Calc base'!$H37:$S37='Calc base'!N37)*('Calc base'!$C$17:$N$17&lt;'Calc base'!I$17)))))</f>
        <v>0</v>
      </c>
      <c r="AO37">
        <f>IF('Calc base'!J$14=0,0,MIN(AC37,MAX(0,$E37-SUMPRODUCT($V37:$AG37,'Calc base'!$C$14:$N$14,('Calc base'!$H37:$S37&gt;'Calc base'!O37)+('Calc base'!$H37:$S37='Calc base'!O37)*('Calc base'!$C$17:$N$17&lt;'Calc base'!J$17)))))</f>
        <v>0</v>
      </c>
      <c r="AP37">
        <f>IF('Calc base'!K$14=0,0,MIN(AD37,MAX(0,$E37-SUMPRODUCT($V37:$AG37,'Calc base'!$C$14:$N$14,('Calc base'!$H37:$S37&gt;'Calc base'!P37)+('Calc base'!$H37:$S37='Calc base'!P37)*('Calc base'!$C$17:$N$17&lt;'Calc base'!K$17)))))</f>
        <v>0</v>
      </c>
      <c r="AQ37">
        <f>IF('Calc base'!L$14=0,0,MIN(AE37,MAX(0,$E37-SUMPRODUCT($V37:$AG37,'Calc base'!$C$14:$N$14,('Calc base'!$H37:$S37&gt;'Calc base'!Q37)+('Calc base'!$H37:$S37='Calc base'!Q37)*('Calc base'!$C$17:$N$17&lt;'Calc base'!L$17)))))</f>
        <v>0</v>
      </c>
      <c r="AR37">
        <f>IF('Calc base'!M$14=0,0,MIN(AF37,MAX(0,$E37-SUMPRODUCT($V37:$AG37,'Calc base'!$C$14:$N$14,('Calc base'!$H37:$S37&gt;'Calc base'!R37)+('Calc base'!$H37:$S37='Calc base'!R37)*('Calc base'!$C$17:$N$17&lt;'Calc base'!M$17)))))</f>
        <v>0</v>
      </c>
      <c r="AS37">
        <f>IF('Calc base'!N$14=0,0,MIN(AG37,MAX(0,$E37-SUMPRODUCT($V37:$AG37,'Calc base'!$C$14:$N$14,('Calc base'!$H37:$S37&gt;'Calc base'!S37)+('Calc base'!$H37:$S37='Calc base'!S37)*('Calc base'!$C$17:$N$17&lt;'Calc base'!N$17)))))</f>
        <v>0</v>
      </c>
      <c r="AT37">
        <f>V37-AH37</f>
        <v>919.37</v>
      </c>
      <c r="AU37">
        <f>W37-AI37</f>
        <v>0</v>
      </c>
      <c r="AV37">
        <f>X37-AJ37</f>
        <v>5669.18</v>
      </c>
      <c r="AW37">
        <f>Y37-AK37</f>
        <v>7975.45</v>
      </c>
      <c r="AX37">
        <f>Z37-AL37</f>
        <v>225</v>
      </c>
      <c r="AY37">
        <f>AA37-AM37</f>
        <v>1150</v>
      </c>
      <c r="AZ37">
        <f>AB37-AN37</f>
        <v>0</v>
      </c>
      <c r="BA37">
        <f>AC37-AO37</f>
        <v>0</v>
      </c>
      <c r="BB37">
        <f>AD37-AP37</f>
        <v>0</v>
      </c>
      <c r="BC37">
        <f>AE37-AQ37</f>
        <v>0</v>
      </c>
      <c r="BD37">
        <f>AF37-AR37</f>
        <v>0</v>
      </c>
      <c r="BE37">
        <f>AG37-AS37</f>
        <v>0</v>
      </c>
    </row>
    <row r="38">
      <c r="A38" t="n">
        <v>8</v>
      </c>
      <c r="B38">
        <f>SUMPRODUCT(ROUND($AT37:$BE37*(1+'Calc base'!$H38:$S38),2))</f>
        <v>16039.48</v>
      </c>
      <c r="C38">
        <f>SUM(J38:U38)</f>
        <v>600</v>
      </c>
      <c r="D38">
        <f>SUM(V38:AG38)</f>
        <v>15439.48</v>
      </c>
      <c r="E38">
        <f>MAX(0,IF(Impostazioni!$B$7="No",'Calc base'!$C38-$C$31,'Calc base'!$C38-C38)+'Calc base'!$G38+'Calc base'!$F38-(B38-C38-D38))</f>
        <v>200</v>
      </c>
      <c r="F38">
        <f>SUM(AH38:AS38)</f>
        <v>200</v>
      </c>
      <c r="G38">
        <f>SUM(AT38:BE38)</f>
        <v>15239.48</v>
      </c>
      <c r="H38">
        <f>B38-G37</f>
        <v>100.479999999998</v>
      </c>
      <c r="I38">
        <f>B38-G38</f>
        <v>800</v>
      </c>
      <c r="J38">
        <f>IF(AT37&lt;=0,0,IF(ROUND(AT37*(1+'Calc base'!H38),2)-MAX('Calc base'!C$12,ROUND('Calc base'!C$13*AT37,2))&lt;1,ROUND(AT37*(1+'Calc base'!H38),2),MAX('Calc base'!C$12,ROUND('Calc base'!C$13*AT37,2))))</f>
        <v>30</v>
      </c>
      <c r="K38">
        <f>IF(AU37&lt;=0,0,IF(ROUND(AU37*(1+'Calc base'!I38),2)-MAX('Calc base'!D$12,ROUND('Calc base'!D$13*AU37,2))&lt;1,ROUND(AU37*(1+'Calc base'!I38),2),MAX('Calc base'!D$12,ROUND('Calc base'!D$13*AU37,2))))</f>
        <v>0</v>
      </c>
      <c r="L38">
        <f>IF(AV37&lt;=0,0,IF(ROUND(AV37*(1+'Calc base'!J38),2)-MAX('Calc base'!E$12,ROUND('Calc base'!E$13*AV37,2))&lt;1,ROUND(AV37*(1+'Calc base'!J38),2),MAX('Calc base'!E$12,ROUND('Calc base'!E$13*AV37,2))))</f>
        <v>210</v>
      </c>
      <c r="M38">
        <f>IF(AW37&lt;=0,0,IF(ROUND(AW37*(1+'Calc base'!K38),2)-MAX('Calc base'!F$12,ROUND('Calc base'!F$13*AW37,2))&lt;1,ROUND(AW37*(1+'Calc base'!K38),2),MAX('Calc base'!F$12,ROUND('Calc base'!F$13*AW37,2))))</f>
        <v>265</v>
      </c>
      <c r="N38">
        <f>IF(AX37&lt;=0,0,IF(ROUND(AX37*(1+'Calc base'!L38),2)-MAX('Calc base'!G$12,ROUND('Calc base'!G$13*AX37,2))&lt;1,ROUND(AX37*(1+'Calc base'!L38),2),MAX('Calc base'!G$12,ROUND('Calc base'!G$13*AX37,2))))</f>
        <v>45</v>
      </c>
      <c r="O38">
        <f>IF(AY37&lt;=0,0,IF(ROUND(AY37*(1+'Calc base'!M38),2)-MAX('Calc base'!H$12,ROUND('Calc base'!H$13*AY37,2))&lt;1,ROUND(AY37*(1+'Calc base'!M38),2),MAX('Calc base'!H$12,ROUND('Calc base'!H$13*AY37,2))))</f>
        <v>50</v>
      </c>
      <c r="P38">
        <f>IF(AZ37&lt;=0,0,IF(ROUND(AZ37*(1+'Calc base'!N38),2)-MAX('Calc base'!I$12,ROUND('Calc base'!I$13*AZ37,2))&lt;1,ROUND(AZ37*(1+'Calc base'!N38),2),MAX('Calc base'!I$12,ROUND('Calc base'!I$13*AZ37,2))))</f>
        <v>0</v>
      </c>
      <c r="Q38">
        <f>IF(BA37&lt;=0,0,IF(ROUND(BA37*(1+'Calc base'!O38),2)-MAX('Calc base'!J$12,ROUND('Calc base'!J$13*BA37,2))&lt;1,ROUND(BA37*(1+'Calc base'!O38),2),MAX('Calc base'!J$12,ROUND('Calc base'!J$13*BA37,2))))</f>
        <v>0</v>
      </c>
      <c r="R38">
        <f>IF(BB37&lt;=0,0,IF(ROUND(BB37*(1+'Calc base'!P38),2)-MAX('Calc base'!K$12,ROUND('Calc base'!K$13*BB37,2))&lt;1,ROUND(BB37*(1+'Calc base'!P38),2),MAX('Calc base'!K$12,ROUND('Calc base'!K$13*BB37,2))))</f>
        <v>0</v>
      </c>
      <c r="S38">
        <f>IF(BC37&lt;=0,0,IF(ROUND(BC37*(1+'Calc base'!Q38),2)-MAX('Calc base'!L$12,ROUND('Calc base'!L$13*BC37,2))&lt;1,ROUND(BC37*(1+'Calc base'!Q38),2),MAX('Calc base'!L$12,ROUND('Calc base'!L$13*BC37,2))))</f>
        <v>0</v>
      </c>
      <c r="T38">
        <f>IF(BD37&lt;=0,0,IF(ROUND(BD37*(1+'Calc base'!R38),2)-MAX('Calc base'!M$12,ROUND('Calc base'!M$13*BD37,2))&lt;1,ROUND(BD37*(1+'Calc base'!R38),2),MAX('Calc base'!M$12,ROUND('Calc base'!M$13*BD37,2))))</f>
        <v>0</v>
      </c>
      <c r="U38">
        <f>IF(BE37&lt;=0,0,IF(ROUND(BE37*(1+'Calc base'!S38),2)-MAX('Calc base'!N$12,ROUND('Calc base'!N$13*BE37,2))&lt;1,ROUND(BE37*(1+'Calc base'!S38),2),MAX('Calc base'!N$12,ROUND('Calc base'!N$13*BE37,2))))</f>
        <v>0</v>
      </c>
      <c r="V38">
        <f>MAX(0,ROUND(AT37*(1+'Calc base'!H38),2)-J38-'Calc base'!T38)</f>
        <v>903.85</v>
      </c>
      <c r="W38">
        <f>MAX(0,ROUND(AU37*(1+'Calc base'!I38),2)-K38-'Calc base'!U38)</f>
        <v>0</v>
      </c>
      <c r="X38">
        <f>MAX(0,ROUND(AV37*(1+'Calc base'!J38),2)-L38-'Calc base'!V38)</f>
        <v>5502.64</v>
      </c>
      <c r="Y38">
        <f>MAX(0,ROUND(AW37*(1+'Calc base'!K38),2)-M38-'Calc base'!W38)</f>
        <v>7752.99</v>
      </c>
      <c r="Z38">
        <f>MAX(0,ROUND(AX37*(1+'Calc base'!L38),2)-N38-'Calc base'!X38)</f>
        <v>180</v>
      </c>
      <c r="AA38">
        <f>MAX(0,ROUND(AY37*(1+'Calc base'!M38),2)-O38-'Calc base'!Y38)</f>
        <v>1100</v>
      </c>
      <c r="AB38">
        <f>MAX(0,ROUND(AZ37*(1+'Calc base'!N38),2)-P38-'Calc base'!Z38)</f>
        <v>0</v>
      </c>
      <c r="AC38">
        <f>MAX(0,ROUND(BA37*(1+'Calc base'!O38),2)-Q38-'Calc base'!AA38)</f>
        <v>0</v>
      </c>
      <c r="AD38">
        <f>MAX(0,ROUND(BB37*(1+'Calc base'!P38),2)-R38-'Calc base'!AB38)</f>
        <v>0</v>
      </c>
      <c r="AE38">
        <f>MAX(0,ROUND(BC37*(1+'Calc base'!Q38),2)-S38-'Calc base'!AC38)</f>
        <v>0</v>
      </c>
      <c r="AF38">
        <f>MAX(0,ROUND(BD37*(1+'Calc base'!R38),2)-T38-'Calc base'!AD38)</f>
        <v>0</v>
      </c>
      <c r="AG38">
        <f>MAX(0,ROUND(BE37*(1+'Calc base'!S38),2)-U38-'Calc base'!AE38)</f>
        <v>0</v>
      </c>
      <c r="AH38">
        <f>IF('Calc base'!C$14=0,0,MIN(V38,MAX(0,$E38-SUMPRODUCT($V38:$AG38,'Calc base'!$C$14:$N$14,('Calc base'!$H38:$S38&gt;'Calc base'!H38)+('Calc base'!$H38:$S38='Calc base'!H38)*('Calc base'!$C$17:$N$17&lt;'Calc base'!C$17)))))</f>
        <v>200</v>
      </c>
      <c r="AI38">
        <f>IF('Calc base'!D$14=0,0,MIN(W38,MAX(0,$E38-SUMPRODUCT($V38:$AG38,'Calc base'!$C$14:$N$14,('Calc base'!$H38:$S38&gt;'Calc base'!I38)+('Calc base'!$H38:$S38='Calc base'!I38)*('Calc base'!$C$17:$N$17&lt;'Calc base'!D$17)))))</f>
        <v>0</v>
      </c>
      <c r="AJ38">
        <f>IF('Calc base'!E$14=0,0,MIN(X38,MAX(0,$E38-SUMPRODUCT($V38:$AG38,'Calc base'!$C$14:$N$14,('Calc base'!$H38:$S38&gt;'Calc base'!J38)+('Calc base'!$H38:$S38='Calc base'!J38)*('Calc base'!$C$17:$N$17&lt;'Calc base'!E$17)))))</f>
        <v>0</v>
      </c>
      <c r="AK38">
        <f>IF('Calc base'!F$14=0,0,MIN(Y38,MAX(0,$E38-SUMPRODUCT($V38:$AG38,'Calc base'!$C$14:$N$14,('Calc base'!$H38:$S38&gt;'Calc base'!K38)+('Calc base'!$H38:$S38='Calc base'!K38)*('Calc base'!$C$17:$N$17&lt;'Calc base'!F$17)))))</f>
        <v>0</v>
      </c>
      <c r="AL38">
        <f>IF('Calc base'!G$14=0,0,MIN(Z38,MAX(0,$E38-SUMPRODUCT($V38:$AG38,'Calc base'!$C$14:$N$14,('Calc base'!$H38:$S38&gt;'Calc base'!L38)+('Calc base'!$H38:$S38='Calc base'!L38)*('Calc base'!$C$17:$N$17&lt;'Calc base'!G$17)))))</f>
        <v>0</v>
      </c>
      <c r="AM38">
        <f>IF('Calc base'!H$14=0,0,MIN(AA38,MAX(0,$E38-SUMPRODUCT($V38:$AG38,'Calc base'!$C$14:$N$14,('Calc base'!$H38:$S38&gt;'Calc base'!M38)+('Calc base'!$H38:$S38='Calc base'!M38)*('Calc base'!$C$17:$N$17&lt;'Calc base'!H$17)))))</f>
        <v>0</v>
      </c>
      <c r="AN38">
        <f>IF('Calc base'!I$14=0,0,MIN(AB38,MAX(0,$E38-SUMPRODUCT($V38:$AG38,'Calc base'!$C$14:$N$14,('Calc base'!$H38:$S38&gt;'Calc base'!N38)+('Calc base'!$H38:$S38='Calc base'!N38)*('Calc base'!$C$17:$N$17&lt;'Calc base'!I$17)))))</f>
        <v>0</v>
      </c>
      <c r="AO38">
        <f>IF('Calc base'!J$14=0,0,MIN(AC38,MAX(0,$E38-SUMPRODUCT($V38:$AG38,'Calc base'!$C$14:$N$14,('Calc base'!$H38:$S38&gt;'Calc base'!O38)+('Calc base'!$H38:$S38='Calc base'!O38)*('Calc base'!$C$17:$N$17&lt;'Calc base'!J$17)))))</f>
        <v>0</v>
      </c>
      <c r="AP38">
        <f>IF('Calc base'!K$14=0,0,MIN(AD38,MAX(0,$E38-SUMPRODUCT($V38:$AG38,'Calc base'!$C$14:$N$14,('Calc base'!$H38:$S38&gt;'Calc base'!P38)+('Calc base'!$H38:$S38='Calc base'!P38)*('Calc base'!$C$17:$N$17&lt;'Calc base'!K$17)))))</f>
        <v>0</v>
      </c>
      <c r="AQ38">
        <f>IF('Calc base'!L$14=0,0,MIN(AE38,MAX(0,$E38-SUMPRODUCT($V38:$AG38,'Calc base'!$C$14:$N$14,('Calc base'!$H38:$S38&gt;'Calc base'!Q38)+('Calc base'!$H38:$S38='Calc base'!Q38)*('Calc base'!$C$17:$N$17&lt;'Calc base'!L$17)))))</f>
        <v>0</v>
      </c>
      <c r="AR38">
        <f>IF('Calc base'!M$14=0,0,MIN(AF38,MAX(0,$E38-SUMPRODUCT($V38:$AG38,'Calc base'!$C$14:$N$14,('Calc base'!$H38:$S38&gt;'Calc base'!R38)+('Calc base'!$H38:$S38='Calc base'!R38)*('Calc base'!$C$17:$N$17&lt;'Calc base'!M$17)))))</f>
        <v>0</v>
      </c>
      <c r="AS38">
        <f>IF('Calc base'!N$14=0,0,MIN(AG38,MAX(0,$E38-SUMPRODUCT($V38:$AG38,'Calc base'!$C$14:$N$14,('Calc base'!$H38:$S38&gt;'Calc base'!S38)+('Calc base'!$H38:$S38='Calc base'!S38)*('Calc base'!$C$17:$N$17&lt;'Calc base'!N$17)))))</f>
        <v>0</v>
      </c>
      <c r="AT38">
        <f>V38-AH38</f>
        <v>703.85</v>
      </c>
      <c r="AU38">
        <f>W38-AI38</f>
        <v>0</v>
      </c>
      <c r="AV38">
        <f>X38-AJ38</f>
        <v>5502.64</v>
      </c>
      <c r="AW38">
        <f>Y38-AK38</f>
        <v>7752.99</v>
      </c>
      <c r="AX38">
        <f>Z38-AL38</f>
        <v>180</v>
      </c>
      <c r="AY38">
        <f>AA38-AM38</f>
        <v>1100</v>
      </c>
      <c r="AZ38">
        <f>AB38-AN38</f>
        <v>0</v>
      </c>
      <c r="BA38">
        <f>AC38-AO38</f>
        <v>0</v>
      </c>
      <c r="BB38">
        <f>AD38-AP38</f>
        <v>0</v>
      </c>
      <c r="BC38">
        <f>AE38-AQ38</f>
        <v>0</v>
      </c>
      <c r="BD38">
        <f>AF38-AR38</f>
        <v>0</v>
      </c>
      <c r="BE38">
        <f>AG38-AS38</f>
        <v>0</v>
      </c>
    </row>
    <row r="39">
      <c r="A39" t="n">
        <v>9</v>
      </c>
      <c r="B39">
        <f>SUMPRODUCT(ROUND($AT38:$BE38*(1+'Calc base'!$H39:$S39),2))</f>
        <v>15334.11</v>
      </c>
      <c r="C39">
        <f>SUM(J39:U39)</f>
        <v>600</v>
      </c>
      <c r="D39">
        <f>SUM(V39:AG39)</f>
        <v>14734.11</v>
      </c>
      <c r="E39">
        <f>MAX(0,IF(Impostazioni!$B$7="No",'Calc base'!$C39-$C$31,'Calc base'!$C39-C39)+'Calc base'!$G39+'Calc base'!$F39-(B39-C39-D39))</f>
        <v>650</v>
      </c>
      <c r="F39">
        <f>SUM(AH39:AS39)</f>
        <v>650</v>
      </c>
      <c r="G39">
        <f>SUM(AT39:BE39)</f>
        <v>14084.11</v>
      </c>
      <c r="H39">
        <f>B39-G38</f>
        <v>94.630000000001</v>
      </c>
      <c r="I39">
        <f>B39-G39</f>
        <v>1250</v>
      </c>
      <c r="J39">
        <f>IF(AT38&lt;=0,0,IF(ROUND(AT38*(1+'Calc base'!H39),2)-MAX('Calc base'!C$12,ROUND('Calc base'!C$13*AT38,2))&lt;1,ROUND(AT38*(1+'Calc base'!H39),2),MAX('Calc base'!C$12,ROUND('Calc base'!C$13*AT38,2))))</f>
        <v>30</v>
      </c>
      <c r="K39">
        <f>IF(AU38&lt;=0,0,IF(ROUND(AU38*(1+'Calc base'!I39),2)-MAX('Calc base'!D$12,ROUND('Calc base'!D$13*AU38,2))&lt;1,ROUND(AU38*(1+'Calc base'!I39),2),MAX('Calc base'!D$12,ROUND('Calc base'!D$13*AU38,2))))</f>
        <v>0</v>
      </c>
      <c r="L39">
        <f>IF(AV38&lt;=0,0,IF(ROUND(AV38*(1+'Calc base'!J39),2)-MAX('Calc base'!E$12,ROUND('Calc base'!E$13*AV38,2))&lt;1,ROUND(AV38*(1+'Calc base'!J39),2),MAX('Calc base'!E$12,ROUND('Calc base'!E$13*AV38,2))))</f>
        <v>210</v>
      </c>
      <c r="M39">
        <f>IF(AW38&lt;=0,0,IF(ROUND(AW38*(1+'Calc base'!K39),2)-MAX('Calc base'!F$12,ROUND('Calc base'!F$13*AW38,2))&lt;1,ROUND(AW38*(1+'Calc base'!K39),2),MAX('Calc base'!F$12,ROUND('Calc base'!F$13*AW38,2))))</f>
        <v>265</v>
      </c>
      <c r="N39">
        <f>IF(AX38&lt;=0,0,IF(ROUND(AX38*(1+'Calc base'!L39),2)-MAX('Calc base'!G$12,ROUND('Calc base'!G$13*AX38,2))&lt;1,ROUND(AX38*(1+'Calc base'!L39),2),MAX('Calc base'!G$12,ROUND('Calc base'!G$13*AX38,2))))</f>
        <v>45</v>
      </c>
      <c r="O39">
        <f>IF(AY38&lt;=0,0,IF(ROUND(AY38*(1+'Calc base'!M39),2)-MAX('Calc base'!H$12,ROUND('Calc base'!H$13*AY38,2))&lt;1,ROUND(AY38*(1+'Calc base'!M39),2),MAX('Calc base'!H$12,ROUND('Calc base'!H$13*AY38,2))))</f>
        <v>50</v>
      </c>
      <c r="P39">
        <f>IF(AZ38&lt;=0,0,IF(ROUND(AZ38*(1+'Calc base'!N39),2)-MAX('Calc base'!I$12,ROUND('Calc base'!I$13*AZ38,2))&lt;1,ROUND(AZ38*(1+'Calc base'!N39),2),MAX('Calc base'!I$12,ROUND('Calc base'!I$13*AZ38,2))))</f>
        <v>0</v>
      </c>
      <c r="Q39">
        <f>IF(BA38&lt;=0,0,IF(ROUND(BA38*(1+'Calc base'!O39),2)-MAX('Calc base'!J$12,ROUND('Calc base'!J$13*BA38,2))&lt;1,ROUND(BA38*(1+'Calc base'!O39),2),MAX('Calc base'!J$12,ROUND('Calc base'!J$13*BA38,2))))</f>
        <v>0</v>
      </c>
      <c r="R39">
        <f>IF(BB38&lt;=0,0,IF(ROUND(BB38*(1+'Calc base'!P39),2)-MAX('Calc base'!K$12,ROUND('Calc base'!K$13*BB38,2))&lt;1,ROUND(BB38*(1+'Calc base'!P39),2),MAX('Calc base'!K$12,ROUND('Calc base'!K$13*BB38,2))))</f>
        <v>0</v>
      </c>
      <c r="S39">
        <f>IF(BC38&lt;=0,0,IF(ROUND(BC38*(1+'Calc base'!Q39),2)-MAX('Calc base'!L$12,ROUND('Calc base'!L$13*BC38,2))&lt;1,ROUND(BC38*(1+'Calc base'!Q39),2),MAX('Calc base'!L$12,ROUND('Calc base'!L$13*BC38,2))))</f>
        <v>0</v>
      </c>
      <c r="T39">
        <f>IF(BD38&lt;=0,0,IF(ROUND(BD38*(1+'Calc base'!R39),2)-MAX('Calc base'!M$12,ROUND('Calc base'!M$13*BD38,2))&lt;1,ROUND(BD38*(1+'Calc base'!R39),2),MAX('Calc base'!M$12,ROUND('Calc base'!M$13*BD38,2))))</f>
        <v>0</v>
      </c>
      <c r="U39">
        <f>IF(BE38&lt;=0,0,IF(ROUND(BE38*(1+'Calc base'!S39),2)-MAX('Calc base'!N$12,ROUND('Calc base'!N$13*BE38,2))&lt;1,ROUND(BE38*(1+'Calc base'!S39),2),MAX('Calc base'!N$12,ROUND('Calc base'!N$13*BE38,2))))</f>
        <v>0</v>
      </c>
      <c r="V39">
        <f>MAX(0,ROUND(AT38*(1+'Calc base'!H39),2)-J39-'Calc base'!T39)</f>
        <v>684.94</v>
      </c>
      <c r="W39">
        <f>MAX(0,ROUND(AU38*(1+'Calc base'!I39),2)-K39-'Calc base'!U39)</f>
        <v>0</v>
      </c>
      <c r="X39">
        <f>MAX(0,ROUND(AV38*(1+'Calc base'!J39),2)-L39-'Calc base'!V39)</f>
        <v>5334.83</v>
      </c>
      <c r="Y39">
        <f>MAX(0,ROUND(AW38*(1+'Calc base'!K39),2)-M39-'Calc base'!W39)</f>
        <v>7529.34</v>
      </c>
      <c r="Z39">
        <f>MAX(0,ROUND(AX38*(1+'Calc base'!L39),2)-N39-'Calc base'!X39)</f>
        <v>135</v>
      </c>
      <c r="AA39">
        <f>MAX(0,ROUND(AY38*(1+'Calc base'!M39),2)-O39-'Calc base'!Y39)</f>
        <v>1050</v>
      </c>
      <c r="AB39">
        <f>MAX(0,ROUND(AZ38*(1+'Calc base'!N39),2)-P39-'Calc base'!Z39)</f>
        <v>0</v>
      </c>
      <c r="AC39">
        <f>MAX(0,ROUND(BA38*(1+'Calc base'!O39),2)-Q39-'Calc base'!AA39)</f>
        <v>0</v>
      </c>
      <c r="AD39">
        <f>MAX(0,ROUND(BB38*(1+'Calc base'!P39),2)-R39-'Calc base'!AB39)</f>
        <v>0</v>
      </c>
      <c r="AE39">
        <f>MAX(0,ROUND(BC38*(1+'Calc base'!Q39),2)-S39-'Calc base'!AC39)</f>
        <v>0</v>
      </c>
      <c r="AF39">
        <f>MAX(0,ROUND(BD38*(1+'Calc base'!R39),2)-T39-'Calc base'!AD39)</f>
        <v>0</v>
      </c>
      <c r="AG39">
        <f>MAX(0,ROUND(BE38*(1+'Calc base'!S39),2)-U39-'Calc base'!AE39)</f>
        <v>0</v>
      </c>
      <c r="AH39">
        <f>IF('Calc base'!C$14=0,0,MIN(V39,MAX(0,$E39-SUMPRODUCT($V39:$AG39,'Calc base'!$C$14:$N$14,('Calc base'!$H39:$S39&gt;'Calc base'!H39)+('Calc base'!$H39:$S39='Calc base'!H39)*('Calc base'!$C$17:$N$17&lt;'Calc base'!C$17)))))</f>
        <v>650</v>
      </c>
      <c r="AI39">
        <f>IF('Calc base'!D$14=0,0,MIN(W39,MAX(0,$E39-SUMPRODUCT($V39:$AG39,'Calc base'!$C$14:$N$14,('Calc base'!$H39:$S39&gt;'Calc base'!I39)+('Calc base'!$H39:$S39='Calc base'!I39)*('Calc base'!$C$17:$N$17&lt;'Calc base'!D$17)))))</f>
        <v>0</v>
      </c>
      <c r="AJ39">
        <f>IF('Calc base'!E$14=0,0,MIN(X39,MAX(0,$E39-SUMPRODUCT($V39:$AG39,'Calc base'!$C$14:$N$14,('Calc base'!$H39:$S39&gt;'Calc base'!J39)+('Calc base'!$H39:$S39='Calc base'!J39)*('Calc base'!$C$17:$N$17&lt;'Calc base'!E$17)))))</f>
        <v>0</v>
      </c>
      <c r="AK39">
        <f>IF('Calc base'!F$14=0,0,MIN(Y39,MAX(0,$E39-SUMPRODUCT($V39:$AG39,'Calc base'!$C$14:$N$14,('Calc base'!$H39:$S39&gt;'Calc base'!K39)+('Calc base'!$H39:$S39='Calc base'!K39)*('Calc base'!$C$17:$N$17&lt;'Calc base'!F$17)))))</f>
        <v>0</v>
      </c>
      <c r="AL39">
        <f>IF('Calc base'!G$14=0,0,MIN(Z39,MAX(0,$E39-SUMPRODUCT($V39:$AG39,'Calc base'!$C$14:$N$14,('Calc base'!$H39:$S39&gt;'Calc base'!L39)+('Calc base'!$H39:$S39='Calc base'!L39)*('Calc base'!$C$17:$N$17&lt;'Calc base'!G$17)))))</f>
        <v>0</v>
      </c>
      <c r="AM39">
        <f>IF('Calc base'!H$14=0,0,MIN(AA39,MAX(0,$E39-SUMPRODUCT($V39:$AG39,'Calc base'!$C$14:$N$14,('Calc base'!$H39:$S39&gt;'Calc base'!M39)+('Calc base'!$H39:$S39='Calc base'!M39)*('Calc base'!$C$17:$N$17&lt;'Calc base'!H$17)))))</f>
        <v>0</v>
      </c>
      <c r="AN39">
        <f>IF('Calc base'!I$14=0,0,MIN(AB39,MAX(0,$E39-SUMPRODUCT($V39:$AG39,'Calc base'!$C$14:$N$14,('Calc base'!$H39:$S39&gt;'Calc base'!N39)+('Calc base'!$H39:$S39='Calc base'!N39)*('Calc base'!$C$17:$N$17&lt;'Calc base'!I$17)))))</f>
        <v>0</v>
      </c>
      <c r="AO39">
        <f>IF('Calc base'!J$14=0,0,MIN(AC39,MAX(0,$E39-SUMPRODUCT($V39:$AG39,'Calc base'!$C$14:$N$14,('Calc base'!$H39:$S39&gt;'Calc base'!O39)+('Calc base'!$H39:$S39='Calc base'!O39)*('Calc base'!$C$17:$N$17&lt;'Calc base'!J$17)))))</f>
        <v>0</v>
      </c>
      <c r="AP39">
        <f>IF('Calc base'!K$14=0,0,MIN(AD39,MAX(0,$E39-SUMPRODUCT($V39:$AG39,'Calc base'!$C$14:$N$14,('Calc base'!$H39:$S39&gt;'Calc base'!P39)+('Calc base'!$H39:$S39='Calc base'!P39)*('Calc base'!$C$17:$N$17&lt;'Calc base'!K$17)))))</f>
        <v>0</v>
      </c>
      <c r="AQ39">
        <f>IF('Calc base'!L$14=0,0,MIN(AE39,MAX(0,$E39-SUMPRODUCT($V39:$AG39,'Calc base'!$C$14:$N$14,('Calc base'!$H39:$S39&gt;'Calc base'!Q39)+('Calc base'!$H39:$S39='Calc base'!Q39)*('Calc base'!$C$17:$N$17&lt;'Calc base'!L$17)))))</f>
        <v>0</v>
      </c>
      <c r="AR39">
        <f>IF('Calc base'!M$14=0,0,MIN(AF39,MAX(0,$E39-SUMPRODUCT($V39:$AG39,'Calc base'!$C$14:$N$14,('Calc base'!$H39:$S39&gt;'Calc base'!R39)+('Calc base'!$H39:$S39='Calc base'!R39)*('Calc base'!$C$17:$N$17&lt;'Calc base'!M$17)))))</f>
        <v>0</v>
      </c>
      <c r="AS39">
        <f>IF('Calc base'!N$14=0,0,MIN(AG39,MAX(0,$E39-SUMPRODUCT($V39:$AG39,'Calc base'!$C$14:$N$14,('Calc base'!$H39:$S39&gt;'Calc base'!S39)+('Calc base'!$H39:$S39='Calc base'!S39)*('Calc base'!$C$17:$N$17&lt;'Calc base'!N$17)))))</f>
        <v>0</v>
      </c>
      <c r="AT39">
        <f>V39-AH39</f>
        <v>34.9400000000001</v>
      </c>
      <c r="AU39">
        <f>W39-AI39</f>
        <v>0</v>
      </c>
      <c r="AV39">
        <f>X39-AJ39</f>
        <v>5334.83</v>
      </c>
      <c r="AW39">
        <f>Y39-AK39</f>
        <v>7529.34</v>
      </c>
      <c r="AX39">
        <f>Z39-AL39</f>
        <v>135</v>
      </c>
      <c r="AY39">
        <f>AA39-AM39</f>
        <v>1050</v>
      </c>
      <c r="AZ39">
        <f>AB39-AN39</f>
        <v>0</v>
      </c>
      <c r="BA39">
        <f>AC39-AO39</f>
        <v>0</v>
      </c>
      <c r="BB39">
        <f>AD39-AP39</f>
        <v>0</v>
      </c>
      <c r="BC39">
        <f>AE39-AQ39</f>
        <v>0</v>
      </c>
      <c r="BD39">
        <f>AF39-AR39</f>
        <v>0</v>
      </c>
      <c r="BE39">
        <f>AG39-AS39</f>
        <v>0</v>
      </c>
    </row>
    <row r="40">
      <c r="A40" t="n">
        <v>10</v>
      </c>
      <c r="B40">
        <f>SUMPRODUCT(ROUND($AT39:$BE39*(1+'Calc base'!$H40:$S40),2))</f>
        <v>14165.72</v>
      </c>
      <c r="C40">
        <f>SUM(J40:U40)</f>
        <v>600</v>
      </c>
      <c r="D40">
        <f>SUM(V40:AG40)</f>
        <v>13565.72</v>
      </c>
      <c r="E40">
        <f>MAX(0,IF(Impostazioni!$B$7="No",'Calc base'!$C40-$C$31,'Calc base'!$C40-C40)+'Calc base'!$G40+'Calc base'!$F40-(B40-C40-D40))</f>
        <v>300</v>
      </c>
      <c r="F40">
        <f>SUM(AH40:AS40)</f>
        <v>300</v>
      </c>
      <c r="G40">
        <f>SUM(AT40:BE40)</f>
        <v>13265.72</v>
      </c>
      <c r="H40">
        <f>B40-G39</f>
        <v>81.6099999999988</v>
      </c>
      <c r="I40">
        <f>B40-G40</f>
        <v>900</v>
      </c>
      <c r="J40">
        <f>IF(AT39&lt;=0,0,IF(ROUND(AT39*(1+'Calc base'!H40),2)-MAX('Calc base'!C$12,ROUND('Calc base'!C$13*AT39,2))&lt;1,ROUND(AT39*(1+'Calc base'!H40),2),MAX('Calc base'!C$12,ROUND('Calc base'!C$13*AT39,2))))</f>
        <v>30</v>
      </c>
      <c r="K40">
        <f>IF(AU39&lt;=0,0,IF(ROUND(AU39*(1+'Calc base'!I40),2)-MAX('Calc base'!D$12,ROUND('Calc base'!D$13*AU39,2))&lt;1,ROUND(AU39*(1+'Calc base'!I40),2),MAX('Calc base'!D$12,ROUND('Calc base'!D$13*AU39,2))))</f>
        <v>0</v>
      </c>
      <c r="L40">
        <f>IF(AV39&lt;=0,0,IF(ROUND(AV39*(1+'Calc base'!J40),2)-MAX('Calc base'!E$12,ROUND('Calc base'!E$13*AV39,2))&lt;1,ROUND(AV39*(1+'Calc base'!J40),2),MAX('Calc base'!E$12,ROUND('Calc base'!E$13*AV39,2))))</f>
        <v>210</v>
      </c>
      <c r="M40">
        <f>IF(AW39&lt;=0,0,IF(ROUND(AW39*(1+'Calc base'!K40),2)-MAX('Calc base'!F$12,ROUND('Calc base'!F$13*AW39,2))&lt;1,ROUND(AW39*(1+'Calc base'!K40),2),MAX('Calc base'!F$12,ROUND('Calc base'!F$13*AW39,2))))</f>
        <v>265</v>
      </c>
      <c r="N40">
        <f>IF(AX39&lt;=0,0,IF(ROUND(AX39*(1+'Calc base'!L40),2)-MAX('Calc base'!G$12,ROUND('Calc base'!G$13*AX39,2))&lt;1,ROUND(AX39*(1+'Calc base'!L40),2),MAX('Calc base'!G$12,ROUND('Calc base'!G$13*AX39,2))))</f>
        <v>45</v>
      </c>
      <c r="O40">
        <f>IF(AY39&lt;=0,0,IF(ROUND(AY39*(1+'Calc base'!M40),2)-MAX('Calc base'!H$12,ROUND('Calc base'!H$13*AY39,2))&lt;1,ROUND(AY39*(1+'Calc base'!M40),2),MAX('Calc base'!H$12,ROUND('Calc base'!H$13*AY39,2))))</f>
        <v>50</v>
      </c>
      <c r="P40">
        <f>IF(AZ39&lt;=0,0,IF(ROUND(AZ39*(1+'Calc base'!N40),2)-MAX('Calc base'!I$12,ROUND('Calc base'!I$13*AZ39,2))&lt;1,ROUND(AZ39*(1+'Calc base'!N40),2),MAX('Calc base'!I$12,ROUND('Calc base'!I$13*AZ39,2))))</f>
        <v>0</v>
      </c>
      <c r="Q40">
        <f>IF(BA39&lt;=0,0,IF(ROUND(BA39*(1+'Calc base'!O40),2)-MAX('Calc base'!J$12,ROUND('Calc base'!J$13*BA39,2))&lt;1,ROUND(BA39*(1+'Calc base'!O40),2),MAX('Calc base'!J$12,ROUND('Calc base'!J$13*BA39,2))))</f>
        <v>0</v>
      </c>
      <c r="R40">
        <f>IF(BB39&lt;=0,0,IF(ROUND(BB39*(1+'Calc base'!P40),2)-MAX('Calc base'!K$12,ROUND('Calc base'!K$13*BB39,2))&lt;1,ROUND(BB39*(1+'Calc base'!P40),2),MAX('Calc base'!K$12,ROUND('Calc base'!K$13*BB39,2))))</f>
        <v>0</v>
      </c>
      <c r="S40">
        <f>IF(BC39&lt;=0,0,IF(ROUND(BC39*(1+'Calc base'!Q40),2)-MAX('Calc base'!L$12,ROUND('Calc base'!L$13*BC39,2))&lt;1,ROUND(BC39*(1+'Calc base'!Q40),2),MAX('Calc base'!L$12,ROUND('Calc base'!L$13*BC39,2))))</f>
        <v>0</v>
      </c>
      <c r="T40">
        <f>IF(BD39&lt;=0,0,IF(ROUND(BD39*(1+'Calc base'!R40),2)-MAX('Calc base'!M$12,ROUND('Calc base'!M$13*BD39,2))&lt;1,ROUND(BD39*(1+'Calc base'!R40),2),MAX('Calc base'!M$12,ROUND('Calc base'!M$13*BD39,2))))</f>
        <v>0</v>
      </c>
      <c r="U40">
        <f>IF(BE39&lt;=0,0,IF(ROUND(BE39*(1+'Calc base'!S40),2)-MAX('Calc base'!N$12,ROUND('Calc base'!N$13*BE39,2))&lt;1,ROUND(BE39*(1+'Calc base'!S40),2),MAX('Calc base'!N$12,ROUND('Calc base'!N$13*BE39,2))))</f>
        <v>0</v>
      </c>
      <c r="V40">
        <f>MAX(0,ROUND(AT39*(1+'Calc base'!H40),2)-J40-'Calc base'!T40)</f>
        <v>5.49</v>
      </c>
      <c r="W40">
        <f>MAX(0,ROUND(AU39*(1+'Calc base'!I40),2)-K40-'Calc base'!U40)</f>
        <v>0</v>
      </c>
      <c r="X40">
        <f>MAX(0,ROUND(AV39*(1+'Calc base'!J40),2)-L40-'Calc base'!V40)</f>
        <v>5165.73</v>
      </c>
      <c r="Y40">
        <f>MAX(0,ROUND(AW39*(1+'Calc base'!K40),2)-M40-'Calc base'!W40)</f>
        <v>7304.5</v>
      </c>
      <c r="Z40">
        <f>MAX(0,ROUND(AX39*(1+'Calc base'!L40),2)-N40-'Calc base'!X40)</f>
        <v>90</v>
      </c>
      <c r="AA40">
        <f>MAX(0,ROUND(AY39*(1+'Calc base'!M40),2)-O40-'Calc base'!Y40)</f>
        <v>1000</v>
      </c>
      <c r="AB40">
        <f>MAX(0,ROUND(AZ39*(1+'Calc base'!N40),2)-P40-'Calc base'!Z40)</f>
        <v>0</v>
      </c>
      <c r="AC40">
        <f>MAX(0,ROUND(BA39*(1+'Calc base'!O40),2)-Q40-'Calc base'!AA40)</f>
        <v>0</v>
      </c>
      <c r="AD40">
        <f>MAX(0,ROUND(BB39*(1+'Calc base'!P40),2)-R40-'Calc base'!AB40)</f>
        <v>0</v>
      </c>
      <c r="AE40">
        <f>MAX(0,ROUND(BC39*(1+'Calc base'!Q40),2)-S40-'Calc base'!AC40)</f>
        <v>0</v>
      </c>
      <c r="AF40">
        <f>MAX(0,ROUND(BD39*(1+'Calc base'!R40),2)-T40-'Calc base'!AD40)</f>
        <v>0</v>
      </c>
      <c r="AG40">
        <f>MAX(0,ROUND(BE39*(1+'Calc base'!S40),2)-U40-'Calc base'!AE40)</f>
        <v>0</v>
      </c>
      <c r="AH40">
        <f>IF('Calc base'!C$14=0,0,MIN(V40,MAX(0,$E40-SUMPRODUCT($V40:$AG40,'Calc base'!$C$14:$N$14,('Calc base'!$H40:$S40&gt;'Calc base'!H40)+('Calc base'!$H40:$S40='Calc base'!H40)*('Calc base'!$C$17:$N$17&lt;'Calc base'!C$17)))))</f>
        <v>5.49</v>
      </c>
      <c r="AI40">
        <f>IF('Calc base'!D$14=0,0,MIN(W40,MAX(0,$E40-SUMPRODUCT($V40:$AG40,'Calc base'!$C$14:$N$14,('Calc base'!$H40:$S40&gt;'Calc base'!I40)+('Calc base'!$H40:$S40='Calc base'!I40)*('Calc base'!$C$17:$N$17&lt;'Calc base'!D$17)))))</f>
        <v>0</v>
      </c>
      <c r="AJ40">
        <f>IF('Calc base'!E$14=0,0,MIN(X40,MAX(0,$E40-SUMPRODUCT($V40:$AG40,'Calc base'!$C$14:$N$14,('Calc base'!$H40:$S40&gt;'Calc base'!J40)+('Calc base'!$H40:$S40='Calc base'!J40)*('Calc base'!$C$17:$N$17&lt;'Calc base'!E$17)))))</f>
        <v>294.51</v>
      </c>
      <c r="AK40">
        <f>IF('Calc base'!F$14=0,0,MIN(Y40,MAX(0,$E40-SUMPRODUCT($V40:$AG40,'Calc base'!$C$14:$N$14,('Calc base'!$H40:$S40&gt;'Calc base'!K40)+('Calc base'!$H40:$S40='Calc base'!K40)*('Calc base'!$C$17:$N$17&lt;'Calc base'!F$17)))))</f>
        <v>0</v>
      </c>
      <c r="AL40">
        <f>IF('Calc base'!G$14=0,0,MIN(Z40,MAX(0,$E40-SUMPRODUCT($V40:$AG40,'Calc base'!$C$14:$N$14,('Calc base'!$H40:$S40&gt;'Calc base'!L40)+('Calc base'!$H40:$S40='Calc base'!L40)*('Calc base'!$C$17:$N$17&lt;'Calc base'!G$17)))))</f>
        <v>0</v>
      </c>
      <c r="AM40">
        <f>IF('Calc base'!H$14=0,0,MIN(AA40,MAX(0,$E40-SUMPRODUCT($V40:$AG40,'Calc base'!$C$14:$N$14,('Calc base'!$H40:$S40&gt;'Calc base'!M40)+('Calc base'!$H40:$S40='Calc base'!M40)*('Calc base'!$C$17:$N$17&lt;'Calc base'!H$17)))))</f>
        <v>0</v>
      </c>
      <c r="AN40">
        <f>IF('Calc base'!I$14=0,0,MIN(AB40,MAX(0,$E40-SUMPRODUCT($V40:$AG40,'Calc base'!$C$14:$N$14,('Calc base'!$H40:$S40&gt;'Calc base'!N40)+('Calc base'!$H40:$S40='Calc base'!N40)*('Calc base'!$C$17:$N$17&lt;'Calc base'!I$17)))))</f>
        <v>0</v>
      </c>
      <c r="AO40">
        <f>IF('Calc base'!J$14=0,0,MIN(AC40,MAX(0,$E40-SUMPRODUCT($V40:$AG40,'Calc base'!$C$14:$N$14,('Calc base'!$H40:$S40&gt;'Calc base'!O40)+('Calc base'!$H40:$S40='Calc base'!O40)*('Calc base'!$C$17:$N$17&lt;'Calc base'!J$17)))))</f>
        <v>0</v>
      </c>
      <c r="AP40">
        <f>IF('Calc base'!K$14=0,0,MIN(AD40,MAX(0,$E40-SUMPRODUCT($V40:$AG40,'Calc base'!$C$14:$N$14,('Calc base'!$H40:$S40&gt;'Calc base'!P40)+('Calc base'!$H40:$S40='Calc base'!P40)*('Calc base'!$C$17:$N$17&lt;'Calc base'!K$17)))))</f>
        <v>0</v>
      </c>
      <c r="AQ40">
        <f>IF('Calc base'!L$14=0,0,MIN(AE40,MAX(0,$E40-SUMPRODUCT($V40:$AG40,'Calc base'!$C$14:$N$14,('Calc base'!$H40:$S40&gt;'Calc base'!Q40)+('Calc base'!$H40:$S40='Calc base'!Q40)*('Calc base'!$C$17:$N$17&lt;'Calc base'!L$17)))))</f>
        <v>0</v>
      </c>
      <c r="AR40">
        <f>IF('Calc base'!M$14=0,0,MIN(AF40,MAX(0,$E40-SUMPRODUCT($V40:$AG40,'Calc base'!$C$14:$N$14,('Calc base'!$H40:$S40&gt;'Calc base'!R40)+('Calc base'!$H40:$S40='Calc base'!R40)*('Calc base'!$C$17:$N$17&lt;'Calc base'!M$17)))))</f>
        <v>0</v>
      </c>
      <c r="AS40">
        <f>IF('Calc base'!N$14=0,0,MIN(AG40,MAX(0,$E40-SUMPRODUCT($V40:$AG40,'Calc base'!$C$14:$N$14,('Calc base'!$H40:$S40&gt;'Calc base'!S40)+('Calc base'!$H40:$S40='Calc base'!S40)*('Calc base'!$C$17:$N$17&lt;'Calc base'!N$17)))))</f>
        <v>0</v>
      </c>
      <c r="AT40">
        <f>V40-AH40</f>
        <v>0</v>
      </c>
      <c r="AU40">
        <f>W40-AI40</f>
        <v>0</v>
      </c>
      <c r="AV40">
        <f>X40-AJ40</f>
        <v>4871.22</v>
      </c>
      <c r="AW40">
        <f>Y40-AK40</f>
        <v>7304.5</v>
      </c>
      <c r="AX40">
        <f>Z40-AL40</f>
        <v>90</v>
      </c>
      <c r="AY40">
        <f>AA40-AM40</f>
        <v>1000</v>
      </c>
      <c r="AZ40">
        <f>AB40-AN40</f>
        <v>0</v>
      </c>
      <c r="BA40">
        <f>AC40-AO40</f>
        <v>0</v>
      </c>
      <c r="BB40">
        <f>AD40-AP40</f>
        <v>0</v>
      </c>
      <c r="BC40">
        <f>AE40-AQ40</f>
        <v>0</v>
      </c>
      <c r="BD40">
        <f>AF40-AR40</f>
        <v>0</v>
      </c>
      <c r="BE40">
        <f>AG40-AS40</f>
        <v>0</v>
      </c>
    </row>
    <row r="41">
      <c r="A41" t="n">
        <v>11</v>
      </c>
      <c r="B41">
        <f>SUMPRODUCT(ROUND($AT40:$BE40*(1+'Calc base'!$H41:$S41),2))</f>
        <v>13342.03</v>
      </c>
      <c r="C41">
        <f>SUM(J41:U41)</f>
        <v>570</v>
      </c>
      <c r="D41">
        <f>SUM(V41:AG41)</f>
        <v>12772.03</v>
      </c>
      <c r="E41">
        <f>MAX(0,IF(Impostazioni!$B$7="No",'Calc base'!$C41-$C$31,'Calc base'!$C41-C41)+'Calc base'!$G41+'Calc base'!$F41-(B41-C41-D41))</f>
        <v>330</v>
      </c>
      <c r="F41">
        <f>SUM(AH41:AS41)</f>
        <v>330</v>
      </c>
      <c r="G41">
        <f>SUM(AT41:BE41)</f>
        <v>12442.03</v>
      </c>
      <c r="H41">
        <f>B41-G40</f>
        <v>76.3099999999995</v>
      </c>
      <c r="I41">
        <f>B41-G41</f>
        <v>900</v>
      </c>
      <c r="J41">
        <f>IF(AT40&lt;=0,0,IF(ROUND(AT40*(1+'Calc base'!H41),2)-MAX('Calc base'!C$12,ROUND('Calc base'!C$13*AT40,2))&lt;1,ROUND(AT40*(1+'Calc base'!H41),2),MAX('Calc base'!C$12,ROUND('Calc base'!C$13*AT40,2))))</f>
        <v>0</v>
      </c>
      <c r="K41">
        <f>IF(AU40&lt;=0,0,IF(ROUND(AU40*(1+'Calc base'!I41),2)-MAX('Calc base'!D$12,ROUND('Calc base'!D$13*AU40,2))&lt;1,ROUND(AU40*(1+'Calc base'!I41),2),MAX('Calc base'!D$12,ROUND('Calc base'!D$13*AU40,2))))</f>
        <v>0</v>
      </c>
      <c r="L41">
        <f>IF(AV40&lt;=0,0,IF(ROUND(AV40*(1+'Calc base'!J41),2)-MAX('Calc base'!E$12,ROUND('Calc base'!E$13*AV40,2))&lt;1,ROUND(AV40*(1+'Calc base'!J41),2),MAX('Calc base'!E$12,ROUND('Calc base'!E$13*AV40,2))))</f>
        <v>210</v>
      </c>
      <c r="M41">
        <f>IF(AW40&lt;=0,0,IF(ROUND(AW40*(1+'Calc base'!K41),2)-MAX('Calc base'!F$12,ROUND('Calc base'!F$13*AW40,2))&lt;1,ROUND(AW40*(1+'Calc base'!K41),2),MAX('Calc base'!F$12,ROUND('Calc base'!F$13*AW40,2))))</f>
        <v>265</v>
      </c>
      <c r="N41">
        <f>IF(AX40&lt;=0,0,IF(ROUND(AX40*(1+'Calc base'!L41),2)-MAX('Calc base'!G$12,ROUND('Calc base'!G$13*AX40,2))&lt;1,ROUND(AX40*(1+'Calc base'!L41),2),MAX('Calc base'!G$12,ROUND('Calc base'!G$13*AX40,2))))</f>
        <v>45</v>
      </c>
      <c r="O41">
        <f>IF(AY40&lt;=0,0,IF(ROUND(AY40*(1+'Calc base'!M41),2)-MAX('Calc base'!H$12,ROUND('Calc base'!H$13*AY40,2))&lt;1,ROUND(AY40*(1+'Calc base'!M41),2),MAX('Calc base'!H$12,ROUND('Calc base'!H$13*AY40,2))))</f>
        <v>50</v>
      </c>
      <c r="P41">
        <f>IF(AZ40&lt;=0,0,IF(ROUND(AZ40*(1+'Calc base'!N41),2)-MAX('Calc base'!I$12,ROUND('Calc base'!I$13*AZ40,2))&lt;1,ROUND(AZ40*(1+'Calc base'!N41),2),MAX('Calc base'!I$12,ROUND('Calc base'!I$13*AZ40,2))))</f>
        <v>0</v>
      </c>
      <c r="Q41">
        <f>IF(BA40&lt;=0,0,IF(ROUND(BA40*(1+'Calc base'!O41),2)-MAX('Calc base'!J$12,ROUND('Calc base'!J$13*BA40,2))&lt;1,ROUND(BA40*(1+'Calc base'!O41),2),MAX('Calc base'!J$12,ROUND('Calc base'!J$13*BA40,2))))</f>
        <v>0</v>
      </c>
      <c r="R41">
        <f>IF(BB40&lt;=0,0,IF(ROUND(BB40*(1+'Calc base'!P41),2)-MAX('Calc base'!K$12,ROUND('Calc base'!K$13*BB40,2))&lt;1,ROUND(BB40*(1+'Calc base'!P41),2),MAX('Calc base'!K$12,ROUND('Calc base'!K$13*BB40,2))))</f>
        <v>0</v>
      </c>
      <c r="S41">
        <f>IF(BC40&lt;=0,0,IF(ROUND(BC40*(1+'Calc base'!Q41),2)-MAX('Calc base'!L$12,ROUND('Calc base'!L$13*BC40,2))&lt;1,ROUND(BC40*(1+'Calc base'!Q41),2),MAX('Calc base'!L$12,ROUND('Calc base'!L$13*BC40,2))))</f>
        <v>0</v>
      </c>
      <c r="T41">
        <f>IF(BD40&lt;=0,0,IF(ROUND(BD40*(1+'Calc base'!R41),2)-MAX('Calc base'!M$12,ROUND('Calc base'!M$13*BD40,2))&lt;1,ROUND(BD40*(1+'Calc base'!R41),2),MAX('Calc base'!M$12,ROUND('Calc base'!M$13*BD40,2))))</f>
        <v>0</v>
      </c>
      <c r="U41">
        <f>IF(BE40&lt;=0,0,IF(ROUND(BE40*(1+'Calc base'!S41),2)-MAX('Calc base'!N$12,ROUND('Calc base'!N$13*BE40,2))&lt;1,ROUND(BE40*(1+'Calc base'!S41),2),MAX('Calc base'!N$12,ROUND('Calc base'!N$13*BE40,2))))</f>
        <v>0</v>
      </c>
      <c r="V41">
        <f>MAX(0,ROUND(AT40*(1+'Calc base'!H41),2)-J41-'Calc base'!T41)</f>
        <v>0</v>
      </c>
      <c r="W41">
        <f>MAX(0,ROUND(AU40*(1+'Calc base'!I41),2)-K41-'Calc base'!U41)</f>
        <v>0</v>
      </c>
      <c r="X41">
        <f>MAX(0,ROUND(AV40*(1+'Calc base'!J41),2)-L41-'Calc base'!V41)</f>
        <v>4698.57</v>
      </c>
      <c r="Y41">
        <f>MAX(0,ROUND(AW40*(1+'Calc base'!K41),2)-M41-'Calc base'!W41)</f>
        <v>7078.46</v>
      </c>
      <c r="Z41">
        <f>MAX(0,ROUND(AX40*(1+'Calc base'!L41),2)-N41-'Calc base'!X41)</f>
        <v>45</v>
      </c>
      <c r="AA41">
        <f>MAX(0,ROUND(AY40*(1+'Calc base'!M41),2)-O41-'Calc base'!Y41)</f>
        <v>950</v>
      </c>
      <c r="AB41">
        <f>MAX(0,ROUND(AZ40*(1+'Calc base'!N41),2)-P41-'Calc base'!Z41)</f>
        <v>0</v>
      </c>
      <c r="AC41">
        <f>MAX(0,ROUND(BA40*(1+'Calc base'!O41),2)-Q41-'Calc base'!AA41)</f>
        <v>0</v>
      </c>
      <c r="AD41">
        <f>MAX(0,ROUND(BB40*(1+'Calc base'!P41),2)-R41-'Calc base'!AB41)</f>
        <v>0</v>
      </c>
      <c r="AE41">
        <f>MAX(0,ROUND(BC40*(1+'Calc base'!Q41),2)-S41-'Calc base'!AC41)</f>
        <v>0</v>
      </c>
      <c r="AF41">
        <f>MAX(0,ROUND(BD40*(1+'Calc base'!R41),2)-T41-'Calc base'!AD41)</f>
        <v>0</v>
      </c>
      <c r="AG41">
        <f>MAX(0,ROUND(BE40*(1+'Calc base'!S41),2)-U41-'Calc base'!AE41)</f>
        <v>0</v>
      </c>
      <c r="AH41">
        <f>IF('Calc base'!C$14=0,0,MIN(V41,MAX(0,$E41-SUMPRODUCT($V41:$AG41,'Calc base'!$C$14:$N$14,('Calc base'!$H41:$S41&gt;'Calc base'!H41)+('Calc base'!$H41:$S41='Calc base'!H41)*('Calc base'!$C$17:$N$17&lt;'Calc base'!C$17)))))</f>
        <v>0</v>
      </c>
      <c r="AI41">
        <f>IF('Calc base'!D$14=0,0,MIN(W41,MAX(0,$E41-SUMPRODUCT($V41:$AG41,'Calc base'!$C$14:$N$14,('Calc base'!$H41:$S41&gt;'Calc base'!I41)+('Calc base'!$H41:$S41='Calc base'!I41)*('Calc base'!$C$17:$N$17&lt;'Calc base'!D$17)))))</f>
        <v>0</v>
      </c>
      <c r="AJ41">
        <f>IF('Calc base'!E$14=0,0,MIN(X41,MAX(0,$E41-SUMPRODUCT($V41:$AG41,'Calc base'!$C$14:$N$14,('Calc base'!$H41:$S41&gt;'Calc base'!J41)+('Calc base'!$H41:$S41='Calc base'!J41)*('Calc base'!$C$17:$N$17&lt;'Calc base'!E$17)))))</f>
        <v>330</v>
      </c>
      <c r="AK41">
        <f>IF('Calc base'!F$14=0,0,MIN(Y41,MAX(0,$E41-SUMPRODUCT($V41:$AG41,'Calc base'!$C$14:$N$14,('Calc base'!$H41:$S41&gt;'Calc base'!K41)+('Calc base'!$H41:$S41='Calc base'!K41)*('Calc base'!$C$17:$N$17&lt;'Calc base'!F$17)))))</f>
        <v>0</v>
      </c>
      <c r="AL41">
        <f>IF('Calc base'!G$14=0,0,MIN(Z41,MAX(0,$E41-SUMPRODUCT($V41:$AG41,'Calc base'!$C$14:$N$14,('Calc base'!$H41:$S41&gt;'Calc base'!L41)+('Calc base'!$H41:$S41='Calc base'!L41)*('Calc base'!$C$17:$N$17&lt;'Calc base'!G$17)))))</f>
        <v>0</v>
      </c>
      <c r="AM41">
        <f>IF('Calc base'!H$14=0,0,MIN(AA41,MAX(0,$E41-SUMPRODUCT($V41:$AG41,'Calc base'!$C$14:$N$14,('Calc base'!$H41:$S41&gt;'Calc base'!M41)+('Calc base'!$H41:$S41='Calc base'!M41)*('Calc base'!$C$17:$N$17&lt;'Calc base'!H$17)))))</f>
        <v>0</v>
      </c>
      <c r="AN41">
        <f>IF('Calc base'!I$14=0,0,MIN(AB41,MAX(0,$E41-SUMPRODUCT($V41:$AG41,'Calc base'!$C$14:$N$14,('Calc base'!$H41:$S41&gt;'Calc base'!N41)+('Calc base'!$H41:$S41='Calc base'!N41)*('Calc base'!$C$17:$N$17&lt;'Calc base'!I$17)))))</f>
        <v>0</v>
      </c>
      <c r="AO41">
        <f>IF('Calc base'!J$14=0,0,MIN(AC41,MAX(0,$E41-SUMPRODUCT($V41:$AG41,'Calc base'!$C$14:$N$14,('Calc base'!$H41:$S41&gt;'Calc base'!O41)+('Calc base'!$H41:$S41='Calc base'!O41)*('Calc base'!$C$17:$N$17&lt;'Calc base'!J$17)))))</f>
        <v>0</v>
      </c>
      <c r="AP41">
        <f>IF('Calc base'!K$14=0,0,MIN(AD41,MAX(0,$E41-SUMPRODUCT($V41:$AG41,'Calc base'!$C$14:$N$14,('Calc base'!$H41:$S41&gt;'Calc base'!P41)+('Calc base'!$H41:$S41='Calc base'!P41)*('Calc base'!$C$17:$N$17&lt;'Calc base'!K$17)))))</f>
        <v>0</v>
      </c>
      <c r="AQ41">
        <f>IF('Calc base'!L$14=0,0,MIN(AE41,MAX(0,$E41-SUMPRODUCT($V41:$AG41,'Calc base'!$C$14:$N$14,('Calc base'!$H41:$S41&gt;'Calc base'!Q41)+('Calc base'!$H41:$S41='Calc base'!Q41)*('Calc base'!$C$17:$N$17&lt;'Calc base'!L$17)))))</f>
        <v>0</v>
      </c>
      <c r="AR41">
        <f>IF('Calc base'!M$14=0,0,MIN(AF41,MAX(0,$E41-SUMPRODUCT($V41:$AG41,'Calc base'!$C$14:$N$14,('Calc base'!$H41:$S41&gt;'Calc base'!R41)+('Calc base'!$H41:$S41='Calc base'!R41)*('Calc base'!$C$17:$N$17&lt;'Calc base'!M$17)))))</f>
        <v>0</v>
      </c>
      <c r="AS41">
        <f>IF('Calc base'!N$14=0,0,MIN(AG41,MAX(0,$E41-SUMPRODUCT($V41:$AG41,'Calc base'!$C$14:$N$14,('Calc base'!$H41:$S41&gt;'Calc base'!S41)+('Calc base'!$H41:$S41='Calc base'!S41)*('Calc base'!$C$17:$N$17&lt;'Calc base'!N$17)))))</f>
        <v>0</v>
      </c>
      <c r="AT41">
        <f>V41-AH41</f>
        <v>0</v>
      </c>
      <c r="AU41">
        <f>W41-AI41</f>
        <v>0</v>
      </c>
      <c r="AV41">
        <f>X41-AJ41</f>
        <v>4368.57</v>
      </c>
      <c r="AW41">
        <f>Y41-AK41</f>
        <v>7078.46</v>
      </c>
      <c r="AX41">
        <f>Z41-AL41</f>
        <v>45</v>
      </c>
      <c r="AY41">
        <f>AA41-AM41</f>
        <v>950</v>
      </c>
      <c r="AZ41">
        <f>AB41-AN41</f>
        <v>0</v>
      </c>
      <c r="BA41">
        <f>AC41-AO41</f>
        <v>0</v>
      </c>
      <c r="BB41">
        <f>AD41-AP41</f>
        <v>0</v>
      </c>
      <c r="BC41">
        <f>AE41-AQ41</f>
        <v>0</v>
      </c>
      <c r="BD41">
        <f>AF41-AR41</f>
        <v>0</v>
      </c>
      <c r="BE41">
        <f>AG41-AS41</f>
        <v>0</v>
      </c>
    </row>
    <row r="42">
      <c r="A42" t="n">
        <v>12</v>
      </c>
      <c r="B42">
        <f>SUMPRODUCT(ROUND($AT41:$BE41*(1+'Calc base'!$H42:$S42),2))</f>
        <v>12513.27</v>
      </c>
      <c r="C42">
        <f>SUM(J42:U42)</f>
        <v>570</v>
      </c>
      <c r="D42">
        <f>SUM(V42:AG42)</f>
        <v>11943.27</v>
      </c>
      <c r="E42">
        <f>MAX(0,IF(Impostazioni!$B$7="No",'Calc base'!$C42-$C$31,'Calc base'!$C42-C42)+'Calc base'!$G42+'Calc base'!$F42-(B42-C42-D42))</f>
        <v>330</v>
      </c>
      <c r="F42">
        <f>SUM(AH42:AS42)</f>
        <v>330</v>
      </c>
      <c r="G42">
        <f>SUM(AT42:BE42)</f>
        <v>11613.27</v>
      </c>
      <c r="H42">
        <f>B42-G41</f>
        <v>71.2400000000016</v>
      </c>
      <c r="I42">
        <f>B42-G42</f>
        <v>900</v>
      </c>
      <c r="J42">
        <f>IF(AT41&lt;=0,0,IF(ROUND(AT41*(1+'Calc base'!H42),2)-MAX('Calc base'!C$12,ROUND('Calc base'!C$13*AT41,2))&lt;1,ROUND(AT41*(1+'Calc base'!H42),2),MAX('Calc base'!C$12,ROUND('Calc base'!C$13*AT41,2))))</f>
        <v>0</v>
      </c>
      <c r="K42">
        <f>IF(AU41&lt;=0,0,IF(ROUND(AU41*(1+'Calc base'!I42),2)-MAX('Calc base'!D$12,ROUND('Calc base'!D$13*AU41,2))&lt;1,ROUND(AU41*(1+'Calc base'!I42),2),MAX('Calc base'!D$12,ROUND('Calc base'!D$13*AU41,2))))</f>
        <v>0</v>
      </c>
      <c r="L42">
        <f>IF(AV41&lt;=0,0,IF(ROUND(AV41*(1+'Calc base'!J42),2)-MAX('Calc base'!E$12,ROUND('Calc base'!E$13*AV41,2))&lt;1,ROUND(AV41*(1+'Calc base'!J42),2),MAX('Calc base'!E$12,ROUND('Calc base'!E$13*AV41,2))))</f>
        <v>210</v>
      </c>
      <c r="M42">
        <f>IF(AW41&lt;=0,0,IF(ROUND(AW41*(1+'Calc base'!K42),2)-MAX('Calc base'!F$12,ROUND('Calc base'!F$13*AW41,2))&lt;1,ROUND(AW41*(1+'Calc base'!K42),2),MAX('Calc base'!F$12,ROUND('Calc base'!F$13*AW41,2))))</f>
        <v>265</v>
      </c>
      <c r="N42">
        <f>IF(AX41&lt;=0,0,IF(ROUND(AX41*(1+'Calc base'!L42),2)-MAX('Calc base'!G$12,ROUND('Calc base'!G$13*AX41,2))&lt;1,ROUND(AX41*(1+'Calc base'!L42),2),MAX('Calc base'!G$12,ROUND('Calc base'!G$13*AX41,2))))</f>
        <v>45</v>
      </c>
      <c r="O42">
        <f>IF(AY41&lt;=0,0,IF(ROUND(AY41*(1+'Calc base'!M42),2)-MAX('Calc base'!H$12,ROUND('Calc base'!H$13*AY41,2))&lt;1,ROUND(AY41*(1+'Calc base'!M42),2),MAX('Calc base'!H$12,ROUND('Calc base'!H$13*AY41,2))))</f>
        <v>50</v>
      </c>
      <c r="P42">
        <f>IF(AZ41&lt;=0,0,IF(ROUND(AZ41*(1+'Calc base'!N42),2)-MAX('Calc base'!I$12,ROUND('Calc base'!I$13*AZ41,2))&lt;1,ROUND(AZ41*(1+'Calc base'!N42),2),MAX('Calc base'!I$12,ROUND('Calc base'!I$13*AZ41,2))))</f>
        <v>0</v>
      </c>
      <c r="Q42">
        <f>IF(BA41&lt;=0,0,IF(ROUND(BA41*(1+'Calc base'!O42),2)-MAX('Calc base'!J$12,ROUND('Calc base'!J$13*BA41,2))&lt;1,ROUND(BA41*(1+'Calc base'!O42),2),MAX('Calc base'!J$12,ROUND('Calc base'!J$13*BA41,2))))</f>
        <v>0</v>
      </c>
      <c r="R42">
        <f>IF(BB41&lt;=0,0,IF(ROUND(BB41*(1+'Calc base'!P42),2)-MAX('Calc base'!K$12,ROUND('Calc base'!K$13*BB41,2))&lt;1,ROUND(BB41*(1+'Calc base'!P42),2),MAX('Calc base'!K$12,ROUND('Calc base'!K$13*BB41,2))))</f>
        <v>0</v>
      </c>
      <c r="S42">
        <f>IF(BC41&lt;=0,0,IF(ROUND(BC41*(1+'Calc base'!Q42),2)-MAX('Calc base'!L$12,ROUND('Calc base'!L$13*BC41,2))&lt;1,ROUND(BC41*(1+'Calc base'!Q42),2),MAX('Calc base'!L$12,ROUND('Calc base'!L$13*BC41,2))))</f>
        <v>0</v>
      </c>
      <c r="T42">
        <f>IF(BD41&lt;=0,0,IF(ROUND(BD41*(1+'Calc base'!R42),2)-MAX('Calc base'!M$12,ROUND('Calc base'!M$13*BD41,2))&lt;1,ROUND(BD41*(1+'Calc base'!R42),2),MAX('Calc base'!M$12,ROUND('Calc base'!M$13*BD41,2))))</f>
        <v>0</v>
      </c>
      <c r="U42">
        <f>IF(BE41&lt;=0,0,IF(ROUND(BE41*(1+'Calc base'!S42),2)-MAX('Calc base'!N$12,ROUND('Calc base'!N$13*BE41,2))&lt;1,ROUND(BE41*(1+'Calc base'!S42),2),MAX('Calc base'!N$12,ROUND('Calc base'!N$13*BE41,2))))</f>
        <v>0</v>
      </c>
      <c r="V42">
        <f>MAX(0,ROUND(AT41*(1+'Calc base'!H42),2)-J42-'Calc base'!T42)</f>
        <v>0</v>
      </c>
      <c r="W42">
        <f>MAX(0,ROUND(AU41*(1+'Calc base'!I42),2)-K42-'Calc base'!U42)</f>
        <v>0</v>
      </c>
      <c r="X42">
        <f>MAX(0,ROUND(AV41*(1+'Calc base'!J42),2)-L42-'Calc base'!V42)</f>
        <v>4192.06</v>
      </c>
      <c r="Y42">
        <f>MAX(0,ROUND(AW41*(1+'Calc base'!K42),2)-M42-'Calc base'!W42)</f>
        <v>6851.21</v>
      </c>
      <c r="Z42">
        <f>MAX(0,ROUND(AX41*(1+'Calc base'!L42),2)-N42-'Calc base'!X42)</f>
        <v>0</v>
      </c>
      <c r="AA42">
        <f>MAX(0,ROUND(AY41*(1+'Calc base'!M42),2)-O42-'Calc base'!Y42)</f>
        <v>900</v>
      </c>
      <c r="AB42">
        <f>MAX(0,ROUND(AZ41*(1+'Calc base'!N42),2)-P42-'Calc base'!Z42)</f>
        <v>0</v>
      </c>
      <c r="AC42">
        <f>MAX(0,ROUND(BA41*(1+'Calc base'!O42),2)-Q42-'Calc base'!AA42)</f>
        <v>0</v>
      </c>
      <c r="AD42">
        <f>MAX(0,ROUND(BB41*(1+'Calc base'!P42),2)-R42-'Calc base'!AB42)</f>
        <v>0</v>
      </c>
      <c r="AE42">
        <f>MAX(0,ROUND(BC41*(1+'Calc base'!Q42),2)-S42-'Calc base'!AC42)</f>
        <v>0</v>
      </c>
      <c r="AF42">
        <f>MAX(0,ROUND(BD41*(1+'Calc base'!R42),2)-T42-'Calc base'!AD42)</f>
        <v>0</v>
      </c>
      <c r="AG42">
        <f>MAX(0,ROUND(BE41*(1+'Calc base'!S42),2)-U42-'Calc base'!AE42)</f>
        <v>0</v>
      </c>
      <c r="AH42">
        <f>IF('Calc base'!C$14=0,0,MIN(V42,MAX(0,$E42-SUMPRODUCT($V42:$AG42,'Calc base'!$C$14:$N$14,('Calc base'!$H42:$S42&gt;'Calc base'!H42)+('Calc base'!$H42:$S42='Calc base'!H42)*('Calc base'!$C$17:$N$17&lt;'Calc base'!C$17)))))</f>
        <v>0</v>
      </c>
      <c r="AI42">
        <f>IF('Calc base'!D$14=0,0,MIN(W42,MAX(0,$E42-SUMPRODUCT($V42:$AG42,'Calc base'!$C$14:$N$14,('Calc base'!$H42:$S42&gt;'Calc base'!I42)+('Calc base'!$H42:$S42='Calc base'!I42)*('Calc base'!$C$17:$N$17&lt;'Calc base'!D$17)))))</f>
        <v>0</v>
      </c>
      <c r="AJ42">
        <f>IF('Calc base'!E$14=0,0,MIN(X42,MAX(0,$E42-SUMPRODUCT($V42:$AG42,'Calc base'!$C$14:$N$14,('Calc base'!$H42:$S42&gt;'Calc base'!J42)+('Calc base'!$H42:$S42='Calc base'!J42)*('Calc base'!$C$17:$N$17&lt;'Calc base'!E$17)))))</f>
        <v>330</v>
      </c>
      <c r="AK42">
        <f>IF('Calc base'!F$14=0,0,MIN(Y42,MAX(0,$E42-SUMPRODUCT($V42:$AG42,'Calc base'!$C$14:$N$14,('Calc base'!$H42:$S42&gt;'Calc base'!K42)+('Calc base'!$H42:$S42='Calc base'!K42)*('Calc base'!$C$17:$N$17&lt;'Calc base'!F$17)))))</f>
        <v>0</v>
      </c>
      <c r="AL42">
        <f>IF('Calc base'!G$14=0,0,MIN(Z42,MAX(0,$E42-SUMPRODUCT($V42:$AG42,'Calc base'!$C$14:$N$14,('Calc base'!$H42:$S42&gt;'Calc base'!L42)+('Calc base'!$H42:$S42='Calc base'!L42)*('Calc base'!$C$17:$N$17&lt;'Calc base'!G$17)))))</f>
        <v>0</v>
      </c>
      <c r="AM42">
        <f>IF('Calc base'!H$14=0,0,MIN(AA42,MAX(0,$E42-SUMPRODUCT($V42:$AG42,'Calc base'!$C$14:$N$14,('Calc base'!$H42:$S42&gt;'Calc base'!M42)+('Calc base'!$H42:$S42='Calc base'!M42)*('Calc base'!$C$17:$N$17&lt;'Calc base'!H$17)))))</f>
        <v>0</v>
      </c>
      <c r="AN42">
        <f>IF('Calc base'!I$14=0,0,MIN(AB42,MAX(0,$E42-SUMPRODUCT($V42:$AG42,'Calc base'!$C$14:$N$14,('Calc base'!$H42:$S42&gt;'Calc base'!N42)+('Calc base'!$H42:$S42='Calc base'!N42)*('Calc base'!$C$17:$N$17&lt;'Calc base'!I$17)))))</f>
        <v>0</v>
      </c>
      <c r="AO42">
        <f>IF('Calc base'!J$14=0,0,MIN(AC42,MAX(0,$E42-SUMPRODUCT($V42:$AG42,'Calc base'!$C$14:$N$14,('Calc base'!$H42:$S42&gt;'Calc base'!O42)+('Calc base'!$H42:$S42='Calc base'!O42)*('Calc base'!$C$17:$N$17&lt;'Calc base'!J$17)))))</f>
        <v>0</v>
      </c>
      <c r="AP42">
        <f>IF('Calc base'!K$14=0,0,MIN(AD42,MAX(0,$E42-SUMPRODUCT($V42:$AG42,'Calc base'!$C$14:$N$14,('Calc base'!$H42:$S42&gt;'Calc base'!P42)+('Calc base'!$H42:$S42='Calc base'!P42)*('Calc base'!$C$17:$N$17&lt;'Calc base'!K$17)))))</f>
        <v>0</v>
      </c>
      <c r="AQ42">
        <f>IF('Calc base'!L$14=0,0,MIN(AE42,MAX(0,$E42-SUMPRODUCT($V42:$AG42,'Calc base'!$C$14:$N$14,('Calc base'!$H42:$S42&gt;'Calc base'!Q42)+('Calc base'!$H42:$S42='Calc base'!Q42)*('Calc base'!$C$17:$N$17&lt;'Calc base'!L$17)))))</f>
        <v>0</v>
      </c>
      <c r="AR42">
        <f>IF('Calc base'!M$14=0,0,MIN(AF42,MAX(0,$E42-SUMPRODUCT($V42:$AG42,'Calc base'!$C$14:$N$14,('Calc base'!$H42:$S42&gt;'Calc base'!R42)+('Calc base'!$H42:$S42='Calc base'!R42)*('Calc base'!$C$17:$N$17&lt;'Calc base'!M$17)))))</f>
        <v>0</v>
      </c>
      <c r="AS42">
        <f>IF('Calc base'!N$14=0,0,MIN(AG42,MAX(0,$E42-SUMPRODUCT($V42:$AG42,'Calc base'!$C$14:$N$14,('Calc base'!$H42:$S42&gt;'Calc base'!S42)+('Calc base'!$H42:$S42='Calc base'!S42)*('Calc base'!$C$17:$N$17&lt;'Calc base'!N$17)))))</f>
        <v>0</v>
      </c>
      <c r="AT42">
        <f>V42-AH42</f>
        <v>0</v>
      </c>
      <c r="AU42">
        <f>W42-AI42</f>
        <v>0</v>
      </c>
      <c r="AV42">
        <f>X42-AJ42</f>
        <v>3862.06</v>
      </c>
      <c r="AW42">
        <f>Y42-AK42</f>
        <v>6851.21</v>
      </c>
      <c r="AX42">
        <f>Z42-AL42</f>
        <v>0</v>
      </c>
      <c r="AY42">
        <f>AA42-AM42</f>
        <v>900</v>
      </c>
      <c r="AZ42">
        <f>AB42-AN42</f>
        <v>0</v>
      </c>
      <c r="BA42">
        <f>AC42-AO42</f>
        <v>0</v>
      </c>
      <c r="BB42">
        <f>AD42-AP42</f>
        <v>0</v>
      </c>
      <c r="BC42">
        <f>AE42-AQ42</f>
        <v>0</v>
      </c>
      <c r="BD42">
        <f>AF42-AR42</f>
        <v>0</v>
      </c>
      <c r="BE42">
        <f>AG42-AS42</f>
        <v>0</v>
      </c>
    </row>
    <row r="43">
      <c r="A43" t="n">
        <v>13</v>
      </c>
      <c r="B43">
        <f>SUMPRODUCT(ROUND($AT42:$BE42*(1+'Calc base'!$H43:$S43),2))</f>
        <v>11679.42</v>
      </c>
      <c r="C43">
        <f>SUM(J43:U43)</f>
        <v>525</v>
      </c>
      <c r="D43">
        <f>SUM(V43:AG43)</f>
        <v>11154.42</v>
      </c>
      <c r="E43">
        <f>MAX(0,IF(Impostazioni!$B$7="No",'Calc base'!$C43-$C$31,'Calc base'!$C43-C43)+'Calc base'!$G43+'Calc base'!$F43-(B43-C43-D43))</f>
        <v>375</v>
      </c>
      <c r="F43">
        <f>SUM(AH43:AS43)</f>
        <v>375</v>
      </c>
      <c r="G43">
        <f>SUM(AT43:BE43)</f>
        <v>10779.42</v>
      </c>
      <c r="H43">
        <f>B43-G42</f>
        <v>66.1499999999996</v>
      </c>
      <c r="I43">
        <f>B43-G43</f>
        <v>900</v>
      </c>
      <c r="J43">
        <f>IF(AT42&lt;=0,0,IF(ROUND(AT42*(1+'Calc base'!H43),2)-MAX('Calc base'!C$12,ROUND('Calc base'!C$13*AT42,2))&lt;1,ROUND(AT42*(1+'Calc base'!H43),2),MAX('Calc base'!C$12,ROUND('Calc base'!C$13*AT42,2))))</f>
        <v>0</v>
      </c>
      <c r="K43">
        <f>IF(AU42&lt;=0,0,IF(ROUND(AU42*(1+'Calc base'!I43),2)-MAX('Calc base'!D$12,ROUND('Calc base'!D$13*AU42,2))&lt;1,ROUND(AU42*(1+'Calc base'!I43),2),MAX('Calc base'!D$12,ROUND('Calc base'!D$13*AU42,2))))</f>
        <v>0</v>
      </c>
      <c r="L43">
        <f>IF(AV42&lt;=0,0,IF(ROUND(AV42*(1+'Calc base'!J43),2)-MAX('Calc base'!E$12,ROUND('Calc base'!E$13*AV42,2))&lt;1,ROUND(AV42*(1+'Calc base'!J43),2),MAX('Calc base'!E$12,ROUND('Calc base'!E$13*AV42,2))))</f>
        <v>210</v>
      </c>
      <c r="M43">
        <f>IF(AW42&lt;=0,0,IF(ROUND(AW42*(1+'Calc base'!K43),2)-MAX('Calc base'!F$12,ROUND('Calc base'!F$13*AW42,2))&lt;1,ROUND(AW42*(1+'Calc base'!K43),2),MAX('Calc base'!F$12,ROUND('Calc base'!F$13*AW42,2))))</f>
        <v>265</v>
      </c>
      <c r="N43">
        <f>IF(AX42&lt;=0,0,IF(ROUND(AX42*(1+'Calc base'!L43),2)-MAX('Calc base'!G$12,ROUND('Calc base'!G$13*AX42,2))&lt;1,ROUND(AX42*(1+'Calc base'!L43),2),MAX('Calc base'!G$12,ROUND('Calc base'!G$13*AX42,2))))</f>
        <v>0</v>
      </c>
      <c r="O43">
        <f>IF(AY42&lt;=0,0,IF(ROUND(AY42*(1+'Calc base'!M43),2)-MAX('Calc base'!H$12,ROUND('Calc base'!H$13*AY42,2))&lt;1,ROUND(AY42*(1+'Calc base'!M43),2),MAX('Calc base'!H$12,ROUND('Calc base'!H$13*AY42,2))))</f>
        <v>50</v>
      </c>
      <c r="P43">
        <f>IF(AZ42&lt;=0,0,IF(ROUND(AZ42*(1+'Calc base'!N43),2)-MAX('Calc base'!I$12,ROUND('Calc base'!I$13*AZ42,2))&lt;1,ROUND(AZ42*(1+'Calc base'!N43),2),MAX('Calc base'!I$12,ROUND('Calc base'!I$13*AZ42,2))))</f>
        <v>0</v>
      </c>
      <c r="Q43">
        <f>IF(BA42&lt;=0,0,IF(ROUND(BA42*(1+'Calc base'!O43),2)-MAX('Calc base'!J$12,ROUND('Calc base'!J$13*BA42,2))&lt;1,ROUND(BA42*(1+'Calc base'!O43),2),MAX('Calc base'!J$12,ROUND('Calc base'!J$13*BA42,2))))</f>
        <v>0</v>
      </c>
      <c r="R43">
        <f>IF(BB42&lt;=0,0,IF(ROUND(BB42*(1+'Calc base'!P43),2)-MAX('Calc base'!K$12,ROUND('Calc base'!K$13*BB42,2))&lt;1,ROUND(BB42*(1+'Calc base'!P43),2),MAX('Calc base'!K$12,ROUND('Calc base'!K$13*BB42,2))))</f>
        <v>0</v>
      </c>
      <c r="S43">
        <f>IF(BC42&lt;=0,0,IF(ROUND(BC42*(1+'Calc base'!Q43),2)-MAX('Calc base'!L$12,ROUND('Calc base'!L$13*BC42,2))&lt;1,ROUND(BC42*(1+'Calc base'!Q43),2),MAX('Calc base'!L$12,ROUND('Calc base'!L$13*BC42,2))))</f>
        <v>0</v>
      </c>
      <c r="T43">
        <f>IF(BD42&lt;=0,0,IF(ROUND(BD42*(1+'Calc base'!R43),2)-MAX('Calc base'!M$12,ROUND('Calc base'!M$13*BD42,2))&lt;1,ROUND(BD42*(1+'Calc base'!R43),2),MAX('Calc base'!M$12,ROUND('Calc base'!M$13*BD42,2))))</f>
        <v>0</v>
      </c>
      <c r="U43">
        <f>IF(BE42&lt;=0,0,IF(ROUND(BE42*(1+'Calc base'!S43),2)-MAX('Calc base'!N$12,ROUND('Calc base'!N$13*BE42,2))&lt;1,ROUND(BE42*(1+'Calc base'!S43),2),MAX('Calc base'!N$12,ROUND('Calc base'!N$13*BE42,2))))</f>
        <v>0</v>
      </c>
      <c r="V43">
        <f>MAX(0,ROUND(AT42*(1+'Calc base'!H43),2)-J43-'Calc base'!T43)</f>
        <v>0</v>
      </c>
      <c r="W43">
        <f>MAX(0,ROUND(AU42*(1+'Calc base'!I43),2)-K43-'Calc base'!U43)</f>
        <v>0</v>
      </c>
      <c r="X43">
        <f>MAX(0,ROUND(AV42*(1+'Calc base'!J43),2)-L43-'Calc base'!V43)</f>
        <v>3681.67</v>
      </c>
      <c r="Y43">
        <f>MAX(0,ROUND(AW42*(1+'Calc base'!K43),2)-M43-'Calc base'!W43)</f>
        <v>6622.75</v>
      </c>
      <c r="Z43">
        <f>MAX(0,ROUND(AX42*(1+'Calc base'!L43),2)-N43-'Calc base'!X43)</f>
        <v>0</v>
      </c>
      <c r="AA43">
        <f>MAX(0,ROUND(AY42*(1+'Calc base'!M43),2)-O43-'Calc base'!Y43)</f>
        <v>850</v>
      </c>
      <c r="AB43">
        <f>MAX(0,ROUND(AZ42*(1+'Calc base'!N43),2)-P43-'Calc base'!Z43)</f>
        <v>0</v>
      </c>
      <c r="AC43">
        <f>MAX(0,ROUND(BA42*(1+'Calc base'!O43),2)-Q43-'Calc base'!AA43)</f>
        <v>0</v>
      </c>
      <c r="AD43">
        <f>MAX(0,ROUND(BB42*(1+'Calc base'!P43),2)-R43-'Calc base'!AB43)</f>
        <v>0</v>
      </c>
      <c r="AE43">
        <f>MAX(0,ROUND(BC42*(1+'Calc base'!Q43),2)-S43-'Calc base'!AC43)</f>
        <v>0</v>
      </c>
      <c r="AF43">
        <f>MAX(0,ROUND(BD42*(1+'Calc base'!R43),2)-T43-'Calc base'!AD43)</f>
        <v>0</v>
      </c>
      <c r="AG43">
        <f>MAX(0,ROUND(BE42*(1+'Calc base'!S43),2)-U43-'Calc base'!AE43)</f>
        <v>0</v>
      </c>
      <c r="AH43">
        <f>IF('Calc base'!C$14=0,0,MIN(V43,MAX(0,$E43-SUMPRODUCT($V43:$AG43,'Calc base'!$C$14:$N$14,('Calc base'!$H43:$S43&gt;'Calc base'!H43)+('Calc base'!$H43:$S43='Calc base'!H43)*('Calc base'!$C$17:$N$17&lt;'Calc base'!C$17)))))</f>
        <v>0</v>
      </c>
      <c r="AI43">
        <f>IF('Calc base'!D$14=0,0,MIN(W43,MAX(0,$E43-SUMPRODUCT($V43:$AG43,'Calc base'!$C$14:$N$14,('Calc base'!$H43:$S43&gt;'Calc base'!I43)+('Calc base'!$H43:$S43='Calc base'!I43)*('Calc base'!$C$17:$N$17&lt;'Calc base'!D$17)))))</f>
        <v>0</v>
      </c>
      <c r="AJ43">
        <f>IF('Calc base'!E$14=0,0,MIN(X43,MAX(0,$E43-SUMPRODUCT($V43:$AG43,'Calc base'!$C$14:$N$14,('Calc base'!$H43:$S43&gt;'Calc base'!J43)+('Calc base'!$H43:$S43='Calc base'!J43)*('Calc base'!$C$17:$N$17&lt;'Calc base'!E$17)))))</f>
        <v>375</v>
      </c>
      <c r="AK43">
        <f>IF('Calc base'!F$14=0,0,MIN(Y43,MAX(0,$E43-SUMPRODUCT($V43:$AG43,'Calc base'!$C$14:$N$14,('Calc base'!$H43:$S43&gt;'Calc base'!K43)+('Calc base'!$H43:$S43='Calc base'!K43)*('Calc base'!$C$17:$N$17&lt;'Calc base'!F$17)))))</f>
        <v>0</v>
      </c>
      <c r="AL43">
        <f>IF('Calc base'!G$14=0,0,MIN(Z43,MAX(0,$E43-SUMPRODUCT($V43:$AG43,'Calc base'!$C$14:$N$14,('Calc base'!$H43:$S43&gt;'Calc base'!L43)+('Calc base'!$H43:$S43='Calc base'!L43)*('Calc base'!$C$17:$N$17&lt;'Calc base'!G$17)))))</f>
        <v>0</v>
      </c>
      <c r="AM43">
        <f>IF('Calc base'!H$14=0,0,MIN(AA43,MAX(0,$E43-SUMPRODUCT($V43:$AG43,'Calc base'!$C$14:$N$14,('Calc base'!$H43:$S43&gt;'Calc base'!M43)+('Calc base'!$H43:$S43='Calc base'!M43)*('Calc base'!$C$17:$N$17&lt;'Calc base'!H$17)))))</f>
        <v>0</v>
      </c>
      <c r="AN43">
        <f>IF('Calc base'!I$14=0,0,MIN(AB43,MAX(0,$E43-SUMPRODUCT($V43:$AG43,'Calc base'!$C$14:$N$14,('Calc base'!$H43:$S43&gt;'Calc base'!N43)+('Calc base'!$H43:$S43='Calc base'!N43)*('Calc base'!$C$17:$N$17&lt;'Calc base'!I$17)))))</f>
        <v>0</v>
      </c>
      <c r="AO43">
        <f>IF('Calc base'!J$14=0,0,MIN(AC43,MAX(0,$E43-SUMPRODUCT($V43:$AG43,'Calc base'!$C$14:$N$14,('Calc base'!$H43:$S43&gt;'Calc base'!O43)+('Calc base'!$H43:$S43='Calc base'!O43)*('Calc base'!$C$17:$N$17&lt;'Calc base'!J$17)))))</f>
        <v>0</v>
      </c>
      <c r="AP43">
        <f>IF('Calc base'!K$14=0,0,MIN(AD43,MAX(0,$E43-SUMPRODUCT($V43:$AG43,'Calc base'!$C$14:$N$14,('Calc base'!$H43:$S43&gt;'Calc base'!P43)+('Calc base'!$H43:$S43='Calc base'!P43)*('Calc base'!$C$17:$N$17&lt;'Calc base'!K$17)))))</f>
        <v>0</v>
      </c>
      <c r="AQ43">
        <f>IF('Calc base'!L$14=0,0,MIN(AE43,MAX(0,$E43-SUMPRODUCT($V43:$AG43,'Calc base'!$C$14:$N$14,('Calc base'!$H43:$S43&gt;'Calc base'!Q43)+('Calc base'!$H43:$S43='Calc base'!Q43)*('Calc base'!$C$17:$N$17&lt;'Calc base'!L$17)))))</f>
        <v>0</v>
      </c>
      <c r="AR43">
        <f>IF('Calc base'!M$14=0,0,MIN(AF43,MAX(0,$E43-SUMPRODUCT($V43:$AG43,'Calc base'!$C$14:$N$14,('Calc base'!$H43:$S43&gt;'Calc base'!R43)+('Calc base'!$H43:$S43='Calc base'!R43)*('Calc base'!$C$17:$N$17&lt;'Calc base'!M$17)))))</f>
        <v>0</v>
      </c>
      <c r="AS43">
        <f>IF('Calc base'!N$14=0,0,MIN(AG43,MAX(0,$E43-SUMPRODUCT($V43:$AG43,'Calc base'!$C$14:$N$14,('Calc base'!$H43:$S43&gt;'Calc base'!S43)+('Calc base'!$H43:$S43='Calc base'!S43)*('Calc base'!$C$17:$N$17&lt;'Calc base'!N$17)))))</f>
        <v>0</v>
      </c>
      <c r="AT43">
        <f>V43-AH43</f>
        <v>0</v>
      </c>
      <c r="AU43">
        <f>W43-AI43</f>
        <v>0</v>
      </c>
      <c r="AV43">
        <f>X43-AJ43</f>
        <v>3306.67</v>
      </c>
      <c r="AW43">
        <f>Y43-AK43</f>
        <v>6622.75</v>
      </c>
      <c r="AX43">
        <f>Z43-AL43</f>
        <v>0</v>
      </c>
      <c r="AY43">
        <f>AA43-AM43</f>
        <v>850</v>
      </c>
      <c r="AZ43">
        <f>AB43-AN43</f>
        <v>0</v>
      </c>
      <c r="BA43">
        <f>AC43-AO43</f>
        <v>0</v>
      </c>
      <c r="BB43">
        <f>AD43-AP43</f>
        <v>0</v>
      </c>
      <c r="BC43">
        <f>AE43-AQ43</f>
        <v>0</v>
      </c>
      <c r="BD43">
        <f>AF43-AR43</f>
        <v>0</v>
      </c>
      <c r="BE43">
        <f>AG43-AS43</f>
        <v>0</v>
      </c>
    </row>
    <row r="44">
      <c r="A44" t="n">
        <v>14</v>
      </c>
      <c r="B44">
        <f>SUMPRODUCT(ROUND($AT43:$BE43*(1+'Calc base'!$H44:$S44),2))</f>
        <v>10840.09</v>
      </c>
      <c r="C44">
        <f>SUM(J44:U44)</f>
        <v>525</v>
      </c>
      <c r="D44">
        <f>SUM(V44:AG44)</f>
        <v>10315.09</v>
      </c>
      <c r="E44">
        <f>MAX(0,IF(Impostazioni!$B$7="No",'Calc base'!$C44-$C$31,'Calc base'!$C44-C44)+'Calc base'!$G44+'Calc base'!$F44-(B44-C44-D44))</f>
        <v>975</v>
      </c>
      <c r="F44">
        <f>SUM(AH44:AS44)</f>
        <v>975</v>
      </c>
      <c r="G44">
        <f>SUM(AT44:BE44)</f>
        <v>9340.09</v>
      </c>
      <c r="H44">
        <f>B44-G43</f>
        <v>60.6700000000001</v>
      </c>
      <c r="I44">
        <f>B44-G44</f>
        <v>1500</v>
      </c>
      <c r="J44">
        <f>IF(AT43&lt;=0,0,IF(ROUND(AT43*(1+'Calc base'!H44),2)-MAX('Calc base'!C$12,ROUND('Calc base'!C$13*AT43,2))&lt;1,ROUND(AT43*(1+'Calc base'!H44),2),MAX('Calc base'!C$12,ROUND('Calc base'!C$13*AT43,2))))</f>
        <v>0</v>
      </c>
      <c r="K44">
        <f>IF(AU43&lt;=0,0,IF(ROUND(AU43*(1+'Calc base'!I44),2)-MAX('Calc base'!D$12,ROUND('Calc base'!D$13*AU43,2))&lt;1,ROUND(AU43*(1+'Calc base'!I44),2),MAX('Calc base'!D$12,ROUND('Calc base'!D$13*AU43,2))))</f>
        <v>0</v>
      </c>
      <c r="L44">
        <f>IF(AV43&lt;=0,0,IF(ROUND(AV43*(1+'Calc base'!J44),2)-MAX('Calc base'!E$12,ROUND('Calc base'!E$13*AV43,2))&lt;1,ROUND(AV43*(1+'Calc base'!J44),2),MAX('Calc base'!E$12,ROUND('Calc base'!E$13*AV43,2))))</f>
        <v>210</v>
      </c>
      <c r="M44">
        <f>IF(AW43&lt;=0,0,IF(ROUND(AW43*(1+'Calc base'!K44),2)-MAX('Calc base'!F$12,ROUND('Calc base'!F$13*AW43,2))&lt;1,ROUND(AW43*(1+'Calc base'!K44),2),MAX('Calc base'!F$12,ROUND('Calc base'!F$13*AW43,2))))</f>
        <v>265</v>
      </c>
      <c r="N44">
        <f>IF(AX43&lt;=0,0,IF(ROUND(AX43*(1+'Calc base'!L44),2)-MAX('Calc base'!G$12,ROUND('Calc base'!G$13*AX43,2))&lt;1,ROUND(AX43*(1+'Calc base'!L44),2),MAX('Calc base'!G$12,ROUND('Calc base'!G$13*AX43,2))))</f>
        <v>0</v>
      </c>
      <c r="O44">
        <f>IF(AY43&lt;=0,0,IF(ROUND(AY43*(1+'Calc base'!M44),2)-MAX('Calc base'!H$12,ROUND('Calc base'!H$13*AY43,2))&lt;1,ROUND(AY43*(1+'Calc base'!M44),2),MAX('Calc base'!H$12,ROUND('Calc base'!H$13*AY43,2))))</f>
        <v>50</v>
      </c>
      <c r="P44">
        <f>IF(AZ43&lt;=0,0,IF(ROUND(AZ43*(1+'Calc base'!N44),2)-MAX('Calc base'!I$12,ROUND('Calc base'!I$13*AZ43,2))&lt;1,ROUND(AZ43*(1+'Calc base'!N44),2),MAX('Calc base'!I$12,ROUND('Calc base'!I$13*AZ43,2))))</f>
        <v>0</v>
      </c>
      <c r="Q44">
        <f>IF(BA43&lt;=0,0,IF(ROUND(BA43*(1+'Calc base'!O44),2)-MAX('Calc base'!J$12,ROUND('Calc base'!J$13*BA43,2))&lt;1,ROUND(BA43*(1+'Calc base'!O44),2),MAX('Calc base'!J$12,ROUND('Calc base'!J$13*BA43,2))))</f>
        <v>0</v>
      </c>
      <c r="R44">
        <f>IF(BB43&lt;=0,0,IF(ROUND(BB43*(1+'Calc base'!P44),2)-MAX('Calc base'!K$12,ROUND('Calc base'!K$13*BB43,2))&lt;1,ROUND(BB43*(1+'Calc base'!P44),2),MAX('Calc base'!K$12,ROUND('Calc base'!K$13*BB43,2))))</f>
        <v>0</v>
      </c>
      <c r="S44">
        <f>IF(BC43&lt;=0,0,IF(ROUND(BC43*(1+'Calc base'!Q44),2)-MAX('Calc base'!L$12,ROUND('Calc base'!L$13*BC43,2))&lt;1,ROUND(BC43*(1+'Calc base'!Q44),2),MAX('Calc base'!L$12,ROUND('Calc base'!L$13*BC43,2))))</f>
        <v>0</v>
      </c>
      <c r="T44">
        <f>IF(BD43&lt;=0,0,IF(ROUND(BD43*(1+'Calc base'!R44),2)-MAX('Calc base'!M$12,ROUND('Calc base'!M$13*BD43,2))&lt;1,ROUND(BD43*(1+'Calc base'!R44),2),MAX('Calc base'!M$12,ROUND('Calc base'!M$13*BD43,2))))</f>
        <v>0</v>
      </c>
      <c r="U44">
        <f>IF(BE43&lt;=0,0,IF(ROUND(BE43*(1+'Calc base'!S44),2)-MAX('Calc base'!N$12,ROUND('Calc base'!N$13*BE43,2))&lt;1,ROUND(BE43*(1+'Calc base'!S44),2),MAX('Calc base'!N$12,ROUND('Calc base'!N$13*BE43,2))))</f>
        <v>0</v>
      </c>
      <c r="V44">
        <f>MAX(0,ROUND(AT43*(1+'Calc base'!H44),2)-J44-'Calc base'!T44)</f>
        <v>0</v>
      </c>
      <c r="W44">
        <f>MAX(0,ROUND(AU43*(1+'Calc base'!I44),2)-K44-'Calc base'!U44)</f>
        <v>0</v>
      </c>
      <c r="X44">
        <f>MAX(0,ROUND(AV43*(1+'Calc base'!J44),2)-L44-'Calc base'!V44)</f>
        <v>3122.02</v>
      </c>
      <c r="Y44">
        <f>MAX(0,ROUND(AW43*(1+'Calc base'!K44),2)-M44-'Calc base'!W44)</f>
        <v>6393.07</v>
      </c>
      <c r="Z44">
        <f>MAX(0,ROUND(AX43*(1+'Calc base'!L44),2)-N44-'Calc base'!X44)</f>
        <v>0</v>
      </c>
      <c r="AA44">
        <f>MAX(0,ROUND(AY43*(1+'Calc base'!M44),2)-O44-'Calc base'!Y44)</f>
        <v>800</v>
      </c>
      <c r="AB44">
        <f>MAX(0,ROUND(AZ43*(1+'Calc base'!N44),2)-P44-'Calc base'!Z44)</f>
        <v>0</v>
      </c>
      <c r="AC44">
        <f>MAX(0,ROUND(BA43*(1+'Calc base'!O44),2)-Q44-'Calc base'!AA44)</f>
        <v>0</v>
      </c>
      <c r="AD44">
        <f>MAX(0,ROUND(BB43*(1+'Calc base'!P44),2)-R44-'Calc base'!AB44)</f>
        <v>0</v>
      </c>
      <c r="AE44">
        <f>MAX(0,ROUND(BC43*(1+'Calc base'!Q44),2)-S44-'Calc base'!AC44)</f>
        <v>0</v>
      </c>
      <c r="AF44">
        <f>MAX(0,ROUND(BD43*(1+'Calc base'!R44),2)-T44-'Calc base'!AD44)</f>
        <v>0</v>
      </c>
      <c r="AG44">
        <f>MAX(0,ROUND(BE43*(1+'Calc base'!S44),2)-U44-'Calc base'!AE44)</f>
        <v>0</v>
      </c>
      <c r="AH44">
        <f>IF('Calc base'!C$14=0,0,MIN(V44,MAX(0,$E44-SUMPRODUCT($V44:$AG44,'Calc base'!$C$14:$N$14,('Calc base'!$H44:$S44&gt;'Calc base'!H44)+('Calc base'!$H44:$S44='Calc base'!H44)*('Calc base'!$C$17:$N$17&lt;'Calc base'!C$17)))))</f>
        <v>0</v>
      </c>
      <c r="AI44">
        <f>IF('Calc base'!D$14=0,0,MIN(W44,MAX(0,$E44-SUMPRODUCT($V44:$AG44,'Calc base'!$C$14:$N$14,('Calc base'!$H44:$S44&gt;'Calc base'!I44)+('Calc base'!$H44:$S44='Calc base'!I44)*('Calc base'!$C$17:$N$17&lt;'Calc base'!D$17)))))</f>
        <v>0</v>
      </c>
      <c r="AJ44">
        <f>IF('Calc base'!E$14=0,0,MIN(X44,MAX(0,$E44-SUMPRODUCT($V44:$AG44,'Calc base'!$C$14:$N$14,('Calc base'!$H44:$S44&gt;'Calc base'!J44)+('Calc base'!$H44:$S44='Calc base'!J44)*('Calc base'!$C$17:$N$17&lt;'Calc base'!E$17)))))</f>
        <v>975</v>
      </c>
      <c r="AK44">
        <f>IF('Calc base'!F$14=0,0,MIN(Y44,MAX(0,$E44-SUMPRODUCT($V44:$AG44,'Calc base'!$C$14:$N$14,('Calc base'!$H44:$S44&gt;'Calc base'!K44)+('Calc base'!$H44:$S44='Calc base'!K44)*('Calc base'!$C$17:$N$17&lt;'Calc base'!F$17)))))</f>
        <v>0</v>
      </c>
      <c r="AL44">
        <f>IF('Calc base'!G$14=0,0,MIN(Z44,MAX(0,$E44-SUMPRODUCT($V44:$AG44,'Calc base'!$C$14:$N$14,('Calc base'!$H44:$S44&gt;'Calc base'!L44)+('Calc base'!$H44:$S44='Calc base'!L44)*('Calc base'!$C$17:$N$17&lt;'Calc base'!G$17)))))</f>
        <v>0</v>
      </c>
      <c r="AM44">
        <f>IF('Calc base'!H$14=0,0,MIN(AA44,MAX(0,$E44-SUMPRODUCT($V44:$AG44,'Calc base'!$C$14:$N$14,('Calc base'!$H44:$S44&gt;'Calc base'!M44)+('Calc base'!$H44:$S44='Calc base'!M44)*('Calc base'!$C$17:$N$17&lt;'Calc base'!H$17)))))</f>
        <v>0</v>
      </c>
      <c r="AN44">
        <f>IF('Calc base'!I$14=0,0,MIN(AB44,MAX(0,$E44-SUMPRODUCT($V44:$AG44,'Calc base'!$C$14:$N$14,('Calc base'!$H44:$S44&gt;'Calc base'!N44)+('Calc base'!$H44:$S44='Calc base'!N44)*('Calc base'!$C$17:$N$17&lt;'Calc base'!I$17)))))</f>
        <v>0</v>
      </c>
      <c r="AO44">
        <f>IF('Calc base'!J$14=0,0,MIN(AC44,MAX(0,$E44-SUMPRODUCT($V44:$AG44,'Calc base'!$C$14:$N$14,('Calc base'!$H44:$S44&gt;'Calc base'!O44)+('Calc base'!$H44:$S44='Calc base'!O44)*('Calc base'!$C$17:$N$17&lt;'Calc base'!J$17)))))</f>
        <v>0</v>
      </c>
      <c r="AP44">
        <f>IF('Calc base'!K$14=0,0,MIN(AD44,MAX(0,$E44-SUMPRODUCT($V44:$AG44,'Calc base'!$C$14:$N$14,('Calc base'!$H44:$S44&gt;'Calc base'!P44)+('Calc base'!$H44:$S44='Calc base'!P44)*('Calc base'!$C$17:$N$17&lt;'Calc base'!K$17)))))</f>
        <v>0</v>
      </c>
      <c r="AQ44">
        <f>IF('Calc base'!L$14=0,0,MIN(AE44,MAX(0,$E44-SUMPRODUCT($V44:$AG44,'Calc base'!$C$14:$N$14,('Calc base'!$H44:$S44&gt;'Calc base'!Q44)+('Calc base'!$H44:$S44='Calc base'!Q44)*('Calc base'!$C$17:$N$17&lt;'Calc base'!L$17)))))</f>
        <v>0</v>
      </c>
      <c r="AR44">
        <f>IF('Calc base'!M$14=0,0,MIN(AF44,MAX(0,$E44-SUMPRODUCT($V44:$AG44,'Calc base'!$C$14:$N$14,('Calc base'!$H44:$S44&gt;'Calc base'!R44)+('Calc base'!$H44:$S44='Calc base'!R44)*('Calc base'!$C$17:$N$17&lt;'Calc base'!M$17)))))</f>
        <v>0</v>
      </c>
      <c r="AS44">
        <f>IF('Calc base'!N$14=0,0,MIN(AG44,MAX(0,$E44-SUMPRODUCT($V44:$AG44,'Calc base'!$C$14:$N$14,('Calc base'!$H44:$S44&gt;'Calc base'!S44)+('Calc base'!$H44:$S44='Calc base'!S44)*('Calc base'!$C$17:$N$17&lt;'Calc base'!N$17)))))</f>
        <v>0</v>
      </c>
      <c r="AT44">
        <f>V44-AH44</f>
        <v>0</v>
      </c>
      <c r="AU44">
        <f>W44-AI44</f>
        <v>0</v>
      </c>
      <c r="AV44">
        <f>X44-AJ44</f>
        <v>2147.02</v>
      </c>
      <c r="AW44">
        <f>Y44-AK44</f>
        <v>6393.07</v>
      </c>
      <c r="AX44">
        <f>Z44-AL44</f>
        <v>0</v>
      </c>
      <c r="AY44">
        <f>AA44-AM44</f>
        <v>800</v>
      </c>
      <c r="AZ44">
        <f>AB44-AN44</f>
        <v>0</v>
      </c>
      <c r="BA44">
        <f>AC44-AO44</f>
        <v>0</v>
      </c>
      <c r="BB44">
        <f>AD44-AP44</f>
        <v>0</v>
      </c>
      <c r="BC44">
        <f>AE44-AQ44</f>
        <v>0</v>
      </c>
      <c r="BD44">
        <f>AF44-AR44</f>
        <v>0</v>
      </c>
      <c r="BE44">
        <f>AG44-AS44</f>
        <v>0</v>
      </c>
    </row>
    <row r="45">
      <c r="A45" t="n">
        <v>15</v>
      </c>
      <c r="B45">
        <f>SUMPRODUCT(ROUND($AT44:$BE44*(1+'Calc base'!$H45:$S45),2))</f>
        <v>9390.65</v>
      </c>
      <c r="C45">
        <f>SUM(J45:U45)</f>
        <v>525</v>
      </c>
      <c r="D45">
        <f>SUM(V45:AG45)</f>
        <v>8865.65</v>
      </c>
      <c r="E45">
        <f>MAX(0,IF(Impostazioni!$B$7="No",'Calc base'!$C45-$C$31,'Calc base'!$C45-C45)+'Calc base'!$G45+'Calc base'!$F45-(B45-C45-D45))</f>
        <v>375</v>
      </c>
      <c r="F45">
        <f>SUM(AH45:AS45)</f>
        <v>375</v>
      </c>
      <c r="G45">
        <f>SUM(AT45:BE45)</f>
        <v>8490.65</v>
      </c>
      <c r="H45">
        <f>B45-G44</f>
        <v>50.5599999999995</v>
      </c>
      <c r="I45">
        <f>B45-G45</f>
        <v>900</v>
      </c>
      <c r="J45">
        <f>IF(AT44&lt;=0,0,IF(ROUND(AT44*(1+'Calc base'!H45),2)-MAX('Calc base'!C$12,ROUND('Calc base'!C$13*AT44,2))&lt;1,ROUND(AT44*(1+'Calc base'!H45),2),MAX('Calc base'!C$12,ROUND('Calc base'!C$13*AT44,2))))</f>
        <v>0</v>
      </c>
      <c r="K45">
        <f>IF(AU44&lt;=0,0,IF(ROUND(AU44*(1+'Calc base'!I45),2)-MAX('Calc base'!D$12,ROUND('Calc base'!D$13*AU44,2))&lt;1,ROUND(AU44*(1+'Calc base'!I45),2),MAX('Calc base'!D$12,ROUND('Calc base'!D$13*AU44,2))))</f>
        <v>0</v>
      </c>
      <c r="L45">
        <f>IF(AV44&lt;=0,0,IF(ROUND(AV44*(1+'Calc base'!J45),2)-MAX('Calc base'!E$12,ROUND('Calc base'!E$13*AV44,2))&lt;1,ROUND(AV44*(1+'Calc base'!J45),2),MAX('Calc base'!E$12,ROUND('Calc base'!E$13*AV44,2))))</f>
        <v>210</v>
      </c>
      <c r="M45">
        <f>IF(AW44&lt;=0,0,IF(ROUND(AW44*(1+'Calc base'!K45),2)-MAX('Calc base'!F$12,ROUND('Calc base'!F$13*AW44,2))&lt;1,ROUND(AW44*(1+'Calc base'!K45),2),MAX('Calc base'!F$12,ROUND('Calc base'!F$13*AW44,2))))</f>
        <v>265</v>
      </c>
      <c r="N45">
        <f>IF(AX44&lt;=0,0,IF(ROUND(AX44*(1+'Calc base'!L45),2)-MAX('Calc base'!G$12,ROUND('Calc base'!G$13*AX44,2))&lt;1,ROUND(AX44*(1+'Calc base'!L45),2),MAX('Calc base'!G$12,ROUND('Calc base'!G$13*AX44,2))))</f>
        <v>0</v>
      </c>
      <c r="O45">
        <f>IF(AY44&lt;=0,0,IF(ROUND(AY44*(1+'Calc base'!M45),2)-MAX('Calc base'!H$12,ROUND('Calc base'!H$13*AY44,2))&lt;1,ROUND(AY44*(1+'Calc base'!M45),2),MAX('Calc base'!H$12,ROUND('Calc base'!H$13*AY44,2))))</f>
        <v>50</v>
      </c>
      <c r="P45">
        <f>IF(AZ44&lt;=0,0,IF(ROUND(AZ44*(1+'Calc base'!N45),2)-MAX('Calc base'!I$12,ROUND('Calc base'!I$13*AZ44,2))&lt;1,ROUND(AZ44*(1+'Calc base'!N45),2),MAX('Calc base'!I$12,ROUND('Calc base'!I$13*AZ44,2))))</f>
        <v>0</v>
      </c>
      <c r="Q45">
        <f>IF(BA44&lt;=0,0,IF(ROUND(BA44*(1+'Calc base'!O45),2)-MAX('Calc base'!J$12,ROUND('Calc base'!J$13*BA44,2))&lt;1,ROUND(BA44*(1+'Calc base'!O45),2),MAX('Calc base'!J$12,ROUND('Calc base'!J$13*BA44,2))))</f>
        <v>0</v>
      </c>
      <c r="R45">
        <f>IF(BB44&lt;=0,0,IF(ROUND(BB44*(1+'Calc base'!P45),2)-MAX('Calc base'!K$12,ROUND('Calc base'!K$13*BB44,2))&lt;1,ROUND(BB44*(1+'Calc base'!P45),2),MAX('Calc base'!K$12,ROUND('Calc base'!K$13*BB44,2))))</f>
        <v>0</v>
      </c>
      <c r="S45">
        <f>IF(BC44&lt;=0,0,IF(ROUND(BC44*(1+'Calc base'!Q45),2)-MAX('Calc base'!L$12,ROUND('Calc base'!L$13*BC44,2))&lt;1,ROUND(BC44*(1+'Calc base'!Q45),2),MAX('Calc base'!L$12,ROUND('Calc base'!L$13*BC44,2))))</f>
        <v>0</v>
      </c>
      <c r="T45">
        <f>IF(BD44&lt;=0,0,IF(ROUND(BD44*(1+'Calc base'!R45),2)-MAX('Calc base'!M$12,ROUND('Calc base'!M$13*BD44,2))&lt;1,ROUND(BD44*(1+'Calc base'!R45),2),MAX('Calc base'!M$12,ROUND('Calc base'!M$13*BD44,2))))</f>
        <v>0</v>
      </c>
      <c r="U45">
        <f>IF(BE44&lt;=0,0,IF(ROUND(BE44*(1+'Calc base'!S45),2)-MAX('Calc base'!N$12,ROUND('Calc base'!N$13*BE44,2))&lt;1,ROUND(BE44*(1+'Calc base'!S45),2),MAX('Calc base'!N$12,ROUND('Calc base'!N$13*BE44,2))))</f>
        <v>0</v>
      </c>
      <c r="V45">
        <f>MAX(0,ROUND(AT44*(1+'Calc base'!H45),2)-J45-'Calc base'!T45)</f>
        <v>0</v>
      </c>
      <c r="W45">
        <f>MAX(0,ROUND(AU44*(1+'Calc base'!I45),2)-K45-'Calc base'!U45)</f>
        <v>0</v>
      </c>
      <c r="X45">
        <f>MAX(0,ROUND(AV44*(1+'Calc base'!J45),2)-L45-'Calc base'!V45)</f>
        <v>1953.48</v>
      </c>
      <c r="Y45">
        <f>MAX(0,ROUND(AW44*(1+'Calc base'!K45),2)-M45-'Calc base'!W45)</f>
        <v>6162.17</v>
      </c>
      <c r="Z45">
        <f>MAX(0,ROUND(AX44*(1+'Calc base'!L45),2)-N45-'Calc base'!X45)</f>
        <v>0</v>
      </c>
      <c r="AA45">
        <f>MAX(0,ROUND(AY44*(1+'Calc base'!M45),2)-O45-'Calc base'!Y45)</f>
        <v>750</v>
      </c>
      <c r="AB45">
        <f>MAX(0,ROUND(AZ44*(1+'Calc base'!N45),2)-P45-'Calc base'!Z45)</f>
        <v>0</v>
      </c>
      <c r="AC45">
        <f>MAX(0,ROUND(BA44*(1+'Calc base'!O45),2)-Q45-'Calc base'!AA45)</f>
        <v>0</v>
      </c>
      <c r="AD45">
        <f>MAX(0,ROUND(BB44*(1+'Calc base'!P45),2)-R45-'Calc base'!AB45)</f>
        <v>0</v>
      </c>
      <c r="AE45">
        <f>MAX(0,ROUND(BC44*(1+'Calc base'!Q45),2)-S45-'Calc base'!AC45)</f>
        <v>0</v>
      </c>
      <c r="AF45">
        <f>MAX(0,ROUND(BD44*(1+'Calc base'!R45),2)-T45-'Calc base'!AD45)</f>
        <v>0</v>
      </c>
      <c r="AG45">
        <f>MAX(0,ROUND(BE44*(1+'Calc base'!S45),2)-U45-'Calc base'!AE45)</f>
        <v>0</v>
      </c>
      <c r="AH45">
        <f>IF('Calc base'!C$14=0,0,MIN(V45,MAX(0,$E45-SUMPRODUCT($V45:$AG45,'Calc base'!$C$14:$N$14,('Calc base'!$H45:$S45&gt;'Calc base'!H45)+('Calc base'!$H45:$S45='Calc base'!H45)*('Calc base'!$C$17:$N$17&lt;'Calc base'!C$17)))))</f>
        <v>0</v>
      </c>
      <c r="AI45">
        <f>IF('Calc base'!D$14=0,0,MIN(W45,MAX(0,$E45-SUMPRODUCT($V45:$AG45,'Calc base'!$C$14:$N$14,('Calc base'!$H45:$S45&gt;'Calc base'!I45)+('Calc base'!$H45:$S45='Calc base'!I45)*('Calc base'!$C$17:$N$17&lt;'Calc base'!D$17)))))</f>
        <v>0</v>
      </c>
      <c r="AJ45">
        <f>IF('Calc base'!E$14=0,0,MIN(X45,MAX(0,$E45-SUMPRODUCT($V45:$AG45,'Calc base'!$C$14:$N$14,('Calc base'!$H45:$S45&gt;'Calc base'!J45)+('Calc base'!$H45:$S45='Calc base'!J45)*('Calc base'!$C$17:$N$17&lt;'Calc base'!E$17)))))</f>
        <v>375</v>
      </c>
      <c r="AK45">
        <f>IF('Calc base'!F$14=0,0,MIN(Y45,MAX(0,$E45-SUMPRODUCT($V45:$AG45,'Calc base'!$C$14:$N$14,('Calc base'!$H45:$S45&gt;'Calc base'!K45)+('Calc base'!$H45:$S45='Calc base'!K45)*('Calc base'!$C$17:$N$17&lt;'Calc base'!F$17)))))</f>
        <v>0</v>
      </c>
      <c r="AL45">
        <f>IF('Calc base'!G$14=0,0,MIN(Z45,MAX(0,$E45-SUMPRODUCT($V45:$AG45,'Calc base'!$C$14:$N$14,('Calc base'!$H45:$S45&gt;'Calc base'!L45)+('Calc base'!$H45:$S45='Calc base'!L45)*('Calc base'!$C$17:$N$17&lt;'Calc base'!G$17)))))</f>
        <v>0</v>
      </c>
      <c r="AM45">
        <f>IF('Calc base'!H$14=0,0,MIN(AA45,MAX(0,$E45-SUMPRODUCT($V45:$AG45,'Calc base'!$C$14:$N$14,('Calc base'!$H45:$S45&gt;'Calc base'!M45)+('Calc base'!$H45:$S45='Calc base'!M45)*('Calc base'!$C$17:$N$17&lt;'Calc base'!H$17)))))</f>
        <v>0</v>
      </c>
      <c r="AN45">
        <f>IF('Calc base'!I$14=0,0,MIN(AB45,MAX(0,$E45-SUMPRODUCT($V45:$AG45,'Calc base'!$C$14:$N$14,('Calc base'!$H45:$S45&gt;'Calc base'!N45)+('Calc base'!$H45:$S45='Calc base'!N45)*('Calc base'!$C$17:$N$17&lt;'Calc base'!I$17)))))</f>
        <v>0</v>
      </c>
      <c r="AO45">
        <f>IF('Calc base'!J$14=0,0,MIN(AC45,MAX(0,$E45-SUMPRODUCT($V45:$AG45,'Calc base'!$C$14:$N$14,('Calc base'!$H45:$S45&gt;'Calc base'!O45)+('Calc base'!$H45:$S45='Calc base'!O45)*('Calc base'!$C$17:$N$17&lt;'Calc base'!J$17)))))</f>
        <v>0</v>
      </c>
      <c r="AP45">
        <f>IF('Calc base'!K$14=0,0,MIN(AD45,MAX(0,$E45-SUMPRODUCT($V45:$AG45,'Calc base'!$C$14:$N$14,('Calc base'!$H45:$S45&gt;'Calc base'!P45)+('Calc base'!$H45:$S45='Calc base'!P45)*('Calc base'!$C$17:$N$17&lt;'Calc base'!K$17)))))</f>
        <v>0</v>
      </c>
      <c r="AQ45">
        <f>IF('Calc base'!L$14=0,0,MIN(AE45,MAX(0,$E45-SUMPRODUCT($V45:$AG45,'Calc base'!$C$14:$N$14,('Calc base'!$H45:$S45&gt;'Calc base'!Q45)+('Calc base'!$H45:$S45='Calc base'!Q45)*('Calc base'!$C$17:$N$17&lt;'Calc base'!L$17)))))</f>
        <v>0</v>
      </c>
      <c r="AR45">
        <f>IF('Calc base'!M$14=0,0,MIN(AF45,MAX(0,$E45-SUMPRODUCT($V45:$AG45,'Calc base'!$C$14:$N$14,('Calc base'!$H45:$S45&gt;'Calc base'!R45)+('Calc base'!$H45:$S45='Calc base'!R45)*('Calc base'!$C$17:$N$17&lt;'Calc base'!M$17)))))</f>
        <v>0</v>
      </c>
      <c r="AS45">
        <f>IF('Calc base'!N$14=0,0,MIN(AG45,MAX(0,$E45-SUMPRODUCT($V45:$AG45,'Calc base'!$C$14:$N$14,('Calc base'!$H45:$S45&gt;'Calc base'!S45)+('Calc base'!$H45:$S45='Calc base'!S45)*('Calc base'!$C$17:$N$17&lt;'Calc base'!N$17)))))</f>
        <v>0</v>
      </c>
      <c r="AT45">
        <f>V45-AH45</f>
        <v>0</v>
      </c>
      <c r="AU45">
        <f>W45-AI45</f>
        <v>0</v>
      </c>
      <c r="AV45">
        <f>X45-AJ45</f>
        <v>1578.48</v>
      </c>
      <c r="AW45">
        <f>Y45-AK45</f>
        <v>6162.17</v>
      </c>
      <c r="AX45">
        <f>Z45-AL45</f>
        <v>0</v>
      </c>
      <c r="AY45">
        <f>AA45-AM45</f>
        <v>750</v>
      </c>
      <c r="AZ45">
        <f>AB45-AN45</f>
        <v>0</v>
      </c>
      <c r="BA45">
        <f>AC45-AO45</f>
        <v>0</v>
      </c>
      <c r="BB45">
        <f>AD45-AP45</f>
        <v>0</v>
      </c>
      <c r="BC45">
        <f>AE45-AQ45</f>
        <v>0</v>
      </c>
      <c r="BD45">
        <f>AF45-AR45</f>
        <v>0</v>
      </c>
      <c r="BE45">
        <f>AG45-AS45</f>
        <v>0</v>
      </c>
    </row>
    <row r="46">
      <c r="A46" t="n">
        <v>16</v>
      </c>
      <c r="B46">
        <f>SUMPRODUCT(ROUND($AT45:$BE45*(1+'Calc base'!$H46:$S46),2))</f>
        <v>8535.61</v>
      </c>
      <c r="C46">
        <f>SUM(J46:U46)</f>
        <v>525</v>
      </c>
      <c r="D46">
        <f>SUM(V46:AG46)</f>
        <v>8010.61</v>
      </c>
      <c r="E46">
        <f>MAX(0,IF(Impostazioni!$B$7="No",'Calc base'!$C46-$C$31,'Calc base'!$C46-C46)+'Calc base'!$G46+'Calc base'!$F46-(B46-C46-D46))</f>
        <v>375</v>
      </c>
      <c r="F46">
        <f>SUM(AH46:AS46)</f>
        <v>375</v>
      </c>
      <c r="G46">
        <f>SUM(AT46:BE46)</f>
        <v>7635.61</v>
      </c>
      <c r="H46">
        <f>B46-G45</f>
        <v>44.9600000000009</v>
      </c>
      <c r="I46">
        <f>B46-G46</f>
        <v>900.000000000001</v>
      </c>
      <c r="J46">
        <f>IF(AT45&lt;=0,0,IF(ROUND(AT45*(1+'Calc base'!H46),2)-MAX('Calc base'!C$12,ROUND('Calc base'!C$13*AT45,2))&lt;1,ROUND(AT45*(1+'Calc base'!H46),2),MAX('Calc base'!C$12,ROUND('Calc base'!C$13*AT45,2))))</f>
        <v>0</v>
      </c>
      <c r="K46">
        <f>IF(AU45&lt;=0,0,IF(ROUND(AU45*(1+'Calc base'!I46),2)-MAX('Calc base'!D$12,ROUND('Calc base'!D$13*AU45,2))&lt;1,ROUND(AU45*(1+'Calc base'!I46),2),MAX('Calc base'!D$12,ROUND('Calc base'!D$13*AU45,2))))</f>
        <v>0</v>
      </c>
      <c r="L46">
        <f>IF(AV45&lt;=0,0,IF(ROUND(AV45*(1+'Calc base'!J46),2)-MAX('Calc base'!E$12,ROUND('Calc base'!E$13*AV45,2))&lt;1,ROUND(AV45*(1+'Calc base'!J46),2),MAX('Calc base'!E$12,ROUND('Calc base'!E$13*AV45,2))))</f>
        <v>210</v>
      </c>
      <c r="M46">
        <f>IF(AW45&lt;=0,0,IF(ROUND(AW45*(1+'Calc base'!K46),2)-MAX('Calc base'!F$12,ROUND('Calc base'!F$13*AW45,2))&lt;1,ROUND(AW45*(1+'Calc base'!K46),2),MAX('Calc base'!F$12,ROUND('Calc base'!F$13*AW45,2))))</f>
        <v>265</v>
      </c>
      <c r="N46">
        <f>IF(AX45&lt;=0,0,IF(ROUND(AX45*(1+'Calc base'!L46),2)-MAX('Calc base'!G$12,ROUND('Calc base'!G$13*AX45,2))&lt;1,ROUND(AX45*(1+'Calc base'!L46),2),MAX('Calc base'!G$12,ROUND('Calc base'!G$13*AX45,2))))</f>
        <v>0</v>
      </c>
      <c r="O46">
        <f>IF(AY45&lt;=0,0,IF(ROUND(AY45*(1+'Calc base'!M46),2)-MAX('Calc base'!H$12,ROUND('Calc base'!H$13*AY45,2))&lt;1,ROUND(AY45*(1+'Calc base'!M46),2),MAX('Calc base'!H$12,ROUND('Calc base'!H$13*AY45,2))))</f>
        <v>50</v>
      </c>
      <c r="P46">
        <f>IF(AZ45&lt;=0,0,IF(ROUND(AZ45*(1+'Calc base'!N46),2)-MAX('Calc base'!I$12,ROUND('Calc base'!I$13*AZ45,2))&lt;1,ROUND(AZ45*(1+'Calc base'!N46),2),MAX('Calc base'!I$12,ROUND('Calc base'!I$13*AZ45,2))))</f>
        <v>0</v>
      </c>
      <c r="Q46">
        <f>IF(BA45&lt;=0,0,IF(ROUND(BA45*(1+'Calc base'!O46),2)-MAX('Calc base'!J$12,ROUND('Calc base'!J$13*BA45,2))&lt;1,ROUND(BA45*(1+'Calc base'!O46),2),MAX('Calc base'!J$12,ROUND('Calc base'!J$13*BA45,2))))</f>
        <v>0</v>
      </c>
      <c r="R46">
        <f>IF(BB45&lt;=0,0,IF(ROUND(BB45*(1+'Calc base'!P46),2)-MAX('Calc base'!K$12,ROUND('Calc base'!K$13*BB45,2))&lt;1,ROUND(BB45*(1+'Calc base'!P46),2),MAX('Calc base'!K$12,ROUND('Calc base'!K$13*BB45,2))))</f>
        <v>0</v>
      </c>
      <c r="S46">
        <f>IF(BC45&lt;=0,0,IF(ROUND(BC45*(1+'Calc base'!Q46),2)-MAX('Calc base'!L$12,ROUND('Calc base'!L$13*BC45,2))&lt;1,ROUND(BC45*(1+'Calc base'!Q46),2),MAX('Calc base'!L$12,ROUND('Calc base'!L$13*BC45,2))))</f>
        <v>0</v>
      </c>
      <c r="T46">
        <f>IF(BD45&lt;=0,0,IF(ROUND(BD45*(1+'Calc base'!R46),2)-MAX('Calc base'!M$12,ROUND('Calc base'!M$13*BD45,2))&lt;1,ROUND(BD45*(1+'Calc base'!R46),2),MAX('Calc base'!M$12,ROUND('Calc base'!M$13*BD45,2))))</f>
        <v>0</v>
      </c>
      <c r="U46">
        <f>IF(BE45&lt;=0,0,IF(ROUND(BE45*(1+'Calc base'!S46),2)-MAX('Calc base'!N$12,ROUND('Calc base'!N$13*BE45,2))&lt;1,ROUND(BE45*(1+'Calc base'!S46),2),MAX('Calc base'!N$12,ROUND('Calc base'!N$13*BE45,2))))</f>
        <v>0</v>
      </c>
      <c r="V46">
        <f>MAX(0,ROUND(AT45*(1+'Calc base'!H46),2)-J46-'Calc base'!T46)</f>
        <v>0</v>
      </c>
      <c r="W46">
        <f>MAX(0,ROUND(AU45*(1+'Calc base'!I46),2)-K46-'Calc base'!U46)</f>
        <v>0</v>
      </c>
      <c r="X46">
        <f>MAX(0,ROUND(AV45*(1+'Calc base'!J46),2)-L46-'Calc base'!V46)</f>
        <v>1380.58</v>
      </c>
      <c r="Y46">
        <f>MAX(0,ROUND(AW45*(1+'Calc base'!K46),2)-M46-'Calc base'!W46)</f>
        <v>5930.03</v>
      </c>
      <c r="Z46">
        <f>MAX(0,ROUND(AX45*(1+'Calc base'!L46),2)-N46-'Calc base'!X46)</f>
        <v>0</v>
      </c>
      <c r="AA46">
        <f>MAX(0,ROUND(AY45*(1+'Calc base'!M46),2)-O46-'Calc base'!Y46)</f>
        <v>700</v>
      </c>
      <c r="AB46">
        <f>MAX(0,ROUND(AZ45*(1+'Calc base'!N46),2)-P46-'Calc base'!Z46)</f>
        <v>0</v>
      </c>
      <c r="AC46">
        <f>MAX(0,ROUND(BA45*(1+'Calc base'!O46),2)-Q46-'Calc base'!AA46)</f>
        <v>0</v>
      </c>
      <c r="AD46">
        <f>MAX(0,ROUND(BB45*(1+'Calc base'!P46),2)-R46-'Calc base'!AB46)</f>
        <v>0</v>
      </c>
      <c r="AE46">
        <f>MAX(0,ROUND(BC45*(1+'Calc base'!Q46),2)-S46-'Calc base'!AC46)</f>
        <v>0</v>
      </c>
      <c r="AF46">
        <f>MAX(0,ROUND(BD45*(1+'Calc base'!R46),2)-T46-'Calc base'!AD46)</f>
        <v>0</v>
      </c>
      <c r="AG46">
        <f>MAX(0,ROUND(BE45*(1+'Calc base'!S46),2)-U46-'Calc base'!AE46)</f>
        <v>0</v>
      </c>
      <c r="AH46">
        <f>IF('Calc base'!C$14=0,0,MIN(V46,MAX(0,$E46-SUMPRODUCT($V46:$AG46,'Calc base'!$C$14:$N$14,('Calc base'!$H46:$S46&gt;'Calc base'!H46)+('Calc base'!$H46:$S46='Calc base'!H46)*('Calc base'!$C$17:$N$17&lt;'Calc base'!C$17)))))</f>
        <v>0</v>
      </c>
      <c r="AI46">
        <f>IF('Calc base'!D$14=0,0,MIN(W46,MAX(0,$E46-SUMPRODUCT($V46:$AG46,'Calc base'!$C$14:$N$14,('Calc base'!$H46:$S46&gt;'Calc base'!I46)+('Calc base'!$H46:$S46='Calc base'!I46)*('Calc base'!$C$17:$N$17&lt;'Calc base'!D$17)))))</f>
        <v>0</v>
      </c>
      <c r="AJ46">
        <f>IF('Calc base'!E$14=0,0,MIN(X46,MAX(0,$E46-SUMPRODUCT($V46:$AG46,'Calc base'!$C$14:$N$14,('Calc base'!$H46:$S46&gt;'Calc base'!J46)+('Calc base'!$H46:$S46='Calc base'!J46)*('Calc base'!$C$17:$N$17&lt;'Calc base'!E$17)))))</f>
        <v>375</v>
      </c>
      <c r="AK46">
        <f>IF('Calc base'!F$14=0,0,MIN(Y46,MAX(0,$E46-SUMPRODUCT($V46:$AG46,'Calc base'!$C$14:$N$14,('Calc base'!$H46:$S46&gt;'Calc base'!K46)+('Calc base'!$H46:$S46='Calc base'!K46)*('Calc base'!$C$17:$N$17&lt;'Calc base'!F$17)))))</f>
        <v>0</v>
      </c>
      <c r="AL46">
        <f>IF('Calc base'!G$14=0,0,MIN(Z46,MAX(0,$E46-SUMPRODUCT($V46:$AG46,'Calc base'!$C$14:$N$14,('Calc base'!$H46:$S46&gt;'Calc base'!L46)+('Calc base'!$H46:$S46='Calc base'!L46)*('Calc base'!$C$17:$N$17&lt;'Calc base'!G$17)))))</f>
        <v>0</v>
      </c>
      <c r="AM46">
        <f>IF('Calc base'!H$14=0,0,MIN(AA46,MAX(0,$E46-SUMPRODUCT($V46:$AG46,'Calc base'!$C$14:$N$14,('Calc base'!$H46:$S46&gt;'Calc base'!M46)+('Calc base'!$H46:$S46='Calc base'!M46)*('Calc base'!$C$17:$N$17&lt;'Calc base'!H$17)))))</f>
        <v>0</v>
      </c>
      <c r="AN46">
        <f>IF('Calc base'!I$14=0,0,MIN(AB46,MAX(0,$E46-SUMPRODUCT($V46:$AG46,'Calc base'!$C$14:$N$14,('Calc base'!$H46:$S46&gt;'Calc base'!N46)+('Calc base'!$H46:$S46='Calc base'!N46)*('Calc base'!$C$17:$N$17&lt;'Calc base'!I$17)))))</f>
        <v>0</v>
      </c>
      <c r="AO46">
        <f>IF('Calc base'!J$14=0,0,MIN(AC46,MAX(0,$E46-SUMPRODUCT($V46:$AG46,'Calc base'!$C$14:$N$14,('Calc base'!$H46:$S46&gt;'Calc base'!O46)+('Calc base'!$H46:$S46='Calc base'!O46)*('Calc base'!$C$17:$N$17&lt;'Calc base'!J$17)))))</f>
        <v>0</v>
      </c>
      <c r="AP46">
        <f>IF('Calc base'!K$14=0,0,MIN(AD46,MAX(0,$E46-SUMPRODUCT($V46:$AG46,'Calc base'!$C$14:$N$14,('Calc base'!$H46:$S46&gt;'Calc base'!P46)+('Calc base'!$H46:$S46='Calc base'!P46)*('Calc base'!$C$17:$N$17&lt;'Calc base'!K$17)))))</f>
        <v>0</v>
      </c>
      <c r="AQ46">
        <f>IF('Calc base'!L$14=0,0,MIN(AE46,MAX(0,$E46-SUMPRODUCT($V46:$AG46,'Calc base'!$C$14:$N$14,('Calc base'!$H46:$S46&gt;'Calc base'!Q46)+('Calc base'!$H46:$S46='Calc base'!Q46)*('Calc base'!$C$17:$N$17&lt;'Calc base'!L$17)))))</f>
        <v>0</v>
      </c>
      <c r="AR46">
        <f>IF('Calc base'!M$14=0,0,MIN(AF46,MAX(0,$E46-SUMPRODUCT($V46:$AG46,'Calc base'!$C$14:$N$14,('Calc base'!$H46:$S46&gt;'Calc base'!R46)+('Calc base'!$H46:$S46='Calc base'!R46)*('Calc base'!$C$17:$N$17&lt;'Calc base'!M$17)))))</f>
        <v>0</v>
      </c>
      <c r="AS46">
        <f>IF('Calc base'!N$14=0,0,MIN(AG46,MAX(0,$E46-SUMPRODUCT($V46:$AG46,'Calc base'!$C$14:$N$14,('Calc base'!$H46:$S46&gt;'Calc base'!S46)+('Calc base'!$H46:$S46='Calc base'!S46)*('Calc base'!$C$17:$N$17&lt;'Calc base'!N$17)))))</f>
        <v>0</v>
      </c>
      <c r="AT46">
        <f>V46-AH46</f>
        <v>0</v>
      </c>
      <c r="AU46">
        <f>W46-AI46</f>
        <v>0</v>
      </c>
      <c r="AV46">
        <f>X46-AJ46</f>
        <v>1005.58</v>
      </c>
      <c r="AW46">
        <f>Y46-AK46</f>
        <v>5930.03</v>
      </c>
      <c r="AX46">
        <f>Z46-AL46</f>
        <v>0</v>
      </c>
      <c r="AY46">
        <f>AA46-AM46</f>
        <v>700</v>
      </c>
      <c r="AZ46">
        <f>AB46-AN46</f>
        <v>0</v>
      </c>
      <c r="BA46">
        <f>AC46-AO46</f>
        <v>0</v>
      </c>
      <c r="BB46">
        <f>AD46-AP46</f>
        <v>0</v>
      </c>
      <c r="BC46">
        <f>AE46-AQ46</f>
        <v>0</v>
      </c>
      <c r="BD46">
        <f>AF46-AR46</f>
        <v>0</v>
      </c>
      <c r="BE46">
        <f>AG46-AS46</f>
        <v>0</v>
      </c>
    </row>
    <row r="47">
      <c r="A47" t="n">
        <v>17</v>
      </c>
      <c r="B47">
        <f>SUMPRODUCT(ROUND($AT46:$BE46*(1+'Calc base'!$H47:$S47),2))</f>
        <v>7674.95</v>
      </c>
      <c r="C47">
        <f>SUM(J47:U47)</f>
        <v>525</v>
      </c>
      <c r="D47">
        <f>SUM(V47:AG47)</f>
        <v>7149.95</v>
      </c>
      <c r="E47">
        <f>MAX(0,IF(Impostazioni!$B$7="No",'Calc base'!$C47-$C$31,'Calc base'!$C47-C47)+'Calc base'!$G47+'Calc base'!$F47-(B47-C47-D47))</f>
        <v>375</v>
      </c>
      <c r="F47">
        <f>SUM(AH47:AS47)</f>
        <v>375</v>
      </c>
      <c r="G47">
        <f>SUM(AT47:BE47)</f>
        <v>6774.95</v>
      </c>
      <c r="H47">
        <f>B47-G46</f>
        <v>39.3400000000001</v>
      </c>
      <c r="I47">
        <f>B47-G47</f>
        <v>900</v>
      </c>
      <c r="J47">
        <f>IF(AT46&lt;=0,0,IF(ROUND(AT46*(1+'Calc base'!H47),2)-MAX('Calc base'!C$12,ROUND('Calc base'!C$13*AT46,2))&lt;1,ROUND(AT46*(1+'Calc base'!H47),2),MAX('Calc base'!C$12,ROUND('Calc base'!C$13*AT46,2))))</f>
        <v>0</v>
      </c>
      <c r="K47">
        <f>IF(AU46&lt;=0,0,IF(ROUND(AU46*(1+'Calc base'!I47),2)-MAX('Calc base'!D$12,ROUND('Calc base'!D$13*AU46,2))&lt;1,ROUND(AU46*(1+'Calc base'!I47),2),MAX('Calc base'!D$12,ROUND('Calc base'!D$13*AU46,2))))</f>
        <v>0</v>
      </c>
      <c r="L47">
        <f>IF(AV46&lt;=0,0,IF(ROUND(AV46*(1+'Calc base'!J47),2)-MAX('Calc base'!E$12,ROUND('Calc base'!E$13*AV46,2))&lt;1,ROUND(AV46*(1+'Calc base'!J47),2),MAX('Calc base'!E$12,ROUND('Calc base'!E$13*AV46,2))))</f>
        <v>210</v>
      </c>
      <c r="M47">
        <f>IF(AW46&lt;=0,0,IF(ROUND(AW46*(1+'Calc base'!K47),2)-MAX('Calc base'!F$12,ROUND('Calc base'!F$13*AW46,2))&lt;1,ROUND(AW46*(1+'Calc base'!K47),2),MAX('Calc base'!F$12,ROUND('Calc base'!F$13*AW46,2))))</f>
        <v>265</v>
      </c>
      <c r="N47">
        <f>IF(AX46&lt;=0,0,IF(ROUND(AX46*(1+'Calc base'!L47),2)-MAX('Calc base'!G$12,ROUND('Calc base'!G$13*AX46,2))&lt;1,ROUND(AX46*(1+'Calc base'!L47),2),MAX('Calc base'!G$12,ROUND('Calc base'!G$13*AX46,2))))</f>
        <v>0</v>
      </c>
      <c r="O47">
        <f>IF(AY46&lt;=0,0,IF(ROUND(AY46*(1+'Calc base'!M47),2)-MAX('Calc base'!H$12,ROUND('Calc base'!H$13*AY46,2))&lt;1,ROUND(AY46*(1+'Calc base'!M47),2),MAX('Calc base'!H$12,ROUND('Calc base'!H$13*AY46,2))))</f>
        <v>50</v>
      </c>
      <c r="P47">
        <f>IF(AZ46&lt;=0,0,IF(ROUND(AZ46*(1+'Calc base'!N47),2)-MAX('Calc base'!I$12,ROUND('Calc base'!I$13*AZ46,2))&lt;1,ROUND(AZ46*(1+'Calc base'!N47),2),MAX('Calc base'!I$12,ROUND('Calc base'!I$13*AZ46,2))))</f>
        <v>0</v>
      </c>
      <c r="Q47">
        <f>IF(BA46&lt;=0,0,IF(ROUND(BA46*(1+'Calc base'!O47),2)-MAX('Calc base'!J$12,ROUND('Calc base'!J$13*BA46,2))&lt;1,ROUND(BA46*(1+'Calc base'!O47),2),MAX('Calc base'!J$12,ROUND('Calc base'!J$13*BA46,2))))</f>
        <v>0</v>
      </c>
      <c r="R47">
        <f>IF(BB46&lt;=0,0,IF(ROUND(BB46*(1+'Calc base'!P47),2)-MAX('Calc base'!K$12,ROUND('Calc base'!K$13*BB46,2))&lt;1,ROUND(BB46*(1+'Calc base'!P47),2),MAX('Calc base'!K$12,ROUND('Calc base'!K$13*BB46,2))))</f>
        <v>0</v>
      </c>
      <c r="S47">
        <f>IF(BC46&lt;=0,0,IF(ROUND(BC46*(1+'Calc base'!Q47),2)-MAX('Calc base'!L$12,ROUND('Calc base'!L$13*BC46,2))&lt;1,ROUND(BC46*(1+'Calc base'!Q47),2),MAX('Calc base'!L$12,ROUND('Calc base'!L$13*BC46,2))))</f>
        <v>0</v>
      </c>
      <c r="T47">
        <f>IF(BD46&lt;=0,0,IF(ROUND(BD46*(1+'Calc base'!R47),2)-MAX('Calc base'!M$12,ROUND('Calc base'!M$13*BD46,2))&lt;1,ROUND(BD46*(1+'Calc base'!R47),2),MAX('Calc base'!M$12,ROUND('Calc base'!M$13*BD46,2))))</f>
        <v>0</v>
      </c>
      <c r="U47">
        <f>IF(BE46&lt;=0,0,IF(ROUND(BE46*(1+'Calc base'!S47),2)-MAX('Calc base'!N$12,ROUND('Calc base'!N$13*BE46,2))&lt;1,ROUND(BE46*(1+'Calc base'!S47),2),MAX('Calc base'!N$12,ROUND('Calc base'!N$13*BE46,2))))</f>
        <v>0</v>
      </c>
      <c r="V47">
        <f>MAX(0,ROUND(AT46*(1+'Calc base'!H47),2)-J47-'Calc base'!T47)</f>
        <v>0</v>
      </c>
      <c r="W47">
        <f>MAX(0,ROUND(AU46*(1+'Calc base'!I47),2)-K47-'Calc base'!U47)</f>
        <v>0</v>
      </c>
      <c r="X47">
        <f>MAX(0,ROUND(AV46*(1+'Calc base'!J47),2)-L47-'Calc base'!V47)</f>
        <v>803.29</v>
      </c>
      <c r="Y47">
        <f>MAX(0,ROUND(AW46*(1+'Calc base'!K47),2)-M47-'Calc base'!W47)</f>
        <v>5696.66</v>
      </c>
      <c r="Z47">
        <f>MAX(0,ROUND(AX46*(1+'Calc base'!L47),2)-N47-'Calc base'!X47)</f>
        <v>0</v>
      </c>
      <c r="AA47">
        <f>MAX(0,ROUND(AY46*(1+'Calc base'!M47),2)-O47-'Calc base'!Y47)</f>
        <v>650</v>
      </c>
      <c r="AB47">
        <f>MAX(0,ROUND(AZ46*(1+'Calc base'!N47),2)-P47-'Calc base'!Z47)</f>
        <v>0</v>
      </c>
      <c r="AC47">
        <f>MAX(0,ROUND(BA46*(1+'Calc base'!O47),2)-Q47-'Calc base'!AA47)</f>
        <v>0</v>
      </c>
      <c r="AD47">
        <f>MAX(0,ROUND(BB46*(1+'Calc base'!P47),2)-R47-'Calc base'!AB47)</f>
        <v>0</v>
      </c>
      <c r="AE47">
        <f>MAX(0,ROUND(BC46*(1+'Calc base'!Q47),2)-S47-'Calc base'!AC47)</f>
        <v>0</v>
      </c>
      <c r="AF47">
        <f>MAX(0,ROUND(BD46*(1+'Calc base'!R47),2)-T47-'Calc base'!AD47)</f>
        <v>0</v>
      </c>
      <c r="AG47">
        <f>MAX(0,ROUND(BE46*(1+'Calc base'!S47),2)-U47-'Calc base'!AE47)</f>
        <v>0</v>
      </c>
      <c r="AH47">
        <f>IF('Calc base'!C$14=0,0,MIN(V47,MAX(0,$E47-SUMPRODUCT($V47:$AG47,'Calc base'!$C$14:$N$14,('Calc base'!$H47:$S47&gt;'Calc base'!H47)+('Calc base'!$H47:$S47='Calc base'!H47)*('Calc base'!$C$17:$N$17&lt;'Calc base'!C$17)))))</f>
        <v>0</v>
      </c>
      <c r="AI47">
        <f>IF('Calc base'!D$14=0,0,MIN(W47,MAX(0,$E47-SUMPRODUCT($V47:$AG47,'Calc base'!$C$14:$N$14,('Calc base'!$H47:$S47&gt;'Calc base'!I47)+('Calc base'!$H47:$S47='Calc base'!I47)*('Calc base'!$C$17:$N$17&lt;'Calc base'!D$17)))))</f>
        <v>0</v>
      </c>
      <c r="AJ47">
        <f>IF('Calc base'!E$14=0,0,MIN(X47,MAX(0,$E47-SUMPRODUCT($V47:$AG47,'Calc base'!$C$14:$N$14,('Calc base'!$H47:$S47&gt;'Calc base'!J47)+('Calc base'!$H47:$S47='Calc base'!J47)*('Calc base'!$C$17:$N$17&lt;'Calc base'!E$17)))))</f>
        <v>375</v>
      </c>
      <c r="AK47">
        <f>IF('Calc base'!F$14=0,0,MIN(Y47,MAX(0,$E47-SUMPRODUCT($V47:$AG47,'Calc base'!$C$14:$N$14,('Calc base'!$H47:$S47&gt;'Calc base'!K47)+('Calc base'!$H47:$S47='Calc base'!K47)*('Calc base'!$C$17:$N$17&lt;'Calc base'!F$17)))))</f>
        <v>0</v>
      </c>
      <c r="AL47">
        <f>IF('Calc base'!G$14=0,0,MIN(Z47,MAX(0,$E47-SUMPRODUCT($V47:$AG47,'Calc base'!$C$14:$N$14,('Calc base'!$H47:$S47&gt;'Calc base'!L47)+('Calc base'!$H47:$S47='Calc base'!L47)*('Calc base'!$C$17:$N$17&lt;'Calc base'!G$17)))))</f>
        <v>0</v>
      </c>
      <c r="AM47">
        <f>IF('Calc base'!H$14=0,0,MIN(AA47,MAX(0,$E47-SUMPRODUCT($V47:$AG47,'Calc base'!$C$14:$N$14,('Calc base'!$H47:$S47&gt;'Calc base'!M47)+('Calc base'!$H47:$S47='Calc base'!M47)*('Calc base'!$C$17:$N$17&lt;'Calc base'!H$17)))))</f>
        <v>0</v>
      </c>
      <c r="AN47">
        <f>IF('Calc base'!I$14=0,0,MIN(AB47,MAX(0,$E47-SUMPRODUCT($V47:$AG47,'Calc base'!$C$14:$N$14,('Calc base'!$H47:$S47&gt;'Calc base'!N47)+('Calc base'!$H47:$S47='Calc base'!N47)*('Calc base'!$C$17:$N$17&lt;'Calc base'!I$17)))))</f>
        <v>0</v>
      </c>
      <c r="AO47">
        <f>IF('Calc base'!J$14=0,0,MIN(AC47,MAX(0,$E47-SUMPRODUCT($V47:$AG47,'Calc base'!$C$14:$N$14,('Calc base'!$H47:$S47&gt;'Calc base'!O47)+('Calc base'!$H47:$S47='Calc base'!O47)*('Calc base'!$C$17:$N$17&lt;'Calc base'!J$17)))))</f>
        <v>0</v>
      </c>
      <c r="AP47">
        <f>IF('Calc base'!K$14=0,0,MIN(AD47,MAX(0,$E47-SUMPRODUCT($V47:$AG47,'Calc base'!$C$14:$N$14,('Calc base'!$H47:$S47&gt;'Calc base'!P47)+('Calc base'!$H47:$S47='Calc base'!P47)*('Calc base'!$C$17:$N$17&lt;'Calc base'!K$17)))))</f>
        <v>0</v>
      </c>
      <c r="AQ47">
        <f>IF('Calc base'!L$14=0,0,MIN(AE47,MAX(0,$E47-SUMPRODUCT($V47:$AG47,'Calc base'!$C$14:$N$14,('Calc base'!$H47:$S47&gt;'Calc base'!Q47)+('Calc base'!$H47:$S47='Calc base'!Q47)*('Calc base'!$C$17:$N$17&lt;'Calc base'!L$17)))))</f>
        <v>0</v>
      </c>
      <c r="AR47">
        <f>IF('Calc base'!M$14=0,0,MIN(AF47,MAX(0,$E47-SUMPRODUCT($V47:$AG47,'Calc base'!$C$14:$N$14,('Calc base'!$H47:$S47&gt;'Calc base'!R47)+('Calc base'!$H47:$S47='Calc base'!R47)*('Calc base'!$C$17:$N$17&lt;'Calc base'!M$17)))))</f>
        <v>0</v>
      </c>
      <c r="AS47">
        <f>IF('Calc base'!N$14=0,0,MIN(AG47,MAX(0,$E47-SUMPRODUCT($V47:$AG47,'Calc base'!$C$14:$N$14,('Calc base'!$H47:$S47&gt;'Calc base'!S47)+('Calc base'!$H47:$S47='Calc base'!S47)*('Calc base'!$C$17:$N$17&lt;'Calc base'!N$17)))))</f>
        <v>0</v>
      </c>
      <c r="AT47">
        <f>V47-AH47</f>
        <v>0</v>
      </c>
      <c r="AU47">
        <f>W47-AI47</f>
        <v>0</v>
      </c>
      <c r="AV47">
        <f>X47-AJ47</f>
        <v>428.29</v>
      </c>
      <c r="AW47">
        <f>Y47-AK47</f>
        <v>5696.66</v>
      </c>
      <c r="AX47">
        <f>Z47-AL47</f>
        <v>0</v>
      </c>
      <c r="AY47">
        <f>AA47-AM47</f>
        <v>650</v>
      </c>
      <c r="AZ47">
        <f>AB47-AN47</f>
        <v>0</v>
      </c>
      <c r="BA47">
        <f>AC47-AO47</f>
        <v>0</v>
      </c>
      <c r="BB47">
        <f>AD47-AP47</f>
        <v>0</v>
      </c>
      <c r="BC47">
        <f>AE47-AQ47</f>
        <v>0</v>
      </c>
      <c r="BD47">
        <f>AF47-AR47</f>
        <v>0</v>
      </c>
      <c r="BE47">
        <f>AG47-AS47</f>
        <v>0</v>
      </c>
    </row>
    <row r="48">
      <c r="A48" t="n">
        <v>18</v>
      </c>
      <c r="B48">
        <f>SUMPRODUCT(ROUND($AT47:$BE47*(1+'Calc base'!$H48:$S48),2))</f>
        <v>6808.61</v>
      </c>
      <c r="C48">
        <f>SUM(J48:U48)</f>
        <v>525</v>
      </c>
      <c r="D48">
        <f>SUM(V48:AG48)</f>
        <v>6283.61</v>
      </c>
      <c r="E48">
        <f>MAX(0,IF(Impostazioni!$B$7="No",'Calc base'!$C48-$C$31,'Calc base'!$C48-C48)+'Calc base'!$G48+'Calc base'!$F48-(B48-C48-D48))</f>
        <v>375</v>
      </c>
      <c r="F48">
        <f>SUM(AH48:AS48)</f>
        <v>375</v>
      </c>
      <c r="G48">
        <f>SUM(AT48:BE48)</f>
        <v>5908.61</v>
      </c>
      <c r="H48">
        <f>B48-G47</f>
        <v>33.6599999999999</v>
      </c>
      <c r="I48">
        <f>B48-G48</f>
        <v>900</v>
      </c>
      <c r="J48">
        <f>IF(AT47&lt;=0,0,IF(ROUND(AT47*(1+'Calc base'!H48),2)-MAX('Calc base'!C$12,ROUND('Calc base'!C$13*AT47,2))&lt;1,ROUND(AT47*(1+'Calc base'!H48),2),MAX('Calc base'!C$12,ROUND('Calc base'!C$13*AT47,2))))</f>
        <v>0</v>
      </c>
      <c r="K48">
        <f>IF(AU47&lt;=0,0,IF(ROUND(AU47*(1+'Calc base'!I48),2)-MAX('Calc base'!D$12,ROUND('Calc base'!D$13*AU47,2))&lt;1,ROUND(AU47*(1+'Calc base'!I48),2),MAX('Calc base'!D$12,ROUND('Calc base'!D$13*AU47,2))))</f>
        <v>0</v>
      </c>
      <c r="L48">
        <f>IF(AV47&lt;=0,0,IF(ROUND(AV47*(1+'Calc base'!J48),2)-MAX('Calc base'!E$12,ROUND('Calc base'!E$13*AV47,2))&lt;1,ROUND(AV47*(1+'Calc base'!J48),2),MAX('Calc base'!E$12,ROUND('Calc base'!E$13*AV47,2))))</f>
        <v>210</v>
      </c>
      <c r="M48">
        <f>IF(AW47&lt;=0,0,IF(ROUND(AW47*(1+'Calc base'!K48),2)-MAX('Calc base'!F$12,ROUND('Calc base'!F$13*AW47,2))&lt;1,ROUND(AW47*(1+'Calc base'!K48),2),MAX('Calc base'!F$12,ROUND('Calc base'!F$13*AW47,2))))</f>
        <v>265</v>
      </c>
      <c r="N48">
        <f>IF(AX47&lt;=0,0,IF(ROUND(AX47*(1+'Calc base'!L48),2)-MAX('Calc base'!G$12,ROUND('Calc base'!G$13*AX47,2))&lt;1,ROUND(AX47*(1+'Calc base'!L48),2),MAX('Calc base'!G$12,ROUND('Calc base'!G$13*AX47,2))))</f>
        <v>0</v>
      </c>
      <c r="O48">
        <f>IF(AY47&lt;=0,0,IF(ROUND(AY47*(1+'Calc base'!M48),2)-MAX('Calc base'!H$12,ROUND('Calc base'!H$13*AY47,2))&lt;1,ROUND(AY47*(1+'Calc base'!M48),2),MAX('Calc base'!H$12,ROUND('Calc base'!H$13*AY47,2))))</f>
        <v>50</v>
      </c>
      <c r="P48">
        <f>IF(AZ47&lt;=0,0,IF(ROUND(AZ47*(1+'Calc base'!N48),2)-MAX('Calc base'!I$12,ROUND('Calc base'!I$13*AZ47,2))&lt;1,ROUND(AZ47*(1+'Calc base'!N48),2),MAX('Calc base'!I$12,ROUND('Calc base'!I$13*AZ47,2))))</f>
        <v>0</v>
      </c>
      <c r="Q48">
        <f>IF(BA47&lt;=0,0,IF(ROUND(BA47*(1+'Calc base'!O48),2)-MAX('Calc base'!J$12,ROUND('Calc base'!J$13*BA47,2))&lt;1,ROUND(BA47*(1+'Calc base'!O48),2),MAX('Calc base'!J$12,ROUND('Calc base'!J$13*BA47,2))))</f>
        <v>0</v>
      </c>
      <c r="R48">
        <f>IF(BB47&lt;=0,0,IF(ROUND(BB47*(1+'Calc base'!P48),2)-MAX('Calc base'!K$12,ROUND('Calc base'!K$13*BB47,2))&lt;1,ROUND(BB47*(1+'Calc base'!P48),2),MAX('Calc base'!K$12,ROUND('Calc base'!K$13*BB47,2))))</f>
        <v>0</v>
      </c>
      <c r="S48">
        <f>IF(BC47&lt;=0,0,IF(ROUND(BC47*(1+'Calc base'!Q48),2)-MAX('Calc base'!L$12,ROUND('Calc base'!L$13*BC47,2))&lt;1,ROUND(BC47*(1+'Calc base'!Q48),2),MAX('Calc base'!L$12,ROUND('Calc base'!L$13*BC47,2))))</f>
        <v>0</v>
      </c>
      <c r="T48">
        <f>IF(BD47&lt;=0,0,IF(ROUND(BD47*(1+'Calc base'!R48),2)-MAX('Calc base'!M$12,ROUND('Calc base'!M$13*BD47,2))&lt;1,ROUND(BD47*(1+'Calc base'!R48),2),MAX('Calc base'!M$12,ROUND('Calc base'!M$13*BD47,2))))</f>
        <v>0</v>
      </c>
      <c r="U48">
        <f>IF(BE47&lt;=0,0,IF(ROUND(BE47*(1+'Calc base'!S48),2)-MAX('Calc base'!N$12,ROUND('Calc base'!N$13*BE47,2))&lt;1,ROUND(BE47*(1+'Calc base'!S48),2),MAX('Calc base'!N$12,ROUND('Calc base'!N$13*BE47,2))))</f>
        <v>0</v>
      </c>
      <c r="V48">
        <f>MAX(0,ROUND(AT47*(1+'Calc base'!H48),2)-J48-'Calc base'!T48)</f>
        <v>0</v>
      </c>
      <c r="W48">
        <f>MAX(0,ROUND(AU47*(1+'Calc base'!I48),2)-K48-'Calc base'!U48)</f>
        <v>0</v>
      </c>
      <c r="X48">
        <f>MAX(0,ROUND(AV47*(1+'Calc base'!J48),2)-L48-'Calc base'!V48)</f>
        <v>221.57</v>
      </c>
      <c r="Y48">
        <f>MAX(0,ROUND(AW47*(1+'Calc base'!K48),2)-M48-'Calc base'!W48)</f>
        <v>5462.04</v>
      </c>
      <c r="Z48">
        <f>MAX(0,ROUND(AX47*(1+'Calc base'!L48),2)-N48-'Calc base'!X48)</f>
        <v>0</v>
      </c>
      <c r="AA48">
        <f>MAX(0,ROUND(AY47*(1+'Calc base'!M48),2)-O48-'Calc base'!Y48)</f>
        <v>600</v>
      </c>
      <c r="AB48">
        <f>MAX(0,ROUND(AZ47*(1+'Calc base'!N48),2)-P48-'Calc base'!Z48)</f>
        <v>0</v>
      </c>
      <c r="AC48">
        <f>MAX(0,ROUND(BA47*(1+'Calc base'!O48),2)-Q48-'Calc base'!AA48)</f>
        <v>0</v>
      </c>
      <c r="AD48">
        <f>MAX(0,ROUND(BB47*(1+'Calc base'!P48),2)-R48-'Calc base'!AB48)</f>
        <v>0</v>
      </c>
      <c r="AE48">
        <f>MAX(0,ROUND(BC47*(1+'Calc base'!Q48),2)-S48-'Calc base'!AC48)</f>
        <v>0</v>
      </c>
      <c r="AF48">
        <f>MAX(0,ROUND(BD47*(1+'Calc base'!R48),2)-T48-'Calc base'!AD48)</f>
        <v>0</v>
      </c>
      <c r="AG48">
        <f>MAX(0,ROUND(BE47*(1+'Calc base'!S48),2)-U48-'Calc base'!AE48)</f>
        <v>0</v>
      </c>
      <c r="AH48">
        <f>IF('Calc base'!C$14=0,0,MIN(V48,MAX(0,$E48-SUMPRODUCT($V48:$AG48,'Calc base'!$C$14:$N$14,('Calc base'!$H48:$S48&gt;'Calc base'!H48)+('Calc base'!$H48:$S48='Calc base'!H48)*('Calc base'!$C$17:$N$17&lt;'Calc base'!C$17)))))</f>
        <v>0</v>
      </c>
      <c r="AI48">
        <f>IF('Calc base'!D$14=0,0,MIN(W48,MAX(0,$E48-SUMPRODUCT($V48:$AG48,'Calc base'!$C$14:$N$14,('Calc base'!$H48:$S48&gt;'Calc base'!I48)+('Calc base'!$H48:$S48='Calc base'!I48)*('Calc base'!$C$17:$N$17&lt;'Calc base'!D$17)))))</f>
        <v>0</v>
      </c>
      <c r="AJ48">
        <f>IF('Calc base'!E$14=0,0,MIN(X48,MAX(0,$E48-SUMPRODUCT($V48:$AG48,'Calc base'!$C$14:$N$14,('Calc base'!$H48:$S48&gt;'Calc base'!J48)+('Calc base'!$H48:$S48='Calc base'!J48)*('Calc base'!$C$17:$N$17&lt;'Calc base'!E$17)))))</f>
        <v>221.57</v>
      </c>
      <c r="AK48">
        <f>IF('Calc base'!F$14=0,0,MIN(Y48,MAX(0,$E48-SUMPRODUCT($V48:$AG48,'Calc base'!$C$14:$N$14,('Calc base'!$H48:$S48&gt;'Calc base'!K48)+('Calc base'!$H48:$S48='Calc base'!K48)*('Calc base'!$C$17:$N$17&lt;'Calc base'!F$17)))))</f>
        <v>153.43</v>
      </c>
      <c r="AL48">
        <f>IF('Calc base'!G$14=0,0,MIN(Z48,MAX(0,$E48-SUMPRODUCT($V48:$AG48,'Calc base'!$C$14:$N$14,('Calc base'!$H48:$S48&gt;'Calc base'!L48)+('Calc base'!$H48:$S48='Calc base'!L48)*('Calc base'!$C$17:$N$17&lt;'Calc base'!G$17)))))</f>
        <v>0</v>
      </c>
      <c r="AM48">
        <f>IF('Calc base'!H$14=0,0,MIN(AA48,MAX(0,$E48-SUMPRODUCT($V48:$AG48,'Calc base'!$C$14:$N$14,('Calc base'!$H48:$S48&gt;'Calc base'!M48)+('Calc base'!$H48:$S48='Calc base'!M48)*('Calc base'!$C$17:$N$17&lt;'Calc base'!H$17)))))</f>
        <v>0</v>
      </c>
      <c r="AN48">
        <f>IF('Calc base'!I$14=0,0,MIN(AB48,MAX(0,$E48-SUMPRODUCT($V48:$AG48,'Calc base'!$C$14:$N$14,('Calc base'!$H48:$S48&gt;'Calc base'!N48)+('Calc base'!$H48:$S48='Calc base'!N48)*('Calc base'!$C$17:$N$17&lt;'Calc base'!I$17)))))</f>
        <v>0</v>
      </c>
      <c r="AO48">
        <f>IF('Calc base'!J$14=0,0,MIN(AC48,MAX(0,$E48-SUMPRODUCT($V48:$AG48,'Calc base'!$C$14:$N$14,('Calc base'!$H48:$S48&gt;'Calc base'!O48)+('Calc base'!$H48:$S48='Calc base'!O48)*('Calc base'!$C$17:$N$17&lt;'Calc base'!J$17)))))</f>
        <v>0</v>
      </c>
      <c r="AP48">
        <f>IF('Calc base'!K$14=0,0,MIN(AD48,MAX(0,$E48-SUMPRODUCT($V48:$AG48,'Calc base'!$C$14:$N$14,('Calc base'!$H48:$S48&gt;'Calc base'!P48)+('Calc base'!$H48:$S48='Calc base'!P48)*('Calc base'!$C$17:$N$17&lt;'Calc base'!K$17)))))</f>
        <v>0</v>
      </c>
      <c r="AQ48">
        <f>IF('Calc base'!L$14=0,0,MIN(AE48,MAX(0,$E48-SUMPRODUCT($V48:$AG48,'Calc base'!$C$14:$N$14,('Calc base'!$H48:$S48&gt;'Calc base'!Q48)+('Calc base'!$H48:$S48='Calc base'!Q48)*('Calc base'!$C$17:$N$17&lt;'Calc base'!L$17)))))</f>
        <v>0</v>
      </c>
      <c r="AR48">
        <f>IF('Calc base'!M$14=0,0,MIN(AF48,MAX(0,$E48-SUMPRODUCT($V48:$AG48,'Calc base'!$C$14:$N$14,('Calc base'!$H48:$S48&gt;'Calc base'!R48)+('Calc base'!$H48:$S48='Calc base'!R48)*('Calc base'!$C$17:$N$17&lt;'Calc base'!M$17)))))</f>
        <v>0</v>
      </c>
      <c r="AS48">
        <f>IF('Calc base'!N$14=0,0,MIN(AG48,MAX(0,$E48-SUMPRODUCT($V48:$AG48,'Calc base'!$C$14:$N$14,('Calc base'!$H48:$S48&gt;'Calc base'!S48)+('Calc base'!$H48:$S48='Calc base'!S48)*('Calc base'!$C$17:$N$17&lt;'Calc base'!N$17)))))</f>
        <v>0</v>
      </c>
      <c r="AT48">
        <f>V48-AH48</f>
        <v>0</v>
      </c>
      <c r="AU48">
        <f>W48-AI48</f>
        <v>0</v>
      </c>
      <c r="AV48">
        <f>X48-AJ48</f>
        <v>0</v>
      </c>
      <c r="AW48">
        <f>Y48-AK48</f>
        <v>5308.61</v>
      </c>
      <c r="AX48">
        <f>Z48-AL48</f>
        <v>0</v>
      </c>
      <c r="AY48">
        <f>AA48-AM48</f>
        <v>600</v>
      </c>
      <c r="AZ48">
        <f>AB48-AN48</f>
        <v>0</v>
      </c>
      <c r="BA48">
        <f>AC48-AO48</f>
        <v>0</v>
      </c>
      <c r="BB48">
        <f>AD48-AP48</f>
        <v>0</v>
      </c>
      <c r="BC48">
        <f>AE48-AQ48</f>
        <v>0</v>
      </c>
      <c r="BD48">
        <f>AF48-AR48</f>
        <v>0</v>
      </c>
      <c r="BE48">
        <f>AG48-AS48</f>
        <v>0</v>
      </c>
    </row>
    <row r="49">
      <c r="A49" t="n">
        <v>19</v>
      </c>
      <c r="B49">
        <f>SUMPRODUCT(ROUND($AT48:$BE48*(1+'Calc base'!$H49:$S49),2))</f>
        <v>5936.92</v>
      </c>
      <c r="C49">
        <f>SUM(J49:U49)</f>
        <v>315</v>
      </c>
      <c r="D49">
        <f>SUM(V49:AG49)</f>
        <v>5621.92</v>
      </c>
      <c r="E49">
        <f>MAX(0,IF(Impostazioni!$B$7="No",'Calc base'!$C49-$C$31,'Calc base'!$C49-C49)+'Calc base'!$G49+'Calc base'!$F49-(B49-C49-D49))</f>
        <v>585</v>
      </c>
      <c r="F49">
        <f>SUM(AH49:AS49)</f>
        <v>585</v>
      </c>
      <c r="G49">
        <f>SUM(AT49:BE49)</f>
        <v>5036.92</v>
      </c>
      <c r="H49">
        <f>B49-G48</f>
        <v>28.3100000000004</v>
      </c>
      <c r="I49">
        <f>B49-G49</f>
        <v>900</v>
      </c>
      <c r="J49">
        <f>IF(AT48&lt;=0,0,IF(ROUND(AT48*(1+'Calc base'!H49),2)-MAX('Calc base'!C$12,ROUND('Calc base'!C$13*AT48,2))&lt;1,ROUND(AT48*(1+'Calc base'!H49),2),MAX('Calc base'!C$12,ROUND('Calc base'!C$13*AT48,2))))</f>
        <v>0</v>
      </c>
      <c r="K49">
        <f>IF(AU48&lt;=0,0,IF(ROUND(AU48*(1+'Calc base'!I49),2)-MAX('Calc base'!D$12,ROUND('Calc base'!D$13*AU48,2))&lt;1,ROUND(AU48*(1+'Calc base'!I49),2),MAX('Calc base'!D$12,ROUND('Calc base'!D$13*AU48,2))))</f>
        <v>0</v>
      </c>
      <c r="L49">
        <f>IF(AV48&lt;=0,0,IF(ROUND(AV48*(1+'Calc base'!J49),2)-MAX('Calc base'!E$12,ROUND('Calc base'!E$13*AV48,2))&lt;1,ROUND(AV48*(1+'Calc base'!J49),2),MAX('Calc base'!E$12,ROUND('Calc base'!E$13*AV48,2))))</f>
        <v>0</v>
      </c>
      <c r="M49">
        <f>IF(AW48&lt;=0,0,IF(ROUND(AW48*(1+'Calc base'!K49),2)-MAX('Calc base'!F$12,ROUND('Calc base'!F$13*AW48,2))&lt;1,ROUND(AW48*(1+'Calc base'!K49),2),MAX('Calc base'!F$12,ROUND('Calc base'!F$13*AW48,2))))</f>
        <v>265</v>
      </c>
      <c r="N49">
        <f>IF(AX48&lt;=0,0,IF(ROUND(AX48*(1+'Calc base'!L49),2)-MAX('Calc base'!G$12,ROUND('Calc base'!G$13*AX48,2))&lt;1,ROUND(AX48*(1+'Calc base'!L49),2),MAX('Calc base'!G$12,ROUND('Calc base'!G$13*AX48,2))))</f>
        <v>0</v>
      </c>
      <c r="O49">
        <f>IF(AY48&lt;=0,0,IF(ROUND(AY48*(1+'Calc base'!M49),2)-MAX('Calc base'!H$12,ROUND('Calc base'!H$13*AY48,2))&lt;1,ROUND(AY48*(1+'Calc base'!M49),2),MAX('Calc base'!H$12,ROUND('Calc base'!H$13*AY48,2))))</f>
        <v>50</v>
      </c>
      <c r="P49">
        <f>IF(AZ48&lt;=0,0,IF(ROUND(AZ48*(1+'Calc base'!N49),2)-MAX('Calc base'!I$12,ROUND('Calc base'!I$13*AZ48,2))&lt;1,ROUND(AZ48*(1+'Calc base'!N49),2),MAX('Calc base'!I$12,ROUND('Calc base'!I$13*AZ48,2))))</f>
        <v>0</v>
      </c>
      <c r="Q49">
        <f>IF(BA48&lt;=0,0,IF(ROUND(BA48*(1+'Calc base'!O49),2)-MAX('Calc base'!J$12,ROUND('Calc base'!J$13*BA48,2))&lt;1,ROUND(BA48*(1+'Calc base'!O49),2),MAX('Calc base'!J$12,ROUND('Calc base'!J$13*BA48,2))))</f>
        <v>0</v>
      </c>
      <c r="R49">
        <f>IF(BB48&lt;=0,0,IF(ROUND(BB48*(1+'Calc base'!P49),2)-MAX('Calc base'!K$12,ROUND('Calc base'!K$13*BB48,2))&lt;1,ROUND(BB48*(1+'Calc base'!P49),2),MAX('Calc base'!K$12,ROUND('Calc base'!K$13*BB48,2))))</f>
        <v>0</v>
      </c>
      <c r="S49">
        <f>IF(BC48&lt;=0,0,IF(ROUND(BC48*(1+'Calc base'!Q49),2)-MAX('Calc base'!L$12,ROUND('Calc base'!L$13*BC48,2))&lt;1,ROUND(BC48*(1+'Calc base'!Q49),2),MAX('Calc base'!L$12,ROUND('Calc base'!L$13*BC48,2))))</f>
        <v>0</v>
      </c>
      <c r="T49">
        <f>IF(BD48&lt;=0,0,IF(ROUND(BD48*(1+'Calc base'!R49),2)-MAX('Calc base'!M$12,ROUND('Calc base'!M$13*BD48,2))&lt;1,ROUND(BD48*(1+'Calc base'!R49),2),MAX('Calc base'!M$12,ROUND('Calc base'!M$13*BD48,2))))</f>
        <v>0</v>
      </c>
      <c r="U49">
        <f>IF(BE48&lt;=0,0,IF(ROUND(BE48*(1+'Calc base'!S49),2)-MAX('Calc base'!N$12,ROUND('Calc base'!N$13*BE48,2))&lt;1,ROUND(BE48*(1+'Calc base'!S49),2),MAX('Calc base'!N$12,ROUND('Calc base'!N$13*BE48,2))))</f>
        <v>0</v>
      </c>
      <c r="V49">
        <f>MAX(0,ROUND(AT48*(1+'Calc base'!H49),2)-J49-'Calc base'!T49)</f>
        <v>0</v>
      </c>
      <c r="W49">
        <f>MAX(0,ROUND(AU48*(1+'Calc base'!I49),2)-K49-'Calc base'!U49)</f>
        <v>0</v>
      </c>
      <c r="X49">
        <f>MAX(0,ROUND(AV48*(1+'Calc base'!J49),2)-L49-'Calc base'!V49)</f>
        <v>0</v>
      </c>
      <c r="Y49">
        <f>MAX(0,ROUND(AW48*(1+'Calc base'!K49),2)-M49-'Calc base'!W49)</f>
        <v>5071.92</v>
      </c>
      <c r="Z49">
        <f>MAX(0,ROUND(AX48*(1+'Calc base'!L49),2)-N49-'Calc base'!X49)</f>
        <v>0</v>
      </c>
      <c r="AA49">
        <f>MAX(0,ROUND(AY48*(1+'Calc base'!M49),2)-O49-'Calc base'!Y49)</f>
        <v>550</v>
      </c>
      <c r="AB49">
        <f>MAX(0,ROUND(AZ48*(1+'Calc base'!N49),2)-P49-'Calc base'!Z49)</f>
        <v>0</v>
      </c>
      <c r="AC49">
        <f>MAX(0,ROUND(BA48*(1+'Calc base'!O49),2)-Q49-'Calc base'!AA49)</f>
        <v>0</v>
      </c>
      <c r="AD49">
        <f>MAX(0,ROUND(BB48*(1+'Calc base'!P49),2)-R49-'Calc base'!AB49)</f>
        <v>0</v>
      </c>
      <c r="AE49">
        <f>MAX(0,ROUND(BC48*(1+'Calc base'!Q49),2)-S49-'Calc base'!AC49)</f>
        <v>0</v>
      </c>
      <c r="AF49">
        <f>MAX(0,ROUND(BD48*(1+'Calc base'!R49),2)-T49-'Calc base'!AD49)</f>
        <v>0</v>
      </c>
      <c r="AG49">
        <f>MAX(0,ROUND(BE48*(1+'Calc base'!S49),2)-U49-'Calc base'!AE49)</f>
        <v>0</v>
      </c>
      <c r="AH49">
        <f>IF('Calc base'!C$14=0,0,MIN(V49,MAX(0,$E49-SUMPRODUCT($V49:$AG49,'Calc base'!$C$14:$N$14,('Calc base'!$H49:$S49&gt;'Calc base'!H49)+('Calc base'!$H49:$S49='Calc base'!H49)*('Calc base'!$C$17:$N$17&lt;'Calc base'!C$17)))))</f>
        <v>0</v>
      </c>
      <c r="AI49">
        <f>IF('Calc base'!D$14=0,0,MIN(W49,MAX(0,$E49-SUMPRODUCT($V49:$AG49,'Calc base'!$C$14:$N$14,('Calc base'!$H49:$S49&gt;'Calc base'!I49)+('Calc base'!$H49:$S49='Calc base'!I49)*('Calc base'!$C$17:$N$17&lt;'Calc base'!D$17)))))</f>
        <v>0</v>
      </c>
      <c r="AJ49">
        <f>IF('Calc base'!E$14=0,0,MIN(X49,MAX(0,$E49-SUMPRODUCT($V49:$AG49,'Calc base'!$C$14:$N$14,('Calc base'!$H49:$S49&gt;'Calc base'!J49)+('Calc base'!$H49:$S49='Calc base'!J49)*('Calc base'!$C$17:$N$17&lt;'Calc base'!E$17)))))</f>
        <v>0</v>
      </c>
      <c r="AK49">
        <f>IF('Calc base'!F$14=0,0,MIN(Y49,MAX(0,$E49-SUMPRODUCT($V49:$AG49,'Calc base'!$C$14:$N$14,('Calc base'!$H49:$S49&gt;'Calc base'!K49)+('Calc base'!$H49:$S49='Calc base'!K49)*('Calc base'!$C$17:$N$17&lt;'Calc base'!F$17)))))</f>
        <v>585</v>
      </c>
      <c r="AL49">
        <f>IF('Calc base'!G$14=0,0,MIN(Z49,MAX(0,$E49-SUMPRODUCT($V49:$AG49,'Calc base'!$C$14:$N$14,('Calc base'!$H49:$S49&gt;'Calc base'!L49)+('Calc base'!$H49:$S49='Calc base'!L49)*('Calc base'!$C$17:$N$17&lt;'Calc base'!G$17)))))</f>
        <v>0</v>
      </c>
      <c r="AM49">
        <f>IF('Calc base'!H$14=0,0,MIN(AA49,MAX(0,$E49-SUMPRODUCT($V49:$AG49,'Calc base'!$C$14:$N$14,('Calc base'!$H49:$S49&gt;'Calc base'!M49)+('Calc base'!$H49:$S49='Calc base'!M49)*('Calc base'!$C$17:$N$17&lt;'Calc base'!H$17)))))</f>
        <v>0</v>
      </c>
      <c r="AN49">
        <f>IF('Calc base'!I$14=0,0,MIN(AB49,MAX(0,$E49-SUMPRODUCT($V49:$AG49,'Calc base'!$C$14:$N$14,('Calc base'!$H49:$S49&gt;'Calc base'!N49)+('Calc base'!$H49:$S49='Calc base'!N49)*('Calc base'!$C$17:$N$17&lt;'Calc base'!I$17)))))</f>
        <v>0</v>
      </c>
      <c r="AO49">
        <f>IF('Calc base'!J$14=0,0,MIN(AC49,MAX(0,$E49-SUMPRODUCT($V49:$AG49,'Calc base'!$C$14:$N$14,('Calc base'!$H49:$S49&gt;'Calc base'!O49)+('Calc base'!$H49:$S49='Calc base'!O49)*('Calc base'!$C$17:$N$17&lt;'Calc base'!J$17)))))</f>
        <v>0</v>
      </c>
      <c r="AP49">
        <f>IF('Calc base'!K$14=0,0,MIN(AD49,MAX(0,$E49-SUMPRODUCT($V49:$AG49,'Calc base'!$C$14:$N$14,('Calc base'!$H49:$S49&gt;'Calc base'!P49)+('Calc base'!$H49:$S49='Calc base'!P49)*('Calc base'!$C$17:$N$17&lt;'Calc base'!K$17)))))</f>
        <v>0</v>
      </c>
      <c r="AQ49">
        <f>IF('Calc base'!L$14=0,0,MIN(AE49,MAX(0,$E49-SUMPRODUCT($V49:$AG49,'Calc base'!$C$14:$N$14,('Calc base'!$H49:$S49&gt;'Calc base'!Q49)+('Calc base'!$H49:$S49='Calc base'!Q49)*('Calc base'!$C$17:$N$17&lt;'Calc base'!L$17)))))</f>
        <v>0</v>
      </c>
      <c r="AR49">
        <f>IF('Calc base'!M$14=0,0,MIN(AF49,MAX(0,$E49-SUMPRODUCT($V49:$AG49,'Calc base'!$C$14:$N$14,('Calc base'!$H49:$S49&gt;'Calc base'!R49)+('Calc base'!$H49:$S49='Calc base'!R49)*('Calc base'!$C$17:$N$17&lt;'Calc base'!M$17)))))</f>
        <v>0</v>
      </c>
      <c r="AS49">
        <f>IF('Calc base'!N$14=0,0,MIN(AG49,MAX(0,$E49-SUMPRODUCT($V49:$AG49,'Calc base'!$C$14:$N$14,('Calc base'!$H49:$S49&gt;'Calc base'!S49)+('Calc base'!$H49:$S49='Calc base'!S49)*('Calc base'!$C$17:$N$17&lt;'Calc base'!N$17)))))</f>
        <v>0</v>
      </c>
      <c r="AT49">
        <f>V49-AH49</f>
        <v>0</v>
      </c>
      <c r="AU49">
        <f>W49-AI49</f>
        <v>0</v>
      </c>
      <c r="AV49">
        <f>X49-AJ49</f>
        <v>0</v>
      </c>
      <c r="AW49">
        <f>Y49-AK49</f>
        <v>4486.92</v>
      </c>
      <c r="AX49">
        <f>Z49-AL49</f>
        <v>0</v>
      </c>
      <c r="AY49">
        <f>AA49-AM49</f>
        <v>550</v>
      </c>
      <c r="AZ49">
        <f>AB49-AN49</f>
        <v>0</v>
      </c>
      <c r="BA49">
        <f>AC49-AO49</f>
        <v>0</v>
      </c>
      <c r="BB49">
        <f>AD49-AP49</f>
        <v>0</v>
      </c>
      <c r="BC49">
        <f>AE49-AQ49</f>
        <v>0</v>
      </c>
      <c r="BD49">
        <f>AF49-AR49</f>
        <v>0</v>
      </c>
      <c r="BE49">
        <f>AG49-AS49</f>
        <v>0</v>
      </c>
    </row>
    <row r="50">
      <c r="A50" t="n">
        <v>20</v>
      </c>
      <c r="B50">
        <f>SUMPRODUCT(ROUND($AT49:$BE49*(1+'Calc base'!$H50:$S50),2))</f>
        <v>5060.85</v>
      </c>
      <c r="C50">
        <f>SUM(J50:U50)</f>
        <v>315</v>
      </c>
      <c r="D50">
        <f>SUM(V50:AG50)</f>
        <v>4745.85</v>
      </c>
      <c r="E50">
        <f>MAX(0,IF(Impostazioni!$B$7="No",'Calc base'!$C50-$C$31,'Calc base'!$C50-C50)+'Calc base'!$G50+'Calc base'!$F50-(B50-C50-D50))</f>
        <v>585</v>
      </c>
      <c r="F50">
        <f>SUM(AH50:AS50)</f>
        <v>585</v>
      </c>
      <c r="G50">
        <f>SUM(AT50:BE50)</f>
        <v>4160.85</v>
      </c>
      <c r="H50">
        <f>B50-G49</f>
        <v>23.9300000000003</v>
      </c>
      <c r="I50">
        <f>B50-G50</f>
        <v>900</v>
      </c>
      <c r="J50">
        <f>IF(AT49&lt;=0,0,IF(ROUND(AT49*(1+'Calc base'!H50),2)-MAX('Calc base'!C$12,ROUND('Calc base'!C$13*AT49,2))&lt;1,ROUND(AT49*(1+'Calc base'!H50),2),MAX('Calc base'!C$12,ROUND('Calc base'!C$13*AT49,2))))</f>
        <v>0</v>
      </c>
      <c r="K50">
        <f>IF(AU49&lt;=0,0,IF(ROUND(AU49*(1+'Calc base'!I50),2)-MAX('Calc base'!D$12,ROUND('Calc base'!D$13*AU49,2))&lt;1,ROUND(AU49*(1+'Calc base'!I50),2),MAX('Calc base'!D$12,ROUND('Calc base'!D$13*AU49,2))))</f>
        <v>0</v>
      </c>
      <c r="L50">
        <f>IF(AV49&lt;=0,0,IF(ROUND(AV49*(1+'Calc base'!J50),2)-MAX('Calc base'!E$12,ROUND('Calc base'!E$13*AV49,2))&lt;1,ROUND(AV49*(1+'Calc base'!J50),2),MAX('Calc base'!E$12,ROUND('Calc base'!E$13*AV49,2))))</f>
        <v>0</v>
      </c>
      <c r="M50">
        <f>IF(AW49&lt;=0,0,IF(ROUND(AW49*(1+'Calc base'!K50),2)-MAX('Calc base'!F$12,ROUND('Calc base'!F$13*AW49,2))&lt;1,ROUND(AW49*(1+'Calc base'!K50),2),MAX('Calc base'!F$12,ROUND('Calc base'!F$13*AW49,2))))</f>
        <v>265</v>
      </c>
      <c r="N50">
        <f>IF(AX49&lt;=0,0,IF(ROUND(AX49*(1+'Calc base'!L50),2)-MAX('Calc base'!G$12,ROUND('Calc base'!G$13*AX49,2))&lt;1,ROUND(AX49*(1+'Calc base'!L50),2),MAX('Calc base'!G$12,ROUND('Calc base'!G$13*AX49,2))))</f>
        <v>0</v>
      </c>
      <c r="O50">
        <f>IF(AY49&lt;=0,0,IF(ROUND(AY49*(1+'Calc base'!M50),2)-MAX('Calc base'!H$12,ROUND('Calc base'!H$13*AY49,2))&lt;1,ROUND(AY49*(1+'Calc base'!M50),2),MAX('Calc base'!H$12,ROUND('Calc base'!H$13*AY49,2))))</f>
        <v>50</v>
      </c>
      <c r="P50">
        <f>IF(AZ49&lt;=0,0,IF(ROUND(AZ49*(1+'Calc base'!N50),2)-MAX('Calc base'!I$12,ROUND('Calc base'!I$13*AZ49,2))&lt;1,ROUND(AZ49*(1+'Calc base'!N50),2),MAX('Calc base'!I$12,ROUND('Calc base'!I$13*AZ49,2))))</f>
        <v>0</v>
      </c>
      <c r="Q50">
        <f>IF(BA49&lt;=0,0,IF(ROUND(BA49*(1+'Calc base'!O50),2)-MAX('Calc base'!J$12,ROUND('Calc base'!J$13*BA49,2))&lt;1,ROUND(BA49*(1+'Calc base'!O50),2),MAX('Calc base'!J$12,ROUND('Calc base'!J$13*BA49,2))))</f>
        <v>0</v>
      </c>
      <c r="R50">
        <f>IF(BB49&lt;=0,0,IF(ROUND(BB49*(1+'Calc base'!P50),2)-MAX('Calc base'!K$12,ROUND('Calc base'!K$13*BB49,2))&lt;1,ROUND(BB49*(1+'Calc base'!P50),2),MAX('Calc base'!K$12,ROUND('Calc base'!K$13*BB49,2))))</f>
        <v>0</v>
      </c>
      <c r="S50">
        <f>IF(BC49&lt;=0,0,IF(ROUND(BC49*(1+'Calc base'!Q50),2)-MAX('Calc base'!L$12,ROUND('Calc base'!L$13*BC49,2))&lt;1,ROUND(BC49*(1+'Calc base'!Q50),2),MAX('Calc base'!L$12,ROUND('Calc base'!L$13*BC49,2))))</f>
        <v>0</v>
      </c>
      <c r="T50">
        <f>IF(BD49&lt;=0,0,IF(ROUND(BD49*(1+'Calc base'!R50),2)-MAX('Calc base'!M$12,ROUND('Calc base'!M$13*BD49,2))&lt;1,ROUND(BD49*(1+'Calc base'!R50),2),MAX('Calc base'!M$12,ROUND('Calc base'!M$13*BD49,2))))</f>
        <v>0</v>
      </c>
      <c r="U50">
        <f>IF(BE49&lt;=0,0,IF(ROUND(BE49*(1+'Calc base'!S50),2)-MAX('Calc base'!N$12,ROUND('Calc base'!N$13*BE49,2))&lt;1,ROUND(BE49*(1+'Calc base'!S50),2),MAX('Calc base'!N$12,ROUND('Calc base'!N$13*BE49,2))))</f>
        <v>0</v>
      </c>
      <c r="V50">
        <f>MAX(0,ROUND(AT49*(1+'Calc base'!H50),2)-J50-'Calc base'!T50)</f>
        <v>0</v>
      </c>
      <c r="W50">
        <f>MAX(0,ROUND(AU49*(1+'Calc base'!I50),2)-K50-'Calc base'!U50)</f>
        <v>0</v>
      </c>
      <c r="X50">
        <f>MAX(0,ROUND(AV49*(1+'Calc base'!J50),2)-L50-'Calc base'!V50)</f>
        <v>0</v>
      </c>
      <c r="Y50">
        <f>MAX(0,ROUND(AW49*(1+'Calc base'!K50),2)-M50-'Calc base'!W50)</f>
        <v>4245.85</v>
      </c>
      <c r="Z50">
        <f>MAX(0,ROUND(AX49*(1+'Calc base'!L50),2)-N50-'Calc base'!X50)</f>
        <v>0</v>
      </c>
      <c r="AA50">
        <f>MAX(0,ROUND(AY49*(1+'Calc base'!M50),2)-O50-'Calc base'!Y50)</f>
        <v>500</v>
      </c>
      <c r="AB50">
        <f>MAX(0,ROUND(AZ49*(1+'Calc base'!N50),2)-P50-'Calc base'!Z50)</f>
        <v>0</v>
      </c>
      <c r="AC50">
        <f>MAX(0,ROUND(BA49*(1+'Calc base'!O50),2)-Q50-'Calc base'!AA50)</f>
        <v>0</v>
      </c>
      <c r="AD50">
        <f>MAX(0,ROUND(BB49*(1+'Calc base'!P50),2)-R50-'Calc base'!AB50)</f>
        <v>0</v>
      </c>
      <c r="AE50">
        <f>MAX(0,ROUND(BC49*(1+'Calc base'!Q50),2)-S50-'Calc base'!AC50)</f>
        <v>0</v>
      </c>
      <c r="AF50">
        <f>MAX(0,ROUND(BD49*(1+'Calc base'!R50),2)-T50-'Calc base'!AD50)</f>
        <v>0</v>
      </c>
      <c r="AG50">
        <f>MAX(0,ROUND(BE49*(1+'Calc base'!S50),2)-U50-'Calc base'!AE50)</f>
        <v>0</v>
      </c>
      <c r="AH50">
        <f>IF('Calc base'!C$14=0,0,MIN(V50,MAX(0,$E50-SUMPRODUCT($V50:$AG50,'Calc base'!$C$14:$N$14,('Calc base'!$H50:$S50&gt;'Calc base'!H50)+('Calc base'!$H50:$S50='Calc base'!H50)*('Calc base'!$C$17:$N$17&lt;'Calc base'!C$17)))))</f>
        <v>0</v>
      </c>
      <c r="AI50">
        <f>IF('Calc base'!D$14=0,0,MIN(W50,MAX(0,$E50-SUMPRODUCT($V50:$AG50,'Calc base'!$C$14:$N$14,('Calc base'!$H50:$S50&gt;'Calc base'!I50)+('Calc base'!$H50:$S50='Calc base'!I50)*('Calc base'!$C$17:$N$17&lt;'Calc base'!D$17)))))</f>
        <v>0</v>
      </c>
      <c r="AJ50">
        <f>IF('Calc base'!E$14=0,0,MIN(X50,MAX(0,$E50-SUMPRODUCT($V50:$AG50,'Calc base'!$C$14:$N$14,('Calc base'!$H50:$S50&gt;'Calc base'!J50)+('Calc base'!$H50:$S50='Calc base'!J50)*('Calc base'!$C$17:$N$17&lt;'Calc base'!E$17)))))</f>
        <v>0</v>
      </c>
      <c r="AK50">
        <f>IF('Calc base'!F$14=0,0,MIN(Y50,MAX(0,$E50-SUMPRODUCT($V50:$AG50,'Calc base'!$C$14:$N$14,('Calc base'!$H50:$S50&gt;'Calc base'!K50)+('Calc base'!$H50:$S50='Calc base'!K50)*('Calc base'!$C$17:$N$17&lt;'Calc base'!F$17)))))</f>
        <v>585</v>
      </c>
      <c r="AL50">
        <f>IF('Calc base'!G$14=0,0,MIN(Z50,MAX(0,$E50-SUMPRODUCT($V50:$AG50,'Calc base'!$C$14:$N$14,('Calc base'!$H50:$S50&gt;'Calc base'!L50)+('Calc base'!$H50:$S50='Calc base'!L50)*('Calc base'!$C$17:$N$17&lt;'Calc base'!G$17)))))</f>
        <v>0</v>
      </c>
      <c r="AM50">
        <f>IF('Calc base'!H$14=0,0,MIN(AA50,MAX(0,$E50-SUMPRODUCT($V50:$AG50,'Calc base'!$C$14:$N$14,('Calc base'!$H50:$S50&gt;'Calc base'!M50)+('Calc base'!$H50:$S50='Calc base'!M50)*('Calc base'!$C$17:$N$17&lt;'Calc base'!H$17)))))</f>
        <v>0</v>
      </c>
      <c r="AN50">
        <f>IF('Calc base'!I$14=0,0,MIN(AB50,MAX(0,$E50-SUMPRODUCT($V50:$AG50,'Calc base'!$C$14:$N$14,('Calc base'!$H50:$S50&gt;'Calc base'!N50)+('Calc base'!$H50:$S50='Calc base'!N50)*('Calc base'!$C$17:$N$17&lt;'Calc base'!I$17)))))</f>
        <v>0</v>
      </c>
      <c r="AO50">
        <f>IF('Calc base'!J$14=0,0,MIN(AC50,MAX(0,$E50-SUMPRODUCT($V50:$AG50,'Calc base'!$C$14:$N$14,('Calc base'!$H50:$S50&gt;'Calc base'!O50)+('Calc base'!$H50:$S50='Calc base'!O50)*('Calc base'!$C$17:$N$17&lt;'Calc base'!J$17)))))</f>
        <v>0</v>
      </c>
      <c r="AP50">
        <f>IF('Calc base'!K$14=0,0,MIN(AD50,MAX(0,$E50-SUMPRODUCT($V50:$AG50,'Calc base'!$C$14:$N$14,('Calc base'!$H50:$S50&gt;'Calc base'!P50)+('Calc base'!$H50:$S50='Calc base'!P50)*('Calc base'!$C$17:$N$17&lt;'Calc base'!K$17)))))</f>
        <v>0</v>
      </c>
      <c r="AQ50">
        <f>IF('Calc base'!L$14=0,0,MIN(AE50,MAX(0,$E50-SUMPRODUCT($V50:$AG50,'Calc base'!$C$14:$N$14,('Calc base'!$H50:$S50&gt;'Calc base'!Q50)+('Calc base'!$H50:$S50='Calc base'!Q50)*('Calc base'!$C$17:$N$17&lt;'Calc base'!L$17)))))</f>
        <v>0</v>
      </c>
      <c r="AR50">
        <f>IF('Calc base'!M$14=0,0,MIN(AF50,MAX(0,$E50-SUMPRODUCT($V50:$AG50,'Calc base'!$C$14:$N$14,('Calc base'!$H50:$S50&gt;'Calc base'!R50)+('Calc base'!$H50:$S50='Calc base'!R50)*('Calc base'!$C$17:$N$17&lt;'Calc base'!M$17)))))</f>
        <v>0</v>
      </c>
      <c r="AS50">
        <f>IF('Calc base'!N$14=0,0,MIN(AG50,MAX(0,$E50-SUMPRODUCT($V50:$AG50,'Calc base'!$C$14:$N$14,('Calc base'!$H50:$S50&gt;'Calc base'!S50)+('Calc base'!$H50:$S50='Calc base'!S50)*('Calc base'!$C$17:$N$17&lt;'Calc base'!N$17)))))</f>
        <v>0</v>
      </c>
      <c r="AT50">
        <f>V50-AH50</f>
        <v>0</v>
      </c>
      <c r="AU50">
        <f>W50-AI50</f>
        <v>0</v>
      </c>
      <c r="AV50">
        <f>X50-AJ50</f>
        <v>0</v>
      </c>
      <c r="AW50">
        <f>Y50-AK50</f>
        <v>3660.85</v>
      </c>
      <c r="AX50">
        <f>Z50-AL50</f>
        <v>0</v>
      </c>
      <c r="AY50">
        <f>AA50-AM50</f>
        <v>500</v>
      </c>
      <c r="AZ50">
        <f>AB50-AN50</f>
        <v>0</v>
      </c>
      <c r="BA50">
        <f>AC50-AO50</f>
        <v>0</v>
      </c>
      <c r="BB50">
        <f>AD50-AP50</f>
        <v>0</v>
      </c>
      <c r="BC50">
        <f>AE50-AQ50</f>
        <v>0</v>
      </c>
      <c r="BD50">
        <f>AF50-AR50</f>
        <v>0</v>
      </c>
      <c r="BE50">
        <f>AG50-AS50</f>
        <v>0</v>
      </c>
    </row>
    <row r="51">
      <c r="A51" t="n">
        <v>21</v>
      </c>
      <c r="B51">
        <f>SUMPRODUCT(ROUND($AT50:$BE50*(1+'Calc base'!$H51:$S51),2))</f>
        <v>4180.37</v>
      </c>
      <c r="C51">
        <f>SUM(J51:U51)</f>
        <v>315</v>
      </c>
      <c r="D51">
        <f>SUM(V51:AG51)</f>
        <v>3865.37</v>
      </c>
      <c r="E51">
        <f>MAX(0,IF(Impostazioni!$B$7="No",'Calc base'!$C51-$C$31,'Calc base'!$C51-C51)+'Calc base'!$G51+'Calc base'!$F51-(B51-C51-D51))</f>
        <v>585</v>
      </c>
      <c r="F51">
        <f>SUM(AH51:AS51)</f>
        <v>585</v>
      </c>
      <c r="G51">
        <f>SUM(AT51:BE51)</f>
        <v>3280.37</v>
      </c>
      <c r="H51">
        <f>B51-G50</f>
        <v>19.5199999999995</v>
      </c>
      <c r="I51">
        <f>B51-G51</f>
        <v>900</v>
      </c>
      <c r="J51">
        <f>IF(AT50&lt;=0,0,IF(ROUND(AT50*(1+'Calc base'!H51),2)-MAX('Calc base'!C$12,ROUND('Calc base'!C$13*AT50,2))&lt;1,ROUND(AT50*(1+'Calc base'!H51),2),MAX('Calc base'!C$12,ROUND('Calc base'!C$13*AT50,2))))</f>
        <v>0</v>
      </c>
      <c r="K51">
        <f>IF(AU50&lt;=0,0,IF(ROUND(AU50*(1+'Calc base'!I51),2)-MAX('Calc base'!D$12,ROUND('Calc base'!D$13*AU50,2))&lt;1,ROUND(AU50*(1+'Calc base'!I51),2),MAX('Calc base'!D$12,ROUND('Calc base'!D$13*AU50,2))))</f>
        <v>0</v>
      </c>
      <c r="L51">
        <f>IF(AV50&lt;=0,0,IF(ROUND(AV50*(1+'Calc base'!J51),2)-MAX('Calc base'!E$12,ROUND('Calc base'!E$13*AV50,2))&lt;1,ROUND(AV50*(1+'Calc base'!J51),2),MAX('Calc base'!E$12,ROUND('Calc base'!E$13*AV50,2))))</f>
        <v>0</v>
      </c>
      <c r="M51">
        <f>IF(AW50&lt;=0,0,IF(ROUND(AW50*(1+'Calc base'!K51),2)-MAX('Calc base'!F$12,ROUND('Calc base'!F$13*AW50,2))&lt;1,ROUND(AW50*(1+'Calc base'!K51),2),MAX('Calc base'!F$12,ROUND('Calc base'!F$13*AW50,2))))</f>
        <v>265</v>
      </c>
      <c r="N51">
        <f>IF(AX50&lt;=0,0,IF(ROUND(AX50*(1+'Calc base'!L51),2)-MAX('Calc base'!G$12,ROUND('Calc base'!G$13*AX50,2))&lt;1,ROUND(AX50*(1+'Calc base'!L51),2),MAX('Calc base'!G$12,ROUND('Calc base'!G$13*AX50,2))))</f>
        <v>0</v>
      </c>
      <c r="O51">
        <f>IF(AY50&lt;=0,0,IF(ROUND(AY50*(1+'Calc base'!M51),2)-MAX('Calc base'!H$12,ROUND('Calc base'!H$13*AY50,2))&lt;1,ROUND(AY50*(1+'Calc base'!M51),2),MAX('Calc base'!H$12,ROUND('Calc base'!H$13*AY50,2))))</f>
        <v>50</v>
      </c>
      <c r="P51">
        <f>IF(AZ50&lt;=0,0,IF(ROUND(AZ50*(1+'Calc base'!N51),2)-MAX('Calc base'!I$12,ROUND('Calc base'!I$13*AZ50,2))&lt;1,ROUND(AZ50*(1+'Calc base'!N51),2),MAX('Calc base'!I$12,ROUND('Calc base'!I$13*AZ50,2))))</f>
        <v>0</v>
      </c>
      <c r="Q51">
        <f>IF(BA50&lt;=0,0,IF(ROUND(BA50*(1+'Calc base'!O51),2)-MAX('Calc base'!J$12,ROUND('Calc base'!J$13*BA50,2))&lt;1,ROUND(BA50*(1+'Calc base'!O51),2),MAX('Calc base'!J$12,ROUND('Calc base'!J$13*BA50,2))))</f>
        <v>0</v>
      </c>
      <c r="R51">
        <f>IF(BB50&lt;=0,0,IF(ROUND(BB50*(1+'Calc base'!P51),2)-MAX('Calc base'!K$12,ROUND('Calc base'!K$13*BB50,2))&lt;1,ROUND(BB50*(1+'Calc base'!P51),2),MAX('Calc base'!K$12,ROUND('Calc base'!K$13*BB50,2))))</f>
        <v>0</v>
      </c>
      <c r="S51">
        <f>IF(BC50&lt;=0,0,IF(ROUND(BC50*(1+'Calc base'!Q51),2)-MAX('Calc base'!L$12,ROUND('Calc base'!L$13*BC50,2))&lt;1,ROUND(BC50*(1+'Calc base'!Q51),2),MAX('Calc base'!L$12,ROUND('Calc base'!L$13*BC50,2))))</f>
        <v>0</v>
      </c>
      <c r="T51">
        <f>IF(BD50&lt;=0,0,IF(ROUND(BD50*(1+'Calc base'!R51),2)-MAX('Calc base'!M$12,ROUND('Calc base'!M$13*BD50,2))&lt;1,ROUND(BD50*(1+'Calc base'!R51),2),MAX('Calc base'!M$12,ROUND('Calc base'!M$13*BD50,2))))</f>
        <v>0</v>
      </c>
      <c r="U51">
        <f>IF(BE50&lt;=0,0,IF(ROUND(BE50*(1+'Calc base'!S51),2)-MAX('Calc base'!N$12,ROUND('Calc base'!N$13*BE50,2))&lt;1,ROUND(BE50*(1+'Calc base'!S51),2),MAX('Calc base'!N$12,ROUND('Calc base'!N$13*BE50,2))))</f>
        <v>0</v>
      </c>
      <c r="V51">
        <f>MAX(0,ROUND(AT50*(1+'Calc base'!H51),2)-J51-'Calc base'!T51)</f>
        <v>0</v>
      </c>
      <c r="W51">
        <f>MAX(0,ROUND(AU50*(1+'Calc base'!I51),2)-K51-'Calc base'!U51)</f>
        <v>0</v>
      </c>
      <c r="X51">
        <f>MAX(0,ROUND(AV50*(1+'Calc base'!J51),2)-L51-'Calc base'!V51)</f>
        <v>0</v>
      </c>
      <c r="Y51">
        <f>MAX(0,ROUND(AW50*(1+'Calc base'!K51),2)-M51-'Calc base'!W51)</f>
        <v>3415.37</v>
      </c>
      <c r="Z51">
        <f>MAX(0,ROUND(AX50*(1+'Calc base'!L51),2)-N51-'Calc base'!X51)</f>
        <v>0</v>
      </c>
      <c r="AA51">
        <f>MAX(0,ROUND(AY50*(1+'Calc base'!M51),2)-O51-'Calc base'!Y51)</f>
        <v>450</v>
      </c>
      <c r="AB51">
        <f>MAX(0,ROUND(AZ50*(1+'Calc base'!N51),2)-P51-'Calc base'!Z51)</f>
        <v>0</v>
      </c>
      <c r="AC51">
        <f>MAX(0,ROUND(BA50*(1+'Calc base'!O51),2)-Q51-'Calc base'!AA51)</f>
        <v>0</v>
      </c>
      <c r="AD51">
        <f>MAX(0,ROUND(BB50*(1+'Calc base'!P51),2)-R51-'Calc base'!AB51)</f>
        <v>0</v>
      </c>
      <c r="AE51">
        <f>MAX(0,ROUND(BC50*(1+'Calc base'!Q51),2)-S51-'Calc base'!AC51)</f>
        <v>0</v>
      </c>
      <c r="AF51">
        <f>MAX(0,ROUND(BD50*(1+'Calc base'!R51),2)-T51-'Calc base'!AD51)</f>
        <v>0</v>
      </c>
      <c r="AG51">
        <f>MAX(0,ROUND(BE50*(1+'Calc base'!S51),2)-U51-'Calc base'!AE51)</f>
        <v>0</v>
      </c>
      <c r="AH51">
        <f>IF('Calc base'!C$14=0,0,MIN(V51,MAX(0,$E51-SUMPRODUCT($V51:$AG51,'Calc base'!$C$14:$N$14,('Calc base'!$H51:$S51&gt;'Calc base'!H51)+('Calc base'!$H51:$S51='Calc base'!H51)*('Calc base'!$C$17:$N$17&lt;'Calc base'!C$17)))))</f>
        <v>0</v>
      </c>
      <c r="AI51">
        <f>IF('Calc base'!D$14=0,0,MIN(W51,MAX(0,$E51-SUMPRODUCT($V51:$AG51,'Calc base'!$C$14:$N$14,('Calc base'!$H51:$S51&gt;'Calc base'!I51)+('Calc base'!$H51:$S51='Calc base'!I51)*('Calc base'!$C$17:$N$17&lt;'Calc base'!D$17)))))</f>
        <v>0</v>
      </c>
      <c r="AJ51">
        <f>IF('Calc base'!E$14=0,0,MIN(X51,MAX(0,$E51-SUMPRODUCT($V51:$AG51,'Calc base'!$C$14:$N$14,('Calc base'!$H51:$S51&gt;'Calc base'!J51)+('Calc base'!$H51:$S51='Calc base'!J51)*('Calc base'!$C$17:$N$17&lt;'Calc base'!E$17)))))</f>
        <v>0</v>
      </c>
      <c r="AK51">
        <f>IF('Calc base'!F$14=0,0,MIN(Y51,MAX(0,$E51-SUMPRODUCT($V51:$AG51,'Calc base'!$C$14:$N$14,('Calc base'!$H51:$S51&gt;'Calc base'!K51)+('Calc base'!$H51:$S51='Calc base'!K51)*('Calc base'!$C$17:$N$17&lt;'Calc base'!F$17)))))</f>
        <v>585</v>
      </c>
      <c r="AL51">
        <f>IF('Calc base'!G$14=0,0,MIN(Z51,MAX(0,$E51-SUMPRODUCT($V51:$AG51,'Calc base'!$C$14:$N$14,('Calc base'!$H51:$S51&gt;'Calc base'!L51)+('Calc base'!$H51:$S51='Calc base'!L51)*('Calc base'!$C$17:$N$17&lt;'Calc base'!G$17)))))</f>
        <v>0</v>
      </c>
      <c r="AM51">
        <f>IF('Calc base'!H$14=0,0,MIN(AA51,MAX(0,$E51-SUMPRODUCT($V51:$AG51,'Calc base'!$C$14:$N$14,('Calc base'!$H51:$S51&gt;'Calc base'!M51)+('Calc base'!$H51:$S51='Calc base'!M51)*('Calc base'!$C$17:$N$17&lt;'Calc base'!H$17)))))</f>
        <v>0</v>
      </c>
      <c r="AN51">
        <f>IF('Calc base'!I$14=0,0,MIN(AB51,MAX(0,$E51-SUMPRODUCT($V51:$AG51,'Calc base'!$C$14:$N$14,('Calc base'!$H51:$S51&gt;'Calc base'!N51)+('Calc base'!$H51:$S51='Calc base'!N51)*('Calc base'!$C$17:$N$17&lt;'Calc base'!I$17)))))</f>
        <v>0</v>
      </c>
      <c r="AO51">
        <f>IF('Calc base'!J$14=0,0,MIN(AC51,MAX(0,$E51-SUMPRODUCT($V51:$AG51,'Calc base'!$C$14:$N$14,('Calc base'!$H51:$S51&gt;'Calc base'!O51)+('Calc base'!$H51:$S51='Calc base'!O51)*('Calc base'!$C$17:$N$17&lt;'Calc base'!J$17)))))</f>
        <v>0</v>
      </c>
      <c r="AP51">
        <f>IF('Calc base'!K$14=0,0,MIN(AD51,MAX(0,$E51-SUMPRODUCT($V51:$AG51,'Calc base'!$C$14:$N$14,('Calc base'!$H51:$S51&gt;'Calc base'!P51)+('Calc base'!$H51:$S51='Calc base'!P51)*('Calc base'!$C$17:$N$17&lt;'Calc base'!K$17)))))</f>
        <v>0</v>
      </c>
      <c r="AQ51">
        <f>IF('Calc base'!L$14=0,0,MIN(AE51,MAX(0,$E51-SUMPRODUCT($V51:$AG51,'Calc base'!$C$14:$N$14,('Calc base'!$H51:$S51&gt;'Calc base'!Q51)+('Calc base'!$H51:$S51='Calc base'!Q51)*('Calc base'!$C$17:$N$17&lt;'Calc base'!L$17)))))</f>
        <v>0</v>
      </c>
      <c r="AR51">
        <f>IF('Calc base'!M$14=0,0,MIN(AF51,MAX(0,$E51-SUMPRODUCT($V51:$AG51,'Calc base'!$C$14:$N$14,('Calc base'!$H51:$S51&gt;'Calc base'!R51)+('Calc base'!$H51:$S51='Calc base'!R51)*('Calc base'!$C$17:$N$17&lt;'Calc base'!M$17)))))</f>
        <v>0</v>
      </c>
      <c r="AS51">
        <f>IF('Calc base'!N$14=0,0,MIN(AG51,MAX(0,$E51-SUMPRODUCT($V51:$AG51,'Calc base'!$C$14:$N$14,('Calc base'!$H51:$S51&gt;'Calc base'!S51)+('Calc base'!$H51:$S51='Calc base'!S51)*('Calc base'!$C$17:$N$17&lt;'Calc base'!N$17)))))</f>
        <v>0</v>
      </c>
      <c r="AT51">
        <f>V51-AH51</f>
        <v>0</v>
      </c>
      <c r="AU51">
        <f>W51-AI51</f>
        <v>0</v>
      </c>
      <c r="AV51">
        <f>X51-AJ51</f>
        <v>0</v>
      </c>
      <c r="AW51">
        <f>Y51-AK51</f>
        <v>2830.37</v>
      </c>
      <c r="AX51">
        <f>Z51-AL51</f>
        <v>0</v>
      </c>
      <c r="AY51">
        <f>AA51-AM51</f>
        <v>450</v>
      </c>
      <c r="AZ51">
        <f>AB51-AN51</f>
        <v>0</v>
      </c>
      <c r="BA51">
        <f>AC51-AO51</f>
        <v>0</v>
      </c>
      <c r="BB51">
        <f>AD51-AP51</f>
        <v>0</v>
      </c>
      <c r="BC51">
        <f>AE51-AQ51</f>
        <v>0</v>
      </c>
      <c r="BD51">
        <f>AF51-AR51</f>
        <v>0</v>
      </c>
      <c r="BE51">
        <f>AG51-AS51</f>
        <v>0</v>
      </c>
    </row>
    <row r="52">
      <c r="A52" t="n">
        <v>22</v>
      </c>
      <c r="B52">
        <f>SUMPRODUCT(ROUND($AT51:$BE51*(1+'Calc base'!$H52:$S52),2))</f>
        <v>3295.47</v>
      </c>
      <c r="C52">
        <f>SUM(J52:U52)</f>
        <v>315</v>
      </c>
      <c r="D52">
        <f>SUM(V52:AG52)</f>
        <v>2980.47</v>
      </c>
      <c r="E52">
        <f>MAX(0,IF(Impostazioni!$B$7="No",'Calc base'!$C52-$C$31,'Calc base'!$C52-C52)+'Calc base'!$G52+'Calc base'!$F52-(B52-C52-D52))</f>
        <v>585</v>
      </c>
      <c r="F52">
        <f>SUM(AH52:AS52)</f>
        <v>585</v>
      </c>
      <c r="G52">
        <f>SUM(AT52:BE52)</f>
        <v>2395.47</v>
      </c>
      <c r="H52">
        <f>B52-G51</f>
        <v>15.0999999999999</v>
      </c>
      <c r="I52">
        <f>B52-G52</f>
        <v>900</v>
      </c>
      <c r="J52">
        <f>IF(AT51&lt;=0,0,IF(ROUND(AT51*(1+'Calc base'!H52),2)-MAX('Calc base'!C$12,ROUND('Calc base'!C$13*AT51,2))&lt;1,ROUND(AT51*(1+'Calc base'!H52),2),MAX('Calc base'!C$12,ROUND('Calc base'!C$13*AT51,2))))</f>
        <v>0</v>
      </c>
      <c r="K52">
        <f>IF(AU51&lt;=0,0,IF(ROUND(AU51*(1+'Calc base'!I52),2)-MAX('Calc base'!D$12,ROUND('Calc base'!D$13*AU51,2))&lt;1,ROUND(AU51*(1+'Calc base'!I52),2),MAX('Calc base'!D$12,ROUND('Calc base'!D$13*AU51,2))))</f>
        <v>0</v>
      </c>
      <c r="L52">
        <f>IF(AV51&lt;=0,0,IF(ROUND(AV51*(1+'Calc base'!J52),2)-MAX('Calc base'!E$12,ROUND('Calc base'!E$13*AV51,2))&lt;1,ROUND(AV51*(1+'Calc base'!J52),2),MAX('Calc base'!E$12,ROUND('Calc base'!E$13*AV51,2))))</f>
        <v>0</v>
      </c>
      <c r="M52">
        <f>IF(AW51&lt;=0,0,IF(ROUND(AW51*(1+'Calc base'!K52),2)-MAX('Calc base'!F$12,ROUND('Calc base'!F$13*AW51,2))&lt;1,ROUND(AW51*(1+'Calc base'!K52),2),MAX('Calc base'!F$12,ROUND('Calc base'!F$13*AW51,2))))</f>
        <v>265</v>
      </c>
      <c r="N52">
        <f>IF(AX51&lt;=0,0,IF(ROUND(AX51*(1+'Calc base'!L52),2)-MAX('Calc base'!G$12,ROUND('Calc base'!G$13*AX51,2))&lt;1,ROUND(AX51*(1+'Calc base'!L52),2),MAX('Calc base'!G$12,ROUND('Calc base'!G$13*AX51,2))))</f>
        <v>0</v>
      </c>
      <c r="O52">
        <f>IF(AY51&lt;=0,0,IF(ROUND(AY51*(1+'Calc base'!M52),2)-MAX('Calc base'!H$12,ROUND('Calc base'!H$13*AY51,2))&lt;1,ROUND(AY51*(1+'Calc base'!M52),2),MAX('Calc base'!H$12,ROUND('Calc base'!H$13*AY51,2))))</f>
        <v>50</v>
      </c>
      <c r="P52">
        <f>IF(AZ51&lt;=0,0,IF(ROUND(AZ51*(1+'Calc base'!N52),2)-MAX('Calc base'!I$12,ROUND('Calc base'!I$13*AZ51,2))&lt;1,ROUND(AZ51*(1+'Calc base'!N52),2),MAX('Calc base'!I$12,ROUND('Calc base'!I$13*AZ51,2))))</f>
        <v>0</v>
      </c>
      <c r="Q52">
        <f>IF(BA51&lt;=0,0,IF(ROUND(BA51*(1+'Calc base'!O52),2)-MAX('Calc base'!J$12,ROUND('Calc base'!J$13*BA51,2))&lt;1,ROUND(BA51*(1+'Calc base'!O52),2),MAX('Calc base'!J$12,ROUND('Calc base'!J$13*BA51,2))))</f>
        <v>0</v>
      </c>
      <c r="R52">
        <f>IF(BB51&lt;=0,0,IF(ROUND(BB51*(1+'Calc base'!P52),2)-MAX('Calc base'!K$12,ROUND('Calc base'!K$13*BB51,2))&lt;1,ROUND(BB51*(1+'Calc base'!P52),2),MAX('Calc base'!K$12,ROUND('Calc base'!K$13*BB51,2))))</f>
        <v>0</v>
      </c>
      <c r="S52">
        <f>IF(BC51&lt;=0,0,IF(ROUND(BC51*(1+'Calc base'!Q52),2)-MAX('Calc base'!L$12,ROUND('Calc base'!L$13*BC51,2))&lt;1,ROUND(BC51*(1+'Calc base'!Q52),2),MAX('Calc base'!L$12,ROUND('Calc base'!L$13*BC51,2))))</f>
        <v>0</v>
      </c>
      <c r="T52">
        <f>IF(BD51&lt;=0,0,IF(ROUND(BD51*(1+'Calc base'!R52),2)-MAX('Calc base'!M$12,ROUND('Calc base'!M$13*BD51,2))&lt;1,ROUND(BD51*(1+'Calc base'!R52),2),MAX('Calc base'!M$12,ROUND('Calc base'!M$13*BD51,2))))</f>
        <v>0</v>
      </c>
      <c r="U52">
        <f>IF(BE51&lt;=0,0,IF(ROUND(BE51*(1+'Calc base'!S52),2)-MAX('Calc base'!N$12,ROUND('Calc base'!N$13*BE51,2))&lt;1,ROUND(BE51*(1+'Calc base'!S52),2),MAX('Calc base'!N$12,ROUND('Calc base'!N$13*BE51,2))))</f>
        <v>0</v>
      </c>
      <c r="V52">
        <f>MAX(0,ROUND(AT51*(1+'Calc base'!H52),2)-J52-'Calc base'!T52)</f>
        <v>0</v>
      </c>
      <c r="W52">
        <f>MAX(0,ROUND(AU51*(1+'Calc base'!I52),2)-K52-'Calc base'!U52)</f>
        <v>0</v>
      </c>
      <c r="X52">
        <f>MAX(0,ROUND(AV51*(1+'Calc base'!J52),2)-L52-'Calc base'!V52)</f>
        <v>0</v>
      </c>
      <c r="Y52">
        <f>MAX(0,ROUND(AW51*(1+'Calc base'!K52),2)-M52-'Calc base'!W52)</f>
        <v>2580.47</v>
      </c>
      <c r="Z52">
        <f>MAX(0,ROUND(AX51*(1+'Calc base'!L52),2)-N52-'Calc base'!X52)</f>
        <v>0</v>
      </c>
      <c r="AA52">
        <f>MAX(0,ROUND(AY51*(1+'Calc base'!M52),2)-O52-'Calc base'!Y52)</f>
        <v>400</v>
      </c>
      <c r="AB52">
        <f>MAX(0,ROUND(AZ51*(1+'Calc base'!N52),2)-P52-'Calc base'!Z52)</f>
        <v>0</v>
      </c>
      <c r="AC52">
        <f>MAX(0,ROUND(BA51*(1+'Calc base'!O52),2)-Q52-'Calc base'!AA52)</f>
        <v>0</v>
      </c>
      <c r="AD52">
        <f>MAX(0,ROUND(BB51*(1+'Calc base'!P52),2)-R52-'Calc base'!AB52)</f>
        <v>0</v>
      </c>
      <c r="AE52">
        <f>MAX(0,ROUND(BC51*(1+'Calc base'!Q52),2)-S52-'Calc base'!AC52)</f>
        <v>0</v>
      </c>
      <c r="AF52">
        <f>MAX(0,ROUND(BD51*(1+'Calc base'!R52),2)-T52-'Calc base'!AD52)</f>
        <v>0</v>
      </c>
      <c r="AG52">
        <f>MAX(0,ROUND(BE51*(1+'Calc base'!S52),2)-U52-'Calc base'!AE52)</f>
        <v>0</v>
      </c>
      <c r="AH52">
        <f>IF('Calc base'!C$14=0,0,MIN(V52,MAX(0,$E52-SUMPRODUCT($V52:$AG52,'Calc base'!$C$14:$N$14,('Calc base'!$H52:$S52&gt;'Calc base'!H52)+('Calc base'!$H52:$S52='Calc base'!H52)*('Calc base'!$C$17:$N$17&lt;'Calc base'!C$17)))))</f>
        <v>0</v>
      </c>
      <c r="AI52">
        <f>IF('Calc base'!D$14=0,0,MIN(W52,MAX(0,$E52-SUMPRODUCT($V52:$AG52,'Calc base'!$C$14:$N$14,('Calc base'!$H52:$S52&gt;'Calc base'!I52)+('Calc base'!$H52:$S52='Calc base'!I52)*('Calc base'!$C$17:$N$17&lt;'Calc base'!D$17)))))</f>
        <v>0</v>
      </c>
      <c r="AJ52">
        <f>IF('Calc base'!E$14=0,0,MIN(X52,MAX(0,$E52-SUMPRODUCT($V52:$AG52,'Calc base'!$C$14:$N$14,('Calc base'!$H52:$S52&gt;'Calc base'!J52)+('Calc base'!$H52:$S52='Calc base'!J52)*('Calc base'!$C$17:$N$17&lt;'Calc base'!E$17)))))</f>
        <v>0</v>
      </c>
      <c r="AK52">
        <f>IF('Calc base'!F$14=0,0,MIN(Y52,MAX(0,$E52-SUMPRODUCT($V52:$AG52,'Calc base'!$C$14:$N$14,('Calc base'!$H52:$S52&gt;'Calc base'!K52)+('Calc base'!$H52:$S52='Calc base'!K52)*('Calc base'!$C$17:$N$17&lt;'Calc base'!F$17)))))</f>
        <v>585</v>
      </c>
      <c r="AL52">
        <f>IF('Calc base'!G$14=0,0,MIN(Z52,MAX(0,$E52-SUMPRODUCT($V52:$AG52,'Calc base'!$C$14:$N$14,('Calc base'!$H52:$S52&gt;'Calc base'!L52)+('Calc base'!$H52:$S52='Calc base'!L52)*('Calc base'!$C$17:$N$17&lt;'Calc base'!G$17)))))</f>
        <v>0</v>
      </c>
      <c r="AM52">
        <f>IF('Calc base'!H$14=0,0,MIN(AA52,MAX(0,$E52-SUMPRODUCT($V52:$AG52,'Calc base'!$C$14:$N$14,('Calc base'!$H52:$S52&gt;'Calc base'!M52)+('Calc base'!$H52:$S52='Calc base'!M52)*('Calc base'!$C$17:$N$17&lt;'Calc base'!H$17)))))</f>
        <v>0</v>
      </c>
      <c r="AN52">
        <f>IF('Calc base'!I$14=0,0,MIN(AB52,MAX(0,$E52-SUMPRODUCT($V52:$AG52,'Calc base'!$C$14:$N$14,('Calc base'!$H52:$S52&gt;'Calc base'!N52)+('Calc base'!$H52:$S52='Calc base'!N52)*('Calc base'!$C$17:$N$17&lt;'Calc base'!I$17)))))</f>
        <v>0</v>
      </c>
      <c r="AO52">
        <f>IF('Calc base'!J$14=0,0,MIN(AC52,MAX(0,$E52-SUMPRODUCT($V52:$AG52,'Calc base'!$C$14:$N$14,('Calc base'!$H52:$S52&gt;'Calc base'!O52)+('Calc base'!$H52:$S52='Calc base'!O52)*('Calc base'!$C$17:$N$17&lt;'Calc base'!J$17)))))</f>
        <v>0</v>
      </c>
      <c r="AP52">
        <f>IF('Calc base'!K$14=0,0,MIN(AD52,MAX(0,$E52-SUMPRODUCT($V52:$AG52,'Calc base'!$C$14:$N$14,('Calc base'!$H52:$S52&gt;'Calc base'!P52)+('Calc base'!$H52:$S52='Calc base'!P52)*('Calc base'!$C$17:$N$17&lt;'Calc base'!K$17)))))</f>
        <v>0</v>
      </c>
      <c r="AQ52">
        <f>IF('Calc base'!L$14=0,0,MIN(AE52,MAX(0,$E52-SUMPRODUCT($V52:$AG52,'Calc base'!$C$14:$N$14,('Calc base'!$H52:$S52&gt;'Calc base'!Q52)+('Calc base'!$H52:$S52='Calc base'!Q52)*('Calc base'!$C$17:$N$17&lt;'Calc base'!L$17)))))</f>
        <v>0</v>
      </c>
      <c r="AR52">
        <f>IF('Calc base'!M$14=0,0,MIN(AF52,MAX(0,$E52-SUMPRODUCT($V52:$AG52,'Calc base'!$C$14:$N$14,('Calc base'!$H52:$S52&gt;'Calc base'!R52)+('Calc base'!$H52:$S52='Calc base'!R52)*('Calc base'!$C$17:$N$17&lt;'Calc base'!M$17)))))</f>
        <v>0</v>
      </c>
      <c r="AS52">
        <f>IF('Calc base'!N$14=0,0,MIN(AG52,MAX(0,$E52-SUMPRODUCT($V52:$AG52,'Calc base'!$C$14:$N$14,('Calc base'!$H52:$S52&gt;'Calc base'!S52)+('Calc base'!$H52:$S52='Calc base'!S52)*('Calc base'!$C$17:$N$17&lt;'Calc base'!N$17)))))</f>
        <v>0</v>
      </c>
      <c r="AT52">
        <f>V52-AH52</f>
        <v>0</v>
      </c>
      <c r="AU52">
        <f>W52-AI52</f>
        <v>0</v>
      </c>
      <c r="AV52">
        <f>X52-AJ52</f>
        <v>0</v>
      </c>
      <c r="AW52">
        <f>Y52-AK52</f>
        <v>1995.47</v>
      </c>
      <c r="AX52">
        <f>Z52-AL52</f>
        <v>0</v>
      </c>
      <c r="AY52">
        <f>AA52-AM52</f>
        <v>400</v>
      </c>
      <c r="AZ52">
        <f>AB52-AN52</f>
        <v>0</v>
      </c>
      <c r="BA52">
        <f>AC52-AO52</f>
        <v>0</v>
      </c>
      <c r="BB52">
        <f>AD52-AP52</f>
        <v>0</v>
      </c>
      <c r="BC52">
        <f>AE52-AQ52</f>
        <v>0</v>
      </c>
      <c r="BD52">
        <f>AF52-AR52</f>
        <v>0</v>
      </c>
      <c r="BE52">
        <f>AG52-AS52</f>
        <v>0</v>
      </c>
    </row>
    <row r="53">
      <c r="A53" t="n">
        <v>23</v>
      </c>
      <c r="B53">
        <f>SUMPRODUCT(ROUND($AT52:$BE52*(1+'Calc base'!$H53:$S53),2))</f>
        <v>2406.11</v>
      </c>
      <c r="C53">
        <f>SUM(J53:U53)</f>
        <v>315</v>
      </c>
      <c r="D53">
        <f>SUM(V53:AG53)</f>
        <v>2091.11</v>
      </c>
      <c r="E53">
        <f>MAX(0,IF(Impostazioni!$B$7="No",'Calc base'!$C53-$C$31,'Calc base'!$C53-C53)+'Calc base'!$G53+'Calc base'!$F53-(B53-C53-D53))</f>
        <v>585</v>
      </c>
      <c r="F53">
        <f>SUM(AH53:AS53)</f>
        <v>585</v>
      </c>
      <c r="G53">
        <f>SUM(AT53:BE53)</f>
        <v>1506.11</v>
      </c>
      <c r="H53">
        <f>B53-G52</f>
        <v>10.6399999999999</v>
      </c>
      <c r="I53">
        <f>B53-G53</f>
        <v>900</v>
      </c>
      <c r="J53">
        <f>IF(AT52&lt;=0,0,IF(ROUND(AT52*(1+'Calc base'!H53),2)-MAX('Calc base'!C$12,ROUND('Calc base'!C$13*AT52,2))&lt;1,ROUND(AT52*(1+'Calc base'!H53),2),MAX('Calc base'!C$12,ROUND('Calc base'!C$13*AT52,2))))</f>
        <v>0</v>
      </c>
      <c r="K53">
        <f>IF(AU52&lt;=0,0,IF(ROUND(AU52*(1+'Calc base'!I53),2)-MAX('Calc base'!D$12,ROUND('Calc base'!D$13*AU52,2))&lt;1,ROUND(AU52*(1+'Calc base'!I53),2),MAX('Calc base'!D$12,ROUND('Calc base'!D$13*AU52,2))))</f>
        <v>0</v>
      </c>
      <c r="L53">
        <f>IF(AV52&lt;=0,0,IF(ROUND(AV52*(1+'Calc base'!J53),2)-MAX('Calc base'!E$12,ROUND('Calc base'!E$13*AV52,2))&lt;1,ROUND(AV52*(1+'Calc base'!J53),2),MAX('Calc base'!E$12,ROUND('Calc base'!E$13*AV52,2))))</f>
        <v>0</v>
      </c>
      <c r="M53">
        <f>IF(AW52&lt;=0,0,IF(ROUND(AW52*(1+'Calc base'!K53),2)-MAX('Calc base'!F$12,ROUND('Calc base'!F$13*AW52,2))&lt;1,ROUND(AW52*(1+'Calc base'!K53),2),MAX('Calc base'!F$12,ROUND('Calc base'!F$13*AW52,2))))</f>
        <v>265</v>
      </c>
      <c r="N53">
        <f>IF(AX52&lt;=0,0,IF(ROUND(AX52*(1+'Calc base'!L53),2)-MAX('Calc base'!G$12,ROUND('Calc base'!G$13*AX52,2))&lt;1,ROUND(AX52*(1+'Calc base'!L53),2),MAX('Calc base'!G$12,ROUND('Calc base'!G$13*AX52,2))))</f>
        <v>0</v>
      </c>
      <c r="O53">
        <f>IF(AY52&lt;=0,0,IF(ROUND(AY52*(1+'Calc base'!M53),2)-MAX('Calc base'!H$12,ROUND('Calc base'!H$13*AY52,2))&lt;1,ROUND(AY52*(1+'Calc base'!M53),2),MAX('Calc base'!H$12,ROUND('Calc base'!H$13*AY52,2))))</f>
        <v>50</v>
      </c>
      <c r="P53">
        <f>IF(AZ52&lt;=0,0,IF(ROUND(AZ52*(1+'Calc base'!N53),2)-MAX('Calc base'!I$12,ROUND('Calc base'!I$13*AZ52,2))&lt;1,ROUND(AZ52*(1+'Calc base'!N53),2),MAX('Calc base'!I$12,ROUND('Calc base'!I$13*AZ52,2))))</f>
        <v>0</v>
      </c>
      <c r="Q53">
        <f>IF(BA52&lt;=0,0,IF(ROUND(BA52*(1+'Calc base'!O53),2)-MAX('Calc base'!J$12,ROUND('Calc base'!J$13*BA52,2))&lt;1,ROUND(BA52*(1+'Calc base'!O53),2),MAX('Calc base'!J$12,ROUND('Calc base'!J$13*BA52,2))))</f>
        <v>0</v>
      </c>
      <c r="R53">
        <f>IF(BB52&lt;=0,0,IF(ROUND(BB52*(1+'Calc base'!P53),2)-MAX('Calc base'!K$12,ROUND('Calc base'!K$13*BB52,2))&lt;1,ROUND(BB52*(1+'Calc base'!P53),2),MAX('Calc base'!K$12,ROUND('Calc base'!K$13*BB52,2))))</f>
        <v>0</v>
      </c>
      <c r="S53">
        <f>IF(BC52&lt;=0,0,IF(ROUND(BC52*(1+'Calc base'!Q53),2)-MAX('Calc base'!L$12,ROUND('Calc base'!L$13*BC52,2))&lt;1,ROUND(BC52*(1+'Calc base'!Q53),2),MAX('Calc base'!L$12,ROUND('Calc base'!L$13*BC52,2))))</f>
        <v>0</v>
      </c>
      <c r="T53">
        <f>IF(BD52&lt;=0,0,IF(ROUND(BD52*(1+'Calc base'!R53),2)-MAX('Calc base'!M$12,ROUND('Calc base'!M$13*BD52,2))&lt;1,ROUND(BD52*(1+'Calc base'!R53),2),MAX('Calc base'!M$12,ROUND('Calc base'!M$13*BD52,2))))</f>
        <v>0</v>
      </c>
      <c r="U53">
        <f>IF(BE52&lt;=0,0,IF(ROUND(BE52*(1+'Calc base'!S53),2)-MAX('Calc base'!N$12,ROUND('Calc base'!N$13*BE52,2))&lt;1,ROUND(BE52*(1+'Calc base'!S53),2),MAX('Calc base'!N$12,ROUND('Calc base'!N$13*BE52,2))))</f>
        <v>0</v>
      </c>
      <c r="V53">
        <f>MAX(0,ROUND(AT52*(1+'Calc base'!H53),2)-J53-'Calc base'!T53)</f>
        <v>0</v>
      </c>
      <c r="W53">
        <f>MAX(0,ROUND(AU52*(1+'Calc base'!I53),2)-K53-'Calc base'!U53)</f>
        <v>0</v>
      </c>
      <c r="X53">
        <f>MAX(0,ROUND(AV52*(1+'Calc base'!J53),2)-L53-'Calc base'!V53)</f>
        <v>0</v>
      </c>
      <c r="Y53">
        <f>MAX(0,ROUND(AW52*(1+'Calc base'!K53),2)-M53-'Calc base'!W53)</f>
        <v>1741.11</v>
      </c>
      <c r="Z53">
        <f>MAX(0,ROUND(AX52*(1+'Calc base'!L53),2)-N53-'Calc base'!X53)</f>
        <v>0</v>
      </c>
      <c r="AA53">
        <f>MAX(0,ROUND(AY52*(1+'Calc base'!M53),2)-O53-'Calc base'!Y53)</f>
        <v>350</v>
      </c>
      <c r="AB53">
        <f>MAX(0,ROUND(AZ52*(1+'Calc base'!N53),2)-P53-'Calc base'!Z53)</f>
        <v>0</v>
      </c>
      <c r="AC53">
        <f>MAX(0,ROUND(BA52*(1+'Calc base'!O53),2)-Q53-'Calc base'!AA53)</f>
        <v>0</v>
      </c>
      <c r="AD53">
        <f>MAX(0,ROUND(BB52*(1+'Calc base'!P53),2)-R53-'Calc base'!AB53)</f>
        <v>0</v>
      </c>
      <c r="AE53">
        <f>MAX(0,ROUND(BC52*(1+'Calc base'!Q53),2)-S53-'Calc base'!AC53)</f>
        <v>0</v>
      </c>
      <c r="AF53">
        <f>MAX(0,ROUND(BD52*(1+'Calc base'!R53),2)-T53-'Calc base'!AD53)</f>
        <v>0</v>
      </c>
      <c r="AG53">
        <f>MAX(0,ROUND(BE52*(1+'Calc base'!S53),2)-U53-'Calc base'!AE53)</f>
        <v>0</v>
      </c>
      <c r="AH53">
        <f>IF('Calc base'!C$14=0,0,MIN(V53,MAX(0,$E53-SUMPRODUCT($V53:$AG53,'Calc base'!$C$14:$N$14,('Calc base'!$H53:$S53&gt;'Calc base'!H53)+('Calc base'!$H53:$S53='Calc base'!H53)*('Calc base'!$C$17:$N$17&lt;'Calc base'!C$17)))))</f>
        <v>0</v>
      </c>
      <c r="AI53">
        <f>IF('Calc base'!D$14=0,0,MIN(W53,MAX(0,$E53-SUMPRODUCT($V53:$AG53,'Calc base'!$C$14:$N$14,('Calc base'!$H53:$S53&gt;'Calc base'!I53)+('Calc base'!$H53:$S53='Calc base'!I53)*('Calc base'!$C$17:$N$17&lt;'Calc base'!D$17)))))</f>
        <v>0</v>
      </c>
      <c r="AJ53">
        <f>IF('Calc base'!E$14=0,0,MIN(X53,MAX(0,$E53-SUMPRODUCT($V53:$AG53,'Calc base'!$C$14:$N$14,('Calc base'!$H53:$S53&gt;'Calc base'!J53)+('Calc base'!$H53:$S53='Calc base'!J53)*('Calc base'!$C$17:$N$17&lt;'Calc base'!E$17)))))</f>
        <v>0</v>
      </c>
      <c r="AK53">
        <f>IF('Calc base'!F$14=0,0,MIN(Y53,MAX(0,$E53-SUMPRODUCT($V53:$AG53,'Calc base'!$C$14:$N$14,('Calc base'!$H53:$S53&gt;'Calc base'!K53)+('Calc base'!$H53:$S53='Calc base'!K53)*('Calc base'!$C$17:$N$17&lt;'Calc base'!F$17)))))</f>
        <v>585</v>
      </c>
      <c r="AL53">
        <f>IF('Calc base'!G$14=0,0,MIN(Z53,MAX(0,$E53-SUMPRODUCT($V53:$AG53,'Calc base'!$C$14:$N$14,('Calc base'!$H53:$S53&gt;'Calc base'!L53)+('Calc base'!$H53:$S53='Calc base'!L53)*('Calc base'!$C$17:$N$17&lt;'Calc base'!G$17)))))</f>
        <v>0</v>
      </c>
      <c r="AM53">
        <f>IF('Calc base'!H$14=0,0,MIN(AA53,MAX(0,$E53-SUMPRODUCT($V53:$AG53,'Calc base'!$C$14:$N$14,('Calc base'!$H53:$S53&gt;'Calc base'!M53)+('Calc base'!$H53:$S53='Calc base'!M53)*('Calc base'!$C$17:$N$17&lt;'Calc base'!H$17)))))</f>
        <v>0</v>
      </c>
      <c r="AN53">
        <f>IF('Calc base'!I$14=0,0,MIN(AB53,MAX(0,$E53-SUMPRODUCT($V53:$AG53,'Calc base'!$C$14:$N$14,('Calc base'!$H53:$S53&gt;'Calc base'!N53)+('Calc base'!$H53:$S53='Calc base'!N53)*('Calc base'!$C$17:$N$17&lt;'Calc base'!I$17)))))</f>
        <v>0</v>
      </c>
      <c r="AO53">
        <f>IF('Calc base'!J$14=0,0,MIN(AC53,MAX(0,$E53-SUMPRODUCT($V53:$AG53,'Calc base'!$C$14:$N$14,('Calc base'!$H53:$S53&gt;'Calc base'!O53)+('Calc base'!$H53:$S53='Calc base'!O53)*('Calc base'!$C$17:$N$17&lt;'Calc base'!J$17)))))</f>
        <v>0</v>
      </c>
      <c r="AP53">
        <f>IF('Calc base'!K$14=0,0,MIN(AD53,MAX(0,$E53-SUMPRODUCT($V53:$AG53,'Calc base'!$C$14:$N$14,('Calc base'!$H53:$S53&gt;'Calc base'!P53)+('Calc base'!$H53:$S53='Calc base'!P53)*('Calc base'!$C$17:$N$17&lt;'Calc base'!K$17)))))</f>
        <v>0</v>
      </c>
      <c r="AQ53">
        <f>IF('Calc base'!L$14=0,0,MIN(AE53,MAX(0,$E53-SUMPRODUCT($V53:$AG53,'Calc base'!$C$14:$N$14,('Calc base'!$H53:$S53&gt;'Calc base'!Q53)+('Calc base'!$H53:$S53='Calc base'!Q53)*('Calc base'!$C$17:$N$17&lt;'Calc base'!L$17)))))</f>
        <v>0</v>
      </c>
      <c r="AR53">
        <f>IF('Calc base'!M$14=0,0,MIN(AF53,MAX(0,$E53-SUMPRODUCT($V53:$AG53,'Calc base'!$C$14:$N$14,('Calc base'!$H53:$S53&gt;'Calc base'!R53)+('Calc base'!$H53:$S53='Calc base'!R53)*('Calc base'!$C$17:$N$17&lt;'Calc base'!M$17)))))</f>
        <v>0</v>
      </c>
      <c r="AS53">
        <f>IF('Calc base'!N$14=0,0,MIN(AG53,MAX(0,$E53-SUMPRODUCT($V53:$AG53,'Calc base'!$C$14:$N$14,('Calc base'!$H53:$S53&gt;'Calc base'!S53)+('Calc base'!$H53:$S53='Calc base'!S53)*('Calc base'!$C$17:$N$17&lt;'Calc base'!N$17)))))</f>
        <v>0</v>
      </c>
      <c r="AT53">
        <f>V53-AH53</f>
        <v>0</v>
      </c>
      <c r="AU53">
        <f>W53-AI53</f>
        <v>0</v>
      </c>
      <c r="AV53">
        <f>X53-AJ53</f>
        <v>0</v>
      </c>
      <c r="AW53">
        <f>Y53-AK53</f>
        <v>1156.11</v>
      </c>
      <c r="AX53">
        <f>Z53-AL53</f>
        <v>0</v>
      </c>
      <c r="AY53">
        <f>AA53-AM53</f>
        <v>350</v>
      </c>
      <c r="AZ53">
        <f>AB53-AN53</f>
        <v>0</v>
      </c>
      <c r="BA53">
        <f>AC53-AO53</f>
        <v>0</v>
      </c>
      <c r="BB53">
        <f>AD53-AP53</f>
        <v>0</v>
      </c>
      <c r="BC53">
        <f>AE53-AQ53</f>
        <v>0</v>
      </c>
      <c r="BD53">
        <f>AF53-AR53</f>
        <v>0</v>
      </c>
      <c r="BE53">
        <f>AG53-AS53</f>
        <v>0</v>
      </c>
    </row>
    <row r="54">
      <c r="A54" t="n">
        <v>24</v>
      </c>
      <c r="B54">
        <f>SUMPRODUCT(ROUND($AT53:$BE53*(1+'Calc base'!$H54:$S54),2))</f>
        <v>1512.28</v>
      </c>
      <c r="C54">
        <f>SUM(J54:U54)</f>
        <v>315</v>
      </c>
      <c r="D54">
        <f>SUM(V54:AG54)</f>
        <v>1197.28</v>
      </c>
      <c r="E54">
        <f>MAX(0,IF(Impostazioni!$B$7="No",'Calc base'!$C54-$C$31,'Calc base'!$C54-C54)+'Calc base'!$G54+'Calc base'!$F54-(B54-C54-D54))</f>
        <v>585</v>
      </c>
      <c r="F54">
        <f>SUM(AH54:AS54)</f>
        <v>585</v>
      </c>
      <c r="G54">
        <f>SUM(AT54:BE54)</f>
        <v>612.28</v>
      </c>
      <c r="H54">
        <f>B54-G53</f>
        <v>6.17000000000007</v>
      </c>
      <c r="I54">
        <f>B54-G54</f>
        <v>900</v>
      </c>
      <c r="J54">
        <f>IF(AT53&lt;=0,0,IF(ROUND(AT53*(1+'Calc base'!H54),2)-MAX('Calc base'!C$12,ROUND('Calc base'!C$13*AT53,2))&lt;1,ROUND(AT53*(1+'Calc base'!H54),2),MAX('Calc base'!C$12,ROUND('Calc base'!C$13*AT53,2))))</f>
        <v>0</v>
      </c>
      <c r="K54">
        <f>IF(AU53&lt;=0,0,IF(ROUND(AU53*(1+'Calc base'!I54),2)-MAX('Calc base'!D$12,ROUND('Calc base'!D$13*AU53,2))&lt;1,ROUND(AU53*(1+'Calc base'!I54),2),MAX('Calc base'!D$12,ROUND('Calc base'!D$13*AU53,2))))</f>
        <v>0</v>
      </c>
      <c r="L54">
        <f>IF(AV53&lt;=0,0,IF(ROUND(AV53*(1+'Calc base'!J54),2)-MAX('Calc base'!E$12,ROUND('Calc base'!E$13*AV53,2))&lt;1,ROUND(AV53*(1+'Calc base'!J54),2),MAX('Calc base'!E$12,ROUND('Calc base'!E$13*AV53,2))))</f>
        <v>0</v>
      </c>
      <c r="M54">
        <f>IF(AW53&lt;=0,0,IF(ROUND(AW53*(1+'Calc base'!K54),2)-MAX('Calc base'!F$12,ROUND('Calc base'!F$13*AW53,2))&lt;1,ROUND(AW53*(1+'Calc base'!K54),2),MAX('Calc base'!F$12,ROUND('Calc base'!F$13*AW53,2))))</f>
        <v>265</v>
      </c>
      <c r="N54">
        <f>IF(AX53&lt;=0,0,IF(ROUND(AX53*(1+'Calc base'!L54),2)-MAX('Calc base'!G$12,ROUND('Calc base'!G$13*AX53,2))&lt;1,ROUND(AX53*(1+'Calc base'!L54),2),MAX('Calc base'!G$12,ROUND('Calc base'!G$13*AX53,2))))</f>
        <v>0</v>
      </c>
      <c r="O54">
        <f>IF(AY53&lt;=0,0,IF(ROUND(AY53*(1+'Calc base'!M54),2)-MAX('Calc base'!H$12,ROUND('Calc base'!H$13*AY53,2))&lt;1,ROUND(AY53*(1+'Calc base'!M54),2),MAX('Calc base'!H$12,ROUND('Calc base'!H$13*AY53,2))))</f>
        <v>50</v>
      </c>
      <c r="P54">
        <f>IF(AZ53&lt;=0,0,IF(ROUND(AZ53*(1+'Calc base'!N54),2)-MAX('Calc base'!I$12,ROUND('Calc base'!I$13*AZ53,2))&lt;1,ROUND(AZ53*(1+'Calc base'!N54),2),MAX('Calc base'!I$12,ROUND('Calc base'!I$13*AZ53,2))))</f>
        <v>0</v>
      </c>
      <c r="Q54">
        <f>IF(BA53&lt;=0,0,IF(ROUND(BA53*(1+'Calc base'!O54),2)-MAX('Calc base'!J$12,ROUND('Calc base'!J$13*BA53,2))&lt;1,ROUND(BA53*(1+'Calc base'!O54),2),MAX('Calc base'!J$12,ROUND('Calc base'!J$13*BA53,2))))</f>
        <v>0</v>
      </c>
      <c r="R54">
        <f>IF(BB53&lt;=0,0,IF(ROUND(BB53*(1+'Calc base'!P54),2)-MAX('Calc base'!K$12,ROUND('Calc base'!K$13*BB53,2))&lt;1,ROUND(BB53*(1+'Calc base'!P54),2),MAX('Calc base'!K$12,ROUND('Calc base'!K$13*BB53,2))))</f>
        <v>0</v>
      </c>
      <c r="S54">
        <f>IF(BC53&lt;=0,0,IF(ROUND(BC53*(1+'Calc base'!Q54),2)-MAX('Calc base'!L$12,ROUND('Calc base'!L$13*BC53,2))&lt;1,ROUND(BC53*(1+'Calc base'!Q54),2),MAX('Calc base'!L$12,ROUND('Calc base'!L$13*BC53,2))))</f>
        <v>0</v>
      </c>
      <c r="T54">
        <f>IF(BD53&lt;=0,0,IF(ROUND(BD53*(1+'Calc base'!R54),2)-MAX('Calc base'!M$12,ROUND('Calc base'!M$13*BD53,2))&lt;1,ROUND(BD53*(1+'Calc base'!R54),2),MAX('Calc base'!M$12,ROUND('Calc base'!M$13*BD53,2))))</f>
        <v>0</v>
      </c>
      <c r="U54">
        <f>IF(BE53&lt;=0,0,IF(ROUND(BE53*(1+'Calc base'!S54),2)-MAX('Calc base'!N$12,ROUND('Calc base'!N$13*BE53,2))&lt;1,ROUND(BE53*(1+'Calc base'!S54),2),MAX('Calc base'!N$12,ROUND('Calc base'!N$13*BE53,2))))</f>
        <v>0</v>
      </c>
      <c r="V54">
        <f>MAX(0,ROUND(AT53*(1+'Calc base'!H54),2)-J54-'Calc base'!T54)</f>
        <v>0</v>
      </c>
      <c r="W54">
        <f>MAX(0,ROUND(AU53*(1+'Calc base'!I54),2)-K54-'Calc base'!U54)</f>
        <v>0</v>
      </c>
      <c r="X54">
        <f>MAX(0,ROUND(AV53*(1+'Calc base'!J54),2)-L54-'Calc base'!V54)</f>
        <v>0</v>
      </c>
      <c r="Y54">
        <f>MAX(0,ROUND(AW53*(1+'Calc base'!K54),2)-M54-'Calc base'!W54)</f>
        <v>897.28</v>
      </c>
      <c r="Z54">
        <f>MAX(0,ROUND(AX53*(1+'Calc base'!L54),2)-N54-'Calc base'!X54)</f>
        <v>0</v>
      </c>
      <c r="AA54">
        <f>MAX(0,ROUND(AY53*(1+'Calc base'!M54),2)-O54-'Calc base'!Y54)</f>
        <v>300</v>
      </c>
      <c r="AB54">
        <f>MAX(0,ROUND(AZ53*(1+'Calc base'!N54),2)-P54-'Calc base'!Z54)</f>
        <v>0</v>
      </c>
      <c r="AC54">
        <f>MAX(0,ROUND(BA53*(1+'Calc base'!O54),2)-Q54-'Calc base'!AA54)</f>
        <v>0</v>
      </c>
      <c r="AD54">
        <f>MAX(0,ROUND(BB53*(1+'Calc base'!P54),2)-R54-'Calc base'!AB54)</f>
        <v>0</v>
      </c>
      <c r="AE54">
        <f>MAX(0,ROUND(BC53*(1+'Calc base'!Q54),2)-S54-'Calc base'!AC54)</f>
        <v>0</v>
      </c>
      <c r="AF54">
        <f>MAX(0,ROUND(BD53*(1+'Calc base'!R54),2)-T54-'Calc base'!AD54)</f>
        <v>0</v>
      </c>
      <c r="AG54">
        <f>MAX(0,ROUND(BE53*(1+'Calc base'!S54),2)-U54-'Calc base'!AE54)</f>
        <v>0</v>
      </c>
      <c r="AH54">
        <f>IF('Calc base'!C$14=0,0,MIN(V54,MAX(0,$E54-SUMPRODUCT($V54:$AG54,'Calc base'!$C$14:$N$14,('Calc base'!$H54:$S54&gt;'Calc base'!H54)+('Calc base'!$H54:$S54='Calc base'!H54)*('Calc base'!$C$17:$N$17&lt;'Calc base'!C$17)))))</f>
        <v>0</v>
      </c>
      <c r="AI54">
        <f>IF('Calc base'!D$14=0,0,MIN(W54,MAX(0,$E54-SUMPRODUCT($V54:$AG54,'Calc base'!$C$14:$N$14,('Calc base'!$H54:$S54&gt;'Calc base'!I54)+('Calc base'!$H54:$S54='Calc base'!I54)*('Calc base'!$C$17:$N$17&lt;'Calc base'!D$17)))))</f>
        <v>0</v>
      </c>
      <c r="AJ54">
        <f>IF('Calc base'!E$14=0,0,MIN(X54,MAX(0,$E54-SUMPRODUCT($V54:$AG54,'Calc base'!$C$14:$N$14,('Calc base'!$H54:$S54&gt;'Calc base'!J54)+('Calc base'!$H54:$S54='Calc base'!J54)*('Calc base'!$C$17:$N$17&lt;'Calc base'!E$17)))))</f>
        <v>0</v>
      </c>
      <c r="AK54">
        <f>IF('Calc base'!F$14=0,0,MIN(Y54,MAX(0,$E54-SUMPRODUCT($V54:$AG54,'Calc base'!$C$14:$N$14,('Calc base'!$H54:$S54&gt;'Calc base'!K54)+('Calc base'!$H54:$S54='Calc base'!K54)*('Calc base'!$C$17:$N$17&lt;'Calc base'!F$17)))))</f>
        <v>585</v>
      </c>
      <c r="AL54">
        <f>IF('Calc base'!G$14=0,0,MIN(Z54,MAX(0,$E54-SUMPRODUCT($V54:$AG54,'Calc base'!$C$14:$N$14,('Calc base'!$H54:$S54&gt;'Calc base'!L54)+('Calc base'!$H54:$S54='Calc base'!L54)*('Calc base'!$C$17:$N$17&lt;'Calc base'!G$17)))))</f>
        <v>0</v>
      </c>
      <c r="AM54">
        <f>IF('Calc base'!H$14=0,0,MIN(AA54,MAX(0,$E54-SUMPRODUCT($V54:$AG54,'Calc base'!$C$14:$N$14,('Calc base'!$H54:$S54&gt;'Calc base'!M54)+('Calc base'!$H54:$S54='Calc base'!M54)*('Calc base'!$C$17:$N$17&lt;'Calc base'!H$17)))))</f>
        <v>0</v>
      </c>
      <c r="AN54">
        <f>IF('Calc base'!I$14=0,0,MIN(AB54,MAX(0,$E54-SUMPRODUCT($V54:$AG54,'Calc base'!$C$14:$N$14,('Calc base'!$H54:$S54&gt;'Calc base'!N54)+('Calc base'!$H54:$S54='Calc base'!N54)*('Calc base'!$C$17:$N$17&lt;'Calc base'!I$17)))))</f>
        <v>0</v>
      </c>
      <c r="AO54">
        <f>IF('Calc base'!J$14=0,0,MIN(AC54,MAX(0,$E54-SUMPRODUCT($V54:$AG54,'Calc base'!$C$14:$N$14,('Calc base'!$H54:$S54&gt;'Calc base'!O54)+('Calc base'!$H54:$S54='Calc base'!O54)*('Calc base'!$C$17:$N$17&lt;'Calc base'!J$17)))))</f>
        <v>0</v>
      </c>
      <c r="AP54">
        <f>IF('Calc base'!K$14=0,0,MIN(AD54,MAX(0,$E54-SUMPRODUCT($V54:$AG54,'Calc base'!$C$14:$N$14,('Calc base'!$H54:$S54&gt;'Calc base'!P54)+('Calc base'!$H54:$S54='Calc base'!P54)*('Calc base'!$C$17:$N$17&lt;'Calc base'!K$17)))))</f>
        <v>0</v>
      </c>
      <c r="AQ54">
        <f>IF('Calc base'!L$14=0,0,MIN(AE54,MAX(0,$E54-SUMPRODUCT($V54:$AG54,'Calc base'!$C$14:$N$14,('Calc base'!$H54:$S54&gt;'Calc base'!Q54)+('Calc base'!$H54:$S54='Calc base'!Q54)*('Calc base'!$C$17:$N$17&lt;'Calc base'!L$17)))))</f>
        <v>0</v>
      </c>
      <c r="AR54">
        <f>IF('Calc base'!M$14=0,0,MIN(AF54,MAX(0,$E54-SUMPRODUCT($V54:$AG54,'Calc base'!$C$14:$N$14,('Calc base'!$H54:$S54&gt;'Calc base'!R54)+('Calc base'!$H54:$S54='Calc base'!R54)*('Calc base'!$C$17:$N$17&lt;'Calc base'!M$17)))))</f>
        <v>0</v>
      </c>
      <c r="AS54">
        <f>IF('Calc base'!N$14=0,0,MIN(AG54,MAX(0,$E54-SUMPRODUCT($V54:$AG54,'Calc base'!$C$14:$N$14,('Calc base'!$H54:$S54&gt;'Calc base'!S54)+('Calc base'!$H54:$S54='Calc base'!S54)*('Calc base'!$C$17:$N$17&lt;'Calc base'!N$17)))))</f>
        <v>0</v>
      </c>
      <c r="AT54">
        <f>V54-AH54</f>
        <v>0</v>
      </c>
      <c r="AU54">
        <f>W54-AI54</f>
        <v>0</v>
      </c>
      <c r="AV54">
        <f>X54-AJ54</f>
        <v>0</v>
      </c>
      <c r="AW54">
        <f>Y54-AK54</f>
        <v>312.28</v>
      </c>
      <c r="AX54">
        <f>Z54-AL54</f>
        <v>0</v>
      </c>
      <c r="AY54">
        <f>AA54-AM54</f>
        <v>300</v>
      </c>
      <c r="AZ54">
        <f>AB54-AN54</f>
        <v>0</v>
      </c>
      <c r="BA54">
        <f>AC54-AO54</f>
        <v>0</v>
      </c>
      <c r="BB54">
        <f>AD54-AP54</f>
        <v>0</v>
      </c>
      <c r="BC54">
        <f>AE54-AQ54</f>
        <v>0</v>
      </c>
      <c r="BD54">
        <f>AF54-AR54</f>
        <v>0</v>
      </c>
      <c r="BE54">
        <f>AG54-AS54</f>
        <v>0</v>
      </c>
    </row>
    <row r="55">
      <c r="A55" t="n">
        <v>25</v>
      </c>
      <c r="B55">
        <f>SUMPRODUCT(ROUND($AT54:$BE54*(1+'Calc base'!$H55:$S55),2))</f>
        <v>613.95</v>
      </c>
      <c r="C55">
        <f>SUM(J55:U55)</f>
        <v>315</v>
      </c>
      <c r="D55">
        <f>SUM(V55:AG55)</f>
        <v>298.95</v>
      </c>
      <c r="E55">
        <f>MAX(0,IF(Impostazioni!$B$7="No",'Calc base'!$C55-$C$31,'Calc base'!$C55-C55)+'Calc base'!$G55+'Calc base'!$F55-(B55-C55-D55))</f>
        <v>585</v>
      </c>
      <c r="F55">
        <f>SUM(AH55:AS55)</f>
        <v>298.95</v>
      </c>
      <c r="G55">
        <f>SUM(AT55:BE55)</f>
        <v>0</v>
      </c>
      <c r="H55">
        <f>B55-G54</f>
        <v>1.67000000000007</v>
      </c>
      <c r="I55">
        <f>B55-G55</f>
        <v>613.95</v>
      </c>
      <c r="J55">
        <f>IF(AT54&lt;=0,0,IF(ROUND(AT54*(1+'Calc base'!H55),2)-MAX('Calc base'!C$12,ROUND('Calc base'!C$13*AT54,2))&lt;1,ROUND(AT54*(1+'Calc base'!H55),2),MAX('Calc base'!C$12,ROUND('Calc base'!C$13*AT54,2))))</f>
        <v>0</v>
      </c>
      <c r="K55">
        <f>IF(AU54&lt;=0,0,IF(ROUND(AU54*(1+'Calc base'!I55),2)-MAX('Calc base'!D$12,ROUND('Calc base'!D$13*AU54,2))&lt;1,ROUND(AU54*(1+'Calc base'!I55),2),MAX('Calc base'!D$12,ROUND('Calc base'!D$13*AU54,2))))</f>
        <v>0</v>
      </c>
      <c r="L55">
        <f>IF(AV54&lt;=0,0,IF(ROUND(AV54*(1+'Calc base'!J55),2)-MAX('Calc base'!E$12,ROUND('Calc base'!E$13*AV54,2))&lt;1,ROUND(AV54*(1+'Calc base'!J55),2),MAX('Calc base'!E$12,ROUND('Calc base'!E$13*AV54,2))))</f>
        <v>0</v>
      </c>
      <c r="M55">
        <f>IF(AW54&lt;=0,0,IF(ROUND(AW54*(1+'Calc base'!K55),2)-MAX('Calc base'!F$12,ROUND('Calc base'!F$13*AW54,2))&lt;1,ROUND(AW54*(1+'Calc base'!K55),2),MAX('Calc base'!F$12,ROUND('Calc base'!F$13*AW54,2))))</f>
        <v>265</v>
      </c>
      <c r="N55">
        <f>IF(AX54&lt;=0,0,IF(ROUND(AX54*(1+'Calc base'!L55),2)-MAX('Calc base'!G$12,ROUND('Calc base'!G$13*AX54,2))&lt;1,ROUND(AX54*(1+'Calc base'!L55),2),MAX('Calc base'!G$12,ROUND('Calc base'!G$13*AX54,2))))</f>
        <v>0</v>
      </c>
      <c r="O55">
        <f>IF(AY54&lt;=0,0,IF(ROUND(AY54*(1+'Calc base'!M55),2)-MAX('Calc base'!H$12,ROUND('Calc base'!H$13*AY54,2))&lt;1,ROUND(AY54*(1+'Calc base'!M55),2),MAX('Calc base'!H$12,ROUND('Calc base'!H$13*AY54,2))))</f>
        <v>50</v>
      </c>
      <c r="P55">
        <f>IF(AZ54&lt;=0,0,IF(ROUND(AZ54*(1+'Calc base'!N55),2)-MAX('Calc base'!I$12,ROUND('Calc base'!I$13*AZ54,2))&lt;1,ROUND(AZ54*(1+'Calc base'!N55),2),MAX('Calc base'!I$12,ROUND('Calc base'!I$13*AZ54,2))))</f>
        <v>0</v>
      </c>
      <c r="Q55">
        <f>IF(BA54&lt;=0,0,IF(ROUND(BA54*(1+'Calc base'!O55),2)-MAX('Calc base'!J$12,ROUND('Calc base'!J$13*BA54,2))&lt;1,ROUND(BA54*(1+'Calc base'!O55),2),MAX('Calc base'!J$12,ROUND('Calc base'!J$13*BA54,2))))</f>
        <v>0</v>
      </c>
      <c r="R55">
        <f>IF(BB54&lt;=0,0,IF(ROUND(BB54*(1+'Calc base'!P55),2)-MAX('Calc base'!K$12,ROUND('Calc base'!K$13*BB54,2))&lt;1,ROUND(BB54*(1+'Calc base'!P55),2),MAX('Calc base'!K$12,ROUND('Calc base'!K$13*BB54,2))))</f>
        <v>0</v>
      </c>
      <c r="S55">
        <f>IF(BC54&lt;=0,0,IF(ROUND(BC54*(1+'Calc base'!Q55),2)-MAX('Calc base'!L$12,ROUND('Calc base'!L$13*BC54,2))&lt;1,ROUND(BC54*(1+'Calc base'!Q55),2),MAX('Calc base'!L$12,ROUND('Calc base'!L$13*BC54,2))))</f>
        <v>0</v>
      </c>
      <c r="T55">
        <f>IF(BD54&lt;=0,0,IF(ROUND(BD54*(1+'Calc base'!R55),2)-MAX('Calc base'!M$12,ROUND('Calc base'!M$13*BD54,2))&lt;1,ROUND(BD54*(1+'Calc base'!R55),2),MAX('Calc base'!M$12,ROUND('Calc base'!M$13*BD54,2))))</f>
        <v>0</v>
      </c>
      <c r="U55">
        <f>IF(BE54&lt;=0,0,IF(ROUND(BE54*(1+'Calc base'!S55),2)-MAX('Calc base'!N$12,ROUND('Calc base'!N$13*BE54,2))&lt;1,ROUND(BE54*(1+'Calc base'!S55),2),MAX('Calc base'!N$12,ROUND('Calc base'!N$13*BE54,2))))</f>
        <v>0</v>
      </c>
      <c r="V55">
        <f>MAX(0,ROUND(AT54*(1+'Calc base'!H55),2)-J55-'Calc base'!T55)</f>
        <v>0</v>
      </c>
      <c r="W55">
        <f>MAX(0,ROUND(AU54*(1+'Calc base'!I55),2)-K55-'Calc base'!U55)</f>
        <v>0</v>
      </c>
      <c r="X55">
        <f>MAX(0,ROUND(AV54*(1+'Calc base'!J55),2)-L55-'Calc base'!V55)</f>
        <v>0</v>
      </c>
      <c r="Y55">
        <f>MAX(0,ROUND(AW54*(1+'Calc base'!K55),2)-M55-'Calc base'!W55)</f>
        <v>48.95</v>
      </c>
      <c r="Z55">
        <f>MAX(0,ROUND(AX54*(1+'Calc base'!L55),2)-N55-'Calc base'!X55)</f>
        <v>0</v>
      </c>
      <c r="AA55">
        <f>MAX(0,ROUND(AY54*(1+'Calc base'!M55),2)-O55-'Calc base'!Y55)</f>
        <v>250</v>
      </c>
      <c r="AB55">
        <f>MAX(0,ROUND(AZ54*(1+'Calc base'!N55),2)-P55-'Calc base'!Z55)</f>
        <v>0</v>
      </c>
      <c r="AC55">
        <f>MAX(0,ROUND(BA54*(1+'Calc base'!O55),2)-Q55-'Calc base'!AA55)</f>
        <v>0</v>
      </c>
      <c r="AD55">
        <f>MAX(0,ROUND(BB54*(1+'Calc base'!P55),2)-R55-'Calc base'!AB55)</f>
        <v>0</v>
      </c>
      <c r="AE55">
        <f>MAX(0,ROUND(BC54*(1+'Calc base'!Q55),2)-S55-'Calc base'!AC55)</f>
        <v>0</v>
      </c>
      <c r="AF55">
        <f>MAX(0,ROUND(BD54*(1+'Calc base'!R55),2)-T55-'Calc base'!AD55)</f>
        <v>0</v>
      </c>
      <c r="AG55">
        <f>MAX(0,ROUND(BE54*(1+'Calc base'!S55),2)-U55-'Calc base'!AE55)</f>
        <v>0</v>
      </c>
      <c r="AH55">
        <f>IF('Calc base'!C$14=0,0,MIN(V55,MAX(0,$E55-SUMPRODUCT($V55:$AG55,'Calc base'!$C$14:$N$14,('Calc base'!$H55:$S55&gt;'Calc base'!H55)+('Calc base'!$H55:$S55='Calc base'!H55)*('Calc base'!$C$17:$N$17&lt;'Calc base'!C$17)))))</f>
        <v>0</v>
      </c>
      <c r="AI55">
        <f>IF('Calc base'!D$14=0,0,MIN(W55,MAX(0,$E55-SUMPRODUCT($V55:$AG55,'Calc base'!$C$14:$N$14,('Calc base'!$H55:$S55&gt;'Calc base'!I55)+('Calc base'!$H55:$S55='Calc base'!I55)*('Calc base'!$C$17:$N$17&lt;'Calc base'!D$17)))))</f>
        <v>0</v>
      </c>
      <c r="AJ55">
        <f>IF('Calc base'!E$14=0,0,MIN(X55,MAX(0,$E55-SUMPRODUCT($V55:$AG55,'Calc base'!$C$14:$N$14,('Calc base'!$H55:$S55&gt;'Calc base'!J55)+('Calc base'!$H55:$S55='Calc base'!J55)*('Calc base'!$C$17:$N$17&lt;'Calc base'!E$17)))))</f>
        <v>0</v>
      </c>
      <c r="AK55">
        <f>IF('Calc base'!F$14=0,0,MIN(Y55,MAX(0,$E55-SUMPRODUCT($V55:$AG55,'Calc base'!$C$14:$N$14,('Calc base'!$H55:$S55&gt;'Calc base'!K55)+('Calc base'!$H55:$S55='Calc base'!K55)*('Calc base'!$C$17:$N$17&lt;'Calc base'!F$17)))))</f>
        <v>48.95</v>
      </c>
      <c r="AL55">
        <f>IF('Calc base'!G$14=0,0,MIN(Z55,MAX(0,$E55-SUMPRODUCT($V55:$AG55,'Calc base'!$C$14:$N$14,('Calc base'!$H55:$S55&gt;'Calc base'!L55)+('Calc base'!$H55:$S55='Calc base'!L55)*('Calc base'!$C$17:$N$17&lt;'Calc base'!G$17)))))</f>
        <v>0</v>
      </c>
      <c r="AM55">
        <f>IF('Calc base'!H$14=0,0,MIN(AA55,MAX(0,$E55-SUMPRODUCT($V55:$AG55,'Calc base'!$C$14:$N$14,('Calc base'!$H55:$S55&gt;'Calc base'!M55)+('Calc base'!$H55:$S55='Calc base'!M55)*('Calc base'!$C$17:$N$17&lt;'Calc base'!H$17)))))</f>
        <v>250</v>
      </c>
      <c r="AN55">
        <f>IF('Calc base'!I$14=0,0,MIN(AB55,MAX(0,$E55-SUMPRODUCT($V55:$AG55,'Calc base'!$C$14:$N$14,('Calc base'!$H55:$S55&gt;'Calc base'!N55)+('Calc base'!$H55:$S55='Calc base'!N55)*('Calc base'!$C$17:$N$17&lt;'Calc base'!I$17)))))</f>
        <v>0</v>
      </c>
      <c r="AO55">
        <f>IF('Calc base'!J$14=0,0,MIN(AC55,MAX(0,$E55-SUMPRODUCT($V55:$AG55,'Calc base'!$C$14:$N$14,('Calc base'!$H55:$S55&gt;'Calc base'!O55)+('Calc base'!$H55:$S55='Calc base'!O55)*('Calc base'!$C$17:$N$17&lt;'Calc base'!J$17)))))</f>
        <v>0</v>
      </c>
      <c r="AP55">
        <f>IF('Calc base'!K$14=0,0,MIN(AD55,MAX(0,$E55-SUMPRODUCT($V55:$AG55,'Calc base'!$C$14:$N$14,('Calc base'!$H55:$S55&gt;'Calc base'!P55)+('Calc base'!$H55:$S55='Calc base'!P55)*('Calc base'!$C$17:$N$17&lt;'Calc base'!K$17)))))</f>
        <v>0</v>
      </c>
      <c r="AQ55">
        <f>IF('Calc base'!L$14=0,0,MIN(AE55,MAX(0,$E55-SUMPRODUCT($V55:$AG55,'Calc base'!$C$14:$N$14,('Calc base'!$H55:$S55&gt;'Calc base'!Q55)+('Calc base'!$H55:$S55='Calc base'!Q55)*('Calc base'!$C$17:$N$17&lt;'Calc base'!L$17)))))</f>
        <v>0</v>
      </c>
      <c r="AR55">
        <f>IF('Calc base'!M$14=0,0,MIN(AF55,MAX(0,$E55-SUMPRODUCT($V55:$AG55,'Calc base'!$C$14:$N$14,('Calc base'!$H55:$S55&gt;'Calc base'!R55)+('Calc base'!$H55:$S55='Calc base'!R55)*('Calc base'!$C$17:$N$17&lt;'Calc base'!M$17)))))</f>
        <v>0</v>
      </c>
      <c r="AS55">
        <f>IF('Calc base'!N$14=0,0,MIN(AG55,MAX(0,$E55-SUMPRODUCT($V55:$AG55,'Calc base'!$C$14:$N$14,('Calc base'!$H55:$S55&gt;'Calc base'!S55)+('Calc base'!$H55:$S55='Calc base'!S55)*('Calc base'!$C$17:$N$17&lt;'Calc base'!N$17)))))</f>
        <v>0</v>
      </c>
      <c r="AT55">
        <f>V55-AH55</f>
        <v>0</v>
      </c>
      <c r="AU55">
        <f>W55-AI55</f>
        <v>0</v>
      </c>
      <c r="AV55">
        <f>X55-AJ55</f>
        <v>0</v>
      </c>
      <c r="AW55">
        <f>Y55-AK55</f>
        <v>0</v>
      </c>
      <c r="AX55">
        <f>Z55-AL55</f>
        <v>0</v>
      </c>
      <c r="AY55">
        <f>AA55-AM55</f>
        <v>0</v>
      </c>
      <c r="AZ55">
        <f>AB55-AN55</f>
        <v>0</v>
      </c>
      <c r="BA55">
        <f>AC55-AO55</f>
        <v>0</v>
      </c>
      <c r="BB55">
        <f>AD55-AP55</f>
        <v>0</v>
      </c>
      <c r="BC55">
        <f>AE55-AQ55</f>
        <v>0</v>
      </c>
      <c r="BD55">
        <f>AF55-AR55</f>
        <v>0</v>
      </c>
      <c r="BE55">
        <f>AG55-AS55</f>
        <v>0</v>
      </c>
    </row>
    <row r="56">
      <c r="A56" t="n">
        <v>26</v>
      </c>
      <c r="B56">
        <f>SUMPRODUCT(ROUND($AT55:$BE55*(1+'Calc base'!$H56:$S56),2))</f>
        <v>0</v>
      </c>
      <c r="C56">
        <f>SUM(J56:U56)</f>
        <v>0</v>
      </c>
      <c r="D56">
        <f>SUM(V56:AG56)</f>
        <v>0</v>
      </c>
      <c r="E56">
        <f>MAX(0,IF(Impostazioni!$B$7="No",'Calc base'!$C56-$C$31,'Calc base'!$C56-C56)+'Calc base'!$G56+'Calc base'!$F56-(B56-C56-D56))</f>
        <v>1500</v>
      </c>
      <c r="F56">
        <f>SUM(AH56:AS56)</f>
        <v>0</v>
      </c>
      <c r="G56">
        <f>SUM(AT56:BE56)</f>
        <v>0</v>
      </c>
      <c r="H56">
        <f>B56-G55</f>
        <v>0</v>
      </c>
      <c r="I56">
        <f>B56-G56</f>
        <v>0</v>
      </c>
      <c r="J56">
        <f>IF(AT55&lt;=0,0,IF(ROUND(AT55*(1+'Calc base'!H56),2)-MAX('Calc base'!C$12,ROUND('Calc base'!C$13*AT55,2))&lt;1,ROUND(AT55*(1+'Calc base'!H56),2),MAX('Calc base'!C$12,ROUND('Calc base'!C$13*AT55,2))))</f>
        <v>0</v>
      </c>
      <c r="K56">
        <f>IF(AU55&lt;=0,0,IF(ROUND(AU55*(1+'Calc base'!I56),2)-MAX('Calc base'!D$12,ROUND('Calc base'!D$13*AU55,2))&lt;1,ROUND(AU55*(1+'Calc base'!I56),2),MAX('Calc base'!D$12,ROUND('Calc base'!D$13*AU55,2))))</f>
        <v>0</v>
      </c>
      <c r="L56">
        <f>IF(AV55&lt;=0,0,IF(ROUND(AV55*(1+'Calc base'!J56),2)-MAX('Calc base'!E$12,ROUND('Calc base'!E$13*AV55,2))&lt;1,ROUND(AV55*(1+'Calc base'!J56),2),MAX('Calc base'!E$12,ROUND('Calc base'!E$13*AV55,2))))</f>
        <v>0</v>
      </c>
      <c r="M56">
        <f>IF(AW55&lt;=0,0,IF(ROUND(AW55*(1+'Calc base'!K56),2)-MAX('Calc base'!F$12,ROUND('Calc base'!F$13*AW55,2))&lt;1,ROUND(AW55*(1+'Calc base'!K56),2),MAX('Calc base'!F$12,ROUND('Calc base'!F$13*AW55,2))))</f>
        <v>0</v>
      </c>
      <c r="N56">
        <f>IF(AX55&lt;=0,0,IF(ROUND(AX55*(1+'Calc base'!L56),2)-MAX('Calc base'!G$12,ROUND('Calc base'!G$13*AX55,2))&lt;1,ROUND(AX55*(1+'Calc base'!L56),2),MAX('Calc base'!G$12,ROUND('Calc base'!G$13*AX55,2))))</f>
        <v>0</v>
      </c>
      <c r="O56">
        <f>IF(AY55&lt;=0,0,IF(ROUND(AY55*(1+'Calc base'!M56),2)-MAX('Calc base'!H$12,ROUND('Calc base'!H$13*AY55,2))&lt;1,ROUND(AY55*(1+'Calc base'!M56),2),MAX('Calc base'!H$12,ROUND('Calc base'!H$13*AY55,2))))</f>
        <v>0</v>
      </c>
      <c r="P56">
        <f>IF(AZ55&lt;=0,0,IF(ROUND(AZ55*(1+'Calc base'!N56),2)-MAX('Calc base'!I$12,ROUND('Calc base'!I$13*AZ55,2))&lt;1,ROUND(AZ55*(1+'Calc base'!N56),2),MAX('Calc base'!I$12,ROUND('Calc base'!I$13*AZ55,2))))</f>
        <v>0</v>
      </c>
      <c r="Q56">
        <f>IF(BA55&lt;=0,0,IF(ROUND(BA55*(1+'Calc base'!O56),2)-MAX('Calc base'!J$12,ROUND('Calc base'!J$13*BA55,2))&lt;1,ROUND(BA55*(1+'Calc base'!O56),2),MAX('Calc base'!J$12,ROUND('Calc base'!J$13*BA55,2))))</f>
        <v>0</v>
      </c>
      <c r="R56">
        <f>IF(BB55&lt;=0,0,IF(ROUND(BB55*(1+'Calc base'!P56),2)-MAX('Calc base'!K$12,ROUND('Calc base'!K$13*BB55,2))&lt;1,ROUND(BB55*(1+'Calc base'!P56),2),MAX('Calc base'!K$12,ROUND('Calc base'!K$13*BB55,2))))</f>
        <v>0</v>
      </c>
      <c r="S56">
        <f>IF(BC55&lt;=0,0,IF(ROUND(BC55*(1+'Calc base'!Q56),2)-MAX('Calc base'!L$12,ROUND('Calc base'!L$13*BC55,2))&lt;1,ROUND(BC55*(1+'Calc base'!Q56),2),MAX('Calc base'!L$12,ROUND('Calc base'!L$13*BC55,2))))</f>
        <v>0</v>
      </c>
      <c r="T56">
        <f>IF(BD55&lt;=0,0,IF(ROUND(BD55*(1+'Calc base'!R56),2)-MAX('Calc base'!M$12,ROUND('Calc base'!M$13*BD55,2))&lt;1,ROUND(BD55*(1+'Calc base'!R56),2),MAX('Calc base'!M$12,ROUND('Calc base'!M$13*BD55,2))))</f>
        <v>0</v>
      </c>
      <c r="U56">
        <f>IF(BE55&lt;=0,0,IF(ROUND(BE55*(1+'Calc base'!S56),2)-MAX('Calc base'!N$12,ROUND('Calc base'!N$13*BE55,2))&lt;1,ROUND(BE55*(1+'Calc base'!S56),2),MAX('Calc base'!N$12,ROUND('Calc base'!N$13*BE55,2))))</f>
        <v>0</v>
      </c>
      <c r="V56">
        <f>MAX(0,ROUND(AT55*(1+'Calc base'!H56),2)-J56-'Calc base'!T56)</f>
        <v>0</v>
      </c>
      <c r="W56">
        <f>MAX(0,ROUND(AU55*(1+'Calc base'!I56),2)-K56-'Calc base'!U56)</f>
        <v>0</v>
      </c>
      <c r="X56">
        <f>MAX(0,ROUND(AV55*(1+'Calc base'!J56),2)-L56-'Calc base'!V56)</f>
        <v>0</v>
      </c>
      <c r="Y56">
        <f>MAX(0,ROUND(AW55*(1+'Calc base'!K56),2)-M56-'Calc base'!W56)</f>
        <v>0</v>
      </c>
      <c r="Z56">
        <f>MAX(0,ROUND(AX55*(1+'Calc base'!L56),2)-N56-'Calc base'!X56)</f>
        <v>0</v>
      </c>
      <c r="AA56">
        <f>MAX(0,ROUND(AY55*(1+'Calc base'!M56),2)-O56-'Calc base'!Y56)</f>
        <v>0</v>
      </c>
      <c r="AB56">
        <f>MAX(0,ROUND(AZ55*(1+'Calc base'!N56),2)-P56-'Calc base'!Z56)</f>
        <v>0</v>
      </c>
      <c r="AC56">
        <f>MAX(0,ROUND(BA55*(1+'Calc base'!O56),2)-Q56-'Calc base'!AA56)</f>
        <v>0</v>
      </c>
      <c r="AD56">
        <f>MAX(0,ROUND(BB55*(1+'Calc base'!P56),2)-R56-'Calc base'!AB56)</f>
        <v>0</v>
      </c>
      <c r="AE56">
        <f>MAX(0,ROUND(BC55*(1+'Calc base'!Q56),2)-S56-'Calc base'!AC56)</f>
        <v>0</v>
      </c>
      <c r="AF56">
        <f>MAX(0,ROUND(BD55*(1+'Calc base'!R56),2)-T56-'Calc base'!AD56)</f>
        <v>0</v>
      </c>
      <c r="AG56">
        <f>MAX(0,ROUND(BE55*(1+'Calc base'!S56),2)-U56-'Calc base'!AE56)</f>
        <v>0</v>
      </c>
      <c r="AH56">
        <f>IF('Calc base'!C$14=0,0,MIN(V56,MAX(0,$E56-SUMPRODUCT($V56:$AG56,'Calc base'!$C$14:$N$14,('Calc base'!$H56:$S56&gt;'Calc base'!H56)+('Calc base'!$H56:$S56='Calc base'!H56)*('Calc base'!$C$17:$N$17&lt;'Calc base'!C$17)))))</f>
        <v>0</v>
      </c>
      <c r="AI56">
        <f>IF('Calc base'!D$14=0,0,MIN(W56,MAX(0,$E56-SUMPRODUCT($V56:$AG56,'Calc base'!$C$14:$N$14,('Calc base'!$H56:$S56&gt;'Calc base'!I56)+('Calc base'!$H56:$S56='Calc base'!I56)*('Calc base'!$C$17:$N$17&lt;'Calc base'!D$17)))))</f>
        <v>0</v>
      </c>
      <c r="AJ56">
        <f>IF('Calc base'!E$14=0,0,MIN(X56,MAX(0,$E56-SUMPRODUCT($V56:$AG56,'Calc base'!$C$14:$N$14,('Calc base'!$H56:$S56&gt;'Calc base'!J56)+('Calc base'!$H56:$S56='Calc base'!J56)*('Calc base'!$C$17:$N$17&lt;'Calc base'!E$17)))))</f>
        <v>0</v>
      </c>
      <c r="AK56">
        <f>IF('Calc base'!F$14=0,0,MIN(Y56,MAX(0,$E56-SUMPRODUCT($V56:$AG56,'Calc base'!$C$14:$N$14,('Calc base'!$H56:$S56&gt;'Calc base'!K56)+('Calc base'!$H56:$S56='Calc base'!K56)*('Calc base'!$C$17:$N$17&lt;'Calc base'!F$17)))))</f>
        <v>0</v>
      </c>
      <c r="AL56">
        <f>IF('Calc base'!G$14=0,0,MIN(Z56,MAX(0,$E56-SUMPRODUCT($V56:$AG56,'Calc base'!$C$14:$N$14,('Calc base'!$H56:$S56&gt;'Calc base'!L56)+('Calc base'!$H56:$S56='Calc base'!L56)*('Calc base'!$C$17:$N$17&lt;'Calc base'!G$17)))))</f>
        <v>0</v>
      </c>
      <c r="AM56">
        <f>IF('Calc base'!H$14=0,0,MIN(AA56,MAX(0,$E56-SUMPRODUCT($V56:$AG56,'Calc base'!$C$14:$N$14,('Calc base'!$H56:$S56&gt;'Calc base'!M56)+('Calc base'!$H56:$S56='Calc base'!M56)*('Calc base'!$C$17:$N$17&lt;'Calc base'!H$17)))))</f>
        <v>0</v>
      </c>
      <c r="AN56">
        <f>IF('Calc base'!I$14=0,0,MIN(AB56,MAX(0,$E56-SUMPRODUCT($V56:$AG56,'Calc base'!$C$14:$N$14,('Calc base'!$H56:$S56&gt;'Calc base'!N56)+('Calc base'!$H56:$S56='Calc base'!N56)*('Calc base'!$C$17:$N$17&lt;'Calc base'!I$17)))))</f>
        <v>0</v>
      </c>
      <c r="AO56">
        <f>IF('Calc base'!J$14=0,0,MIN(AC56,MAX(0,$E56-SUMPRODUCT($V56:$AG56,'Calc base'!$C$14:$N$14,('Calc base'!$H56:$S56&gt;'Calc base'!O56)+('Calc base'!$H56:$S56='Calc base'!O56)*('Calc base'!$C$17:$N$17&lt;'Calc base'!J$17)))))</f>
        <v>0</v>
      </c>
      <c r="AP56">
        <f>IF('Calc base'!K$14=0,0,MIN(AD56,MAX(0,$E56-SUMPRODUCT($V56:$AG56,'Calc base'!$C$14:$N$14,('Calc base'!$H56:$S56&gt;'Calc base'!P56)+('Calc base'!$H56:$S56='Calc base'!P56)*('Calc base'!$C$17:$N$17&lt;'Calc base'!K$17)))))</f>
        <v>0</v>
      </c>
      <c r="AQ56">
        <f>IF('Calc base'!L$14=0,0,MIN(AE56,MAX(0,$E56-SUMPRODUCT($V56:$AG56,'Calc base'!$C$14:$N$14,('Calc base'!$H56:$S56&gt;'Calc base'!Q56)+('Calc base'!$H56:$S56='Calc base'!Q56)*('Calc base'!$C$17:$N$17&lt;'Calc base'!L$17)))))</f>
        <v>0</v>
      </c>
      <c r="AR56">
        <f>IF('Calc base'!M$14=0,0,MIN(AF56,MAX(0,$E56-SUMPRODUCT($V56:$AG56,'Calc base'!$C$14:$N$14,('Calc base'!$H56:$S56&gt;'Calc base'!R56)+('Calc base'!$H56:$S56='Calc base'!R56)*('Calc base'!$C$17:$N$17&lt;'Calc base'!M$17)))))</f>
        <v>0</v>
      </c>
      <c r="AS56">
        <f>IF('Calc base'!N$14=0,0,MIN(AG56,MAX(0,$E56-SUMPRODUCT($V56:$AG56,'Calc base'!$C$14:$N$14,('Calc base'!$H56:$S56&gt;'Calc base'!S56)+('Calc base'!$H56:$S56='Calc base'!S56)*('Calc base'!$C$17:$N$17&lt;'Calc base'!N$17)))))</f>
        <v>0</v>
      </c>
      <c r="AT56">
        <f>V56-AH56</f>
        <v>0</v>
      </c>
      <c r="AU56">
        <f>W56-AI56</f>
        <v>0</v>
      </c>
      <c r="AV56">
        <f>X56-AJ56</f>
        <v>0</v>
      </c>
      <c r="AW56">
        <f>Y56-AK56</f>
        <v>0</v>
      </c>
      <c r="AX56">
        <f>Z56-AL56</f>
        <v>0</v>
      </c>
      <c r="AY56">
        <f>AA56-AM56</f>
        <v>0</v>
      </c>
      <c r="AZ56">
        <f>AB56-AN56</f>
        <v>0</v>
      </c>
      <c r="BA56">
        <f>AC56-AO56</f>
        <v>0</v>
      </c>
      <c r="BB56">
        <f>AD56-AP56</f>
        <v>0</v>
      </c>
      <c r="BC56">
        <f>AE56-AQ56</f>
        <v>0</v>
      </c>
      <c r="BD56">
        <f>AF56-AR56</f>
        <v>0</v>
      </c>
      <c r="BE56">
        <f>AG56-AS56</f>
        <v>0</v>
      </c>
    </row>
    <row r="57">
      <c r="A57" t="n">
        <v>27</v>
      </c>
      <c r="B57">
        <f>SUMPRODUCT(ROUND($AT56:$BE56*(1+'Calc base'!$H57:$S57),2))</f>
        <v>0</v>
      </c>
      <c r="C57">
        <f>SUM(J57:U57)</f>
        <v>0</v>
      </c>
      <c r="D57">
        <f>SUM(V57:AG57)</f>
        <v>0</v>
      </c>
      <c r="E57">
        <f>MAX(0,IF(Impostazioni!$B$7="No",'Calc base'!$C57-$C$31,'Calc base'!$C57-C57)+'Calc base'!$G57+'Calc base'!$F57-(B57-C57-D57))</f>
        <v>900</v>
      </c>
      <c r="F57">
        <f>SUM(AH57:AS57)</f>
        <v>0</v>
      </c>
      <c r="G57">
        <f>SUM(AT57:BE57)</f>
        <v>0</v>
      </c>
      <c r="H57">
        <f>B57-G56</f>
        <v>0</v>
      </c>
      <c r="I57">
        <f>B57-G57</f>
        <v>0</v>
      </c>
      <c r="J57">
        <f>IF(AT56&lt;=0,0,IF(ROUND(AT56*(1+'Calc base'!H57),2)-MAX('Calc base'!C$12,ROUND('Calc base'!C$13*AT56,2))&lt;1,ROUND(AT56*(1+'Calc base'!H57),2),MAX('Calc base'!C$12,ROUND('Calc base'!C$13*AT56,2))))</f>
        <v>0</v>
      </c>
      <c r="K57">
        <f>IF(AU56&lt;=0,0,IF(ROUND(AU56*(1+'Calc base'!I57),2)-MAX('Calc base'!D$12,ROUND('Calc base'!D$13*AU56,2))&lt;1,ROUND(AU56*(1+'Calc base'!I57),2),MAX('Calc base'!D$12,ROUND('Calc base'!D$13*AU56,2))))</f>
        <v>0</v>
      </c>
      <c r="L57">
        <f>IF(AV56&lt;=0,0,IF(ROUND(AV56*(1+'Calc base'!J57),2)-MAX('Calc base'!E$12,ROUND('Calc base'!E$13*AV56,2))&lt;1,ROUND(AV56*(1+'Calc base'!J57),2),MAX('Calc base'!E$12,ROUND('Calc base'!E$13*AV56,2))))</f>
        <v>0</v>
      </c>
      <c r="M57">
        <f>IF(AW56&lt;=0,0,IF(ROUND(AW56*(1+'Calc base'!K57),2)-MAX('Calc base'!F$12,ROUND('Calc base'!F$13*AW56,2))&lt;1,ROUND(AW56*(1+'Calc base'!K57),2),MAX('Calc base'!F$12,ROUND('Calc base'!F$13*AW56,2))))</f>
        <v>0</v>
      </c>
      <c r="N57">
        <f>IF(AX56&lt;=0,0,IF(ROUND(AX56*(1+'Calc base'!L57),2)-MAX('Calc base'!G$12,ROUND('Calc base'!G$13*AX56,2))&lt;1,ROUND(AX56*(1+'Calc base'!L57),2),MAX('Calc base'!G$12,ROUND('Calc base'!G$13*AX56,2))))</f>
        <v>0</v>
      </c>
      <c r="O57">
        <f>IF(AY56&lt;=0,0,IF(ROUND(AY56*(1+'Calc base'!M57),2)-MAX('Calc base'!H$12,ROUND('Calc base'!H$13*AY56,2))&lt;1,ROUND(AY56*(1+'Calc base'!M57),2),MAX('Calc base'!H$12,ROUND('Calc base'!H$13*AY56,2))))</f>
        <v>0</v>
      </c>
      <c r="P57">
        <f>IF(AZ56&lt;=0,0,IF(ROUND(AZ56*(1+'Calc base'!N57),2)-MAX('Calc base'!I$12,ROUND('Calc base'!I$13*AZ56,2))&lt;1,ROUND(AZ56*(1+'Calc base'!N57),2),MAX('Calc base'!I$12,ROUND('Calc base'!I$13*AZ56,2))))</f>
        <v>0</v>
      </c>
      <c r="Q57">
        <f>IF(BA56&lt;=0,0,IF(ROUND(BA56*(1+'Calc base'!O57),2)-MAX('Calc base'!J$12,ROUND('Calc base'!J$13*BA56,2))&lt;1,ROUND(BA56*(1+'Calc base'!O57),2),MAX('Calc base'!J$12,ROUND('Calc base'!J$13*BA56,2))))</f>
        <v>0</v>
      </c>
      <c r="R57">
        <f>IF(BB56&lt;=0,0,IF(ROUND(BB56*(1+'Calc base'!P57),2)-MAX('Calc base'!K$12,ROUND('Calc base'!K$13*BB56,2))&lt;1,ROUND(BB56*(1+'Calc base'!P57),2),MAX('Calc base'!K$12,ROUND('Calc base'!K$13*BB56,2))))</f>
        <v>0</v>
      </c>
      <c r="S57">
        <f>IF(BC56&lt;=0,0,IF(ROUND(BC56*(1+'Calc base'!Q57),2)-MAX('Calc base'!L$12,ROUND('Calc base'!L$13*BC56,2))&lt;1,ROUND(BC56*(1+'Calc base'!Q57),2),MAX('Calc base'!L$12,ROUND('Calc base'!L$13*BC56,2))))</f>
        <v>0</v>
      </c>
      <c r="T57">
        <f>IF(BD56&lt;=0,0,IF(ROUND(BD56*(1+'Calc base'!R57),2)-MAX('Calc base'!M$12,ROUND('Calc base'!M$13*BD56,2))&lt;1,ROUND(BD56*(1+'Calc base'!R57),2),MAX('Calc base'!M$12,ROUND('Calc base'!M$13*BD56,2))))</f>
        <v>0</v>
      </c>
      <c r="U57">
        <f>IF(BE56&lt;=0,0,IF(ROUND(BE56*(1+'Calc base'!S57),2)-MAX('Calc base'!N$12,ROUND('Calc base'!N$13*BE56,2))&lt;1,ROUND(BE56*(1+'Calc base'!S57),2),MAX('Calc base'!N$12,ROUND('Calc base'!N$13*BE56,2))))</f>
        <v>0</v>
      </c>
      <c r="V57">
        <f>MAX(0,ROUND(AT56*(1+'Calc base'!H57),2)-J57-'Calc base'!T57)</f>
        <v>0</v>
      </c>
      <c r="W57">
        <f>MAX(0,ROUND(AU56*(1+'Calc base'!I57),2)-K57-'Calc base'!U57)</f>
        <v>0</v>
      </c>
      <c r="X57">
        <f>MAX(0,ROUND(AV56*(1+'Calc base'!J57),2)-L57-'Calc base'!V57)</f>
        <v>0</v>
      </c>
      <c r="Y57">
        <f>MAX(0,ROUND(AW56*(1+'Calc base'!K57),2)-M57-'Calc base'!W57)</f>
        <v>0</v>
      </c>
      <c r="Z57">
        <f>MAX(0,ROUND(AX56*(1+'Calc base'!L57),2)-N57-'Calc base'!X57)</f>
        <v>0</v>
      </c>
      <c r="AA57">
        <f>MAX(0,ROUND(AY56*(1+'Calc base'!M57),2)-O57-'Calc base'!Y57)</f>
        <v>0</v>
      </c>
      <c r="AB57">
        <f>MAX(0,ROUND(AZ56*(1+'Calc base'!N57),2)-P57-'Calc base'!Z57)</f>
        <v>0</v>
      </c>
      <c r="AC57">
        <f>MAX(0,ROUND(BA56*(1+'Calc base'!O57),2)-Q57-'Calc base'!AA57)</f>
        <v>0</v>
      </c>
      <c r="AD57">
        <f>MAX(0,ROUND(BB56*(1+'Calc base'!P57),2)-R57-'Calc base'!AB57)</f>
        <v>0</v>
      </c>
      <c r="AE57">
        <f>MAX(0,ROUND(BC56*(1+'Calc base'!Q57),2)-S57-'Calc base'!AC57)</f>
        <v>0</v>
      </c>
      <c r="AF57">
        <f>MAX(0,ROUND(BD56*(1+'Calc base'!R57),2)-T57-'Calc base'!AD57)</f>
        <v>0</v>
      </c>
      <c r="AG57">
        <f>MAX(0,ROUND(BE56*(1+'Calc base'!S57),2)-U57-'Calc base'!AE57)</f>
        <v>0</v>
      </c>
      <c r="AH57">
        <f>IF('Calc base'!C$14=0,0,MIN(V57,MAX(0,$E57-SUMPRODUCT($V57:$AG57,'Calc base'!$C$14:$N$14,('Calc base'!$H57:$S57&gt;'Calc base'!H57)+('Calc base'!$H57:$S57='Calc base'!H57)*('Calc base'!$C$17:$N$17&lt;'Calc base'!C$17)))))</f>
        <v>0</v>
      </c>
      <c r="AI57">
        <f>IF('Calc base'!D$14=0,0,MIN(W57,MAX(0,$E57-SUMPRODUCT($V57:$AG57,'Calc base'!$C$14:$N$14,('Calc base'!$H57:$S57&gt;'Calc base'!I57)+('Calc base'!$H57:$S57='Calc base'!I57)*('Calc base'!$C$17:$N$17&lt;'Calc base'!D$17)))))</f>
        <v>0</v>
      </c>
      <c r="AJ57">
        <f>IF('Calc base'!E$14=0,0,MIN(X57,MAX(0,$E57-SUMPRODUCT($V57:$AG57,'Calc base'!$C$14:$N$14,('Calc base'!$H57:$S57&gt;'Calc base'!J57)+('Calc base'!$H57:$S57='Calc base'!J57)*('Calc base'!$C$17:$N$17&lt;'Calc base'!E$17)))))</f>
        <v>0</v>
      </c>
      <c r="AK57">
        <f>IF('Calc base'!F$14=0,0,MIN(Y57,MAX(0,$E57-SUMPRODUCT($V57:$AG57,'Calc base'!$C$14:$N$14,('Calc base'!$H57:$S57&gt;'Calc base'!K57)+('Calc base'!$H57:$S57='Calc base'!K57)*('Calc base'!$C$17:$N$17&lt;'Calc base'!F$17)))))</f>
        <v>0</v>
      </c>
      <c r="AL57">
        <f>IF('Calc base'!G$14=0,0,MIN(Z57,MAX(0,$E57-SUMPRODUCT($V57:$AG57,'Calc base'!$C$14:$N$14,('Calc base'!$H57:$S57&gt;'Calc base'!L57)+('Calc base'!$H57:$S57='Calc base'!L57)*('Calc base'!$C$17:$N$17&lt;'Calc base'!G$17)))))</f>
        <v>0</v>
      </c>
      <c r="AM57">
        <f>IF('Calc base'!H$14=0,0,MIN(AA57,MAX(0,$E57-SUMPRODUCT($V57:$AG57,'Calc base'!$C$14:$N$14,('Calc base'!$H57:$S57&gt;'Calc base'!M57)+('Calc base'!$H57:$S57='Calc base'!M57)*('Calc base'!$C$17:$N$17&lt;'Calc base'!H$17)))))</f>
        <v>0</v>
      </c>
      <c r="AN57">
        <f>IF('Calc base'!I$14=0,0,MIN(AB57,MAX(0,$E57-SUMPRODUCT($V57:$AG57,'Calc base'!$C$14:$N$14,('Calc base'!$H57:$S57&gt;'Calc base'!N57)+('Calc base'!$H57:$S57='Calc base'!N57)*('Calc base'!$C$17:$N$17&lt;'Calc base'!I$17)))))</f>
        <v>0</v>
      </c>
      <c r="AO57">
        <f>IF('Calc base'!J$14=0,0,MIN(AC57,MAX(0,$E57-SUMPRODUCT($V57:$AG57,'Calc base'!$C$14:$N$14,('Calc base'!$H57:$S57&gt;'Calc base'!O57)+('Calc base'!$H57:$S57='Calc base'!O57)*('Calc base'!$C$17:$N$17&lt;'Calc base'!J$17)))))</f>
        <v>0</v>
      </c>
      <c r="AP57">
        <f>IF('Calc base'!K$14=0,0,MIN(AD57,MAX(0,$E57-SUMPRODUCT($V57:$AG57,'Calc base'!$C$14:$N$14,('Calc base'!$H57:$S57&gt;'Calc base'!P57)+('Calc base'!$H57:$S57='Calc base'!P57)*('Calc base'!$C$17:$N$17&lt;'Calc base'!K$17)))))</f>
        <v>0</v>
      </c>
      <c r="AQ57">
        <f>IF('Calc base'!L$14=0,0,MIN(AE57,MAX(0,$E57-SUMPRODUCT($V57:$AG57,'Calc base'!$C$14:$N$14,('Calc base'!$H57:$S57&gt;'Calc base'!Q57)+('Calc base'!$H57:$S57='Calc base'!Q57)*('Calc base'!$C$17:$N$17&lt;'Calc base'!L$17)))))</f>
        <v>0</v>
      </c>
      <c r="AR57">
        <f>IF('Calc base'!M$14=0,0,MIN(AF57,MAX(0,$E57-SUMPRODUCT($V57:$AG57,'Calc base'!$C$14:$N$14,('Calc base'!$H57:$S57&gt;'Calc base'!R57)+('Calc base'!$H57:$S57='Calc base'!R57)*('Calc base'!$C$17:$N$17&lt;'Calc base'!M$17)))))</f>
        <v>0</v>
      </c>
      <c r="AS57">
        <f>IF('Calc base'!N$14=0,0,MIN(AG57,MAX(0,$E57-SUMPRODUCT($V57:$AG57,'Calc base'!$C$14:$N$14,('Calc base'!$H57:$S57&gt;'Calc base'!S57)+('Calc base'!$H57:$S57='Calc base'!S57)*('Calc base'!$C$17:$N$17&lt;'Calc base'!N$17)))))</f>
        <v>0</v>
      </c>
      <c r="AT57">
        <f>V57-AH57</f>
        <v>0</v>
      </c>
      <c r="AU57">
        <f>W57-AI57</f>
        <v>0</v>
      </c>
      <c r="AV57">
        <f>X57-AJ57</f>
        <v>0</v>
      </c>
      <c r="AW57">
        <f>Y57-AK57</f>
        <v>0</v>
      </c>
      <c r="AX57">
        <f>Z57-AL57</f>
        <v>0</v>
      </c>
      <c r="AY57">
        <f>AA57-AM57</f>
        <v>0</v>
      </c>
      <c r="AZ57">
        <f>AB57-AN57</f>
        <v>0</v>
      </c>
      <c r="BA57">
        <f>AC57-AO57</f>
        <v>0</v>
      </c>
      <c r="BB57">
        <f>AD57-AP57</f>
        <v>0</v>
      </c>
      <c r="BC57">
        <f>AE57-AQ57</f>
        <v>0</v>
      </c>
      <c r="BD57">
        <f>AF57-AR57</f>
        <v>0</v>
      </c>
      <c r="BE57">
        <f>AG57-AS57</f>
        <v>0</v>
      </c>
    </row>
    <row r="58">
      <c r="A58" t="n">
        <v>28</v>
      </c>
      <c r="B58">
        <f>SUMPRODUCT(ROUND($AT57:$BE57*(1+'Calc base'!$H58:$S58),2))</f>
        <v>0</v>
      </c>
      <c r="C58">
        <f>SUM(J58:U58)</f>
        <v>0</v>
      </c>
      <c r="D58">
        <f>SUM(V58:AG58)</f>
        <v>0</v>
      </c>
      <c r="E58">
        <f>MAX(0,IF(Impostazioni!$B$7="No",'Calc base'!$C58-$C$31,'Calc base'!$C58-C58)+'Calc base'!$G58+'Calc base'!$F58-(B58-C58-D58))</f>
        <v>900</v>
      </c>
      <c r="F58">
        <f>SUM(AH58:AS58)</f>
        <v>0</v>
      </c>
      <c r="G58">
        <f>SUM(AT58:BE58)</f>
        <v>0</v>
      </c>
      <c r="H58">
        <f>B58-G57</f>
        <v>0</v>
      </c>
      <c r="I58">
        <f>B58-G58</f>
        <v>0</v>
      </c>
      <c r="J58">
        <f>IF(AT57&lt;=0,0,IF(ROUND(AT57*(1+'Calc base'!H58),2)-MAX('Calc base'!C$12,ROUND('Calc base'!C$13*AT57,2))&lt;1,ROUND(AT57*(1+'Calc base'!H58),2),MAX('Calc base'!C$12,ROUND('Calc base'!C$13*AT57,2))))</f>
        <v>0</v>
      </c>
      <c r="K58">
        <f>IF(AU57&lt;=0,0,IF(ROUND(AU57*(1+'Calc base'!I58),2)-MAX('Calc base'!D$12,ROUND('Calc base'!D$13*AU57,2))&lt;1,ROUND(AU57*(1+'Calc base'!I58),2),MAX('Calc base'!D$12,ROUND('Calc base'!D$13*AU57,2))))</f>
        <v>0</v>
      </c>
      <c r="L58">
        <f>IF(AV57&lt;=0,0,IF(ROUND(AV57*(1+'Calc base'!J58),2)-MAX('Calc base'!E$12,ROUND('Calc base'!E$13*AV57,2))&lt;1,ROUND(AV57*(1+'Calc base'!J58),2),MAX('Calc base'!E$12,ROUND('Calc base'!E$13*AV57,2))))</f>
        <v>0</v>
      </c>
      <c r="M58">
        <f>IF(AW57&lt;=0,0,IF(ROUND(AW57*(1+'Calc base'!K58),2)-MAX('Calc base'!F$12,ROUND('Calc base'!F$13*AW57,2))&lt;1,ROUND(AW57*(1+'Calc base'!K58),2),MAX('Calc base'!F$12,ROUND('Calc base'!F$13*AW57,2))))</f>
        <v>0</v>
      </c>
      <c r="N58">
        <f>IF(AX57&lt;=0,0,IF(ROUND(AX57*(1+'Calc base'!L58),2)-MAX('Calc base'!G$12,ROUND('Calc base'!G$13*AX57,2))&lt;1,ROUND(AX57*(1+'Calc base'!L58),2),MAX('Calc base'!G$12,ROUND('Calc base'!G$13*AX57,2))))</f>
        <v>0</v>
      </c>
      <c r="O58">
        <f>IF(AY57&lt;=0,0,IF(ROUND(AY57*(1+'Calc base'!M58),2)-MAX('Calc base'!H$12,ROUND('Calc base'!H$13*AY57,2))&lt;1,ROUND(AY57*(1+'Calc base'!M58),2),MAX('Calc base'!H$12,ROUND('Calc base'!H$13*AY57,2))))</f>
        <v>0</v>
      </c>
      <c r="P58">
        <f>IF(AZ57&lt;=0,0,IF(ROUND(AZ57*(1+'Calc base'!N58),2)-MAX('Calc base'!I$12,ROUND('Calc base'!I$13*AZ57,2))&lt;1,ROUND(AZ57*(1+'Calc base'!N58),2),MAX('Calc base'!I$12,ROUND('Calc base'!I$13*AZ57,2))))</f>
        <v>0</v>
      </c>
      <c r="Q58">
        <f>IF(BA57&lt;=0,0,IF(ROUND(BA57*(1+'Calc base'!O58),2)-MAX('Calc base'!J$12,ROUND('Calc base'!J$13*BA57,2))&lt;1,ROUND(BA57*(1+'Calc base'!O58),2),MAX('Calc base'!J$12,ROUND('Calc base'!J$13*BA57,2))))</f>
        <v>0</v>
      </c>
      <c r="R58">
        <f>IF(BB57&lt;=0,0,IF(ROUND(BB57*(1+'Calc base'!P58),2)-MAX('Calc base'!K$12,ROUND('Calc base'!K$13*BB57,2))&lt;1,ROUND(BB57*(1+'Calc base'!P58),2),MAX('Calc base'!K$12,ROUND('Calc base'!K$13*BB57,2))))</f>
        <v>0</v>
      </c>
      <c r="S58">
        <f>IF(BC57&lt;=0,0,IF(ROUND(BC57*(1+'Calc base'!Q58),2)-MAX('Calc base'!L$12,ROUND('Calc base'!L$13*BC57,2))&lt;1,ROUND(BC57*(1+'Calc base'!Q58),2),MAX('Calc base'!L$12,ROUND('Calc base'!L$13*BC57,2))))</f>
        <v>0</v>
      </c>
      <c r="T58">
        <f>IF(BD57&lt;=0,0,IF(ROUND(BD57*(1+'Calc base'!R58),2)-MAX('Calc base'!M$12,ROUND('Calc base'!M$13*BD57,2))&lt;1,ROUND(BD57*(1+'Calc base'!R58),2),MAX('Calc base'!M$12,ROUND('Calc base'!M$13*BD57,2))))</f>
        <v>0</v>
      </c>
      <c r="U58">
        <f>IF(BE57&lt;=0,0,IF(ROUND(BE57*(1+'Calc base'!S58),2)-MAX('Calc base'!N$12,ROUND('Calc base'!N$13*BE57,2))&lt;1,ROUND(BE57*(1+'Calc base'!S58),2),MAX('Calc base'!N$12,ROUND('Calc base'!N$13*BE57,2))))</f>
        <v>0</v>
      </c>
      <c r="V58">
        <f>MAX(0,ROUND(AT57*(1+'Calc base'!H58),2)-J58-'Calc base'!T58)</f>
        <v>0</v>
      </c>
      <c r="W58">
        <f>MAX(0,ROUND(AU57*(1+'Calc base'!I58),2)-K58-'Calc base'!U58)</f>
        <v>0</v>
      </c>
      <c r="X58">
        <f>MAX(0,ROUND(AV57*(1+'Calc base'!J58),2)-L58-'Calc base'!V58)</f>
        <v>0</v>
      </c>
      <c r="Y58">
        <f>MAX(0,ROUND(AW57*(1+'Calc base'!K58),2)-M58-'Calc base'!W58)</f>
        <v>0</v>
      </c>
      <c r="Z58">
        <f>MAX(0,ROUND(AX57*(1+'Calc base'!L58),2)-N58-'Calc base'!X58)</f>
        <v>0</v>
      </c>
      <c r="AA58">
        <f>MAX(0,ROUND(AY57*(1+'Calc base'!M58),2)-O58-'Calc base'!Y58)</f>
        <v>0</v>
      </c>
      <c r="AB58">
        <f>MAX(0,ROUND(AZ57*(1+'Calc base'!N58),2)-P58-'Calc base'!Z58)</f>
        <v>0</v>
      </c>
      <c r="AC58">
        <f>MAX(0,ROUND(BA57*(1+'Calc base'!O58),2)-Q58-'Calc base'!AA58)</f>
        <v>0</v>
      </c>
      <c r="AD58">
        <f>MAX(0,ROUND(BB57*(1+'Calc base'!P58),2)-R58-'Calc base'!AB58)</f>
        <v>0</v>
      </c>
      <c r="AE58">
        <f>MAX(0,ROUND(BC57*(1+'Calc base'!Q58),2)-S58-'Calc base'!AC58)</f>
        <v>0</v>
      </c>
      <c r="AF58">
        <f>MAX(0,ROUND(BD57*(1+'Calc base'!R58),2)-T58-'Calc base'!AD58)</f>
        <v>0</v>
      </c>
      <c r="AG58">
        <f>MAX(0,ROUND(BE57*(1+'Calc base'!S58),2)-U58-'Calc base'!AE58)</f>
        <v>0</v>
      </c>
      <c r="AH58">
        <f>IF('Calc base'!C$14=0,0,MIN(V58,MAX(0,$E58-SUMPRODUCT($V58:$AG58,'Calc base'!$C$14:$N$14,('Calc base'!$H58:$S58&gt;'Calc base'!H58)+('Calc base'!$H58:$S58='Calc base'!H58)*('Calc base'!$C$17:$N$17&lt;'Calc base'!C$17)))))</f>
        <v>0</v>
      </c>
      <c r="AI58">
        <f>IF('Calc base'!D$14=0,0,MIN(W58,MAX(0,$E58-SUMPRODUCT($V58:$AG58,'Calc base'!$C$14:$N$14,('Calc base'!$H58:$S58&gt;'Calc base'!I58)+('Calc base'!$H58:$S58='Calc base'!I58)*('Calc base'!$C$17:$N$17&lt;'Calc base'!D$17)))))</f>
        <v>0</v>
      </c>
      <c r="AJ58">
        <f>IF('Calc base'!E$14=0,0,MIN(X58,MAX(0,$E58-SUMPRODUCT($V58:$AG58,'Calc base'!$C$14:$N$14,('Calc base'!$H58:$S58&gt;'Calc base'!J58)+('Calc base'!$H58:$S58='Calc base'!J58)*('Calc base'!$C$17:$N$17&lt;'Calc base'!E$17)))))</f>
        <v>0</v>
      </c>
      <c r="AK58">
        <f>IF('Calc base'!F$14=0,0,MIN(Y58,MAX(0,$E58-SUMPRODUCT($V58:$AG58,'Calc base'!$C$14:$N$14,('Calc base'!$H58:$S58&gt;'Calc base'!K58)+('Calc base'!$H58:$S58='Calc base'!K58)*('Calc base'!$C$17:$N$17&lt;'Calc base'!F$17)))))</f>
        <v>0</v>
      </c>
      <c r="AL58">
        <f>IF('Calc base'!G$14=0,0,MIN(Z58,MAX(0,$E58-SUMPRODUCT($V58:$AG58,'Calc base'!$C$14:$N$14,('Calc base'!$H58:$S58&gt;'Calc base'!L58)+('Calc base'!$H58:$S58='Calc base'!L58)*('Calc base'!$C$17:$N$17&lt;'Calc base'!G$17)))))</f>
        <v>0</v>
      </c>
      <c r="AM58">
        <f>IF('Calc base'!H$14=0,0,MIN(AA58,MAX(0,$E58-SUMPRODUCT($V58:$AG58,'Calc base'!$C$14:$N$14,('Calc base'!$H58:$S58&gt;'Calc base'!M58)+('Calc base'!$H58:$S58='Calc base'!M58)*('Calc base'!$C$17:$N$17&lt;'Calc base'!H$17)))))</f>
        <v>0</v>
      </c>
      <c r="AN58">
        <f>IF('Calc base'!I$14=0,0,MIN(AB58,MAX(0,$E58-SUMPRODUCT($V58:$AG58,'Calc base'!$C$14:$N$14,('Calc base'!$H58:$S58&gt;'Calc base'!N58)+('Calc base'!$H58:$S58='Calc base'!N58)*('Calc base'!$C$17:$N$17&lt;'Calc base'!I$17)))))</f>
        <v>0</v>
      </c>
      <c r="AO58">
        <f>IF('Calc base'!J$14=0,0,MIN(AC58,MAX(0,$E58-SUMPRODUCT($V58:$AG58,'Calc base'!$C$14:$N$14,('Calc base'!$H58:$S58&gt;'Calc base'!O58)+('Calc base'!$H58:$S58='Calc base'!O58)*('Calc base'!$C$17:$N$17&lt;'Calc base'!J$17)))))</f>
        <v>0</v>
      </c>
      <c r="AP58">
        <f>IF('Calc base'!K$14=0,0,MIN(AD58,MAX(0,$E58-SUMPRODUCT($V58:$AG58,'Calc base'!$C$14:$N$14,('Calc base'!$H58:$S58&gt;'Calc base'!P58)+('Calc base'!$H58:$S58='Calc base'!P58)*('Calc base'!$C$17:$N$17&lt;'Calc base'!K$17)))))</f>
        <v>0</v>
      </c>
      <c r="AQ58">
        <f>IF('Calc base'!L$14=0,0,MIN(AE58,MAX(0,$E58-SUMPRODUCT($V58:$AG58,'Calc base'!$C$14:$N$14,('Calc base'!$H58:$S58&gt;'Calc base'!Q58)+('Calc base'!$H58:$S58='Calc base'!Q58)*('Calc base'!$C$17:$N$17&lt;'Calc base'!L$17)))))</f>
        <v>0</v>
      </c>
      <c r="AR58">
        <f>IF('Calc base'!M$14=0,0,MIN(AF58,MAX(0,$E58-SUMPRODUCT($V58:$AG58,'Calc base'!$C$14:$N$14,('Calc base'!$H58:$S58&gt;'Calc base'!R58)+('Calc base'!$H58:$S58='Calc base'!R58)*('Calc base'!$C$17:$N$17&lt;'Calc base'!M$17)))))</f>
        <v>0</v>
      </c>
      <c r="AS58">
        <f>IF('Calc base'!N$14=0,0,MIN(AG58,MAX(0,$E58-SUMPRODUCT($V58:$AG58,'Calc base'!$C$14:$N$14,('Calc base'!$H58:$S58&gt;'Calc base'!S58)+('Calc base'!$H58:$S58='Calc base'!S58)*('Calc base'!$C$17:$N$17&lt;'Calc base'!N$17)))))</f>
        <v>0</v>
      </c>
      <c r="AT58">
        <f>V58-AH58</f>
        <v>0</v>
      </c>
      <c r="AU58">
        <f>W58-AI58</f>
        <v>0</v>
      </c>
      <c r="AV58">
        <f>X58-AJ58</f>
        <v>0</v>
      </c>
      <c r="AW58">
        <f>Y58-AK58</f>
        <v>0</v>
      </c>
      <c r="AX58">
        <f>Z58-AL58</f>
        <v>0</v>
      </c>
      <c r="AY58">
        <f>AA58-AM58</f>
        <v>0</v>
      </c>
      <c r="AZ58">
        <f>AB58-AN58</f>
        <v>0</v>
      </c>
      <c r="BA58">
        <f>AC58-AO58</f>
        <v>0</v>
      </c>
      <c r="BB58">
        <f>AD58-AP58</f>
        <v>0</v>
      </c>
      <c r="BC58">
        <f>AE58-AQ58</f>
        <v>0</v>
      </c>
      <c r="BD58">
        <f>AF58-AR58</f>
        <v>0</v>
      </c>
      <c r="BE58">
        <f>AG58-AS58</f>
        <v>0</v>
      </c>
    </row>
    <row r="59">
      <c r="A59" t="n">
        <v>29</v>
      </c>
      <c r="B59">
        <f>SUMPRODUCT(ROUND($AT58:$BE58*(1+'Calc base'!$H59:$S59),2))</f>
        <v>0</v>
      </c>
      <c r="C59">
        <f>SUM(J59:U59)</f>
        <v>0</v>
      </c>
      <c r="D59">
        <f>SUM(V59:AG59)</f>
        <v>0</v>
      </c>
      <c r="E59">
        <f>MAX(0,IF(Impostazioni!$B$7="No",'Calc base'!$C59-$C$31,'Calc base'!$C59-C59)+'Calc base'!$G59+'Calc base'!$F59-(B59-C59-D59))</f>
        <v>900</v>
      </c>
      <c r="F59">
        <f>SUM(AH59:AS59)</f>
        <v>0</v>
      </c>
      <c r="G59">
        <f>SUM(AT59:BE59)</f>
        <v>0</v>
      </c>
      <c r="H59">
        <f>B59-G58</f>
        <v>0</v>
      </c>
      <c r="I59">
        <f>B59-G59</f>
        <v>0</v>
      </c>
      <c r="J59">
        <f>IF(AT58&lt;=0,0,IF(ROUND(AT58*(1+'Calc base'!H59),2)-MAX('Calc base'!C$12,ROUND('Calc base'!C$13*AT58,2))&lt;1,ROUND(AT58*(1+'Calc base'!H59),2),MAX('Calc base'!C$12,ROUND('Calc base'!C$13*AT58,2))))</f>
        <v>0</v>
      </c>
      <c r="K59">
        <f>IF(AU58&lt;=0,0,IF(ROUND(AU58*(1+'Calc base'!I59),2)-MAX('Calc base'!D$12,ROUND('Calc base'!D$13*AU58,2))&lt;1,ROUND(AU58*(1+'Calc base'!I59),2),MAX('Calc base'!D$12,ROUND('Calc base'!D$13*AU58,2))))</f>
        <v>0</v>
      </c>
      <c r="L59">
        <f>IF(AV58&lt;=0,0,IF(ROUND(AV58*(1+'Calc base'!J59),2)-MAX('Calc base'!E$12,ROUND('Calc base'!E$13*AV58,2))&lt;1,ROUND(AV58*(1+'Calc base'!J59),2),MAX('Calc base'!E$12,ROUND('Calc base'!E$13*AV58,2))))</f>
        <v>0</v>
      </c>
      <c r="M59">
        <f>IF(AW58&lt;=0,0,IF(ROUND(AW58*(1+'Calc base'!K59),2)-MAX('Calc base'!F$12,ROUND('Calc base'!F$13*AW58,2))&lt;1,ROUND(AW58*(1+'Calc base'!K59),2),MAX('Calc base'!F$12,ROUND('Calc base'!F$13*AW58,2))))</f>
        <v>0</v>
      </c>
      <c r="N59">
        <f>IF(AX58&lt;=0,0,IF(ROUND(AX58*(1+'Calc base'!L59),2)-MAX('Calc base'!G$12,ROUND('Calc base'!G$13*AX58,2))&lt;1,ROUND(AX58*(1+'Calc base'!L59),2),MAX('Calc base'!G$12,ROUND('Calc base'!G$13*AX58,2))))</f>
        <v>0</v>
      </c>
      <c r="O59">
        <f>IF(AY58&lt;=0,0,IF(ROUND(AY58*(1+'Calc base'!M59),2)-MAX('Calc base'!H$12,ROUND('Calc base'!H$13*AY58,2))&lt;1,ROUND(AY58*(1+'Calc base'!M59),2),MAX('Calc base'!H$12,ROUND('Calc base'!H$13*AY58,2))))</f>
        <v>0</v>
      </c>
      <c r="P59">
        <f>IF(AZ58&lt;=0,0,IF(ROUND(AZ58*(1+'Calc base'!N59),2)-MAX('Calc base'!I$12,ROUND('Calc base'!I$13*AZ58,2))&lt;1,ROUND(AZ58*(1+'Calc base'!N59),2),MAX('Calc base'!I$12,ROUND('Calc base'!I$13*AZ58,2))))</f>
        <v>0</v>
      </c>
      <c r="Q59">
        <f>IF(BA58&lt;=0,0,IF(ROUND(BA58*(1+'Calc base'!O59),2)-MAX('Calc base'!J$12,ROUND('Calc base'!J$13*BA58,2))&lt;1,ROUND(BA58*(1+'Calc base'!O59),2),MAX('Calc base'!J$12,ROUND('Calc base'!J$13*BA58,2))))</f>
        <v>0</v>
      </c>
      <c r="R59">
        <f>IF(BB58&lt;=0,0,IF(ROUND(BB58*(1+'Calc base'!P59),2)-MAX('Calc base'!K$12,ROUND('Calc base'!K$13*BB58,2))&lt;1,ROUND(BB58*(1+'Calc base'!P59),2),MAX('Calc base'!K$12,ROUND('Calc base'!K$13*BB58,2))))</f>
        <v>0</v>
      </c>
      <c r="S59">
        <f>IF(BC58&lt;=0,0,IF(ROUND(BC58*(1+'Calc base'!Q59),2)-MAX('Calc base'!L$12,ROUND('Calc base'!L$13*BC58,2))&lt;1,ROUND(BC58*(1+'Calc base'!Q59),2),MAX('Calc base'!L$12,ROUND('Calc base'!L$13*BC58,2))))</f>
        <v>0</v>
      </c>
      <c r="T59">
        <f>IF(BD58&lt;=0,0,IF(ROUND(BD58*(1+'Calc base'!R59),2)-MAX('Calc base'!M$12,ROUND('Calc base'!M$13*BD58,2))&lt;1,ROUND(BD58*(1+'Calc base'!R59),2),MAX('Calc base'!M$12,ROUND('Calc base'!M$13*BD58,2))))</f>
        <v>0</v>
      </c>
      <c r="U59">
        <f>IF(BE58&lt;=0,0,IF(ROUND(BE58*(1+'Calc base'!S59),2)-MAX('Calc base'!N$12,ROUND('Calc base'!N$13*BE58,2))&lt;1,ROUND(BE58*(1+'Calc base'!S59),2),MAX('Calc base'!N$12,ROUND('Calc base'!N$13*BE58,2))))</f>
        <v>0</v>
      </c>
      <c r="V59">
        <f>MAX(0,ROUND(AT58*(1+'Calc base'!H59),2)-J59-'Calc base'!T59)</f>
        <v>0</v>
      </c>
      <c r="W59">
        <f>MAX(0,ROUND(AU58*(1+'Calc base'!I59),2)-K59-'Calc base'!U59)</f>
        <v>0</v>
      </c>
      <c r="X59">
        <f>MAX(0,ROUND(AV58*(1+'Calc base'!J59),2)-L59-'Calc base'!V59)</f>
        <v>0</v>
      </c>
      <c r="Y59">
        <f>MAX(0,ROUND(AW58*(1+'Calc base'!K59),2)-M59-'Calc base'!W59)</f>
        <v>0</v>
      </c>
      <c r="Z59">
        <f>MAX(0,ROUND(AX58*(1+'Calc base'!L59),2)-N59-'Calc base'!X59)</f>
        <v>0</v>
      </c>
      <c r="AA59">
        <f>MAX(0,ROUND(AY58*(1+'Calc base'!M59),2)-O59-'Calc base'!Y59)</f>
        <v>0</v>
      </c>
      <c r="AB59">
        <f>MAX(0,ROUND(AZ58*(1+'Calc base'!N59),2)-P59-'Calc base'!Z59)</f>
        <v>0</v>
      </c>
      <c r="AC59">
        <f>MAX(0,ROUND(BA58*(1+'Calc base'!O59),2)-Q59-'Calc base'!AA59)</f>
        <v>0</v>
      </c>
      <c r="AD59">
        <f>MAX(0,ROUND(BB58*(1+'Calc base'!P59),2)-R59-'Calc base'!AB59)</f>
        <v>0</v>
      </c>
      <c r="AE59">
        <f>MAX(0,ROUND(BC58*(1+'Calc base'!Q59),2)-S59-'Calc base'!AC59)</f>
        <v>0</v>
      </c>
      <c r="AF59">
        <f>MAX(0,ROUND(BD58*(1+'Calc base'!R59),2)-T59-'Calc base'!AD59)</f>
        <v>0</v>
      </c>
      <c r="AG59">
        <f>MAX(0,ROUND(BE58*(1+'Calc base'!S59),2)-U59-'Calc base'!AE59)</f>
        <v>0</v>
      </c>
      <c r="AH59">
        <f>IF('Calc base'!C$14=0,0,MIN(V59,MAX(0,$E59-SUMPRODUCT($V59:$AG59,'Calc base'!$C$14:$N$14,('Calc base'!$H59:$S59&gt;'Calc base'!H59)+('Calc base'!$H59:$S59='Calc base'!H59)*('Calc base'!$C$17:$N$17&lt;'Calc base'!C$17)))))</f>
        <v>0</v>
      </c>
      <c r="AI59">
        <f>IF('Calc base'!D$14=0,0,MIN(W59,MAX(0,$E59-SUMPRODUCT($V59:$AG59,'Calc base'!$C$14:$N$14,('Calc base'!$H59:$S59&gt;'Calc base'!I59)+('Calc base'!$H59:$S59='Calc base'!I59)*('Calc base'!$C$17:$N$17&lt;'Calc base'!D$17)))))</f>
        <v>0</v>
      </c>
      <c r="AJ59">
        <f>IF('Calc base'!E$14=0,0,MIN(X59,MAX(0,$E59-SUMPRODUCT($V59:$AG59,'Calc base'!$C$14:$N$14,('Calc base'!$H59:$S59&gt;'Calc base'!J59)+('Calc base'!$H59:$S59='Calc base'!J59)*('Calc base'!$C$17:$N$17&lt;'Calc base'!E$17)))))</f>
        <v>0</v>
      </c>
      <c r="AK59">
        <f>IF('Calc base'!F$14=0,0,MIN(Y59,MAX(0,$E59-SUMPRODUCT($V59:$AG59,'Calc base'!$C$14:$N$14,('Calc base'!$H59:$S59&gt;'Calc base'!K59)+('Calc base'!$H59:$S59='Calc base'!K59)*('Calc base'!$C$17:$N$17&lt;'Calc base'!F$17)))))</f>
        <v>0</v>
      </c>
      <c r="AL59">
        <f>IF('Calc base'!G$14=0,0,MIN(Z59,MAX(0,$E59-SUMPRODUCT($V59:$AG59,'Calc base'!$C$14:$N$14,('Calc base'!$H59:$S59&gt;'Calc base'!L59)+('Calc base'!$H59:$S59='Calc base'!L59)*('Calc base'!$C$17:$N$17&lt;'Calc base'!G$17)))))</f>
        <v>0</v>
      </c>
      <c r="AM59">
        <f>IF('Calc base'!H$14=0,0,MIN(AA59,MAX(0,$E59-SUMPRODUCT($V59:$AG59,'Calc base'!$C$14:$N$14,('Calc base'!$H59:$S59&gt;'Calc base'!M59)+('Calc base'!$H59:$S59='Calc base'!M59)*('Calc base'!$C$17:$N$17&lt;'Calc base'!H$17)))))</f>
        <v>0</v>
      </c>
      <c r="AN59">
        <f>IF('Calc base'!I$14=0,0,MIN(AB59,MAX(0,$E59-SUMPRODUCT($V59:$AG59,'Calc base'!$C$14:$N$14,('Calc base'!$H59:$S59&gt;'Calc base'!N59)+('Calc base'!$H59:$S59='Calc base'!N59)*('Calc base'!$C$17:$N$17&lt;'Calc base'!I$17)))))</f>
        <v>0</v>
      </c>
      <c r="AO59">
        <f>IF('Calc base'!J$14=0,0,MIN(AC59,MAX(0,$E59-SUMPRODUCT($V59:$AG59,'Calc base'!$C$14:$N$14,('Calc base'!$H59:$S59&gt;'Calc base'!O59)+('Calc base'!$H59:$S59='Calc base'!O59)*('Calc base'!$C$17:$N$17&lt;'Calc base'!J$17)))))</f>
        <v>0</v>
      </c>
      <c r="AP59">
        <f>IF('Calc base'!K$14=0,0,MIN(AD59,MAX(0,$E59-SUMPRODUCT($V59:$AG59,'Calc base'!$C$14:$N$14,('Calc base'!$H59:$S59&gt;'Calc base'!P59)+('Calc base'!$H59:$S59='Calc base'!P59)*('Calc base'!$C$17:$N$17&lt;'Calc base'!K$17)))))</f>
        <v>0</v>
      </c>
      <c r="AQ59">
        <f>IF('Calc base'!L$14=0,0,MIN(AE59,MAX(0,$E59-SUMPRODUCT($V59:$AG59,'Calc base'!$C$14:$N$14,('Calc base'!$H59:$S59&gt;'Calc base'!Q59)+('Calc base'!$H59:$S59='Calc base'!Q59)*('Calc base'!$C$17:$N$17&lt;'Calc base'!L$17)))))</f>
        <v>0</v>
      </c>
      <c r="AR59">
        <f>IF('Calc base'!M$14=0,0,MIN(AF59,MAX(0,$E59-SUMPRODUCT($V59:$AG59,'Calc base'!$C$14:$N$14,('Calc base'!$H59:$S59&gt;'Calc base'!R59)+('Calc base'!$H59:$S59='Calc base'!R59)*('Calc base'!$C$17:$N$17&lt;'Calc base'!M$17)))))</f>
        <v>0</v>
      </c>
      <c r="AS59">
        <f>IF('Calc base'!N$14=0,0,MIN(AG59,MAX(0,$E59-SUMPRODUCT($V59:$AG59,'Calc base'!$C$14:$N$14,('Calc base'!$H59:$S59&gt;'Calc base'!S59)+('Calc base'!$H59:$S59='Calc base'!S59)*('Calc base'!$C$17:$N$17&lt;'Calc base'!N$17)))))</f>
        <v>0</v>
      </c>
      <c r="AT59">
        <f>V59-AH59</f>
        <v>0</v>
      </c>
      <c r="AU59">
        <f>W59-AI59</f>
        <v>0</v>
      </c>
      <c r="AV59">
        <f>X59-AJ59</f>
        <v>0</v>
      </c>
      <c r="AW59">
        <f>Y59-AK59</f>
        <v>0</v>
      </c>
      <c r="AX59">
        <f>Z59-AL59</f>
        <v>0</v>
      </c>
      <c r="AY59">
        <f>AA59-AM59</f>
        <v>0</v>
      </c>
      <c r="AZ59">
        <f>AB59-AN59</f>
        <v>0</v>
      </c>
      <c r="BA59">
        <f>AC59-AO59</f>
        <v>0</v>
      </c>
      <c r="BB59">
        <f>AD59-AP59</f>
        <v>0</v>
      </c>
      <c r="BC59">
        <f>AE59-AQ59</f>
        <v>0</v>
      </c>
      <c r="BD59">
        <f>AF59-AR59</f>
        <v>0</v>
      </c>
      <c r="BE59">
        <f>AG59-AS59</f>
        <v>0</v>
      </c>
    </row>
    <row r="60">
      <c r="A60" t="n">
        <v>30</v>
      </c>
      <c r="B60">
        <f>SUMPRODUCT(ROUND($AT59:$BE59*(1+'Calc base'!$H60:$S60),2))</f>
        <v>0</v>
      </c>
      <c r="C60">
        <f>SUM(J60:U60)</f>
        <v>0</v>
      </c>
      <c r="D60">
        <f>SUM(V60:AG60)</f>
        <v>0</v>
      </c>
      <c r="E60">
        <f>MAX(0,IF(Impostazioni!$B$7="No",'Calc base'!$C60-$C$31,'Calc base'!$C60-C60)+'Calc base'!$G60+'Calc base'!$F60-(B60-C60-D60))</f>
        <v>900</v>
      </c>
      <c r="F60">
        <f>SUM(AH60:AS60)</f>
        <v>0</v>
      </c>
      <c r="G60">
        <f>SUM(AT60:BE60)</f>
        <v>0</v>
      </c>
      <c r="H60">
        <f>B60-G59</f>
        <v>0</v>
      </c>
      <c r="I60">
        <f>B60-G60</f>
        <v>0</v>
      </c>
      <c r="J60">
        <f>IF(AT59&lt;=0,0,IF(ROUND(AT59*(1+'Calc base'!H60),2)-MAX('Calc base'!C$12,ROUND('Calc base'!C$13*AT59,2))&lt;1,ROUND(AT59*(1+'Calc base'!H60),2),MAX('Calc base'!C$12,ROUND('Calc base'!C$13*AT59,2))))</f>
        <v>0</v>
      </c>
      <c r="K60">
        <f>IF(AU59&lt;=0,0,IF(ROUND(AU59*(1+'Calc base'!I60),2)-MAX('Calc base'!D$12,ROUND('Calc base'!D$13*AU59,2))&lt;1,ROUND(AU59*(1+'Calc base'!I60),2),MAX('Calc base'!D$12,ROUND('Calc base'!D$13*AU59,2))))</f>
        <v>0</v>
      </c>
      <c r="L60">
        <f>IF(AV59&lt;=0,0,IF(ROUND(AV59*(1+'Calc base'!J60),2)-MAX('Calc base'!E$12,ROUND('Calc base'!E$13*AV59,2))&lt;1,ROUND(AV59*(1+'Calc base'!J60),2),MAX('Calc base'!E$12,ROUND('Calc base'!E$13*AV59,2))))</f>
        <v>0</v>
      </c>
      <c r="M60">
        <f>IF(AW59&lt;=0,0,IF(ROUND(AW59*(1+'Calc base'!K60),2)-MAX('Calc base'!F$12,ROUND('Calc base'!F$13*AW59,2))&lt;1,ROUND(AW59*(1+'Calc base'!K60),2),MAX('Calc base'!F$12,ROUND('Calc base'!F$13*AW59,2))))</f>
        <v>0</v>
      </c>
      <c r="N60">
        <f>IF(AX59&lt;=0,0,IF(ROUND(AX59*(1+'Calc base'!L60),2)-MAX('Calc base'!G$12,ROUND('Calc base'!G$13*AX59,2))&lt;1,ROUND(AX59*(1+'Calc base'!L60),2),MAX('Calc base'!G$12,ROUND('Calc base'!G$13*AX59,2))))</f>
        <v>0</v>
      </c>
      <c r="O60">
        <f>IF(AY59&lt;=0,0,IF(ROUND(AY59*(1+'Calc base'!M60),2)-MAX('Calc base'!H$12,ROUND('Calc base'!H$13*AY59,2))&lt;1,ROUND(AY59*(1+'Calc base'!M60),2),MAX('Calc base'!H$12,ROUND('Calc base'!H$13*AY59,2))))</f>
        <v>0</v>
      </c>
      <c r="P60">
        <f>IF(AZ59&lt;=0,0,IF(ROUND(AZ59*(1+'Calc base'!N60),2)-MAX('Calc base'!I$12,ROUND('Calc base'!I$13*AZ59,2))&lt;1,ROUND(AZ59*(1+'Calc base'!N60),2),MAX('Calc base'!I$12,ROUND('Calc base'!I$13*AZ59,2))))</f>
        <v>0</v>
      </c>
      <c r="Q60">
        <f>IF(BA59&lt;=0,0,IF(ROUND(BA59*(1+'Calc base'!O60),2)-MAX('Calc base'!J$12,ROUND('Calc base'!J$13*BA59,2))&lt;1,ROUND(BA59*(1+'Calc base'!O60),2),MAX('Calc base'!J$12,ROUND('Calc base'!J$13*BA59,2))))</f>
        <v>0</v>
      </c>
      <c r="R60">
        <f>IF(BB59&lt;=0,0,IF(ROUND(BB59*(1+'Calc base'!P60),2)-MAX('Calc base'!K$12,ROUND('Calc base'!K$13*BB59,2))&lt;1,ROUND(BB59*(1+'Calc base'!P60),2),MAX('Calc base'!K$12,ROUND('Calc base'!K$13*BB59,2))))</f>
        <v>0</v>
      </c>
      <c r="S60">
        <f>IF(BC59&lt;=0,0,IF(ROUND(BC59*(1+'Calc base'!Q60),2)-MAX('Calc base'!L$12,ROUND('Calc base'!L$13*BC59,2))&lt;1,ROUND(BC59*(1+'Calc base'!Q60),2),MAX('Calc base'!L$12,ROUND('Calc base'!L$13*BC59,2))))</f>
        <v>0</v>
      </c>
      <c r="T60">
        <f>IF(BD59&lt;=0,0,IF(ROUND(BD59*(1+'Calc base'!R60),2)-MAX('Calc base'!M$12,ROUND('Calc base'!M$13*BD59,2))&lt;1,ROUND(BD59*(1+'Calc base'!R60),2),MAX('Calc base'!M$12,ROUND('Calc base'!M$13*BD59,2))))</f>
        <v>0</v>
      </c>
      <c r="U60">
        <f>IF(BE59&lt;=0,0,IF(ROUND(BE59*(1+'Calc base'!S60),2)-MAX('Calc base'!N$12,ROUND('Calc base'!N$13*BE59,2))&lt;1,ROUND(BE59*(1+'Calc base'!S60),2),MAX('Calc base'!N$12,ROUND('Calc base'!N$13*BE59,2))))</f>
        <v>0</v>
      </c>
      <c r="V60">
        <f>MAX(0,ROUND(AT59*(1+'Calc base'!H60),2)-J60-'Calc base'!T60)</f>
        <v>0</v>
      </c>
      <c r="W60">
        <f>MAX(0,ROUND(AU59*(1+'Calc base'!I60),2)-K60-'Calc base'!U60)</f>
        <v>0</v>
      </c>
      <c r="X60">
        <f>MAX(0,ROUND(AV59*(1+'Calc base'!J60),2)-L60-'Calc base'!V60)</f>
        <v>0</v>
      </c>
      <c r="Y60">
        <f>MAX(0,ROUND(AW59*(1+'Calc base'!K60),2)-M60-'Calc base'!W60)</f>
        <v>0</v>
      </c>
      <c r="Z60">
        <f>MAX(0,ROUND(AX59*(1+'Calc base'!L60),2)-N60-'Calc base'!X60)</f>
        <v>0</v>
      </c>
      <c r="AA60">
        <f>MAX(0,ROUND(AY59*(1+'Calc base'!M60),2)-O60-'Calc base'!Y60)</f>
        <v>0</v>
      </c>
      <c r="AB60">
        <f>MAX(0,ROUND(AZ59*(1+'Calc base'!N60),2)-P60-'Calc base'!Z60)</f>
        <v>0</v>
      </c>
      <c r="AC60">
        <f>MAX(0,ROUND(BA59*(1+'Calc base'!O60),2)-Q60-'Calc base'!AA60)</f>
        <v>0</v>
      </c>
      <c r="AD60">
        <f>MAX(0,ROUND(BB59*(1+'Calc base'!P60),2)-R60-'Calc base'!AB60)</f>
        <v>0</v>
      </c>
      <c r="AE60">
        <f>MAX(0,ROUND(BC59*(1+'Calc base'!Q60),2)-S60-'Calc base'!AC60)</f>
        <v>0</v>
      </c>
      <c r="AF60">
        <f>MAX(0,ROUND(BD59*(1+'Calc base'!R60),2)-T60-'Calc base'!AD60)</f>
        <v>0</v>
      </c>
      <c r="AG60">
        <f>MAX(0,ROUND(BE59*(1+'Calc base'!S60),2)-U60-'Calc base'!AE60)</f>
        <v>0</v>
      </c>
      <c r="AH60">
        <f>IF('Calc base'!C$14=0,0,MIN(V60,MAX(0,$E60-SUMPRODUCT($V60:$AG60,'Calc base'!$C$14:$N$14,('Calc base'!$H60:$S60&gt;'Calc base'!H60)+('Calc base'!$H60:$S60='Calc base'!H60)*('Calc base'!$C$17:$N$17&lt;'Calc base'!C$17)))))</f>
        <v>0</v>
      </c>
      <c r="AI60">
        <f>IF('Calc base'!D$14=0,0,MIN(W60,MAX(0,$E60-SUMPRODUCT($V60:$AG60,'Calc base'!$C$14:$N$14,('Calc base'!$H60:$S60&gt;'Calc base'!I60)+('Calc base'!$H60:$S60='Calc base'!I60)*('Calc base'!$C$17:$N$17&lt;'Calc base'!D$17)))))</f>
        <v>0</v>
      </c>
      <c r="AJ60">
        <f>IF('Calc base'!E$14=0,0,MIN(X60,MAX(0,$E60-SUMPRODUCT($V60:$AG60,'Calc base'!$C$14:$N$14,('Calc base'!$H60:$S60&gt;'Calc base'!J60)+('Calc base'!$H60:$S60='Calc base'!J60)*('Calc base'!$C$17:$N$17&lt;'Calc base'!E$17)))))</f>
        <v>0</v>
      </c>
      <c r="AK60">
        <f>IF('Calc base'!F$14=0,0,MIN(Y60,MAX(0,$E60-SUMPRODUCT($V60:$AG60,'Calc base'!$C$14:$N$14,('Calc base'!$H60:$S60&gt;'Calc base'!K60)+('Calc base'!$H60:$S60='Calc base'!K60)*('Calc base'!$C$17:$N$17&lt;'Calc base'!F$17)))))</f>
        <v>0</v>
      </c>
      <c r="AL60">
        <f>IF('Calc base'!G$14=0,0,MIN(Z60,MAX(0,$E60-SUMPRODUCT($V60:$AG60,'Calc base'!$C$14:$N$14,('Calc base'!$H60:$S60&gt;'Calc base'!L60)+('Calc base'!$H60:$S60='Calc base'!L60)*('Calc base'!$C$17:$N$17&lt;'Calc base'!G$17)))))</f>
        <v>0</v>
      </c>
      <c r="AM60">
        <f>IF('Calc base'!H$14=0,0,MIN(AA60,MAX(0,$E60-SUMPRODUCT($V60:$AG60,'Calc base'!$C$14:$N$14,('Calc base'!$H60:$S60&gt;'Calc base'!M60)+('Calc base'!$H60:$S60='Calc base'!M60)*('Calc base'!$C$17:$N$17&lt;'Calc base'!H$17)))))</f>
        <v>0</v>
      </c>
      <c r="AN60">
        <f>IF('Calc base'!I$14=0,0,MIN(AB60,MAX(0,$E60-SUMPRODUCT($V60:$AG60,'Calc base'!$C$14:$N$14,('Calc base'!$H60:$S60&gt;'Calc base'!N60)+('Calc base'!$H60:$S60='Calc base'!N60)*('Calc base'!$C$17:$N$17&lt;'Calc base'!I$17)))))</f>
        <v>0</v>
      </c>
      <c r="AO60">
        <f>IF('Calc base'!J$14=0,0,MIN(AC60,MAX(0,$E60-SUMPRODUCT($V60:$AG60,'Calc base'!$C$14:$N$14,('Calc base'!$H60:$S60&gt;'Calc base'!O60)+('Calc base'!$H60:$S60='Calc base'!O60)*('Calc base'!$C$17:$N$17&lt;'Calc base'!J$17)))))</f>
        <v>0</v>
      </c>
      <c r="AP60">
        <f>IF('Calc base'!K$14=0,0,MIN(AD60,MAX(0,$E60-SUMPRODUCT($V60:$AG60,'Calc base'!$C$14:$N$14,('Calc base'!$H60:$S60&gt;'Calc base'!P60)+('Calc base'!$H60:$S60='Calc base'!P60)*('Calc base'!$C$17:$N$17&lt;'Calc base'!K$17)))))</f>
        <v>0</v>
      </c>
      <c r="AQ60">
        <f>IF('Calc base'!L$14=0,0,MIN(AE60,MAX(0,$E60-SUMPRODUCT($V60:$AG60,'Calc base'!$C$14:$N$14,('Calc base'!$H60:$S60&gt;'Calc base'!Q60)+('Calc base'!$H60:$S60='Calc base'!Q60)*('Calc base'!$C$17:$N$17&lt;'Calc base'!L$17)))))</f>
        <v>0</v>
      </c>
      <c r="AR60">
        <f>IF('Calc base'!M$14=0,0,MIN(AF60,MAX(0,$E60-SUMPRODUCT($V60:$AG60,'Calc base'!$C$14:$N$14,('Calc base'!$H60:$S60&gt;'Calc base'!R60)+('Calc base'!$H60:$S60='Calc base'!R60)*('Calc base'!$C$17:$N$17&lt;'Calc base'!M$17)))))</f>
        <v>0</v>
      </c>
      <c r="AS60">
        <f>IF('Calc base'!N$14=0,0,MIN(AG60,MAX(0,$E60-SUMPRODUCT($V60:$AG60,'Calc base'!$C$14:$N$14,('Calc base'!$H60:$S60&gt;'Calc base'!S60)+('Calc base'!$H60:$S60='Calc base'!S60)*('Calc base'!$C$17:$N$17&lt;'Calc base'!N$17)))))</f>
        <v>0</v>
      </c>
      <c r="AT60">
        <f>V60-AH60</f>
        <v>0</v>
      </c>
      <c r="AU60">
        <f>W60-AI60</f>
        <v>0</v>
      </c>
      <c r="AV60">
        <f>X60-AJ60</f>
        <v>0</v>
      </c>
      <c r="AW60">
        <f>Y60-AK60</f>
        <v>0</v>
      </c>
      <c r="AX60">
        <f>Z60-AL60</f>
        <v>0</v>
      </c>
      <c r="AY60">
        <f>AA60-AM60</f>
        <v>0</v>
      </c>
      <c r="AZ60">
        <f>AB60-AN60</f>
        <v>0</v>
      </c>
      <c r="BA60">
        <f>AC60-AO60</f>
        <v>0</v>
      </c>
      <c r="BB60">
        <f>AD60-AP60</f>
        <v>0</v>
      </c>
      <c r="BC60">
        <f>AE60-AQ60</f>
        <v>0</v>
      </c>
      <c r="BD60">
        <f>AF60-AR60</f>
        <v>0</v>
      </c>
      <c r="BE60">
        <f>AG60-AS60</f>
        <v>0</v>
      </c>
    </row>
    <row r="61">
      <c r="A61" t="n">
        <v>31</v>
      </c>
      <c r="B61">
        <f>SUMPRODUCT(ROUND($AT60:$BE60*(1+'Calc base'!$H61:$S61),2))</f>
        <v>0</v>
      </c>
      <c r="C61">
        <f>SUM(J61:U61)</f>
        <v>0</v>
      </c>
      <c r="D61">
        <f>SUM(V61:AG61)</f>
        <v>0</v>
      </c>
      <c r="E61">
        <f>MAX(0,IF(Impostazioni!$B$7="No",'Calc base'!$C61-$C$31,'Calc base'!$C61-C61)+'Calc base'!$G61+'Calc base'!$F61-(B61-C61-D61))</f>
        <v>900</v>
      </c>
      <c r="F61">
        <f>SUM(AH61:AS61)</f>
        <v>0</v>
      </c>
      <c r="G61">
        <f>SUM(AT61:BE61)</f>
        <v>0</v>
      </c>
      <c r="H61">
        <f>B61-G60</f>
        <v>0</v>
      </c>
      <c r="I61">
        <f>B61-G61</f>
        <v>0</v>
      </c>
      <c r="J61">
        <f>IF(AT60&lt;=0,0,IF(ROUND(AT60*(1+'Calc base'!H61),2)-MAX('Calc base'!C$12,ROUND('Calc base'!C$13*AT60,2))&lt;1,ROUND(AT60*(1+'Calc base'!H61),2),MAX('Calc base'!C$12,ROUND('Calc base'!C$13*AT60,2))))</f>
        <v>0</v>
      </c>
      <c r="K61">
        <f>IF(AU60&lt;=0,0,IF(ROUND(AU60*(1+'Calc base'!I61),2)-MAX('Calc base'!D$12,ROUND('Calc base'!D$13*AU60,2))&lt;1,ROUND(AU60*(1+'Calc base'!I61),2),MAX('Calc base'!D$12,ROUND('Calc base'!D$13*AU60,2))))</f>
        <v>0</v>
      </c>
      <c r="L61">
        <f>IF(AV60&lt;=0,0,IF(ROUND(AV60*(1+'Calc base'!J61),2)-MAX('Calc base'!E$12,ROUND('Calc base'!E$13*AV60,2))&lt;1,ROUND(AV60*(1+'Calc base'!J61),2),MAX('Calc base'!E$12,ROUND('Calc base'!E$13*AV60,2))))</f>
        <v>0</v>
      </c>
      <c r="M61">
        <f>IF(AW60&lt;=0,0,IF(ROUND(AW60*(1+'Calc base'!K61),2)-MAX('Calc base'!F$12,ROUND('Calc base'!F$13*AW60,2))&lt;1,ROUND(AW60*(1+'Calc base'!K61),2),MAX('Calc base'!F$12,ROUND('Calc base'!F$13*AW60,2))))</f>
        <v>0</v>
      </c>
      <c r="N61">
        <f>IF(AX60&lt;=0,0,IF(ROUND(AX60*(1+'Calc base'!L61),2)-MAX('Calc base'!G$12,ROUND('Calc base'!G$13*AX60,2))&lt;1,ROUND(AX60*(1+'Calc base'!L61),2),MAX('Calc base'!G$12,ROUND('Calc base'!G$13*AX60,2))))</f>
        <v>0</v>
      </c>
      <c r="O61">
        <f>IF(AY60&lt;=0,0,IF(ROUND(AY60*(1+'Calc base'!M61),2)-MAX('Calc base'!H$12,ROUND('Calc base'!H$13*AY60,2))&lt;1,ROUND(AY60*(1+'Calc base'!M61),2),MAX('Calc base'!H$12,ROUND('Calc base'!H$13*AY60,2))))</f>
        <v>0</v>
      </c>
      <c r="P61">
        <f>IF(AZ60&lt;=0,0,IF(ROUND(AZ60*(1+'Calc base'!N61),2)-MAX('Calc base'!I$12,ROUND('Calc base'!I$13*AZ60,2))&lt;1,ROUND(AZ60*(1+'Calc base'!N61),2),MAX('Calc base'!I$12,ROUND('Calc base'!I$13*AZ60,2))))</f>
        <v>0</v>
      </c>
      <c r="Q61">
        <f>IF(BA60&lt;=0,0,IF(ROUND(BA60*(1+'Calc base'!O61),2)-MAX('Calc base'!J$12,ROUND('Calc base'!J$13*BA60,2))&lt;1,ROUND(BA60*(1+'Calc base'!O61),2),MAX('Calc base'!J$12,ROUND('Calc base'!J$13*BA60,2))))</f>
        <v>0</v>
      </c>
      <c r="R61">
        <f>IF(BB60&lt;=0,0,IF(ROUND(BB60*(1+'Calc base'!P61),2)-MAX('Calc base'!K$12,ROUND('Calc base'!K$13*BB60,2))&lt;1,ROUND(BB60*(1+'Calc base'!P61),2),MAX('Calc base'!K$12,ROUND('Calc base'!K$13*BB60,2))))</f>
        <v>0</v>
      </c>
      <c r="S61">
        <f>IF(BC60&lt;=0,0,IF(ROUND(BC60*(1+'Calc base'!Q61),2)-MAX('Calc base'!L$12,ROUND('Calc base'!L$13*BC60,2))&lt;1,ROUND(BC60*(1+'Calc base'!Q61),2),MAX('Calc base'!L$12,ROUND('Calc base'!L$13*BC60,2))))</f>
        <v>0</v>
      </c>
      <c r="T61">
        <f>IF(BD60&lt;=0,0,IF(ROUND(BD60*(1+'Calc base'!R61),2)-MAX('Calc base'!M$12,ROUND('Calc base'!M$13*BD60,2))&lt;1,ROUND(BD60*(1+'Calc base'!R61),2),MAX('Calc base'!M$12,ROUND('Calc base'!M$13*BD60,2))))</f>
        <v>0</v>
      </c>
      <c r="U61">
        <f>IF(BE60&lt;=0,0,IF(ROUND(BE60*(1+'Calc base'!S61),2)-MAX('Calc base'!N$12,ROUND('Calc base'!N$13*BE60,2))&lt;1,ROUND(BE60*(1+'Calc base'!S61),2),MAX('Calc base'!N$12,ROUND('Calc base'!N$13*BE60,2))))</f>
        <v>0</v>
      </c>
      <c r="V61">
        <f>MAX(0,ROUND(AT60*(1+'Calc base'!H61),2)-J61-'Calc base'!T61)</f>
        <v>0</v>
      </c>
      <c r="W61">
        <f>MAX(0,ROUND(AU60*(1+'Calc base'!I61),2)-K61-'Calc base'!U61)</f>
        <v>0</v>
      </c>
      <c r="X61">
        <f>MAX(0,ROUND(AV60*(1+'Calc base'!J61),2)-L61-'Calc base'!V61)</f>
        <v>0</v>
      </c>
      <c r="Y61">
        <f>MAX(0,ROUND(AW60*(1+'Calc base'!K61),2)-M61-'Calc base'!W61)</f>
        <v>0</v>
      </c>
      <c r="Z61">
        <f>MAX(0,ROUND(AX60*(1+'Calc base'!L61),2)-N61-'Calc base'!X61)</f>
        <v>0</v>
      </c>
      <c r="AA61">
        <f>MAX(0,ROUND(AY60*(1+'Calc base'!M61),2)-O61-'Calc base'!Y61)</f>
        <v>0</v>
      </c>
      <c r="AB61">
        <f>MAX(0,ROUND(AZ60*(1+'Calc base'!N61),2)-P61-'Calc base'!Z61)</f>
        <v>0</v>
      </c>
      <c r="AC61">
        <f>MAX(0,ROUND(BA60*(1+'Calc base'!O61),2)-Q61-'Calc base'!AA61)</f>
        <v>0</v>
      </c>
      <c r="AD61">
        <f>MAX(0,ROUND(BB60*(1+'Calc base'!P61),2)-R61-'Calc base'!AB61)</f>
        <v>0</v>
      </c>
      <c r="AE61">
        <f>MAX(0,ROUND(BC60*(1+'Calc base'!Q61),2)-S61-'Calc base'!AC61)</f>
        <v>0</v>
      </c>
      <c r="AF61">
        <f>MAX(0,ROUND(BD60*(1+'Calc base'!R61),2)-T61-'Calc base'!AD61)</f>
        <v>0</v>
      </c>
      <c r="AG61">
        <f>MAX(0,ROUND(BE60*(1+'Calc base'!S61),2)-U61-'Calc base'!AE61)</f>
        <v>0</v>
      </c>
      <c r="AH61">
        <f>IF('Calc base'!C$14=0,0,MIN(V61,MAX(0,$E61-SUMPRODUCT($V61:$AG61,'Calc base'!$C$14:$N$14,('Calc base'!$H61:$S61&gt;'Calc base'!H61)+('Calc base'!$H61:$S61='Calc base'!H61)*('Calc base'!$C$17:$N$17&lt;'Calc base'!C$17)))))</f>
        <v>0</v>
      </c>
      <c r="AI61">
        <f>IF('Calc base'!D$14=0,0,MIN(W61,MAX(0,$E61-SUMPRODUCT($V61:$AG61,'Calc base'!$C$14:$N$14,('Calc base'!$H61:$S61&gt;'Calc base'!I61)+('Calc base'!$H61:$S61='Calc base'!I61)*('Calc base'!$C$17:$N$17&lt;'Calc base'!D$17)))))</f>
        <v>0</v>
      </c>
      <c r="AJ61">
        <f>IF('Calc base'!E$14=0,0,MIN(X61,MAX(0,$E61-SUMPRODUCT($V61:$AG61,'Calc base'!$C$14:$N$14,('Calc base'!$H61:$S61&gt;'Calc base'!J61)+('Calc base'!$H61:$S61='Calc base'!J61)*('Calc base'!$C$17:$N$17&lt;'Calc base'!E$17)))))</f>
        <v>0</v>
      </c>
      <c r="AK61">
        <f>IF('Calc base'!F$14=0,0,MIN(Y61,MAX(0,$E61-SUMPRODUCT($V61:$AG61,'Calc base'!$C$14:$N$14,('Calc base'!$H61:$S61&gt;'Calc base'!K61)+('Calc base'!$H61:$S61='Calc base'!K61)*('Calc base'!$C$17:$N$17&lt;'Calc base'!F$17)))))</f>
        <v>0</v>
      </c>
      <c r="AL61">
        <f>IF('Calc base'!G$14=0,0,MIN(Z61,MAX(0,$E61-SUMPRODUCT($V61:$AG61,'Calc base'!$C$14:$N$14,('Calc base'!$H61:$S61&gt;'Calc base'!L61)+('Calc base'!$H61:$S61='Calc base'!L61)*('Calc base'!$C$17:$N$17&lt;'Calc base'!G$17)))))</f>
        <v>0</v>
      </c>
      <c r="AM61">
        <f>IF('Calc base'!H$14=0,0,MIN(AA61,MAX(0,$E61-SUMPRODUCT($V61:$AG61,'Calc base'!$C$14:$N$14,('Calc base'!$H61:$S61&gt;'Calc base'!M61)+('Calc base'!$H61:$S61='Calc base'!M61)*('Calc base'!$C$17:$N$17&lt;'Calc base'!H$17)))))</f>
        <v>0</v>
      </c>
      <c r="AN61">
        <f>IF('Calc base'!I$14=0,0,MIN(AB61,MAX(0,$E61-SUMPRODUCT($V61:$AG61,'Calc base'!$C$14:$N$14,('Calc base'!$H61:$S61&gt;'Calc base'!N61)+('Calc base'!$H61:$S61='Calc base'!N61)*('Calc base'!$C$17:$N$17&lt;'Calc base'!I$17)))))</f>
        <v>0</v>
      </c>
      <c r="AO61">
        <f>IF('Calc base'!J$14=0,0,MIN(AC61,MAX(0,$E61-SUMPRODUCT($V61:$AG61,'Calc base'!$C$14:$N$14,('Calc base'!$H61:$S61&gt;'Calc base'!O61)+('Calc base'!$H61:$S61='Calc base'!O61)*('Calc base'!$C$17:$N$17&lt;'Calc base'!J$17)))))</f>
        <v>0</v>
      </c>
      <c r="AP61">
        <f>IF('Calc base'!K$14=0,0,MIN(AD61,MAX(0,$E61-SUMPRODUCT($V61:$AG61,'Calc base'!$C$14:$N$14,('Calc base'!$H61:$S61&gt;'Calc base'!P61)+('Calc base'!$H61:$S61='Calc base'!P61)*('Calc base'!$C$17:$N$17&lt;'Calc base'!K$17)))))</f>
        <v>0</v>
      </c>
      <c r="AQ61">
        <f>IF('Calc base'!L$14=0,0,MIN(AE61,MAX(0,$E61-SUMPRODUCT($V61:$AG61,'Calc base'!$C$14:$N$14,('Calc base'!$H61:$S61&gt;'Calc base'!Q61)+('Calc base'!$H61:$S61='Calc base'!Q61)*('Calc base'!$C$17:$N$17&lt;'Calc base'!L$17)))))</f>
        <v>0</v>
      </c>
      <c r="AR61">
        <f>IF('Calc base'!M$14=0,0,MIN(AF61,MAX(0,$E61-SUMPRODUCT($V61:$AG61,'Calc base'!$C$14:$N$14,('Calc base'!$H61:$S61&gt;'Calc base'!R61)+('Calc base'!$H61:$S61='Calc base'!R61)*('Calc base'!$C$17:$N$17&lt;'Calc base'!M$17)))))</f>
        <v>0</v>
      </c>
      <c r="AS61">
        <f>IF('Calc base'!N$14=0,0,MIN(AG61,MAX(0,$E61-SUMPRODUCT($V61:$AG61,'Calc base'!$C$14:$N$14,('Calc base'!$H61:$S61&gt;'Calc base'!S61)+('Calc base'!$H61:$S61='Calc base'!S61)*('Calc base'!$C$17:$N$17&lt;'Calc base'!N$17)))))</f>
        <v>0</v>
      </c>
      <c r="AT61">
        <f>V61-AH61</f>
        <v>0</v>
      </c>
      <c r="AU61">
        <f>W61-AI61</f>
        <v>0</v>
      </c>
      <c r="AV61">
        <f>X61-AJ61</f>
        <v>0</v>
      </c>
      <c r="AW61">
        <f>Y61-AK61</f>
        <v>0</v>
      </c>
      <c r="AX61">
        <f>Z61-AL61</f>
        <v>0</v>
      </c>
      <c r="AY61">
        <f>AA61-AM61</f>
        <v>0</v>
      </c>
      <c r="AZ61">
        <f>AB61-AN61</f>
        <v>0</v>
      </c>
      <c r="BA61">
        <f>AC61-AO61</f>
        <v>0</v>
      </c>
      <c r="BB61">
        <f>AD61-AP61</f>
        <v>0</v>
      </c>
      <c r="BC61">
        <f>AE61-AQ61</f>
        <v>0</v>
      </c>
      <c r="BD61">
        <f>AF61-AR61</f>
        <v>0</v>
      </c>
      <c r="BE61">
        <f>AG61-AS61</f>
        <v>0</v>
      </c>
    </row>
    <row r="62">
      <c r="A62" t="n">
        <v>32</v>
      </c>
      <c r="B62">
        <f>SUMPRODUCT(ROUND($AT61:$BE61*(1+'Calc base'!$H62:$S62),2))</f>
        <v>0</v>
      </c>
      <c r="C62">
        <f>SUM(J62:U62)</f>
        <v>0</v>
      </c>
      <c r="D62">
        <f>SUM(V62:AG62)</f>
        <v>0</v>
      </c>
      <c r="E62">
        <f>MAX(0,IF(Impostazioni!$B$7="No",'Calc base'!$C62-$C$31,'Calc base'!$C62-C62)+'Calc base'!$G62+'Calc base'!$F62-(B62-C62-D62))</f>
        <v>900</v>
      </c>
      <c r="F62">
        <f>SUM(AH62:AS62)</f>
        <v>0</v>
      </c>
      <c r="G62">
        <f>SUM(AT62:BE62)</f>
        <v>0</v>
      </c>
      <c r="H62">
        <f>B62-G61</f>
        <v>0</v>
      </c>
      <c r="I62">
        <f>B62-G62</f>
        <v>0</v>
      </c>
      <c r="J62">
        <f>IF(AT61&lt;=0,0,IF(ROUND(AT61*(1+'Calc base'!H62),2)-MAX('Calc base'!C$12,ROUND('Calc base'!C$13*AT61,2))&lt;1,ROUND(AT61*(1+'Calc base'!H62),2),MAX('Calc base'!C$12,ROUND('Calc base'!C$13*AT61,2))))</f>
        <v>0</v>
      </c>
      <c r="K62">
        <f>IF(AU61&lt;=0,0,IF(ROUND(AU61*(1+'Calc base'!I62),2)-MAX('Calc base'!D$12,ROUND('Calc base'!D$13*AU61,2))&lt;1,ROUND(AU61*(1+'Calc base'!I62),2),MAX('Calc base'!D$12,ROUND('Calc base'!D$13*AU61,2))))</f>
        <v>0</v>
      </c>
      <c r="L62">
        <f>IF(AV61&lt;=0,0,IF(ROUND(AV61*(1+'Calc base'!J62),2)-MAX('Calc base'!E$12,ROUND('Calc base'!E$13*AV61,2))&lt;1,ROUND(AV61*(1+'Calc base'!J62),2),MAX('Calc base'!E$12,ROUND('Calc base'!E$13*AV61,2))))</f>
        <v>0</v>
      </c>
      <c r="M62">
        <f>IF(AW61&lt;=0,0,IF(ROUND(AW61*(1+'Calc base'!K62),2)-MAX('Calc base'!F$12,ROUND('Calc base'!F$13*AW61,2))&lt;1,ROUND(AW61*(1+'Calc base'!K62),2),MAX('Calc base'!F$12,ROUND('Calc base'!F$13*AW61,2))))</f>
        <v>0</v>
      </c>
      <c r="N62">
        <f>IF(AX61&lt;=0,0,IF(ROUND(AX61*(1+'Calc base'!L62),2)-MAX('Calc base'!G$12,ROUND('Calc base'!G$13*AX61,2))&lt;1,ROUND(AX61*(1+'Calc base'!L62),2),MAX('Calc base'!G$12,ROUND('Calc base'!G$13*AX61,2))))</f>
        <v>0</v>
      </c>
      <c r="O62">
        <f>IF(AY61&lt;=0,0,IF(ROUND(AY61*(1+'Calc base'!M62),2)-MAX('Calc base'!H$12,ROUND('Calc base'!H$13*AY61,2))&lt;1,ROUND(AY61*(1+'Calc base'!M62),2),MAX('Calc base'!H$12,ROUND('Calc base'!H$13*AY61,2))))</f>
        <v>0</v>
      </c>
      <c r="P62">
        <f>IF(AZ61&lt;=0,0,IF(ROUND(AZ61*(1+'Calc base'!N62),2)-MAX('Calc base'!I$12,ROUND('Calc base'!I$13*AZ61,2))&lt;1,ROUND(AZ61*(1+'Calc base'!N62),2),MAX('Calc base'!I$12,ROUND('Calc base'!I$13*AZ61,2))))</f>
        <v>0</v>
      </c>
      <c r="Q62">
        <f>IF(BA61&lt;=0,0,IF(ROUND(BA61*(1+'Calc base'!O62),2)-MAX('Calc base'!J$12,ROUND('Calc base'!J$13*BA61,2))&lt;1,ROUND(BA61*(1+'Calc base'!O62),2),MAX('Calc base'!J$12,ROUND('Calc base'!J$13*BA61,2))))</f>
        <v>0</v>
      </c>
      <c r="R62">
        <f>IF(BB61&lt;=0,0,IF(ROUND(BB61*(1+'Calc base'!P62),2)-MAX('Calc base'!K$12,ROUND('Calc base'!K$13*BB61,2))&lt;1,ROUND(BB61*(1+'Calc base'!P62),2),MAX('Calc base'!K$12,ROUND('Calc base'!K$13*BB61,2))))</f>
        <v>0</v>
      </c>
      <c r="S62">
        <f>IF(BC61&lt;=0,0,IF(ROUND(BC61*(1+'Calc base'!Q62),2)-MAX('Calc base'!L$12,ROUND('Calc base'!L$13*BC61,2))&lt;1,ROUND(BC61*(1+'Calc base'!Q62),2),MAX('Calc base'!L$12,ROUND('Calc base'!L$13*BC61,2))))</f>
        <v>0</v>
      </c>
      <c r="T62">
        <f>IF(BD61&lt;=0,0,IF(ROUND(BD61*(1+'Calc base'!R62),2)-MAX('Calc base'!M$12,ROUND('Calc base'!M$13*BD61,2))&lt;1,ROUND(BD61*(1+'Calc base'!R62),2),MAX('Calc base'!M$12,ROUND('Calc base'!M$13*BD61,2))))</f>
        <v>0</v>
      </c>
      <c r="U62">
        <f>IF(BE61&lt;=0,0,IF(ROUND(BE61*(1+'Calc base'!S62),2)-MAX('Calc base'!N$12,ROUND('Calc base'!N$13*BE61,2))&lt;1,ROUND(BE61*(1+'Calc base'!S62),2),MAX('Calc base'!N$12,ROUND('Calc base'!N$13*BE61,2))))</f>
        <v>0</v>
      </c>
      <c r="V62">
        <f>MAX(0,ROUND(AT61*(1+'Calc base'!H62),2)-J62-'Calc base'!T62)</f>
        <v>0</v>
      </c>
      <c r="W62">
        <f>MAX(0,ROUND(AU61*(1+'Calc base'!I62),2)-K62-'Calc base'!U62)</f>
        <v>0</v>
      </c>
      <c r="X62">
        <f>MAX(0,ROUND(AV61*(1+'Calc base'!J62),2)-L62-'Calc base'!V62)</f>
        <v>0</v>
      </c>
      <c r="Y62">
        <f>MAX(0,ROUND(AW61*(1+'Calc base'!K62),2)-M62-'Calc base'!W62)</f>
        <v>0</v>
      </c>
      <c r="Z62">
        <f>MAX(0,ROUND(AX61*(1+'Calc base'!L62),2)-N62-'Calc base'!X62)</f>
        <v>0</v>
      </c>
      <c r="AA62">
        <f>MAX(0,ROUND(AY61*(1+'Calc base'!M62),2)-O62-'Calc base'!Y62)</f>
        <v>0</v>
      </c>
      <c r="AB62">
        <f>MAX(0,ROUND(AZ61*(1+'Calc base'!N62),2)-P62-'Calc base'!Z62)</f>
        <v>0</v>
      </c>
      <c r="AC62">
        <f>MAX(0,ROUND(BA61*(1+'Calc base'!O62),2)-Q62-'Calc base'!AA62)</f>
        <v>0</v>
      </c>
      <c r="AD62">
        <f>MAX(0,ROUND(BB61*(1+'Calc base'!P62),2)-R62-'Calc base'!AB62)</f>
        <v>0</v>
      </c>
      <c r="AE62">
        <f>MAX(0,ROUND(BC61*(1+'Calc base'!Q62),2)-S62-'Calc base'!AC62)</f>
        <v>0</v>
      </c>
      <c r="AF62">
        <f>MAX(0,ROUND(BD61*(1+'Calc base'!R62),2)-T62-'Calc base'!AD62)</f>
        <v>0</v>
      </c>
      <c r="AG62">
        <f>MAX(0,ROUND(BE61*(1+'Calc base'!S62),2)-U62-'Calc base'!AE62)</f>
        <v>0</v>
      </c>
      <c r="AH62">
        <f>IF('Calc base'!C$14=0,0,MIN(V62,MAX(0,$E62-SUMPRODUCT($V62:$AG62,'Calc base'!$C$14:$N$14,('Calc base'!$H62:$S62&gt;'Calc base'!H62)+('Calc base'!$H62:$S62='Calc base'!H62)*('Calc base'!$C$17:$N$17&lt;'Calc base'!C$17)))))</f>
        <v>0</v>
      </c>
      <c r="AI62">
        <f>IF('Calc base'!D$14=0,0,MIN(W62,MAX(0,$E62-SUMPRODUCT($V62:$AG62,'Calc base'!$C$14:$N$14,('Calc base'!$H62:$S62&gt;'Calc base'!I62)+('Calc base'!$H62:$S62='Calc base'!I62)*('Calc base'!$C$17:$N$17&lt;'Calc base'!D$17)))))</f>
        <v>0</v>
      </c>
      <c r="AJ62">
        <f>IF('Calc base'!E$14=0,0,MIN(X62,MAX(0,$E62-SUMPRODUCT($V62:$AG62,'Calc base'!$C$14:$N$14,('Calc base'!$H62:$S62&gt;'Calc base'!J62)+('Calc base'!$H62:$S62='Calc base'!J62)*('Calc base'!$C$17:$N$17&lt;'Calc base'!E$17)))))</f>
        <v>0</v>
      </c>
      <c r="AK62">
        <f>IF('Calc base'!F$14=0,0,MIN(Y62,MAX(0,$E62-SUMPRODUCT($V62:$AG62,'Calc base'!$C$14:$N$14,('Calc base'!$H62:$S62&gt;'Calc base'!K62)+('Calc base'!$H62:$S62='Calc base'!K62)*('Calc base'!$C$17:$N$17&lt;'Calc base'!F$17)))))</f>
        <v>0</v>
      </c>
      <c r="AL62">
        <f>IF('Calc base'!G$14=0,0,MIN(Z62,MAX(0,$E62-SUMPRODUCT($V62:$AG62,'Calc base'!$C$14:$N$14,('Calc base'!$H62:$S62&gt;'Calc base'!L62)+('Calc base'!$H62:$S62='Calc base'!L62)*('Calc base'!$C$17:$N$17&lt;'Calc base'!G$17)))))</f>
        <v>0</v>
      </c>
      <c r="AM62">
        <f>IF('Calc base'!H$14=0,0,MIN(AA62,MAX(0,$E62-SUMPRODUCT($V62:$AG62,'Calc base'!$C$14:$N$14,('Calc base'!$H62:$S62&gt;'Calc base'!M62)+('Calc base'!$H62:$S62='Calc base'!M62)*('Calc base'!$C$17:$N$17&lt;'Calc base'!H$17)))))</f>
        <v>0</v>
      </c>
      <c r="AN62">
        <f>IF('Calc base'!I$14=0,0,MIN(AB62,MAX(0,$E62-SUMPRODUCT($V62:$AG62,'Calc base'!$C$14:$N$14,('Calc base'!$H62:$S62&gt;'Calc base'!N62)+('Calc base'!$H62:$S62='Calc base'!N62)*('Calc base'!$C$17:$N$17&lt;'Calc base'!I$17)))))</f>
        <v>0</v>
      </c>
      <c r="AO62">
        <f>IF('Calc base'!J$14=0,0,MIN(AC62,MAX(0,$E62-SUMPRODUCT($V62:$AG62,'Calc base'!$C$14:$N$14,('Calc base'!$H62:$S62&gt;'Calc base'!O62)+('Calc base'!$H62:$S62='Calc base'!O62)*('Calc base'!$C$17:$N$17&lt;'Calc base'!J$17)))))</f>
        <v>0</v>
      </c>
      <c r="AP62">
        <f>IF('Calc base'!K$14=0,0,MIN(AD62,MAX(0,$E62-SUMPRODUCT($V62:$AG62,'Calc base'!$C$14:$N$14,('Calc base'!$H62:$S62&gt;'Calc base'!P62)+('Calc base'!$H62:$S62='Calc base'!P62)*('Calc base'!$C$17:$N$17&lt;'Calc base'!K$17)))))</f>
        <v>0</v>
      </c>
      <c r="AQ62">
        <f>IF('Calc base'!L$14=0,0,MIN(AE62,MAX(0,$E62-SUMPRODUCT($V62:$AG62,'Calc base'!$C$14:$N$14,('Calc base'!$H62:$S62&gt;'Calc base'!Q62)+('Calc base'!$H62:$S62='Calc base'!Q62)*('Calc base'!$C$17:$N$17&lt;'Calc base'!L$17)))))</f>
        <v>0</v>
      </c>
      <c r="AR62">
        <f>IF('Calc base'!M$14=0,0,MIN(AF62,MAX(0,$E62-SUMPRODUCT($V62:$AG62,'Calc base'!$C$14:$N$14,('Calc base'!$H62:$S62&gt;'Calc base'!R62)+('Calc base'!$H62:$S62='Calc base'!R62)*('Calc base'!$C$17:$N$17&lt;'Calc base'!M$17)))))</f>
        <v>0</v>
      </c>
      <c r="AS62">
        <f>IF('Calc base'!N$14=0,0,MIN(AG62,MAX(0,$E62-SUMPRODUCT($V62:$AG62,'Calc base'!$C$14:$N$14,('Calc base'!$H62:$S62&gt;'Calc base'!S62)+('Calc base'!$H62:$S62='Calc base'!S62)*('Calc base'!$C$17:$N$17&lt;'Calc base'!N$17)))))</f>
        <v>0</v>
      </c>
      <c r="AT62">
        <f>V62-AH62</f>
        <v>0</v>
      </c>
      <c r="AU62">
        <f>W62-AI62</f>
        <v>0</v>
      </c>
      <c r="AV62">
        <f>X62-AJ62</f>
        <v>0</v>
      </c>
      <c r="AW62">
        <f>Y62-AK62</f>
        <v>0</v>
      </c>
      <c r="AX62">
        <f>Z62-AL62</f>
        <v>0</v>
      </c>
      <c r="AY62">
        <f>AA62-AM62</f>
        <v>0</v>
      </c>
      <c r="AZ62">
        <f>AB62-AN62</f>
        <v>0</v>
      </c>
      <c r="BA62">
        <f>AC62-AO62</f>
        <v>0</v>
      </c>
      <c r="BB62">
        <f>AD62-AP62</f>
        <v>0</v>
      </c>
      <c r="BC62">
        <f>AE62-AQ62</f>
        <v>0</v>
      </c>
      <c r="BD62">
        <f>AF62-AR62</f>
        <v>0</v>
      </c>
      <c r="BE62">
        <f>AG62-AS62</f>
        <v>0</v>
      </c>
    </row>
    <row r="63">
      <c r="A63" t="n">
        <v>33</v>
      </c>
      <c r="B63">
        <f>SUMPRODUCT(ROUND($AT62:$BE62*(1+'Calc base'!$H63:$S63),2))</f>
        <v>0</v>
      </c>
      <c r="C63">
        <f>SUM(J63:U63)</f>
        <v>0</v>
      </c>
      <c r="D63">
        <f>SUM(V63:AG63)</f>
        <v>0</v>
      </c>
      <c r="E63">
        <f>MAX(0,IF(Impostazioni!$B$7="No",'Calc base'!$C63-$C$31,'Calc base'!$C63-C63)+'Calc base'!$G63+'Calc base'!$F63-(B63-C63-D63))</f>
        <v>900</v>
      </c>
      <c r="F63">
        <f>SUM(AH63:AS63)</f>
        <v>0</v>
      </c>
      <c r="G63">
        <f>SUM(AT63:BE63)</f>
        <v>0</v>
      </c>
      <c r="H63">
        <f>B63-G62</f>
        <v>0</v>
      </c>
      <c r="I63">
        <f>B63-G63</f>
        <v>0</v>
      </c>
      <c r="J63">
        <f>IF(AT62&lt;=0,0,IF(ROUND(AT62*(1+'Calc base'!H63),2)-MAX('Calc base'!C$12,ROUND('Calc base'!C$13*AT62,2))&lt;1,ROUND(AT62*(1+'Calc base'!H63),2),MAX('Calc base'!C$12,ROUND('Calc base'!C$13*AT62,2))))</f>
        <v>0</v>
      </c>
      <c r="K63">
        <f>IF(AU62&lt;=0,0,IF(ROUND(AU62*(1+'Calc base'!I63),2)-MAX('Calc base'!D$12,ROUND('Calc base'!D$13*AU62,2))&lt;1,ROUND(AU62*(1+'Calc base'!I63),2),MAX('Calc base'!D$12,ROUND('Calc base'!D$13*AU62,2))))</f>
        <v>0</v>
      </c>
      <c r="L63">
        <f>IF(AV62&lt;=0,0,IF(ROUND(AV62*(1+'Calc base'!J63),2)-MAX('Calc base'!E$12,ROUND('Calc base'!E$13*AV62,2))&lt;1,ROUND(AV62*(1+'Calc base'!J63),2),MAX('Calc base'!E$12,ROUND('Calc base'!E$13*AV62,2))))</f>
        <v>0</v>
      </c>
      <c r="M63">
        <f>IF(AW62&lt;=0,0,IF(ROUND(AW62*(1+'Calc base'!K63),2)-MAX('Calc base'!F$12,ROUND('Calc base'!F$13*AW62,2))&lt;1,ROUND(AW62*(1+'Calc base'!K63),2),MAX('Calc base'!F$12,ROUND('Calc base'!F$13*AW62,2))))</f>
        <v>0</v>
      </c>
      <c r="N63">
        <f>IF(AX62&lt;=0,0,IF(ROUND(AX62*(1+'Calc base'!L63),2)-MAX('Calc base'!G$12,ROUND('Calc base'!G$13*AX62,2))&lt;1,ROUND(AX62*(1+'Calc base'!L63),2),MAX('Calc base'!G$12,ROUND('Calc base'!G$13*AX62,2))))</f>
        <v>0</v>
      </c>
      <c r="O63">
        <f>IF(AY62&lt;=0,0,IF(ROUND(AY62*(1+'Calc base'!M63),2)-MAX('Calc base'!H$12,ROUND('Calc base'!H$13*AY62,2))&lt;1,ROUND(AY62*(1+'Calc base'!M63),2),MAX('Calc base'!H$12,ROUND('Calc base'!H$13*AY62,2))))</f>
        <v>0</v>
      </c>
      <c r="P63">
        <f>IF(AZ62&lt;=0,0,IF(ROUND(AZ62*(1+'Calc base'!N63),2)-MAX('Calc base'!I$12,ROUND('Calc base'!I$13*AZ62,2))&lt;1,ROUND(AZ62*(1+'Calc base'!N63),2),MAX('Calc base'!I$12,ROUND('Calc base'!I$13*AZ62,2))))</f>
        <v>0</v>
      </c>
      <c r="Q63">
        <f>IF(BA62&lt;=0,0,IF(ROUND(BA62*(1+'Calc base'!O63),2)-MAX('Calc base'!J$12,ROUND('Calc base'!J$13*BA62,2))&lt;1,ROUND(BA62*(1+'Calc base'!O63),2),MAX('Calc base'!J$12,ROUND('Calc base'!J$13*BA62,2))))</f>
        <v>0</v>
      </c>
      <c r="R63">
        <f>IF(BB62&lt;=0,0,IF(ROUND(BB62*(1+'Calc base'!P63),2)-MAX('Calc base'!K$12,ROUND('Calc base'!K$13*BB62,2))&lt;1,ROUND(BB62*(1+'Calc base'!P63),2),MAX('Calc base'!K$12,ROUND('Calc base'!K$13*BB62,2))))</f>
        <v>0</v>
      </c>
      <c r="S63">
        <f>IF(BC62&lt;=0,0,IF(ROUND(BC62*(1+'Calc base'!Q63),2)-MAX('Calc base'!L$12,ROUND('Calc base'!L$13*BC62,2))&lt;1,ROUND(BC62*(1+'Calc base'!Q63),2),MAX('Calc base'!L$12,ROUND('Calc base'!L$13*BC62,2))))</f>
        <v>0</v>
      </c>
      <c r="T63">
        <f>IF(BD62&lt;=0,0,IF(ROUND(BD62*(1+'Calc base'!R63),2)-MAX('Calc base'!M$12,ROUND('Calc base'!M$13*BD62,2))&lt;1,ROUND(BD62*(1+'Calc base'!R63),2),MAX('Calc base'!M$12,ROUND('Calc base'!M$13*BD62,2))))</f>
        <v>0</v>
      </c>
      <c r="U63">
        <f>IF(BE62&lt;=0,0,IF(ROUND(BE62*(1+'Calc base'!S63),2)-MAX('Calc base'!N$12,ROUND('Calc base'!N$13*BE62,2))&lt;1,ROUND(BE62*(1+'Calc base'!S63),2),MAX('Calc base'!N$12,ROUND('Calc base'!N$13*BE62,2))))</f>
        <v>0</v>
      </c>
      <c r="V63">
        <f>MAX(0,ROUND(AT62*(1+'Calc base'!H63),2)-J63-'Calc base'!T63)</f>
        <v>0</v>
      </c>
      <c r="W63">
        <f>MAX(0,ROUND(AU62*(1+'Calc base'!I63),2)-K63-'Calc base'!U63)</f>
        <v>0</v>
      </c>
      <c r="X63">
        <f>MAX(0,ROUND(AV62*(1+'Calc base'!J63),2)-L63-'Calc base'!V63)</f>
        <v>0</v>
      </c>
      <c r="Y63">
        <f>MAX(0,ROUND(AW62*(1+'Calc base'!K63),2)-M63-'Calc base'!W63)</f>
        <v>0</v>
      </c>
      <c r="Z63">
        <f>MAX(0,ROUND(AX62*(1+'Calc base'!L63),2)-N63-'Calc base'!X63)</f>
        <v>0</v>
      </c>
      <c r="AA63">
        <f>MAX(0,ROUND(AY62*(1+'Calc base'!M63),2)-O63-'Calc base'!Y63)</f>
        <v>0</v>
      </c>
      <c r="AB63">
        <f>MAX(0,ROUND(AZ62*(1+'Calc base'!N63),2)-P63-'Calc base'!Z63)</f>
        <v>0</v>
      </c>
      <c r="AC63">
        <f>MAX(0,ROUND(BA62*(1+'Calc base'!O63),2)-Q63-'Calc base'!AA63)</f>
        <v>0</v>
      </c>
      <c r="AD63">
        <f>MAX(0,ROUND(BB62*(1+'Calc base'!P63),2)-R63-'Calc base'!AB63)</f>
        <v>0</v>
      </c>
      <c r="AE63">
        <f>MAX(0,ROUND(BC62*(1+'Calc base'!Q63),2)-S63-'Calc base'!AC63)</f>
        <v>0</v>
      </c>
      <c r="AF63">
        <f>MAX(0,ROUND(BD62*(1+'Calc base'!R63),2)-T63-'Calc base'!AD63)</f>
        <v>0</v>
      </c>
      <c r="AG63">
        <f>MAX(0,ROUND(BE62*(1+'Calc base'!S63),2)-U63-'Calc base'!AE63)</f>
        <v>0</v>
      </c>
      <c r="AH63">
        <f>IF('Calc base'!C$14=0,0,MIN(V63,MAX(0,$E63-SUMPRODUCT($V63:$AG63,'Calc base'!$C$14:$N$14,('Calc base'!$H63:$S63&gt;'Calc base'!H63)+('Calc base'!$H63:$S63='Calc base'!H63)*('Calc base'!$C$17:$N$17&lt;'Calc base'!C$17)))))</f>
        <v>0</v>
      </c>
      <c r="AI63">
        <f>IF('Calc base'!D$14=0,0,MIN(W63,MAX(0,$E63-SUMPRODUCT($V63:$AG63,'Calc base'!$C$14:$N$14,('Calc base'!$H63:$S63&gt;'Calc base'!I63)+('Calc base'!$H63:$S63='Calc base'!I63)*('Calc base'!$C$17:$N$17&lt;'Calc base'!D$17)))))</f>
        <v>0</v>
      </c>
      <c r="AJ63">
        <f>IF('Calc base'!E$14=0,0,MIN(X63,MAX(0,$E63-SUMPRODUCT($V63:$AG63,'Calc base'!$C$14:$N$14,('Calc base'!$H63:$S63&gt;'Calc base'!J63)+('Calc base'!$H63:$S63='Calc base'!J63)*('Calc base'!$C$17:$N$17&lt;'Calc base'!E$17)))))</f>
        <v>0</v>
      </c>
      <c r="AK63">
        <f>IF('Calc base'!F$14=0,0,MIN(Y63,MAX(0,$E63-SUMPRODUCT($V63:$AG63,'Calc base'!$C$14:$N$14,('Calc base'!$H63:$S63&gt;'Calc base'!K63)+('Calc base'!$H63:$S63='Calc base'!K63)*('Calc base'!$C$17:$N$17&lt;'Calc base'!F$17)))))</f>
        <v>0</v>
      </c>
      <c r="AL63">
        <f>IF('Calc base'!G$14=0,0,MIN(Z63,MAX(0,$E63-SUMPRODUCT($V63:$AG63,'Calc base'!$C$14:$N$14,('Calc base'!$H63:$S63&gt;'Calc base'!L63)+('Calc base'!$H63:$S63='Calc base'!L63)*('Calc base'!$C$17:$N$17&lt;'Calc base'!G$17)))))</f>
        <v>0</v>
      </c>
      <c r="AM63">
        <f>IF('Calc base'!H$14=0,0,MIN(AA63,MAX(0,$E63-SUMPRODUCT($V63:$AG63,'Calc base'!$C$14:$N$14,('Calc base'!$H63:$S63&gt;'Calc base'!M63)+('Calc base'!$H63:$S63='Calc base'!M63)*('Calc base'!$C$17:$N$17&lt;'Calc base'!H$17)))))</f>
        <v>0</v>
      </c>
      <c r="AN63">
        <f>IF('Calc base'!I$14=0,0,MIN(AB63,MAX(0,$E63-SUMPRODUCT($V63:$AG63,'Calc base'!$C$14:$N$14,('Calc base'!$H63:$S63&gt;'Calc base'!N63)+('Calc base'!$H63:$S63='Calc base'!N63)*('Calc base'!$C$17:$N$17&lt;'Calc base'!I$17)))))</f>
        <v>0</v>
      </c>
      <c r="AO63">
        <f>IF('Calc base'!J$14=0,0,MIN(AC63,MAX(0,$E63-SUMPRODUCT($V63:$AG63,'Calc base'!$C$14:$N$14,('Calc base'!$H63:$S63&gt;'Calc base'!O63)+('Calc base'!$H63:$S63='Calc base'!O63)*('Calc base'!$C$17:$N$17&lt;'Calc base'!J$17)))))</f>
        <v>0</v>
      </c>
      <c r="AP63">
        <f>IF('Calc base'!K$14=0,0,MIN(AD63,MAX(0,$E63-SUMPRODUCT($V63:$AG63,'Calc base'!$C$14:$N$14,('Calc base'!$H63:$S63&gt;'Calc base'!P63)+('Calc base'!$H63:$S63='Calc base'!P63)*('Calc base'!$C$17:$N$17&lt;'Calc base'!K$17)))))</f>
        <v>0</v>
      </c>
      <c r="AQ63">
        <f>IF('Calc base'!L$14=0,0,MIN(AE63,MAX(0,$E63-SUMPRODUCT($V63:$AG63,'Calc base'!$C$14:$N$14,('Calc base'!$H63:$S63&gt;'Calc base'!Q63)+('Calc base'!$H63:$S63='Calc base'!Q63)*('Calc base'!$C$17:$N$17&lt;'Calc base'!L$17)))))</f>
        <v>0</v>
      </c>
      <c r="AR63">
        <f>IF('Calc base'!M$14=0,0,MIN(AF63,MAX(0,$E63-SUMPRODUCT($V63:$AG63,'Calc base'!$C$14:$N$14,('Calc base'!$H63:$S63&gt;'Calc base'!R63)+('Calc base'!$H63:$S63='Calc base'!R63)*('Calc base'!$C$17:$N$17&lt;'Calc base'!M$17)))))</f>
        <v>0</v>
      </c>
      <c r="AS63">
        <f>IF('Calc base'!N$14=0,0,MIN(AG63,MAX(0,$E63-SUMPRODUCT($V63:$AG63,'Calc base'!$C$14:$N$14,('Calc base'!$H63:$S63&gt;'Calc base'!S63)+('Calc base'!$H63:$S63='Calc base'!S63)*('Calc base'!$C$17:$N$17&lt;'Calc base'!N$17)))))</f>
        <v>0</v>
      </c>
      <c r="AT63">
        <f>V63-AH63</f>
        <v>0</v>
      </c>
      <c r="AU63">
        <f>W63-AI63</f>
        <v>0</v>
      </c>
      <c r="AV63">
        <f>X63-AJ63</f>
        <v>0</v>
      </c>
      <c r="AW63">
        <f>Y63-AK63</f>
        <v>0</v>
      </c>
      <c r="AX63">
        <f>Z63-AL63</f>
        <v>0</v>
      </c>
      <c r="AY63">
        <f>AA63-AM63</f>
        <v>0</v>
      </c>
      <c r="AZ63">
        <f>AB63-AN63</f>
        <v>0</v>
      </c>
      <c r="BA63">
        <f>AC63-AO63</f>
        <v>0</v>
      </c>
      <c r="BB63">
        <f>AD63-AP63</f>
        <v>0</v>
      </c>
      <c r="BC63">
        <f>AE63-AQ63</f>
        <v>0</v>
      </c>
      <c r="BD63">
        <f>AF63-AR63</f>
        <v>0</v>
      </c>
      <c r="BE63">
        <f>AG63-AS63</f>
        <v>0</v>
      </c>
    </row>
    <row r="64">
      <c r="A64" t="n">
        <v>34</v>
      </c>
      <c r="B64">
        <f>SUMPRODUCT(ROUND($AT63:$BE63*(1+'Calc base'!$H64:$S64),2))</f>
        <v>0</v>
      </c>
      <c r="C64">
        <f>SUM(J64:U64)</f>
        <v>0</v>
      </c>
      <c r="D64">
        <f>SUM(V64:AG64)</f>
        <v>0</v>
      </c>
      <c r="E64">
        <f>MAX(0,IF(Impostazioni!$B$7="No",'Calc base'!$C64-$C$31,'Calc base'!$C64-C64)+'Calc base'!$G64+'Calc base'!$F64-(B64-C64-D64))</f>
        <v>900</v>
      </c>
      <c r="F64">
        <f>SUM(AH64:AS64)</f>
        <v>0</v>
      </c>
      <c r="G64">
        <f>SUM(AT64:BE64)</f>
        <v>0</v>
      </c>
      <c r="H64">
        <f>B64-G63</f>
        <v>0</v>
      </c>
      <c r="I64">
        <f>B64-G64</f>
        <v>0</v>
      </c>
      <c r="J64">
        <f>IF(AT63&lt;=0,0,IF(ROUND(AT63*(1+'Calc base'!H64),2)-MAX('Calc base'!C$12,ROUND('Calc base'!C$13*AT63,2))&lt;1,ROUND(AT63*(1+'Calc base'!H64),2),MAX('Calc base'!C$12,ROUND('Calc base'!C$13*AT63,2))))</f>
        <v>0</v>
      </c>
      <c r="K64">
        <f>IF(AU63&lt;=0,0,IF(ROUND(AU63*(1+'Calc base'!I64),2)-MAX('Calc base'!D$12,ROUND('Calc base'!D$13*AU63,2))&lt;1,ROUND(AU63*(1+'Calc base'!I64),2),MAX('Calc base'!D$12,ROUND('Calc base'!D$13*AU63,2))))</f>
        <v>0</v>
      </c>
      <c r="L64">
        <f>IF(AV63&lt;=0,0,IF(ROUND(AV63*(1+'Calc base'!J64),2)-MAX('Calc base'!E$12,ROUND('Calc base'!E$13*AV63,2))&lt;1,ROUND(AV63*(1+'Calc base'!J64),2),MAX('Calc base'!E$12,ROUND('Calc base'!E$13*AV63,2))))</f>
        <v>0</v>
      </c>
      <c r="M64">
        <f>IF(AW63&lt;=0,0,IF(ROUND(AW63*(1+'Calc base'!K64),2)-MAX('Calc base'!F$12,ROUND('Calc base'!F$13*AW63,2))&lt;1,ROUND(AW63*(1+'Calc base'!K64),2),MAX('Calc base'!F$12,ROUND('Calc base'!F$13*AW63,2))))</f>
        <v>0</v>
      </c>
      <c r="N64">
        <f>IF(AX63&lt;=0,0,IF(ROUND(AX63*(1+'Calc base'!L64),2)-MAX('Calc base'!G$12,ROUND('Calc base'!G$13*AX63,2))&lt;1,ROUND(AX63*(1+'Calc base'!L64),2),MAX('Calc base'!G$12,ROUND('Calc base'!G$13*AX63,2))))</f>
        <v>0</v>
      </c>
      <c r="O64">
        <f>IF(AY63&lt;=0,0,IF(ROUND(AY63*(1+'Calc base'!M64),2)-MAX('Calc base'!H$12,ROUND('Calc base'!H$13*AY63,2))&lt;1,ROUND(AY63*(1+'Calc base'!M64),2),MAX('Calc base'!H$12,ROUND('Calc base'!H$13*AY63,2))))</f>
        <v>0</v>
      </c>
      <c r="P64">
        <f>IF(AZ63&lt;=0,0,IF(ROUND(AZ63*(1+'Calc base'!N64),2)-MAX('Calc base'!I$12,ROUND('Calc base'!I$13*AZ63,2))&lt;1,ROUND(AZ63*(1+'Calc base'!N64),2),MAX('Calc base'!I$12,ROUND('Calc base'!I$13*AZ63,2))))</f>
        <v>0</v>
      </c>
      <c r="Q64">
        <f>IF(BA63&lt;=0,0,IF(ROUND(BA63*(1+'Calc base'!O64),2)-MAX('Calc base'!J$12,ROUND('Calc base'!J$13*BA63,2))&lt;1,ROUND(BA63*(1+'Calc base'!O64),2),MAX('Calc base'!J$12,ROUND('Calc base'!J$13*BA63,2))))</f>
        <v>0</v>
      </c>
      <c r="R64">
        <f>IF(BB63&lt;=0,0,IF(ROUND(BB63*(1+'Calc base'!P64),2)-MAX('Calc base'!K$12,ROUND('Calc base'!K$13*BB63,2))&lt;1,ROUND(BB63*(1+'Calc base'!P64),2),MAX('Calc base'!K$12,ROUND('Calc base'!K$13*BB63,2))))</f>
        <v>0</v>
      </c>
      <c r="S64">
        <f>IF(BC63&lt;=0,0,IF(ROUND(BC63*(1+'Calc base'!Q64),2)-MAX('Calc base'!L$12,ROUND('Calc base'!L$13*BC63,2))&lt;1,ROUND(BC63*(1+'Calc base'!Q64),2),MAX('Calc base'!L$12,ROUND('Calc base'!L$13*BC63,2))))</f>
        <v>0</v>
      </c>
      <c r="T64">
        <f>IF(BD63&lt;=0,0,IF(ROUND(BD63*(1+'Calc base'!R64),2)-MAX('Calc base'!M$12,ROUND('Calc base'!M$13*BD63,2))&lt;1,ROUND(BD63*(1+'Calc base'!R64),2),MAX('Calc base'!M$12,ROUND('Calc base'!M$13*BD63,2))))</f>
        <v>0</v>
      </c>
      <c r="U64">
        <f>IF(BE63&lt;=0,0,IF(ROUND(BE63*(1+'Calc base'!S64),2)-MAX('Calc base'!N$12,ROUND('Calc base'!N$13*BE63,2))&lt;1,ROUND(BE63*(1+'Calc base'!S64),2),MAX('Calc base'!N$12,ROUND('Calc base'!N$13*BE63,2))))</f>
        <v>0</v>
      </c>
      <c r="V64">
        <f>MAX(0,ROUND(AT63*(1+'Calc base'!H64),2)-J64-'Calc base'!T64)</f>
        <v>0</v>
      </c>
      <c r="W64">
        <f>MAX(0,ROUND(AU63*(1+'Calc base'!I64),2)-K64-'Calc base'!U64)</f>
        <v>0</v>
      </c>
      <c r="X64">
        <f>MAX(0,ROUND(AV63*(1+'Calc base'!J64),2)-L64-'Calc base'!V64)</f>
        <v>0</v>
      </c>
      <c r="Y64">
        <f>MAX(0,ROUND(AW63*(1+'Calc base'!K64),2)-M64-'Calc base'!W64)</f>
        <v>0</v>
      </c>
      <c r="Z64">
        <f>MAX(0,ROUND(AX63*(1+'Calc base'!L64),2)-N64-'Calc base'!X64)</f>
        <v>0</v>
      </c>
      <c r="AA64">
        <f>MAX(0,ROUND(AY63*(1+'Calc base'!M64),2)-O64-'Calc base'!Y64)</f>
        <v>0</v>
      </c>
      <c r="AB64">
        <f>MAX(0,ROUND(AZ63*(1+'Calc base'!N64),2)-P64-'Calc base'!Z64)</f>
        <v>0</v>
      </c>
      <c r="AC64">
        <f>MAX(0,ROUND(BA63*(1+'Calc base'!O64),2)-Q64-'Calc base'!AA64)</f>
        <v>0</v>
      </c>
      <c r="AD64">
        <f>MAX(0,ROUND(BB63*(1+'Calc base'!P64),2)-R64-'Calc base'!AB64)</f>
        <v>0</v>
      </c>
      <c r="AE64">
        <f>MAX(0,ROUND(BC63*(1+'Calc base'!Q64),2)-S64-'Calc base'!AC64)</f>
        <v>0</v>
      </c>
      <c r="AF64">
        <f>MAX(0,ROUND(BD63*(1+'Calc base'!R64),2)-T64-'Calc base'!AD64)</f>
        <v>0</v>
      </c>
      <c r="AG64">
        <f>MAX(0,ROUND(BE63*(1+'Calc base'!S64),2)-U64-'Calc base'!AE64)</f>
        <v>0</v>
      </c>
      <c r="AH64">
        <f>IF('Calc base'!C$14=0,0,MIN(V64,MAX(0,$E64-SUMPRODUCT($V64:$AG64,'Calc base'!$C$14:$N$14,('Calc base'!$H64:$S64&gt;'Calc base'!H64)+('Calc base'!$H64:$S64='Calc base'!H64)*('Calc base'!$C$17:$N$17&lt;'Calc base'!C$17)))))</f>
        <v>0</v>
      </c>
      <c r="AI64">
        <f>IF('Calc base'!D$14=0,0,MIN(W64,MAX(0,$E64-SUMPRODUCT($V64:$AG64,'Calc base'!$C$14:$N$14,('Calc base'!$H64:$S64&gt;'Calc base'!I64)+('Calc base'!$H64:$S64='Calc base'!I64)*('Calc base'!$C$17:$N$17&lt;'Calc base'!D$17)))))</f>
        <v>0</v>
      </c>
      <c r="AJ64">
        <f>IF('Calc base'!E$14=0,0,MIN(X64,MAX(0,$E64-SUMPRODUCT($V64:$AG64,'Calc base'!$C$14:$N$14,('Calc base'!$H64:$S64&gt;'Calc base'!J64)+('Calc base'!$H64:$S64='Calc base'!J64)*('Calc base'!$C$17:$N$17&lt;'Calc base'!E$17)))))</f>
        <v>0</v>
      </c>
      <c r="AK64">
        <f>IF('Calc base'!F$14=0,0,MIN(Y64,MAX(0,$E64-SUMPRODUCT($V64:$AG64,'Calc base'!$C$14:$N$14,('Calc base'!$H64:$S64&gt;'Calc base'!K64)+('Calc base'!$H64:$S64='Calc base'!K64)*('Calc base'!$C$17:$N$17&lt;'Calc base'!F$17)))))</f>
        <v>0</v>
      </c>
      <c r="AL64">
        <f>IF('Calc base'!G$14=0,0,MIN(Z64,MAX(0,$E64-SUMPRODUCT($V64:$AG64,'Calc base'!$C$14:$N$14,('Calc base'!$H64:$S64&gt;'Calc base'!L64)+('Calc base'!$H64:$S64='Calc base'!L64)*('Calc base'!$C$17:$N$17&lt;'Calc base'!G$17)))))</f>
        <v>0</v>
      </c>
      <c r="AM64">
        <f>IF('Calc base'!H$14=0,0,MIN(AA64,MAX(0,$E64-SUMPRODUCT($V64:$AG64,'Calc base'!$C$14:$N$14,('Calc base'!$H64:$S64&gt;'Calc base'!M64)+('Calc base'!$H64:$S64='Calc base'!M64)*('Calc base'!$C$17:$N$17&lt;'Calc base'!H$17)))))</f>
        <v>0</v>
      </c>
      <c r="AN64">
        <f>IF('Calc base'!I$14=0,0,MIN(AB64,MAX(0,$E64-SUMPRODUCT($V64:$AG64,'Calc base'!$C$14:$N$14,('Calc base'!$H64:$S64&gt;'Calc base'!N64)+('Calc base'!$H64:$S64='Calc base'!N64)*('Calc base'!$C$17:$N$17&lt;'Calc base'!I$17)))))</f>
        <v>0</v>
      </c>
      <c r="AO64">
        <f>IF('Calc base'!J$14=0,0,MIN(AC64,MAX(0,$E64-SUMPRODUCT($V64:$AG64,'Calc base'!$C$14:$N$14,('Calc base'!$H64:$S64&gt;'Calc base'!O64)+('Calc base'!$H64:$S64='Calc base'!O64)*('Calc base'!$C$17:$N$17&lt;'Calc base'!J$17)))))</f>
        <v>0</v>
      </c>
      <c r="AP64">
        <f>IF('Calc base'!K$14=0,0,MIN(AD64,MAX(0,$E64-SUMPRODUCT($V64:$AG64,'Calc base'!$C$14:$N$14,('Calc base'!$H64:$S64&gt;'Calc base'!P64)+('Calc base'!$H64:$S64='Calc base'!P64)*('Calc base'!$C$17:$N$17&lt;'Calc base'!K$17)))))</f>
        <v>0</v>
      </c>
      <c r="AQ64">
        <f>IF('Calc base'!L$14=0,0,MIN(AE64,MAX(0,$E64-SUMPRODUCT($V64:$AG64,'Calc base'!$C$14:$N$14,('Calc base'!$H64:$S64&gt;'Calc base'!Q64)+('Calc base'!$H64:$S64='Calc base'!Q64)*('Calc base'!$C$17:$N$17&lt;'Calc base'!L$17)))))</f>
        <v>0</v>
      </c>
      <c r="AR64">
        <f>IF('Calc base'!M$14=0,0,MIN(AF64,MAX(0,$E64-SUMPRODUCT($V64:$AG64,'Calc base'!$C$14:$N$14,('Calc base'!$H64:$S64&gt;'Calc base'!R64)+('Calc base'!$H64:$S64='Calc base'!R64)*('Calc base'!$C$17:$N$17&lt;'Calc base'!M$17)))))</f>
        <v>0</v>
      </c>
      <c r="AS64">
        <f>IF('Calc base'!N$14=0,0,MIN(AG64,MAX(0,$E64-SUMPRODUCT($V64:$AG64,'Calc base'!$C$14:$N$14,('Calc base'!$H64:$S64&gt;'Calc base'!S64)+('Calc base'!$H64:$S64='Calc base'!S64)*('Calc base'!$C$17:$N$17&lt;'Calc base'!N$17)))))</f>
        <v>0</v>
      </c>
      <c r="AT64">
        <f>V64-AH64</f>
        <v>0</v>
      </c>
      <c r="AU64">
        <f>W64-AI64</f>
        <v>0</v>
      </c>
      <c r="AV64">
        <f>X64-AJ64</f>
        <v>0</v>
      </c>
      <c r="AW64">
        <f>Y64-AK64</f>
        <v>0</v>
      </c>
      <c r="AX64">
        <f>Z64-AL64</f>
        <v>0</v>
      </c>
      <c r="AY64">
        <f>AA64-AM64</f>
        <v>0</v>
      </c>
      <c r="AZ64">
        <f>AB64-AN64</f>
        <v>0</v>
      </c>
      <c r="BA64">
        <f>AC64-AO64</f>
        <v>0</v>
      </c>
      <c r="BB64">
        <f>AD64-AP64</f>
        <v>0</v>
      </c>
      <c r="BC64">
        <f>AE64-AQ64</f>
        <v>0</v>
      </c>
      <c r="BD64">
        <f>AF64-AR64</f>
        <v>0</v>
      </c>
      <c r="BE64">
        <f>AG64-AS64</f>
        <v>0</v>
      </c>
    </row>
    <row r="65">
      <c r="A65" t="n">
        <v>35</v>
      </c>
      <c r="B65">
        <f>SUMPRODUCT(ROUND($AT64:$BE64*(1+'Calc base'!$H65:$S65),2))</f>
        <v>0</v>
      </c>
      <c r="C65">
        <f>SUM(J65:U65)</f>
        <v>0</v>
      </c>
      <c r="D65">
        <f>SUM(V65:AG65)</f>
        <v>0</v>
      </c>
      <c r="E65">
        <f>MAX(0,IF(Impostazioni!$B$7="No",'Calc base'!$C65-$C$31,'Calc base'!$C65-C65)+'Calc base'!$G65+'Calc base'!$F65-(B65-C65-D65))</f>
        <v>900</v>
      </c>
      <c r="F65">
        <f>SUM(AH65:AS65)</f>
        <v>0</v>
      </c>
      <c r="G65">
        <f>SUM(AT65:BE65)</f>
        <v>0</v>
      </c>
      <c r="H65">
        <f>B65-G64</f>
        <v>0</v>
      </c>
      <c r="I65">
        <f>B65-G65</f>
        <v>0</v>
      </c>
      <c r="J65">
        <f>IF(AT64&lt;=0,0,IF(ROUND(AT64*(1+'Calc base'!H65),2)-MAX('Calc base'!C$12,ROUND('Calc base'!C$13*AT64,2))&lt;1,ROUND(AT64*(1+'Calc base'!H65),2),MAX('Calc base'!C$12,ROUND('Calc base'!C$13*AT64,2))))</f>
        <v>0</v>
      </c>
      <c r="K65">
        <f>IF(AU64&lt;=0,0,IF(ROUND(AU64*(1+'Calc base'!I65),2)-MAX('Calc base'!D$12,ROUND('Calc base'!D$13*AU64,2))&lt;1,ROUND(AU64*(1+'Calc base'!I65),2),MAX('Calc base'!D$12,ROUND('Calc base'!D$13*AU64,2))))</f>
        <v>0</v>
      </c>
      <c r="L65">
        <f>IF(AV64&lt;=0,0,IF(ROUND(AV64*(1+'Calc base'!J65),2)-MAX('Calc base'!E$12,ROUND('Calc base'!E$13*AV64,2))&lt;1,ROUND(AV64*(1+'Calc base'!J65),2),MAX('Calc base'!E$12,ROUND('Calc base'!E$13*AV64,2))))</f>
        <v>0</v>
      </c>
      <c r="M65">
        <f>IF(AW64&lt;=0,0,IF(ROUND(AW64*(1+'Calc base'!K65),2)-MAX('Calc base'!F$12,ROUND('Calc base'!F$13*AW64,2))&lt;1,ROUND(AW64*(1+'Calc base'!K65),2),MAX('Calc base'!F$12,ROUND('Calc base'!F$13*AW64,2))))</f>
        <v>0</v>
      </c>
      <c r="N65">
        <f>IF(AX64&lt;=0,0,IF(ROUND(AX64*(1+'Calc base'!L65),2)-MAX('Calc base'!G$12,ROUND('Calc base'!G$13*AX64,2))&lt;1,ROUND(AX64*(1+'Calc base'!L65),2),MAX('Calc base'!G$12,ROUND('Calc base'!G$13*AX64,2))))</f>
        <v>0</v>
      </c>
      <c r="O65">
        <f>IF(AY64&lt;=0,0,IF(ROUND(AY64*(1+'Calc base'!M65),2)-MAX('Calc base'!H$12,ROUND('Calc base'!H$13*AY64,2))&lt;1,ROUND(AY64*(1+'Calc base'!M65),2),MAX('Calc base'!H$12,ROUND('Calc base'!H$13*AY64,2))))</f>
        <v>0</v>
      </c>
      <c r="P65">
        <f>IF(AZ64&lt;=0,0,IF(ROUND(AZ64*(1+'Calc base'!N65),2)-MAX('Calc base'!I$12,ROUND('Calc base'!I$13*AZ64,2))&lt;1,ROUND(AZ64*(1+'Calc base'!N65),2),MAX('Calc base'!I$12,ROUND('Calc base'!I$13*AZ64,2))))</f>
        <v>0</v>
      </c>
      <c r="Q65">
        <f>IF(BA64&lt;=0,0,IF(ROUND(BA64*(1+'Calc base'!O65),2)-MAX('Calc base'!J$12,ROUND('Calc base'!J$13*BA64,2))&lt;1,ROUND(BA64*(1+'Calc base'!O65),2),MAX('Calc base'!J$12,ROUND('Calc base'!J$13*BA64,2))))</f>
        <v>0</v>
      </c>
      <c r="R65">
        <f>IF(BB64&lt;=0,0,IF(ROUND(BB64*(1+'Calc base'!P65),2)-MAX('Calc base'!K$12,ROUND('Calc base'!K$13*BB64,2))&lt;1,ROUND(BB64*(1+'Calc base'!P65),2),MAX('Calc base'!K$12,ROUND('Calc base'!K$13*BB64,2))))</f>
        <v>0</v>
      </c>
      <c r="S65">
        <f>IF(BC64&lt;=0,0,IF(ROUND(BC64*(1+'Calc base'!Q65),2)-MAX('Calc base'!L$12,ROUND('Calc base'!L$13*BC64,2))&lt;1,ROUND(BC64*(1+'Calc base'!Q65),2),MAX('Calc base'!L$12,ROUND('Calc base'!L$13*BC64,2))))</f>
        <v>0</v>
      </c>
      <c r="T65">
        <f>IF(BD64&lt;=0,0,IF(ROUND(BD64*(1+'Calc base'!R65),2)-MAX('Calc base'!M$12,ROUND('Calc base'!M$13*BD64,2))&lt;1,ROUND(BD64*(1+'Calc base'!R65),2),MAX('Calc base'!M$12,ROUND('Calc base'!M$13*BD64,2))))</f>
        <v>0</v>
      </c>
      <c r="U65">
        <f>IF(BE64&lt;=0,0,IF(ROUND(BE64*(1+'Calc base'!S65),2)-MAX('Calc base'!N$12,ROUND('Calc base'!N$13*BE64,2))&lt;1,ROUND(BE64*(1+'Calc base'!S65),2),MAX('Calc base'!N$12,ROUND('Calc base'!N$13*BE64,2))))</f>
        <v>0</v>
      </c>
      <c r="V65">
        <f>MAX(0,ROUND(AT64*(1+'Calc base'!H65),2)-J65-'Calc base'!T65)</f>
        <v>0</v>
      </c>
      <c r="W65">
        <f>MAX(0,ROUND(AU64*(1+'Calc base'!I65),2)-K65-'Calc base'!U65)</f>
        <v>0</v>
      </c>
      <c r="X65">
        <f>MAX(0,ROUND(AV64*(1+'Calc base'!J65),2)-L65-'Calc base'!V65)</f>
        <v>0</v>
      </c>
      <c r="Y65">
        <f>MAX(0,ROUND(AW64*(1+'Calc base'!K65),2)-M65-'Calc base'!W65)</f>
        <v>0</v>
      </c>
      <c r="Z65">
        <f>MAX(0,ROUND(AX64*(1+'Calc base'!L65),2)-N65-'Calc base'!X65)</f>
        <v>0</v>
      </c>
      <c r="AA65">
        <f>MAX(0,ROUND(AY64*(1+'Calc base'!M65),2)-O65-'Calc base'!Y65)</f>
        <v>0</v>
      </c>
      <c r="AB65">
        <f>MAX(0,ROUND(AZ64*(1+'Calc base'!N65),2)-P65-'Calc base'!Z65)</f>
        <v>0</v>
      </c>
      <c r="AC65">
        <f>MAX(0,ROUND(BA64*(1+'Calc base'!O65),2)-Q65-'Calc base'!AA65)</f>
        <v>0</v>
      </c>
      <c r="AD65">
        <f>MAX(0,ROUND(BB64*(1+'Calc base'!P65),2)-R65-'Calc base'!AB65)</f>
        <v>0</v>
      </c>
      <c r="AE65">
        <f>MAX(0,ROUND(BC64*(1+'Calc base'!Q65),2)-S65-'Calc base'!AC65)</f>
        <v>0</v>
      </c>
      <c r="AF65">
        <f>MAX(0,ROUND(BD64*(1+'Calc base'!R65),2)-T65-'Calc base'!AD65)</f>
        <v>0</v>
      </c>
      <c r="AG65">
        <f>MAX(0,ROUND(BE64*(1+'Calc base'!S65),2)-U65-'Calc base'!AE65)</f>
        <v>0</v>
      </c>
      <c r="AH65">
        <f>IF('Calc base'!C$14=0,0,MIN(V65,MAX(0,$E65-SUMPRODUCT($V65:$AG65,'Calc base'!$C$14:$N$14,('Calc base'!$H65:$S65&gt;'Calc base'!H65)+('Calc base'!$H65:$S65='Calc base'!H65)*('Calc base'!$C$17:$N$17&lt;'Calc base'!C$17)))))</f>
        <v>0</v>
      </c>
      <c r="AI65">
        <f>IF('Calc base'!D$14=0,0,MIN(W65,MAX(0,$E65-SUMPRODUCT($V65:$AG65,'Calc base'!$C$14:$N$14,('Calc base'!$H65:$S65&gt;'Calc base'!I65)+('Calc base'!$H65:$S65='Calc base'!I65)*('Calc base'!$C$17:$N$17&lt;'Calc base'!D$17)))))</f>
        <v>0</v>
      </c>
      <c r="AJ65">
        <f>IF('Calc base'!E$14=0,0,MIN(X65,MAX(0,$E65-SUMPRODUCT($V65:$AG65,'Calc base'!$C$14:$N$14,('Calc base'!$H65:$S65&gt;'Calc base'!J65)+('Calc base'!$H65:$S65='Calc base'!J65)*('Calc base'!$C$17:$N$17&lt;'Calc base'!E$17)))))</f>
        <v>0</v>
      </c>
      <c r="AK65">
        <f>IF('Calc base'!F$14=0,0,MIN(Y65,MAX(0,$E65-SUMPRODUCT($V65:$AG65,'Calc base'!$C$14:$N$14,('Calc base'!$H65:$S65&gt;'Calc base'!K65)+('Calc base'!$H65:$S65='Calc base'!K65)*('Calc base'!$C$17:$N$17&lt;'Calc base'!F$17)))))</f>
        <v>0</v>
      </c>
      <c r="AL65">
        <f>IF('Calc base'!G$14=0,0,MIN(Z65,MAX(0,$E65-SUMPRODUCT($V65:$AG65,'Calc base'!$C$14:$N$14,('Calc base'!$H65:$S65&gt;'Calc base'!L65)+('Calc base'!$H65:$S65='Calc base'!L65)*('Calc base'!$C$17:$N$17&lt;'Calc base'!G$17)))))</f>
        <v>0</v>
      </c>
      <c r="AM65">
        <f>IF('Calc base'!H$14=0,0,MIN(AA65,MAX(0,$E65-SUMPRODUCT($V65:$AG65,'Calc base'!$C$14:$N$14,('Calc base'!$H65:$S65&gt;'Calc base'!M65)+('Calc base'!$H65:$S65='Calc base'!M65)*('Calc base'!$C$17:$N$17&lt;'Calc base'!H$17)))))</f>
        <v>0</v>
      </c>
      <c r="AN65">
        <f>IF('Calc base'!I$14=0,0,MIN(AB65,MAX(0,$E65-SUMPRODUCT($V65:$AG65,'Calc base'!$C$14:$N$14,('Calc base'!$H65:$S65&gt;'Calc base'!N65)+('Calc base'!$H65:$S65='Calc base'!N65)*('Calc base'!$C$17:$N$17&lt;'Calc base'!I$17)))))</f>
        <v>0</v>
      </c>
      <c r="AO65">
        <f>IF('Calc base'!J$14=0,0,MIN(AC65,MAX(0,$E65-SUMPRODUCT($V65:$AG65,'Calc base'!$C$14:$N$14,('Calc base'!$H65:$S65&gt;'Calc base'!O65)+('Calc base'!$H65:$S65='Calc base'!O65)*('Calc base'!$C$17:$N$17&lt;'Calc base'!J$17)))))</f>
        <v>0</v>
      </c>
      <c r="AP65">
        <f>IF('Calc base'!K$14=0,0,MIN(AD65,MAX(0,$E65-SUMPRODUCT($V65:$AG65,'Calc base'!$C$14:$N$14,('Calc base'!$H65:$S65&gt;'Calc base'!P65)+('Calc base'!$H65:$S65='Calc base'!P65)*('Calc base'!$C$17:$N$17&lt;'Calc base'!K$17)))))</f>
        <v>0</v>
      </c>
      <c r="AQ65">
        <f>IF('Calc base'!L$14=0,0,MIN(AE65,MAX(0,$E65-SUMPRODUCT($V65:$AG65,'Calc base'!$C$14:$N$14,('Calc base'!$H65:$S65&gt;'Calc base'!Q65)+('Calc base'!$H65:$S65='Calc base'!Q65)*('Calc base'!$C$17:$N$17&lt;'Calc base'!L$17)))))</f>
        <v>0</v>
      </c>
      <c r="AR65">
        <f>IF('Calc base'!M$14=0,0,MIN(AF65,MAX(0,$E65-SUMPRODUCT($V65:$AG65,'Calc base'!$C$14:$N$14,('Calc base'!$H65:$S65&gt;'Calc base'!R65)+('Calc base'!$H65:$S65='Calc base'!R65)*('Calc base'!$C$17:$N$17&lt;'Calc base'!M$17)))))</f>
        <v>0</v>
      </c>
      <c r="AS65">
        <f>IF('Calc base'!N$14=0,0,MIN(AG65,MAX(0,$E65-SUMPRODUCT($V65:$AG65,'Calc base'!$C$14:$N$14,('Calc base'!$H65:$S65&gt;'Calc base'!S65)+('Calc base'!$H65:$S65='Calc base'!S65)*('Calc base'!$C$17:$N$17&lt;'Calc base'!N$17)))))</f>
        <v>0</v>
      </c>
      <c r="AT65">
        <f>V65-AH65</f>
        <v>0</v>
      </c>
      <c r="AU65">
        <f>W65-AI65</f>
        <v>0</v>
      </c>
      <c r="AV65">
        <f>X65-AJ65</f>
        <v>0</v>
      </c>
      <c r="AW65">
        <f>Y65-AK65</f>
        <v>0</v>
      </c>
      <c r="AX65">
        <f>Z65-AL65</f>
        <v>0</v>
      </c>
      <c r="AY65">
        <f>AA65-AM65</f>
        <v>0</v>
      </c>
      <c r="AZ65">
        <f>AB65-AN65</f>
        <v>0</v>
      </c>
      <c r="BA65">
        <f>AC65-AO65</f>
        <v>0</v>
      </c>
      <c r="BB65">
        <f>AD65-AP65</f>
        <v>0</v>
      </c>
      <c r="BC65">
        <f>AE65-AQ65</f>
        <v>0</v>
      </c>
      <c r="BD65">
        <f>AF65-AR65</f>
        <v>0</v>
      </c>
      <c r="BE65">
        <f>AG65-AS65</f>
        <v>0</v>
      </c>
    </row>
    <row r="66">
      <c r="A66" t="n">
        <v>36</v>
      </c>
      <c r="B66">
        <f>SUMPRODUCT(ROUND($AT65:$BE65*(1+'Calc base'!$H66:$S66),2))</f>
        <v>0</v>
      </c>
      <c r="C66">
        <f>SUM(J66:U66)</f>
        <v>0</v>
      </c>
      <c r="D66">
        <f>SUM(V66:AG66)</f>
        <v>0</v>
      </c>
      <c r="E66">
        <f>MAX(0,IF(Impostazioni!$B$7="No",'Calc base'!$C66-$C$31,'Calc base'!$C66-C66)+'Calc base'!$G66+'Calc base'!$F66-(B66-C66-D66))</f>
        <v>900</v>
      </c>
      <c r="F66">
        <f>SUM(AH66:AS66)</f>
        <v>0</v>
      </c>
      <c r="G66">
        <f>SUM(AT66:BE66)</f>
        <v>0</v>
      </c>
      <c r="H66">
        <f>B66-G65</f>
        <v>0</v>
      </c>
      <c r="I66">
        <f>B66-G66</f>
        <v>0</v>
      </c>
      <c r="J66">
        <f>IF(AT65&lt;=0,0,IF(ROUND(AT65*(1+'Calc base'!H66),2)-MAX('Calc base'!C$12,ROUND('Calc base'!C$13*AT65,2))&lt;1,ROUND(AT65*(1+'Calc base'!H66),2),MAX('Calc base'!C$12,ROUND('Calc base'!C$13*AT65,2))))</f>
        <v>0</v>
      </c>
      <c r="K66">
        <f>IF(AU65&lt;=0,0,IF(ROUND(AU65*(1+'Calc base'!I66),2)-MAX('Calc base'!D$12,ROUND('Calc base'!D$13*AU65,2))&lt;1,ROUND(AU65*(1+'Calc base'!I66),2),MAX('Calc base'!D$12,ROUND('Calc base'!D$13*AU65,2))))</f>
        <v>0</v>
      </c>
      <c r="L66">
        <f>IF(AV65&lt;=0,0,IF(ROUND(AV65*(1+'Calc base'!J66),2)-MAX('Calc base'!E$12,ROUND('Calc base'!E$13*AV65,2))&lt;1,ROUND(AV65*(1+'Calc base'!J66),2),MAX('Calc base'!E$12,ROUND('Calc base'!E$13*AV65,2))))</f>
        <v>0</v>
      </c>
      <c r="M66">
        <f>IF(AW65&lt;=0,0,IF(ROUND(AW65*(1+'Calc base'!K66),2)-MAX('Calc base'!F$12,ROUND('Calc base'!F$13*AW65,2))&lt;1,ROUND(AW65*(1+'Calc base'!K66),2),MAX('Calc base'!F$12,ROUND('Calc base'!F$13*AW65,2))))</f>
        <v>0</v>
      </c>
      <c r="N66">
        <f>IF(AX65&lt;=0,0,IF(ROUND(AX65*(1+'Calc base'!L66),2)-MAX('Calc base'!G$12,ROUND('Calc base'!G$13*AX65,2))&lt;1,ROUND(AX65*(1+'Calc base'!L66),2),MAX('Calc base'!G$12,ROUND('Calc base'!G$13*AX65,2))))</f>
        <v>0</v>
      </c>
      <c r="O66">
        <f>IF(AY65&lt;=0,0,IF(ROUND(AY65*(1+'Calc base'!M66),2)-MAX('Calc base'!H$12,ROUND('Calc base'!H$13*AY65,2))&lt;1,ROUND(AY65*(1+'Calc base'!M66),2),MAX('Calc base'!H$12,ROUND('Calc base'!H$13*AY65,2))))</f>
        <v>0</v>
      </c>
      <c r="P66">
        <f>IF(AZ65&lt;=0,0,IF(ROUND(AZ65*(1+'Calc base'!N66),2)-MAX('Calc base'!I$12,ROUND('Calc base'!I$13*AZ65,2))&lt;1,ROUND(AZ65*(1+'Calc base'!N66),2),MAX('Calc base'!I$12,ROUND('Calc base'!I$13*AZ65,2))))</f>
        <v>0</v>
      </c>
      <c r="Q66">
        <f>IF(BA65&lt;=0,0,IF(ROUND(BA65*(1+'Calc base'!O66),2)-MAX('Calc base'!J$12,ROUND('Calc base'!J$13*BA65,2))&lt;1,ROUND(BA65*(1+'Calc base'!O66),2),MAX('Calc base'!J$12,ROUND('Calc base'!J$13*BA65,2))))</f>
        <v>0</v>
      </c>
      <c r="R66">
        <f>IF(BB65&lt;=0,0,IF(ROUND(BB65*(1+'Calc base'!P66),2)-MAX('Calc base'!K$12,ROUND('Calc base'!K$13*BB65,2))&lt;1,ROUND(BB65*(1+'Calc base'!P66),2),MAX('Calc base'!K$12,ROUND('Calc base'!K$13*BB65,2))))</f>
        <v>0</v>
      </c>
      <c r="S66">
        <f>IF(BC65&lt;=0,0,IF(ROUND(BC65*(1+'Calc base'!Q66),2)-MAX('Calc base'!L$12,ROUND('Calc base'!L$13*BC65,2))&lt;1,ROUND(BC65*(1+'Calc base'!Q66),2),MAX('Calc base'!L$12,ROUND('Calc base'!L$13*BC65,2))))</f>
        <v>0</v>
      </c>
      <c r="T66">
        <f>IF(BD65&lt;=0,0,IF(ROUND(BD65*(1+'Calc base'!R66),2)-MAX('Calc base'!M$12,ROUND('Calc base'!M$13*BD65,2))&lt;1,ROUND(BD65*(1+'Calc base'!R66),2),MAX('Calc base'!M$12,ROUND('Calc base'!M$13*BD65,2))))</f>
        <v>0</v>
      </c>
      <c r="U66">
        <f>IF(BE65&lt;=0,0,IF(ROUND(BE65*(1+'Calc base'!S66),2)-MAX('Calc base'!N$12,ROUND('Calc base'!N$13*BE65,2))&lt;1,ROUND(BE65*(1+'Calc base'!S66),2),MAX('Calc base'!N$12,ROUND('Calc base'!N$13*BE65,2))))</f>
        <v>0</v>
      </c>
      <c r="V66">
        <f>MAX(0,ROUND(AT65*(1+'Calc base'!H66),2)-J66-'Calc base'!T66)</f>
        <v>0</v>
      </c>
      <c r="W66">
        <f>MAX(0,ROUND(AU65*(1+'Calc base'!I66),2)-K66-'Calc base'!U66)</f>
        <v>0</v>
      </c>
      <c r="X66">
        <f>MAX(0,ROUND(AV65*(1+'Calc base'!J66),2)-L66-'Calc base'!V66)</f>
        <v>0</v>
      </c>
      <c r="Y66">
        <f>MAX(0,ROUND(AW65*(1+'Calc base'!K66),2)-M66-'Calc base'!W66)</f>
        <v>0</v>
      </c>
      <c r="Z66">
        <f>MAX(0,ROUND(AX65*(1+'Calc base'!L66),2)-N66-'Calc base'!X66)</f>
        <v>0</v>
      </c>
      <c r="AA66">
        <f>MAX(0,ROUND(AY65*(1+'Calc base'!M66),2)-O66-'Calc base'!Y66)</f>
        <v>0</v>
      </c>
      <c r="AB66">
        <f>MAX(0,ROUND(AZ65*(1+'Calc base'!N66),2)-P66-'Calc base'!Z66)</f>
        <v>0</v>
      </c>
      <c r="AC66">
        <f>MAX(0,ROUND(BA65*(1+'Calc base'!O66),2)-Q66-'Calc base'!AA66)</f>
        <v>0</v>
      </c>
      <c r="AD66">
        <f>MAX(0,ROUND(BB65*(1+'Calc base'!P66),2)-R66-'Calc base'!AB66)</f>
        <v>0</v>
      </c>
      <c r="AE66">
        <f>MAX(0,ROUND(BC65*(1+'Calc base'!Q66),2)-S66-'Calc base'!AC66)</f>
        <v>0</v>
      </c>
      <c r="AF66">
        <f>MAX(0,ROUND(BD65*(1+'Calc base'!R66),2)-T66-'Calc base'!AD66)</f>
        <v>0</v>
      </c>
      <c r="AG66">
        <f>MAX(0,ROUND(BE65*(1+'Calc base'!S66),2)-U66-'Calc base'!AE66)</f>
        <v>0</v>
      </c>
      <c r="AH66">
        <f>IF('Calc base'!C$14=0,0,MIN(V66,MAX(0,$E66-SUMPRODUCT($V66:$AG66,'Calc base'!$C$14:$N$14,('Calc base'!$H66:$S66&gt;'Calc base'!H66)+('Calc base'!$H66:$S66='Calc base'!H66)*('Calc base'!$C$17:$N$17&lt;'Calc base'!C$17)))))</f>
        <v>0</v>
      </c>
      <c r="AI66">
        <f>IF('Calc base'!D$14=0,0,MIN(W66,MAX(0,$E66-SUMPRODUCT($V66:$AG66,'Calc base'!$C$14:$N$14,('Calc base'!$H66:$S66&gt;'Calc base'!I66)+('Calc base'!$H66:$S66='Calc base'!I66)*('Calc base'!$C$17:$N$17&lt;'Calc base'!D$17)))))</f>
        <v>0</v>
      </c>
      <c r="AJ66">
        <f>IF('Calc base'!E$14=0,0,MIN(X66,MAX(0,$E66-SUMPRODUCT($V66:$AG66,'Calc base'!$C$14:$N$14,('Calc base'!$H66:$S66&gt;'Calc base'!J66)+('Calc base'!$H66:$S66='Calc base'!J66)*('Calc base'!$C$17:$N$17&lt;'Calc base'!E$17)))))</f>
        <v>0</v>
      </c>
      <c r="AK66">
        <f>IF('Calc base'!F$14=0,0,MIN(Y66,MAX(0,$E66-SUMPRODUCT($V66:$AG66,'Calc base'!$C$14:$N$14,('Calc base'!$H66:$S66&gt;'Calc base'!K66)+('Calc base'!$H66:$S66='Calc base'!K66)*('Calc base'!$C$17:$N$17&lt;'Calc base'!F$17)))))</f>
        <v>0</v>
      </c>
      <c r="AL66">
        <f>IF('Calc base'!G$14=0,0,MIN(Z66,MAX(0,$E66-SUMPRODUCT($V66:$AG66,'Calc base'!$C$14:$N$14,('Calc base'!$H66:$S66&gt;'Calc base'!L66)+('Calc base'!$H66:$S66='Calc base'!L66)*('Calc base'!$C$17:$N$17&lt;'Calc base'!G$17)))))</f>
        <v>0</v>
      </c>
      <c r="AM66">
        <f>IF('Calc base'!H$14=0,0,MIN(AA66,MAX(0,$E66-SUMPRODUCT($V66:$AG66,'Calc base'!$C$14:$N$14,('Calc base'!$H66:$S66&gt;'Calc base'!M66)+('Calc base'!$H66:$S66='Calc base'!M66)*('Calc base'!$C$17:$N$17&lt;'Calc base'!H$17)))))</f>
        <v>0</v>
      </c>
      <c r="AN66">
        <f>IF('Calc base'!I$14=0,0,MIN(AB66,MAX(0,$E66-SUMPRODUCT($V66:$AG66,'Calc base'!$C$14:$N$14,('Calc base'!$H66:$S66&gt;'Calc base'!N66)+('Calc base'!$H66:$S66='Calc base'!N66)*('Calc base'!$C$17:$N$17&lt;'Calc base'!I$17)))))</f>
        <v>0</v>
      </c>
      <c r="AO66">
        <f>IF('Calc base'!J$14=0,0,MIN(AC66,MAX(0,$E66-SUMPRODUCT($V66:$AG66,'Calc base'!$C$14:$N$14,('Calc base'!$H66:$S66&gt;'Calc base'!O66)+('Calc base'!$H66:$S66='Calc base'!O66)*('Calc base'!$C$17:$N$17&lt;'Calc base'!J$17)))))</f>
        <v>0</v>
      </c>
      <c r="AP66">
        <f>IF('Calc base'!K$14=0,0,MIN(AD66,MAX(0,$E66-SUMPRODUCT($V66:$AG66,'Calc base'!$C$14:$N$14,('Calc base'!$H66:$S66&gt;'Calc base'!P66)+('Calc base'!$H66:$S66='Calc base'!P66)*('Calc base'!$C$17:$N$17&lt;'Calc base'!K$17)))))</f>
        <v>0</v>
      </c>
      <c r="AQ66">
        <f>IF('Calc base'!L$14=0,0,MIN(AE66,MAX(0,$E66-SUMPRODUCT($V66:$AG66,'Calc base'!$C$14:$N$14,('Calc base'!$H66:$S66&gt;'Calc base'!Q66)+('Calc base'!$H66:$S66='Calc base'!Q66)*('Calc base'!$C$17:$N$17&lt;'Calc base'!L$17)))))</f>
        <v>0</v>
      </c>
      <c r="AR66">
        <f>IF('Calc base'!M$14=0,0,MIN(AF66,MAX(0,$E66-SUMPRODUCT($V66:$AG66,'Calc base'!$C$14:$N$14,('Calc base'!$H66:$S66&gt;'Calc base'!R66)+('Calc base'!$H66:$S66='Calc base'!R66)*('Calc base'!$C$17:$N$17&lt;'Calc base'!M$17)))))</f>
        <v>0</v>
      </c>
      <c r="AS66">
        <f>IF('Calc base'!N$14=0,0,MIN(AG66,MAX(0,$E66-SUMPRODUCT($V66:$AG66,'Calc base'!$C$14:$N$14,('Calc base'!$H66:$S66&gt;'Calc base'!S66)+('Calc base'!$H66:$S66='Calc base'!S66)*('Calc base'!$C$17:$N$17&lt;'Calc base'!N$17)))))</f>
        <v>0</v>
      </c>
      <c r="AT66">
        <f>V66-AH66</f>
        <v>0</v>
      </c>
      <c r="AU66">
        <f>W66-AI66</f>
        <v>0</v>
      </c>
      <c r="AV66">
        <f>X66-AJ66</f>
        <v>0</v>
      </c>
      <c r="AW66">
        <f>Y66-AK66</f>
        <v>0</v>
      </c>
      <c r="AX66">
        <f>Z66-AL66</f>
        <v>0</v>
      </c>
      <c r="AY66">
        <f>AA66-AM66</f>
        <v>0</v>
      </c>
      <c r="AZ66">
        <f>AB66-AN66</f>
        <v>0</v>
      </c>
      <c r="BA66">
        <f>AC66-AO66</f>
        <v>0</v>
      </c>
      <c r="BB66">
        <f>AD66-AP66</f>
        <v>0</v>
      </c>
      <c r="BC66">
        <f>AE66-AQ66</f>
        <v>0</v>
      </c>
      <c r="BD66">
        <f>AF66-AR66</f>
        <v>0</v>
      </c>
      <c r="BE66">
        <f>AG66-AS66</f>
        <v>0</v>
      </c>
    </row>
    <row r="67">
      <c r="A67" t="n">
        <v>37</v>
      </c>
      <c r="B67">
        <f>SUMPRODUCT(ROUND($AT66:$BE66*(1+'Calc base'!$H67:$S67),2))</f>
        <v>0</v>
      </c>
      <c r="C67">
        <f>SUM(J67:U67)</f>
        <v>0</v>
      </c>
      <c r="D67">
        <f>SUM(V67:AG67)</f>
        <v>0</v>
      </c>
      <c r="E67">
        <f>MAX(0,IF(Impostazioni!$B$7="No",'Calc base'!$C67-$C$31,'Calc base'!$C67-C67)+'Calc base'!$G67+'Calc base'!$F67-(B67-C67-D67))</f>
        <v>900</v>
      </c>
      <c r="F67">
        <f>SUM(AH67:AS67)</f>
        <v>0</v>
      </c>
      <c r="G67">
        <f>SUM(AT67:BE67)</f>
        <v>0</v>
      </c>
      <c r="H67">
        <f>B67-G66</f>
        <v>0</v>
      </c>
      <c r="I67">
        <f>B67-G67</f>
        <v>0</v>
      </c>
      <c r="J67">
        <f>IF(AT66&lt;=0,0,IF(ROUND(AT66*(1+'Calc base'!H67),2)-MAX('Calc base'!C$12,ROUND('Calc base'!C$13*AT66,2))&lt;1,ROUND(AT66*(1+'Calc base'!H67),2),MAX('Calc base'!C$12,ROUND('Calc base'!C$13*AT66,2))))</f>
        <v>0</v>
      </c>
      <c r="K67">
        <f>IF(AU66&lt;=0,0,IF(ROUND(AU66*(1+'Calc base'!I67),2)-MAX('Calc base'!D$12,ROUND('Calc base'!D$13*AU66,2))&lt;1,ROUND(AU66*(1+'Calc base'!I67),2),MAX('Calc base'!D$12,ROUND('Calc base'!D$13*AU66,2))))</f>
        <v>0</v>
      </c>
      <c r="L67">
        <f>IF(AV66&lt;=0,0,IF(ROUND(AV66*(1+'Calc base'!J67),2)-MAX('Calc base'!E$12,ROUND('Calc base'!E$13*AV66,2))&lt;1,ROUND(AV66*(1+'Calc base'!J67),2),MAX('Calc base'!E$12,ROUND('Calc base'!E$13*AV66,2))))</f>
        <v>0</v>
      </c>
      <c r="M67">
        <f>IF(AW66&lt;=0,0,IF(ROUND(AW66*(1+'Calc base'!K67),2)-MAX('Calc base'!F$12,ROUND('Calc base'!F$13*AW66,2))&lt;1,ROUND(AW66*(1+'Calc base'!K67),2),MAX('Calc base'!F$12,ROUND('Calc base'!F$13*AW66,2))))</f>
        <v>0</v>
      </c>
      <c r="N67">
        <f>IF(AX66&lt;=0,0,IF(ROUND(AX66*(1+'Calc base'!L67),2)-MAX('Calc base'!G$12,ROUND('Calc base'!G$13*AX66,2))&lt;1,ROUND(AX66*(1+'Calc base'!L67),2),MAX('Calc base'!G$12,ROUND('Calc base'!G$13*AX66,2))))</f>
        <v>0</v>
      </c>
      <c r="O67">
        <f>IF(AY66&lt;=0,0,IF(ROUND(AY66*(1+'Calc base'!M67),2)-MAX('Calc base'!H$12,ROUND('Calc base'!H$13*AY66,2))&lt;1,ROUND(AY66*(1+'Calc base'!M67),2),MAX('Calc base'!H$12,ROUND('Calc base'!H$13*AY66,2))))</f>
        <v>0</v>
      </c>
      <c r="P67">
        <f>IF(AZ66&lt;=0,0,IF(ROUND(AZ66*(1+'Calc base'!N67),2)-MAX('Calc base'!I$12,ROUND('Calc base'!I$13*AZ66,2))&lt;1,ROUND(AZ66*(1+'Calc base'!N67),2),MAX('Calc base'!I$12,ROUND('Calc base'!I$13*AZ66,2))))</f>
        <v>0</v>
      </c>
      <c r="Q67">
        <f>IF(BA66&lt;=0,0,IF(ROUND(BA66*(1+'Calc base'!O67),2)-MAX('Calc base'!J$12,ROUND('Calc base'!J$13*BA66,2))&lt;1,ROUND(BA66*(1+'Calc base'!O67),2),MAX('Calc base'!J$12,ROUND('Calc base'!J$13*BA66,2))))</f>
        <v>0</v>
      </c>
      <c r="R67">
        <f>IF(BB66&lt;=0,0,IF(ROUND(BB66*(1+'Calc base'!P67),2)-MAX('Calc base'!K$12,ROUND('Calc base'!K$13*BB66,2))&lt;1,ROUND(BB66*(1+'Calc base'!P67),2),MAX('Calc base'!K$12,ROUND('Calc base'!K$13*BB66,2))))</f>
        <v>0</v>
      </c>
      <c r="S67">
        <f>IF(BC66&lt;=0,0,IF(ROUND(BC66*(1+'Calc base'!Q67),2)-MAX('Calc base'!L$12,ROUND('Calc base'!L$13*BC66,2))&lt;1,ROUND(BC66*(1+'Calc base'!Q67),2),MAX('Calc base'!L$12,ROUND('Calc base'!L$13*BC66,2))))</f>
        <v>0</v>
      </c>
      <c r="T67">
        <f>IF(BD66&lt;=0,0,IF(ROUND(BD66*(1+'Calc base'!R67),2)-MAX('Calc base'!M$12,ROUND('Calc base'!M$13*BD66,2))&lt;1,ROUND(BD66*(1+'Calc base'!R67),2),MAX('Calc base'!M$12,ROUND('Calc base'!M$13*BD66,2))))</f>
        <v>0</v>
      </c>
      <c r="U67">
        <f>IF(BE66&lt;=0,0,IF(ROUND(BE66*(1+'Calc base'!S67),2)-MAX('Calc base'!N$12,ROUND('Calc base'!N$13*BE66,2))&lt;1,ROUND(BE66*(1+'Calc base'!S67),2),MAX('Calc base'!N$12,ROUND('Calc base'!N$13*BE66,2))))</f>
        <v>0</v>
      </c>
      <c r="V67">
        <f>MAX(0,ROUND(AT66*(1+'Calc base'!H67),2)-J67-'Calc base'!T67)</f>
        <v>0</v>
      </c>
      <c r="W67">
        <f>MAX(0,ROUND(AU66*(1+'Calc base'!I67),2)-K67-'Calc base'!U67)</f>
        <v>0</v>
      </c>
      <c r="X67">
        <f>MAX(0,ROUND(AV66*(1+'Calc base'!J67),2)-L67-'Calc base'!V67)</f>
        <v>0</v>
      </c>
      <c r="Y67">
        <f>MAX(0,ROUND(AW66*(1+'Calc base'!K67),2)-M67-'Calc base'!W67)</f>
        <v>0</v>
      </c>
      <c r="Z67">
        <f>MAX(0,ROUND(AX66*(1+'Calc base'!L67),2)-N67-'Calc base'!X67)</f>
        <v>0</v>
      </c>
      <c r="AA67">
        <f>MAX(0,ROUND(AY66*(1+'Calc base'!M67),2)-O67-'Calc base'!Y67)</f>
        <v>0</v>
      </c>
      <c r="AB67">
        <f>MAX(0,ROUND(AZ66*(1+'Calc base'!N67),2)-P67-'Calc base'!Z67)</f>
        <v>0</v>
      </c>
      <c r="AC67">
        <f>MAX(0,ROUND(BA66*(1+'Calc base'!O67),2)-Q67-'Calc base'!AA67)</f>
        <v>0</v>
      </c>
      <c r="AD67">
        <f>MAX(0,ROUND(BB66*(1+'Calc base'!P67),2)-R67-'Calc base'!AB67)</f>
        <v>0</v>
      </c>
      <c r="AE67">
        <f>MAX(0,ROUND(BC66*(1+'Calc base'!Q67),2)-S67-'Calc base'!AC67)</f>
        <v>0</v>
      </c>
      <c r="AF67">
        <f>MAX(0,ROUND(BD66*(1+'Calc base'!R67),2)-T67-'Calc base'!AD67)</f>
        <v>0</v>
      </c>
      <c r="AG67">
        <f>MAX(0,ROUND(BE66*(1+'Calc base'!S67),2)-U67-'Calc base'!AE67)</f>
        <v>0</v>
      </c>
      <c r="AH67">
        <f>IF('Calc base'!C$14=0,0,MIN(V67,MAX(0,$E67-SUMPRODUCT($V67:$AG67,'Calc base'!$C$14:$N$14,('Calc base'!$H67:$S67&gt;'Calc base'!H67)+('Calc base'!$H67:$S67='Calc base'!H67)*('Calc base'!$C$17:$N$17&lt;'Calc base'!C$17)))))</f>
        <v>0</v>
      </c>
      <c r="AI67">
        <f>IF('Calc base'!D$14=0,0,MIN(W67,MAX(0,$E67-SUMPRODUCT($V67:$AG67,'Calc base'!$C$14:$N$14,('Calc base'!$H67:$S67&gt;'Calc base'!I67)+('Calc base'!$H67:$S67='Calc base'!I67)*('Calc base'!$C$17:$N$17&lt;'Calc base'!D$17)))))</f>
        <v>0</v>
      </c>
      <c r="AJ67">
        <f>IF('Calc base'!E$14=0,0,MIN(X67,MAX(0,$E67-SUMPRODUCT($V67:$AG67,'Calc base'!$C$14:$N$14,('Calc base'!$H67:$S67&gt;'Calc base'!J67)+('Calc base'!$H67:$S67='Calc base'!J67)*('Calc base'!$C$17:$N$17&lt;'Calc base'!E$17)))))</f>
        <v>0</v>
      </c>
      <c r="AK67">
        <f>IF('Calc base'!F$14=0,0,MIN(Y67,MAX(0,$E67-SUMPRODUCT($V67:$AG67,'Calc base'!$C$14:$N$14,('Calc base'!$H67:$S67&gt;'Calc base'!K67)+('Calc base'!$H67:$S67='Calc base'!K67)*('Calc base'!$C$17:$N$17&lt;'Calc base'!F$17)))))</f>
        <v>0</v>
      </c>
      <c r="AL67">
        <f>IF('Calc base'!G$14=0,0,MIN(Z67,MAX(0,$E67-SUMPRODUCT($V67:$AG67,'Calc base'!$C$14:$N$14,('Calc base'!$H67:$S67&gt;'Calc base'!L67)+('Calc base'!$H67:$S67='Calc base'!L67)*('Calc base'!$C$17:$N$17&lt;'Calc base'!G$17)))))</f>
        <v>0</v>
      </c>
      <c r="AM67">
        <f>IF('Calc base'!H$14=0,0,MIN(AA67,MAX(0,$E67-SUMPRODUCT($V67:$AG67,'Calc base'!$C$14:$N$14,('Calc base'!$H67:$S67&gt;'Calc base'!M67)+('Calc base'!$H67:$S67='Calc base'!M67)*('Calc base'!$C$17:$N$17&lt;'Calc base'!H$17)))))</f>
        <v>0</v>
      </c>
      <c r="AN67">
        <f>IF('Calc base'!I$14=0,0,MIN(AB67,MAX(0,$E67-SUMPRODUCT($V67:$AG67,'Calc base'!$C$14:$N$14,('Calc base'!$H67:$S67&gt;'Calc base'!N67)+('Calc base'!$H67:$S67='Calc base'!N67)*('Calc base'!$C$17:$N$17&lt;'Calc base'!I$17)))))</f>
        <v>0</v>
      </c>
      <c r="AO67">
        <f>IF('Calc base'!J$14=0,0,MIN(AC67,MAX(0,$E67-SUMPRODUCT($V67:$AG67,'Calc base'!$C$14:$N$14,('Calc base'!$H67:$S67&gt;'Calc base'!O67)+('Calc base'!$H67:$S67='Calc base'!O67)*('Calc base'!$C$17:$N$17&lt;'Calc base'!J$17)))))</f>
        <v>0</v>
      </c>
      <c r="AP67">
        <f>IF('Calc base'!K$14=0,0,MIN(AD67,MAX(0,$E67-SUMPRODUCT($V67:$AG67,'Calc base'!$C$14:$N$14,('Calc base'!$H67:$S67&gt;'Calc base'!P67)+('Calc base'!$H67:$S67='Calc base'!P67)*('Calc base'!$C$17:$N$17&lt;'Calc base'!K$17)))))</f>
        <v>0</v>
      </c>
      <c r="AQ67">
        <f>IF('Calc base'!L$14=0,0,MIN(AE67,MAX(0,$E67-SUMPRODUCT($V67:$AG67,'Calc base'!$C$14:$N$14,('Calc base'!$H67:$S67&gt;'Calc base'!Q67)+('Calc base'!$H67:$S67='Calc base'!Q67)*('Calc base'!$C$17:$N$17&lt;'Calc base'!L$17)))))</f>
        <v>0</v>
      </c>
      <c r="AR67">
        <f>IF('Calc base'!M$14=0,0,MIN(AF67,MAX(0,$E67-SUMPRODUCT($V67:$AG67,'Calc base'!$C$14:$N$14,('Calc base'!$H67:$S67&gt;'Calc base'!R67)+('Calc base'!$H67:$S67='Calc base'!R67)*('Calc base'!$C$17:$N$17&lt;'Calc base'!M$17)))))</f>
        <v>0</v>
      </c>
      <c r="AS67">
        <f>IF('Calc base'!N$14=0,0,MIN(AG67,MAX(0,$E67-SUMPRODUCT($V67:$AG67,'Calc base'!$C$14:$N$14,('Calc base'!$H67:$S67&gt;'Calc base'!S67)+('Calc base'!$H67:$S67='Calc base'!S67)*('Calc base'!$C$17:$N$17&lt;'Calc base'!N$17)))))</f>
        <v>0</v>
      </c>
      <c r="AT67">
        <f>V67-AH67</f>
        <v>0</v>
      </c>
      <c r="AU67">
        <f>W67-AI67</f>
        <v>0</v>
      </c>
      <c r="AV67">
        <f>X67-AJ67</f>
        <v>0</v>
      </c>
      <c r="AW67">
        <f>Y67-AK67</f>
        <v>0</v>
      </c>
      <c r="AX67">
        <f>Z67-AL67</f>
        <v>0</v>
      </c>
      <c r="AY67">
        <f>AA67-AM67</f>
        <v>0</v>
      </c>
      <c r="AZ67">
        <f>AB67-AN67</f>
        <v>0</v>
      </c>
      <c r="BA67">
        <f>AC67-AO67</f>
        <v>0</v>
      </c>
      <c r="BB67">
        <f>AD67-AP67</f>
        <v>0</v>
      </c>
      <c r="BC67">
        <f>AE67-AQ67</f>
        <v>0</v>
      </c>
      <c r="BD67">
        <f>AF67-AR67</f>
        <v>0</v>
      </c>
      <c r="BE67">
        <f>AG67-AS67</f>
        <v>0</v>
      </c>
    </row>
    <row r="68">
      <c r="A68" t="n">
        <v>38</v>
      </c>
      <c r="B68">
        <f>SUMPRODUCT(ROUND($AT67:$BE67*(1+'Calc base'!$H68:$S68),2))</f>
        <v>0</v>
      </c>
      <c r="C68">
        <f>SUM(J68:U68)</f>
        <v>0</v>
      </c>
      <c r="D68">
        <f>SUM(V68:AG68)</f>
        <v>0</v>
      </c>
      <c r="E68">
        <f>MAX(0,IF(Impostazioni!$B$7="No",'Calc base'!$C68-$C$31,'Calc base'!$C68-C68)+'Calc base'!$G68+'Calc base'!$F68-(B68-C68-D68))</f>
        <v>900</v>
      </c>
      <c r="F68">
        <f>SUM(AH68:AS68)</f>
        <v>0</v>
      </c>
      <c r="G68">
        <f>SUM(AT68:BE68)</f>
        <v>0</v>
      </c>
      <c r="H68">
        <f>B68-G67</f>
        <v>0</v>
      </c>
      <c r="I68">
        <f>B68-G68</f>
        <v>0</v>
      </c>
      <c r="J68">
        <f>IF(AT67&lt;=0,0,IF(ROUND(AT67*(1+'Calc base'!H68),2)-MAX('Calc base'!C$12,ROUND('Calc base'!C$13*AT67,2))&lt;1,ROUND(AT67*(1+'Calc base'!H68),2),MAX('Calc base'!C$12,ROUND('Calc base'!C$13*AT67,2))))</f>
        <v>0</v>
      </c>
      <c r="K68">
        <f>IF(AU67&lt;=0,0,IF(ROUND(AU67*(1+'Calc base'!I68),2)-MAX('Calc base'!D$12,ROUND('Calc base'!D$13*AU67,2))&lt;1,ROUND(AU67*(1+'Calc base'!I68),2),MAX('Calc base'!D$12,ROUND('Calc base'!D$13*AU67,2))))</f>
        <v>0</v>
      </c>
      <c r="L68">
        <f>IF(AV67&lt;=0,0,IF(ROUND(AV67*(1+'Calc base'!J68),2)-MAX('Calc base'!E$12,ROUND('Calc base'!E$13*AV67,2))&lt;1,ROUND(AV67*(1+'Calc base'!J68),2),MAX('Calc base'!E$12,ROUND('Calc base'!E$13*AV67,2))))</f>
        <v>0</v>
      </c>
      <c r="M68">
        <f>IF(AW67&lt;=0,0,IF(ROUND(AW67*(1+'Calc base'!K68),2)-MAX('Calc base'!F$12,ROUND('Calc base'!F$13*AW67,2))&lt;1,ROUND(AW67*(1+'Calc base'!K68),2),MAX('Calc base'!F$12,ROUND('Calc base'!F$13*AW67,2))))</f>
        <v>0</v>
      </c>
      <c r="N68">
        <f>IF(AX67&lt;=0,0,IF(ROUND(AX67*(1+'Calc base'!L68),2)-MAX('Calc base'!G$12,ROUND('Calc base'!G$13*AX67,2))&lt;1,ROUND(AX67*(1+'Calc base'!L68),2),MAX('Calc base'!G$12,ROUND('Calc base'!G$13*AX67,2))))</f>
        <v>0</v>
      </c>
      <c r="O68">
        <f>IF(AY67&lt;=0,0,IF(ROUND(AY67*(1+'Calc base'!M68),2)-MAX('Calc base'!H$12,ROUND('Calc base'!H$13*AY67,2))&lt;1,ROUND(AY67*(1+'Calc base'!M68),2),MAX('Calc base'!H$12,ROUND('Calc base'!H$13*AY67,2))))</f>
        <v>0</v>
      </c>
      <c r="P68">
        <f>IF(AZ67&lt;=0,0,IF(ROUND(AZ67*(1+'Calc base'!N68),2)-MAX('Calc base'!I$12,ROUND('Calc base'!I$13*AZ67,2))&lt;1,ROUND(AZ67*(1+'Calc base'!N68),2),MAX('Calc base'!I$12,ROUND('Calc base'!I$13*AZ67,2))))</f>
        <v>0</v>
      </c>
      <c r="Q68">
        <f>IF(BA67&lt;=0,0,IF(ROUND(BA67*(1+'Calc base'!O68),2)-MAX('Calc base'!J$12,ROUND('Calc base'!J$13*BA67,2))&lt;1,ROUND(BA67*(1+'Calc base'!O68),2),MAX('Calc base'!J$12,ROUND('Calc base'!J$13*BA67,2))))</f>
        <v>0</v>
      </c>
      <c r="R68">
        <f>IF(BB67&lt;=0,0,IF(ROUND(BB67*(1+'Calc base'!P68),2)-MAX('Calc base'!K$12,ROUND('Calc base'!K$13*BB67,2))&lt;1,ROUND(BB67*(1+'Calc base'!P68),2),MAX('Calc base'!K$12,ROUND('Calc base'!K$13*BB67,2))))</f>
        <v>0</v>
      </c>
      <c r="S68">
        <f>IF(BC67&lt;=0,0,IF(ROUND(BC67*(1+'Calc base'!Q68),2)-MAX('Calc base'!L$12,ROUND('Calc base'!L$13*BC67,2))&lt;1,ROUND(BC67*(1+'Calc base'!Q68),2),MAX('Calc base'!L$12,ROUND('Calc base'!L$13*BC67,2))))</f>
        <v>0</v>
      </c>
      <c r="T68">
        <f>IF(BD67&lt;=0,0,IF(ROUND(BD67*(1+'Calc base'!R68),2)-MAX('Calc base'!M$12,ROUND('Calc base'!M$13*BD67,2))&lt;1,ROUND(BD67*(1+'Calc base'!R68),2),MAX('Calc base'!M$12,ROUND('Calc base'!M$13*BD67,2))))</f>
        <v>0</v>
      </c>
      <c r="U68">
        <f>IF(BE67&lt;=0,0,IF(ROUND(BE67*(1+'Calc base'!S68),2)-MAX('Calc base'!N$12,ROUND('Calc base'!N$13*BE67,2))&lt;1,ROUND(BE67*(1+'Calc base'!S68),2),MAX('Calc base'!N$12,ROUND('Calc base'!N$13*BE67,2))))</f>
        <v>0</v>
      </c>
      <c r="V68">
        <f>MAX(0,ROUND(AT67*(1+'Calc base'!H68),2)-J68-'Calc base'!T68)</f>
        <v>0</v>
      </c>
      <c r="W68">
        <f>MAX(0,ROUND(AU67*(1+'Calc base'!I68),2)-K68-'Calc base'!U68)</f>
        <v>0</v>
      </c>
      <c r="X68">
        <f>MAX(0,ROUND(AV67*(1+'Calc base'!J68),2)-L68-'Calc base'!V68)</f>
        <v>0</v>
      </c>
      <c r="Y68">
        <f>MAX(0,ROUND(AW67*(1+'Calc base'!K68),2)-M68-'Calc base'!W68)</f>
        <v>0</v>
      </c>
      <c r="Z68">
        <f>MAX(0,ROUND(AX67*(1+'Calc base'!L68),2)-N68-'Calc base'!X68)</f>
        <v>0</v>
      </c>
      <c r="AA68">
        <f>MAX(0,ROUND(AY67*(1+'Calc base'!M68),2)-O68-'Calc base'!Y68)</f>
        <v>0</v>
      </c>
      <c r="AB68">
        <f>MAX(0,ROUND(AZ67*(1+'Calc base'!N68),2)-P68-'Calc base'!Z68)</f>
        <v>0</v>
      </c>
      <c r="AC68">
        <f>MAX(0,ROUND(BA67*(1+'Calc base'!O68),2)-Q68-'Calc base'!AA68)</f>
        <v>0</v>
      </c>
      <c r="AD68">
        <f>MAX(0,ROUND(BB67*(1+'Calc base'!P68),2)-R68-'Calc base'!AB68)</f>
        <v>0</v>
      </c>
      <c r="AE68">
        <f>MAX(0,ROUND(BC67*(1+'Calc base'!Q68),2)-S68-'Calc base'!AC68)</f>
        <v>0</v>
      </c>
      <c r="AF68">
        <f>MAX(0,ROUND(BD67*(1+'Calc base'!R68),2)-T68-'Calc base'!AD68)</f>
        <v>0</v>
      </c>
      <c r="AG68">
        <f>MAX(0,ROUND(BE67*(1+'Calc base'!S68),2)-U68-'Calc base'!AE68)</f>
        <v>0</v>
      </c>
      <c r="AH68">
        <f>IF('Calc base'!C$14=0,0,MIN(V68,MAX(0,$E68-SUMPRODUCT($V68:$AG68,'Calc base'!$C$14:$N$14,('Calc base'!$H68:$S68&gt;'Calc base'!H68)+('Calc base'!$H68:$S68='Calc base'!H68)*('Calc base'!$C$17:$N$17&lt;'Calc base'!C$17)))))</f>
        <v>0</v>
      </c>
      <c r="AI68">
        <f>IF('Calc base'!D$14=0,0,MIN(W68,MAX(0,$E68-SUMPRODUCT($V68:$AG68,'Calc base'!$C$14:$N$14,('Calc base'!$H68:$S68&gt;'Calc base'!I68)+('Calc base'!$H68:$S68='Calc base'!I68)*('Calc base'!$C$17:$N$17&lt;'Calc base'!D$17)))))</f>
        <v>0</v>
      </c>
      <c r="AJ68">
        <f>IF('Calc base'!E$14=0,0,MIN(X68,MAX(0,$E68-SUMPRODUCT($V68:$AG68,'Calc base'!$C$14:$N$14,('Calc base'!$H68:$S68&gt;'Calc base'!J68)+('Calc base'!$H68:$S68='Calc base'!J68)*('Calc base'!$C$17:$N$17&lt;'Calc base'!E$17)))))</f>
        <v>0</v>
      </c>
      <c r="AK68">
        <f>IF('Calc base'!F$14=0,0,MIN(Y68,MAX(0,$E68-SUMPRODUCT($V68:$AG68,'Calc base'!$C$14:$N$14,('Calc base'!$H68:$S68&gt;'Calc base'!K68)+('Calc base'!$H68:$S68='Calc base'!K68)*('Calc base'!$C$17:$N$17&lt;'Calc base'!F$17)))))</f>
        <v>0</v>
      </c>
      <c r="AL68">
        <f>IF('Calc base'!G$14=0,0,MIN(Z68,MAX(0,$E68-SUMPRODUCT($V68:$AG68,'Calc base'!$C$14:$N$14,('Calc base'!$H68:$S68&gt;'Calc base'!L68)+('Calc base'!$H68:$S68='Calc base'!L68)*('Calc base'!$C$17:$N$17&lt;'Calc base'!G$17)))))</f>
        <v>0</v>
      </c>
      <c r="AM68">
        <f>IF('Calc base'!H$14=0,0,MIN(AA68,MAX(0,$E68-SUMPRODUCT($V68:$AG68,'Calc base'!$C$14:$N$14,('Calc base'!$H68:$S68&gt;'Calc base'!M68)+('Calc base'!$H68:$S68='Calc base'!M68)*('Calc base'!$C$17:$N$17&lt;'Calc base'!H$17)))))</f>
        <v>0</v>
      </c>
      <c r="AN68">
        <f>IF('Calc base'!I$14=0,0,MIN(AB68,MAX(0,$E68-SUMPRODUCT($V68:$AG68,'Calc base'!$C$14:$N$14,('Calc base'!$H68:$S68&gt;'Calc base'!N68)+('Calc base'!$H68:$S68='Calc base'!N68)*('Calc base'!$C$17:$N$17&lt;'Calc base'!I$17)))))</f>
        <v>0</v>
      </c>
      <c r="AO68">
        <f>IF('Calc base'!J$14=0,0,MIN(AC68,MAX(0,$E68-SUMPRODUCT($V68:$AG68,'Calc base'!$C$14:$N$14,('Calc base'!$H68:$S68&gt;'Calc base'!O68)+('Calc base'!$H68:$S68='Calc base'!O68)*('Calc base'!$C$17:$N$17&lt;'Calc base'!J$17)))))</f>
        <v>0</v>
      </c>
      <c r="AP68">
        <f>IF('Calc base'!K$14=0,0,MIN(AD68,MAX(0,$E68-SUMPRODUCT($V68:$AG68,'Calc base'!$C$14:$N$14,('Calc base'!$H68:$S68&gt;'Calc base'!P68)+('Calc base'!$H68:$S68='Calc base'!P68)*('Calc base'!$C$17:$N$17&lt;'Calc base'!K$17)))))</f>
        <v>0</v>
      </c>
      <c r="AQ68">
        <f>IF('Calc base'!L$14=0,0,MIN(AE68,MAX(0,$E68-SUMPRODUCT($V68:$AG68,'Calc base'!$C$14:$N$14,('Calc base'!$H68:$S68&gt;'Calc base'!Q68)+('Calc base'!$H68:$S68='Calc base'!Q68)*('Calc base'!$C$17:$N$17&lt;'Calc base'!L$17)))))</f>
        <v>0</v>
      </c>
      <c r="AR68">
        <f>IF('Calc base'!M$14=0,0,MIN(AF68,MAX(0,$E68-SUMPRODUCT($V68:$AG68,'Calc base'!$C$14:$N$14,('Calc base'!$H68:$S68&gt;'Calc base'!R68)+('Calc base'!$H68:$S68='Calc base'!R68)*('Calc base'!$C$17:$N$17&lt;'Calc base'!M$17)))))</f>
        <v>0</v>
      </c>
      <c r="AS68">
        <f>IF('Calc base'!N$14=0,0,MIN(AG68,MAX(0,$E68-SUMPRODUCT($V68:$AG68,'Calc base'!$C$14:$N$14,('Calc base'!$H68:$S68&gt;'Calc base'!S68)+('Calc base'!$H68:$S68='Calc base'!S68)*('Calc base'!$C$17:$N$17&lt;'Calc base'!N$17)))))</f>
        <v>0</v>
      </c>
      <c r="AT68">
        <f>V68-AH68</f>
        <v>0</v>
      </c>
      <c r="AU68">
        <f>W68-AI68</f>
        <v>0</v>
      </c>
      <c r="AV68">
        <f>X68-AJ68</f>
        <v>0</v>
      </c>
      <c r="AW68">
        <f>Y68-AK68</f>
        <v>0</v>
      </c>
      <c r="AX68">
        <f>Z68-AL68</f>
        <v>0</v>
      </c>
      <c r="AY68">
        <f>AA68-AM68</f>
        <v>0</v>
      </c>
      <c r="AZ68">
        <f>AB68-AN68</f>
        <v>0</v>
      </c>
      <c r="BA68">
        <f>AC68-AO68</f>
        <v>0</v>
      </c>
      <c r="BB68">
        <f>AD68-AP68</f>
        <v>0</v>
      </c>
      <c r="BC68">
        <f>AE68-AQ68</f>
        <v>0</v>
      </c>
      <c r="BD68">
        <f>AF68-AR68</f>
        <v>0</v>
      </c>
      <c r="BE68">
        <f>AG68-AS68</f>
        <v>0</v>
      </c>
    </row>
    <row r="69">
      <c r="A69" t="n">
        <v>39</v>
      </c>
      <c r="B69">
        <f>SUMPRODUCT(ROUND($AT68:$BE68*(1+'Calc base'!$H69:$S69),2))</f>
        <v>0</v>
      </c>
      <c r="C69">
        <f>SUM(J69:U69)</f>
        <v>0</v>
      </c>
      <c r="D69">
        <f>SUM(V69:AG69)</f>
        <v>0</v>
      </c>
      <c r="E69">
        <f>MAX(0,IF(Impostazioni!$B$7="No",'Calc base'!$C69-$C$31,'Calc base'!$C69-C69)+'Calc base'!$G69+'Calc base'!$F69-(B69-C69-D69))</f>
        <v>900</v>
      </c>
      <c r="F69">
        <f>SUM(AH69:AS69)</f>
        <v>0</v>
      </c>
      <c r="G69">
        <f>SUM(AT69:BE69)</f>
        <v>0</v>
      </c>
      <c r="H69">
        <f>B69-G68</f>
        <v>0</v>
      </c>
      <c r="I69">
        <f>B69-G69</f>
        <v>0</v>
      </c>
      <c r="J69">
        <f>IF(AT68&lt;=0,0,IF(ROUND(AT68*(1+'Calc base'!H69),2)-MAX('Calc base'!C$12,ROUND('Calc base'!C$13*AT68,2))&lt;1,ROUND(AT68*(1+'Calc base'!H69),2),MAX('Calc base'!C$12,ROUND('Calc base'!C$13*AT68,2))))</f>
        <v>0</v>
      </c>
      <c r="K69">
        <f>IF(AU68&lt;=0,0,IF(ROUND(AU68*(1+'Calc base'!I69),2)-MAX('Calc base'!D$12,ROUND('Calc base'!D$13*AU68,2))&lt;1,ROUND(AU68*(1+'Calc base'!I69),2),MAX('Calc base'!D$12,ROUND('Calc base'!D$13*AU68,2))))</f>
        <v>0</v>
      </c>
      <c r="L69">
        <f>IF(AV68&lt;=0,0,IF(ROUND(AV68*(1+'Calc base'!J69),2)-MAX('Calc base'!E$12,ROUND('Calc base'!E$13*AV68,2))&lt;1,ROUND(AV68*(1+'Calc base'!J69),2),MAX('Calc base'!E$12,ROUND('Calc base'!E$13*AV68,2))))</f>
        <v>0</v>
      </c>
      <c r="M69">
        <f>IF(AW68&lt;=0,0,IF(ROUND(AW68*(1+'Calc base'!K69),2)-MAX('Calc base'!F$12,ROUND('Calc base'!F$13*AW68,2))&lt;1,ROUND(AW68*(1+'Calc base'!K69),2),MAX('Calc base'!F$12,ROUND('Calc base'!F$13*AW68,2))))</f>
        <v>0</v>
      </c>
      <c r="N69">
        <f>IF(AX68&lt;=0,0,IF(ROUND(AX68*(1+'Calc base'!L69),2)-MAX('Calc base'!G$12,ROUND('Calc base'!G$13*AX68,2))&lt;1,ROUND(AX68*(1+'Calc base'!L69),2),MAX('Calc base'!G$12,ROUND('Calc base'!G$13*AX68,2))))</f>
        <v>0</v>
      </c>
      <c r="O69">
        <f>IF(AY68&lt;=0,0,IF(ROUND(AY68*(1+'Calc base'!M69),2)-MAX('Calc base'!H$12,ROUND('Calc base'!H$13*AY68,2))&lt;1,ROUND(AY68*(1+'Calc base'!M69),2),MAX('Calc base'!H$12,ROUND('Calc base'!H$13*AY68,2))))</f>
        <v>0</v>
      </c>
      <c r="P69">
        <f>IF(AZ68&lt;=0,0,IF(ROUND(AZ68*(1+'Calc base'!N69),2)-MAX('Calc base'!I$12,ROUND('Calc base'!I$13*AZ68,2))&lt;1,ROUND(AZ68*(1+'Calc base'!N69),2),MAX('Calc base'!I$12,ROUND('Calc base'!I$13*AZ68,2))))</f>
        <v>0</v>
      </c>
      <c r="Q69">
        <f>IF(BA68&lt;=0,0,IF(ROUND(BA68*(1+'Calc base'!O69),2)-MAX('Calc base'!J$12,ROUND('Calc base'!J$13*BA68,2))&lt;1,ROUND(BA68*(1+'Calc base'!O69),2),MAX('Calc base'!J$12,ROUND('Calc base'!J$13*BA68,2))))</f>
        <v>0</v>
      </c>
      <c r="R69">
        <f>IF(BB68&lt;=0,0,IF(ROUND(BB68*(1+'Calc base'!P69),2)-MAX('Calc base'!K$12,ROUND('Calc base'!K$13*BB68,2))&lt;1,ROUND(BB68*(1+'Calc base'!P69),2),MAX('Calc base'!K$12,ROUND('Calc base'!K$13*BB68,2))))</f>
        <v>0</v>
      </c>
      <c r="S69">
        <f>IF(BC68&lt;=0,0,IF(ROUND(BC68*(1+'Calc base'!Q69),2)-MAX('Calc base'!L$12,ROUND('Calc base'!L$13*BC68,2))&lt;1,ROUND(BC68*(1+'Calc base'!Q69),2),MAX('Calc base'!L$12,ROUND('Calc base'!L$13*BC68,2))))</f>
        <v>0</v>
      </c>
      <c r="T69">
        <f>IF(BD68&lt;=0,0,IF(ROUND(BD68*(1+'Calc base'!R69),2)-MAX('Calc base'!M$12,ROUND('Calc base'!M$13*BD68,2))&lt;1,ROUND(BD68*(1+'Calc base'!R69),2),MAX('Calc base'!M$12,ROUND('Calc base'!M$13*BD68,2))))</f>
        <v>0</v>
      </c>
      <c r="U69">
        <f>IF(BE68&lt;=0,0,IF(ROUND(BE68*(1+'Calc base'!S69),2)-MAX('Calc base'!N$12,ROUND('Calc base'!N$13*BE68,2))&lt;1,ROUND(BE68*(1+'Calc base'!S69),2),MAX('Calc base'!N$12,ROUND('Calc base'!N$13*BE68,2))))</f>
        <v>0</v>
      </c>
      <c r="V69">
        <f>MAX(0,ROUND(AT68*(1+'Calc base'!H69),2)-J69-'Calc base'!T69)</f>
        <v>0</v>
      </c>
      <c r="W69">
        <f>MAX(0,ROUND(AU68*(1+'Calc base'!I69),2)-K69-'Calc base'!U69)</f>
        <v>0</v>
      </c>
      <c r="X69">
        <f>MAX(0,ROUND(AV68*(1+'Calc base'!J69),2)-L69-'Calc base'!V69)</f>
        <v>0</v>
      </c>
      <c r="Y69">
        <f>MAX(0,ROUND(AW68*(1+'Calc base'!K69),2)-M69-'Calc base'!W69)</f>
        <v>0</v>
      </c>
      <c r="Z69">
        <f>MAX(0,ROUND(AX68*(1+'Calc base'!L69),2)-N69-'Calc base'!X69)</f>
        <v>0</v>
      </c>
      <c r="AA69">
        <f>MAX(0,ROUND(AY68*(1+'Calc base'!M69),2)-O69-'Calc base'!Y69)</f>
        <v>0</v>
      </c>
      <c r="AB69">
        <f>MAX(0,ROUND(AZ68*(1+'Calc base'!N69),2)-P69-'Calc base'!Z69)</f>
        <v>0</v>
      </c>
      <c r="AC69">
        <f>MAX(0,ROUND(BA68*(1+'Calc base'!O69),2)-Q69-'Calc base'!AA69)</f>
        <v>0</v>
      </c>
      <c r="AD69">
        <f>MAX(0,ROUND(BB68*(1+'Calc base'!P69),2)-R69-'Calc base'!AB69)</f>
        <v>0</v>
      </c>
      <c r="AE69">
        <f>MAX(0,ROUND(BC68*(1+'Calc base'!Q69),2)-S69-'Calc base'!AC69)</f>
        <v>0</v>
      </c>
      <c r="AF69">
        <f>MAX(0,ROUND(BD68*(1+'Calc base'!R69),2)-T69-'Calc base'!AD69)</f>
        <v>0</v>
      </c>
      <c r="AG69">
        <f>MAX(0,ROUND(BE68*(1+'Calc base'!S69),2)-U69-'Calc base'!AE69)</f>
        <v>0</v>
      </c>
      <c r="AH69">
        <f>IF('Calc base'!C$14=0,0,MIN(V69,MAX(0,$E69-SUMPRODUCT($V69:$AG69,'Calc base'!$C$14:$N$14,('Calc base'!$H69:$S69&gt;'Calc base'!H69)+('Calc base'!$H69:$S69='Calc base'!H69)*('Calc base'!$C$17:$N$17&lt;'Calc base'!C$17)))))</f>
        <v>0</v>
      </c>
      <c r="AI69">
        <f>IF('Calc base'!D$14=0,0,MIN(W69,MAX(0,$E69-SUMPRODUCT($V69:$AG69,'Calc base'!$C$14:$N$14,('Calc base'!$H69:$S69&gt;'Calc base'!I69)+('Calc base'!$H69:$S69='Calc base'!I69)*('Calc base'!$C$17:$N$17&lt;'Calc base'!D$17)))))</f>
        <v>0</v>
      </c>
      <c r="AJ69">
        <f>IF('Calc base'!E$14=0,0,MIN(X69,MAX(0,$E69-SUMPRODUCT($V69:$AG69,'Calc base'!$C$14:$N$14,('Calc base'!$H69:$S69&gt;'Calc base'!J69)+('Calc base'!$H69:$S69='Calc base'!J69)*('Calc base'!$C$17:$N$17&lt;'Calc base'!E$17)))))</f>
        <v>0</v>
      </c>
      <c r="AK69">
        <f>IF('Calc base'!F$14=0,0,MIN(Y69,MAX(0,$E69-SUMPRODUCT($V69:$AG69,'Calc base'!$C$14:$N$14,('Calc base'!$H69:$S69&gt;'Calc base'!K69)+('Calc base'!$H69:$S69='Calc base'!K69)*('Calc base'!$C$17:$N$17&lt;'Calc base'!F$17)))))</f>
        <v>0</v>
      </c>
      <c r="AL69">
        <f>IF('Calc base'!G$14=0,0,MIN(Z69,MAX(0,$E69-SUMPRODUCT($V69:$AG69,'Calc base'!$C$14:$N$14,('Calc base'!$H69:$S69&gt;'Calc base'!L69)+('Calc base'!$H69:$S69='Calc base'!L69)*('Calc base'!$C$17:$N$17&lt;'Calc base'!G$17)))))</f>
        <v>0</v>
      </c>
      <c r="AM69">
        <f>IF('Calc base'!H$14=0,0,MIN(AA69,MAX(0,$E69-SUMPRODUCT($V69:$AG69,'Calc base'!$C$14:$N$14,('Calc base'!$H69:$S69&gt;'Calc base'!M69)+('Calc base'!$H69:$S69='Calc base'!M69)*('Calc base'!$C$17:$N$17&lt;'Calc base'!H$17)))))</f>
        <v>0</v>
      </c>
      <c r="AN69">
        <f>IF('Calc base'!I$14=0,0,MIN(AB69,MAX(0,$E69-SUMPRODUCT($V69:$AG69,'Calc base'!$C$14:$N$14,('Calc base'!$H69:$S69&gt;'Calc base'!N69)+('Calc base'!$H69:$S69='Calc base'!N69)*('Calc base'!$C$17:$N$17&lt;'Calc base'!I$17)))))</f>
        <v>0</v>
      </c>
      <c r="AO69">
        <f>IF('Calc base'!J$14=0,0,MIN(AC69,MAX(0,$E69-SUMPRODUCT($V69:$AG69,'Calc base'!$C$14:$N$14,('Calc base'!$H69:$S69&gt;'Calc base'!O69)+('Calc base'!$H69:$S69='Calc base'!O69)*('Calc base'!$C$17:$N$17&lt;'Calc base'!J$17)))))</f>
        <v>0</v>
      </c>
      <c r="AP69">
        <f>IF('Calc base'!K$14=0,0,MIN(AD69,MAX(0,$E69-SUMPRODUCT($V69:$AG69,'Calc base'!$C$14:$N$14,('Calc base'!$H69:$S69&gt;'Calc base'!P69)+('Calc base'!$H69:$S69='Calc base'!P69)*('Calc base'!$C$17:$N$17&lt;'Calc base'!K$17)))))</f>
        <v>0</v>
      </c>
      <c r="AQ69">
        <f>IF('Calc base'!L$14=0,0,MIN(AE69,MAX(0,$E69-SUMPRODUCT($V69:$AG69,'Calc base'!$C$14:$N$14,('Calc base'!$H69:$S69&gt;'Calc base'!Q69)+('Calc base'!$H69:$S69='Calc base'!Q69)*('Calc base'!$C$17:$N$17&lt;'Calc base'!L$17)))))</f>
        <v>0</v>
      </c>
      <c r="AR69">
        <f>IF('Calc base'!M$14=0,0,MIN(AF69,MAX(0,$E69-SUMPRODUCT($V69:$AG69,'Calc base'!$C$14:$N$14,('Calc base'!$H69:$S69&gt;'Calc base'!R69)+('Calc base'!$H69:$S69='Calc base'!R69)*('Calc base'!$C$17:$N$17&lt;'Calc base'!M$17)))))</f>
        <v>0</v>
      </c>
      <c r="AS69">
        <f>IF('Calc base'!N$14=0,0,MIN(AG69,MAX(0,$E69-SUMPRODUCT($V69:$AG69,'Calc base'!$C$14:$N$14,('Calc base'!$H69:$S69&gt;'Calc base'!S69)+('Calc base'!$H69:$S69='Calc base'!S69)*('Calc base'!$C$17:$N$17&lt;'Calc base'!N$17)))))</f>
        <v>0</v>
      </c>
      <c r="AT69">
        <f>V69-AH69</f>
        <v>0</v>
      </c>
      <c r="AU69">
        <f>W69-AI69</f>
        <v>0</v>
      </c>
      <c r="AV69">
        <f>X69-AJ69</f>
        <v>0</v>
      </c>
      <c r="AW69">
        <f>Y69-AK69</f>
        <v>0</v>
      </c>
      <c r="AX69">
        <f>Z69-AL69</f>
        <v>0</v>
      </c>
      <c r="AY69">
        <f>AA69-AM69</f>
        <v>0</v>
      </c>
      <c r="AZ69">
        <f>AB69-AN69</f>
        <v>0</v>
      </c>
      <c r="BA69">
        <f>AC69-AO69</f>
        <v>0</v>
      </c>
      <c r="BB69">
        <f>AD69-AP69</f>
        <v>0</v>
      </c>
      <c r="BC69">
        <f>AE69-AQ69</f>
        <v>0</v>
      </c>
      <c r="BD69">
        <f>AF69-AR69</f>
        <v>0</v>
      </c>
      <c r="BE69">
        <f>AG69-AS69</f>
        <v>0</v>
      </c>
    </row>
    <row r="70">
      <c r="A70" t="n">
        <v>40</v>
      </c>
      <c r="B70">
        <f>SUMPRODUCT(ROUND($AT69:$BE69*(1+'Calc base'!$H70:$S70),2))</f>
        <v>0</v>
      </c>
      <c r="C70">
        <f>SUM(J70:U70)</f>
        <v>0</v>
      </c>
      <c r="D70">
        <f>SUM(V70:AG70)</f>
        <v>0</v>
      </c>
      <c r="E70">
        <f>MAX(0,IF(Impostazioni!$B$7="No",'Calc base'!$C70-$C$31,'Calc base'!$C70-C70)+'Calc base'!$G70+'Calc base'!$F70-(B70-C70-D70))</f>
        <v>900</v>
      </c>
      <c r="F70">
        <f>SUM(AH70:AS70)</f>
        <v>0</v>
      </c>
      <c r="G70">
        <f>SUM(AT70:BE70)</f>
        <v>0</v>
      </c>
      <c r="H70">
        <f>B70-G69</f>
        <v>0</v>
      </c>
      <c r="I70">
        <f>B70-G70</f>
        <v>0</v>
      </c>
      <c r="J70">
        <f>IF(AT69&lt;=0,0,IF(ROUND(AT69*(1+'Calc base'!H70),2)-MAX('Calc base'!C$12,ROUND('Calc base'!C$13*AT69,2))&lt;1,ROUND(AT69*(1+'Calc base'!H70),2),MAX('Calc base'!C$12,ROUND('Calc base'!C$13*AT69,2))))</f>
        <v>0</v>
      </c>
      <c r="K70">
        <f>IF(AU69&lt;=0,0,IF(ROUND(AU69*(1+'Calc base'!I70),2)-MAX('Calc base'!D$12,ROUND('Calc base'!D$13*AU69,2))&lt;1,ROUND(AU69*(1+'Calc base'!I70),2),MAX('Calc base'!D$12,ROUND('Calc base'!D$13*AU69,2))))</f>
        <v>0</v>
      </c>
      <c r="L70">
        <f>IF(AV69&lt;=0,0,IF(ROUND(AV69*(1+'Calc base'!J70),2)-MAX('Calc base'!E$12,ROUND('Calc base'!E$13*AV69,2))&lt;1,ROUND(AV69*(1+'Calc base'!J70),2),MAX('Calc base'!E$12,ROUND('Calc base'!E$13*AV69,2))))</f>
        <v>0</v>
      </c>
      <c r="M70">
        <f>IF(AW69&lt;=0,0,IF(ROUND(AW69*(1+'Calc base'!K70),2)-MAX('Calc base'!F$12,ROUND('Calc base'!F$13*AW69,2))&lt;1,ROUND(AW69*(1+'Calc base'!K70),2),MAX('Calc base'!F$12,ROUND('Calc base'!F$13*AW69,2))))</f>
        <v>0</v>
      </c>
      <c r="N70">
        <f>IF(AX69&lt;=0,0,IF(ROUND(AX69*(1+'Calc base'!L70),2)-MAX('Calc base'!G$12,ROUND('Calc base'!G$13*AX69,2))&lt;1,ROUND(AX69*(1+'Calc base'!L70),2),MAX('Calc base'!G$12,ROUND('Calc base'!G$13*AX69,2))))</f>
        <v>0</v>
      </c>
      <c r="O70">
        <f>IF(AY69&lt;=0,0,IF(ROUND(AY69*(1+'Calc base'!M70),2)-MAX('Calc base'!H$12,ROUND('Calc base'!H$13*AY69,2))&lt;1,ROUND(AY69*(1+'Calc base'!M70),2),MAX('Calc base'!H$12,ROUND('Calc base'!H$13*AY69,2))))</f>
        <v>0</v>
      </c>
      <c r="P70">
        <f>IF(AZ69&lt;=0,0,IF(ROUND(AZ69*(1+'Calc base'!N70),2)-MAX('Calc base'!I$12,ROUND('Calc base'!I$13*AZ69,2))&lt;1,ROUND(AZ69*(1+'Calc base'!N70),2),MAX('Calc base'!I$12,ROUND('Calc base'!I$13*AZ69,2))))</f>
        <v>0</v>
      </c>
      <c r="Q70">
        <f>IF(BA69&lt;=0,0,IF(ROUND(BA69*(1+'Calc base'!O70),2)-MAX('Calc base'!J$12,ROUND('Calc base'!J$13*BA69,2))&lt;1,ROUND(BA69*(1+'Calc base'!O70),2),MAX('Calc base'!J$12,ROUND('Calc base'!J$13*BA69,2))))</f>
        <v>0</v>
      </c>
      <c r="R70">
        <f>IF(BB69&lt;=0,0,IF(ROUND(BB69*(1+'Calc base'!P70),2)-MAX('Calc base'!K$12,ROUND('Calc base'!K$13*BB69,2))&lt;1,ROUND(BB69*(1+'Calc base'!P70),2),MAX('Calc base'!K$12,ROUND('Calc base'!K$13*BB69,2))))</f>
        <v>0</v>
      </c>
      <c r="S70">
        <f>IF(BC69&lt;=0,0,IF(ROUND(BC69*(1+'Calc base'!Q70),2)-MAX('Calc base'!L$12,ROUND('Calc base'!L$13*BC69,2))&lt;1,ROUND(BC69*(1+'Calc base'!Q70),2),MAX('Calc base'!L$12,ROUND('Calc base'!L$13*BC69,2))))</f>
        <v>0</v>
      </c>
      <c r="T70">
        <f>IF(BD69&lt;=0,0,IF(ROUND(BD69*(1+'Calc base'!R70),2)-MAX('Calc base'!M$12,ROUND('Calc base'!M$13*BD69,2))&lt;1,ROUND(BD69*(1+'Calc base'!R70),2),MAX('Calc base'!M$12,ROUND('Calc base'!M$13*BD69,2))))</f>
        <v>0</v>
      </c>
      <c r="U70">
        <f>IF(BE69&lt;=0,0,IF(ROUND(BE69*(1+'Calc base'!S70),2)-MAX('Calc base'!N$12,ROUND('Calc base'!N$13*BE69,2))&lt;1,ROUND(BE69*(1+'Calc base'!S70),2),MAX('Calc base'!N$12,ROUND('Calc base'!N$13*BE69,2))))</f>
        <v>0</v>
      </c>
      <c r="V70">
        <f>MAX(0,ROUND(AT69*(1+'Calc base'!H70),2)-J70-'Calc base'!T70)</f>
        <v>0</v>
      </c>
      <c r="W70">
        <f>MAX(0,ROUND(AU69*(1+'Calc base'!I70),2)-K70-'Calc base'!U70)</f>
        <v>0</v>
      </c>
      <c r="X70">
        <f>MAX(0,ROUND(AV69*(1+'Calc base'!J70),2)-L70-'Calc base'!V70)</f>
        <v>0</v>
      </c>
      <c r="Y70">
        <f>MAX(0,ROUND(AW69*(1+'Calc base'!K70),2)-M70-'Calc base'!W70)</f>
        <v>0</v>
      </c>
      <c r="Z70">
        <f>MAX(0,ROUND(AX69*(1+'Calc base'!L70),2)-N70-'Calc base'!X70)</f>
        <v>0</v>
      </c>
      <c r="AA70">
        <f>MAX(0,ROUND(AY69*(1+'Calc base'!M70),2)-O70-'Calc base'!Y70)</f>
        <v>0</v>
      </c>
      <c r="AB70">
        <f>MAX(0,ROUND(AZ69*(1+'Calc base'!N70),2)-P70-'Calc base'!Z70)</f>
        <v>0</v>
      </c>
      <c r="AC70">
        <f>MAX(0,ROUND(BA69*(1+'Calc base'!O70),2)-Q70-'Calc base'!AA70)</f>
        <v>0</v>
      </c>
      <c r="AD70">
        <f>MAX(0,ROUND(BB69*(1+'Calc base'!P70),2)-R70-'Calc base'!AB70)</f>
        <v>0</v>
      </c>
      <c r="AE70">
        <f>MAX(0,ROUND(BC69*(1+'Calc base'!Q70),2)-S70-'Calc base'!AC70)</f>
        <v>0</v>
      </c>
      <c r="AF70">
        <f>MAX(0,ROUND(BD69*(1+'Calc base'!R70),2)-T70-'Calc base'!AD70)</f>
        <v>0</v>
      </c>
      <c r="AG70">
        <f>MAX(0,ROUND(BE69*(1+'Calc base'!S70),2)-U70-'Calc base'!AE70)</f>
        <v>0</v>
      </c>
      <c r="AH70">
        <f>IF('Calc base'!C$14=0,0,MIN(V70,MAX(0,$E70-SUMPRODUCT($V70:$AG70,'Calc base'!$C$14:$N$14,('Calc base'!$H70:$S70&gt;'Calc base'!H70)+('Calc base'!$H70:$S70='Calc base'!H70)*('Calc base'!$C$17:$N$17&lt;'Calc base'!C$17)))))</f>
        <v>0</v>
      </c>
      <c r="AI70">
        <f>IF('Calc base'!D$14=0,0,MIN(W70,MAX(0,$E70-SUMPRODUCT($V70:$AG70,'Calc base'!$C$14:$N$14,('Calc base'!$H70:$S70&gt;'Calc base'!I70)+('Calc base'!$H70:$S70='Calc base'!I70)*('Calc base'!$C$17:$N$17&lt;'Calc base'!D$17)))))</f>
        <v>0</v>
      </c>
      <c r="AJ70">
        <f>IF('Calc base'!E$14=0,0,MIN(X70,MAX(0,$E70-SUMPRODUCT($V70:$AG70,'Calc base'!$C$14:$N$14,('Calc base'!$H70:$S70&gt;'Calc base'!J70)+('Calc base'!$H70:$S70='Calc base'!J70)*('Calc base'!$C$17:$N$17&lt;'Calc base'!E$17)))))</f>
        <v>0</v>
      </c>
      <c r="AK70">
        <f>IF('Calc base'!F$14=0,0,MIN(Y70,MAX(0,$E70-SUMPRODUCT($V70:$AG70,'Calc base'!$C$14:$N$14,('Calc base'!$H70:$S70&gt;'Calc base'!K70)+('Calc base'!$H70:$S70='Calc base'!K70)*('Calc base'!$C$17:$N$17&lt;'Calc base'!F$17)))))</f>
        <v>0</v>
      </c>
      <c r="AL70">
        <f>IF('Calc base'!G$14=0,0,MIN(Z70,MAX(0,$E70-SUMPRODUCT($V70:$AG70,'Calc base'!$C$14:$N$14,('Calc base'!$H70:$S70&gt;'Calc base'!L70)+('Calc base'!$H70:$S70='Calc base'!L70)*('Calc base'!$C$17:$N$17&lt;'Calc base'!G$17)))))</f>
        <v>0</v>
      </c>
      <c r="AM70">
        <f>IF('Calc base'!H$14=0,0,MIN(AA70,MAX(0,$E70-SUMPRODUCT($V70:$AG70,'Calc base'!$C$14:$N$14,('Calc base'!$H70:$S70&gt;'Calc base'!M70)+('Calc base'!$H70:$S70='Calc base'!M70)*('Calc base'!$C$17:$N$17&lt;'Calc base'!H$17)))))</f>
        <v>0</v>
      </c>
      <c r="AN70">
        <f>IF('Calc base'!I$14=0,0,MIN(AB70,MAX(0,$E70-SUMPRODUCT($V70:$AG70,'Calc base'!$C$14:$N$14,('Calc base'!$H70:$S70&gt;'Calc base'!N70)+('Calc base'!$H70:$S70='Calc base'!N70)*('Calc base'!$C$17:$N$17&lt;'Calc base'!I$17)))))</f>
        <v>0</v>
      </c>
      <c r="AO70">
        <f>IF('Calc base'!J$14=0,0,MIN(AC70,MAX(0,$E70-SUMPRODUCT($V70:$AG70,'Calc base'!$C$14:$N$14,('Calc base'!$H70:$S70&gt;'Calc base'!O70)+('Calc base'!$H70:$S70='Calc base'!O70)*('Calc base'!$C$17:$N$17&lt;'Calc base'!J$17)))))</f>
        <v>0</v>
      </c>
      <c r="AP70">
        <f>IF('Calc base'!K$14=0,0,MIN(AD70,MAX(0,$E70-SUMPRODUCT($V70:$AG70,'Calc base'!$C$14:$N$14,('Calc base'!$H70:$S70&gt;'Calc base'!P70)+('Calc base'!$H70:$S70='Calc base'!P70)*('Calc base'!$C$17:$N$17&lt;'Calc base'!K$17)))))</f>
        <v>0</v>
      </c>
      <c r="AQ70">
        <f>IF('Calc base'!L$14=0,0,MIN(AE70,MAX(0,$E70-SUMPRODUCT($V70:$AG70,'Calc base'!$C$14:$N$14,('Calc base'!$H70:$S70&gt;'Calc base'!Q70)+('Calc base'!$H70:$S70='Calc base'!Q70)*('Calc base'!$C$17:$N$17&lt;'Calc base'!L$17)))))</f>
        <v>0</v>
      </c>
      <c r="AR70">
        <f>IF('Calc base'!M$14=0,0,MIN(AF70,MAX(0,$E70-SUMPRODUCT($V70:$AG70,'Calc base'!$C$14:$N$14,('Calc base'!$H70:$S70&gt;'Calc base'!R70)+('Calc base'!$H70:$S70='Calc base'!R70)*('Calc base'!$C$17:$N$17&lt;'Calc base'!M$17)))))</f>
        <v>0</v>
      </c>
      <c r="AS70">
        <f>IF('Calc base'!N$14=0,0,MIN(AG70,MAX(0,$E70-SUMPRODUCT($V70:$AG70,'Calc base'!$C$14:$N$14,('Calc base'!$H70:$S70&gt;'Calc base'!S70)+('Calc base'!$H70:$S70='Calc base'!S70)*('Calc base'!$C$17:$N$17&lt;'Calc base'!N$17)))))</f>
        <v>0</v>
      </c>
      <c r="AT70">
        <f>V70-AH70</f>
        <v>0</v>
      </c>
      <c r="AU70">
        <f>W70-AI70</f>
        <v>0</v>
      </c>
      <c r="AV70">
        <f>X70-AJ70</f>
        <v>0</v>
      </c>
      <c r="AW70">
        <f>Y70-AK70</f>
        <v>0</v>
      </c>
      <c r="AX70">
        <f>Z70-AL70</f>
        <v>0</v>
      </c>
      <c r="AY70">
        <f>AA70-AM70</f>
        <v>0</v>
      </c>
      <c r="AZ70">
        <f>AB70-AN70</f>
        <v>0</v>
      </c>
      <c r="BA70">
        <f>AC70-AO70</f>
        <v>0</v>
      </c>
      <c r="BB70">
        <f>AD70-AP70</f>
        <v>0</v>
      </c>
      <c r="BC70">
        <f>AE70-AQ70</f>
        <v>0</v>
      </c>
      <c r="BD70">
        <f>AF70-AR70</f>
        <v>0</v>
      </c>
      <c r="BE70">
        <f>AG70-AS70</f>
        <v>0</v>
      </c>
    </row>
    <row r="71">
      <c r="A71" t="n">
        <v>41</v>
      </c>
      <c r="B71">
        <f>SUMPRODUCT(ROUND($AT70:$BE70*(1+'Calc base'!$H71:$S71),2))</f>
        <v>0</v>
      </c>
      <c r="C71">
        <f>SUM(J71:U71)</f>
        <v>0</v>
      </c>
      <c r="D71">
        <f>SUM(V71:AG71)</f>
        <v>0</v>
      </c>
      <c r="E71">
        <f>MAX(0,IF(Impostazioni!$B$7="No",'Calc base'!$C71-$C$31,'Calc base'!$C71-C71)+'Calc base'!$G71+'Calc base'!$F71-(B71-C71-D71))</f>
        <v>900</v>
      </c>
      <c r="F71">
        <f>SUM(AH71:AS71)</f>
        <v>0</v>
      </c>
      <c r="G71">
        <f>SUM(AT71:BE71)</f>
        <v>0</v>
      </c>
      <c r="H71">
        <f>B71-G70</f>
        <v>0</v>
      </c>
      <c r="I71">
        <f>B71-G71</f>
        <v>0</v>
      </c>
      <c r="J71">
        <f>IF(AT70&lt;=0,0,IF(ROUND(AT70*(1+'Calc base'!H71),2)-MAX('Calc base'!C$12,ROUND('Calc base'!C$13*AT70,2))&lt;1,ROUND(AT70*(1+'Calc base'!H71),2),MAX('Calc base'!C$12,ROUND('Calc base'!C$13*AT70,2))))</f>
        <v>0</v>
      </c>
      <c r="K71">
        <f>IF(AU70&lt;=0,0,IF(ROUND(AU70*(1+'Calc base'!I71),2)-MAX('Calc base'!D$12,ROUND('Calc base'!D$13*AU70,2))&lt;1,ROUND(AU70*(1+'Calc base'!I71),2),MAX('Calc base'!D$12,ROUND('Calc base'!D$13*AU70,2))))</f>
        <v>0</v>
      </c>
      <c r="L71">
        <f>IF(AV70&lt;=0,0,IF(ROUND(AV70*(1+'Calc base'!J71),2)-MAX('Calc base'!E$12,ROUND('Calc base'!E$13*AV70,2))&lt;1,ROUND(AV70*(1+'Calc base'!J71),2),MAX('Calc base'!E$12,ROUND('Calc base'!E$13*AV70,2))))</f>
        <v>0</v>
      </c>
      <c r="M71">
        <f>IF(AW70&lt;=0,0,IF(ROUND(AW70*(1+'Calc base'!K71),2)-MAX('Calc base'!F$12,ROUND('Calc base'!F$13*AW70,2))&lt;1,ROUND(AW70*(1+'Calc base'!K71),2),MAX('Calc base'!F$12,ROUND('Calc base'!F$13*AW70,2))))</f>
        <v>0</v>
      </c>
      <c r="N71">
        <f>IF(AX70&lt;=0,0,IF(ROUND(AX70*(1+'Calc base'!L71),2)-MAX('Calc base'!G$12,ROUND('Calc base'!G$13*AX70,2))&lt;1,ROUND(AX70*(1+'Calc base'!L71),2),MAX('Calc base'!G$12,ROUND('Calc base'!G$13*AX70,2))))</f>
        <v>0</v>
      </c>
      <c r="O71">
        <f>IF(AY70&lt;=0,0,IF(ROUND(AY70*(1+'Calc base'!M71),2)-MAX('Calc base'!H$12,ROUND('Calc base'!H$13*AY70,2))&lt;1,ROUND(AY70*(1+'Calc base'!M71),2),MAX('Calc base'!H$12,ROUND('Calc base'!H$13*AY70,2))))</f>
        <v>0</v>
      </c>
      <c r="P71">
        <f>IF(AZ70&lt;=0,0,IF(ROUND(AZ70*(1+'Calc base'!N71),2)-MAX('Calc base'!I$12,ROUND('Calc base'!I$13*AZ70,2))&lt;1,ROUND(AZ70*(1+'Calc base'!N71),2),MAX('Calc base'!I$12,ROUND('Calc base'!I$13*AZ70,2))))</f>
        <v>0</v>
      </c>
      <c r="Q71">
        <f>IF(BA70&lt;=0,0,IF(ROUND(BA70*(1+'Calc base'!O71),2)-MAX('Calc base'!J$12,ROUND('Calc base'!J$13*BA70,2))&lt;1,ROUND(BA70*(1+'Calc base'!O71),2),MAX('Calc base'!J$12,ROUND('Calc base'!J$13*BA70,2))))</f>
        <v>0</v>
      </c>
      <c r="R71">
        <f>IF(BB70&lt;=0,0,IF(ROUND(BB70*(1+'Calc base'!P71),2)-MAX('Calc base'!K$12,ROUND('Calc base'!K$13*BB70,2))&lt;1,ROUND(BB70*(1+'Calc base'!P71),2),MAX('Calc base'!K$12,ROUND('Calc base'!K$13*BB70,2))))</f>
        <v>0</v>
      </c>
      <c r="S71">
        <f>IF(BC70&lt;=0,0,IF(ROUND(BC70*(1+'Calc base'!Q71),2)-MAX('Calc base'!L$12,ROUND('Calc base'!L$13*BC70,2))&lt;1,ROUND(BC70*(1+'Calc base'!Q71),2),MAX('Calc base'!L$12,ROUND('Calc base'!L$13*BC70,2))))</f>
        <v>0</v>
      </c>
      <c r="T71">
        <f>IF(BD70&lt;=0,0,IF(ROUND(BD70*(1+'Calc base'!R71),2)-MAX('Calc base'!M$12,ROUND('Calc base'!M$13*BD70,2))&lt;1,ROUND(BD70*(1+'Calc base'!R71),2),MAX('Calc base'!M$12,ROUND('Calc base'!M$13*BD70,2))))</f>
        <v>0</v>
      </c>
      <c r="U71">
        <f>IF(BE70&lt;=0,0,IF(ROUND(BE70*(1+'Calc base'!S71),2)-MAX('Calc base'!N$12,ROUND('Calc base'!N$13*BE70,2))&lt;1,ROUND(BE70*(1+'Calc base'!S71),2),MAX('Calc base'!N$12,ROUND('Calc base'!N$13*BE70,2))))</f>
        <v>0</v>
      </c>
      <c r="V71">
        <f>MAX(0,ROUND(AT70*(1+'Calc base'!H71),2)-J71-'Calc base'!T71)</f>
        <v>0</v>
      </c>
      <c r="W71">
        <f>MAX(0,ROUND(AU70*(1+'Calc base'!I71),2)-K71-'Calc base'!U71)</f>
        <v>0</v>
      </c>
      <c r="X71">
        <f>MAX(0,ROUND(AV70*(1+'Calc base'!J71),2)-L71-'Calc base'!V71)</f>
        <v>0</v>
      </c>
      <c r="Y71">
        <f>MAX(0,ROUND(AW70*(1+'Calc base'!K71),2)-M71-'Calc base'!W71)</f>
        <v>0</v>
      </c>
      <c r="Z71">
        <f>MAX(0,ROUND(AX70*(1+'Calc base'!L71),2)-N71-'Calc base'!X71)</f>
        <v>0</v>
      </c>
      <c r="AA71">
        <f>MAX(0,ROUND(AY70*(1+'Calc base'!M71),2)-O71-'Calc base'!Y71)</f>
        <v>0</v>
      </c>
      <c r="AB71">
        <f>MAX(0,ROUND(AZ70*(1+'Calc base'!N71),2)-P71-'Calc base'!Z71)</f>
        <v>0</v>
      </c>
      <c r="AC71">
        <f>MAX(0,ROUND(BA70*(1+'Calc base'!O71),2)-Q71-'Calc base'!AA71)</f>
        <v>0</v>
      </c>
      <c r="AD71">
        <f>MAX(0,ROUND(BB70*(1+'Calc base'!P71),2)-R71-'Calc base'!AB71)</f>
        <v>0</v>
      </c>
      <c r="AE71">
        <f>MAX(0,ROUND(BC70*(1+'Calc base'!Q71),2)-S71-'Calc base'!AC71)</f>
        <v>0</v>
      </c>
      <c r="AF71">
        <f>MAX(0,ROUND(BD70*(1+'Calc base'!R71),2)-T71-'Calc base'!AD71)</f>
        <v>0</v>
      </c>
      <c r="AG71">
        <f>MAX(0,ROUND(BE70*(1+'Calc base'!S71),2)-U71-'Calc base'!AE71)</f>
        <v>0</v>
      </c>
      <c r="AH71">
        <f>IF('Calc base'!C$14=0,0,MIN(V71,MAX(0,$E71-SUMPRODUCT($V71:$AG71,'Calc base'!$C$14:$N$14,('Calc base'!$H71:$S71&gt;'Calc base'!H71)+('Calc base'!$H71:$S71='Calc base'!H71)*('Calc base'!$C$17:$N$17&lt;'Calc base'!C$17)))))</f>
        <v>0</v>
      </c>
      <c r="AI71">
        <f>IF('Calc base'!D$14=0,0,MIN(W71,MAX(0,$E71-SUMPRODUCT($V71:$AG71,'Calc base'!$C$14:$N$14,('Calc base'!$H71:$S71&gt;'Calc base'!I71)+('Calc base'!$H71:$S71='Calc base'!I71)*('Calc base'!$C$17:$N$17&lt;'Calc base'!D$17)))))</f>
        <v>0</v>
      </c>
      <c r="AJ71">
        <f>IF('Calc base'!E$14=0,0,MIN(X71,MAX(0,$E71-SUMPRODUCT($V71:$AG71,'Calc base'!$C$14:$N$14,('Calc base'!$H71:$S71&gt;'Calc base'!J71)+('Calc base'!$H71:$S71='Calc base'!J71)*('Calc base'!$C$17:$N$17&lt;'Calc base'!E$17)))))</f>
        <v>0</v>
      </c>
      <c r="AK71">
        <f>IF('Calc base'!F$14=0,0,MIN(Y71,MAX(0,$E71-SUMPRODUCT($V71:$AG71,'Calc base'!$C$14:$N$14,('Calc base'!$H71:$S71&gt;'Calc base'!K71)+('Calc base'!$H71:$S71='Calc base'!K71)*('Calc base'!$C$17:$N$17&lt;'Calc base'!F$17)))))</f>
        <v>0</v>
      </c>
      <c r="AL71">
        <f>IF('Calc base'!G$14=0,0,MIN(Z71,MAX(0,$E71-SUMPRODUCT($V71:$AG71,'Calc base'!$C$14:$N$14,('Calc base'!$H71:$S71&gt;'Calc base'!L71)+('Calc base'!$H71:$S71='Calc base'!L71)*('Calc base'!$C$17:$N$17&lt;'Calc base'!G$17)))))</f>
        <v>0</v>
      </c>
      <c r="AM71">
        <f>IF('Calc base'!H$14=0,0,MIN(AA71,MAX(0,$E71-SUMPRODUCT($V71:$AG71,'Calc base'!$C$14:$N$14,('Calc base'!$H71:$S71&gt;'Calc base'!M71)+('Calc base'!$H71:$S71='Calc base'!M71)*('Calc base'!$C$17:$N$17&lt;'Calc base'!H$17)))))</f>
        <v>0</v>
      </c>
      <c r="AN71">
        <f>IF('Calc base'!I$14=0,0,MIN(AB71,MAX(0,$E71-SUMPRODUCT($V71:$AG71,'Calc base'!$C$14:$N$14,('Calc base'!$H71:$S71&gt;'Calc base'!N71)+('Calc base'!$H71:$S71='Calc base'!N71)*('Calc base'!$C$17:$N$17&lt;'Calc base'!I$17)))))</f>
        <v>0</v>
      </c>
      <c r="AO71">
        <f>IF('Calc base'!J$14=0,0,MIN(AC71,MAX(0,$E71-SUMPRODUCT($V71:$AG71,'Calc base'!$C$14:$N$14,('Calc base'!$H71:$S71&gt;'Calc base'!O71)+('Calc base'!$H71:$S71='Calc base'!O71)*('Calc base'!$C$17:$N$17&lt;'Calc base'!J$17)))))</f>
        <v>0</v>
      </c>
      <c r="AP71">
        <f>IF('Calc base'!K$14=0,0,MIN(AD71,MAX(0,$E71-SUMPRODUCT($V71:$AG71,'Calc base'!$C$14:$N$14,('Calc base'!$H71:$S71&gt;'Calc base'!P71)+('Calc base'!$H71:$S71='Calc base'!P71)*('Calc base'!$C$17:$N$17&lt;'Calc base'!K$17)))))</f>
        <v>0</v>
      </c>
      <c r="AQ71">
        <f>IF('Calc base'!L$14=0,0,MIN(AE71,MAX(0,$E71-SUMPRODUCT($V71:$AG71,'Calc base'!$C$14:$N$14,('Calc base'!$H71:$S71&gt;'Calc base'!Q71)+('Calc base'!$H71:$S71='Calc base'!Q71)*('Calc base'!$C$17:$N$17&lt;'Calc base'!L$17)))))</f>
        <v>0</v>
      </c>
      <c r="AR71">
        <f>IF('Calc base'!M$14=0,0,MIN(AF71,MAX(0,$E71-SUMPRODUCT($V71:$AG71,'Calc base'!$C$14:$N$14,('Calc base'!$H71:$S71&gt;'Calc base'!R71)+('Calc base'!$H71:$S71='Calc base'!R71)*('Calc base'!$C$17:$N$17&lt;'Calc base'!M$17)))))</f>
        <v>0</v>
      </c>
      <c r="AS71">
        <f>IF('Calc base'!N$14=0,0,MIN(AG71,MAX(0,$E71-SUMPRODUCT($V71:$AG71,'Calc base'!$C$14:$N$14,('Calc base'!$H71:$S71&gt;'Calc base'!S71)+('Calc base'!$H71:$S71='Calc base'!S71)*('Calc base'!$C$17:$N$17&lt;'Calc base'!N$17)))))</f>
        <v>0</v>
      </c>
      <c r="AT71">
        <f>V71-AH71</f>
        <v>0</v>
      </c>
      <c r="AU71">
        <f>W71-AI71</f>
        <v>0</v>
      </c>
      <c r="AV71">
        <f>X71-AJ71</f>
        <v>0</v>
      </c>
      <c r="AW71">
        <f>Y71-AK71</f>
        <v>0</v>
      </c>
      <c r="AX71">
        <f>Z71-AL71</f>
        <v>0</v>
      </c>
      <c r="AY71">
        <f>AA71-AM71</f>
        <v>0</v>
      </c>
      <c r="AZ71">
        <f>AB71-AN71</f>
        <v>0</v>
      </c>
      <c r="BA71">
        <f>AC71-AO71</f>
        <v>0</v>
      </c>
      <c r="BB71">
        <f>AD71-AP71</f>
        <v>0</v>
      </c>
      <c r="BC71">
        <f>AE71-AQ71</f>
        <v>0</v>
      </c>
      <c r="BD71">
        <f>AF71-AR71</f>
        <v>0</v>
      </c>
      <c r="BE71">
        <f>AG71-AS71</f>
        <v>0</v>
      </c>
    </row>
    <row r="72">
      <c r="A72" t="n">
        <v>42</v>
      </c>
      <c r="B72">
        <f>SUMPRODUCT(ROUND($AT71:$BE71*(1+'Calc base'!$H72:$S72),2))</f>
        <v>0</v>
      </c>
      <c r="C72">
        <f>SUM(J72:U72)</f>
        <v>0</v>
      </c>
      <c r="D72">
        <f>SUM(V72:AG72)</f>
        <v>0</v>
      </c>
      <c r="E72">
        <f>MAX(0,IF(Impostazioni!$B$7="No",'Calc base'!$C72-$C$31,'Calc base'!$C72-C72)+'Calc base'!$G72+'Calc base'!$F72-(B72-C72-D72))</f>
        <v>900</v>
      </c>
      <c r="F72">
        <f>SUM(AH72:AS72)</f>
        <v>0</v>
      </c>
      <c r="G72">
        <f>SUM(AT72:BE72)</f>
        <v>0</v>
      </c>
      <c r="H72">
        <f>B72-G71</f>
        <v>0</v>
      </c>
      <c r="I72">
        <f>B72-G72</f>
        <v>0</v>
      </c>
      <c r="J72">
        <f>IF(AT71&lt;=0,0,IF(ROUND(AT71*(1+'Calc base'!H72),2)-MAX('Calc base'!C$12,ROUND('Calc base'!C$13*AT71,2))&lt;1,ROUND(AT71*(1+'Calc base'!H72),2),MAX('Calc base'!C$12,ROUND('Calc base'!C$13*AT71,2))))</f>
        <v>0</v>
      </c>
      <c r="K72">
        <f>IF(AU71&lt;=0,0,IF(ROUND(AU71*(1+'Calc base'!I72),2)-MAX('Calc base'!D$12,ROUND('Calc base'!D$13*AU71,2))&lt;1,ROUND(AU71*(1+'Calc base'!I72),2),MAX('Calc base'!D$12,ROUND('Calc base'!D$13*AU71,2))))</f>
        <v>0</v>
      </c>
      <c r="L72">
        <f>IF(AV71&lt;=0,0,IF(ROUND(AV71*(1+'Calc base'!J72),2)-MAX('Calc base'!E$12,ROUND('Calc base'!E$13*AV71,2))&lt;1,ROUND(AV71*(1+'Calc base'!J72),2),MAX('Calc base'!E$12,ROUND('Calc base'!E$13*AV71,2))))</f>
        <v>0</v>
      </c>
      <c r="M72">
        <f>IF(AW71&lt;=0,0,IF(ROUND(AW71*(1+'Calc base'!K72),2)-MAX('Calc base'!F$12,ROUND('Calc base'!F$13*AW71,2))&lt;1,ROUND(AW71*(1+'Calc base'!K72),2),MAX('Calc base'!F$12,ROUND('Calc base'!F$13*AW71,2))))</f>
        <v>0</v>
      </c>
      <c r="N72">
        <f>IF(AX71&lt;=0,0,IF(ROUND(AX71*(1+'Calc base'!L72),2)-MAX('Calc base'!G$12,ROUND('Calc base'!G$13*AX71,2))&lt;1,ROUND(AX71*(1+'Calc base'!L72),2),MAX('Calc base'!G$12,ROUND('Calc base'!G$13*AX71,2))))</f>
        <v>0</v>
      </c>
      <c r="O72">
        <f>IF(AY71&lt;=0,0,IF(ROUND(AY71*(1+'Calc base'!M72),2)-MAX('Calc base'!H$12,ROUND('Calc base'!H$13*AY71,2))&lt;1,ROUND(AY71*(1+'Calc base'!M72),2),MAX('Calc base'!H$12,ROUND('Calc base'!H$13*AY71,2))))</f>
        <v>0</v>
      </c>
      <c r="P72">
        <f>IF(AZ71&lt;=0,0,IF(ROUND(AZ71*(1+'Calc base'!N72),2)-MAX('Calc base'!I$12,ROUND('Calc base'!I$13*AZ71,2))&lt;1,ROUND(AZ71*(1+'Calc base'!N72),2),MAX('Calc base'!I$12,ROUND('Calc base'!I$13*AZ71,2))))</f>
        <v>0</v>
      </c>
      <c r="Q72">
        <f>IF(BA71&lt;=0,0,IF(ROUND(BA71*(1+'Calc base'!O72),2)-MAX('Calc base'!J$12,ROUND('Calc base'!J$13*BA71,2))&lt;1,ROUND(BA71*(1+'Calc base'!O72),2),MAX('Calc base'!J$12,ROUND('Calc base'!J$13*BA71,2))))</f>
        <v>0</v>
      </c>
      <c r="R72">
        <f>IF(BB71&lt;=0,0,IF(ROUND(BB71*(1+'Calc base'!P72),2)-MAX('Calc base'!K$12,ROUND('Calc base'!K$13*BB71,2))&lt;1,ROUND(BB71*(1+'Calc base'!P72),2),MAX('Calc base'!K$12,ROUND('Calc base'!K$13*BB71,2))))</f>
        <v>0</v>
      </c>
      <c r="S72">
        <f>IF(BC71&lt;=0,0,IF(ROUND(BC71*(1+'Calc base'!Q72),2)-MAX('Calc base'!L$12,ROUND('Calc base'!L$13*BC71,2))&lt;1,ROUND(BC71*(1+'Calc base'!Q72),2),MAX('Calc base'!L$12,ROUND('Calc base'!L$13*BC71,2))))</f>
        <v>0</v>
      </c>
      <c r="T72">
        <f>IF(BD71&lt;=0,0,IF(ROUND(BD71*(1+'Calc base'!R72),2)-MAX('Calc base'!M$12,ROUND('Calc base'!M$13*BD71,2))&lt;1,ROUND(BD71*(1+'Calc base'!R72),2),MAX('Calc base'!M$12,ROUND('Calc base'!M$13*BD71,2))))</f>
        <v>0</v>
      </c>
      <c r="U72">
        <f>IF(BE71&lt;=0,0,IF(ROUND(BE71*(1+'Calc base'!S72),2)-MAX('Calc base'!N$12,ROUND('Calc base'!N$13*BE71,2))&lt;1,ROUND(BE71*(1+'Calc base'!S72),2),MAX('Calc base'!N$12,ROUND('Calc base'!N$13*BE71,2))))</f>
        <v>0</v>
      </c>
      <c r="V72">
        <f>MAX(0,ROUND(AT71*(1+'Calc base'!H72),2)-J72-'Calc base'!T72)</f>
        <v>0</v>
      </c>
      <c r="W72">
        <f>MAX(0,ROUND(AU71*(1+'Calc base'!I72),2)-K72-'Calc base'!U72)</f>
        <v>0</v>
      </c>
      <c r="X72">
        <f>MAX(0,ROUND(AV71*(1+'Calc base'!J72),2)-L72-'Calc base'!V72)</f>
        <v>0</v>
      </c>
      <c r="Y72">
        <f>MAX(0,ROUND(AW71*(1+'Calc base'!K72),2)-M72-'Calc base'!W72)</f>
        <v>0</v>
      </c>
      <c r="Z72">
        <f>MAX(0,ROUND(AX71*(1+'Calc base'!L72),2)-N72-'Calc base'!X72)</f>
        <v>0</v>
      </c>
      <c r="AA72">
        <f>MAX(0,ROUND(AY71*(1+'Calc base'!M72),2)-O72-'Calc base'!Y72)</f>
        <v>0</v>
      </c>
      <c r="AB72">
        <f>MAX(0,ROUND(AZ71*(1+'Calc base'!N72),2)-P72-'Calc base'!Z72)</f>
        <v>0</v>
      </c>
      <c r="AC72">
        <f>MAX(0,ROUND(BA71*(1+'Calc base'!O72),2)-Q72-'Calc base'!AA72)</f>
        <v>0</v>
      </c>
      <c r="AD72">
        <f>MAX(0,ROUND(BB71*(1+'Calc base'!P72),2)-R72-'Calc base'!AB72)</f>
        <v>0</v>
      </c>
      <c r="AE72">
        <f>MAX(0,ROUND(BC71*(1+'Calc base'!Q72),2)-S72-'Calc base'!AC72)</f>
        <v>0</v>
      </c>
      <c r="AF72">
        <f>MAX(0,ROUND(BD71*(1+'Calc base'!R72),2)-T72-'Calc base'!AD72)</f>
        <v>0</v>
      </c>
      <c r="AG72">
        <f>MAX(0,ROUND(BE71*(1+'Calc base'!S72),2)-U72-'Calc base'!AE72)</f>
        <v>0</v>
      </c>
      <c r="AH72">
        <f>IF('Calc base'!C$14=0,0,MIN(V72,MAX(0,$E72-SUMPRODUCT($V72:$AG72,'Calc base'!$C$14:$N$14,('Calc base'!$H72:$S72&gt;'Calc base'!H72)+('Calc base'!$H72:$S72='Calc base'!H72)*('Calc base'!$C$17:$N$17&lt;'Calc base'!C$17)))))</f>
        <v>0</v>
      </c>
      <c r="AI72">
        <f>IF('Calc base'!D$14=0,0,MIN(W72,MAX(0,$E72-SUMPRODUCT($V72:$AG72,'Calc base'!$C$14:$N$14,('Calc base'!$H72:$S72&gt;'Calc base'!I72)+('Calc base'!$H72:$S72='Calc base'!I72)*('Calc base'!$C$17:$N$17&lt;'Calc base'!D$17)))))</f>
        <v>0</v>
      </c>
      <c r="AJ72">
        <f>IF('Calc base'!E$14=0,0,MIN(X72,MAX(0,$E72-SUMPRODUCT($V72:$AG72,'Calc base'!$C$14:$N$14,('Calc base'!$H72:$S72&gt;'Calc base'!J72)+('Calc base'!$H72:$S72='Calc base'!J72)*('Calc base'!$C$17:$N$17&lt;'Calc base'!E$17)))))</f>
        <v>0</v>
      </c>
      <c r="AK72">
        <f>IF('Calc base'!F$14=0,0,MIN(Y72,MAX(0,$E72-SUMPRODUCT($V72:$AG72,'Calc base'!$C$14:$N$14,('Calc base'!$H72:$S72&gt;'Calc base'!K72)+('Calc base'!$H72:$S72='Calc base'!K72)*('Calc base'!$C$17:$N$17&lt;'Calc base'!F$17)))))</f>
        <v>0</v>
      </c>
      <c r="AL72">
        <f>IF('Calc base'!G$14=0,0,MIN(Z72,MAX(0,$E72-SUMPRODUCT($V72:$AG72,'Calc base'!$C$14:$N$14,('Calc base'!$H72:$S72&gt;'Calc base'!L72)+('Calc base'!$H72:$S72='Calc base'!L72)*('Calc base'!$C$17:$N$17&lt;'Calc base'!G$17)))))</f>
        <v>0</v>
      </c>
      <c r="AM72">
        <f>IF('Calc base'!H$14=0,0,MIN(AA72,MAX(0,$E72-SUMPRODUCT($V72:$AG72,'Calc base'!$C$14:$N$14,('Calc base'!$H72:$S72&gt;'Calc base'!M72)+('Calc base'!$H72:$S72='Calc base'!M72)*('Calc base'!$C$17:$N$17&lt;'Calc base'!H$17)))))</f>
        <v>0</v>
      </c>
      <c r="AN72">
        <f>IF('Calc base'!I$14=0,0,MIN(AB72,MAX(0,$E72-SUMPRODUCT($V72:$AG72,'Calc base'!$C$14:$N$14,('Calc base'!$H72:$S72&gt;'Calc base'!N72)+('Calc base'!$H72:$S72='Calc base'!N72)*('Calc base'!$C$17:$N$17&lt;'Calc base'!I$17)))))</f>
        <v>0</v>
      </c>
      <c r="AO72">
        <f>IF('Calc base'!J$14=0,0,MIN(AC72,MAX(0,$E72-SUMPRODUCT($V72:$AG72,'Calc base'!$C$14:$N$14,('Calc base'!$H72:$S72&gt;'Calc base'!O72)+('Calc base'!$H72:$S72='Calc base'!O72)*('Calc base'!$C$17:$N$17&lt;'Calc base'!J$17)))))</f>
        <v>0</v>
      </c>
      <c r="AP72">
        <f>IF('Calc base'!K$14=0,0,MIN(AD72,MAX(0,$E72-SUMPRODUCT($V72:$AG72,'Calc base'!$C$14:$N$14,('Calc base'!$H72:$S72&gt;'Calc base'!P72)+('Calc base'!$H72:$S72='Calc base'!P72)*('Calc base'!$C$17:$N$17&lt;'Calc base'!K$17)))))</f>
        <v>0</v>
      </c>
      <c r="AQ72">
        <f>IF('Calc base'!L$14=0,0,MIN(AE72,MAX(0,$E72-SUMPRODUCT($V72:$AG72,'Calc base'!$C$14:$N$14,('Calc base'!$H72:$S72&gt;'Calc base'!Q72)+('Calc base'!$H72:$S72='Calc base'!Q72)*('Calc base'!$C$17:$N$17&lt;'Calc base'!L$17)))))</f>
        <v>0</v>
      </c>
      <c r="AR72">
        <f>IF('Calc base'!M$14=0,0,MIN(AF72,MAX(0,$E72-SUMPRODUCT($V72:$AG72,'Calc base'!$C$14:$N$14,('Calc base'!$H72:$S72&gt;'Calc base'!R72)+('Calc base'!$H72:$S72='Calc base'!R72)*('Calc base'!$C$17:$N$17&lt;'Calc base'!M$17)))))</f>
        <v>0</v>
      </c>
      <c r="AS72">
        <f>IF('Calc base'!N$14=0,0,MIN(AG72,MAX(0,$E72-SUMPRODUCT($V72:$AG72,'Calc base'!$C$14:$N$14,('Calc base'!$H72:$S72&gt;'Calc base'!S72)+('Calc base'!$H72:$S72='Calc base'!S72)*('Calc base'!$C$17:$N$17&lt;'Calc base'!N$17)))))</f>
        <v>0</v>
      </c>
      <c r="AT72">
        <f>V72-AH72</f>
        <v>0</v>
      </c>
      <c r="AU72">
        <f>W72-AI72</f>
        <v>0</v>
      </c>
      <c r="AV72">
        <f>X72-AJ72</f>
        <v>0</v>
      </c>
      <c r="AW72">
        <f>Y72-AK72</f>
        <v>0</v>
      </c>
      <c r="AX72">
        <f>Z72-AL72</f>
        <v>0</v>
      </c>
      <c r="AY72">
        <f>AA72-AM72</f>
        <v>0</v>
      </c>
      <c r="AZ72">
        <f>AB72-AN72</f>
        <v>0</v>
      </c>
      <c r="BA72">
        <f>AC72-AO72</f>
        <v>0</v>
      </c>
      <c r="BB72">
        <f>AD72-AP72</f>
        <v>0</v>
      </c>
      <c r="BC72">
        <f>AE72-AQ72</f>
        <v>0</v>
      </c>
      <c r="BD72">
        <f>AF72-AR72</f>
        <v>0</v>
      </c>
      <c r="BE72">
        <f>AG72-AS72</f>
        <v>0</v>
      </c>
    </row>
    <row r="73">
      <c r="A73" t="n">
        <v>43</v>
      </c>
      <c r="B73">
        <f>SUMPRODUCT(ROUND($AT72:$BE72*(1+'Calc base'!$H73:$S73),2))</f>
        <v>0</v>
      </c>
      <c r="C73">
        <f>SUM(J73:U73)</f>
        <v>0</v>
      </c>
      <c r="D73">
        <f>SUM(V73:AG73)</f>
        <v>0</v>
      </c>
      <c r="E73">
        <f>MAX(0,IF(Impostazioni!$B$7="No",'Calc base'!$C73-$C$31,'Calc base'!$C73-C73)+'Calc base'!$G73+'Calc base'!$F73-(B73-C73-D73))</f>
        <v>900</v>
      </c>
      <c r="F73">
        <f>SUM(AH73:AS73)</f>
        <v>0</v>
      </c>
      <c r="G73">
        <f>SUM(AT73:BE73)</f>
        <v>0</v>
      </c>
      <c r="H73">
        <f>B73-G72</f>
        <v>0</v>
      </c>
      <c r="I73">
        <f>B73-G73</f>
        <v>0</v>
      </c>
      <c r="J73">
        <f>IF(AT72&lt;=0,0,IF(ROUND(AT72*(1+'Calc base'!H73),2)-MAX('Calc base'!C$12,ROUND('Calc base'!C$13*AT72,2))&lt;1,ROUND(AT72*(1+'Calc base'!H73),2),MAX('Calc base'!C$12,ROUND('Calc base'!C$13*AT72,2))))</f>
        <v>0</v>
      </c>
      <c r="K73">
        <f>IF(AU72&lt;=0,0,IF(ROUND(AU72*(1+'Calc base'!I73),2)-MAX('Calc base'!D$12,ROUND('Calc base'!D$13*AU72,2))&lt;1,ROUND(AU72*(1+'Calc base'!I73),2),MAX('Calc base'!D$12,ROUND('Calc base'!D$13*AU72,2))))</f>
        <v>0</v>
      </c>
      <c r="L73">
        <f>IF(AV72&lt;=0,0,IF(ROUND(AV72*(1+'Calc base'!J73),2)-MAX('Calc base'!E$12,ROUND('Calc base'!E$13*AV72,2))&lt;1,ROUND(AV72*(1+'Calc base'!J73),2),MAX('Calc base'!E$12,ROUND('Calc base'!E$13*AV72,2))))</f>
        <v>0</v>
      </c>
      <c r="M73">
        <f>IF(AW72&lt;=0,0,IF(ROUND(AW72*(1+'Calc base'!K73),2)-MAX('Calc base'!F$12,ROUND('Calc base'!F$13*AW72,2))&lt;1,ROUND(AW72*(1+'Calc base'!K73),2),MAX('Calc base'!F$12,ROUND('Calc base'!F$13*AW72,2))))</f>
        <v>0</v>
      </c>
      <c r="N73">
        <f>IF(AX72&lt;=0,0,IF(ROUND(AX72*(1+'Calc base'!L73),2)-MAX('Calc base'!G$12,ROUND('Calc base'!G$13*AX72,2))&lt;1,ROUND(AX72*(1+'Calc base'!L73),2),MAX('Calc base'!G$12,ROUND('Calc base'!G$13*AX72,2))))</f>
        <v>0</v>
      </c>
      <c r="O73">
        <f>IF(AY72&lt;=0,0,IF(ROUND(AY72*(1+'Calc base'!M73),2)-MAX('Calc base'!H$12,ROUND('Calc base'!H$13*AY72,2))&lt;1,ROUND(AY72*(1+'Calc base'!M73),2),MAX('Calc base'!H$12,ROUND('Calc base'!H$13*AY72,2))))</f>
        <v>0</v>
      </c>
      <c r="P73">
        <f>IF(AZ72&lt;=0,0,IF(ROUND(AZ72*(1+'Calc base'!N73),2)-MAX('Calc base'!I$12,ROUND('Calc base'!I$13*AZ72,2))&lt;1,ROUND(AZ72*(1+'Calc base'!N73),2),MAX('Calc base'!I$12,ROUND('Calc base'!I$13*AZ72,2))))</f>
        <v>0</v>
      </c>
      <c r="Q73">
        <f>IF(BA72&lt;=0,0,IF(ROUND(BA72*(1+'Calc base'!O73),2)-MAX('Calc base'!J$12,ROUND('Calc base'!J$13*BA72,2))&lt;1,ROUND(BA72*(1+'Calc base'!O73),2),MAX('Calc base'!J$12,ROUND('Calc base'!J$13*BA72,2))))</f>
        <v>0</v>
      </c>
      <c r="R73">
        <f>IF(BB72&lt;=0,0,IF(ROUND(BB72*(1+'Calc base'!P73),2)-MAX('Calc base'!K$12,ROUND('Calc base'!K$13*BB72,2))&lt;1,ROUND(BB72*(1+'Calc base'!P73),2),MAX('Calc base'!K$12,ROUND('Calc base'!K$13*BB72,2))))</f>
        <v>0</v>
      </c>
      <c r="S73">
        <f>IF(BC72&lt;=0,0,IF(ROUND(BC72*(1+'Calc base'!Q73),2)-MAX('Calc base'!L$12,ROUND('Calc base'!L$13*BC72,2))&lt;1,ROUND(BC72*(1+'Calc base'!Q73),2),MAX('Calc base'!L$12,ROUND('Calc base'!L$13*BC72,2))))</f>
        <v>0</v>
      </c>
      <c r="T73">
        <f>IF(BD72&lt;=0,0,IF(ROUND(BD72*(1+'Calc base'!R73),2)-MAX('Calc base'!M$12,ROUND('Calc base'!M$13*BD72,2))&lt;1,ROUND(BD72*(1+'Calc base'!R73),2),MAX('Calc base'!M$12,ROUND('Calc base'!M$13*BD72,2))))</f>
        <v>0</v>
      </c>
      <c r="U73">
        <f>IF(BE72&lt;=0,0,IF(ROUND(BE72*(1+'Calc base'!S73),2)-MAX('Calc base'!N$12,ROUND('Calc base'!N$13*BE72,2))&lt;1,ROUND(BE72*(1+'Calc base'!S73),2),MAX('Calc base'!N$12,ROUND('Calc base'!N$13*BE72,2))))</f>
        <v>0</v>
      </c>
      <c r="V73">
        <f>MAX(0,ROUND(AT72*(1+'Calc base'!H73),2)-J73-'Calc base'!T73)</f>
        <v>0</v>
      </c>
      <c r="W73">
        <f>MAX(0,ROUND(AU72*(1+'Calc base'!I73),2)-K73-'Calc base'!U73)</f>
        <v>0</v>
      </c>
      <c r="X73">
        <f>MAX(0,ROUND(AV72*(1+'Calc base'!J73),2)-L73-'Calc base'!V73)</f>
        <v>0</v>
      </c>
      <c r="Y73">
        <f>MAX(0,ROUND(AW72*(1+'Calc base'!K73),2)-M73-'Calc base'!W73)</f>
        <v>0</v>
      </c>
      <c r="Z73">
        <f>MAX(0,ROUND(AX72*(1+'Calc base'!L73),2)-N73-'Calc base'!X73)</f>
        <v>0</v>
      </c>
      <c r="AA73">
        <f>MAX(0,ROUND(AY72*(1+'Calc base'!M73),2)-O73-'Calc base'!Y73)</f>
        <v>0</v>
      </c>
      <c r="AB73">
        <f>MAX(0,ROUND(AZ72*(1+'Calc base'!N73),2)-P73-'Calc base'!Z73)</f>
        <v>0</v>
      </c>
      <c r="AC73">
        <f>MAX(0,ROUND(BA72*(1+'Calc base'!O73),2)-Q73-'Calc base'!AA73)</f>
        <v>0</v>
      </c>
      <c r="AD73">
        <f>MAX(0,ROUND(BB72*(1+'Calc base'!P73),2)-R73-'Calc base'!AB73)</f>
        <v>0</v>
      </c>
      <c r="AE73">
        <f>MAX(0,ROUND(BC72*(1+'Calc base'!Q73),2)-S73-'Calc base'!AC73)</f>
        <v>0</v>
      </c>
      <c r="AF73">
        <f>MAX(0,ROUND(BD72*(1+'Calc base'!R73),2)-T73-'Calc base'!AD73)</f>
        <v>0</v>
      </c>
      <c r="AG73">
        <f>MAX(0,ROUND(BE72*(1+'Calc base'!S73),2)-U73-'Calc base'!AE73)</f>
        <v>0</v>
      </c>
      <c r="AH73">
        <f>IF('Calc base'!C$14=0,0,MIN(V73,MAX(0,$E73-SUMPRODUCT($V73:$AG73,'Calc base'!$C$14:$N$14,('Calc base'!$H73:$S73&gt;'Calc base'!H73)+('Calc base'!$H73:$S73='Calc base'!H73)*('Calc base'!$C$17:$N$17&lt;'Calc base'!C$17)))))</f>
        <v>0</v>
      </c>
      <c r="AI73">
        <f>IF('Calc base'!D$14=0,0,MIN(W73,MAX(0,$E73-SUMPRODUCT($V73:$AG73,'Calc base'!$C$14:$N$14,('Calc base'!$H73:$S73&gt;'Calc base'!I73)+('Calc base'!$H73:$S73='Calc base'!I73)*('Calc base'!$C$17:$N$17&lt;'Calc base'!D$17)))))</f>
        <v>0</v>
      </c>
      <c r="AJ73">
        <f>IF('Calc base'!E$14=0,0,MIN(X73,MAX(0,$E73-SUMPRODUCT($V73:$AG73,'Calc base'!$C$14:$N$14,('Calc base'!$H73:$S73&gt;'Calc base'!J73)+('Calc base'!$H73:$S73='Calc base'!J73)*('Calc base'!$C$17:$N$17&lt;'Calc base'!E$17)))))</f>
        <v>0</v>
      </c>
      <c r="AK73">
        <f>IF('Calc base'!F$14=0,0,MIN(Y73,MAX(0,$E73-SUMPRODUCT($V73:$AG73,'Calc base'!$C$14:$N$14,('Calc base'!$H73:$S73&gt;'Calc base'!K73)+('Calc base'!$H73:$S73='Calc base'!K73)*('Calc base'!$C$17:$N$17&lt;'Calc base'!F$17)))))</f>
        <v>0</v>
      </c>
      <c r="AL73">
        <f>IF('Calc base'!G$14=0,0,MIN(Z73,MAX(0,$E73-SUMPRODUCT($V73:$AG73,'Calc base'!$C$14:$N$14,('Calc base'!$H73:$S73&gt;'Calc base'!L73)+('Calc base'!$H73:$S73='Calc base'!L73)*('Calc base'!$C$17:$N$17&lt;'Calc base'!G$17)))))</f>
        <v>0</v>
      </c>
      <c r="AM73">
        <f>IF('Calc base'!H$14=0,0,MIN(AA73,MAX(0,$E73-SUMPRODUCT($V73:$AG73,'Calc base'!$C$14:$N$14,('Calc base'!$H73:$S73&gt;'Calc base'!M73)+('Calc base'!$H73:$S73='Calc base'!M73)*('Calc base'!$C$17:$N$17&lt;'Calc base'!H$17)))))</f>
        <v>0</v>
      </c>
      <c r="AN73">
        <f>IF('Calc base'!I$14=0,0,MIN(AB73,MAX(0,$E73-SUMPRODUCT($V73:$AG73,'Calc base'!$C$14:$N$14,('Calc base'!$H73:$S73&gt;'Calc base'!N73)+('Calc base'!$H73:$S73='Calc base'!N73)*('Calc base'!$C$17:$N$17&lt;'Calc base'!I$17)))))</f>
        <v>0</v>
      </c>
      <c r="AO73">
        <f>IF('Calc base'!J$14=0,0,MIN(AC73,MAX(0,$E73-SUMPRODUCT($V73:$AG73,'Calc base'!$C$14:$N$14,('Calc base'!$H73:$S73&gt;'Calc base'!O73)+('Calc base'!$H73:$S73='Calc base'!O73)*('Calc base'!$C$17:$N$17&lt;'Calc base'!J$17)))))</f>
        <v>0</v>
      </c>
      <c r="AP73">
        <f>IF('Calc base'!K$14=0,0,MIN(AD73,MAX(0,$E73-SUMPRODUCT($V73:$AG73,'Calc base'!$C$14:$N$14,('Calc base'!$H73:$S73&gt;'Calc base'!P73)+('Calc base'!$H73:$S73='Calc base'!P73)*('Calc base'!$C$17:$N$17&lt;'Calc base'!K$17)))))</f>
        <v>0</v>
      </c>
      <c r="AQ73">
        <f>IF('Calc base'!L$14=0,0,MIN(AE73,MAX(0,$E73-SUMPRODUCT($V73:$AG73,'Calc base'!$C$14:$N$14,('Calc base'!$H73:$S73&gt;'Calc base'!Q73)+('Calc base'!$H73:$S73='Calc base'!Q73)*('Calc base'!$C$17:$N$17&lt;'Calc base'!L$17)))))</f>
        <v>0</v>
      </c>
      <c r="AR73">
        <f>IF('Calc base'!M$14=0,0,MIN(AF73,MAX(0,$E73-SUMPRODUCT($V73:$AG73,'Calc base'!$C$14:$N$14,('Calc base'!$H73:$S73&gt;'Calc base'!R73)+('Calc base'!$H73:$S73='Calc base'!R73)*('Calc base'!$C$17:$N$17&lt;'Calc base'!M$17)))))</f>
        <v>0</v>
      </c>
      <c r="AS73">
        <f>IF('Calc base'!N$14=0,0,MIN(AG73,MAX(0,$E73-SUMPRODUCT($V73:$AG73,'Calc base'!$C$14:$N$14,('Calc base'!$H73:$S73&gt;'Calc base'!S73)+('Calc base'!$H73:$S73='Calc base'!S73)*('Calc base'!$C$17:$N$17&lt;'Calc base'!N$17)))))</f>
        <v>0</v>
      </c>
      <c r="AT73">
        <f>V73-AH73</f>
        <v>0</v>
      </c>
      <c r="AU73">
        <f>W73-AI73</f>
        <v>0</v>
      </c>
      <c r="AV73">
        <f>X73-AJ73</f>
        <v>0</v>
      </c>
      <c r="AW73">
        <f>Y73-AK73</f>
        <v>0</v>
      </c>
      <c r="AX73">
        <f>Z73-AL73</f>
        <v>0</v>
      </c>
      <c r="AY73">
        <f>AA73-AM73</f>
        <v>0</v>
      </c>
      <c r="AZ73">
        <f>AB73-AN73</f>
        <v>0</v>
      </c>
      <c r="BA73">
        <f>AC73-AO73</f>
        <v>0</v>
      </c>
      <c r="BB73">
        <f>AD73-AP73</f>
        <v>0</v>
      </c>
      <c r="BC73">
        <f>AE73-AQ73</f>
        <v>0</v>
      </c>
      <c r="BD73">
        <f>AF73-AR73</f>
        <v>0</v>
      </c>
      <c r="BE73">
        <f>AG73-AS73</f>
        <v>0</v>
      </c>
    </row>
    <row r="74">
      <c r="A74" t="n">
        <v>44</v>
      </c>
      <c r="B74">
        <f>SUMPRODUCT(ROUND($AT73:$BE73*(1+'Calc base'!$H74:$S74),2))</f>
        <v>0</v>
      </c>
      <c r="C74">
        <f>SUM(J74:U74)</f>
        <v>0</v>
      </c>
      <c r="D74">
        <f>SUM(V74:AG74)</f>
        <v>0</v>
      </c>
      <c r="E74">
        <f>MAX(0,IF(Impostazioni!$B$7="No",'Calc base'!$C74-$C$31,'Calc base'!$C74-C74)+'Calc base'!$G74+'Calc base'!$F74-(B74-C74-D74))</f>
        <v>900</v>
      </c>
      <c r="F74">
        <f>SUM(AH74:AS74)</f>
        <v>0</v>
      </c>
      <c r="G74">
        <f>SUM(AT74:BE74)</f>
        <v>0</v>
      </c>
      <c r="H74">
        <f>B74-G73</f>
        <v>0</v>
      </c>
      <c r="I74">
        <f>B74-G74</f>
        <v>0</v>
      </c>
      <c r="J74">
        <f>IF(AT73&lt;=0,0,IF(ROUND(AT73*(1+'Calc base'!H74),2)-MAX('Calc base'!C$12,ROUND('Calc base'!C$13*AT73,2))&lt;1,ROUND(AT73*(1+'Calc base'!H74),2),MAX('Calc base'!C$12,ROUND('Calc base'!C$13*AT73,2))))</f>
        <v>0</v>
      </c>
      <c r="K74">
        <f>IF(AU73&lt;=0,0,IF(ROUND(AU73*(1+'Calc base'!I74),2)-MAX('Calc base'!D$12,ROUND('Calc base'!D$13*AU73,2))&lt;1,ROUND(AU73*(1+'Calc base'!I74),2),MAX('Calc base'!D$12,ROUND('Calc base'!D$13*AU73,2))))</f>
        <v>0</v>
      </c>
      <c r="L74">
        <f>IF(AV73&lt;=0,0,IF(ROUND(AV73*(1+'Calc base'!J74),2)-MAX('Calc base'!E$12,ROUND('Calc base'!E$13*AV73,2))&lt;1,ROUND(AV73*(1+'Calc base'!J74),2),MAX('Calc base'!E$12,ROUND('Calc base'!E$13*AV73,2))))</f>
        <v>0</v>
      </c>
      <c r="M74">
        <f>IF(AW73&lt;=0,0,IF(ROUND(AW73*(1+'Calc base'!K74),2)-MAX('Calc base'!F$12,ROUND('Calc base'!F$13*AW73,2))&lt;1,ROUND(AW73*(1+'Calc base'!K74),2),MAX('Calc base'!F$12,ROUND('Calc base'!F$13*AW73,2))))</f>
        <v>0</v>
      </c>
      <c r="N74">
        <f>IF(AX73&lt;=0,0,IF(ROUND(AX73*(1+'Calc base'!L74),2)-MAX('Calc base'!G$12,ROUND('Calc base'!G$13*AX73,2))&lt;1,ROUND(AX73*(1+'Calc base'!L74),2),MAX('Calc base'!G$12,ROUND('Calc base'!G$13*AX73,2))))</f>
        <v>0</v>
      </c>
      <c r="O74">
        <f>IF(AY73&lt;=0,0,IF(ROUND(AY73*(1+'Calc base'!M74),2)-MAX('Calc base'!H$12,ROUND('Calc base'!H$13*AY73,2))&lt;1,ROUND(AY73*(1+'Calc base'!M74),2),MAX('Calc base'!H$12,ROUND('Calc base'!H$13*AY73,2))))</f>
        <v>0</v>
      </c>
      <c r="P74">
        <f>IF(AZ73&lt;=0,0,IF(ROUND(AZ73*(1+'Calc base'!N74),2)-MAX('Calc base'!I$12,ROUND('Calc base'!I$13*AZ73,2))&lt;1,ROUND(AZ73*(1+'Calc base'!N74),2),MAX('Calc base'!I$12,ROUND('Calc base'!I$13*AZ73,2))))</f>
        <v>0</v>
      </c>
      <c r="Q74">
        <f>IF(BA73&lt;=0,0,IF(ROUND(BA73*(1+'Calc base'!O74),2)-MAX('Calc base'!J$12,ROUND('Calc base'!J$13*BA73,2))&lt;1,ROUND(BA73*(1+'Calc base'!O74),2),MAX('Calc base'!J$12,ROUND('Calc base'!J$13*BA73,2))))</f>
        <v>0</v>
      </c>
      <c r="R74">
        <f>IF(BB73&lt;=0,0,IF(ROUND(BB73*(1+'Calc base'!P74),2)-MAX('Calc base'!K$12,ROUND('Calc base'!K$13*BB73,2))&lt;1,ROUND(BB73*(1+'Calc base'!P74),2),MAX('Calc base'!K$12,ROUND('Calc base'!K$13*BB73,2))))</f>
        <v>0</v>
      </c>
      <c r="S74">
        <f>IF(BC73&lt;=0,0,IF(ROUND(BC73*(1+'Calc base'!Q74),2)-MAX('Calc base'!L$12,ROUND('Calc base'!L$13*BC73,2))&lt;1,ROUND(BC73*(1+'Calc base'!Q74),2),MAX('Calc base'!L$12,ROUND('Calc base'!L$13*BC73,2))))</f>
        <v>0</v>
      </c>
      <c r="T74">
        <f>IF(BD73&lt;=0,0,IF(ROUND(BD73*(1+'Calc base'!R74),2)-MAX('Calc base'!M$12,ROUND('Calc base'!M$13*BD73,2))&lt;1,ROUND(BD73*(1+'Calc base'!R74),2),MAX('Calc base'!M$12,ROUND('Calc base'!M$13*BD73,2))))</f>
        <v>0</v>
      </c>
      <c r="U74">
        <f>IF(BE73&lt;=0,0,IF(ROUND(BE73*(1+'Calc base'!S74),2)-MAX('Calc base'!N$12,ROUND('Calc base'!N$13*BE73,2))&lt;1,ROUND(BE73*(1+'Calc base'!S74),2),MAX('Calc base'!N$12,ROUND('Calc base'!N$13*BE73,2))))</f>
        <v>0</v>
      </c>
      <c r="V74">
        <f>MAX(0,ROUND(AT73*(1+'Calc base'!H74),2)-J74-'Calc base'!T74)</f>
        <v>0</v>
      </c>
      <c r="W74">
        <f>MAX(0,ROUND(AU73*(1+'Calc base'!I74),2)-K74-'Calc base'!U74)</f>
        <v>0</v>
      </c>
      <c r="X74">
        <f>MAX(0,ROUND(AV73*(1+'Calc base'!J74),2)-L74-'Calc base'!V74)</f>
        <v>0</v>
      </c>
      <c r="Y74">
        <f>MAX(0,ROUND(AW73*(1+'Calc base'!K74),2)-M74-'Calc base'!W74)</f>
        <v>0</v>
      </c>
      <c r="Z74">
        <f>MAX(0,ROUND(AX73*(1+'Calc base'!L74),2)-N74-'Calc base'!X74)</f>
        <v>0</v>
      </c>
      <c r="AA74">
        <f>MAX(0,ROUND(AY73*(1+'Calc base'!M74),2)-O74-'Calc base'!Y74)</f>
        <v>0</v>
      </c>
      <c r="AB74">
        <f>MAX(0,ROUND(AZ73*(1+'Calc base'!N74),2)-P74-'Calc base'!Z74)</f>
        <v>0</v>
      </c>
      <c r="AC74">
        <f>MAX(0,ROUND(BA73*(1+'Calc base'!O74),2)-Q74-'Calc base'!AA74)</f>
        <v>0</v>
      </c>
      <c r="AD74">
        <f>MAX(0,ROUND(BB73*(1+'Calc base'!P74),2)-R74-'Calc base'!AB74)</f>
        <v>0</v>
      </c>
      <c r="AE74">
        <f>MAX(0,ROUND(BC73*(1+'Calc base'!Q74),2)-S74-'Calc base'!AC74)</f>
        <v>0</v>
      </c>
      <c r="AF74">
        <f>MAX(0,ROUND(BD73*(1+'Calc base'!R74),2)-T74-'Calc base'!AD74)</f>
        <v>0</v>
      </c>
      <c r="AG74">
        <f>MAX(0,ROUND(BE73*(1+'Calc base'!S74),2)-U74-'Calc base'!AE74)</f>
        <v>0</v>
      </c>
      <c r="AH74">
        <f>IF('Calc base'!C$14=0,0,MIN(V74,MAX(0,$E74-SUMPRODUCT($V74:$AG74,'Calc base'!$C$14:$N$14,('Calc base'!$H74:$S74&gt;'Calc base'!H74)+('Calc base'!$H74:$S74='Calc base'!H74)*('Calc base'!$C$17:$N$17&lt;'Calc base'!C$17)))))</f>
        <v>0</v>
      </c>
      <c r="AI74">
        <f>IF('Calc base'!D$14=0,0,MIN(W74,MAX(0,$E74-SUMPRODUCT($V74:$AG74,'Calc base'!$C$14:$N$14,('Calc base'!$H74:$S74&gt;'Calc base'!I74)+('Calc base'!$H74:$S74='Calc base'!I74)*('Calc base'!$C$17:$N$17&lt;'Calc base'!D$17)))))</f>
        <v>0</v>
      </c>
      <c r="AJ74">
        <f>IF('Calc base'!E$14=0,0,MIN(X74,MAX(0,$E74-SUMPRODUCT($V74:$AG74,'Calc base'!$C$14:$N$14,('Calc base'!$H74:$S74&gt;'Calc base'!J74)+('Calc base'!$H74:$S74='Calc base'!J74)*('Calc base'!$C$17:$N$17&lt;'Calc base'!E$17)))))</f>
        <v>0</v>
      </c>
      <c r="AK74">
        <f>IF('Calc base'!F$14=0,0,MIN(Y74,MAX(0,$E74-SUMPRODUCT($V74:$AG74,'Calc base'!$C$14:$N$14,('Calc base'!$H74:$S74&gt;'Calc base'!K74)+('Calc base'!$H74:$S74='Calc base'!K74)*('Calc base'!$C$17:$N$17&lt;'Calc base'!F$17)))))</f>
        <v>0</v>
      </c>
      <c r="AL74">
        <f>IF('Calc base'!G$14=0,0,MIN(Z74,MAX(0,$E74-SUMPRODUCT($V74:$AG74,'Calc base'!$C$14:$N$14,('Calc base'!$H74:$S74&gt;'Calc base'!L74)+('Calc base'!$H74:$S74='Calc base'!L74)*('Calc base'!$C$17:$N$17&lt;'Calc base'!G$17)))))</f>
        <v>0</v>
      </c>
      <c r="AM74">
        <f>IF('Calc base'!H$14=0,0,MIN(AA74,MAX(0,$E74-SUMPRODUCT($V74:$AG74,'Calc base'!$C$14:$N$14,('Calc base'!$H74:$S74&gt;'Calc base'!M74)+('Calc base'!$H74:$S74='Calc base'!M74)*('Calc base'!$C$17:$N$17&lt;'Calc base'!H$17)))))</f>
        <v>0</v>
      </c>
      <c r="AN74">
        <f>IF('Calc base'!I$14=0,0,MIN(AB74,MAX(0,$E74-SUMPRODUCT($V74:$AG74,'Calc base'!$C$14:$N$14,('Calc base'!$H74:$S74&gt;'Calc base'!N74)+('Calc base'!$H74:$S74='Calc base'!N74)*('Calc base'!$C$17:$N$17&lt;'Calc base'!I$17)))))</f>
        <v>0</v>
      </c>
      <c r="AO74">
        <f>IF('Calc base'!J$14=0,0,MIN(AC74,MAX(0,$E74-SUMPRODUCT($V74:$AG74,'Calc base'!$C$14:$N$14,('Calc base'!$H74:$S74&gt;'Calc base'!O74)+('Calc base'!$H74:$S74='Calc base'!O74)*('Calc base'!$C$17:$N$17&lt;'Calc base'!J$17)))))</f>
        <v>0</v>
      </c>
      <c r="AP74">
        <f>IF('Calc base'!K$14=0,0,MIN(AD74,MAX(0,$E74-SUMPRODUCT($V74:$AG74,'Calc base'!$C$14:$N$14,('Calc base'!$H74:$S74&gt;'Calc base'!P74)+('Calc base'!$H74:$S74='Calc base'!P74)*('Calc base'!$C$17:$N$17&lt;'Calc base'!K$17)))))</f>
        <v>0</v>
      </c>
      <c r="AQ74">
        <f>IF('Calc base'!L$14=0,0,MIN(AE74,MAX(0,$E74-SUMPRODUCT($V74:$AG74,'Calc base'!$C$14:$N$14,('Calc base'!$H74:$S74&gt;'Calc base'!Q74)+('Calc base'!$H74:$S74='Calc base'!Q74)*('Calc base'!$C$17:$N$17&lt;'Calc base'!L$17)))))</f>
        <v>0</v>
      </c>
      <c r="AR74">
        <f>IF('Calc base'!M$14=0,0,MIN(AF74,MAX(0,$E74-SUMPRODUCT($V74:$AG74,'Calc base'!$C$14:$N$14,('Calc base'!$H74:$S74&gt;'Calc base'!R74)+('Calc base'!$H74:$S74='Calc base'!R74)*('Calc base'!$C$17:$N$17&lt;'Calc base'!M$17)))))</f>
        <v>0</v>
      </c>
      <c r="AS74">
        <f>IF('Calc base'!N$14=0,0,MIN(AG74,MAX(0,$E74-SUMPRODUCT($V74:$AG74,'Calc base'!$C$14:$N$14,('Calc base'!$H74:$S74&gt;'Calc base'!S74)+('Calc base'!$H74:$S74='Calc base'!S74)*('Calc base'!$C$17:$N$17&lt;'Calc base'!N$17)))))</f>
        <v>0</v>
      </c>
      <c r="AT74">
        <f>V74-AH74</f>
        <v>0</v>
      </c>
      <c r="AU74">
        <f>W74-AI74</f>
        <v>0</v>
      </c>
      <c r="AV74">
        <f>X74-AJ74</f>
        <v>0</v>
      </c>
      <c r="AW74">
        <f>Y74-AK74</f>
        <v>0</v>
      </c>
      <c r="AX74">
        <f>Z74-AL74</f>
        <v>0</v>
      </c>
      <c r="AY74">
        <f>AA74-AM74</f>
        <v>0</v>
      </c>
      <c r="AZ74">
        <f>AB74-AN74</f>
        <v>0</v>
      </c>
      <c r="BA74">
        <f>AC74-AO74</f>
        <v>0</v>
      </c>
      <c r="BB74">
        <f>AD74-AP74</f>
        <v>0</v>
      </c>
      <c r="BC74">
        <f>AE74-AQ74</f>
        <v>0</v>
      </c>
      <c r="BD74">
        <f>AF74-AR74</f>
        <v>0</v>
      </c>
      <c r="BE74">
        <f>AG74-AS74</f>
        <v>0</v>
      </c>
    </row>
    <row r="75">
      <c r="A75" t="n">
        <v>45</v>
      </c>
      <c r="B75">
        <f>SUMPRODUCT(ROUND($AT74:$BE74*(1+'Calc base'!$H75:$S75),2))</f>
        <v>0</v>
      </c>
      <c r="C75">
        <f>SUM(J75:U75)</f>
        <v>0</v>
      </c>
      <c r="D75">
        <f>SUM(V75:AG75)</f>
        <v>0</v>
      </c>
      <c r="E75">
        <f>MAX(0,IF(Impostazioni!$B$7="No",'Calc base'!$C75-$C$31,'Calc base'!$C75-C75)+'Calc base'!$G75+'Calc base'!$F75-(B75-C75-D75))</f>
        <v>900</v>
      </c>
      <c r="F75">
        <f>SUM(AH75:AS75)</f>
        <v>0</v>
      </c>
      <c r="G75">
        <f>SUM(AT75:BE75)</f>
        <v>0</v>
      </c>
      <c r="H75">
        <f>B75-G74</f>
        <v>0</v>
      </c>
      <c r="I75">
        <f>B75-G75</f>
        <v>0</v>
      </c>
      <c r="J75">
        <f>IF(AT74&lt;=0,0,IF(ROUND(AT74*(1+'Calc base'!H75),2)-MAX('Calc base'!C$12,ROUND('Calc base'!C$13*AT74,2))&lt;1,ROUND(AT74*(1+'Calc base'!H75),2),MAX('Calc base'!C$12,ROUND('Calc base'!C$13*AT74,2))))</f>
        <v>0</v>
      </c>
      <c r="K75">
        <f>IF(AU74&lt;=0,0,IF(ROUND(AU74*(1+'Calc base'!I75),2)-MAX('Calc base'!D$12,ROUND('Calc base'!D$13*AU74,2))&lt;1,ROUND(AU74*(1+'Calc base'!I75),2),MAX('Calc base'!D$12,ROUND('Calc base'!D$13*AU74,2))))</f>
        <v>0</v>
      </c>
      <c r="L75">
        <f>IF(AV74&lt;=0,0,IF(ROUND(AV74*(1+'Calc base'!J75),2)-MAX('Calc base'!E$12,ROUND('Calc base'!E$13*AV74,2))&lt;1,ROUND(AV74*(1+'Calc base'!J75),2),MAX('Calc base'!E$12,ROUND('Calc base'!E$13*AV74,2))))</f>
        <v>0</v>
      </c>
      <c r="M75">
        <f>IF(AW74&lt;=0,0,IF(ROUND(AW74*(1+'Calc base'!K75),2)-MAX('Calc base'!F$12,ROUND('Calc base'!F$13*AW74,2))&lt;1,ROUND(AW74*(1+'Calc base'!K75),2),MAX('Calc base'!F$12,ROUND('Calc base'!F$13*AW74,2))))</f>
        <v>0</v>
      </c>
      <c r="N75">
        <f>IF(AX74&lt;=0,0,IF(ROUND(AX74*(1+'Calc base'!L75),2)-MAX('Calc base'!G$12,ROUND('Calc base'!G$13*AX74,2))&lt;1,ROUND(AX74*(1+'Calc base'!L75),2),MAX('Calc base'!G$12,ROUND('Calc base'!G$13*AX74,2))))</f>
        <v>0</v>
      </c>
      <c r="O75">
        <f>IF(AY74&lt;=0,0,IF(ROUND(AY74*(1+'Calc base'!M75),2)-MAX('Calc base'!H$12,ROUND('Calc base'!H$13*AY74,2))&lt;1,ROUND(AY74*(1+'Calc base'!M75),2),MAX('Calc base'!H$12,ROUND('Calc base'!H$13*AY74,2))))</f>
        <v>0</v>
      </c>
      <c r="P75">
        <f>IF(AZ74&lt;=0,0,IF(ROUND(AZ74*(1+'Calc base'!N75),2)-MAX('Calc base'!I$12,ROUND('Calc base'!I$13*AZ74,2))&lt;1,ROUND(AZ74*(1+'Calc base'!N75),2),MAX('Calc base'!I$12,ROUND('Calc base'!I$13*AZ74,2))))</f>
        <v>0</v>
      </c>
      <c r="Q75">
        <f>IF(BA74&lt;=0,0,IF(ROUND(BA74*(1+'Calc base'!O75),2)-MAX('Calc base'!J$12,ROUND('Calc base'!J$13*BA74,2))&lt;1,ROUND(BA74*(1+'Calc base'!O75),2),MAX('Calc base'!J$12,ROUND('Calc base'!J$13*BA74,2))))</f>
        <v>0</v>
      </c>
      <c r="R75">
        <f>IF(BB74&lt;=0,0,IF(ROUND(BB74*(1+'Calc base'!P75),2)-MAX('Calc base'!K$12,ROUND('Calc base'!K$13*BB74,2))&lt;1,ROUND(BB74*(1+'Calc base'!P75),2),MAX('Calc base'!K$12,ROUND('Calc base'!K$13*BB74,2))))</f>
        <v>0</v>
      </c>
      <c r="S75">
        <f>IF(BC74&lt;=0,0,IF(ROUND(BC74*(1+'Calc base'!Q75),2)-MAX('Calc base'!L$12,ROUND('Calc base'!L$13*BC74,2))&lt;1,ROUND(BC74*(1+'Calc base'!Q75),2),MAX('Calc base'!L$12,ROUND('Calc base'!L$13*BC74,2))))</f>
        <v>0</v>
      </c>
      <c r="T75">
        <f>IF(BD74&lt;=0,0,IF(ROUND(BD74*(1+'Calc base'!R75),2)-MAX('Calc base'!M$12,ROUND('Calc base'!M$13*BD74,2))&lt;1,ROUND(BD74*(1+'Calc base'!R75),2),MAX('Calc base'!M$12,ROUND('Calc base'!M$13*BD74,2))))</f>
        <v>0</v>
      </c>
      <c r="U75">
        <f>IF(BE74&lt;=0,0,IF(ROUND(BE74*(1+'Calc base'!S75),2)-MAX('Calc base'!N$12,ROUND('Calc base'!N$13*BE74,2))&lt;1,ROUND(BE74*(1+'Calc base'!S75),2),MAX('Calc base'!N$12,ROUND('Calc base'!N$13*BE74,2))))</f>
        <v>0</v>
      </c>
      <c r="V75">
        <f>MAX(0,ROUND(AT74*(1+'Calc base'!H75),2)-J75-'Calc base'!T75)</f>
        <v>0</v>
      </c>
      <c r="W75">
        <f>MAX(0,ROUND(AU74*(1+'Calc base'!I75),2)-K75-'Calc base'!U75)</f>
        <v>0</v>
      </c>
      <c r="X75">
        <f>MAX(0,ROUND(AV74*(1+'Calc base'!J75),2)-L75-'Calc base'!V75)</f>
        <v>0</v>
      </c>
      <c r="Y75">
        <f>MAX(0,ROUND(AW74*(1+'Calc base'!K75),2)-M75-'Calc base'!W75)</f>
        <v>0</v>
      </c>
      <c r="Z75">
        <f>MAX(0,ROUND(AX74*(1+'Calc base'!L75),2)-N75-'Calc base'!X75)</f>
        <v>0</v>
      </c>
      <c r="AA75">
        <f>MAX(0,ROUND(AY74*(1+'Calc base'!M75),2)-O75-'Calc base'!Y75)</f>
        <v>0</v>
      </c>
      <c r="AB75">
        <f>MAX(0,ROUND(AZ74*(1+'Calc base'!N75),2)-P75-'Calc base'!Z75)</f>
        <v>0</v>
      </c>
      <c r="AC75">
        <f>MAX(0,ROUND(BA74*(1+'Calc base'!O75),2)-Q75-'Calc base'!AA75)</f>
        <v>0</v>
      </c>
      <c r="AD75">
        <f>MAX(0,ROUND(BB74*(1+'Calc base'!P75),2)-R75-'Calc base'!AB75)</f>
        <v>0</v>
      </c>
      <c r="AE75">
        <f>MAX(0,ROUND(BC74*(1+'Calc base'!Q75),2)-S75-'Calc base'!AC75)</f>
        <v>0</v>
      </c>
      <c r="AF75">
        <f>MAX(0,ROUND(BD74*(1+'Calc base'!R75),2)-T75-'Calc base'!AD75)</f>
        <v>0</v>
      </c>
      <c r="AG75">
        <f>MAX(0,ROUND(BE74*(1+'Calc base'!S75),2)-U75-'Calc base'!AE75)</f>
        <v>0</v>
      </c>
      <c r="AH75">
        <f>IF('Calc base'!C$14=0,0,MIN(V75,MAX(0,$E75-SUMPRODUCT($V75:$AG75,'Calc base'!$C$14:$N$14,('Calc base'!$H75:$S75&gt;'Calc base'!H75)+('Calc base'!$H75:$S75='Calc base'!H75)*('Calc base'!$C$17:$N$17&lt;'Calc base'!C$17)))))</f>
        <v>0</v>
      </c>
      <c r="AI75">
        <f>IF('Calc base'!D$14=0,0,MIN(W75,MAX(0,$E75-SUMPRODUCT($V75:$AG75,'Calc base'!$C$14:$N$14,('Calc base'!$H75:$S75&gt;'Calc base'!I75)+('Calc base'!$H75:$S75='Calc base'!I75)*('Calc base'!$C$17:$N$17&lt;'Calc base'!D$17)))))</f>
        <v>0</v>
      </c>
      <c r="AJ75">
        <f>IF('Calc base'!E$14=0,0,MIN(X75,MAX(0,$E75-SUMPRODUCT($V75:$AG75,'Calc base'!$C$14:$N$14,('Calc base'!$H75:$S75&gt;'Calc base'!J75)+('Calc base'!$H75:$S75='Calc base'!J75)*('Calc base'!$C$17:$N$17&lt;'Calc base'!E$17)))))</f>
        <v>0</v>
      </c>
      <c r="AK75">
        <f>IF('Calc base'!F$14=0,0,MIN(Y75,MAX(0,$E75-SUMPRODUCT($V75:$AG75,'Calc base'!$C$14:$N$14,('Calc base'!$H75:$S75&gt;'Calc base'!K75)+('Calc base'!$H75:$S75='Calc base'!K75)*('Calc base'!$C$17:$N$17&lt;'Calc base'!F$17)))))</f>
        <v>0</v>
      </c>
      <c r="AL75">
        <f>IF('Calc base'!G$14=0,0,MIN(Z75,MAX(0,$E75-SUMPRODUCT($V75:$AG75,'Calc base'!$C$14:$N$14,('Calc base'!$H75:$S75&gt;'Calc base'!L75)+('Calc base'!$H75:$S75='Calc base'!L75)*('Calc base'!$C$17:$N$17&lt;'Calc base'!G$17)))))</f>
        <v>0</v>
      </c>
      <c r="AM75">
        <f>IF('Calc base'!H$14=0,0,MIN(AA75,MAX(0,$E75-SUMPRODUCT($V75:$AG75,'Calc base'!$C$14:$N$14,('Calc base'!$H75:$S75&gt;'Calc base'!M75)+('Calc base'!$H75:$S75='Calc base'!M75)*('Calc base'!$C$17:$N$17&lt;'Calc base'!H$17)))))</f>
        <v>0</v>
      </c>
      <c r="AN75">
        <f>IF('Calc base'!I$14=0,0,MIN(AB75,MAX(0,$E75-SUMPRODUCT($V75:$AG75,'Calc base'!$C$14:$N$14,('Calc base'!$H75:$S75&gt;'Calc base'!N75)+('Calc base'!$H75:$S75='Calc base'!N75)*('Calc base'!$C$17:$N$17&lt;'Calc base'!I$17)))))</f>
        <v>0</v>
      </c>
      <c r="AO75">
        <f>IF('Calc base'!J$14=0,0,MIN(AC75,MAX(0,$E75-SUMPRODUCT($V75:$AG75,'Calc base'!$C$14:$N$14,('Calc base'!$H75:$S75&gt;'Calc base'!O75)+('Calc base'!$H75:$S75='Calc base'!O75)*('Calc base'!$C$17:$N$17&lt;'Calc base'!J$17)))))</f>
        <v>0</v>
      </c>
      <c r="AP75">
        <f>IF('Calc base'!K$14=0,0,MIN(AD75,MAX(0,$E75-SUMPRODUCT($V75:$AG75,'Calc base'!$C$14:$N$14,('Calc base'!$H75:$S75&gt;'Calc base'!P75)+('Calc base'!$H75:$S75='Calc base'!P75)*('Calc base'!$C$17:$N$17&lt;'Calc base'!K$17)))))</f>
        <v>0</v>
      </c>
      <c r="AQ75">
        <f>IF('Calc base'!L$14=0,0,MIN(AE75,MAX(0,$E75-SUMPRODUCT($V75:$AG75,'Calc base'!$C$14:$N$14,('Calc base'!$H75:$S75&gt;'Calc base'!Q75)+('Calc base'!$H75:$S75='Calc base'!Q75)*('Calc base'!$C$17:$N$17&lt;'Calc base'!L$17)))))</f>
        <v>0</v>
      </c>
      <c r="AR75">
        <f>IF('Calc base'!M$14=0,0,MIN(AF75,MAX(0,$E75-SUMPRODUCT($V75:$AG75,'Calc base'!$C$14:$N$14,('Calc base'!$H75:$S75&gt;'Calc base'!R75)+('Calc base'!$H75:$S75='Calc base'!R75)*('Calc base'!$C$17:$N$17&lt;'Calc base'!M$17)))))</f>
        <v>0</v>
      </c>
      <c r="AS75">
        <f>IF('Calc base'!N$14=0,0,MIN(AG75,MAX(0,$E75-SUMPRODUCT($V75:$AG75,'Calc base'!$C$14:$N$14,('Calc base'!$H75:$S75&gt;'Calc base'!S75)+('Calc base'!$H75:$S75='Calc base'!S75)*('Calc base'!$C$17:$N$17&lt;'Calc base'!N$17)))))</f>
        <v>0</v>
      </c>
      <c r="AT75">
        <f>V75-AH75</f>
        <v>0</v>
      </c>
      <c r="AU75">
        <f>W75-AI75</f>
        <v>0</v>
      </c>
      <c r="AV75">
        <f>X75-AJ75</f>
        <v>0</v>
      </c>
      <c r="AW75">
        <f>Y75-AK75</f>
        <v>0</v>
      </c>
      <c r="AX75">
        <f>Z75-AL75</f>
        <v>0</v>
      </c>
      <c r="AY75">
        <f>AA75-AM75</f>
        <v>0</v>
      </c>
      <c r="AZ75">
        <f>AB75-AN75</f>
        <v>0</v>
      </c>
      <c r="BA75">
        <f>AC75-AO75</f>
        <v>0</v>
      </c>
      <c r="BB75">
        <f>AD75-AP75</f>
        <v>0</v>
      </c>
      <c r="BC75">
        <f>AE75-AQ75</f>
        <v>0</v>
      </c>
      <c r="BD75">
        <f>AF75-AR75</f>
        <v>0</v>
      </c>
      <c r="BE75">
        <f>AG75-AS75</f>
        <v>0</v>
      </c>
    </row>
    <row r="76">
      <c r="A76" t="n">
        <v>46</v>
      </c>
      <c r="B76">
        <f>SUMPRODUCT(ROUND($AT75:$BE75*(1+'Calc base'!$H76:$S76),2))</f>
        <v>0</v>
      </c>
      <c r="C76">
        <f>SUM(J76:U76)</f>
        <v>0</v>
      </c>
      <c r="D76">
        <f>SUM(V76:AG76)</f>
        <v>0</v>
      </c>
      <c r="E76">
        <f>MAX(0,IF(Impostazioni!$B$7="No",'Calc base'!$C76-$C$31,'Calc base'!$C76-C76)+'Calc base'!$G76+'Calc base'!$F76-(B76-C76-D76))</f>
        <v>900</v>
      </c>
      <c r="F76">
        <f>SUM(AH76:AS76)</f>
        <v>0</v>
      </c>
      <c r="G76">
        <f>SUM(AT76:BE76)</f>
        <v>0</v>
      </c>
      <c r="H76">
        <f>B76-G75</f>
        <v>0</v>
      </c>
      <c r="I76">
        <f>B76-G76</f>
        <v>0</v>
      </c>
      <c r="J76">
        <f>IF(AT75&lt;=0,0,IF(ROUND(AT75*(1+'Calc base'!H76),2)-MAX('Calc base'!C$12,ROUND('Calc base'!C$13*AT75,2))&lt;1,ROUND(AT75*(1+'Calc base'!H76),2),MAX('Calc base'!C$12,ROUND('Calc base'!C$13*AT75,2))))</f>
        <v>0</v>
      </c>
      <c r="K76">
        <f>IF(AU75&lt;=0,0,IF(ROUND(AU75*(1+'Calc base'!I76),2)-MAX('Calc base'!D$12,ROUND('Calc base'!D$13*AU75,2))&lt;1,ROUND(AU75*(1+'Calc base'!I76),2),MAX('Calc base'!D$12,ROUND('Calc base'!D$13*AU75,2))))</f>
        <v>0</v>
      </c>
      <c r="L76">
        <f>IF(AV75&lt;=0,0,IF(ROUND(AV75*(1+'Calc base'!J76),2)-MAX('Calc base'!E$12,ROUND('Calc base'!E$13*AV75,2))&lt;1,ROUND(AV75*(1+'Calc base'!J76),2),MAX('Calc base'!E$12,ROUND('Calc base'!E$13*AV75,2))))</f>
        <v>0</v>
      </c>
      <c r="M76">
        <f>IF(AW75&lt;=0,0,IF(ROUND(AW75*(1+'Calc base'!K76),2)-MAX('Calc base'!F$12,ROUND('Calc base'!F$13*AW75,2))&lt;1,ROUND(AW75*(1+'Calc base'!K76),2),MAX('Calc base'!F$12,ROUND('Calc base'!F$13*AW75,2))))</f>
        <v>0</v>
      </c>
      <c r="N76">
        <f>IF(AX75&lt;=0,0,IF(ROUND(AX75*(1+'Calc base'!L76),2)-MAX('Calc base'!G$12,ROUND('Calc base'!G$13*AX75,2))&lt;1,ROUND(AX75*(1+'Calc base'!L76),2),MAX('Calc base'!G$12,ROUND('Calc base'!G$13*AX75,2))))</f>
        <v>0</v>
      </c>
      <c r="O76">
        <f>IF(AY75&lt;=0,0,IF(ROUND(AY75*(1+'Calc base'!M76),2)-MAX('Calc base'!H$12,ROUND('Calc base'!H$13*AY75,2))&lt;1,ROUND(AY75*(1+'Calc base'!M76),2),MAX('Calc base'!H$12,ROUND('Calc base'!H$13*AY75,2))))</f>
        <v>0</v>
      </c>
      <c r="P76">
        <f>IF(AZ75&lt;=0,0,IF(ROUND(AZ75*(1+'Calc base'!N76),2)-MAX('Calc base'!I$12,ROUND('Calc base'!I$13*AZ75,2))&lt;1,ROUND(AZ75*(1+'Calc base'!N76),2),MAX('Calc base'!I$12,ROUND('Calc base'!I$13*AZ75,2))))</f>
        <v>0</v>
      </c>
      <c r="Q76">
        <f>IF(BA75&lt;=0,0,IF(ROUND(BA75*(1+'Calc base'!O76),2)-MAX('Calc base'!J$12,ROUND('Calc base'!J$13*BA75,2))&lt;1,ROUND(BA75*(1+'Calc base'!O76),2),MAX('Calc base'!J$12,ROUND('Calc base'!J$13*BA75,2))))</f>
        <v>0</v>
      </c>
      <c r="R76">
        <f>IF(BB75&lt;=0,0,IF(ROUND(BB75*(1+'Calc base'!P76),2)-MAX('Calc base'!K$12,ROUND('Calc base'!K$13*BB75,2))&lt;1,ROUND(BB75*(1+'Calc base'!P76),2),MAX('Calc base'!K$12,ROUND('Calc base'!K$13*BB75,2))))</f>
        <v>0</v>
      </c>
      <c r="S76">
        <f>IF(BC75&lt;=0,0,IF(ROUND(BC75*(1+'Calc base'!Q76),2)-MAX('Calc base'!L$12,ROUND('Calc base'!L$13*BC75,2))&lt;1,ROUND(BC75*(1+'Calc base'!Q76),2),MAX('Calc base'!L$12,ROUND('Calc base'!L$13*BC75,2))))</f>
        <v>0</v>
      </c>
      <c r="T76">
        <f>IF(BD75&lt;=0,0,IF(ROUND(BD75*(1+'Calc base'!R76),2)-MAX('Calc base'!M$12,ROUND('Calc base'!M$13*BD75,2))&lt;1,ROUND(BD75*(1+'Calc base'!R76),2),MAX('Calc base'!M$12,ROUND('Calc base'!M$13*BD75,2))))</f>
        <v>0</v>
      </c>
      <c r="U76">
        <f>IF(BE75&lt;=0,0,IF(ROUND(BE75*(1+'Calc base'!S76),2)-MAX('Calc base'!N$12,ROUND('Calc base'!N$13*BE75,2))&lt;1,ROUND(BE75*(1+'Calc base'!S76),2),MAX('Calc base'!N$12,ROUND('Calc base'!N$13*BE75,2))))</f>
        <v>0</v>
      </c>
      <c r="V76">
        <f>MAX(0,ROUND(AT75*(1+'Calc base'!H76),2)-J76-'Calc base'!T76)</f>
        <v>0</v>
      </c>
      <c r="W76">
        <f>MAX(0,ROUND(AU75*(1+'Calc base'!I76),2)-K76-'Calc base'!U76)</f>
        <v>0</v>
      </c>
      <c r="X76">
        <f>MAX(0,ROUND(AV75*(1+'Calc base'!J76),2)-L76-'Calc base'!V76)</f>
        <v>0</v>
      </c>
      <c r="Y76">
        <f>MAX(0,ROUND(AW75*(1+'Calc base'!K76),2)-M76-'Calc base'!W76)</f>
        <v>0</v>
      </c>
      <c r="Z76">
        <f>MAX(0,ROUND(AX75*(1+'Calc base'!L76),2)-N76-'Calc base'!X76)</f>
        <v>0</v>
      </c>
      <c r="AA76">
        <f>MAX(0,ROUND(AY75*(1+'Calc base'!M76),2)-O76-'Calc base'!Y76)</f>
        <v>0</v>
      </c>
      <c r="AB76">
        <f>MAX(0,ROUND(AZ75*(1+'Calc base'!N76),2)-P76-'Calc base'!Z76)</f>
        <v>0</v>
      </c>
      <c r="AC76">
        <f>MAX(0,ROUND(BA75*(1+'Calc base'!O76),2)-Q76-'Calc base'!AA76)</f>
        <v>0</v>
      </c>
      <c r="AD76">
        <f>MAX(0,ROUND(BB75*(1+'Calc base'!P76),2)-R76-'Calc base'!AB76)</f>
        <v>0</v>
      </c>
      <c r="AE76">
        <f>MAX(0,ROUND(BC75*(1+'Calc base'!Q76),2)-S76-'Calc base'!AC76)</f>
        <v>0</v>
      </c>
      <c r="AF76">
        <f>MAX(0,ROUND(BD75*(1+'Calc base'!R76),2)-T76-'Calc base'!AD76)</f>
        <v>0</v>
      </c>
      <c r="AG76">
        <f>MAX(0,ROUND(BE75*(1+'Calc base'!S76),2)-U76-'Calc base'!AE76)</f>
        <v>0</v>
      </c>
      <c r="AH76">
        <f>IF('Calc base'!C$14=0,0,MIN(V76,MAX(0,$E76-SUMPRODUCT($V76:$AG76,'Calc base'!$C$14:$N$14,('Calc base'!$H76:$S76&gt;'Calc base'!H76)+('Calc base'!$H76:$S76='Calc base'!H76)*('Calc base'!$C$17:$N$17&lt;'Calc base'!C$17)))))</f>
        <v>0</v>
      </c>
      <c r="AI76">
        <f>IF('Calc base'!D$14=0,0,MIN(W76,MAX(0,$E76-SUMPRODUCT($V76:$AG76,'Calc base'!$C$14:$N$14,('Calc base'!$H76:$S76&gt;'Calc base'!I76)+('Calc base'!$H76:$S76='Calc base'!I76)*('Calc base'!$C$17:$N$17&lt;'Calc base'!D$17)))))</f>
        <v>0</v>
      </c>
      <c r="AJ76">
        <f>IF('Calc base'!E$14=0,0,MIN(X76,MAX(0,$E76-SUMPRODUCT($V76:$AG76,'Calc base'!$C$14:$N$14,('Calc base'!$H76:$S76&gt;'Calc base'!J76)+('Calc base'!$H76:$S76='Calc base'!J76)*('Calc base'!$C$17:$N$17&lt;'Calc base'!E$17)))))</f>
        <v>0</v>
      </c>
      <c r="AK76">
        <f>IF('Calc base'!F$14=0,0,MIN(Y76,MAX(0,$E76-SUMPRODUCT($V76:$AG76,'Calc base'!$C$14:$N$14,('Calc base'!$H76:$S76&gt;'Calc base'!K76)+('Calc base'!$H76:$S76='Calc base'!K76)*('Calc base'!$C$17:$N$17&lt;'Calc base'!F$17)))))</f>
        <v>0</v>
      </c>
      <c r="AL76">
        <f>IF('Calc base'!G$14=0,0,MIN(Z76,MAX(0,$E76-SUMPRODUCT($V76:$AG76,'Calc base'!$C$14:$N$14,('Calc base'!$H76:$S76&gt;'Calc base'!L76)+('Calc base'!$H76:$S76='Calc base'!L76)*('Calc base'!$C$17:$N$17&lt;'Calc base'!G$17)))))</f>
        <v>0</v>
      </c>
      <c r="AM76">
        <f>IF('Calc base'!H$14=0,0,MIN(AA76,MAX(0,$E76-SUMPRODUCT($V76:$AG76,'Calc base'!$C$14:$N$14,('Calc base'!$H76:$S76&gt;'Calc base'!M76)+('Calc base'!$H76:$S76='Calc base'!M76)*('Calc base'!$C$17:$N$17&lt;'Calc base'!H$17)))))</f>
        <v>0</v>
      </c>
      <c r="AN76">
        <f>IF('Calc base'!I$14=0,0,MIN(AB76,MAX(0,$E76-SUMPRODUCT($V76:$AG76,'Calc base'!$C$14:$N$14,('Calc base'!$H76:$S76&gt;'Calc base'!N76)+('Calc base'!$H76:$S76='Calc base'!N76)*('Calc base'!$C$17:$N$17&lt;'Calc base'!I$17)))))</f>
        <v>0</v>
      </c>
      <c r="AO76">
        <f>IF('Calc base'!J$14=0,0,MIN(AC76,MAX(0,$E76-SUMPRODUCT($V76:$AG76,'Calc base'!$C$14:$N$14,('Calc base'!$H76:$S76&gt;'Calc base'!O76)+('Calc base'!$H76:$S76='Calc base'!O76)*('Calc base'!$C$17:$N$17&lt;'Calc base'!J$17)))))</f>
        <v>0</v>
      </c>
      <c r="AP76">
        <f>IF('Calc base'!K$14=0,0,MIN(AD76,MAX(0,$E76-SUMPRODUCT($V76:$AG76,'Calc base'!$C$14:$N$14,('Calc base'!$H76:$S76&gt;'Calc base'!P76)+('Calc base'!$H76:$S76='Calc base'!P76)*('Calc base'!$C$17:$N$17&lt;'Calc base'!K$17)))))</f>
        <v>0</v>
      </c>
      <c r="AQ76">
        <f>IF('Calc base'!L$14=0,0,MIN(AE76,MAX(0,$E76-SUMPRODUCT($V76:$AG76,'Calc base'!$C$14:$N$14,('Calc base'!$H76:$S76&gt;'Calc base'!Q76)+('Calc base'!$H76:$S76='Calc base'!Q76)*('Calc base'!$C$17:$N$17&lt;'Calc base'!L$17)))))</f>
        <v>0</v>
      </c>
      <c r="AR76">
        <f>IF('Calc base'!M$14=0,0,MIN(AF76,MAX(0,$E76-SUMPRODUCT($V76:$AG76,'Calc base'!$C$14:$N$14,('Calc base'!$H76:$S76&gt;'Calc base'!R76)+('Calc base'!$H76:$S76='Calc base'!R76)*('Calc base'!$C$17:$N$17&lt;'Calc base'!M$17)))))</f>
        <v>0</v>
      </c>
      <c r="AS76">
        <f>IF('Calc base'!N$14=0,0,MIN(AG76,MAX(0,$E76-SUMPRODUCT($V76:$AG76,'Calc base'!$C$14:$N$14,('Calc base'!$H76:$S76&gt;'Calc base'!S76)+('Calc base'!$H76:$S76='Calc base'!S76)*('Calc base'!$C$17:$N$17&lt;'Calc base'!N$17)))))</f>
        <v>0</v>
      </c>
      <c r="AT76">
        <f>V76-AH76</f>
        <v>0</v>
      </c>
      <c r="AU76">
        <f>W76-AI76</f>
        <v>0</v>
      </c>
      <c r="AV76">
        <f>X76-AJ76</f>
        <v>0</v>
      </c>
      <c r="AW76">
        <f>Y76-AK76</f>
        <v>0</v>
      </c>
      <c r="AX76">
        <f>Z76-AL76</f>
        <v>0</v>
      </c>
      <c r="AY76">
        <f>AA76-AM76</f>
        <v>0</v>
      </c>
      <c r="AZ76">
        <f>AB76-AN76</f>
        <v>0</v>
      </c>
      <c r="BA76">
        <f>AC76-AO76</f>
        <v>0</v>
      </c>
      <c r="BB76">
        <f>AD76-AP76</f>
        <v>0</v>
      </c>
      <c r="BC76">
        <f>AE76-AQ76</f>
        <v>0</v>
      </c>
      <c r="BD76">
        <f>AF76-AR76</f>
        <v>0</v>
      </c>
      <c r="BE76">
        <f>AG76-AS76</f>
        <v>0</v>
      </c>
    </row>
    <row r="77">
      <c r="A77" t="n">
        <v>47</v>
      </c>
      <c r="B77">
        <f>SUMPRODUCT(ROUND($AT76:$BE76*(1+'Calc base'!$H77:$S77),2))</f>
        <v>0</v>
      </c>
      <c r="C77">
        <f>SUM(J77:U77)</f>
        <v>0</v>
      </c>
      <c r="D77">
        <f>SUM(V77:AG77)</f>
        <v>0</v>
      </c>
      <c r="E77">
        <f>MAX(0,IF(Impostazioni!$B$7="No",'Calc base'!$C77-$C$31,'Calc base'!$C77-C77)+'Calc base'!$G77+'Calc base'!$F77-(B77-C77-D77))</f>
        <v>900</v>
      </c>
      <c r="F77">
        <f>SUM(AH77:AS77)</f>
        <v>0</v>
      </c>
      <c r="G77">
        <f>SUM(AT77:BE77)</f>
        <v>0</v>
      </c>
      <c r="H77">
        <f>B77-G76</f>
        <v>0</v>
      </c>
      <c r="I77">
        <f>B77-G77</f>
        <v>0</v>
      </c>
      <c r="J77">
        <f>IF(AT76&lt;=0,0,IF(ROUND(AT76*(1+'Calc base'!H77),2)-MAX('Calc base'!C$12,ROUND('Calc base'!C$13*AT76,2))&lt;1,ROUND(AT76*(1+'Calc base'!H77),2),MAX('Calc base'!C$12,ROUND('Calc base'!C$13*AT76,2))))</f>
        <v>0</v>
      </c>
      <c r="K77">
        <f>IF(AU76&lt;=0,0,IF(ROUND(AU76*(1+'Calc base'!I77),2)-MAX('Calc base'!D$12,ROUND('Calc base'!D$13*AU76,2))&lt;1,ROUND(AU76*(1+'Calc base'!I77),2),MAX('Calc base'!D$12,ROUND('Calc base'!D$13*AU76,2))))</f>
        <v>0</v>
      </c>
      <c r="L77">
        <f>IF(AV76&lt;=0,0,IF(ROUND(AV76*(1+'Calc base'!J77),2)-MAX('Calc base'!E$12,ROUND('Calc base'!E$13*AV76,2))&lt;1,ROUND(AV76*(1+'Calc base'!J77),2),MAX('Calc base'!E$12,ROUND('Calc base'!E$13*AV76,2))))</f>
        <v>0</v>
      </c>
      <c r="M77">
        <f>IF(AW76&lt;=0,0,IF(ROUND(AW76*(1+'Calc base'!K77),2)-MAX('Calc base'!F$12,ROUND('Calc base'!F$13*AW76,2))&lt;1,ROUND(AW76*(1+'Calc base'!K77),2),MAX('Calc base'!F$12,ROUND('Calc base'!F$13*AW76,2))))</f>
        <v>0</v>
      </c>
      <c r="N77">
        <f>IF(AX76&lt;=0,0,IF(ROUND(AX76*(1+'Calc base'!L77),2)-MAX('Calc base'!G$12,ROUND('Calc base'!G$13*AX76,2))&lt;1,ROUND(AX76*(1+'Calc base'!L77),2),MAX('Calc base'!G$12,ROUND('Calc base'!G$13*AX76,2))))</f>
        <v>0</v>
      </c>
      <c r="O77">
        <f>IF(AY76&lt;=0,0,IF(ROUND(AY76*(1+'Calc base'!M77),2)-MAX('Calc base'!H$12,ROUND('Calc base'!H$13*AY76,2))&lt;1,ROUND(AY76*(1+'Calc base'!M77),2),MAX('Calc base'!H$12,ROUND('Calc base'!H$13*AY76,2))))</f>
        <v>0</v>
      </c>
      <c r="P77">
        <f>IF(AZ76&lt;=0,0,IF(ROUND(AZ76*(1+'Calc base'!N77),2)-MAX('Calc base'!I$12,ROUND('Calc base'!I$13*AZ76,2))&lt;1,ROUND(AZ76*(1+'Calc base'!N77),2),MAX('Calc base'!I$12,ROUND('Calc base'!I$13*AZ76,2))))</f>
        <v>0</v>
      </c>
      <c r="Q77">
        <f>IF(BA76&lt;=0,0,IF(ROUND(BA76*(1+'Calc base'!O77),2)-MAX('Calc base'!J$12,ROUND('Calc base'!J$13*BA76,2))&lt;1,ROUND(BA76*(1+'Calc base'!O77),2),MAX('Calc base'!J$12,ROUND('Calc base'!J$13*BA76,2))))</f>
        <v>0</v>
      </c>
      <c r="R77">
        <f>IF(BB76&lt;=0,0,IF(ROUND(BB76*(1+'Calc base'!P77),2)-MAX('Calc base'!K$12,ROUND('Calc base'!K$13*BB76,2))&lt;1,ROUND(BB76*(1+'Calc base'!P77),2),MAX('Calc base'!K$12,ROUND('Calc base'!K$13*BB76,2))))</f>
        <v>0</v>
      </c>
      <c r="S77">
        <f>IF(BC76&lt;=0,0,IF(ROUND(BC76*(1+'Calc base'!Q77),2)-MAX('Calc base'!L$12,ROUND('Calc base'!L$13*BC76,2))&lt;1,ROUND(BC76*(1+'Calc base'!Q77),2),MAX('Calc base'!L$12,ROUND('Calc base'!L$13*BC76,2))))</f>
        <v>0</v>
      </c>
      <c r="T77">
        <f>IF(BD76&lt;=0,0,IF(ROUND(BD76*(1+'Calc base'!R77),2)-MAX('Calc base'!M$12,ROUND('Calc base'!M$13*BD76,2))&lt;1,ROUND(BD76*(1+'Calc base'!R77),2),MAX('Calc base'!M$12,ROUND('Calc base'!M$13*BD76,2))))</f>
        <v>0</v>
      </c>
      <c r="U77">
        <f>IF(BE76&lt;=0,0,IF(ROUND(BE76*(1+'Calc base'!S77),2)-MAX('Calc base'!N$12,ROUND('Calc base'!N$13*BE76,2))&lt;1,ROUND(BE76*(1+'Calc base'!S77),2),MAX('Calc base'!N$12,ROUND('Calc base'!N$13*BE76,2))))</f>
        <v>0</v>
      </c>
      <c r="V77">
        <f>MAX(0,ROUND(AT76*(1+'Calc base'!H77),2)-J77-'Calc base'!T77)</f>
        <v>0</v>
      </c>
      <c r="W77">
        <f>MAX(0,ROUND(AU76*(1+'Calc base'!I77),2)-K77-'Calc base'!U77)</f>
        <v>0</v>
      </c>
      <c r="X77">
        <f>MAX(0,ROUND(AV76*(1+'Calc base'!J77),2)-L77-'Calc base'!V77)</f>
        <v>0</v>
      </c>
      <c r="Y77">
        <f>MAX(0,ROUND(AW76*(1+'Calc base'!K77),2)-M77-'Calc base'!W77)</f>
        <v>0</v>
      </c>
      <c r="Z77">
        <f>MAX(0,ROUND(AX76*(1+'Calc base'!L77),2)-N77-'Calc base'!X77)</f>
        <v>0</v>
      </c>
      <c r="AA77">
        <f>MAX(0,ROUND(AY76*(1+'Calc base'!M77),2)-O77-'Calc base'!Y77)</f>
        <v>0</v>
      </c>
      <c r="AB77">
        <f>MAX(0,ROUND(AZ76*(1+'Calc base'!N77),2)-P77-'Calc base'!Z77)</f>
        <v>0</v>
      </c>
      <c r="AC77">
        <f>MAX(0,ROUND(BA76*(1+'Calc base'!O77),2)-Q77-'Calc base'!AA77)</f>
        <v>0</v>
      </c>
      <c r="AD77">
        <f>MAX(0,ROUND(BB76*(1+'Calc base'!P77),2)-R77-'Calc base'!AB77)</f>
        <v>0</v>
      </c>
      <c r="AE77">
        <f>MAX(0,ROUND(BC76*(1+'Calc base'!Q77),2)-S77-'Calc base'!AC77)</f>
        <v>0</v>
      </c>
      <c r="AF77">
        <f>MAX(0,ROUND(BD76*(1+'Calc base'!R77),2)-T77-'Calc base'!AD77)</f>
        <v>0</v>
      </c>
      <c r="AG77">
        <f>MAX(0,ROUND(BE76*(1+'Calc base'!S77),2)-U77-'Calc base'!AE77)</f>
        <v>0</v>
      </c>
      <c r="AH77">
        <f>IF('Calc base'!C$14=0,0,MIN(V77,MAX(0,$E77-SUMPRODUCT($V77:$AG77,'Calc base'!$C$14:$N$14,('Calc base'!$H77:$S77&gt;'Calc base'!H77)+('Calc base'!$H77:$S77='Calc base'!H77)*('Calc base'!$C$17:$N$17&lt;'Calc base'!C$17)))))</f>
        <v>0</v>
      </c>
      <c r="AI77">
        <f>IF('Calc base'!D$14=0,0,MIN(W77,MAX(0,$E77-SUMPRODUCT($V77:$AG77,'Calc base'!$C$14:$N$14,('Calc base'!$H77:$S77&gt;'Calc base'!I77)+('Calc base'!$H77:$S77='Calc base'!I77)*('Calc base'!$C$17:$N$17&lt;'Calc base'!D$17)))))</f>
        <v>0</v>
      </c>
      <c r="AJ77">
        <f>IF('Calc base'!E$14=0,0,MIN(X77,MAX(0,$E77-SUMPRODUCT($V77:$AG77,'Calc base'!$C$14:$N$14,('Calc base'!$H77:$S77&gt;'Calc base'!J77)+('Calc base'!$H77:$S77='Calc base'!J77)*('Calc base'!$C$17:$N$17&lt;'Calc base'!E$17)))))</f>
        <v>0</v>
      </c>
      <c r="AK77">
        <f>IF('Calc base'!F$14=0,0,MIN(Y77,MAX(0,$E77-SUMPRODUCT($V77:$AG77,'Calc base'!$C$14:$N$14,('Calc base'!$H77:$S77&gt;'Calc base'!K77)+('Calc base'!$H77:$S77='Calc base'!K77)*('Calc base'!$C$17:$N$17&lt;'Calc base'!F$17)))))</f>
        <v>0</v>
      </c>
      <c r="AL77">
        <f>IF('Calc base'!G$14=0,0,MIN(Z77,MAX(0,$E77-SUMPRODUCT($V77:$AG77,'Calc base'!$C$14:$N$14,('Calc base'!$H77:$S77&gt;'Calc base'!L77)+('Calc base'!$H77:$S77='Calc base'!L77)*('Calc base'!$C$17:$N$17&lt;'Calc base'!G$17)))))</f>
        <v>0</v>
      </c>
      <c r="AM77">
        <f>IF('Calc base'!H$14=0,0,MIN(AA77,MAX(0,$E77-SUMPRODUCT($V77:$AG77,'Calc base'!$C$14:$N$14,('Calc base'!$H77:$S77&gt;'Calc base'!M77)+('Calc base'!$H77:$S77='Calc base'!M77)*('Calc base'!$C$17:$N$17&lt;'Calc base'!H$17)))))</f>
        <v>0</v>
      </c>
      <c r="AN77">
        <f>IF('Calc base'!I$14=0,0,MIN(AB77,MAX(0,$E77-SUMPRODUCT($V77:$AG77,'Calc base'!$C$14:$N$14,('Calc base'!$H77:$S77&gt;'Calc base'!N77)+('Calc base'!$H77:$S77='Calc base'!N77)*('Calc base'!$C$17:$N$17&lt;'Calc base'!I$17)))))</f>
        <v>0</v>
      </c>
      <c r="AO77">
        <f>IF('Calc base'!J$14=0,0,MIN(AC77,MAX(0,$E77-SUMPRODUCT($V77:$AG77,'Calc base'!$C$14:$N$14,('Calc base'!$H77:$S77&gt;'Calc base'!O77)+('Calc base'!$H77:$S77='Calc base'!O77)*('Calc base'!$C$17:$N$17&lt;'Calc base'!J$17)))))</f>
        <v>0</v>
      </c>
      <c r="AP77">
        <f>IF('Calc base'!K$14=0,0,MIN(AD77,MAX(0,$E77-SUMPRODUCT($V77:$AG77,'Calc base'!$C$14:$N$14,('Calc base'!$H77:$S77&gt;'Calc base'!P77)+('Calc base'!$H77:$S77='Calc base'!P77)*('Calc base'!$C$17:$N$17&lt;'Calc base'!K$17)))))</f>
        <v>0</v>
      </c>
      <c r="AQ77">
        <f>IF('Calc base'!L$14=0,0,MIN(AE77,MAX(0,$E77-SUMPRODUCT($V77:$AG77,'Calc base'!$C$14:$N$14,('Calc base'!$H77:$S77&gt;'Calc base'!Q77)+('Calc base'!$H77:$S77='Calc base'!Q77)*('Calc base'!$C$17:$N$17&lt;'Calc base'!L$17)))))</f>
        <v>0</v>
      </c>
      <c r="AR77">
        <f>IF('Calc base'!M$14=0,0,MIN(AF77,MAX(0,$E77-SUMPRODUCT($V77:$AG77,'Calc base'!$C$14:$N$14,('Calc base'!$H77:$S77&gt;'Calc base'!R77)+('Calc base'!$H77:$S77='Calc base'!R77)*('Calc base'!$C$17:$N$17&lt;'Calc base'!M$17)))))</f>
        <v>0</v>
      </c>
      <c r="AS77">
        <f>IF('Calc base'!N$14=0,0,MIN(AG77,MAX(0,$E77-SUMPRODUCT($V77:$AG77,'Calc base'!$C$14:$N$14,('Calc base'!$H77:$S77&gt;'Calc base'!S77)+('Calc base'!$H77:$S77='Calc base'!S77)*('Calc base'!$C$17:$N$17&lt;'Calc base'!N$17)))))</f>
        <v>0</v>
      </c>
      <c r="AT77">
        <f>V77-AH77</f>
        <v>0</v>
      </c>
      <c r="AU77">
        <f>W77-AI77</f>
        <v>0</v>
      </c>
      <c r="AV77">
        <f>X77-AJ77</f>
        <v>0</v>
      </c>
      <c r="AW77">
        <f>Y77-AK77</f>
        <v>0</v>
      </c>
      <c r="AX77">
        <f>Z77-AL77</f>
        <v>0</v>
      </c>
      <c r="AY77">
        <f>AA77-AM77</f>
        <v>0</v>
      </c>
      <c r="AZ77">
        <f>AB77-AN77</f>
        <v>0</v>
      </c>
      <c r="BA77">
        <f>AC77-AO77</f>
        <v>0</v>
      </c>
      <c r="BB77">
        <f>AD77-AP77</f>
        <v>0</v>
      </c>
      <c r="BC77">
        <f>AE77-AQ77</f>
        <v>0</v>
      </c>
      <c r="BD77">
        <f>AF77-AR77</f>
        <v>0</v>
      </c>
      <c r="BE77">
        <f>AG77-AS77</f>
        <v>0</v>
      </c>
    </row>
    <row r="78">
      <c r="A78" t="n">
        <v>48</v>
      </c>
      <c r="B78">
        <f>SUMPRODUCT(ROUND($AT77:$BE77*(1+'Calc base'!$H78:$S78),2))</f>
        <v>0</v>
      </c>
      <c r="C78">
        <f>SUM(J78:U78)</f>
        <v>0</v>
      </c>
      <c r="D78">
        <f>SUM(V78:AG78)</f>
        <v>0</v>
      </c>
      <c r="E78">
        <f>MAX(0,IF(Impostazioni!$B$7="No",'Calc base'!$C78-$C$31,'Calc base'!$C78-C78)+'Calc base'!$G78+'Calc base'!$F78-(B78-C78-D78))</f>
        <v>900</v>
      </c>
      <c r="F78">
        <f>SUM(AH78:AS78)</f>
        <v>0</v>
      </c>
      <c r="G78">
        <f>SUM(AT78:BE78)</f>
        <v>0</v>
      </c>
      <c r="H78">
        <f>B78-G77</f>
        <v>0</v>
      </c>
      <c r="I78">
        <f>B78-G78</f>
        <v>0</v>
      </c>
      <c r="J78">
        <f>IF(AT77&lt;=0,0,IF(ROUND(AT77*(1+'Calc base'!H78),2)-MAX('Calc base'!C$12,ROUND('Calc base'!C$13*AT77,2))&lt;1,ROUND(AT77*(1+'Calc base'!H78),2),MAX('Calc base'!C$12,ROUND('Calc base'!C$13*AT77,2))))</f>
        <v>0</v>
      </c>
      <c r="K78">
        <f>IF(AU77&lt;=0,0,IF(ROUND(AU77*(1+'Calc base'!I78),2)-MAX('Calc base'!D$12,ROUND('Calc base'!D$13*AU77,2))&lt;1,ROUND(AU77*(1+'Calc base'!I78),2),MAX('Calc base'!D$12,ROUND('Calc base'!D$13*AU77,2))))</f>
        <v>0</v>
      </c>
      <c r="L78">
        <f>IF(AV77&lt;=0,0,IF(ROUND(AV77*(1+'Calc base'!J78),2)-MAX('Calc base'!E$12,ROUND('Calc base'!E$13*AV77,2))&lt;1,ROUND(AV77*(1+'Calc base'!J78),2),MAX('Calc base'!E$12,ROUND('Calc base'!E$13*AV77,2))))</f>
        <v>0</v>
      </c>
      <c r="M78">
        <f>IF(AW77&lt;=0,0,IF(ROUND(AW77*(1+'Calc base'!K78),2)-MAX('Calc base'!F$12,ROUND('Calc base'!F$13*AW77,2))&lt;1,ROUND(AW77*(1+'Calc base'!K78),2),MAX('Calc base'!F$12,ROUND('Calc base'!F$13*AW77,2))))</f>
        <v>0</v>
      </c>
      <c r="N78">
        <f>IF(AX77&lt;=0,0,IF(ROUND(AX77*(1+'Calc base'!L78),2)-MAX('Calc base'!G$12,ROUND('Calc base'!G$13*AX77,2))&lt;1,ROUND(AX77*(1+'Calc base'!L78),2),MAX('Calc base'!G$12,ROUND('Calc base'!G$13*AX77,2))))</f>
        <v>0</v>
      </c>
      <c r="O78">
        <f>IF(AY77&lt;=0,0,IF(ROUND(AY77*(1+'Calc base'!M78),2)-MAX('Calc base'!H$12,ROUND('Calc base'!H$13*AY77,2))&lt;1,ROUND(AY77*(1+'Calc base'!M78),2),MAX('Calc base'!H$12,ROUND('Calc base'!H$13*AY77,2))))</f>
        <v>0</v>
      </c>
      <c r="P78">
        <f>IF(AZ77&lt;=0,0,IF(ROUND(AZ77*(1+'Calc base'!N78),2)-MAX('Calc base'!I$12,ROUND('Calc base'!I$13*AZ77,2))&lt;1,ROUND(AZ77*(1+'Calc base'!N78),2),MAX('Calc base'!I$12,ROUND('Calc base'!I$13*AZ77,2))))</f>
        <v>0</v>
      </c>
      <c r="Q78">
        <f>IF(BA77&lt;=0,0,IF(ROUND(BA77*(1+'Calc base'!O78),2)-MAX('Calc base'!J$12,ROUND('Calc base'!J$13*BA77,2))&lt;1,ROUND(BA77*(1+'Calc base'!O78),2),MAX('Calc base'!J$12,ROUND('Calc base'!J$13*BA77,2))))</f>
        <v>0</v>
      </c>
      <c r="R78">
        <f>IF(BB77&lt;=0,0,IF(ROUND(BB77*(1+'Calc base'!P78),2)-MAX('Calc base'!K$12,ROUND('Calc base'!K$13*BB77,2))&lt;1,ROUND(BB77*(1+'Calc base'!P78),2),MAX('Calc base'!K$12,ROUND('Calc base'!K$13*BB77,2))))</f>
        <v>0</v>
      </c>
      <c r="S78">
        <f>IF(BC77&lt;=0,0,IF(ROUND(BC77*(1+'Calc base'!Q78),2)-MAX('Calc base'!L$12,ROUND('Calc base'!L$13*BC77,2))&lt;1,ROUND(BC77*(1+'Calc base'!Q78),2),MAX('Calc base'!L$12,ROUND('Calc base'!L$13*BC77,2))))</f>
        <v>0</v>
      </c>
      <c r="T78">
        <f>IF(BD77&lt;=0,0,IF(ROUND(BD77*(1+'Calc base'!R78),2)-MAX('Calc base'!M$12,ROUND('Calc base'!M$13*BD77,2))&lt;1,ROUND(BD77*(1+'Calc base'!R78),2),MAX('Calc base'!M$12,ROUND('Calc base'!M$13*BD77,2))))</f>
        <v>0</v>
      </c>
      <c r="U78">
        <f>IF(BE77&lt;=0,0,IF(ROUND(BE77*(1+'Calc base'!S78),2)-MAX('Calc base'!N$12,ROUND('Calc base'!N$13*BE77,2))&lt;1,ROUND(BE77*(1+'Calc base'!S78),2),MAX('Calc base'!N$12,ROUND('Calc base'!N$13*BE77,2))))</f>
        <v>0</v>
      </c>
      <c r="V78">
        <f>MAX(0,ROUND(AT77*(1+'Calc base'!H78),2)-J78-'Calc base'!T78)</f>
        <v>0</v>
      </c>
      <c r="W78">
        <f>MAX(0,ROUND(AU77*(1+'Calc base'!I78),2)-K78-'Calc base'!U78)</f>
        <v>0</v>
      </c>
      <c r="X78">
        <f>MAX(0,ROUND(AV77*(1+'Calc base'!J78),2)-L78-'Calc base'!V78)</f>
        <v>0</v>
      </c>
      <c r="Y78">
        <f>MAX(0,ROUND(AW77*(1+'Calc base'!K78),2)-M78-'Calc base'!W78)</f>
        <v>0</v>
      </c>
      <c r="Z78">
        <f>MAX(0,ROUND(AX77*(1+'Calc base'!L78),2)-N78-'Calc base'!X78)</f>
        <v>0</v>
      </c>
      <c r="AA78">
        <f>MAX(0,ROUND(AY77*(1+'Calc base'!M78),2)-O78-'Calc base'!Y78)</f>
        <v>0</v>
      </c>
      <c r="AB78">
        <f>MAX(0,ROUND(AZ77*(1+'Calc base'!N78),2)-P78-'Calc base'!Z78)</f>
        <v>0</v>
      </c>
      <c r="AC78">
        <f>MAX(0,ROUND(BA77*(1+'Calc base'!O78),2)-Q78-'Calc base'!AA78)</f>
        <v>0</v>
      </c>
      <c r="AD78">
        <f>MAX(0,ROUND(BB77*(1+'Calc base'!P78),2)-R78-'Calc base'!AB78)</f>
        <v>0</v>
      </c>
      <c r="AE78">
        <f>MAX(0,ROUND(BC77*(1+'Calc base'!Q78),2)-S78-'Calc base'!AC78)</f>
        <v>0</v>
      </c>
      <c r="AF78">
        <f>MAX(0,ROUND(BD77*(1+'Calc base'!R78),2)-T78-'Calc base'!AD78)</f>
        <v>0</v>
      </c>
      <c r="AG78">
        <f>MAX(0,ROUND(BE77*(1+'Calc base'!S78),2)-U78-'Calc base'!AE78)</f>
        <v>0</v>
      </c>
      <c r="AH78">
        <f>IF('Calc base'!C$14=0,0,MIN(V78,MAX(0,$E78-SUMPRODUCT($V78:$AG78,'Calc base'!$C$14:$N$14,('Calc base'!$H78:$S78&gt;'Calc base'!H78)+('Calc base'!$H78:$S78='Calc base'!H78)*('Calc base'!$C$17:$N$17&lt;'Calc base'!C$17)))))</f>
        <v>0</v>
      </c>
      <c r="AI78">
        <f>IF('Calc base'!D$14=0,0,MIN(W78,MAX(0,$E78-SUMPRODUCT($V78:$AG78,'Calc base'!$C$14:$N$14,('Calc base'!$H78:$S78&gt;'Calc base'!I78)+('Calc base'!$H78:$S78='Calc base'!I78)*('Calc base'!$C$17:$N$17&lt;'Calc base'!D$17)))))</f>
        <v>0</v>
      </c>
      <c r="AJ78">
        <f>IF('Calc base'!E$14=0,0,MIN(X78,MAX(0,$E78-SUMPRODUCT($V78:$AG78,'Calc base'!$C$14:$N$14,('Calc base'!$H78:$S78&gt;'Calc base'!J78)+('Calc base'!$H78:$S78='Calc base'!J78)*('Calc base'!$C$17:$N$17&lt;'Calc base'!E$17)))))</f>
        <v>0</v>
      </c>
      <c r="AK78">
        <f>IF('Calc base'!F$14=0,0,MIN(Y78,MAX(0,$E78-SUMPRODUCT($V78:$AG78,'Calc base'!$C$14:$N$14,('Calc base'!$H78:$S78&gt;'Calc base'!K78)+('Calc base'!$H78:$S78='Calc base'!K78)*('Calc base'!$C$17:$N$17&lt;'Calc base'!F$17)))))</f>
        <v>0</v>
      </c>
      <c r="AL78">
        <f>IF('Calc base'!G$14=0,0,MIN(Z78,MAX(0,$E78-SUMPRODUCT($V78:$AG78,'Calc base'!$C$14:$N$14,('Calc base'!$H78:$S78&gt;'Calc base'!L78)+('Calc base'!$H78:$S78='Calc base'!L78)*('Calc base'!$C$17:$N$17&lt;'Calc base'!G$17)))))</f>
        <v>0</v>
      </c>
      <c r="AM78">
        <f>IF('Calc base'!H$14=0,0,MIN(AA78,MAX(0,$E78-SUMPRODUCT($V78:$AG78,'Calc base'!$C$14:$N$14,('Calc base'!$H78:$S78&gt;'Calc base'!M78)+('Calc base'!$H78:$S78='Calc base'!M78)*('Calc base'!$C$17:$N$17&lt;'Calc base'!H$17)))))</f>
        <v>0</v>
      </c>
      <c r="AN78">
        <f>IF('Calc base'!I$14=0,0,MIN(AB78,MAX(0,$E78-SUMPRODUCT($V78:$AG78,'Calc base'!$C$14:$N$14,('Calc base'!$H78:$S78&gt;'Calc base'!N78)+('Calc base'!$H78:$S78='Calc base'!N78)*('Calc base'!$C$17:$N$17&lt;'Calc base'!I$17)))))</f>
        <v>0</v>
      </c>
      <c r="AO78">
        <f>IF('Calc base'!J$14=0,0,MIN(AC78,MAX(0,$E78-SUMPRODUCT($V78:$AG78,'Calc base'!$C$14:$N$14,('Calc base'!$H78:$S78&gt;'Calc base'!O78)+('Calc base'!$H78:$S78='Calc base'!O78)*('Calc base'!$C$17:$N$17&lt;'Calc base'!J$17)))))</f>
        <v>0</v>
      </c>
      <c r="AP78">
        <f>IF('Calc base'!K$14=0,0,MIN(AD78,MAX(0,$E78-SUMPRODUCT($V78:$AG78,'Calc base'!$C$14:$N$14,('Calc base'!$H78:$S78&gt;'Calc base'!P78)+('Calc base'!$H78:$S78='Calc base'!P78)*('Calc base'!$C$17:$N$17&lt;'Calc base'!K$17)))))</f>
        <v>0</v>
      </c>
      <c r="AQ78">
        <f>IF('Calc base'!L$14=0,0,MIN(AE78,MAX(0,$E78-SUMPRODUCT($V78:$AG78,'Calc base'!$C$14:$N$14,('Calc base'!$H78:$S78&gt;'Calc base'!Q78)+('Calc base'!$H78:$S78='Calc base'!Q78)*('Calc base'!$C$17:$N$17&lt;'Calc base'!L$17)))))</f>
        <v>0</v>
      </c>
      <c r="AR78">
        <f>IF('Calc base'!M$14=0,0,MIN(AF78,MAX(0,$E78-SUMPRODUCT($V78:$AG78,'Calc base'!$C$14:$N$14,('Calc base'!$H78:$S78&gt;'Calc base'!R78)+('Calc base'!$H78:$S78='Calc base'!R78)*('Calc base'!$C$17:$N$17&lt;'Calc base'!M$17)))))</f>
        <v>0</v>
      </c>
      <c r="AS78">
        <f>IF('Calc base'!N$14=0,0,MIN(AG78,MAX(0,$E78-SUMPRODUCT($V78:$AG78,'Calc base'!$C$14:$N$14,('Calc base'!$H78:$S78&gt;'Calc base'!S78)+('Calc base'!$H78:$S78='Calc base'!S78)*('Calc base'!$C$17:$N$17&lt;'Calc base'!N$17)))))</f>
        <v>0</v>
      </c>
      <c r="AT78">
        <f>V78-AH78</f>
        <v>0</v>
      </c>
      <c r="AU78">
        <f>W78-AI78</f>
        <v>0</v>
      </c>
      <c r="AV78">
        <f>X78-AJ78</f>
        <v>0</v>
      </c>
      <c r="AW78">
        <f>Y78-AK78</f>
        <v>0</v>
      </c>
      <c r="AX78">
        <f>Z78-AL78</f>
        <v>0</v>
      </c>
      <c r="AY78">
        <f>AA78-AM78</f>
        <v>0</v>
      </c>
      <c r="AZ78">
        <f>AB78-AN78</f>
        <v>0</v>
      </c>
      <c r="BA78">
        <f>AC78-AO78</f>
        <v>0</v>
      </c>
      <c r="BB78">
        <f>AD78-AP78</f>
        <v>0</v>
      </c>
      <c r="BC78">
        <f>AE78-AQ78</f>
        <v>0</v>
      </c>
      <c r="BD78">
        <f>AF78-AR78</f>
        <v>0</v>
      </c>
      <c r="BE78">
        <f>AG78-AS78</f>
        <v>0</v>
      </c>
    </row>
    <row r="79">
      <c r="A79" t="n">
        <v>49</v>
      </c>
      <c r="B79">
        <f>SUMPRODUCT(ROUND($AT78:$BE78*(1+'Calc base'!$H79:$S79),2))</f>
        <v>0</v>
      </c>
      <c r="C79">
        <f>SUM(J79:U79)</f>
        <v>0</v>
      </c>
      <c r="D79">
        <f>SUM(V79:AG79)</f>
        <v>0</v>
      </c>
      <c r="E79">
        <f>MAX(0,IF(Impostazioni!$B$7="No",'Calc base'!$C79-$C$31,'Calc base'!$C79-C79)+'Calc base'!$G79+'Calc base'!$F79-(B79-C79-D79))</f>
        <v>900</v>
      </c>
      <c r="F79">
        <f>SUM(AH79:AS79)</f>
        <v>0</v>
      </c>
      <c r="G79">
        <f>SUM(AT79:BE79)</f>
        <v>0</v>
      </c>
      <c r="H79">
        <f>B79-G78</f>
        <v>0</v>
      </c>
      <c r="I79">
        <f>B79-G79</f>
        <v>0</v>
      </c>
      <c r="J79">
        <f>IF(AT78&lt;=0,0,IF(ROUND(AT78*(1+'Calc base'!H79),2)-MAX('Calc base'!C$12,ROUND('Calc base'!C$13*AT78,2))&lt;1,ROUND(AT78*(1+'Calc base'!H79),2),MAX('Calc base'!C$12,ROUND('Calc base'!C$13*AT78,2))))</f>
        <v>0</v>
      </c>
      <c r="K79">
        <f>IF(AU78&lt;=0,0,IF(ROUND(AU78*(1+'Calc base'!I79),2)-MAX('Calc base'!D$12,ROUND('Calc base'!D$13*AU78,2))&lt;1,ROUND(AU78*(1+'Calc base'!I79),2),MAX('Calc base'!D$12,ROUND('Calc base'!D$13*AU78,2))))</f>
        <v>0</v>
      </c>
      <c r="L79">
        <f>IF(AV78&lt;=0,0,IF(ROUND(AV78*(1+'Calc base'!J79),2)-MAX('Calc base'!E$12,ROUND('Calc base'!E$13*AV78,2))&lt;1,ROUND(AV78*(1+'Calc base'!J79),2),MAX('Calc base'!E$12,ROUND('Calc base'!E$13*AV78,2))))</f>
        <v>0</v>
      </c>
      <c r="M79">
        <f>IF(AW78&lt;=0,0,IF(ROUND(AW78*(1+'Calc base'!K79),2)-MAX('Calc base'!F$12,ROUND('Calc base'!F$13*AW78,2))&lt;1,ROUND(AW78*(1+'Calc base'!K79),2),MAX('Calc base'!F$12,ROUND('Calc base'!F$13*AW78,2))))</f>
        <v>0</v>
      </c>
      <c r="N79">
        <f>IF(AX78&lt;=0,0,IF(ROUND(AX78*(1+'Calc base'!L79),2)-MAX('Calc base'!G$12,ROUND('Calc base'!G$13*AX78,2))&lt;1,ROUND(AX78*(1+'Calc base'!L79),2),MAX('Calc base'!G$12,ROUND('Calc base'!G$13*AX78,2))))</f>
        <v>0</v>
      </c>
      <c r="O79">
        <f>IF(AY78&lt;=0,0,IF(ROUND(AY78*(1+'Calc base'!M79),2)-MAX('Calc base'!H$12,ROUND('Calc base'!H$13*AY78,2))&lt;1,ROUND(AY78*(1+'Calc base'!M79),2),MAX('Calc base'!H$12,ROUND('Calc base'!H$13*AY78,2))))</f>
        <v>0</v>
      </c>
      <c r="P79">
        <f>IF(AZ78&lt;=0,0,IF(ROUND(AZ78*(1+'Calc base'!N79),2)-MAX('Calc base'!I$12,ROUND('Calc base'!I$13*AZ78,2))&lt;1,ROUND(AZ78*(1+'Calc base'!N79),2),MAX('Calc base'!I$12,ROUND('Calc base'!I$13*AZ78,2))))</f>
        <v>0</v>
      </c>
      <c r="Q79">
        <f>IF(BA78&lt;=0,0,IF(ROUND(BA78*(1+'Calc base'!O79),2)-MAX('Calc base'!J$12,ROUND('Calc base'!J$13*BA78,2))&lt;1,ROUND(BA78*(1+'Calc base'!O79),2),MAX('Calc base'!J$12,ROUND('Calc base'!J$13*BA78,2))))</f>
        <v>0</v>
      </c>
      <c r="R79">
        <f>IF(BB78&lt;=0,0,IF(ROUND(BB78*(1+'Calc base'!P79),2)-MAX('Calc base'!K$12,ROUND('Calc base'!K$13*BB78,2))&lt;1,ROUND(BB78*(1+'Calc base'!P79),2),MAX('Calc base'!K$12,ROUND('Calc base'!K$13*BB78,2))))</f>
        <v>0</v>
      </c>
      <c r="S79">
        <f>IF(BC78&lt;=0,0,IF(ROUND(BC78*(1+'Calc base'!Q79),2)-MAX('Calc base'!L$12,ROUND('Calc base'!L$13*BC78,2))&lt;1,ROUND(BC78*(1+'Calc base'!Q79),2),MAX('Calc base'!L$12,ROUND('Calc base'!L$13*BC78,2))))</f>
        <v>0</v>
      </c>
      <c r="T79">
        <f>IF(BD78&lt;=0,0,IF(ROUND(BD78*(1+'Calc base'!R79),2)-MAX('Calc base'!M$12,ROUND('Calc base'!M$13*BD78,2))&lt;1,ROUND(BD78*(1+'Calc base'!R79),2),MAX('Calc base'!M$12,ROUND('Calc base'!M$13*BD78,2))))</f>
        <v>0</v>
      </c>
      <c r="U79">
        <f>IF(BE78&lt;=0,0,IF(ROUND(BE78*(1+'Calc base'!S79),2)-MAX('Calc base'!N$12,ROUND('Calc base'!N$13*BE78,2))&lt;1,ROUND(BE78*(1+'Calc base'!S79),2),MAX('Calc base'!N$12,ROUND('Calc base'!N$13*BE78,2))))</f>
        <v>0</v>
      </c>
      <c r="V79">
        <f>MAX(0,ROUND(AT78*(1+'Calc base'!H79),2)-J79-'Calc base'!T79)</f>
        <v>0</v>
      </c>
      <c r="W79">
        <f>MAX(0,ROUND(AU78*(1+'Calc base'!I79),2)-K79-'Calc base'!U79)</f>
        <v>0</v>
      </c>
      <c r="X79">
        <f>MAX(0,ROUND(AV78*(1+'Calc base'!J79),2)-L79-'Calc base'!V79)</f>
        <v>0</v>
      </c>
      <c r="Y79">
        <f>MAX(0,ROUND(AW78*(1+'Calc base'!K79),2)-M79-'Calc base'!W79)</f>
        <v>0</v>
      </c>
      <c r="Z79">
        <f>MAX(0,ROUND(AX78*(1+'Calc base'!L79),2)-N79-'Calc base'!X79)</f>
        <v>0</v>
      </c>
      <c r="AA79">
        <f>MAX(0,ROUND(AY78*(1+'Calc base'!M79),2)-O79-'Calc base'!Y79)</f>
        <v>0</v>
      </c>
      <c r="AB79">
        <f>MAX(0,ROUND(AZ78*(1+'Calc base'!N79),2)-P79-'Calc base'!Z79)</f>
        <v>0</v>
      </c>
      <c r="AC79">
        <f>MAX(0,ROUND(BA78*(1+'Calc base'!O79),2)-Q79-'Calc base'!AA79)</f>
        <v>0</v>
      </c>
      <c r="AD79">
        <f>MAX(0,ROUND(BB78*(1+'Calc base'!P79),2)-R79-'Calc base'!AB79)</f>
        <v>0</v>
      </c>
      <c r="AE79">
        <f>MAX(0,ROUND(BC78*(1+'Calc base'!Q79),2)-S79-'Calc base'!AC79)</f>
        <v>0</v>
      </c>
      <c r="AF79">
        <f>MAX(0,ROUND(BD78*(1+'Calc base'!R79),2)-T79-'Calc base'!AD79)</f>
        <v>0</v>
      </c>
      <c r="AG79">
        <f>MAX(0,ROUND(BE78*(1+'Calc base'!S79),2)-U79-'Calc base'!AE79)</f>
        <v>0</v>
      </c>
      <c r="AH79">
        <f>IF('Calc base'!C$14=0,0,MIN(V79,MAX(0,$E79-SUMPRODUCT($V79:$AG79,'Calc base'!$C$14:$N$14,('Calc base'!$H79:$S79&gt;'Calc base'!H79)+('Calc base'!$H79:$S79='Calc base'!H79)*('Calc base'!$C$17:$N$17&lt;'Calc base'!C$17)))))</f>
        <v>0</v>
      </c>
      <c r="AI79">
        <f>IF('Calc base'!D$14=0,0,MIN(W79,MAX(0,$E79-SUMPRODUCT($V79:$AG79,'Calc base'!$C$14:$N$14,('Calc base'!$H79:$S79&gt;'Calc base'!I79)+('Calc base'!$H79:$S79='Calc base'!I79)*('Calc base'!$C$17:$N$17&lt;'Calc base'!D$17)))))</f>
        <v>0</v>
      </c>
      <c r="AJ79">
        <f>IF('Calc base'!E$14=0,0,MIN(X79,MAX(0,$E79-SUMPRODUCT($V79:$AG79,'Calc base'!$C$14:$N$14,('Calc base'!$H79:$S79&gt;'Calc base'!J79)+('Calc base'!$H79:$S79='Calc base'!J79)*('Calc base'!$C$17:$N$17&lt;'Calc base'!E$17)))))</f>
        <v>0</v>
      </c>
      <c r="AK79">
        <f>IF('Calc base'!F$14=0,0,MIN(Y79,MAX(0,$E79-SUMPRODUCT($V79:$AG79,'Calc base'!$C$14:$N$14,('Calc base'!$H79:$S79&gt;'Calc base'!K79)+('Calc base'!$H79:$S79='Calc base'!K79)*('Calc base'!$C$17:$N$17&lt;'Calc base'!F$17)))))</f>
        <v>0</v>
      </c>
      <c r="AL79">
        <f>IF('Calc base'!G$14=0,0,MIN(Z79,MAX(0,$E79-SUMPRODUCT($V79:$AG79,'Calc base'!$C$14:$N$14,('Calc base'!$H79:$S79&gt;'Calc base'!L79)+('Calc base'!$H79:$S79='Calc base'!L79)*('Calc base'!$C$17:$N$17&lt;'Calc base'!G$17)))))</f>
        <v>0</v>
      </c>
      <c r="AM79">
        <f>IF('Calc base'!H$14=0,0,MIN(AA79,MAX(0,$E79-SUMPRODUCT($V79:$AG79,'Calc base'!$C$14:$N$14,('Calc base'!$H79:$S79&gt;'Calc base'!M79)+('Calc base'!$H79:$S79='Calc base'!M79)*('Calc base'!$C$17:$N$17&lt;'Calc base'!H$17)))))</f>
        <v>0</v>
      </c>
      <c r="AN79">
        <f>IF('Calc base'!I$14=0,0,MIN(AB79,MAX(0,$E79-SUMPRODUCT($V79:$AG79,'Calc base'!$C$14:$N$14,('Calc base'!$H79:$S79&gt;'Calc base'!N79)+('Calc base'!$H79:$S79='Calc base'!N79)*('Calc base'!$C$17:$N$17&lt;'Calc base'!I$17)))))</f>
        <v>0</v>
      </c>
      <c r="AO79">
        <f>IF('Calc base'!J$14=0,0,MIN(AC79,MAX(0,$E79-SUMPRODUCT($V79:$AG79,'Calc base'!$C$14:$N$14,('Calc base'!$H79:$S79&gt;'Calc base'!O79)+('Calc base'!$H79:$S79='Calc base'!O79)*('Calc base'!$C$17:$N$17&lt;'Calc base'!J$17)))))</f>
        <v>0</v>
      </c>
      <c r="AP79">
        <f>IF('Calc base'!K$14=0,0,MIN(AD79,MAX(0,$E79-SUMPRODUCT($V79:$AG79,'Calc base'!$C$14:$N$14,('Calc base'!$H79:$S79&gt;'Calc base'!P79)+('Calc base'!$H79:$S79='Calc base'!P79)*('Calc base'!$C$17:$N$17&lt;'Calc base'!K$17)))))</f>
        <v>0</v>
      </c>
      <c r="AQ79">
        <f>IF('Calc base'!L$14=0,0,MIN(AE79,MAX(0,$E79-SUMPRODUCT($V79:$AG79,'Calc base'!$C$14:$N$14,('Calc base'!$H79:$S79&gt;'Calc base'!Q79)+('Calc base'!$H79:$S79='Calc base'!Q79)*('Calc base'!$C$17:$N$17&lt;'Calc base'!L$17)))))</f>
        <v>0</v>
      </c>
      <c r="AR79">
        <f>IF('Calc base'!M$14=0,0,MIN(AF79,MAX(0,$E79-SUMPRODUCT($V79:$AG79,'Calc base'!$C$14:$N$14,('Calc base'!$H79:$S79&gt;'Calc base'!R79)+('Calc base'!$H79:$S79='Calc base'!R79)*('Calc base'!$C$17:$N$17&lt;'Calc base'!M$17)))))</f>
        <v>0</v>
      </c>
      <c r="AS79">
        <f>IF('Calc base'!N$14=0,0,MIN(AG79,MAX(0,$E79-SUMPRODUCT($V79:$AG79,'Calc base'!$C$14:$N$14,('Calc base'!$H79:$S79&gt;'Calc base'!S79)+('Calc base'!$H79:$S79='Calc base'!S79)*('Calc base'!$C$17:$N$17&lt;'Calc base'!N$17)))))</f>
        <v>0</v>
      </c>
      <c r="AT79">
        <f>V79-AH79</f>
        <v>0</v>
      </c>
      <c r="AU79">
        <f>W79-AI79</f>
        <v>0</v>
      </c>
      <c r="AV79">
        <f>X79-AJ79</f>
        <v>0</v>
      </c>
      <c r="AW79">
        <f>Y79-AK79</f>
        <v>0</v>
      </c>
      <c r="AX79">
        <f>Z79-AL79</f>
        <v>0</v>
      </c>
      <c r="AY79">
        <f>AA79-AM79</f>
        <v>0</v>
      </c>
      <c r="AZ79">
        <f>AB79-AN79</f>
        <v>0</v>
      </c>
      <c r="BA79">
        <f>AC79-AO79</f>
        <v>0</v>
      </c>
      <c r="BB79">
        <f>AD79-AP79</f>
        <v>0</v>
      </c>
      <c r="BC79">
        <f>AE79-AQ79</f>
        <v>0</v>
      </c>
      <c r="BD79">
        <f>AF79-AR79</f>
        <v>0</v>
      </c>
      <c r="BE79">
        <f>AG79-AS79</f>
        <v>0</v>
      </c>
    </row>
    <row r="80">
      <c r="A80" t="n">
        <v>50</v>
      </c>
      <c r="B80">
        <f>SUMPRODUCT(ROUND($AT79:$BE79*(1+'Calc base'!$H80:$S80),2))</f>
        <v>0</v>
      </c>
      <c r="C80">
        <f>SUM(J80:U80)</f>
        <v>0</v>
      </c>
      <c r="D80">
        <f>SUM(V80:AG80)</f>
        <v>0</v>
      </c>
      <c r="E80">
        <f>MAX(0,IF(Impostazioni!$B$7="No",'Calc base'!$C80-$C$31,'Calc base'!$C80-C80)+'Calc base'!$G80+'Calc base'!$F80-(B80-C80-D80))</f>
        <v>900</v>
      </c>
      <c r="F80">
        <f>SUM(AH80:AS80)</f>
        <v>0</v>
      </c>
      <c r="G80">
        <f>SUM(AT80:BE80)</f>
        <v>0</v>
      </c>
      <c r="H80">
        <f>B80-G79</f>
        <v>0</v>
      </c>
      <c r="I80">
        <f>B80-G80</f>
        <v>0</v>
      </c>
      <c r="J80">
        <f>IF(AT79&lt;=0,0,IF(ROUND(AT79*(1+'Calc base'!H80),2)-MAX('Calc base'!C$12,ROUND('Calc base'!C$13*AT79,2))&lt;1,ROUND(AT79*(1+'Calc base'!H80),2),MAX('Calc base'!C$12,ROUND('Calc base'!C$13*AT79,2))))</f>
        <v>0</v>
      </c>
      <c r="K80">
        <f>IF(AU79&lt;=0,0,IF(ROUND(AU79*(1+'Calc base'!I80),2)-MAX('Calc base'!D$12,ROUND('Calc base'!D$13*AU79,2))&lt;1,ROUND(AU79*(1+'Calc base'!I80),2),MAX('Calc base'!D$12,ROUND('Calc base'!D$13*AU79,2))))</f>
        <v>0</v>
      </c>
      <c r="L80">
        <f>IF(AV79&lt;=0,0,IF(ROUND(AV79*(1+'Calc base'!J80),2)-MAX('Calc base'!E$12,ROUND('Calc base'!E$13*AV79,2))&lt;1,ROUND(AV79*(1+'Calc base'!J80),2),MAX('Calc base'!E$12,ROUND('Calc base'!E$13*AV79,2))))</f>
        <v>0</v>
      </c>
      <c r="M80">
        <f>IF(AW79&lt;=0,0,IF(ROUND(AW79*(1+'Calc base'!K80),2)-MAX('Calc base'!F$12,ROUND('Calc base'!F$13*AW79,2))&lt;1,ROUND(AW79*(1+'Calc base'!K80),2),MAX('Calc base'!F$12,ROUND('Calc base'!F$13*AW79,2))))</f>
        <v>0</v>
      </c>
      <c r="N80">
        <f>IF(AX79&lt;=0,0,IF(ROUND(AX79*(1+'Calc base'!L80),2)-MAX('Calc base'!G$12,ROUND('Calc base'!G$13*AX79,2))&lt;1,ROUND(AX79*(1+'Calc base'!L80),2),MAX('Calc base'!G$12,ROUND('Calc base'!G$13*AX79,2))))</f>
        <v>0</v>
      </c>
      <c r="O80">
        <f>IF(AY79&lt;=0,0,IF(ROUND(AY79*(1+'Calc base'!M80),2)-MAX('Calc base'!H$12,ROUND('Calc base'!H$13*AY79,2))&lt;1,ROUND(AY79*(1+'Calc base'!M80),2),MAX('Calc base'!H$12,ROUND('Calc base'!H$13*AY79,2))))</f>
        <v>0</v>
      </c>
      <c r="P80">
        <f>IF(AZ79&lt;=0,0,IF(ROUND(AZ79*(1+'Calc base'!N80),2)-MAX('Calc base'!I$12,ROUND('Calc base'!I$13*AZ79,2))&lt;1,ROUND(AZ79*(1+'Calc base'!N80),2),MAX('Calc base'!I$12,ROUND('Calc base'!I$13*AZ79,2))))</f>
        <v>0</v>
      </c>
      <c r="Q80">
        <f>IF(BA79&lt;=0,0,IF(ROUND(BA79*(1+'Calc base'!O80),2)-MAX('Calc base'!J$12,ROUND('Calc base'!J$13*BA79,2))&lt;1,ROUND(BA79*(1+'Calc base'!O80),2),MAX('Calc base'!J$12,ROUND('Calc base'!J$13*BA79,2))))</f>
        <v>0</v>
      </c>
      <c r="R80">
        <f>IF(BB79&lt;=0,0,IF(ROUND(BB79*(1+'Calc base'!P80),2)-MAX('Calc base'!K$12,ROUND('Calc base'!K$13*BB79,2))&lt;1,ROUND(BB79*(1+'Calc base'!P80),2),MAX('Calc base'!K$12,ROUND('Calc base'!K$13*BB79,2))))</f>
        <v>0</v>
      </c>
      <c r="S80">
        <f>IF(BC79&lt;=0,0,IF(ROUND(BC79*(1+'Calc base'!Q80),2)-MAX('Calc base'!L$12,ROUND('Calc base'!L$13*BC79,2))&lt;1,ROUND(BC79*(1+'Calc base'!Q80),2),MAX('Calc base'!L$12,ROUND('Calc base'!L$13*BC79,2))))</f>
        <v>0</v>
      </c>
      <c r="T80">
        <f>IF(BD79&lt;=0,0,IF(ROUND(BD79*(1+'Calc base'!R80),2)-MAX('Calc base'!M$12,ROUND('Calc base'!M$13*BD79,2))&lt;1,ROUND(BD79*(1+'Calc base'!R80),2),MAX('Calc base'!M$12,ROUND('Calc base'!M$13*BD79,2))))</f>
        <v>0</v>
      </c>
      <c r="U80">
        <f>IF(BE79&lt;=0,0,IF(ROUND(BE79*(1+'Calc base'!S80),2)-MAX('Calc base'!N$12,ROUND('Calc base'!N$13*BE79,2))&lt;1,ROUND(BE79*(1+'Calc base'!S80),2),MAX('Calc base'!N$12,ROUND('Calc base'!N$13*BE79,2))))</f>
        <v>0</v>
      </c>
      <c r="V80">
        <f>MAX(0,ROUND(AT79*(1+'Calc base'!H80),2)-J80-'Calc base'!T80)</f>
        <v>0</v>
      </c>
      <c r="W80">
        <f>MAX(0,ROUND(AU79*(1+'Calc base'!I80),2)-K80-'Calc base'!U80)</f>
        <v>0</v>
      </c>
      <c r="X80">
        <f>MAX(0,ROUND(AV79*(1+'Calc base'!J80),2)-L80-'Calc base'!V80)</f>
        <v>0</v>
      </c>
      <c r="Y80">
        <f>MAX(0,ROUND(AW79*(1+'Calc base'!K80),2)-M80-'Calc base'!W80)</f>
        <v>0</v>
      </c>
      <c r="Z80">
        <f>MAX(0,ROUND(AX79*(1+'Calc base'!L80),2)-N80-'Calc base'!X80)</f>
        <v>0</v>
      </c>
      <c r="AA80">
        <f>MAX(0,ROUND(AY79*(1+'Calc base'!M80),2)-O80-'Calc base'!Y80)</f>
        <v>0</v>
      </c>
      <c r="AB80">
        <f>MAX(0,ROUND(AZ79*(1+'Calc base'!N80),2)-P80-'Calc base'!Z80)</f>
        <v>0</v>
      </c>
      <c r="AC80">
        <f>MAX(0,ROUND(BA79*(1+'Calc base'!O80),2)-Q80-'Calc base'!AA80)</f>
        <v>0</v>
      </c>
      <c r="AD80">
        <f>MAX(0,ROUND(BB79*(1+'Calc base'!P80),2)-R80-'Calc base'!AB80)</f>
        <v>0</v>
      </c>
      <c r="AE80">
        <f>MAX(0,ROUND(BC79*(1+'Calc base'!Q80),2)-S80-'Calc base'!AC80)</f>
        <v>0</v>
      </c>
      <c r="AF80">
        <f>MAX(0,ROUND(BD79*(1+'Calc base'!R80),2)-T80-'Calc base'!AD80)</f>
        <v>0</v>
      </c>
      <c r="AG80">
        <f>MAX(0,ROUND(BE79*(1+'Calc base'!S80),2)-U80-'Calc base'!AE80)</f>
        <v>0</v>
      </c>
      <c r="AH80">
        <f>IF('Calc base'!C$14=0,0,MIN(V80,MAX(0,$E80-SUMPRODUCT($V80:$AG80,'Calc base'!$C$14:$N$14,('Calc base'!$H80:$S80&gt;'Calc base'!H80)+('Calc base'!$H80:$S80='Calc base'!H80)*('Calc base'!$C$17:$N$17&lt;'Calc base'!C$17)))))</f>
        <v>0</v>
      </c>
      <c r="AI80">
        <f>IF('Calc base'!D$14=0,0,MIN(W80,MAX(0,$E80-SUMPRODUCT($V80:$AG80,'Calc base'!$C$14:$N$14,('Calc base'!$H80:$S80&gt;'Calc base'!I80)+('Calc base'!$H80:$S80='Calc base'!I80)*('Calc base'!$C$17:$N$17&lt;'Calc base'!D$17)))))</f>
        <v>0</v>
      </c>
      <c r="AJ80">
        <f>IF('Calc base'!E$14=0,0,MIN(X80,MAX(0,$E80-SUMPRODUCT($V80:$AG80,'Calc base'!$C$14:$N$14,('Calc base'!$H80:$S80&gt;'Calc base'!J80)+('Calc base'!$H80:$S80='Calc base'!J80)*('Calc base'!$C$17:$N$17&lt;'Calc base'!E$17)))))</f>
        <v>0</v>
      </c>
      <c r="AK80">
        <f>IF('Calc base'!F$14=0,0,MIN(Y80,MAX(0,$E80-SUMPRODUCT($V80:$AG80,'Calc base'!$C$14:$N$14,('Calc base'!$H80:$S80&gt;'Calc base'!K80)+('Calc base'!$H80:$S80='Calc base'!K80)*('Calc base'!$C$17:$N$17&lt;'Calc base'!F$17)))))</f>
        <v>0</v>
      </c>
      <c r="AL80">
        <f>IF('Calc base'!G$14=0,0,MIN(Z80,MAX(0,$E80-SUMPRODUCT($V80:$AG80,'Calc base'!$C$14:$N$14,('Calc base'!$H80:$S80&gt;'Calc base'!L80)+('Calc base'!$H80:$S80='Calc base'!L80)*('Calc base'!$C$17:$N$17&lt;'Calc base'!G$17)))))</f>
        <v>0</v>
      </c>
      <c r="AM80">
        <f>IF('Calc base'!H$14=0,0,MIN(AA80,MAX(0,$E80-SUMPRODUCT($V80:$AG80,'Calc base'!$C$14:$N$14,('Calc base'!$H80:$S80&gt;'Calc base'!M80)+('Calc base'!$H80:$S80='Calc base'!M80)*('Calc base'!$C$17:$N$17&lt;'Calc base'!H$17)))))</f>
        <v>0</v>
      </c>
      <c r="AN80">
        <f>IF('Calc base'!I$14=0,0,MIN(AB80,MAX(0,$E80-SUMPRODUCT($V80:$AG80,'Calc base'!$C$14:$N$14,('Calc base'!$H80:$S80&gt;'Calc base'!N80)+('Calc base'!$H80:$S80='Calc base'!N80)*('Calc base'!$C$17:$N$17&lt;'Calc base'!I$17)))))</f>
        <v>0</v>
      </c>
      <c r="AO80">
        <f>IF('Calc base'!J$14=0,0,MIN(AC80,MAX(0,$E80-SUMPRODUCT($V80:$AG80,'Calc base'!$C$14:$N$14,('Calc base'!$H80:$S80&gt;'Calc base'!O80)+('Calc base'!$H80:$S80='Calc base'!O80)*('Calc base'!$C$17:$N$17&lt;'Calc base'!J$17)))))</f>
        <v>0</v>
      </c>
      <c r="AP80">
        <f>IF('Calc base'!K$14=0,0,MIN(AD80,MAX(0,$E80-SUMPRODUCT($V80:$AG80,'Calc base'!$C$14:$N$14,('Calc base'!$H80:$S80&gt;'Calc base'!P80)+('Calc base'!$H80:$S80='Calc base'!P80)*('Calc base'!$C$17:$N$17&lt;'Calc base'!K$17)))))</f>
        <v>0</v>
      </c>
      <c r="AQ80">
        <f>IF('Calc base'!L$14=0,0,MIN(AE80,MAX(0,$E80-SUMPRODUCT($V80:$AG80,'Calc base'!$C$14:$N$14,('Calc base'!$H80:$S80&gt;'Calc base'!Q80)+('Calc base'!$H80:$S80='Calc base'!Q80)*('Calc base'!$C$17:$N$17&lt;'Calc base'!L$17)))))</f>
        <v>0</v>
      </c>
      <c r="AR80">
        <f>IF('Calc base'!M$14=0,0,MIN(AF80,MAX(0,$E80-SUMPRODUCT($V80:$AG80,'Calc base'!$C$14:$N$14,('Calc base'!$H80:$S80&gt;'Calc base'!R80)+('Calc base'!$H80:$S80='Calc base'!R80)*('Calc base'!$C$17:$N$17&lt;'Calc base'!M$17)))))</f>
        <v>0</v>
      </c>
      <c r="AS80">
        <f>IF('Calc base'!N$14=0,0,MIN(AG80,MAX(0,$E80-SUMPRODUCT($V80:$AG80,'Calc base'!$C$14:$N$14,('Calc base'!$H80:$S80&gt;'Calc base'!S80)+('Calc base'!$H80:$S80='Calc base'!S80)*('Calc base'!$C$17:$N$17&lt;'Calc base'!N$17)))))</f>
        <v>0</v>
      </c>
      <c r="AT80">
        <f>V80-AH80</f>
        <v>0</v>
      </c>
      <c r="AU80">
        <f>W80-AI80</f>
        <v>0</v>
      </c>
      <c r="AV80">
        <f>X80-AJ80</f>
        <v>0</v>
      </c>
      <c r="AW80">
        <f>Y80-AK80</f>
        <v>0</v>
      </c>
      <c r="AX80">
        <f>Z80-AL80</f>
        <v>0</v>
      </c>
      <c r="AY80">
        <f>AA80-AM80</f>
        <v>0</v>
      </c>
      <c r="AZ80">
        <f>AB80-AN80</f>
        <v>0</v>
      </c>
      <c r="BA80">
        <f>AC80-AO80</f>
        <v>0</v>
      </c>
      <c r="BB80">
        <f>AD80-AP80</f>
        <v>0</v>
      </c>
      <c r="BC80">
        <f>AE80-AQ80</f>
        <v>0</v>
      </c>
      <c r="BD80">
        <f>AF80-AR80</f>
        <v>0</v>
      </c>
      <c r="BE80">
        <f>AG80-AS80</f>
        <v>0</v>
      </c>
    </row>
    <row r="81">
      <c r="A81" t="n">
        <v>51</v>
      </c>
      <c r="B81">
        <f>SUMPRODUCT(ROUND($AT80:$BE80*(1+'Calc base'!$H81:$S81),2))</f>
        <v>0</v>
      </c>
      <c r="C81">
        <f>SUM(J81:U81)</f>
        <v>0</v>
      </c>
      <c r="D81">
        <f>SUM(V81:AG81)</f>
        <v>0</v>
      </c>
      <c r="E81">
        <f>MAX(0,IF(Impostazioni!$B$7="No",'Calc base'!$C81-$C$31,'Calc base'!$C81-C81)+'Calc base'!$G81+'Calc base'!$F81-(B81-C81-D81))</f>
        <v>900</v>
      </c>
      <c r="F81">
        <f>SUM(AH81:AS81)</f>
        <v>0</v>
      </c>
      <c r="G81">
        <f>SUM(AT81:BE81)</f>
        <v>0</v>
      </c>
      <c r="H81">
        <f>B81-G80</f>
        <v>0</v>
      </c>
      <c r="I81">
        <f>B81-G81</f>
        <v>0</v>
      </c>
      <c r="J81">
        <f>IF(AT80&lt;=0,0,IF(ROUND(AT80*(1+'Calc base'!H81),2)-MAX('Calc base'!C$12,ROUND('Calc base'!C$13*AT80,2))&lt;1,ROUND(AT80*(1+'Calc base'!H81),2),MAX('Calc base'!C$12,ROUND('Calc base'!C$13*AT80,2))))</f>
        <v>0</v>
      </c>
      <c r="K81">
        <f>IF(AU80&lt;=0,0,IF(ROUND(AU80*(1+'Calc base'!I81),2)-MAX('Calc base'!D$12,ROUND('Calc base'!D$13*AU80,2))&lt;1,ROUND(AU80*(1+'Calc base'!I81),2),MAX('Calc base'!D$12,ROUND('Calc base'!D$13*AU80,2))))</f>
        <v>0</v>
      </c>
      <c r="L81">
        <f>IF(AV80&lt;=0,0,IF(ROUND(AV80*(1+'Calc base'!J81),2)-MAX('Calc base'!E$12,ROUND('Calc base'!E$13*AV80,2))&lt;1,ROUND(AV80*(1+'Calc base'!J81),2),MAX('Calc base'!E$12,ROUND('Calc base'!E$13*AV80,2))))</f>
        <v>0</v>
      </c>
      <c r="M81">
        <f>IF(AW80&lt;=0,0,IF(ROUND(AW80*(1+'Calc base'!K81),2)-MAX('Calc base'!F$12,ROUND('Calc base'!F$13*AW80,2))&lt;1,ROUND(AW80*(1+'Calc base'!K81),2),MAX('Calc base'!F$12,ROUND('Calc base'!F$13*AW80,2))))</f>
        <v>0</v>
      </c>
      <c r="N81">
        <f>IF(AX80&lt;=0,0,IF(ROUND(AX80*(1+'Calc base'!L81),2)-MAX('Calc base'!G$12,ROUND('Calc base'!G$13*AX80,2))&lt;1,ROUND(AX80*(1+'Calc base'!L81),2),MAX('Calc base'!G$12,ROUND('Calc base'!G$13*AX80,2))))</f>
        <v>0</v>
      </c>
      <c r="O81">
        <f>IF(AY80&lt;=0,0,IF(ROUND(AY80*(1+'Calc base'!M81),2)-MAX('Calc base'!H$12,ROUND('Calc base'!H$13*AY80,2))&lt;1,ROUND(AY80*(1+'Calc base'!M81),2),MAX('Calc base'!H$12,ROUND('Calc base'!H$13*AY80,2))))</f>
        <v>0</v>
      </c>
      <c r="P81">
        <f>IF(AZ80&lt;=0,0,IF(ROUND(AZ80*(1+'Calc base'!N81),2)-MAX('Calc base'!I$12,ROUND('Calc base'!I$13*AZ80,2))&lt;1,ROUND(AZ80*(1+'Calc base'!N81),2),MAX('Calc base'!I$12,ROUND('Calc base'!I$13*AZ80,2))))</f>
        <v>0</v>
      </c>
      <c r="Q81">
        <f>IF(BA80&lt;=0,0,IF(ROUND(BA80*(1+'Calc base'!O81),2)-MAX('Calc base'!J$12,ROUND('Calc base'!J$13*BA80,2))&lt;1,ROUND(BA80*(1+'Calc base'!O81),2),MAX('Calc base'!J$12,ROUND('Calc base'!J$13*BA80,2))))</f>
        <v>0</v>
      </c>
      <c r="R81">
        <f>IF(BB80&lt;=0,0,IF(ROUND(BB80*(1+'Calc base'!P81),2)-MAX('Calc base'!K$12,ROUND('Calc base'!K$13*BB80,2))&lt;1,ROUND(BB80*(1+'Calc base'!P81),2),MAX('Calc base'!K$12,ROUND('Calc base'!K$13*BB80,2))))</f>
        <v>0</v>
      </c>
      <c r="S81">
        <f>IF(BC80&lt;=0,0,IF(ROUND(BC80*(1+'Calc base'!Q81),2)-MAX('Calc base'!L$12,ROUND('Calc base'!L$13*BC80,2))&lt;1,ROUND(BC80*(1+'Calc base'!Q81),2),MAX('Calc base'!L$12,ROUND('Calc base'!L$13*BC80,2))))</f>
        <v>0</v>
      </c>
      <c r="T81">
        <f>IF(BD80&lt;=0,0,IF(ROUND(BD80*(1+'Calc base'!R81),2)-MAX('Calc base'!M$12,ROUND('Calc base'!M$13*BD80,2))&lt;1,ROUND(BD80*(1+'Calc base'!R81),2),MAX('Calc base'!M$12,ROUND('Calc base'!M$13*BD80,2))))</f>
        <v>0</v>
      </c>
      <c r="U81">
        <f>IF(BE80&lt;=0,0,IF(ROUND(BE80*(1+'Calc base'!S81),2)-MAX('Calc base'!N$12,ROUND('Calc base'!N$13*BE80,2))&lt;1,ROUND(BE80*(1+'Calc base'!S81),2),MAX('Calc base'!N$12,ROUND('Calc base'!N$13*BE80,2))))</f>
        <v>0</v>
      </c>
      <c r="V81">
        <f>MAX(0,ROUND(AT80*(1+'Calc base'!H81),2)-J81-'Calc base'!T81)</f>
        <v>0</v>
      </c>
      <c r="W81">
        <f>MAX(0,ROUND(AU80*(1+'Calc base'!I81),2)-K81-'Calc base'!U81)</f>
        <v>0</v>
      </c>
      <c r="X81">
        <f>MAX(0,ROUND(AV80*(1+'Calc base'!J81),2)-L81-'Calc base'!V81)</f>
        <v>0</v>
      </c>
      <c r="Y81">
        <f>MAX(0,ROUND(AW80*(1+'Calc base'!K81),2)-M81-'Calc base'!W81)</f>
        <v>0</v>
      </c>
      <c r="Z81">
        <f>MAX(0,ROUND(AX80*(1+'Calc base'!L81),2)-N81-'Calc base'!X81)</f>
        <v>0</v>
      </c>
      <c r="AA81">
        <f>MAX(0,ROUND(AY80*(1+'Calc base'!M81),2)-O81-'Calc base'!Y81)</f>
        <v>0</v>
      </c>
      <c r="AB81">
        <f>MAX(0,ROUND(AZ80*(1+'Calc base'!N81),2)-P81-'Calc base'!Z81)</f>
        <v>0</v>
      </c>
      <c r="AC81">
        <f>MAX(0,ROUND(BA80*(1+'Calc base'!O81),2)-Q81-'Calc base'!AA81)</f>
        <v>0</v>
      </c>
      <c r="AD81">
        <f>MAX(0,ROUND(BB80*(1+'Calc base'!P81),2)-R81-'Calc base'!AB81)</f>
        <v>0</v>
      </c>
      <c r="AE81">
        <f>MAX(0,ROUND(BC80*(1+'Calc base'!Q81),2)-S81-'Calc base'!AC81)</f>
        <v>0</v>
      </c>
      <c r="AF81">
        <f>MAX(0,ROUND(BD80*(1+'Calc base'!R81),2)-T81-'Calc base'!AD81)</f>
        <v>0</v>
      </c>
      <c r="AG81">
        <f>MAX(0,ROUND(BE80*(1+'Calc base'!S81),2)-U81-'Calc base'!AE81)</f>
        <v>0</v>
      </c>
      <c r="AH81">
        <f>IF('Calc base'!C$14=0,0,MIN(V81,MAX(0,$E81-SUMPRODUCT($V81:$AG81,'Calc base'!$C$14:$N$14,('Calc base'!$H81:$S81&gt;'Calc base'!H81)+('Calc base'!$H81:$S81='Calc base'!H81)*('Calc base'!$C$17:$N$17&lt;'Calc base'!C$17)))))</f>
        <v>0</v>
      </c>
      <c r="AI81">
        <f>IF('Calc base'!D$14=0,0,MIN(W81,MAX(0,$E81-SUMPRODUCT($V81:$AG81,'Calc base'!$C$14:$N$14,('Calc base'!$H81:$S81&gt;'Calc base'!I81)+('Calc base'!$H81:$S81='Calc base'!I81)*('Calc base'!$C$17:$N$17&lt;'Calc base'!D$17)))))</f>
        <v>0</v>
      </c>
      <c r="AJ81">
        <f>IF('Calc base'!E$14=0,0,MIN(X81,MAX(0,$E81-SUMPRODUCT($V81:$AG81,'Calc base'!$C$14:$N$14,('Calc base'!$H81:$S81&gt;'Calc base'!J81)+('Calc base'!$H81:$S81='Calc base'!J81)*('Calc base'!$C$17:$N$17&lt;'Calc base'!E$17)))))</f>
        <v>0</v>
      </c>
      <c r="AK81">
        <f>IF('Calc base'!F$14=0,0,MIN(Y81,MAX(0,$E81-SUMPRODUCT($V81:$AG81,'Calc base'!$C$14:$N$14,('Calc base'!$H81:$S81&gt;'Calc base'!K81)+('Calc base'!$H81:$S81='Calc base'!K81)*('Calc base'!$C$17:$N$17&lt;'Calc base'!F$17)))))</f>
        <v>0</v>
      </c>
      <c r="AL81">
        <f>IF('Calc base'!G$14=0,0,MIN(Z81,MAX(0,$E81-SUMPRODUCT($V81:$AG81,'Calc base'!$C$14:$N$14,('Calc base'!$H81:$S81&gt;'Calc base'!L81)+('Calc base'!$H81:$S81='Calc base'!L81)*('Calc base'!$C$17:$N$17&lt;'Calc base'!G$17)))))</f>
        <v>0</v>
      </c>
      <c r="AM81">
        <f>IF('Calc base'!H$14=0,0,MIN(AA81,MAX(0,$E81-SUMPRODUCT($V81:$AG81,'Calc base'!$C$14:$N$14,('Calc base'!$H81:$S81&gt;'Calc base'!M81)+('Calc base'!$H81:$S81='Calc base'!M81)*('Calc base'!$C$17:$N$17&lt;'Calc base'!H$17)))))</f>
        <v>0</v>
      </c>
      <c r="AN81">
        <f>IF('Calc base'!I$14=0,0,MIN(AB81,MAX(0,$E81-SUMPRODUCT($V81:$AG81,'Calc base'!$C$14:$N$14,('Calc base'!$H81:$S81&gt;'Calc base'!N81)+('Calc base'!$H81:$S81='Calc base'!N81)*('Calc base'!$C$17:$N$17&lt;'Calc base'!I$17)))))</f>
        <v>0</v>
      </c>
      <c r="AO81">
        <f>IF('Calc base'!J$14=0,0,MIN(AC81,MAX(0,$E81-SUMPRODUCT($V81:$AG81,'Calc base'!$C$14:$N$14,('Calc base'!$H81:$S81&gt;'Calc base'!O81)+('Calc base'!$H81:$S81='Calc base'!O81)*('Calc base'!$C$17:$N$17&lt;'Calc base'!J$17)))))</f>
        <v>0</v>
      </c>
      <c r="AP81">
        <f>IF('Calc base'!K$14=0,0,MIN(AD81,MAX(0,$E81-SUMPRODUCT($V81:$AG81,'Calc base'!$C$14:$N$14,('Calc base'!$H81:$S81&gt;'Calc base'!P81)+('Calc base'!$H81:$S81='Calc base'!P81)*('Calc base'!$C$17:$N$17&lt;'Calc base'!K$17)))))</f>
        <v>0</v>
      </c>
      <c r="AQ81">
        <f>IF('Calc base'!L$14=0,0,MIN(AE81,MAX(0,$E81-SUMPRODUCT($V81:$AG81,'Calc base'!$C$14:$N$14,('Calc base'!$H81:$S81&gt;'Calc base'!Q81)+('Calc base'!$H81:$S81='Calc base'!Q81)*('Calc base'!$C$17:$N$17&lt;'Calc base'!L$17)))))</f>
        <v>0</v>
      </c>
      <c r="AR81">
        <f>IF('Calc base'!M$14=0,0,MIN(AF81,MAX(0,$E81-SUMPRODUCT($V81:$AG81,'Calc base'!$C$14:$N$14,('Calc base'!$H81:$S81&gt;'Calc base'!R81)+('Calc base'!$H81:$S81='Calc base'!R81)*('Calc base'!$C$17:$N$17&lt;'Calc base'!M$17)))))</f>
        <v>0</v>
      </c>
      <c r="AS81">
        <f>IF('Calc base'!N$14=0,0,MIN(AG81,MAX(0,$E81-SUMPRODUCT($V81:$AG81,'Calc base'!$C$14:$N$14,('Calc base'!$H81:$S81&gt;'Calc base'!S81)+('Calc base'!$H81:$S81='Calc base'!S81)*('Calc base'!$C$17:$N$17&lt;'Calc base'!N$17)))))</f>
        <v>0</v>
      </c>
      <c r="AT81">
        <f>V81-AH81</f>
        <v>0</v>
      </c>
      <c r="AU81">
        <f>W81-AI81</f>
        <v>0</v>
      </c>
      <c r="AV81">
        <f>X81-AJ81</f>
        <v>0</v>
      </c>
      <c r="AW81">
        <f>Y81-AK81</f>
        <v>0</v>
      </c>
      <c r="AX81">
        <f>Z81-AL81</f>
        <v>0</v>
      </c>
      <c r="AY81">
        <f>AA81-AM81</f>
        <v>0</v>
      </c>
      <c r="AZ81">
        <f>AB81-AN81</f>
        <v>0</v>
      </c>
      <c r="BA81">
        <f>AC81-AO81</f>
        <v>0</v>
      </c>
      <c r="BB81">
        <f>AD81-AP81</f>
        <v>0</v>
      </c>
      <c r="BC81">
        <f>AE81-AQ81</f>
        <v>0</v>
      </c>
      <c r="BD81">
        <f>AF81-AR81</f>
        <v>0</v>
      </c>
      <c r="BE81">
        <f>AG81-AS81</f>
        <v>0</v>
      </c>
    </row>
    <row r="82">
      <c r="A82" t="n">
        <v>52</v>
      </c>
      <c r="B82">
        <f>SUMPRODUCT(ROUND($AT81:$BE81*(1+'Calc base'!$H82:$S82),2))</f>
        <v>0</v>
      </c>
      <c r="C82">
        <f>SUM(J82:U82)</f>
        <v>0</v>
      </c>
      <c r="D82">
        <f>SUM(V82:AG82)</f>
        <v>0</v>
      </c>
      <c r="E82">
        <f>MAX(0,IF(Impostazioni!$B$7="No",'Calc base'!$C82-$C$31,'Calc base'!$C82-C82)+'Calc base'!$G82+'Calc base'!$F82-(B82-C82-D82))</f>
        <v>900</v>
      </c>
      <c r="F82">
        <f>SUM(AH82:AS82)</f>
        <v>0</v>
      </c>
      <c r="G82">
        <f>SUM(AT82:BE82)</f>
        <v>0</v>
      </c>
      <c r="H82">
        <f>B82-G81</f>
        <v>0</v>
      </c>
      <c r="I82">
        <f>B82-G82</f>
        <v>0</v>
      </c>
      <c r="J82">
        <f>IF(AT81&lt;=0,0,IF(ROUND(AT81*(1+'Calc base'!H82),2)-MAX('Calc base'!C$12,ROUND('Calc base'!C$13*AT81,2))&lt;1,ROUND(AT81*(1+'Calc base'!H82),2),MAX('Calc base'!C$12,ROUND('Calc base'!C$13*AT81,2))))</f>
        <v>0</v>
      </c>
      <c r="K82">
        <f>IF(AU81&lt;=0,0,IF(ROUND(AU81*(1+'Calc base'!I82),2)-MAX('Calc base'!D$12,ROUND('Calc base'!D$13*AU81,2))&lt;1,ROUND(AU81*(1+'Calc base'!I82),2),MAX('Calc base'!D$12,ROUND('Calc base'!D$13*AU81,2))))</f>
        <v>0</v>
      </c>
      <c r="L82">
        <f>IF(AV81&lt;=0,0,IF(ROUND(AV81*(1+'Calc base'!J82),2)-MAX('Calc base'!E$12,ROUND('Calc base'!E$13*AV81,2))&lt;1,ROUND(AV81*(1+'Calc base'!J82),2),MAX('Calc base'!E$12,ROUND('Calc base'!E$13*AV81,2))))</f>
        <v>0</v>
      </c>
      <c r="M82">
        <f>IF(AW81&lt;=0,0,IF(ROUND(AW81*(1+'Calc base'!K82),2)-MAX('Calc base'!F$12,ROUND('Calc base'!F$13*AW81,2))&lt;1,ROUND(AW81*(1+'Calc base'!K82),2),MAX('Calc base'!F$12,ROUND('Calc base'!F$13*AW81,2))))</f>
        <v>0</v>
      </c>
      <c r="N82">
        <f>IF(AX81&lt;=0,0,IF(ROUND(AX81*(1+'Calc base'!L82),2)-MAX('Calc base'!G$12,ROUND('Calc base'!G$13*AX81,2))&lt;1,ROUND(AX81*(1+'Calc base'!L82),2),MAX('Calc base'!G$12,ROUND('Calc base'!G$13*AX81,2))))</f>
        <v>0</v>
      </c>
      <c r="O82">
        <f>IF(AY81&lt;=0,0,IF(ROUND(AY81*(1+'Calc base'!M82),2)-MAX('Calc base'!H$12,ROUND('Calc base'!H$13*AY81,2))&lt;1,ROUND(AY81*(1+'Calc base'!M82),2),MAX('Calc base'!H$12,ROUND('Calc base'!H$13*AY81,2))))</f>
        <v>0</v>
      </c>
      <c r="P82">
        <f>IF(AZ81&lt;=0,0,IF(ROUND(AZ81*(1+'Calc base'!N82),2)-MAX('Calc base'!I$12,ROUND('Calc base'!I$13*AZ81,2))&lt;1,ROUND(AZ81*(1+'Calc base'!N82),2),MAX('Calc base'!I$12,ROUND('Calc base'!I$13*AZ81,2))))</f>
        <v>0</v>
      </c>
      <c r="Q82">
        <f>IF(BA81&lt;=0,0,IF(ROUND(BA81*(1+'Calc base'!O82),2)-MAX('Calc base'!J$12,ROUND('Calc base'!J$13*BA81,2))&lt;1,ROUND(BA81*(1+'Calc base'!O82),2),MAX('Calc base'!J$12,ROUND('Calc base'!J$13*BA81,2))))</f>
        <v>0</v>
      </c>
      <c r="R82">
        <f>IF(BB81&lt;=0,0,IF(ROUND(BB81*(1+'Calc base'!P82),2)-MAX('Calc base'!K$12,ROUND('Calc base'!K$13*BB81,2))&lt;1,ROUND(BB81*(1+'Calc base'!P82),2),MAX('Calc base'!K$12,ROUND('Calc base'!K$13*BB81,2))))</f>
        <v>0</v>
      </c>
      <c r="S82">
        <f>IF(BC81&lt;=0,0,IF(ROUND(BC81*(1+'Calc base'!Q82),2)-MAX('Calc base'!L$12,ROUND('Calc base'!L$13*BC81,2))&lt;1,ROUND(BC81*(1+'Calc base'!Q82),2),MAX('Calc base'!L$12,ROUND('Calc base'!L$13*BC81,2))))</f>
        <v>0</v>
      </c>
      <c r="T82">
        <f>IF(BD81&lt;=0,0,IF(ROUND(BD81*(1+'Calc base'!R82),2)-MAX('Calc base'!M$12,ROUND('Calc base'!M$13*BD81,2))&lt;1,ROUND(BD81*(1+'Calc base'!R82),2),MAX('Calc base'!M$12,ROUND('Calc base'!M$13*BD81,2))))</f>
        <v>0</v>
      </c>
      <c r="U82">
        <f>IF(BE81&lt;=0,0,IF(ROUND(BE81*(1+'Calc base'!S82),2)-MAX('Calc base'!N$12,ROUND('Calc base'!N$13*BE81,2))&lt;1,ROUND(BE81*(1+'Calc base'!S82),2),MAX('Calc base'!N$12,ROUND('Calc base'!N$13*BE81,2))))</f>
        <v>0</v>
      </c>
      <c r="V82">
        <f>MAX(0,ROUND(AT81*(1+'Calc base'!H82),2)-J82-'Calc base'!T82)</f>
        <v>0</v>
      </c>
      <c r="W82">
        <f>MAX(0,ROUND(AU81*(1+'Calc base'!I82),2)-K82-'Calc base'!U82)</f>
        <v>0</v>
      </c>
      <c r="X82">
        <f>MAX(0,ROUND(AV81*(1+'Calc base'!J82),2)-L82-'Calc base'!V82)</f>
        <v>0</v>
      </c>
      <c r="Y82">
        <f>MAX(0,ROUND(AW81*(1+'Calc base'!K82),2)-M82-'Calc base'!W82)</f>
        <v>0</v>
      </c>
      <c r="Z82">
        <f>MAX(0,ROUND(AX81*(1+'Calc base'!L82),2)-N82-'Calc base'!X82)</f>
        <v>0</v>
      </c>
      <c r="AA82">
        <f>MAX(0,ROUND(AY81*(1+'Calc base'!M82),2)-O82-'Calc base'!Y82)</f>
        <v>0</v>
      </c>
      <c r="AB82">
        <f>MAX(0,ROUND(AZ81*(1+'Calc base'!N82),2)-P82-'Calc base'!Z82)</f>
        <v>0</v>
      </c>
      <c r="AC82">
        <f>MAX(0,ROUND(BA81*(1+'Calc base'!O82),2)-Q82-'Calc base'!AA82)</f>
        <v>0</v>
      </c>
      <c r="AD82">
        <f>MAX(0,ROUND(BB81*(1+'Calc base'!P82),2)-R82-'Calc base'!AB82)</f>
        <v>0</v>
      </c>
      <c r="AE82">
        <f>MAX(0,ROUND(BC81*(1+'Calc base'!Q82),2)-S82-'Calc base'!AC82)</f>
        <v>0</v>
      </c>
      <c r="AF82">
        <f>MAX(0,ROUND(BD81*(1+'Calc base'!R82),2)-T82-'Calc base'!AD82)</f>
        <v>0</v>
      </c>
      <c r="AG82">
        <f>MAX(0,ROUND(BE81*(1+'Calc base'!S82),2)-U82-'Calc base'!AE82)</f>
        <v>0</v>
      </c>
      <c r="AH82">
        <f>IF('Calc base'!C$14=0,0,MIN(V82,MAX(0,$E82-SUMPRODUCT($V82:$AG82,'Calc base'!$C$14:$N$14,('Calc base'!$H82:$S82&gt;'Calc base'!H82)+('Calc base'!$H82:$S82='Calc base'!H82)*('Calc base'!$C$17:$N$17&lt;'Calc base'!C$17)))))</f>
        <v>0</v>
      </c>
      <c r="AI82">
        <f>IF('Calc base'!D$14=0,0,MIN(W82,MAX(0,$E82-SUMPRODUCT($V82:$AG82,'Calc base'!$C$14:$N$14,('Calc base'!$H82:$S82&gt;'Calc base'!I82)+('Calc base'!$H82:$S82='Calc base'!I82)*('Calc base'!$C$17:$N$17&lt;'Calc base'!D$17)))))</f>
        <v>0</v>
      </c>
      <c r="AJ82">
        <f>IF('Calc base'!E$14=0,0,MIN(X82,MAX(0,$E82-SUMPRODUCT($V82:$AG82,'Calc base'!$C$14:$N$14,('Calc base'!$H82:$S82&gt;'Calc base'!J82)+('Calc base'!$H82:$S82='Calc base'!J82)*('Calc base'!$C$17:$N$17&lt;'Calc base'!E$17)))))</f>
        <v>0</v>
      </c>
      <c r="AK82">
        <f>IF('Calc base'!F$14=0,0,MIN(Y82,MAX(0,$E82-SUMPRODUCT($V82:$AG82,'Calc base'!$C$14:$N$14,('Calc base'!$H82:$S82&gt;'Calc base'!K82)+('Calc base'!$H82:$S82='Calc base'!K82)*('Calc base'!$C$17:$N$17&lt;'Calc base'!F$17)))))</f>
        <v>0</v>
      </c>
      <c r="AL82">
        <f>IF('Calc base'!G$14=0,0,MIN(Z82,MAX(0,$E82-SUMPRODUCT($V82:$AG82,'Calc base'!$C$14:$N$14,('Calc base'!$H82:$S82&gt;'Calc base'!L82)+('Calc base'!$H82:$S82='Calc base'!L82)*('Calc base'!$C$17:$N$17&lt;'Calc base'!G$17)))))</f>
        <v>0</v>
      </c>
      <c r="AM82">
        <f>IF('Calc base'!H$14=0,0,MIN(AA82,MAX(0,$E82-SUMPRODUCT($V82:$AG82,'Calc base'!$C$14:$N$14,('Calc base'!$H82:$S82&gt;'Calc base'!M82)+('Calc base'!$H82:$S82='Calc base'!M82)*('Calc base'!$C$17:$N$17&lt;'Calc base'!H$17)))))</f>
        <v>0</v>
      </c>
      <c r="AN82">
        <f>IF('Calc base'!I$14=0,0,MIN(AB82,MAX(0,$E82-SUMPRODUCT($V82:$AG82,'Calc base'!$C$14:$N$14,('Calc base'!$H82:$S82&gt;'Calc base'!N82)+('Calc base'!$H82:$S82='Calc base'!N82)*('Calc base'!$C$17:$N$17&lt;'Calc base'!I$17)))))</f>
        <v>0</v>
      </c>
      <c r="AO82">
        <f>IF('Calc base'!J$14=0,0,MIN(AC82,MAX(0,$E82-SUMPRODUCT($V82:$AG82,'Calc base'!$C$14:$N$14,('Calc base'!$H82:$S82&gt;'Calc base'!O82)+('Calc base'!$H82:$S82='Calc base'!O82)*('Calc base'!$C$17:$N$17&lt;'Calc base'!J$17)))))</f>
        <v>0</v>
      </c>
      <c r="AP82">
        <f>IF('Calc base'!K$14=0,0,MIN(AD82,MAX(0,$E82-SUMPRODUCT($V82:$AG82,'Calc base'!$C$14:$N$14,('Calc base'!$H82:$S82&gt;'Calc base'!P82)+('Calc base'!$H82:$S82='Calc base'!P82)*('Calc base'!$C$17:$N$17&lt;'Calc base'!K$17)))))</f>
        <v>0</v>
      </c>
      <c r="AQ82">
        <f>IF('Calc base'!L$14=0,0,MIN(AE82,MAX(0,$E82-SUMPRODUCT($V82:$AG82,'Calc base'!$C$14:$N$14,('Calc base'!$H82:$S82&gt;'Calc base'!Q82)+('Calc base'!$H82:$S82='Calc base'!Q82)*('Calc base'!$C$17:$N$17&lt;'Calc base'!L$17)))))</f>
        <v>0</v>
      </c>
      <c r="AR82">
        <f>IF('Calc base'!M$14=0,0,MIN(AF82,MAX(0,$E82-SUMPRODUCT($V82:$AG82,'Calc base'!$C$14:$N$14,('Calc base'!$H82:$S82&gt;'Calc base'!R82)+('Calc base'!$H82:$S82='Calc base'!R82)*('Calc base'!$C$17:$N$17&lt;'Calc base'!M$17)))))</f>
        <v>0</v>
      </c>
      <c r="AS82">
        <f>IF('Calc base'!N$14=0,0,MIN(AG82,MAX(0,$E82-SUMPRODUCT($V82:$AG82,'Calc base'!$C$14:$N$14,('Calc base'!$H82:$S82&gt;'Calc base'!S82)+('Calc base'!$H82:$S82='Calc base'!S82)*('Calc base'!$C$17:$N$17&lt;'Calc base'!N$17)))))</f>
        <v>0</v>
      </c>
      <c r="AT82">
        <f>V82-AH82</f>
        <v>0</v>
      </c>
      <c r="AU82">
        <f>W82-AI82</f>
        <v>0</v>
      </c>
      <c r="AV82">
        <f>X82-AJ82</f>
        <v>0</v>
      </c>
      <c r="AW82">
        <f>Y82-AK82</f>
        <v>0</v>
      </c>
      <c r="AX82">
        <f>Z82-AL82</f>
        <v>0</v>
      </c>
      <c r="AY82">
        <f>AA82-AM82</f>
        <v>0</v>
      </c>
      <c r="AZ82">
        <f>AB82-AN82</f>
        <v>0</v>
      </c>
      <c r="BA82">
        <f>AC82-AO82</f>
        <v>0</v>
      </c>
      <c r="BB82">
        <f>AD82-AP82</f>
        <v>0</v>
      </c>
      <c r="BC82">
        <f>AE82-AQ82</f>
        <v>0</v>
      </c>
      <c r="BD82">
        <f>AF82-AR82</f>
        <v>0</v>
      </c>
      <c r="BE82">
        <f>AG82-AS82</f>
        <v>0</v>
      </c>
    </row>
    <row r="83">
      <c r="A83" t="n">
        <v>53</v>
      </c>
      <c r="B83">
        <f>SUMPRODUCT(ROUND($AT82:$BE82*(1+'Calc base'!$H83:$S83),2))</f>
        <v>0</v>
      </c>
      <c r="C83">
        <f>SUM(J83:U83)</f>
        <v>0</v>
      </c>
      <c r="D83">
        <f>SUM(V83:AG83)</f>
        <v>0</v>
      </c>
      <c r="E83">
        <f>MAX(0,IF(Impostazioni!$B$7="No",'Calc base'!$C83-$C$31,'Calc base'!$C83-C83)+'Calc base'!$G83+'Calc base'!$F83-(B83-C83-D83))</f>
        <v>900</v>
      </c>
      <c r="F83">
        <f>SUM(AH83:AS83)</f>
        <v>0</v>
      </c>
      <c r="G83">
        <f>SUM(AT83:BE83)</f>
        <v>0</v>
      </c>
      <c r="H83">
        <f>B83-G82</f>
        <v>0</v>
      </c>
      <c r="I83">
        <f>B83-G83</f>
        <v>0</v>
      </c>
      <c r="J83">
        <f>IF(AT82&lt;=0,0,IF(ROUND(AT82*(1+'Calc base'!H83),2)-MAX('Calc base'!C$12,ROUND('Calc base'!C$13*AT82,2))&lt;1,ROUND(AT82*(1+'Calc base'!H83),2),MAX('Calc base'!C$12,ROUND('Calc base'!C$13*AT82,2))))</f>
        <v>0</v>
      </c>
      <c r="K83">
        <f>IF(AU82&lt;=0,0,IF(ROUND(AU82*(1+'Calc base'!I83),2)-MAX('Calc base'!D$12,ROUND('Calc base'!D$13*AU82,2))&lt;1,ROUND(AU82*(1+'Calc base'!I83),2),MAX('Calc base'!D$12,ROUND('Calc base'!D$13*AU82,2))))</f>
        <v>0</v>
      </c>
      <c r="L83">
        <f>IF(AV82&lt;=0,0,IF(ROUND(AV82*(1+'Calc base'!J83),2)-MAX('Calc base'!E$12,ROUND('Calc base'!E$13*AV82,2))&lt;1,ROUND(AV82*(1+'Calc base'!J83),2),MAX('Calc base'!E$12,ROUND('Calc base'!E$13*AV82,2))))</f>
        <v>0</v>
      </c>
      <c r="M83">
        <f>IF(AW82&lt;=0,0,IF(ROUND(AW82*(1+'Calc base'!K83),2)-MAX('Calc base'!F$12,ROUND('Calc base'!F$13*AW82,2))&lt;1,ROUND(AW82*(1+'Calc base'!K83),2),MAX('Calc base'!F$12,ROUND('Calc base'!F$13*AW82,2))))</f>
        <v>0</v>
      </c>
      <c r="N83">
        <f>IF(AX82&lt;=0,0,IF(ROUND(AX82*(1+'Calc base'!L83),2)-MAX('Calc base'!G$12,ROUND('Calc base'!G$13*AX82,2))&lt;1,ROUND(AX82*(1+'Calc base'!L83),2),MAX('Calc base'!G$12,ROUND('Calc base'!G$13*AX82,2))))</f>
        <v>0</v>
      </c>
      <c r="O83">
        <f>IF(AY82&lt;=0,0,IF(ROUND(AY82*(1+'Calc base'!M83),2)-MAX('Calc base'!H$12,ROUND('Calc base'!H$13*AY82,2))&lt;1,ROUND(AY82*(1+'Calc base'!M83),2),MAX('Calc base'!H$12,ROUND('Calc base'!H$13*AY82,2))))</f>
        <v>0</v>
      </c>
      <c r="P83">
        <f>IF(AZ82&lt;=0,0,IF(ROUND(AZ82*(1+'Calc base'!N83),2)-MAX('Calc base'!I$12,ROUND('Calc base'!I$13*AZ82,2))&lt;1,ROUND(AZ82*(1+'Calc base'!N83),2),MAX('Calc base'!I$12,ROUND('Calc base'!I$13*AZ82,2))))</f>
        <v>0</v>
      </c>
      <c r="Q83">
        <f>IF(BA82&lt;=0,0,IF(ROUND(BA82*(1+'Calc base'!O83),2)-MAX('Calc base'!J$12,ROUND('Calc base'!J$13*BA82,2))&lt;1,ROUND(BA82*(1+'Calc base'!O83),2),MAX('Calc base'!J$12,ROUND('Calc base'!J$13*BA82,2))))</f>
        <v>0</v>
      </c>
      <c r="R83">
        <f>IF(BB82&lt;=0,0,IF(ROUND(BB82*(1+'Calc base'!P83),2)-MAX('Calc base'!K$12,ROUND('Calc base'!K$13*BB82,2))&lt;1,ROUND(BB82*(1+'Calc base'!P83),2),MAX('Calc base'!K$12,ROUND('Calc base'!K$13*BB82,2))))</f>
        <v>0</v>
      </c>
      <c r="S83">
        <f>IF(BC82&lt;=0,0,IF(ROUND(BC82*(1+'Calc base'!Q83),2)-MAX('Calc base'!L$12,ROUND('Calc base'!L$13*BC82,2))&lt;1,ROUND(BC82*(1+'Calc base'!Q83),2),MAX('Calc base'!L$12,ROUND('Calc base'!L$13*BC82,2))))</f>
        <v>0</v>
      </c>
      <c r="T83">
        <f>IF(BD82&lt;=0,0,IF(ROUND(BD82*(1+'Calc base'!R83),2)-MAX('Calc base'!M$12,ROUND('Calc base'!M$13*BD82,2))&lt;1,ROUND(BD82*(1+'Calc base'!R83),2),MAX('Calc base'!M$12,ROUND('Calc base'!M$13*BD82,2))))</f>
        <v>0</v>
      </c>
      <c r="U83">
        <f>IF(BE82&lt;=0,0,IF(ROUND(BE82*(1+'Calc base'!S83),2)-MAX('Calc base'!N$12,ROUND('Calc base'!N$13*BE82,2))&lt;1,ROUND(BE82*(1+'Calc base'!S83),2),MAX('Calc base'!N$12,ROUND('Calc base'!N$13*BE82,2))))</f>
        <v>0</v>
      </c>
      <c r="V83">
        <f>MAX(0,ROUND(AT82*(1+'Calc base'!H83),2)-J83-'Calc base'!T83)</f>
        <v>0</v>
      </c>
      <c r="W83">
        <f>MAX(0,ROUND(AU82*(1+'Calc base'!I83),2)-K83-'Calc base'!U83)</f>
        <v>0</v>
      </c>
      <c r="X83">
        <f>MAX(0,ROUND(AV82*(1+'Calc base'!J83),2)-L83-'Calc base'!V83)</f>
        <v>0</v>
      </c>
      <c r="Y83">
        <f>MAX(0,ROUND(AW82*(1+'Calc base'!K83),2)-M83-'Calc base'!W83)</f>
        <v>0</v>
      </c>
      <c r="Z83">
        <f>MAX(0,ROUND(AX82*(1+'Calc base'!L83),2)-N83-'Calc base'!X83)</f>
        <v>0</v>
      </c>
      <c r="AA83">
        <f>MAX(0,ROUND(AY82*(1+'Calc base'!M83),2)-O83-'Calc base'!Y83)</f>
        <v>0</v>
      </c>
      <c r="AB83">
        <f>MAX(0,ROUND(AZ82*(1+'Calc base'!N83),2)-P83-'Calc base'!Z83)</f>
        <v>0</v>
      </c>
      <c r="AC83">
        <f>MAX(0,ROUND(BA82*(1+'Calc base'!O83),2)-Q83-'Calc base'!AA83)</f>
        <v>0</v>
      </c>
      <c r="AD83">
        <f>MAX(0,ROUND(BB82*(1+'Calc base'!P83),2)-R83-'Calc base'!AB83)</f>
        <v>0</v>
      </c>
      <c r="AE83">
        <f>MAX(0,ROUND(BC82*(1+'Calc base'!Q83),2)-S83-'Calc base'!AC83)</f>
        <v>0</v>
      </c>
      <c r="AF83">
        <f>MAX(0,ROUND(BD82*(1+'Calc base'!R83),2)-T83-'Calc base'!AD83)</f>
        <v>0</v>
      </c>
      <c r="AG83">
        <f>MAX(0,ROUND(BE82*(1+'Calc base'!S83),2)-U83-'Calc base'!AE83)</f>
        <v>0</v>
      </c>
      <c r="AH83">
        <f>IF('Calc base'!C$14=0,0,MIN(V83,MAX(0,$E83-SUMPRODUCT($V83:$AG83,'Calc base'!$C$14:$N$14,('Calc base'!$H83:$S83&gt;'Calc base'!H83)+('Calc base'!$H83:$S83='Calc base'!H83)*('Calc base'!$C$17:$N$17&lt;'Calc base'!C$17)))))</f>
        <v>0</v>
      </c>
      <c r="AI83">
        <f>IF('Calc base'!D$14=0,0,MIN(W83,MAX(0,$E83-SUMPRODUCT($V83:$AG83,'Calc base'!$C$14:$N$14,('Calc base'!$H83:$S83&gt;'Calc base'!I83)+('Calc base'!$H83:$S83='Calc base'!I83)*('Calc base'!$C$17:$N$17&lt;'Calc base'!D$17)))))</f>
        <v>0</v>
      </c>
      <c r="AJ83">
        <f>IF('Calc base'!E$14=0,0,MIN(X83,MAX(0,$E83-SUMPRODUCT($V83:$AG83,'Calc base'!$C$14:$N$14,('Calc base'!$H83:$S83&gt;'Calc base'!J83)+('Calc base'!$H83:$S83='Calc base'!J83)*('Calc base'!$C$17:$N$17&lt;'Calc base'!E$17)))))</f>
        <v>0</v>
      </c>
      <c r="AK83">
        <f>IF('Calc base'!F$14=0,0,MIN(Y83,MAX(0,$E83-SUMPRODUCT($V83:$AG83,'Calc base'!$C$14:$N$14,('Calc base'!$H83:$S83&gt;'Calc base'!K83)+('Calc base'!$H83:$S83='Calc base'!K83)*('Calc base'!$C$17:$N$17&lt;'Calc base'!F$17)))))</f>
        <v>0</v>
      </c>
      <c r="AL83">
        <f>IF('Calc base'!G$14=0,0,MIN(Z83,MAX(0,$E83-SUMPRODUCT($V83:$AG83,'Calc base'!$C$14:$N$14,('Calc base'!$H83:$S83&gt;'Calc base'!L83)+('Calc base'!$H83:$S83='Calc base'!L83)*('Calc base'!$C$17:$N$17&lt;'Calc base'!G$17)))))</f>
        <v>0</v>
      </c>
      <c r="AM83">
        <f>IF('Calc base'!H$14=0,0,MIN(AA83,MAX(0,$E83-SUMPRODUCT($V83:$AG83,'Calc base'!$C$14:$N$14,('Calc base'!$H83:$S83&gt;'Calc base'!M83)+('Calc base'!$H83:$S83='Calc base'!M83)*('Calc base'!$C$17:$N$17&lt;'Calc base'!H$17)))))</f>
        <v>0</v>
      </c>
      <c r="AN83">
        <f>IF('Calc base'!I$14=0,0,MIN(AB83,MAX(0,$E83-SUMPRODUCT($V83:$AG83,'Calc base'!$C$14:$N$14,('Calc base'!$H83:$S83&gt;'Calc base'!N83)+('Calc base'!$H83:$S83='Calc base'!N83)*('Calc base'!$C$17:$N$17&lt;'Calc base'!I$17)))))</f>
        <v>0</v>
      </c>
      <c r="AO83">
        <f>IF('Calc base'!J$14=0,0,MIN(AC83,MAX(0,$E83-SUMPRODUCT($V83:$AG83,'Calc base'!$C$14:$N$14,('Calc base'!$H83:$S83&gt;'Calc base'!O83)+('Calc base'!$H83:$S83='Calc base'!O83)*('Calc base'!$C$17:$N$17&lt;'Calc base'!J$17)))))</f>
        <v>0</v>
      </c>
      <c r="AP83">
        <f>IF('Calc base'!K$14=0,0,MIN(AD83,MAX(0,$E83-SUMPRODUCT($V83:$AG83,'Calc base'!$C$14:$N$14,('Calc base'!$H83:$S83&gt;'Calc base'!P83)+('Calc base'!$H83:$S83='Calc base'!P83)*('Calc base'!$C$17:$N$17&lt;'Calc base'!K$17)))))</f>
        <v>0</v>
      </c>
      <c r="AQ83">
        <f>IF('Calc base'!L$14=0,0,MIN(AE83,MAX(0,$E83-SUMPRODUCT($V83:$AG83,'Calc base'!$C$14:$N$14,('Calc base'!$H83:$S83&gt;'Calc base'!Q83)+('Calc base'!$H83:$S83='Calc base'!Q83)*('Calc base'!$C$17:$N$17&lt;'Calc base'!L$17)))))</f>
        <v>0</v>
      </c>
      <c r="AR83">
        <f>IF('Calc base'!M$14=0,0,MIN(AF83,MAX(0,$E83-SUMPRODUCT($V83:$AG83,'Calc base'!$C$14:$N$14,('Calc base'!$H83:$S83&gt;'Calc base'!R83)+('Calc base'!$H83:$S83='Calc base'!R83)*('Calc base'!$C$17:$N$17&lt;'Calc base'!M$17)))))</f>
        <v>0</v>
      </c>
      <c r="AS83">
        <f>IF('Calc base'!N$14=0,0,MIN(AG83,MAX(0,$E83-SUMPRODUCT($V83:$AG83,'Calc base'!$C$14:$N$14,('Calc base'!$H83:$S83&gt;'Calc base'!S83)+('Calc base'!$H83:$S83='Calc base'!S83)*('Calc base'!$C$17:$N$17&lt;'Calc base'!N$17)))))</f>
        <v>0</v>
      </c>
      <c r="AT83">
        <f>V83-AH83</f>
        <v>0</v>
      </c>
      <c r="AU83">
        <f>W83-AI83</f>
        <v>0</v>
      </c>
      <c r="AV83">
        <f>X83-AJ83</f>
        <v>0</v>
      </c>
      <c r="AW83">
        <f>Y83-AK83</f>
        <v>0</v>
      </c>
      <c r="AX83">
        <f>Z83-AL83</f>
        <v>0</v>
      </c>
      <c r="AY83">
        <f>AA83-AM83</f>
        <v>0</v>
      </c>
      <c r="AZ83">
        <f>AB83-AN83</f>
        <v>0</v>
      </c>
      <c r="BA83">
        <f>AC83-AO83</f>
        <v>0</v>
      </c>
      <c r="BB83">
        <f>AD83-AP83</f>
        <v>0</v>
      </c>
      <c r="BC83">
        <f>AE83-AQ83</f>
        <v>0</v>
      </c>
      <c r="BD83">
        <f>AF83-AR83</f>
        <v>0</v>
      </c>
      <c r="BE83">
        <f>AG83-AS83</f>
        <v>0</v>
      </c>
    </row>
    <row r="84">
      <c r="A84" t="n">
        <v>54</v>
      </c>
      <c r="B84">
        <f>SUMPRODUCT(ROUND($AT83:$BE83*(1+'Calc base'!$H84:$S84),2))</f>
        <v>0</v>
      </c>
      <c r="C84">
        <f>SUM(J84:U84)</f>
        <v>0</v>
      </c>
      <c r="D84">
        <f>SUM(V84:AG84)</f>
        <v>0</v>
      </c>
      <c r="E84">
        <f>MAX(0,IF(Impostazioni!$B$7="No",'Calc base'!$C84-$C$31,'Calc base'!$C84-C84)+'Calc base'!$G84+'Calc base'!$F84-(B84-C84-D84))</f>
        <v>900</v>
      </c>
      <c r="F84">
        <f>SUM(AH84:AS84)</f>
        <v>0</v>
      </c>
      <c r="G84">
        <f>SUM(AT84:BE84)</f>
        <v>0</v>
      </c>
      <c r="H84">
        <f>B84-G83</f>
        <v>0</v>
      </c>
      <c r="I84">
        <f>B84-G84</f>
        <v>0</v>
      </c>
      <c r="J84">
        <f>IF(AT83&lt;=0,0,IF(ROUND(AT83*(1+'Calc base'!H84),2)-MAX('Calc base'!C$12,ROUND('Calc base'!C$13*AT83,2))&lt;1,ROUND(AT83*(1+'Calc base'!H84),2),MAX('Calc base'!C$12,ROUND('Calc base'!C$13*AT83,2))))</f>
        <v>0</v>
      </c>
      <c r="K84">
        <f>IF(AU83&lt;=0,0,IF(ROUND(AU83*(1+'Calc base'!I84),2)-MAX('Calc base'!D$12,ROUND('Calc base'!D$13*AU83,2))&lt;1,ROUND(AU83*(1+'Calc base'!I84),2),MAX('Calc base'!D$12,ROUND('Calc base'!D$13*AU83,2))))</f>
        <v>0</v>
      </c>
      <c r="L84">
        <f>IF(AV83&lt;=0,0,IF(ROUND(AV83*(1+'Calc base'!J84),2)-MAX('Calc base'!E$12,ROUND('Calc base'!E$13*AV83,2))&lt;1,ROUND(AV83*(1+'Calc base'!J84),2),MAX('Calc base'!E$12,ROUND('Calc base'!E$13*AV83,2))))</f>
        <v>0</v>
      </c>
      <c r="M84">
        <f>IF(AW83&lt;=0,0,IF(ROUND(AW83*(1+'Calc base'!K84),2)-MAX('Calc base'!F$12,ROUND('Calc base'!F$13*AW83,2))&lt;1,ROUND(AW83*(1+'Calc base'!K84),2),MAX('Calc base'!F$12,ROUND('Calc base'!F$13*AW83,2))))</f>
        <v>0</v>
      </c>
      <c r="N84">
        <f>IF(AX83&lt;=0,0,IF(ROUND(AX83*(1+'Calc base'!L84),2)-MAX('Calc base'!G$12,ROUND('Calc base'!G$13*AX83,2))&lt;1,ROUND(AX83*(1+'Calc base'!L84),2),MAX('Calc base'!G$12,ROUND('Calc base'!G$13*AX83,2))))</f>
        <v>0</v>
      </c>
      <c r="O84">
        <f>IF(AY83&lt;=0,0,IF(ROUND(AY83*(1+'Calc base'!M84),2)-MAX('Calc base'!H$12,ROUND('Calc base'!H$13*AY83,2))&lt;1,ROUND(AY83*(1+'Calc base'!M84),2),MAX('Calc base'!H$12,ROUND('Calc base'!H$13*AY83,2))))</f>
        <v>0</v>
      </c>
      <c r="P84">
        <f>IF(AZ83&lt;=0,0,IF(ROUND(AZ83*(1+'Calc base'!N84),2)-MAX('Calc base'!I$12,ROUND('Calc base'!I$13*AZ83,2))&lt;1,ROUND(AZ83*(1+'Calc base'!N84),2),MAX('Calc base'!I$12,ROUND('Calc base'!I$13*AZ83,2))))</f>
        <v>0</v>
      </c>
      <c r="Q84">
        <f>IF(BA83&lt;=0,0,IF(ROUND(BA83*(1+'Calc base'!O84),2)-MAX('Calc base'!J$12,ROUND('Calc base'!J$13*BA83,2))&lt;1,ROUND(BA83*(1+'Calc base'!O84),2),MAX('Calc base'!J$12,ROUND('Calc base'!J$13*BA83,2))))</f>
        <v>0</v>
      </c>
      <c r="R84">
        <f>IF(BB83&lt;=0,0,IF(ROUND(BB83*(1+'Calc base'!P84),2)-MAX('Calc base'!K$12,ROUND('Calc base'!K$13*BB83,2))&lt;1,ROUND(BB83*(1+'Calc base'!P84),2),MAX('Calc base'!K$12,ROUND('Calc base'!K$13*BB83,2))))</f>
        <v>0</v>
      </c>
      <c r="S84">
        <f>IF(BC83&lt;=0,0,IF(ROUND(BC83*(1+'Calc base'!Q84),2)-MAX('Calc base'!L$12,ROUND('Calc base'!L$13*BC83,2))&lt;1,ROUND(BC83*(1+'Calc base'!Q84),2),MAX('Calc base'!L$12,ROUND('Calc base'!L$13*BC83,2))))</f>
        <v>0</v>
      </c>
      <c r="T84">
        <f>IF(BD83&lt;=0,0,IF(ROUND(BD83*(1+'Calc base'!R84),2)-MAX('Calc base'!M$12,ROUND('Calc base'!M$13*BD83,2))&lt;1,ROUND(BD83*(1+'Calc base'!R84),2),MAX('Calc base'!M$12,ROUND('Calc base'!M$13*BD83,2))))</f>
        <v>0</v>
      </c>
      <c r="U84">
        <f>IF(BE83&lt;=0,0,IF(ROUND(BE83*(1+'Calc base'!S84),2)-MAX('Calc base'!N$12,ROUND('Calc base'!N$13*BE83,2))&lt;1,ROUND(BE83*(1+'Calc base'!S84),2),MAX('Calc base'!N$12,ROUND('Calc base'!N$13*BE83,2))))</f>
        <v>0</v>
      </c>
      <c r="V84">
        <f>MAX(0,ROUND(AT83*(1+'Calc base'!H84),2)-J84-'Calc base'!T84)</f>
        <v>0</v>
      </c>
      <c r="W84">
        <f>MAX(0,ROUND(AU83*(1+'Calc base'!I84),2)-K84-'Calc base'!U84)</f>
        <v>0</v>
      </c>
      <c r="X84">
        <f>MAX(0,ROUND(AV83*(1+'Calc base'!J84),2)-L84-'Calc base'!V84)</f>
        <v>0</v>
      </c>
      <c r="Y84">
        <f>MAX(0,ROUND(AW83*(1+'Calc base'!K84),2)-M84-'Calc base'!W84)</f>
        <v>0</v>
      </c>
      <c r="Z84">
        <f>MAX(0,ROUND(AX83*(1+'Calc base'!L84),2)-N84-'Calc base'!X84)</f>
        <v>0</v>
      </c>
      <c r="AA84">
        <f>MAX(0,ROUND(AY83*(1+'Calc base'!M84),2)-O84-'Calc base'!Y84)</f>
        <v>0</v>
      </c>
      <c r="AB84">
        <f>MAX(0,ROUND(AZ83*(1+'Calc base'!N84),2)-P84-'Calc base'!Z84)</f>
        <v>0</v>
      </c>
      <c r="AC84">
        <f>MAX(0,ROUND(BA83*(1+'Calc base'!O84),2)-Q84-'Calc base'!AA84)</f>
        <v>0</v>
      </c>
      <c r="AD84">
        <f>MAX(0,ROUND(BB83*(1+'Calc base'!P84),2)-R84-'Calc base'!AB84)</f>
        <v>0</v>
      </c>
      <c r="AE84">
        <f>MAX(0,ROUND(BC83*(1+'Calc base'!Q84),2)-S84-'Calc base'!AC84)</f>
        <v>0</v>
      </c>
      <c r="AF84">
        <f>MAX(0,ROUND(BD83*(1+'Calc base'!R84),2)-T84-'Calc base'!AD84)</f>
        <v>0</v>
      </c>
      <c r="AG84">
        <f>MAX(0,ROUND(BE83*(1+'Calc base'!S84),2)-U84-'Calc base'!AE84)</f>
        <v>0</v>
      </c>
      <c r="AH84">
        <f>IF('Calc base'!C$14=0,0,MIN(V84,MAX(0,$E84-SUMPRODUCT($V84:$AG84,'Calc base'!$C$14:$N$14,('Calc base'!$H84:$S84&gt;'Calc base'!H84)+('Calc base'!$H84:$S84='Calc base'!H84)*('Calc base'!$C$17:$N$17&lt;'Calc base'!C$17)))))</f>
        <v>0</v>
      </c>
      <c r="AI84">
        <f>IF('Calc base'!D$14=0,0,MIN(W84,MAX(0,$E84-SUMPRODUCT($V84:$AG84,'Calc base'!$C$14:$N$14,('Calc base'!$H84:$S84&gt;'Calc base'!I84)+('Calc base'!$H84:$S84='Calc base'!I84)*('Calc base'!$C$17:$N$17&lt;'Calc base'!D$17)))))</f>
        <v>0</v>
      </c>
      <c r="AJ84">
        <f>IF('Calc base'!E$14=0,0,MIN(X84,MAX(0,$E84-SUMPRODUCT($V84:$AG84,'Calc base'!$C$14:$N$14,('Calc base'!$H84:$S84&gt;'Calc base'!J84)+('Calc base'!$H84:$S84='Calc base'!J84)*('Calc base'!$C$17:$N$17&lt;'Calc base'!E$17)))))</f>
        <v>0</v>
      </c>
      <c r="AK84">
        <f>IF('Calc base'!F$14=0,0,MIN(Y84,MAX(0,$E84-SUMPRODUCT($V84:$AG84,'Calc base'!$C$14:$N$14,('Calc base'!$H84:$S84&gt;'Calc base'!K84)+('Calc base'!$H84:$S84='Calc base'!K84)*('Calc base'!$C$17:$N$17&lt;'Calc base'!F$17)))))</f>
        <v>0</v>
      </c>
      <c r="AL84">
        <f>IF('Calc base'!G$14=0,0,MIN(Z84,MAX(0,$E84-SUMPRODUCT($V84:$AG84,'Calc base'!$C$14:$N$14,('Calc base'!$H84:$S84&gt;'Calc base'!L84)+('Calc base'!$H84:$S84='Calc base'!L84)*('Calc base'!$C$17:$N$17&lt;'Calc base'!G$17)))))</f>
        <v>0</v>
      </c>
      <c r="AM84">
        <f>IF('Calc base'!H$14=0,0,MIN(AA84,MAX(0,$E84-SUMPRODUCT($V84:$AG84,'Calc base'!$C$14:$N$14,('Calc base'!$H84:$S84&gt;'Calc base'!M84)+('Calc base'!$H84:$S84='Calc base'!M84)*('Calc base'!$C$17:$N$17&lt;'Calc base'!H$17)))))</f>
        <v>0</v>
      </c>
      <c r="AN84">
        <f>IF('Calc base'!I$14=0,0,MIN(AB84,MAX(0,$E84-SUMPRODUCT($V84:$AG84,'Calc base'!$C$14:$N$14,('Calc base'!$H84:$S84&gt;'Calc base'!N84)+('Calc base'!$H84:$S84='Calc base'!N84)*('Calc base'!$C$17:$N$17&lt;'Calc base'!I$17)))))</f>
        <v>0</v>
      </c>
      <c r="AO84">
        <f>IF('Calc base'!J$14=0,0,MIN(AC84,MAX(0,$E84-SUMPRODUCT($V84:$AG84,'Calc base'!$C$14:$N$14,('Calc base'!$H84:$S84&gt;'Calc base'!O84)+('Calc base'!$H84:$S84='Calc base'!O84)*('Calc base'!$C$17:$N$17&lt;'Calc base'!J$17)))))</f>
        <v>0</v>
      </c>
      <c r="AP84">
        <f>IF('Calc base'!K$14=0,0,MIN(AD84,MAX(0,$E84-SUMPRODUCT($V84:$AG84,'Calc base'!$C$14:$N$14,('Calc base'!$H84:$S84&gt;'Calc base'!P84)+('Calc base'!$H84:$S84='Calc base'!P84)*('Calc base'!$C$17:$N$17&lt;'Calc base'!K$17)))))</f>
        <v>0</v>
      </c>
      <c r="AQ84">
        <f>IF('Calc base'!L$14=0,0,MIN(AE84,MAX(0,$E84-SUMPRODUCT($V84:$AG84,'Calc base'!$C$14:$N$14,('Calc base'!$H84:$S84&gt;'Calc base'!Q84)+('Calc base'!$H84:$S84='Calc base'!Q84)*('Calc base'!$C$17:$N$17&lt;'Calc base'!L$17)))))</f>
        <v>0</v>
      </c>
      <c r="AR84">
        <f>IF('Calc base'!M$14=0,0,MIN(AF84,MAX(0,$E84-SUMPRODUCT($V84:$AG84,'Calc base'!$C$14:$N$14,('Calc base'!$H84:$S84&gt;'Calc base'!R84)+('Calc base'!$H84:$S84='Calc base'!R84)*('Calc base'!$C$17:$N$17&lt;'Calc base'!M$17)))))</f>
        <v>0</v>
      </c>
      <c r="AS84">
        <f>IF('Calc base'!N$14=0,0,MIN(AG84,MAX(0,$E84-SUMPRODUCT($V84:$AG84,'Calc base'!$C$14:$N$14,('Calc base'!$H84:$S84&gt;'Calc base'!S84)+('Calc base'!$H84:$S84='Calc base'!S84)*('Calc base'!$C$17:$N$17&lt;'Calc base'!N$17)))))</f>
        <v>0</v>
      </c>
      <c r="AT84">
        <f>V84-AH84</f>
        <v>0</v>
      </c>
      <c r="AU84">
        <f>W84-AI84</f>
        <v>0</v>
      </c>
      <c r="AV84">
        <f>X84-AJ84</f>
        <v>0</v>
      </c>
      <c r="AW84">
        <f>Y84-AK84</f>
        <v>0</v>
      </c>
      <c r="AX84">
        <f>Z84-AL84</f>
        <v>0</v>
      </c>
      <c r="AY84">
        <f>AA84-AM84</f>
        <v>0</v>
      </c>
      <c r="AZ84">
        <f>AB84-AN84</f>
        <v>0</v>
      </c>
      <c r="BA84">
        <f>AC84-AO84</f>
        <v>0</v>
      </c>
      <c r="BB84">
        <f>AD84-AP84</f>
        <v>0</v>
      </c>
      <c r="BC84">
        <f>AE84-AQ84</f>
        <v>0</v>
      </c>
      <c r="BD84">
        <f>AF84-AR84</f>
        <v>0</v>
      </c>
      <c r="BE84">
        <f>AG84-AS84</f>
        <v>0</v>
      </c>
    </row>
    <row r="85">
      <c r="A85" t="n">
        <v>55</v>
      </c>
      <c r="B85">
        <f>SUMPRODUCT(ROUND($AT84:$BE84*(1+'Calc base'!$H85:$S85),2))</f>
        <v>0</v>
      </c>
      <c r="C85">
        <f>SUM(J85:U85)</f>
        <v>0</v>
      </c>
      <c r="D85">
        <f>SUM(V85:AG85)</f>
        <v>0</v>
      </c>
      <c r="E85">
        <f>MAX(0,IF(Impostazioni!$B$7="No",'Calc base'!$C85-$C$31,'Calc base'!$C85-C85)+'Calc base'!$G85+'Calc base'!$F85-(B85-C85-D85))</f>
        <v>900</v>
      </c>
      <c r="F85">
        <f>SUM(AH85:AS85)</f>
        <v>0</v>
      </c>
      <c r="G85">
        <f>SUM(AT85:BE85)</f>
        <v>0</v>
      </c>
      <c r="H85">
        <f>B85-G84</f>
        <v>0</v>
      </c>
      <c r="I85">
        <f>B85-G85</f>
        <v>0</v>
      </c>
      <c r="J85">
        <f>IF(AT84&lt;=0,0,IF(ROUND(AT84*(1+'Calc base'!H85),2)-MAX('Calc base'!C$12,ROUND('Calc base'!C$13*AT84,2))&lt;1,ROUND(AT84*(1+'Calc base'!H85),2),MAX('Calc base'!C$12,ROUND('Calc base'!C$13*AT84,2))))</f>
        <v>0</v>
      </c>
      <c r="K85">
        <f>IF(AU84&lt;=0,0,IF(ROUND(AU84*(1+'Calc base'!I85),2)-MAX('Calc base'!D$12,ROUND('Calc base'!D$13*AU84,2))&lt;1,ROUND(AU84*(1+'Calc base'!I85),2),MAX('Calc base'!D$12,ROUND('Calc base'!D$13*AU84,2))))</f>
        <v>0</v>
      </c>
      <c r="L85">
        <f>IF(AV84&lt;=0,0,IF(ROUND(AV84*(1+'Calc base'!J85),2)-MAX('Calc base'!E$12,ROUND('Calc base'!E$13*AV84,2))&lt;1,ROUND(AV84*(1+'Calc base'!J85),2),MAX('Calc base'!E$12,ROUND('Calc base'!E$13*AV84,2))))</f>
        <v>0</v>
      </c>
      <c r="M85">
        <f>IF(AW84&lt;=0,0,IF(ROUND(AW84*(1+'Calc base'!K85),2)-MAX('Calc base'!F$12,ROUND('Calc base'!F$13*AW84,2))&lt;1,ROUND(AW84*(1+'Calc base'!K85),2),MAX('Calc base'!F$12,ROUND('Calc base'!F$13*AW84,2))))</f>
        <v>0</v>
      </c>
      <c r="N85">
        <f>IF(AX84&lt;=0,0,IF(ROUND(AX84*(1+'Calc base'!L85),2)-MAX('Calc base'!G$12,ROUND('Calc base'!G$13*AX84,2))&lt;1,ROUND(AX84*(1+'Calc base'!L85),2),MAX('Calc base'!G$12,ROUND('Calc base'!G$13*AX84,2))))</f>
        <v>0</v>
      </c>
      <c r="O85">
        <f>IF(AY84&lt;=0,0,IF(ROUND(AY84*(1+'Calc base'!M85),2)-MAX('Calc base'!H$12,ROUND('Calc base'!H$13*AY84,2))&lt;1,ROUND(AY84*(1+'Calc base'!M85),2),MAX('Calc base'!H$12,ROUND('Calc base'!H$13*AY84,2))))</f>
        <v>0</v>
      </c>
      <c r="P85">
        <f>IF(AZ84&lt;=0,0,IF(ROUND(AZ84*(1+'Calc base'!N85),2)-MAX('Calc base'!I$12,ROUND('Calc base'!I$13*AZ84,2))&lt;1,ROUND(AZ84*(1+'Calc base'!N85),2),MAX('Calc base'!I$12,ROUND('Calc base'!I$13*AZ84,2))))</f>
        <v>0</v>
      </c>
      <c r="Q85">
        <f>IF(BA84&lt;=0,0,IF(ROUND(BA84*(1+'Calc base'!O85),2)-MAX('Calc base'!J$12,ROUND('Calc base'!J$13*BA84,2))&lt;1,ROUND(BA84*(1+'Calc base'!O85),2),MAX('Calc base'!J$12,ROUND('Calc base'!J$13*BA84,2))))</f>
        <v>0</v>
      </c>
      <c r="R85">
        <f>IF(BB84&lt;=0,0,IF(ROUND(BB84*(1+'Calc base'!P85),2)-MAX('Calc base'!K$12,ROUND('Calc base'!K$13*BB84,2))&lt;1,ROUND(BB84*(1+'Calc base'!P85),2),MAX('Calc base'!K$12,ROUND('Calc base'!K$13*BB84,2))))</f>
        <v>0</v>
      </c>
      <c r="S85">
        <f>IF(BC84&lt;=0,0,IF(ROUND(BC84*(1+'Calc base'!Q85),2)-MAX('Calc base'!L$12,ROUND('Calc base'!L$13*BC84,2))&lt;1,ROUND(BC84*(1+'Calc base'!Q85),2),MAX('Calc base'!L$12,ROUND('Calc base'!L$13*BC84,2))))</f>
        <v>0</v>
      </c>
      <c r="T85">
        <f>IF(BD84&lt;=0,0,IF(ROUND(BD84*(1+'Calc base'!R85),2)-MAX('Calc base'!M$12,ROUND('Calc base'!M$13*BD84,2))&lt;1,ROUND(BD84*(1+'Calc base'!R85),2),MAX('Calc base'!M$12,ROUND('Calc base'!M$13*BD84,2))))</f>
        <v>0</v>
      </c>
      <c r="U85">
        <f>IF(BE84&lt;=0,0,IF(ROUND(BE84*(1+'Calc base'!S85),2)-MAX('Calc base'!N$12,ROUND('Calc base'!N$13*BE84,2))&lt;1,ROUND(BE84*(1+'Calc base'!S85),2),MAX('Calc base'!N$12,ROUND('Calc base'!N$13*BE84,2))))</f>
        <v>0</v>
      </c>
      <c r="V85">
        <f>MAX(0,ROUND(AT84*(1+'Calc base'!H85),2)-J85-'Calc base'!T85)</f>
        <v>0</v>
      </c>
      <c r="W85">
        <f>MAX(0,ROUND(AU84*(1+'Calc base'!I85),2)-K85-'Calc base'!U85)</f>
        <v>0</v>
      </c>
      <c r="X85">
        <f>MAX(0,ROUND(AV84*(1+'Calc base'!J85),2)-L85-'Calc base'!V85)</f>
        <v>0</v>
      </c>
      <c r="Y85">
        <f>MAX(0,ROUND(AW84*(1+'Calc base'!K85),2)-M85-'Calc base'!W85)</f>
        <v>0</v>
      </c>
      <c r="Z85">
        <f>MAX(0,ROUND(AX84*(1+'Calc base'!L85),2)-N85-'Calc base'!X85)</f>
        <v>0</v>
      </c>
      <c r="AA85">
        <f>MAX(0,ROUND(AY84*(1+'Calc base'!M85),2)-O85-'Calc base'!Y85)</f>
        <v>0</v>
      </c>
      <c r="AB85">
        <f>MAX(0,ROUND(AZ84*(1+'Calc base'!N85),2)-P85-'Calc base'!Z85)</f>
        <v>0</v>
      </c>
      <c r="AC85">
        <f>MAX(0,ROUND(BA84*(1+'Calc base'!O85),2)-Q85-'Calc base'!AA85)</f>
        <v>0</v>
      </c>
      <c r="AD85">
        <f>MAX(0,ROUND(BB84*(1+'Calc base'!P85),2)-R85-'Calc base'!AB85)</f>
        <v>0</v>
      </c>
      <c r="AE85">
        <f>MAX(0,ROUND(BC84*(1+'Calc base'!Q85),2)-S85-'Calc base'!AC85)</f>
        <v>0</v>
      </c>
      <c r="AF85">
        <f>MAX(0,ROUND(BD84*(1+'Calc base'!R85),2)-T85-'Calc base'!AD85)</f>
        <v>0</v>
      </c>
      <c r="AG85">
        <f>MAX(0,ROUND(BE84*(1+'Calc base'!S85),2)-U85-'Calc base'!AE85)</f>
        <v>0</v>
      </c>
      <c r="AH85">
        <f>IF('Calc base'!C$14=0,0,MIN(V85,MAX(0,$E85-SUMPRODUCT($V85:$AG85,'Calc base'!$C$14:$N$14,('Calc base'!$H85:$S85&gt;'Calc base'!H85)+('Calc base'!$H85:$S85='Calc base'!H85)*('Calc base'!$C$17:$N$17&lt;'Calc base'!C$17)))))</f>
        <v>0</v>
      </c>
      <c r="AI85">
        <f>IF('Calc base'!D$14=0,0,MIN(W85,MAX(0,$E85-SUMPRODUCT($V85:$AG85,'Calc base'!$C$14:$N$14,('Calc base'!$H85:$S85&gt;'Calc base'!I85)+('Calc base'!$H85:$S85='Calc base'!I85)*('Calc base'!$C$17:$N$17&lt;'Calc base'!D$17)))))</f>
        <v>0</v>
      </c>
      <c r="AJ85">
        <f>IF('Calc base'!E$14=0,0,MIN(X85,MAX(0,$E85-SUMPRODUCT($V85:$AG85,'Calc base'!$C$14:$N$14,('Calc base'!$H85:$S85&gt;'Calc base'!J85)+('Calc base'!$H85:$S85='Calc base'!J85)*('Calc base'!$C$17:$N$17&lt;'Calc base'!E$17)))))</f>
        <v>0</v>
      </c>
      <c r="AK85">
        <f>IF('Calc base'!F$14=0,0,MIN(Y85,MAX(0,$E85-SUMPRODUCT($V85:$AG85,'Calc base'!$C$14:$N$14,('Calc base'!$H85:$S85&gt;'Calc base'!K85)+('Calc base'!$H85:$S85='Calc base'!K85)*('Calc base'!$C$17:$N$17&lt;'Calc base'!F$17)))))</f>
        <v>0</v>
      </c>
      <c r="AL85">
        <f>IF('Calc base'!G$14=0,0,MIN(Z85,MAX(0,$E85-SUMPRODUCT($V85:$AG85,'Calc base'!$C$14:$N$14,('Calc base'!$H85:$S85&gt;'Calc base'!L85)+('Calc base'!$H85:$S85='Calc base'!L85)*('Calc base'!$C$17:$N$17&lt;'Calc base'!G$17)))))</f>
        <v>0</v>
      </c>
      <c r="AM85">
        <f>IF('Calc base'!H$14=0,0,MIN(AA85,MAX(0,$E85-SUMPRODUCT($V85:$AG85,'Calc base'!$C$14:$N$14,('Calc base'!$H85:$S85&gt;'Calc base'!M85)+('Calc base'!$H85:$S85='Calc base'!M85)*('Calc base'!$C$17:$N$17&lt;'Calc base'!H$17)))))</f>
        <v>0</v>
      </c>
      <c r="AN85">
        <f>IF('Calc base'!I$14=0,0,MIN(AB85,MAX(0,$E85-SUMPRODUCT($V85:$AG85,'Calc base'!$C$14:$N$14,('Calc base'!$H85:$S85&gt;'Calc base'!N85)+('Calc base'!$H85:$S85='Calc base'!N85)*('Calc base'!$C$17:$N$17&lt;'Calc base'!I$17)))))</f>
        <v>0</v>
      </c>
      <c r="AO85">
        <f>IF('Calc base'!J$14=0,0,MIN(AC85,MAX(0,$E85-SUMPRODUCT($V85:$AG85,'Calc base'!$C$14:$N$14,('Calc base'!$H85:$S85&gt;'Calc base'!O85)+('Calc base'!$H85:$S85='Calc base'!O85)*('Calc base'!$C$17:$N$17&lt;'Calc base'!J$17)))))</f>
        <v>0</v>
      </c>
      <c r="AP85">
        <f>IF('Calc base'!K$14=0,0,MIN(AD85,MAX(0,$E85-SUMPRODUCT($V85:$AG85,'Calc base'!$C$14:$N$14,('Calc base'!$H85:$S85&gt;'Calc base'!P85)+('Calc base'!$H85:$S85='Calc base'!P85)*('Calc base'!$C$17:$N$17&lt;'Calc base'!K$17)))))</f>
        <v>0</v>
      </c>
      <c r="AQ85">
        <f>IF('Calc base'!L$14=0,0,MIN(AE85,MAX(0,$E85-SUMPRODUCT($V85:$AG85,'Calc base'!$C$14:$N$14,('Calc base'!$H85:$S85&gt;'Calc base'!Q85)+('Calc base'!$H85:$S85='Calc base'!Q85)*('Calc base'!$C$17:$N$17&lt;'Calc base'!L$17)))))</f>
        <v>0</v>
      </c>
      <c r="AR85">
        <f>IF('Calc base'!M$14=0,0,MIN(AF85,MAX(0,$E85-SUMPRODUCT($V85:$AG85,'Calc base'!$C$14:$N$14,('Calc base'!$H85:$S85&gt;'Calc base'!R85)+('Calc base'!$H85:$S85='Calc base'!R85)*('Calc base'!$C$17:$N$17&lt;'Calc base'!M$17)))))</f>
        <v>0</v>
      </c>
      <c r="AS85">
        <f>IF('Calc base'!N$14=0,0,MIN(AG85,MAX(0,$E85-SUMPRODUCT($V85:$AG85,'Calc base'!$C$14:$N$14,('Calc base'!$H85:$S85&gt;'Calc base'!S85)+('Calc base'!$H85:$S85='Calc base'!S85)*('Calc base'!$C$17:$N$17&lt;'Calc base'!N$17)))))</f>
        <v>0</v>
      </c>
      <c r="AT85">
        <f>V85-AH85</f>
        <v>0</v>
      </c>
      <c r="AU85">
        <f>W85-AI85</f>
        <v>0</v>
      </c>
      <c r="AV85">
        <f>X85-AJ85</f>
        <v>0</v>
      </c>
      <c r="AW85">
        <f>Y85-AK85</f>
        <v>0</v>
      </c>
      <c r="AX85">
        <f>Z85-AL85</f>
        <v>0</v>
      </c>
      <c r="AY85">
        <f>AA85-AM85</f>
        <v>0</v>
      </c>
      <c r="AZ85">
        <f>AB85-AN85</f>
        <v>0</v>
      </c>
      <c r="BA85">
        <f>AC85-AO85</f>
        <v>0</v>
      </c>
      <c r="BB85">
        <f>AD85-AP85</f>
        <v>0</v>
      </c>
      <c r="BC85">
        <f>AE85-AQ85</f>
        <v>0</v>
      </c>
      <c r="BD85">
        <f>AF85-AR85</f>
        <v>0</v>
      </c>
      <c r="BE85">
        <f>AG85-AS85</f>
        <v>0</v>
      </c>
    </row>
    <row r="86">
      <c r="A86" t="n">
        <v>56</v>
      </c>
      <c r="B86">
        <f>SUMPRODUCT(ROUND($AT85:$BE85*(1+'Calc base'!$H86:$S86),2))</f>
        <v>0</v>
      </c>
      <c r="C86">
        <f>SUM(J86:U86)</f>
        <v>0</v>
      </c>
      <c r="D86">
        <f>SUM(V86:AG86)</f>
        <v>0</v>
      </c>
      <c r="E86">
        <f>MAX(0,IF(Impostazioni!$B$7="No",'Calc base'!$C86-$C$31,'Calc base'!$C86-C86)+'Calc base'!$G86+'Calc base'!$F86-(B86-C86-D86))</f>
        <v>900</v>
      </c>
      <c r="F86">
        <f>SUM(AH86:AS86)</f>
        <v>0</v>
      </c>
      <c r="G86">
        <f>SUM(AT86:BE86)</f>
        <v>0</v>
      </c>
      <c r="H86">
        <f>B86-G85</f>
        <v>0</v>
      </c>
      <c r="I86">
        <f>B86-G86</f>
        <v>0</v>
      </c>
      <c r="J86">
        <f>IF(AT85&lt;=0,0,IF(ROUND(AT85*(1+'Calc base'!H86),2)-MAX('Calc base'!C$12,ROUND('Calc base'!C$13*AT85,2))&lt;1,ROUND(AT85*(1+'Calc base'!H86),2),MAX('Calc base'!C$12,ROUND('Calc base'!C$13*AT85,2))))</f>
        <v>0</v>
      </c>
      <c r="K86">
        <f>IF(AU85&lt;=0,0,IF(ROUND(AU85*(1+'Calc base'!I86),2)-MAX('Calc base'!D$12,ROUND('Calc base'!D$13*AU85,2))&lt;1,ROUND(AU85*(1+'Calc base'!I86),2),MAX('Calc base'!D$12,ROUND('Calc base'!D$13*AU85,2))))</f>
        <v>0</v>
      </c>
      <c r="L86">
        <f>IF(AV85&lt;=0,0,IF(ROUND(AV85*(1+'Calc base'!J86),2)-MAX('Calc base'!E$12,ROUND('Calc base'!E$13*AV85,2))&lt;1,ROUND(AV85*(1+'Calc base'!J86),2),MAX('Calc base'!E$12,ROUND('Calc base'!E$13*AV85,2))))</f>
        <v>0</v>
      </c>
      <c r="M86">
        <f>IF(AW85&lt;=0,0,IF(ROUND(AW85*(1+'Calc base'!K86),2)-MAX('Calc base'!F$12,ROUND('Calc base'!F$13*AW85,2))&lt;1,ROUND(AW85*(1+'Calc base'!K86),2),MAX('Calc base'!F$12,ROUND('Calc base'!F$13*AW85,2))))</f>
        <v>0</v>
      </c>
      <c r="N86">
        <f>IF(AX85&lt;=0,0,IF(ROUND(AX85*(1+'Calc base'!L86),2)-MAX('Calc base'!G$12,ROUND('Calc base'!G$13*AX85,2))&lt;1,ROUND(AX85*(1+'Calc base'!L86),2),MAX('Calc base'!G$12,ROUND('Calc base'!G$13*AX85,2))))</f>
        <v>0</v>
      </c>
      <c r="O86">
        <f>IF(AY85&lt;=0,0,IF(ROUND(AY85*(1+'Calc base'!M86),2)-MAX('Calc base'!H$12,ROUND('Calc base'!H$13*AY85,2))&lt;1,ROUND(AY85*(1+'Calc base'!M86),2),MAX('Calc base'!H$12,ROUND('Calc base'!H$13*AY85,2))))</f>
        <v>0</v>
      </c>
      <c r="P86">
        <f>IF(AZ85&lt;=0,0,IF(ROUND(AZ85*(1+'Calc base'!N86),2)-MAX('Calc base'!I$12,ROUND('Calc base'!I$13*AZ85,2))&lt;1,ROUND(AZ85*(1+'Calc base'!N86),2),MAX('Calc base'!I$12,ROUND('Calc base'!I$13*AZ85,2))))</f>
        <v>0</v>
      </c>
      <c r="Q86">
        <f>IF(BA85&lt;=0,0,IF(ROUND(BA85*(1+'Calc base'!O86),2)-MAX('Calc base'!J$12,ROUND('Calc base'!J$13*BA85,2))&lt;1,ROUND(BA85*(1+'Calc base'!O86),2),MAX('Calc base'!J$12,ROUND('Calc base'!J$13*BA85,2))))</f>
        <v>0</v>
      </c>
      <c r="R86">
        <f>IF(BB85&lt;=0,0,IF(ROUND(BB85*(1+'Calc base'!P86),2)-MAX('Calc base'!K$12,ROUND('Calc base'!K$13*BB85,2))&lt;1,ROUND(BB85*(1+'Calc base'!P86),2),MAX('Calc base'!K$12,ROUND('Calc base'!K$13*BB85,2))))</f>
        <v>0</v>
      </c>
      <c r="S86">
        <f>IF(BC85&lt;=0,0,IF(ROUND(BC85*(1+'Calc base'!Q86),2)-MAX('Calc base'!L$12,ROUND('Calc base'!L$13*BC85,2))&lt;1,ROUND(BC85*(1+'Calc base'!Q86),2),MAX('Calc base'!L$12,ROUND('Calc base'!L$13*BC85,2))))</f>
        <v>0</v>
      </c>
      <c r="T86">
        <f>IF(BD85&lt;=0,0,IF(ROUND(BD85*(1+'Calc base'!R86),2)-MAX('Calc base'!M$12,ROUND('Calc base'!M$13*BD85,2))&lt;1,ROUND(BD85*(1+'Calc base'!R86),2),MAX('Calc base'!M$12,ROUND('Calc base'!M$13*BD85,2))))</f>
        <v>0</v>
      </c>
      <c r="U86">
        <f>IF(BE85&lt;=0,0,IF(ROUND(BE85*(1+'Calc base'!S86),2)-MAX('Calc base'!N$12,ROUND('Calc base'!N$13*BE85,2))&lt;1,ROUND(BE85*(1+'Calc base'!S86),2),MAX('Calc base'!N$12,ROUND('Calc base'!N$13*BE85,2))))</f>
        <v>0</v>
      </c>
      <c r="V86">
        <f>MAX(0,ROUND(AT85*(1+'Calc base'!H86),2)-J86-'Calc base'!T86)</f>
        <v>0</v>
      </c>
      <c r="W86">
        <f>MAX(0,ROUND(AU85*(1+'Calc base'!I86),2)-K86-'Calc base'!U86)</f>
        <v>0</v>
      </c>
      <c r="X86">
        <f>MAX(0,ROUND(AV85*(1+'Calc base'!J86),2)-L86-'Calc base'!V86)</f>
        <v>0</v>
      </c>
      <c r="Y86">
        <f>MAX(0,ROUND(AW85*(1+'Calc base'!K86),2)-M86-'Calc base'!W86)</f>
        <v>0</v>
      </c>
      <c r="Z86">
        <f>MAX(0,ROUND(AX85*(1+'Calc base'!L86),2)-N86-'Calc base'!X86)</f>
        <v>0</v>
      </c>
      <c r="AA86">
        <f>MAX(0,ROUND(AY85*(1+'Calc base'!M86),2)-O86-'Calc base'!Y86)</f>
        <v>0</v>
      </c>
      <c r="AB86">
        <f>MAX(0,ROUND(AZ85*(1+'Calc base'!N86),2)-P86-'Calc base'!Z86)</f>
        <v>0</v>
      </c>
      <c r="AC86">
        <f>MAX(0,ROUND(BA85*(1+'Calc base'!O86),2)-Q86-'Calc base'!AA86)</f>
        <v>0</v>
      </c>
      <c r="AD86">
        <f>MAX(0,ROUND(BB85*(1+'Calc base'!P86),2)-R86-'Calc base'!AB86)</f>
        <v>0</v>
      </c>
      <c r="AE86">
        <f>MAX(0,ROUND(BC85*(1+'Calc base'!Q86),2)-S86-'Calc base'!AC86)</f>
        <v>0</v>
      </c>
      <c r="AF86">
        <f>MAX(0,ROUND(BD85*(1+'Calc base'!R86),2)-T86-'Calc base'!AD86)</f>
        <v>0</v>
      </c>
      <c r="AG86">
        <f>MAX(0,ROUND(BE85*(1+'Calc base'!S86),2)-U86-'Calc base'!AE86)</f>
        <v>0</v>
      </c>
      <c r="AH86">
        <f>IF('Calc base'!C$14=0,0,MIN(V86,MAX(0,$E86-SUMPRODUCT($V86:$AG86,'Calc base'!$C$14:$N$14,('Calc base'!$H86:$S86&gt;'Calc base'!H86)+('Calc base'!$H86:$S86='Calc base'!H86)*('Calc base'!$C$17:$N$17&lt;'Calc base'!C$17)))))</f>
        <v>0</v>
      </c>
      <c r="AI86">
        <f>IF('Calc base'!D$14=0,0,MIN(W86,MAX(0,$E86-SUMPRODUCT($V86:$AG86,'Calc base'!$C$14:$N$14,('Calc base'!$H86:$S86&gt;'Calc base'!I86)+('Calc base'!$H86:$S86='Calc base'!I86)*('Calc base'!$C$17:$N$17&lt;'Calc base'!D$17)))))</f>
        <v>0</v>
      </c>
      <c r="AJ86">
        <f>IF('Calc base'!E$14=0,0,MIN(X86,MAX(0,$E86-SUMPRODUCT($V86:$AG86,'Calc base'!$C$14:$N$14,('Calc base'!$H86:$S86&gt;'Calc base'!J86)+('Calc base'!$H86:$S86='Calc base'!J86)*('Calc base'!$C$17:$N$17&lt;'Calc base'!E$17)))))</f>
        <v>0</v>
      </c>
      <c r="AK86">
        <f>IF('Calc base'!F$14=0,0,MIN(Y86,MAX(0,$E86-SUMPRODUCT($V86:$AG86,'Calc base'!$C$14:$N$14,('Calc base'!$H86:$S86&gt;'Calc base'!K86)+('Calc base'!$H86:$S86='Calc base'!K86)*('Calc base'!$C$17:$N$17&lt;'Calc base'!F$17)))))</f>
        <v>0</v>
      </c>
      <c r="AL86">
        <f>IF('Calc base'!G$14=0,0,MIN(Z86,MAX(0,$E86-SUMPRODUCT($V86:$AG86,'Calc base'!$C$14:$N$14,('Calc base'!$H86:$S86&gt;'Calc base'!L86)+('Calc base'!$H86:$S86='Calc base'!L86)*('Calc base'!$C$17:$N$17&lt;'Calc base'!G$17)))))</f>
        <v>0</v>
      </c>
      <c r="AM86">
        <f>IF('Calc base'!H$14=0,0,MIN(AA86,MAX(0,$E86-SUMPRODUCT($V86:$AG86,'Calc base'!$C$14:$N$14,('Calc base'!$H86:$S86&gt;'Calc base'!M86)+('Calc base'!$H86:$S86='Calc base'!M86)*('Calc base'!$C$17:$N$17&lt;'Calc base'!H$17)))))</f>
        <v>0</v>
      </c>
      <c r="AN86">
        <f>IF('Calc base'!I$14=0,0,MIN(AB86,MAX(0,$E86-SUMPRODUCT($V86:$AG86,'Calc base'!$C$14:$N$14,('Calc base'!$H86:$S86&gt;'Calc base'!N86)+('Calc base'!$H86:$S86='Calc base'!N86)*('Calc base'!$C$17:$N$17&lt;'Calc base'!I$17)))))</f>
        <v>0</v>
      </c>
      <c r="AO86">
        <f>IF('Calc base'!J$14=0,0,MIN(AC86,MAX(0,$E86-SUMPRODUCT($V86:$AG86,'Calc base'!$C$14:$N$14,('Calc base'!$H86:$S86&gt;'Calc base'!O86)+('Calc base'!$H86:$S86='Calc base'!O86)*('Calc base'!$C$17:$N$17&lt;'Calc base'!J$17)))))</f>
        <v>0</v>
      </c>
      <c r="AP86">
        <f>IF('Calc base'!K$14=0,0,MIN(AD86,MAX(0,$E86-SUMPRODUCT($V86:$AG86,'Calc base'!$C$14:$N$14,('Calc base'!$H86:$S86&gt;'Calc base'!P86)+('Calc base'!$H86:$S86='Calc base'!P86)*('Calc base'!$C$17:$N$17&lt;'Calc base'!K$17)))))</f>
        <v>0</v>
      </c>
      <c r="AQ86">
        <f>IF('Calc base'!L$14=0,0,MIN(AE86,MAX(0,$E86-SUMPRODUCT($V86:$AG86,'Calc base'!$C$14:$N$14,('Calc base'!$H86:$S86&gt;'Calc base'!Q86)+('Calc base'!$H86:$S86='Calc base'!Q86)*('Calc base'!$C$17:$N$17&lt;'Calc base'!L$17)))))</f>
        <v>0</v>
      </c>
      <c r="AR86">
        <f>IF('Calc base'!M$14=0,0,MIN(AF86,MAX(0,$E86-SUMPRODUCT($V86:$AG86,'Calc base'!$C$14:$N$14,('Calc base'!$H86:$S86&gt;'Calc base'!R86)+('Calc base'!$H86:$S86='Calc base'!R86)*('Calc base'!$C$17:$N$17&lt;'Calc base'!M$17)))))</f>
        <v>0</v>
      </c>
      <c r="AS86">
        <f>IF('Calc base'!N$14=0,0,MIN(AG86,MAX(0,$E86-SUMPRODUCT($V86:$AG86,'Calc base'!$C$14:$N$14,('Calc base'!$H86:$S86&gt;'Calc base'!S86)+('Calc base'!$H86:$S86='Calc base'!S86)*('Calc base'!$C$17:$N$17&lt;'Calc base'!N$17)))))</f>
        <v>0</v>
      </c>
      <c r="AT86">
        <f>V86-AH86</f>
        <v>0</v>
      </c>
      <c r="AU86">
        <f>W86-AI86</f>
        <v>0</v>
      </c>
      <c r="AV86">
        <f>X86-AJ86</f>
        <v>0</v>
      </c>
      <c r="AW86">
        <f>Y86-AK86</f>
        <v>0</v>
      </c>
      <c r="AX86">
        <f>Z86-AL86</f>
        <v>0</v>
      </c>
      <c r="AY86">
        <f>AA86-AM86</f>
        <v>0</v>
      </c>
      <c r="AZ86">
        <f>AB86-AN86</f>
        <v>0</v>
      </c>
      <c r="BA86">
        <f>AC86-AO86</f>
        <v>0</v>
      </c>
      <c r="BB86">
        <f>AD86-AP86</f>
        <v>0</v>
      </c>
      <c r="BC86">
        <f>AE86-AQ86</f>
        <v>0</v>
      </c>
      <c r="BD86">
        <f>AF86-AR86</f>
        <v>0</v>
      </c>
      <c r="BE86">
        <f>AG86-AS86</f>
        <v>0</v>
      </c>
    </row>
    <row r="87">
      <c r="A87" t="n">
        <v>57</v>
      </c>
      <c r="B87">
        <f>SUMPRODUCT(ROUND($AT86:$BE86*(1+'Calc base'!$H87:$S87),2))</f>
        <v>0</v>
      </c>
      <c r="C87">
        <f>SUM(J87:U87)</f>
        <v>0</v>
      </c>
      <c r="D87">
        <f>SUM(V87:AG87)</f>
        <v>0</v>
      </c>
      <c r="E87">
        <f>MAX(0,IF(Impostazioni!$B$7="No",'Calc base'!$C87-$C$31,'Calc base'!$C87-C87)+'Calc base'!$G87+'Calc base'!$F87-(B87-C87-D87))</f>
        <v>900</v>
      </c>
      <c r="F87">
        <f>SUM(AH87:AS87)</f>
        <v>0</v>
      </c>
      <c r="G87">
        <f>SUM(AT87:BE87)</f>
        <v>0</v>
      </c>
      <c r="H87">
        <f>B87-G86</f>
        <v>0</v>
      </c>
      <c r="I87">
        <f>B87-G87</f>
        <v>0</v>
      </c>
      <c r="J87">
        <f>IF(AT86&lt;=0,0,IF(ROUND(AT86*(1+'Calc base'!H87),2)-MAX('Calc base'!C$12,ROUND('Calc base'!C$13*AT86,2))&lt;1,ROUND(AT86*(1+'Calc base'!H87),2),MAX('Calc base'!C$12,ROUND('Calc base'!C$13*AT86,2))))</f>
        <v>0</v>
      </c>
      <c r="K87">
        <f>IF(AU86&lt;=0,0,IF(ROUND(AU86*(1+'Calc base'!I87),2)-MAX('Calc base'!D$12,ROUND('Calc base'!D$13*AU86,2))&lt;1,ROUND(AU86*(1+'Calc base'!I87),2),MAX('Calc base'!D$12,ROUND('Calc base'!D$13*AU86,2))))</f>
        <v>0</v>
      </c>
      <c r="L87">
        <f>IF(AV86&lt;=0,0,IF(ROUND(AV86*(1+'Calc base'!J87),2)-MAX('Calc base'!E$12,ROUND('Calc base'!E$13*AV86,2))&lt;1,ROUND(AV86*(1+'Calc base'!J87),2),MAX('Calc base'!E$12,ROUND('Calc base'!E$13*AV86,2))))</f>
        <v>0</v>
      </c>
      <c r="M87">
        <f>IF(AW86&lt;=0,0,IF(ROUND(AW86*(1+'Calc base'!K87),2)-MAX('Calc base'!F$12,ROUND('Calc base'!F$13*AW86,2))&lt;1,ROUND(AW86*(1+'Calc base'!K87),2),MAX('Calc base'!F$12,ROUND('Calc base'!F$13*AW86,2))))</f>
        <v>0</v>
      </c>
      <c r="N87">
        <f>IF(AX86&lt;=0,0,IF(ROUND(AX86*(1+'Calc base'!L87),2)-MAX('Calc base'!G$12,ROUND('Calc base'!G$13*AX86,2))&lt;1,ROUND(AX86*(1+'Calc base'!L87),2),MAX('Calc base'!G$12,ROUND('Calc base'!G$13*AX86,2))))</f>
        <v>0</v>
      </c>
      <c r="O87">
        <f>IF(AY86&lt;=0,0,IF(ROUND(AY86*(1+'Calc base'!M87),2)-MAX('Calc base'!H$12,ROUND('Calc base'!H$13*AY86,2))&lt;1,ROUND(AY86*(1+'Calc base'!M87),2),MAX('Calc base'!H$12,ROUND('Calc base'!H$13*AY86,2))))</f>
        <v>0</v>
      </c>
      <c r="P87">
        <f>IF(AZ86&lt;=0,0,IF(ROUND(AZ86*(1+'Calc base'!N87),2)-MAX('Calc base'!I$12,ROUND('Calc base'!I$13*AZ86,2))&lt;1,ROUND(AZ86*(1+'Calc base'!N87),2),MAX('Calc base'!I$12,ROUND('Calc base'!I$13*AZ86,2))))</f>
        <v>0</v>
      </c>
      <c r="Q87">
        <f>IF(BA86&lt;=0,0,IF(ROUND(BA86*(1+'Calc base'!O87),2)-MAX('Calc base'!J$12,ROUND('Calc base'!J$13*BA86,2))&lt;1,ROUND(BA86*(1+'Calc base'!O87),2),MAX('Calc base'!J$12,ROUND('Calc base'!J$13*BA86,2))))</f>
        <v>0</v>
      </c>
      <c r="R87">
        <f>IF(BB86&lt;=0,0,IF(ROUND(BB86*(1+'Calc base'!P87),2)-MAX('Calc base'!K$12,ROUND('Calc base'!K$13*BB86,2))&lt;1,ROUND(BB86*(1+'Calc base'!P87),2),MAX('Calc base'!K$12,ROUND('Calc base'!K$13*BB86,2))))</f>
        <v>0</v>
      </c>
      <c r="S87">
        <f>IF(BC86&lt;=0,0,IF(ROUND(BC86*(1+'Calc base'!Q87),2)-MAX('Calc base'!L$12,ROUND('Calc base'!L$13*BC86,2))&lt;1,ROUND(BC86*(1+'Calc base'!Q87),2),MAX('Calc base'!L$12,ROUND('Calc base'!L$13*BC86,2))))</f>
        <v>0</v>
      </c>
      <c r="T87">
        <f>IF(BD86&lt;=0,0,IF(ROUND(BD86*(1+'Calc base'!R87),2)-MAX('Calc base'!M$12,ROUND('Calc base'!M$13*BD86,2))&lt;1,ROUND(BD86*(1+'Calc base'!R87),2),MAX('Calc base'!M$12,ROUND('Calc base'!M$13*BD86,2))))</f>
        <v>0</v>
      </c>
      <c r="U87">
        <f>IF(BE86&lt;=0,0,IF(ROUND(BE86*(1+'Calc base'!S87),2)-MAX('Calc base'!N$12,ROUND('Calc base'!N$13*BE86,2))&lt;1,ROUND(BE86*(1+'Calc base'!S87),2),MAX('Calc base'!N$12,ROUND('Calc base'!N$13*BE86,2))))</f>
        <v>0</v>
      </c>
      <c r="V87">
        <f>MAX(0,ROUND(AT86*(1+'Calc base'!H87),2)-J87-'Calc base'!T87)</f>
        <v>0</v>
      </c>
      <c r="W87">
        <f>MAX(0,ROUND(AU86*(1+'Calc base'!I87),2)-K87-'Calc base'!U87)</f>
        <v>0</v>
      </c>
      <c r="X87">
        <f>MAX(0,ROUND(AV86*(1+'Calc base'!J87),2)-L87-'Calc base'!V87)</f>
        <v>0</v>
      </c>
      <c r="Y87">
        <f>MAX(0,ROUND(AW86*(1+'Calc base'!K87),2)-M87-'Calc base'!W87)</f>
        <v>0</v>
      </c>
      <c r="Z87">
        <f>MAX(0,ROUND(AX86*(1+'Calc base'!L87),2)-N87-'Calc base'!X87)</f>
        <v>0</v>
      </c>
      <c r="AA87">
        <f>MAX(0,ROUND(AY86*(1+'Calc base'!M87),2)-O87-'Calc base'!Y87)</f>
        <v>0</v>
      </c>
      <c r="AB87">
        <f>MAX(0,ROUND(AZ86*(1+'Calc base'!N87),2)-P87-'Calc base'!Z87)</f>
        <v>0</v>
      </c>
      <c r="AC87">
        <f>MAX(0,ROUND(BA86*(1+'Calc base'!O87),2)-Q87-'Calc base'!AA87)</f>
        <v>0</v>
      </c>
      <c r="AD87">
        <f>MAX(0,ROUND(BB86*(1+'Calc base'!P87),2)-R87-'Calc base'!AB87)</f>
        <v>0</v>
      </c>
      <c r="AE87">
        <f>MAX(0,ROUND(BC86*(1+'Calc base'!Q87),2)-S87-'Calc base'!AC87)</f>
        <v>0</v>
      </c>
      <c r="AF87">
        <f>MAX(0,ROUND(BD86*(1+'Calc base'!R87),2)-T87-'Calc base'!AD87)</f>
        <v>0</v>
      </c>
      <c r="AG87">
        <f>MAX(0,ROUND(BE86*(1+'Calc base'!S87),2)-U87-'Calc base'!AE87)</f>
        <v>0</v>
      </c>
      <c r="AH87">
        <f>IF('Calc base'!C$14=0,0,MIN(V87,MAX(0,$E87-SUMPRODUCT($V87:$AG87,'Calc base'!$C$14:$N$14,('Calc base'!$H87:$S87&gt;'Calc base'!H87)+('Calc base'!$H87:$S87='Calc base'!H87)*('Calc base'!$C$17:$N$17&lt;'Calc base'!C$17)))))</f>
        <v>0</v>
      </c>
      <c r="AI87">
        <f>IF('Calc base'!D$14=0,0,MIN(W87,MAX(0,$E87-SUMPRODUCT($V87:$AG87,'Calc base'!$C$14:$N$14,('Calc base'!$H87:$S87&gt;'Calc base'!I87)+('Calc base'!$H87:$S87='Calc base'!I87)*('Calc base'!$C$17:$N$17&lt;'Calc base'!D$17)))))</f>
        <v>0</v>
      </c>
      <c r="AJ87">
        <f>IF('Calc base'!E$14=0,0,MIN(X87,MAX(0,$E87-SUMPRODUCT($V87:$AG87,'Calc base'!$C$14:$N$14,('Calc base'!$H87:$S87&gt;'Calc base'!J87)+('Calc base'!$H87:$S87='Calc base'!J87)*('Calc base'!$C$17:$N$17&lt;'Calc base'!E$17)))))</f>
        <v>0</v>
      </c>
      <c r="AK87">
        <f>IF('Calc base'!F$14=0,0,MIN(Y87,MAX(0,$E87-SUMPRODUCT($V87:$AG87,'Calc base'!$C$14:$N$14,('Calc base'!$H87:$S87&gt;'Calc base'!K87)+('Calc base'!$H87:$S87='Calc base'!K87)*('Calc base'!$C$17:$N$17&lt;'Calc base'!F$17)))))</f>
        <v>0</v>
      </c>
      <c r="AL87">
        <f>IF('Calc base'!G$14=0,0,MIN(Z87,MAX(0,$E87-SUMPRODUCT($V87:$AG87,'Calc base'!$C$14:$N$14,('Calc base'!$H87:$S87&gt;'Calc base'!L87)+('Calc base'!$H87:$S87='Calc base'!L87)*('Calc base'!$C$17:$N$17&lt;'Calc base'!G$17)))))</f>
        <v>0</v>
      </c>
      <c r="AM87">
        <f>IF('Calc base'!H$14=0,0,MIN(AA87,MAX(0,$E87-SUMPRODUCT($V87:$AG87,'Calc base'!$C$14:$N$14,('Calc base'!$H87:$S87&gt;'Calc base'!M87)+('Calc base'!$H87:$S87='Calc base'!M87)*('Calc base'!$C$17:$N$17&lt;'Calc base'!H$17)))))</f>
        <v>0</v>
      </c>
      <c r="AN87">
        <f>IF('Calc base'!I$14=0,0,MIN(AB87,MAX(0,$E87-SUMPRODUCT($V87:$AG87,'Calc base'!$C$14:$N$14,('Calc base'!$H87:$S87&gt;'Calc base'!N87)+('Calc base'!$H87:$S87='Calc base'!N87)*('Calc base'!$C$17:$N$17&lt;'Calc base'!I$17)))))</f>
        <v>0</v>
      </c>
      <c r="AO87">
        <f>IF('Calc base'!J$14=0,0,MIN(AC87,MAX(0,$E87-SUMPRODUCT($V87:$AG87,'Calc base'!$C$14:$N$14,('Calc base'!$H87:$S87&gt;'Calc base'!O87)+('Calc base'!$H87:$S87='Calc base'!O87)*('Calc base'!$C$17:$N$17&lt;'Calc base'!J$17)))))</f>
        <v>0</v>
      </c>
      <c r="AP87">
        <f>IF('Calc base'!K$14=0,0,MIN(AD87,MAX(0,$E87-SUMPRODUCT($V87:$AG87,'Calc base'!$C$14:$N$14,('Calc base'!$H87:$S87&gt;'Calc base'!P87)+('Calc base'!$H87:$S87='Calc base'!P87)*('Calc base'!$C$17:$N$17&lt;'Calc base'!K$17)))))</f>
        <v>0</v>
      </c>
      <c r="AQ87">
        <f>IF('Calc base'!L$14=0,0,MIN(AE87,MAX(0,$E87-SUMPRODUCT($V87:$AG87,'Calc base'!$C$14:$N$14,('Calc base'!$H87:$S87&gt;'Calc base'!Q87)+('Calc base'!$H87:$S87='Calc base'!Q87)*('Calc base'!$C$17:$N$17&lt;'Calc base'!L$17)))))</f>
        <v>0</v>
      </c>
      <c r="AR87">
        <f>IF('Calc base'!M$14=0,0,MIN(AF87,MAX(0,$E87-SUMPRODUCT($V87:$AG87,'Calc base'!$C$14:$N$14,('Calc base'!$H87:$S87&gt;'Calc base'!R87)+('Calc base'!$H87:$S87='Calc base'!R87)*('Calc base'!$C$17:$N$17&lt;'Calc base'!M$17)))))</f>
        <v>0</v>
      </c>
      <c r="AS87">
        <f>IF('Calc base'!N$14=0,0,MIN(AG87,MAX(0,$E87-SUMPRODUCT($V87:$AG87,'Calc base'!$C$14:$N$14,('Calc base'!$H87:$S87&gt;'Calc base'!S87)+('Calc base'!$H87:$S87='Calc base'!S87)*('Calc base'!$C$17:$N$17&lt;'Calc base'!N$17)))))</f>
        <v>0</v>
      </c>
      <c r="AT87">
        <f>V87-AH87</f>
        <v>0</v>
      </c>
      <c r="AU87">
        <f>W87-AI87</f>
        <v>0</v>
      </c>
      <c r="AV87">
        <f>X87-AJ87</f>
        <v>0</v>
      </c>
      <c r="AW87">
        <f>Y87-AK87</f>
        <v>0</v>
      </c>
      <c r="AX87">
        <f>Z87-AL87</f>
        <v>0</v>
      </c>
      <c r="AY87">
        <f>AA87-AM87</f>
        <v>0</v>
      </c>
      <c r="AZ87">
        <f>AB87-AN87</f>
        <v>0</v>
      </c>
      <c r="BA87">
        <f>AC87-AO87</f>
        <v>0</v>
      </c>
      <c r="BB87">
        <f>AD87-AP87</f>
        <v>0</v>
      </c>
      <c r="BC87">
        <f>AE87-AQ87</f>
        <v>0</v>
      </c>
      <c r="BD87">
        <f>AF87-AR87</f>
        <v>0</v>
      </c>
      <c r="BE87">
        <f>AG87-AS87</f>
        <v>0</v>
      </c>
    </row>
    <row r="88">
      <c r="A88" t="n">
        <v>58</v>
      </c>
      <c r="B88">
        <f>SUMPRODUCT(ROUND($AT87:$BE87*(1+'Calc base'!$H88:$S88),2))</f>
        <v>0</v>
      </c>
      <c r="C88">
        <f>SUM(J88:U88)</f>
        <v>0</v>
      </c>
      <c r="D88">
        <f>SUM(V88:AG88)</f>
        <v>0</v>
      </c>
      <c r="E88">
        <f>MAX(0,IF(Impostazioni!$B$7="No",'Calc base'!$C88-$C$31,'Calc base'!$C88-C88)+'Calc base'!$G88+'Calc base'!$F88-(B88-C88-D88))</f>
        <v>900</v>
      </c>
      <c r="F88">
        <f>SUM(AH88:AS88)</f>
        <v>0</v>
      </c>
      <c r="G88">
        <f>SUM(AT88:BE88)</f>
        <v>0</v>
      </c>
      <c r="H88">
        <f>B88-G87</f>
        <v>0</v>
      </c>
      <c r="I88">
        <f>B88-G88</f>
        <v>0</v>
      </c>
      <c r="J88">
        <f>IF(AT87&lt;=0,0,IF(ROUND(AT87*(1+'Calc base'!H88),2)-MAX('Calc base'!C$12,ROUND('Calc base'!C$13*AT87,2))&lt;1,ROUND(AT87*(1+'Calc base'!H88),2),MAX('Calc base'!C$12,ROUND('Calc base'!C$13*AT87,2))))</f>
        <v>0</v>
      </c>
      <c r="K88">
        <f>IF(AU87&lt;=0,0,IF(ROUND(AU87*(1+'Calc base'!I88),2)-MAX('Calc base'!D$12,ROUND('Calc base'!D$13*AU87,2))&lt;1,ROUND(AU87*(1+'Calc base'!I88),2),MAX('Calc base'!D$12,ROUND('Calc base'!D$13*AU87,2))))</f>
        <v>0</v>
      </c>
      <c r="L88">
        <f>IF(AV87&lt;=0,0,IF(ROUND(AV87*(1+'Calc base'!J88),2)-MAX('Calc base'!E$12,ROUND('Calc base'!E$13*AV87,2))&lt;1,ROUND(AV87*(1+'Calc base'!J88),2),MAX('Calc base'!E$12,ROUND('Calc base'!E$13*AV87,2))))</f>
        <v>0</v>
      </c>
      <c r="M88">
        <f>IF(AW87&lt;=0,0,IF(ROUND(AW87*(1+'Calc base'!K88),2)-MAX('Calc base'!F$12,ROUND('Calc base'!F$13*AW87,2))&lt;1,ROUND(AW87*(1+'Calc base'!K88),2),MAX('Calc base'!F$12,ROUND('Calc base'!F$13*AW87,2))))</f>
        <v>0</v>
      </c>
      <c r="N88">
        <f>IF(AX87&lt;=0,0,IF(ROUND(AX87*(1+'Calc base'!L88),2)-MAX('Calc base'!G$12,ROUND('Calc base'!G$13*AX87,2))&lt;1,ROUND(AX87*(1+'Calc base'!L88),2),MAX('Calc base'!G$12,ROUND('Calc base'!G$13*AX87,2))))</f>
        <v>0</v>
      </c>
      <c r="O88">
        <f>IF(AY87&lt;=0,0,IF(ROUND(AY87*(1+'Calc base'!M88),2)-MAX('Calc base'!H$12,ROUND('Calc base'!H$13*AY87,2))&lt;1,ROUND(AY87*(1+'Calc base'!M88),2),MAX('Calc base'!H$12,ROUND('Calc base'!H$13*AY87,2))))</f>
        <v>0</v>
      </c>
      <c r="P88">
        <f>IF(AZ87&lt;=0,0,IF(ROUND(AZ87*(1+'Calc base'!N88),2)-MAX('Calc base'!I$12,ROUND('Calc base'!I$13*AZ87,2))&lt;1,ROUND(AZ87*(1+'Calc base'!N88),2),MAX('Calc base'!I$12,ROUND('Calc base'!I$13*AZ87,2))))</f>
        <v>0</v>
      </c>
      <c r="Q88">
        <f>IF(BA87&lt;=0,0,IF(ROUND(BA87*(1+'Calc base'!O88),2)-MAX('Calc base'!J$12,ROUND('Calc base'!J$13*BA87,2))&lt;1,ROUND(BA87*(1+'Calc base'!O88),2),MAX('Calc base'!J$12,ROUND('Calc base'!J$13*BA87,2))))</f>
        <v>0</v>
      </c>
      <c r="R88">
        <f>IF(BB87&lt;=0,0,IF(ROUND(BB87*(1+'Calc base'!P88),2)-MAX('Calc base'!K$12,ROUND('Calc base'!K$13*BB87,2))&lt;1,ROUND(BB87*(1+'Calc base'!P88),2),MAX('Calc base'!K$12,ROUND('Calc base'!K$13*BB87,2))))</f>
        <v>0</v>
      </c>
      <c r="S88">
        <f>IF(BC87&lt;=0,0,IF(ROUND(BC87*(1+'Calc base'!Q88),2)-MAX('Calc base'!L$12,ROUND('Calc base'!L$13*BC87,2))&lt;1,ROUND(BC87*(1+'Calc base'!Q88),2),MAX('Calc base'!L$12,ROUND('Calc base'!L$13*BC87,2))))</f>
        <v>0</v>
      </c>
      <c r="T88">
        <f>IF(BD87&lt;=0,0,IF(ROUND(BD87*(1+'Calc base'!R88),2)-MAX('Calc base'!M$12,ROUND('Calc base'!M$13*BD87,2))&lt;1,ROUND(BD87*(1+'Calc base'!R88),2),MAX('Calc base'!M$12,ROUND('Calc base'!M$13*BD87,2))))</f>
        <v>0</v>
      </c>
      <c r="U88">
        <f>IF(BE87&lt;=0,0,IF(ROUND(BE87*(1+'Calc base'!S88),2)-MAX('Calc base'!N$12,ROUND('Calc base'!N$13*BE87,2))&lt;1,ROUND(BE87*(1+'Calc base'!S88),2),MAX('Calc base'!N$12,ROUND('Calc base'!N$13*BE87,2))))</f>
        <v>0</v>
      </c>
      <c r="V88">
        <f>MAX(0,ROUND(AT87*(1+'Calc base'!H88),2)-J88-'Calc base'!T88)</f>
        <v>0</v>
      </c>
      <c r="W88">
        <f>MAX(0,ROUND(AU87*(1+'Calc base'!I88),2)-K88-'Calc base'!U88)</f>
        <v>0</v>
      </c>
      <c r="X88">
        <f>MAX(0,ROUND(AV87*(1+'Calc base'!J88),2)-L88-'Calc base'!V88)</f>
        <v>0</v>
      </c>
      <c r="Y88">
        <f>MAX(0,ROUND(AW87*(1+'Calc base'!K88),2)-M88-'Calc base'!W88)</f>
        <v>0</v>
      </c>
      <c r="Z88">
        <f>MAX(0,ROUND(AX87*(1+'Calc base'!L88),2)-N88-'Calc base'!X88)</f>
        <v>0</v>
      </c>
      <c r="AA88">
        <f>MAX(0,ROUND(AY87*(1+'Calc base'!M88),2)-O88-'Calc base'!Y88)</f>
        <v>0</v>
      </c>
      <c r="AB88">
        <f>MAX(0,ROUND(AZ87*(1+'Calc base'!N88),2)-P88-'Calc base'!Z88)</f>
        <v>0</v>
      </c>
      <c r="AC88">
        <f>MAX(0,ROUND(BA87*(1+'Calc base'!O88),2)-Q88-'Calc base'!AA88)</f>
        <v>0</v>
      </c>
      <c r="AD88">
        <f>MAX(0,ROUND(BB87*(1+'Calc base'!P88),2)-R88-'Calc base'!AB88)</f>
        <v>0</v>
      </c>
      <c r="AE88">
        <f>MAX(0,ROUND(BC87*(1+'Calc base'!Q88),2)-S88-'Calc base'!AC88)</f>
        <v>0</v>
      </c>
      <c r="AF88">
        <f>MAX(0,ROUND(BD87*(1+'Calc base'!R88),2)-T88-'Calc base'!AD88)</f>
        <v>0</v>
      </c>
      <c r="AG88">
        <f>MAX(0,ROUND(BE87*(1+'Calc base'!S88),2)-U88-'Calc base'!AE88)</f>
        <v>0</v>
      </c>
      <c r="AH88">
        <f>IF('Calc base'!C$14=0,0,MIN(V88,MAX(0,$E88-SUMPRODUCT($V88:$AG88,'Calc base'!$C$14:$N$14,('Calc base'!$H88:$S88&gt;'Calc base'!H88)+('Calc base'!$H88:$S88='Calc base'!H88)*('Calc base'!$C$17:$N$17&lt;'Calc base'!C$17)))))</f>
        <v>0</v>
      </c>
      <c r="AI88">
        <f>IF('Calc base'!D$14=0,0,MIN(W88,MAX(0,$E88-SUMPRODUCT($V88:$AG88,'Calc base'!$C$14:$N$14,('Calc base'!$H88:$S88&gt;'Calc base'!I88)+('Calc base'!$H88:$S88='Calc base'!I88)*('Calc base'!$C$17:$N$17&lt;'Calc base'!D$17)))))</f>
        <v>0</v>
      </c>
      <c r="AJ88">
        <f>IF('Calc base'!E$14=0,0,MIN(X88,MAX(0,$E88-SUMPRODUCT($V88:$AG88,'Calc base'!$C$14:$N$14,('Calc base'!$H88:$S88&gt;'Calc base'!J88)+('Calc base'!$H88:$S88='Calc base'!J88)*('Calc base'!$C$17:$N$17&lt;'Calc base'!E$17)))))</f>
        <v>0</v>
      </c>
      <c r="AK88">
        <f>IF('Calc base'!F$14=0,0,MIN(Y88,MAX(0,$E88-SUMPRODUCT($V88:$AG88,'Calc base'!$C$14:$N$14,('Calc base'!$H88:$S88&gt;'Calc base'!K88)+('Calc base'!$H88:$S88='Calc base'!K88)*('Calc base'!$C$17:$N$17&lt;'Calc base'!F$17)))))</f>
        <v>0</v>
      </c>
      <c r="AL88">
        <f>IF('Calc base'!G$14=0,0,MIN(Z88,MAX(0,$E88-SUMPRODUCT($V88:$AG88,'Calc base'!$C$14:$N$14,('Calc base'!$H88:$S88&gt;'Calc base'!L88)+('Calc base'!$H88:$S88='Calc base'!L88)*('Calc base'!$C$17:$N$17&lt;'Calc base'!G$17)))))</f>
        <v>0</v>
      </c>
      <c r="AM88">
        <f>IF('Calc base'!H$14=0,0,MIN(AA88,MAX(0,$E88-SUMPRODUCT($V88:$AG88,'Calc base'!$C$14:$N$14,('Calc base'!$H88:$S88&gt;'Calc base'!M88)+('Calc base'!$H88:$S88='Calc base'!M88)*('Calc base'!$C$17:$N$17&lt;'Calc base'!H$17)))))</f>
        <v>0</v>
      </c>
      <c r="AN88">
        <f>IF('Calc base'!I$14=0,0,MIN(AB88,MAX(0,$E88-SUMPRODUCT($V88:$AG88,'Calc base'!$C$14:$N$14,('Calc base'!$H88:$S88&gt;'Calc base'!N88)+('Calc base'!$H88:$S88='Calc base'!N88)*('Calc base'!$C$17:$N$17&lt;'Calc base'!I$17)))))</f>
        <v>0</v>
      </c>
      <c r="AO88">
        <f>IF('Calc base'!J$14=0,0,MIN(AC88,MAX(0,$E88-SUMPRODUCT($V88:$AG88,'Calc base'!$C$14:$N$14,('Calc base'!$H88:$S88&gt;'Calc base'!O88)+('Calc base'!$H88:$S88='Calc base'!O88)*('Calc base'!$C$17:$N$17&lt;'Calc base'!J$17)))))</f>
        <v>0</v>
      </c>
      <c r="AP88">
        <f>IF('Calc base'!K$14=0,0,MIN(AD88,MAX(0,$E88-SUMPRODUCT($V88:$AG88,'Calc base'!$C$14:$N$14,('Calc base'!$H88:$S88&gt;'Calc base'!P88)+('Calc base'!$H88:$S88='Calc base'!P88)*('Calc base'!$C$17:$N$17&lt;'Calc base'!K$17)))))</f>
        <v>0</v>
      </c>
      <c r="AQ88">
        <f>IF('Calc base'!L$14=0,0,MIN(AE88,MAX(0,$E88-SUMPRODUCT($V88:$AG88,'Calc base'!$C$14:$N$14,('Calc base'!$H88:$S88&gt;'Calc base'!Q88)+('Calc base'!$H88:$S88='Calc base'!Q88)*('Calc base'!$C$17:$N$17&lt;'Calc base'!L$17)))))</f>
        <v>0</v>
      </c>
      <c r="AR88">
        <f>IF('Calc base'!M$14=0,0,MIN(AF88,MAX(0,$E88-SUMPRODUCT($V88:$AG88,'Calc base'!$C$14:$N$14,('Calc base'!$H88:$S88&gt;'Calc base'!R88)+('Calc base'!$H88:$S88='Calc base'!R88)*('Calc base'!$C$17:$N$17&lt;'Calc base'!M$17)))))</f>
        <v>0</v>
      </c>
      <c r="AS88">
        <f>IF('Calc base'!N$14=0,0,MIN(AG88,MAX(0,$E88-SUMPRODUCT($V88:$AG88,'Calc base'!$C$14:$N$14,('Calc base'!$H88:$S88&gt;'Calc base'!S88)+('Calc base'!$H88:$S88='Calc base'!S88)*('Calc base'!$C$17:$N$17&lt;'Calc base'!N$17)))))</f>
        <v>0</v>
      </c>
      <c r="AT88">
        <f>V88-AH88</f>
        <v>0</v>
      </c>
      <c r="AU88">
        <f>W88-AI88</f>
        <v>0</v>
      </c>
      <c r="AV88">
        <f>X88-AJ88</f>
        <v>0</v>
      </c>
      <c r="AW88">
        <f>Y88-AK88</f>
        <v>0</v>
      </c>
      <c r="AX88">
        <f>Z88-AL88</f>
        <v>0</v>
      </c>
      <c r="AY88">
        <f>AA88-AM88</f>
        <v>0</v>
      </c>
      <c r="AZ88">
        <f>AB88-AN88</f>
        <v>0</v>
      </c>
      <c r="BA88">
        <f>AC88-AO88</f>
        <v>0</v>
      </c>
      <c r="BB88">
        <f>AD88-AP88</f>
        <v>0</v>
      </c>
      <c r="BC88">
        <f>AE88-AQ88</f>
        <v>0</v>
      </c>
      <c r="BD88">
        <f>AF88-AR88</f>
        <v>0</v>
      </c>
      <c r="BE88">
        <f>AG88-AS88</f>
        <v>0</v>
      </c>
    </row>
    <row r="89">
      <c r="A89" t="n">
        <v>59</v>
      </c>
      <c r="B89">
        <f>SUMPRODUCT(ROUND($AT88:$BE88*(1+'Calc base'!$H89:$S89),2))</f>
        <v>0</v>
      </c>
      <c r="C89">
        <f>SUM(J89:U89)</f>
        <v>0</v>
      </c>
      <c r="D89">
        <f>SUM(V89:AG89)</f>
        <v>0</v>
      </c>
      <c r="E89">
        <f>MAX(0,IF(Impostazioni!$B$7="No",'Calc base'!$C89-$C$31,'Calc base'!$C89-C89)+'Calc base'!$G89+'Calc base'!$F89-(B89-C89-D89))</f>
        <v>900</v>
      </c>
      <c r="F89">
        <f>SUM(AH89:AS89)</f>
        <v>0</v>
      </c>
      <c r="G89">
        <f>SUM(AT89:BE89)</f>
        <v>0</v>
      </c>
      <c r="H89">
        <f>B89-G88</f>
        <v>0</v>
      </c>
      <c r="I89">
        <f>B89-G89</f>
        <v>0</v>
      </c>
      <c r="J89">
        <f>IF(AT88&lt;=0,0,IF(ROUND(AT88*(1+'Calc base'!H89),2)-MAX('Calc base'!C$12,ROUND('Calc base'!C$13*AT88,2))&lt;1,ROUND(AT88*(1+'Calc base'!H89),2),MAX('Calc base'!C$12,ROUND('Calc base'!C$13*AT88,2))))</f>
        <v>0</v>
      </c>
      <c r="K89">
        <f>IF(AU88&lt;=0,0,IF(ROUND(AU88*(1+'Calc base'!I89),2)-MAX('Calc base'!D$12,ROUND('Calc base'!D$13*AU88,2))&lt;1,ROUND(AU88*(1+'Calc base'!I89),2),MAX('Calc base'!D$12,ROUND('Calc base'!D$13*AU88,2))))</f>
        <v>0</v>
      </c>
      <c r="L89">
        <f>IF(AV88&lt;=0,0,IF(ROUND(AV88*(1+'Calc base'!J89),2)-MAX('Calc base'!E$12,ROUND('Calc base'!E$13*AV88,2))&lt;1,ROUND(AV88*(1+'Calc base'!J89),2),MAX('Calc base'!E$12,ROUND('Calc base'!E$13*AV88,2))))</f>
        <v>0</v>
      </c>
      <c r="M89">
        <f>IF(AW88&lt;=0,0,IF(ROUND(AW88*(1+'Calc base'!K89),2)-MAX('Calc base'!F$12,ROUND('Calc base'!F$13*AW88,2))&lt;1,ROUND(AW88*(1+'Calc base'!K89),2),MAX('Calc base'!F$12,ROUND('Calc base'!F$13*AW88,2))))</f>
        <v>0</v>
      </c>
      <c r="N89">
        <f>IF(AX88&lt;=0,0,IF(ROUND(AX88*(1+'Calc base'!L89),2)-MAX('Calc base'!G$12,ROUND('Calc base'!G$13*AX88,2))&lt;1,ROUND(AX88*(1+'Calc base'!L89),2),MAX('Calc base'!G$12,ROUND('Calc base'!G$13*AX88,2))))</f>
        <v>0</v>
      </c>
      <c r="O89">
        <f>IF(AY88&lt;=0,0,IF(ROUND(AY88*(1+'Calc base'!M89),2)-MAX('Calc base'!H$12,ROUND('Calc base'!H$13*AY88,2))&lt;1,ROUND(AY88*(1+'Calc base'!M89),2),MAX('Calc base'!H$12,ROUND('Calc base'!H$13*AY88,2))))</f>
        <v>0</v>
      </c>
      <c r="P89">
        <f>IF(AZ88&lt;=0,0,IF(ROUND(AZ88*(1+'Calc base'!N89),2)-MAX('Calc base'!I$12,ROUND('Calc base'!I$13*AZ88,2))&lt;1,ROUND(AZ88*(1+'Calc base'!N89),2),MAX('Calc base'!I$12,ROUND('Calc base'!I$13*AZ88,2))))</f>
        <v>0</v>
      </c>
      <c r="Q89">
        <f>IF(BA88&lt;=0,0,IF(ROUND(BA88*(1+'Calc base'!O89),2)-MAX('Calc base'!J$12,ROUND('Calc base'!J$13*BA88,2))&lt;1,ROUND(BA88*(1+'Calc base'!O89),2),MAX('Calc base'!J$12,ROUND('Calc base'!J$13*BA88,2))))</f>
        <v>0</v>
      </c>
      <c r="R89">
        <f>IF(BB88&lt;=0,0,IF(ROUND(BB88*(1+'Calc base'!P89),2)-MAX('Calc base'!K$12,ROUND('Calc base'!K$13*BB88,2))&lt;1,ROUND(BB88*(1+'Calc base'!P89),2),MAX('Calc base'!K$12,ROUND('Calc base'!K$13*BB88,2))))</f>
        <v>0</v>
      </c>
      <c r="S89">
        <f>IF(BC88&lt;=0,0,IF(ROUND(BC88*(1+'Calc base'!Q89),2)-MAX('Calc base'!L$12,ROUND('Calc base'!L$13*BC88,2))&lt;1,ROUND(BC88*(1+'Calc base'!Q89),2),MAX('Calc base'!L$12,ROUND('Calc base'!L$13*BC88,2))))</f>
        <v>0</v>
      </c>
      <c r="T89">
        <f>IF(BD88&lt;=0,0,IF(ROUND(BD88*(1+'Calc base'!R89),2)-MAX('Calc base'!M$12,ROUND('Calc base'!M$13*BD88,2))&lt;1,ROUND(BD88*(1+'Calc base'!R89),2),MAX('Calc base'!M$12,ROUND('Calc base'!M$13*BD88,2))))</f>
        <v>0</v>
      </c>
      <c r="U89">
        <f>IF(BE88&lt;=0,0,IF(ROUND(BE88*(1+'Calc base'!S89),2)-MAX('Calc base'!N$12,ROUND('Calc base'!N$13*BE88,2))&lt;1,ROUND(BE88*(1+'Calc base'!S89),2),MAX('Calc base'!N$12,ROUND('Calc base'!N$13*BE88,2))))</f>
        <v>0</v>
      </c>
      <c r="V89">
        <f>MAX(0,ROUND(AT88*(1+'Calc base'!H89),2)-J89-'Calc base'!T89)</f>
        <v>0</v>
      </c>
      <c r="W89">
        <f>MAX(0,ROUND(AU88*(1+'Calc base'!I89),2)-K89-'Calc base'!U89)</f>
        <v>0</v>
      </c>
      <c r="X89">
        <f>MAX(0,ROUND(AV88*(1+'Calc base'!J89),2)-L89-'Calc base'!V89)</f>
        <v>0</v>
      </c>
      <c r="Y89">
        <f>MAX(0,ROUND(AW88*(1+'Calc base'!K89),2)-M89-'Calc base'!W89)</f>
        <v>0</v>
      </c>
      <c r="Z89">
        <f>MAX(0,ROUND(AX88*(1+'Calc base'!L89),2)-N89-'Calc base'!X89)</f>
        <v>0</v>
      </c>
      <c r="AA89">
        <f>MAX(0,ROUND(AY88*(1+'Calc base'!M89),2)-O89-'Calc base'!Y89)</f>
        <v>0</v>
      </c>
      <c r="AB89">
        <f>MAX(0,ROUND(AZ88*(1+'Calc base'!N89),2)-P89-'Calc base'!Z89)</f>
        <v>0</v>
      </c>
      <c r="AC89">
        <f>MAX(0,ROUND(BA88*(1+'Calc base'!O89),2)-Q89-'Calc base'!AA89)</f>
        <v>0</v>
      </c>
      <c r="AD89">
        <f>MAX(0,ROUND(BB88*(1+'Calc base'!P89),2)-R89-'Calc base'!AB89)</f>
        <v>0</v>
      </c>
      <c r="AE89">
        <f>MAX(0,ROUND(BC88*(1+'Calc base'!Q89),2)-S89-'Calc base'!AC89)</f>
        <v>0</v>
      </c>
      <c r="AF89">
        <f>MAX(0,ROUND(BD88*(1+'Calc base'!R89),2)-T89-'Calc base'!AD89)</f>
        <v>0</v>
      </c>
      <c r="AG89">
        <f>MAX(0,ROUND(BE88*(1+'Calc base'!S89),2)-U89-'Calc base'!AE89)</f>
        <v>0</v>
      </c>
      <c r="AH89">
        <f>IF('Calc base'!C$14=0,0,MIN(V89,MAX(0,$E89-SUMPRODUCT($V89:$AG89,'Calc base'!$C$14:$N$14,('Calc base'!$H89:$S89&gt;'Calc base'!H89)+('Calc base'!$H89:$S89='Calc base'!H89)*('Calc base'!$C$17:$N$17&lt;'Calc base'!C$17)))))</f>
        <v>0</v>
      </c>
      <c r="AI89">
        <f>IF('Calc base'!D$14=0,0,MIN(W89,MAX(0,$E89-SUMPRODUCT($V89:$AG89,'Calc base'!$C$14:$N$14,('Calc base'!$H89:$S89&gt;'Calc base'!I89)+('Calc base'!$H89:$S89='Calc base'!I89)*('Calc base'!$C$17:$N$17&lt;'Calc base'!D$17)))))</f>
        <v>0</v>
      </c>
      <c r="AJ89">
        <f>IF('Calc base'!E$14=0,0,MIN(X89,MAX(0,$E89-SUMPRODUCT($V89:$AG89,'Calc base'!$C$14:$N$14,('Calc base'!$H89:$S89&gt;'Calc base'!J89)+('Calc base'!$H89:$S89='Calc base'!J89)*('Calc base'!$C$17:$N$17&lt;'Calc base'!E$17)))))</f>
        <v>0</v>
      </c>
      <c r="AK89">
        <f>IF('Calc base'!F$14=0,0,MIN(Y89,MAX(0,$E89-SUMPRODUCT($V89:$AG89,'Calc base'!$C$14:$N$14,('Calc base'!$H89:$S89&gt;'Calc base'!K89)+('Calc base'!$H89:$S89='Calc base'!K89)*('Calc base'!$C$17:$N$17&lt;'Calc base'!F$17)))))</f>
        <v>0</v>
      </c>
      <c r="AL89">
        <f>IF('Calc base'!G$14=0,0,MIN(Z89,MAX(0,$E89-SUMPRODUCT($V89:$AG89,'Calc base'!$C$14:$N$14,('Calc base'!$H89:$S89&gt;'Calc base'!L89)+('Calc base'!$H89:$S89='Calc base'!L89)*('Calc base'!$C$17:$N$17&lt;'Calc base'!G$17)))))</f>
        <v>0</v>
      </c>
      <c r="AM89">
        <f>IF('Calc base'!H$14=0,0,MIN(AA89,MAX(0,$E89-SUMPRODUCT($V89:$AG89,'Calc base'!$C$14:$N$14,('Calc base'!$H89:$S89&gt;'Calc base'!M89)+('Calc base'!$H89:$S89='Calc base'!M89)*('Calc base'!$C$17:$N$17&lt;'Calc base'!H$17)))))</f>
        <v>0</v>
      </c>
      <c r="AN89">
        <f>IF('Calc base'!I$14=0,0,MIN(AB89,MAX(0,$E89-SUMPRODUCT($V89:$AG89,'Calc base'!$C$14:$N$14,('Calc base'!$H89:$S89&gt;'Calc base'!N89)+('Calc base'!$H89:$S89='Calc base'!N89)*('Calc base'!$C$17:$N$17&lt;'Calc base'!I$17)))))</f>
        <v>0</v>
      </c>
      <c r="AO89">
        <f>IF('Calc base'!J$14=0,0,MIN(AC89,MAX(0,$E89-SUMPRODUCT($V89:$AG89,'Calc base'!$C$14:$N$14,('Calc base'!$H89:$S89&gt;'Calc base'!O89)+('Calc base'!$H89:$S89='Calc base'!O89)*('Calc base'!$C$17:$N$17&lt;'Calc base'!J$17)))))</f>
        <v>0</v>
      </c>
      <c r="AP89">
        <f>IF('Calc base'!K$14=0,0,MIN(AD89,MAX(0,$E89-SUMPRODUCT($V89:$AG89,'Calc base'!$C$14:$N$14,('Calc base'!$H89:$S89&gt;'Calc base'!P89)+('Calc base'!$H89:$S89='Calc base'!P89)*('Calc base'!$C$17:$N$17&lt;'Calc base'!K$17)))))</f>
        <v>0</v>
      </c>
      <c r="AQ89">
        <f>IF('Calc base'!L$14=0,0,MIN(AE89,MAX(0,$E89-SUMPRODUCT($V89:$AG89,'Calc base'!$C$14:$N$14,('Calc base'!$H89:$S89&gt;'Calc base'!Q89)+('Calc base'!$H89:$S89='Calc base'!Q89)*('Calc base'!$C$17:$N$17&lt;'Calc base'!L$17)))))</f>
        <v>0</v>
      </c>
      <c r="AR89">
        <f>IF('Calc base'!M$14=0,0,MIN(AF89,MAX(0,$E89-SUMPRODUCT($V89:$AG89,'Calc base'!$C$14:$N$14,('Calc base'!$H89:$S89&gt;'Calc base'!R89)+('Calc base'!$H89:$S89='Calc base'!R89)*('Calc base'!$C$17:$N$17&lt;'Calc base'!M$17)))))</f>
        <v>0</v>
      </c>
      <c r="AS89">
        <f>IF('Calc base'!N$14=0,0,MIN(AG89,MAX(0,$E89-SUMPRODUCT($V89:$AG89,'Calc base'!$C$14:$N$14,('Calc base'!$H89:$S89&gt;'Calc base'!S89)+('Calc base'!$H89:$S89='Calc base'!S89)*('Calc base'!$C$17:$N$17&lt;'Calc base'!N$17)))))</f>
        <v>0</v>
      </c>
      <c r="AT89">
        <f>V89-AH89</f>
        <v>0</v>
      </c>
      <c r="AU89">
        <f>W89-AI89</f>
        <v>0</v>
      </c>
      <c r="AV89">
        <f>X89-AJ89</f>
        <v>0</v>
      </c>
      <c r="AW89">
        <f>Y89-AK89</f>
        <v>0</v>
      </c>
      <c r="AX89">
        <f>Z89-AL89</f>
        <v>0</v>
      </c>
      <c r="AY89">
        <f>AA89-AM89</f>
        <v>0</v>
      </c>
      <c r="AZ89">
        <f>AB89-AN89</f>
        <v>0</v>
      </c>
      <c r="BA89">
        <f>AC89-AO89</f>
        <v>0</v>
      </c>
      <c r="BB89">
        <f>AD89-AP89</f>
        <v>0</v>
      </c>
      <c r="BC89">
        <f>AE89-AQ89</f>
        <v>0</v>
      </c>
      <c r="BD89">
        <f>AF89-AR89</f>
        <v>0</v>
      </c>
      <c r="BE89">
        <f>AG89-AS89</f>
        <v>0</v>
      </c>
    </row>
    <row r="90">
      <c r="A90" t="n">
        <v>60</v>
      </c>
      <c r="B90">
        <f>SUMPRODUCT(ROUND($AT89:$BE89*(1+'Calc base'!$H90:$S90),2))</f>
        <v>0</v>
      </c>
      <c r="C90">
        <f>SUM(J90:U90)</f>
        <v>0</v>
      </c>
      <c r="D90">
        <f>SUM(V90:AG90)</f>
        <v>0</v>
      </c>
      <c r="E90">
        <f>MAX(0,IF(Impostazioni!$B$7="No",'Calc base'!$C90-$C$31,'Calc base'!$C90-C90)+'Calc base'!$G90+'Calc base'!$F90-(B90-C90-D90))</f>
        <v>900</v>
      </c>
      <c r="F90">
        <f>SUM(AH90:AS90)</f>
        <v>0</v>
      </c>
      <c r="G90">
        <f>SUM(AT90:BE90)</f>
        <v>0</v>
      </c>
      <c r="H90">
        <f>B90-G89</f>
        <v>0</v>
      </c>
      <c r="I90">
        <f>B90-G90</f>
        <v>0</v>
      </c>
      <c r="J90">
        <f>IF(AT89&lt;=0,0,IF(ROUND(AT89*(1+'Calc base'!H90),2)-MAX('Calc base'!C$12,ROUND('Calc base'!C$13*AT89,2))&lt;1,ROUND(AT89*(1+'Calc base'!H90),2),MAX('Calc base'!C$12,ROUND('Calc base'!C$13*AT89,2))))</f>
        <v>0</v>
      </c>
      <c r="K90">
        <f>IF(AU89&lt;=0,0,IF(ROUND(AU89*(1+'Calc base'!I90),2)-MAX('Calc base'!D$12,ROUND('Calc base'!D$13*AU89,2))&lt;1,ROUND(AU89*(1+'Calc base'!I90),2),MAX('Calc base'!D$12,ROUND('Calc base'!D$13*AU89,2))))</f>
        <v>0</v>
      </c>
      <c r="L90">
        <f>IF(AV89&lt;=0,0,IF(ROUND(AV89*(1+'Calc base'!J90),2)-MAX('Calc base'!E$12,ROUND('Calc base'!E$13*AV89,2))&lt;1,ROUND(AV89*(1+'Calc base'!J90),2),MAX('Calc base'!E$12,ROUND('Calc base'!E$13*AV89,2))))</f>
        <v>0</v>
      </c>
      <c r="M90">
        <f>IF(AW89&lt;=0,0,IF(ROUND(AW89*(1+'Calc base'!K90),2)-MAX('Calc base'!F$12,ROUND('Calc base'!F$13*AW89,2))&lt;1,ROUND(AW89*(1+'Calc base'!K90),2),MAX('Calc base'!F$12,ROUND('Calc base'!F$13*AW89,2))))</f>
        <v>0</v>
      </c>
      <c r="N90">
        <f>IF(AX89&lt;=0,0,IF(ROUND(AX89*(1+'Calc base'!L90),2)-MAX('Calc base'!G$12,ROUND('Calc base'!G$13*AX89,2))&lt;1,ROUND(AX89*(1+'Calc base'!L90),2),MAX('Calc base'!G$12,ROUND('Calc base'!G$13*AX89,2))))</f>
        <v>0</v>
      </c>
      <c r="O90">
        <f>IF(AY89&lt;=0,0,IF(ROUND(AY89*(1+'Calc base'!M90),2)-MAX('Calc base'!H$12,ROUND('Calc base'!H$13*AY89,2))&lt;1,ROUND(AY89*(1+'Calc base'!M90),2),MAX('Calc base'!H$12,ROUND('Calc base'!H$13*AY89,2))))</f>
        <v>0</v>
      </c>
      <c r="P90">
        <f>IF(AZ89&lt;=0,0,IF(ROUND(AZ89*(1+'Calc base'!N90),2)-MAX('Calc base'!I$12,ROUND('Calc base'!I$13*AZ89,2))&lt;1,ROUND(AZ89*(1+'Calc base'!N90),2),MAX('Calc base'!I$12,ROUND('Calc base'!I$13*AZ89,2))))</f>
        <v>0</v>
      </c>
      <c r="Q90">
        <f>IF(BA89&lt;=0,0,IF(ROUND(BA89*(1+'Calc base'!O90),2)-MAX('Calc base'!J$12,ROUND('Calc base'!J$13*BA89,2))&lt;1,ROUND(BA89*(1+'Calc base'!O90),2),MAX('Calc base'!J$12,ROUND('Calc base'!J$13*BA89,2))))</f>
        <v>0</v>
      </c>
      <c r="R90">
        <f>IF(BB89&lt;=0,0,IF(ROUND(BB89*(1+'Calc base'!P90),2)-MAX('Calc base'!K$12,ROUND('Calc base'!K$13*BB89,2))&lt;1,ROUND(BB89*(1+'Calc base'!P90),2),MAX('Calc base'!K$12,ROUND('Calc base'!K$13*BB89,2))))</f>
        <v>0</v>
      </c>
      <c r="S90">
        <f>IF(BC89&lt;=0,0,IF(ROUND(BC89*(1+'Calc base'!Q90),2)-MAX('Calc base'!L$12,ROUND('Calc base'!L$13*BC89,2))&lt;1,ROUND(BC89*(1+'Calc base'!Q90),2),MAX('Calc base'!L$12,ROUND('Calc base'!L$13*BC89,2))))</f>
        <v>0</v>
      </c>
      <c r="T90">
        <f>IF(BD89&lt;=0,0,IF(ROUND(BD89*(1+'Calc base'!R90),2)-MAX('Calc base'!M$12,ROUND('Calc base'!M$13*BD89,2))&lt;1,ROUND(BD89*(1+'Calc base'!R90),2),MAX('Calc base'!M$12,ROUND('Calc base'!M$13*BD89,2))))</f>
        <v>0</v>
      </c>
      <c r="U90">
        <f>IF(BE89&lt;=0,0,IF(ROUND(BE89*(1+'Calc base'!S90),2)-MAX('Calc base'!N$12,ROUND('Calc base'!N$13*BE89,2))&lt;1,ROUND(BE89*(1+'Calc base'!S90),2),MAX('Calc base'!N$12,ROUND('Calc base'!N$13*BE89,2))))</f>
        <v>0</v>
      </c>
      <c r="V90">
        <f>MAX(0,ROUND(AT89*(1+'Calc base'!H90),2)-J90-'Calc base'!T90)</f>
        <v>0</v>
      </c>
      <c r="W90">
        <f>MAX(0,ROUND(AU89*(1+'Calc base'!I90),2)-K90-'Calc base'!U90)</f>
        <v>0</v>
      </c>
      <c r="X90">
        <f>MAX(0,ROUND(AV89*(1+'Calc base'!J90),2)-L90-'Calc base'!V90)</f>
        <v>0</v>
      </c>
      <c r="Y90">
        <f>MAX(0,ROUND(AW89*(1+'Calc base'!K90),2)-M90-'Calc base'!W90)</f>
        <v>0</v>
      </c>
      <c r="Z90">
        <f>MAX(0,ROUND(AX89*(1+'Calc base'!L90),2)-N90-'Calc base'!X90)</f>
        <v>0</v>
      </c>
      <c r="AA90">
        <f>MAX(0,ROUND(AY89*(1+'Calc base'!M90),2)-O90-'Calc base'!Y90)</f>
        <v>0</v>
      </c>
      <c r="AB90">
        <f>MAX(0,ROUND(AZ89*(1+'Calc base'!N90),2)-P90-'Calc base'!Z90)</f>
        <v>0</v>
      </c>
      <c r="AC90">
        <f>MAX(0,ROUND(BA89*(1+'Calc base'!O90),2)-Q90-'Calc base'!AA90)</f>
        <v>0</v>
      </c>
      <c r="AD90">
        <f>MAX(0,ROUND(BB89*(1+'Calc base'!P90),2)-R90-'Calc base'!AB90)</f>
        <v>0</v>
      </c>
      <c r="AE90">
        <f>MAX(0,ROUND(BC89*(1+'Calc base'!Q90),2)-S90-'Calc base'!AC90)</f>
        <v>0</v>
      </c>
      <c r="AF90">
        <f>MAX(0,ROUND(BD89*(1+'Calc base'!R90),2)-T90-'Calc base'!AD90)</f>
        <v>0</v>
      </c>
      <c r="AG90">
        <f>MAX(0,ROUND(BE89*(1+'Calc base'!S90),2)-U90-'Calc base'!AE90)</f>
        <v>0</v>
      </c>
      <c r="AH90">
        <f>IF('Calc base'!C$14=0,0,MIN(V90,MAX(0,$E90-SUMPRODUCT($V90:$AG90,'Calc base'!$C$14:$N$14,('Calc base'!$H90:$S90&gt;'Calc base'!H90)+('Calc base'!$H90:$S90='Calc base'!H90)*('Calc base'!$C$17:$N$17&lt;'Calc base'!C$17)))))</f>
        <v>0</v>
      </c>
      <c r="AI90">
        <f>IF('Calc base'!D$14=0,0,MIN(W90,MAX(0,$E90-SUMPRODUCT($V90:$AG90,'Calc base'!$C$14:$N$14,('Calc base'!$H90:$S90&gt;'Calc base'!I90)+('Calc base'!$H90:$S90='Calc base'!I90)*('Calc base'!$C$17:$N$17&lt;'Calc base'!D$17)))))</f>
        <v>0</v>
      </c>
      <c r="AJ90">
        <f>IF('Calc base'!E$14=0,0,MIN(X90,MAX(0,$E90-SUMPRODUCT($V90:$AG90,'Calc base'!$C$14:$N$14,('Calc base'!$H90:$S90&gt;'Calc base'!J90)+('Calc base'!$H90:$S90='Calc base'!J90)*('Calc base'!$C$17:$N$17&lt;'Calc base'!E$17)))))</f>
        <v>0</v>
      </c>
      <c r="AK90">
        <f>IF('Calc base'!F$14=0,0,MIN(Y90,MAX(0,$E90-SUMPRODUCT($V90:$AG90,'Calc base'!$C$14:$N$14,('Calc base'!$H90:$S90&gt;'Calc base'!K90)+('Calc base'!$H90:$S90='Calc base'!K90)*('Calc base'!$C$17:$N$17&lt;'Calc base'!F$17)))))</f>
        <v>0</v>
      </c>
      <c r="AL90">
        <f>IF('Calc base'!G$14=0,0,MIN(Z90,MAX(0,$E90-SUMPRODUCT($V90:$AG90,'Calc base'!$C$14:$N$14,('Calc base'!$H90:$S90&gt;'Calc base'!L90)+('Calc base'!$H90:$S90='Calc base'!L90)*('Calc base'!$C$17:$N$17&lt;'Calc base'!G$17)))))</f>
        <v>0</v>
      </c>
      <c r="AM90">
        <f>IF('Calc base'!H$14=0,0,MIN(AA90,MAX(0,$E90-SUMPRODUCT($V90:$AG90,'Calc base'!$C$14:$N$14,('Calc base'!$H90:$S90&gt;'Calc base'!M90)+('Calc base'!$H90:$S90='Calc base'!M90)*('Calc base'!$C$17:$N$17&lt;'Calc base'!H$17)))))</f>
        <v>0</v>
      </c>
      <c r="AN90">
        <f>IF('Calc base'!I$14=0,0,MIN(AB90,MAX(0,$E90-SUMPRODUCT($V90:$AG90,'Calc base'!$C$14:$N$14,('Calc base'!$H90:$S90&gt;'Calc base'!N90)+('Calc base'!$H90:$S90='Calc base'!N90)*('Calc base'!$C$17:$N$17&lt;'Calc base'!I$17)))))</f>
        <v>0</v>
      </c>
      <c r="AO90">
        <f>IF('Calc base'!J$14=0,0,MIN(AC90,MAX(0,$E90-SUMPRODUCT($V90:$AG90,'Calc base'!$C$14:$N$14,('Calc base'!$H90:$S90&gt;'Calc base'!O90)+('Calc base'!$H90:$S90='Calc base'!O90)*('Calc base'!$C$17:$N$17&lt;'Calc base'!J$17)))))</f>
        <v>0</v>
      </c>
      <c r="AP90">
        <f>IF('Calc base'!K$14=0,0,MIN(AD90,MAX(0,$E90-SUMPRODUCT($V90:$AG90,'Calc base'!$C$14:$N$14,('Calc base'!$H90:$S90&gt;'Calc base'!P90)+('Calc base'!$H90:$S90='Calc base'!P90)*('Calc base'!$C$17:$N$17&lt;'Calc base'!K$17)))))</f>
        <v>0</v>
      </c>
      <c r="AQ90">
        <f>IF('Calc base'!L$14=0,0,MIN(AE90,MAX(0,$E90-SUMPRODUCT($V90:$AG90,'Calc base'!$C$14:$N$14,('Calc base'!$H90:$S90&gt;'Calc base'!Q90)+('Calc base'!$H90:$S90='Calc base'!Q90)*('Calc base'!$C$17:$N$17&lt;'Calc base'!L$17)))))</f>
        <v>0</v>
      </c>
      <c r="AR90">
        <f>IF('Calc base'!M$14=0,0,MIN(AF90,MAX(0,$E90-SUMPRODUCT($V90:$AG90,'Calc base'!$C$14:$N$14,('Calc base'!$H90:$S90&gt;'Calc base'!R90)+('Calc base'!$H90:$S90='Calc base'!R90)*('Calc base'!$C$17:$N$17&lt;'Calc base'!M$17)))))</f>
        <v>0</v>
      </c>
      <c r="AS90">
        <f>IF('Calc base'!N$14=0,0,MIN(AG90,MAX(0,$E90-SUMPRODUCT($V90:$AG90,'Calc base'!$C$14:$N$14,('Calc base'!$H90:$S90&gt;'Calc base'!S90)+('Calc base'!$H90:$S90='Calc base'!S90)*('Calc base'!$C$17:$N$17&lt;'Calc base'!N$17)))))</f>
        <v>0</v>
      </c>
      <c r="AT90">
        <f>V90-AH90</f>
        <v>0</v>
      </c>
      <c r="AU90">
        <f>W90-AI90</f>
        <v>0</v>
      </c>
      <c r="AV90">
        <f>X90-AJ90</f>
        <v>0</v>
      </c>
      <c r="AW90">
        <f>Y90-AK90</f>
        <v>0</v>
      </c>
      <c r="AX90">
        <f>Z90-AL90</f>
        <v>0</v>
      </c>
      <c r="AY90">
        <f>AA90-AM90</f>
        <v>0</v>
      </c>
      <c r="AZ90">
        <f>AB90-AN90</f>
        <v>0</v>
      </c>
      <c r="BA90">
        <f>AC90-AO90</f>
        <v>0</v>
      </c>
      <c r="BB90">
        <f>AD90-AP90</f>
        <v>0</v>
      </c>
      <c r="BC90">
        <f>AE90-AQ90</f>
        <v>0</v>
      </c>
      <c r="BD90">
        <f>AF90-AR90</f>
        <v>0</v>
      </c>
      <c r="BE90">
        <f>AG90-AS90</f>
        <v>0</v>
      </c>
    </row>
    <row r="91">
      <c r="A91" t="n">
        <v>61</v>
      </c>
      <c r="B91">
        <f>SUMPRODUCT(ROUND($AT90:$BE90*(1+'Calc base'!$H91:$S91),2))</f>
        <v>0</v>
      </c>
      <c r="C91">
        <f>SUM(J91:U91)</f>
        <v>0</v>
      </c>
      <c r="D91">
        <f>SUM(V91:AG91)</f>
        <v>0</v>
      </c>
      <c r="E91">
        <f>MAX(0,IF(Impostazioni!$B$7="No",'Calc base'!$C91-$C$31,'Calc base'!$C91-C91)+'Calc base'!$G91+'Calc base'!$F91-(B91-C91-D91))</f>
        <v>900</v>
      </c>
      <c r="F91">
        <f>SUM(AH91:AS91)</f>
        <v>0</v>
      </c>
      <c r="G91">
        <f>SUM(AT91:BE91)</f>
        <v>0</v>
      </c>
      <c r="H91">
        <f>B91-G90</f>
        <v>0</v>
      </c>
      <c r="I91">
        <f>B91-G91</f>
        <v>0</v>
      </c>
      <c r="J91">
        <f>IF(AT90&lt;=0,0,IF(ROUND(AT90*(1+'Calc base'!H91),2)-MAX('Calc base'!C$12,ROUND('Calc base'!C$13*AT90,2))&lt;1,ROUND(AT90*(1+'Calc base'!H91),2),MAX('Calc base'!C$12,ROUND('Calc base'!C$13*AT90,2))))</f>
        <v>0</v>
      </c>
      <c r="K91">
        <f>IF(AU90&lt;=0,0,IF(ROUND(AU90*(1+'Calc base'!I91),2)-MAX('Calc base'!D$12,ROUND('Calc base'!D$13*AU90,2))&lt;1,ROUND(AU90*(1+'Calc base'!I91),2),MAX('Calc base'!D$12,ROUND('Calc base'!D$13*AU90,2))))</f>
        <v>0</v>
      </c>
      <c r="L91">
        <f>IF(AV90&lt;=0,0,IF(ROUND(AV90*(1+'Calc base'!J91),2)-MAX('Calc base'!E$12,ROUND('Calc base'!E$13*AV90,2))&lt;1,ROUND(AV90*(1+'Calc base'!J91),2),MAX('Calc base'!E$12,ROUND('Calc base'!E$13*AV90,2))))</f>
        <v>0</v>
      </c>
      <c r="M91">
        <f>IF(AW90&lt;=0,0,IF(ROUND(AW90*(1+'Calc base'!K91),2)-MAX('Calc base'!F$12,ROUND('Calc base'!F$13*AW90,2))&lt;1,ROUND(AW90*(1+'Calc base'!K91),2),MAX('Calc base'!F$12,ROUND('Calc base'!F$13*AW90,2))))</f>
        <v>0</v>
      </c>
      <c r="N91">
        <f>IF(AX90&lt;=0,0,IF(ROUND(AX90*(1+'Calc base'!L91),2)-MAX('Calc base'!G$12,ROUND('Calc base'!G$13*AX90,2))&lt;1,ROUND(AX90*(1+'Calc base'!L91),2),MAX('Calc base'!G$12,ROUND('Calc base'!G$13*AX90,2))))</f>
        <v>0</v>
      </c>
      <c r="O91">
        <f>IF(AY90&lt;=0,0,IF(ROUND(AY90*(1+'Calc base'!M91),2)-MAX('Calc base'!H$12,ROUND('Calc base'!H$13*AY90,2))&lt;1,ROUND(AY90*(1+'Calc base'!M91),2),MAX('Calc base'!H$12,ROUND('Calc base'!H$13*AY90,2))))</f>
        <v>0</v>
      </c>
      <c r="P91">
        <f>IF(AZ90&lt;=0,0,IF(ROUND(AZ90*(1+'Calc base'!N91),2)-MAX('Calc base'!I$12,ROUND('Calc base'!I$13*AZ90,2))&lt;1,ROUND(AZ90*(1+'Calc base'!N91),2),MAX('Calc base'!I$12,ROUND('Calc base'!I$13*AZ90,2))))</f>
        <v>0</v>
      </c>
      <c r="Q91">
        <f>IF(BA90&lt;=0,0,IF(ROUND(BA90*(1+'Calc base'!O91),2)-MAX('Calc base'!J$12,ROUND('Calc base'!J$13*BA90,2))&lt;1,ROUND(BA90*(1+'Calc base'!O91),2),MAX('Calc base'!J$12,ROUND('Calc base'!J$13*BA90,2))))</f>
        <v>0</v>
      </c>
      <c r="R91">
        <f>IF(BB90&lt;=0,0,IF(ROUND(BB90*(1+'Calc base'!P91),2)-MAX('Calc base'!K$12,ROUND('Calc base'!K$13*BB90,2))&lt;1,ROUND(BB90*(1+'Calc base'!P91),2),MAX('Calc base'!K$12,ROUND('Calc base'!K$13*BB90,2))))</f>
        <v>0</v>
      </c>
      <c r="S91">
        <f>IF(BC90&lt;=0,0,IF(ROUND(BC90*(1+'Calc base'!Q91),2)-MAX('Calc base'!L$12,ROUND('Calc base'!L$13*BC90,2))&lt;1,ROUND(BC90*(1+'Calc base'!Q91),2),MAX('Calc base'!L$12,ROUND('Calc base'!L$13*BC90,2))))</f>
        <v>0</v>
      </c>
      <c r="T91">
        <f>IF(BD90&lt;=0,0,IF(ROUND(BD90*(1+'Calc base'!R91),2)-MAX('Calc base'!M$12,ROUND('Calc base'!M$13*BD90,2))&lt;1,ROUND(BD90*(1+'Calc base'!R91),2),MAX('Calc base'!M$12,ROUND('Calc base'!M$13*BD90,2))))</f>
        <v>0</v>
      </c>
      <c r="U91">
        <f>IF(BE90&lt;=0,0,IF(ROUND(BE90*(1+'Calc base'!S91),2)-MAX('Calc base'!N$12,ROUND('Calc base'!N$13*BE90,2))&lt;1,ROUND(BE90*(1+'Calc base'!S91),2),MAX('Calc base'!N$12,ROUND('Calc base'!N$13*BE90,2))))</f>
        <v>0</v>
      </c>
      <c r="V91">
        <f>MAX(0,ROUND(AT90*(1+'Calc base'!H91),2)-J91-'Calc base'!T91)</f>
        <v>0</v>
      </c>
      <c r="W91">
        <f>MAX(0,ROUND(AU90*(1+'Calc base'!I91),2)-K91-'Calc base'!U91)</f>
        <v>0</v>
      </c>
      <c r="X91">
        <f>MAX(0,ROUND(AV90*(1+'Calc base'!J91),2)-L91-'Calc base'!V91)</f>
        <v>0</v>
      </c>
      <c r="Y91">
        <f>MAX(0,ROUND(AW90*(1+'Calc base'!K91),2)-M91-'Calc base'!W91)</f>
        <v>0</v>
      </c>
      <c r="Z91">
        <f>MAX(0,ROUND(AX90*(1+'Calc base'!L91),2)-N91-'Calc base'!X91)</f>
        <v>0</v>
      </c>
      <c r="AA91">
        <f>MAX(0,ROUND(AY90*(1+'Calc base'!M91),2)-O91-'Calc base'!Y91)</f>
        <v>0</v>
      </c>
      <c r="AB91">
        <f>MAX(0,ROUND(AZ90*(1+'Calc base'!N91),2)-P91-'Calc base'!Z91)</f>
        <v>0</v>
      </c>
      <c r="AC91">
        <f>MAX(0,ROUND(BA90*(1+'Calc base'!O91),2)-Q91-'Calc base'!AA91)</f>
        <v>0</v>
      </c>
      <c r="AD91">
        <f>MAX(0,ROUND(BB90*(1+'Calc base'!P91),2)-R91-'Calc base'!AB91)</f>
        <v>0</v>
      </c>
      <c r="AE91">
        <f>MAX(0,ROUND(BC90*(1+'Calc base'!Q91),2)-S91-'Calc base'!AC91)</f>
        <v>0</v>
      </c>
      <c r="AF91">
        <f>MAX(0,ROUND(BD90*(1+'Calc base'!R91),2)-T91-'Calc base'!AD91)</f>
        <v>0</v>
      </c>
      <c r="AG91">
        <f>MAX(0,ROUND(BE90*(1+'Calc base'!S91),2)-U91-'Calc base'!AE91)</f>
        <v>0</v>
      </c>
      <c r="AH91">
        <f>IF('Calc base'!C$14=0,0,MIN(V91,MAX(0,$E91-SUMPRODUCT($V91:$AG91,'Calc base'!$C$14:$N$14,('Calc base'!$H91:$S91&gt;'Calc base'!H91)+('Calc base'!$H91:$S91='Calc base'!H91)*('Calc base'!$C$17:$N$17&lt;'Calc base'!C$17)))))</f>
        <v>0</v>
      </c>
      <c r="AI91">
        <f>IF('Calc base'!D$14=0,0,MIN(W91,MAX(0,$E91-SUMPRODUCT($V91:$AG91,'Calc base'!$C$14:$N$14,('Calc base'!$H91:$S91&gt;'Calc base'!I91)+('Calc base'!$H91:$S91='Calc base'!I91)*('Calc base'!$C$17:$N$17&lt;'Calc base'!D$17)))))</f>
        <v>0</v>
      </c>
      <c r="AJ91">
        <f>IF('Calc base'!E$14=0,0,MIN(X91,MAX(0,$E91-SUMPRODUCT($V91:$AG91,'Calc base'!$C$14:$N$14,('Calc base'!$H91:$S91&gt;'Calc base'!J91)+('Calc base'!$H91:$S91='Calc base'!J91)*('Calc base'!$C$17:$N$17&lt;'Calc base'!E$17)))))</f>
        <v>0</v>
      </c>
      <c r="AK91">
        <f>IF('Calc base'!F$14=0,0,MIN(Y91,MAX(0,$E91-SUMPRODUCT($V91:$AG91,'Calc base'!$C$14:$N$14,('Calc base'!$H91:$S91&gt;'Calc base'!K91)+('Calc base'!$H91:$S91='Calc base'!K91)*('Calc base'!$C$17:$N$17&lt;'Calc base'!F$17)))))</f>
        <v>0</v>
      </c>
      <c r="AL91">
        <f>IF('Calc base'!G$14=0,0,MIN(Z91,MAX(0,$E91-SUMPRODUCT($V91:$AG91,'Calc base'!$C$14:$N$14,('Calc base'!$H91:$S91&gt;'Calc base'!L91)+('Calc base'!$H91:$S91='Calc base'!L91)*('Calc base'!$C$17:$N$17&lt;'Calc base'!G$17)))))</f>
        <v>0</v>
      </c>
      <c r="AM91">
        <f>IF('Calc base'!H$14=0,0,MIN(AA91,MAX(0,$E91-SUMPRODUCT($V91:$AG91,'Calc base'!$C$14:$N$14,('Calc base'!$H91:$S91&gt;'Calc base'!M91)+('Calc base'!$H91:$S91='Calc base'!M91)*('Calc base'!$C$17:$N$17&lt;'Calc base'!H$17)))))</f>
        <v>0</v>
      </c>
      <c r="AN91">
        <f>IF('Calc base'!I$14=0,0,MIN(AB91,MAX(0,$E91-SUMPRODUCT($V91:$AG91,'Calc base'!$C$14:$N$14,('Calc base'!$H91:$S91&gt;'Calc base'!N91)+('Calc base'!$H91:$S91='Calc base'!N91)*('Calc base'!$C$17:$N$17&lt;'Calc base'!I$17)))))</f>
        <v>0</v>
      </c>
      <c r="AO91">
        <f>IF('Calc base'!J$14=0,0,MIN(AC91,MAX(0,$E91-SUMPRODUCT($V91:$AG91,'Calc base'!$C$14:$N$14,('Calc base'!$H91:$S91&gt;'Calc base'!O91)+('Calc base'!$H91:$S91='Calc base'!O91)*('Calc base'!$C$17:$N$17&lt;'Calc base'!J$17)))))</f>
        <v>0</v>
      </c>
      <c r="AP91">
        <f>IF('Calc base'!K$14=0,0,MIN(AD91,MAX(0,$E91-SUMPRODUCT($V91:$AG91,'Calc base'!$C$14:$N$14,('Calc base'!$H91:$S91&gt;'Calc base'!P91)+('Calc base'!$H91:$S91='Calc base'!P91)*('Calc base'!$C$17:$N$17&lt;'Calc base'!K$17)))))</f>
        <v>0</v>
      </c>
      <c r="AQ91">
        <f>IF('Calc base'!L$14=0,0,MIN(AE91,MAX(0,$E91-SUMPRODUCT($V91:$AG91,'Calc base'!$C$14:$N$14,('Calc base'!$H91:$S91&gt;'Calc base'!Q91)+('Calc base'!$H91:$S91='Calc base'!Q91)*('Calc base'!$C$17:$N$17&lt;'Calc base'!L$17)))))</f>
        <v>0</v>
      </c>
      <c r="AR91">
        <f>IF('Calc base'!M$14=0,0,MIN(AF91,MAX(0,$E91-SUMPRODUCT($V91:$AG91,'Calc base'!$C$14:$N$14,('Calc base'!$H91:$S91&gt;'Calc base'!R91)+('Calc base'!$H91:$S91='Calc base'!R91)*('Calc base'!$C$17:$N$17&lt;'Calc base'!M$17)))))</f>
        <v>0</v>
      </c>
      <c r="AS91">
        <f>IF('Calc base'!N$14=0,0,MIN(AG91,MAX(0,$E91-SUMPRODUCT($V91:$AG91,'Calc base'!$C$14:$N$14,('Calc base'!$H91:$S91&gt;'Calc base'!S91)+('Calc base'!$H91:$S91='Calc base'!S91)*('Calc base'!$C$17:$N$17&lt;'Calc base'!N$17)))))</f>
        <v>0</v>
      </c>
      <c r="AT91">
        <f>V91-AH91</f>
        <v>0</v>
      </c>
      <c r="AU91">
        <f>W91-AI91</f>
        <v>0</v>
      </c>
      <c r="AV91">
        <f>X91-AJ91</f>
        <v>0</v>
      </c>
      <c r="AW91">
        <f>Y91-AK91</f>
        <v>0</v>
      </c>
      <c r="AX91">
        <f>Z91-AL91</f>
        <v>0</v>
      </c>
      <c r="AY91">
        <f>AA91-AM91</f>
        <v>0</v>
      </c>
      <c r="AZ91">
        <f>AB91-AN91</f>
        <v>0</v>
      </c>
      <c r="BA91">
        <f>AC91-AO91</f>
        <v>0</v>
      </c>
      <c r="BB91">
        <f>AD91-AP91</f>
        <v>0</v>
      </c>
      <c r="BC91">
        <f>AE91-AQ91</f>
        <v>0</v>
      </c>
      <c r="BD91">
        <f>AF91-AR91</f>
        <v>0</v>
      </c>
      <c r="BE91">
        <f>AG91-AS91</f>
        <v>0</v>
      </c>
    </row>
    <row r="92">
      <c r="A92" t="n">
        <v>62</v>
      </c>
      <c r="B92">
        <f>SUMPRODUCT(ROUND($AT91:$BE91*(1+'Calc base'!$H92:$S92),2))</f>
        <v>0</v>
      </c>
      <c r="C92">
        <f>SUM(J92:U92)</f>
        <v>0</v>
      </c>
      <c r="D92">
        <f>SUM(V92:AG92)</f>
        <v>0</v>
      </c>
      <c r="E92">
        <f>MAX(0,IF(Impostazioni!$B$7="No",'Calc base'!$C92-$C$31,'Calc base'!$C92-C92)+'Calc base'!$G92+'Calc base'!$F92-(B92-C92-D92))</f>
        <v>900</v>
      </c>
      <c r="F92">
        <f>SUM(AH92:AS92)</f>
        <v>0</v>
      </c>
      <c r="G92">
        <f>SUM(AT92:BE92)</f>
        <v>0</v>
      </c>
      <c r="H92">
        <f>B92-G91</f>
        <v>0</v>
      </c>
      <c r="I92">
        <f>B92-G92</f>
        <v>0</v>
      </c>
      <c r="J92">
        <f>IF(AT91&lt;=0,0,IF(ROUND(AT91*(1+'Calc base'!H92),2)-MAX('Calc base'!C$12,ROUND('Calc base'!C$13*AT91,2))&lt;1,ROUND(AT91*(1+'Calc base'!H92),2),MAX('Calc base'!C$12,ROUND('Calc base'!C$13*AT91,2))))</f>
        <v>0</v>
      </c>
      <c r="K92">
        <f>IF(AU91&lt;=0,0,IF(ROUND(AU91*(1+'Calc base'!I92),2)-MAX('Calc base'!D$12,ROUND('Calc base'!D$13*AU91,2))&lt;1,ROUND(AU91*(1+'Calc base'!I92),2),MAX('Calc base'!D$12,ROUND('Calc base'!D$13*AU91,2))))</f>
        <v>0</v>
      </c>
      <c r="L92">
        <f>IF(AV91&lt;=0,0,IF(ROUND(AV91*(1+'Calc base'!J92),2)-MAX('Calc base'!E$12,ROUND('Calc base'!E$13*AV91,2))&lt;1,ROUND(AV91*(1+'Calc base'!J92),2),MAX('Calc base'!E$12,ROUND('Calc base'!E$13*AV91,2))))</f>
        <v>0</v>
      </c>
      <c r="M92">
        <f>IF(AW91&lt;=0,0,IF(ROUND(AW91*(1+'Calc base'!K92),2)-MAX('Calc base'!F$12,ROUND('Calc base'!F$13*AW91,2))&lt;1,ROUND(AW91*(1+'Calc base'!K92),2),MAX('Calc base'!F$12,ROUND('Calc base'!F$13*AW91,2))))</f>
        <v>0</v>
      </c>
      <c r="N92">
        <f>IF(AX91&lt;=0,0,IF(ROUND(AX91*(1+'Calc base'!L92),2)-MAX('Calc base'!G$12,ROUND('Calc base'!G$13*AX91,2))&lt;1,ROUND(AX91*(1+'Calc base'!L92),2),MAX('Calc base'!G$12,ROUND('Calc base'!G$13*AX91,2))))</f>
        <v>0</v>
      </c>
      <c r="O92">
        <f>IF(AY91&lt;=0,0,IF(ROUND(AY91*(1+'Calc base'!M92),2)-MAX('Calc base'!H$12,ROUND('Calc base'!H$13*AY91,2))&lt;1,ROUND(AY91*(1+'Calc base'!M92),2),MAX('Calc base'!H$12,ROUND('Calc base'!H$13*AY91,2))))</f>
        <v>0</v>
      </c>
      <c r="P92">
        <f>IF(AZ91&lt;=0,0,IF(ROUND(AZ91*(1+'Calc base'!N92),2)-MAX('Calc base'!I$12,ROUND('Calc base'!I$13*AZ91,2))&lt;1,ROUND(AZ91*(1+'Calc base'!N92),2),MAX('Calc base'!I$12,ROUND('Calc base'!I$13*AZ91,2))))</f>
        <v>0</v>
      </c>
      <c r="Q92">
        <f>IF(BA91&lt;=0,0,IF(ROUND(BA91*(1+'Calc base'!O92),2)-MAX('Calc base'!J$12,ROUND('Calc base'!J$13*BA91,2))&lt;1,ROUND(BA91*(1+'Calc base'!O92),2),MAX('Calc base'!J$12,ROUND('Calc base'!J$13*BA91,2))))</f>
        <v>0</v>
      </c>
      <c r="R92">
        <f>IF(BB91&lt;=0,0,IF(ROUND(BB91*(1+'Calc base'!P92),2)-MAX('Calc base'!K$12,ROUND('Calc base'!K$13*BB91,2))&lt;1,ROUND(BB91*(1+'Calc base'!P92),2),MAX('Calc base'!K$12,ROUND('Calc base'!K$13*BB91,2))))</f>
        <v>0</v>
      </c>
      <c r="S92">
        <f>IF(BC91&lt;=0,0,IF(ROUND(BC91*(1+'Calc base'!Q92),2)-MAX('Calc base'!L$12,ROUND('Calc base'!L$13*BC91,2))&lt;1,ROUND(BC91*(1+'Calc base'!Q92),2),MAX('Calc base'!L$12,ROUND('Calc base'!L$13*BC91,2))))</f>
        <v>0</v>
      </c>
      <c r="T92">
        <f>IF(BD91&lt;=0,0,IF(ROUND(BD91*(1+'Calc base'!R92),2)-MAX('Calc base'!M$12,ROUND('Calc base'!M$13*BD91,2))&lt;1,ROUND(BD91*(1+'Calc base'!R92),2),MAX('Calc base'!M$12,ROUND('Calc base'!M$13*BD91,2))))</f>
        <v>0</v>
      </c>
      <c r="U92">
        <f>IF(BE91&lt;=0,0,IF(ROUND(BE91*(1+'Calc base'!S92),2)-MAX('Calc base'!N$12,ROUND('Calc base'!N$13*BE91,2))&lt;1,ROUND(BE91*(1+'Calc base'!S92),2),MAX('Calc base'!N$12,ROUND('Calc base'!N$13*BE91,2))))</f>
        <v>0</v>
      </c>
      <c r="V92">
        <f>MAX(0,ROUND(AT91*(1+'Calc base'!H92),2)-J92-'Calc base'!T92)</f>
        <v>0</v>
      </c>
      <c r="W92">
        <f>MAX(0,ROUND(AU91*(1+'Calc base'!I92),2)-K92-'Calc base'!U92)</f>
        <v>0</v>
      </c>
      <c r="X92">
        <f>MAX(0,ROUND(AV91*(1+'Calc base'!J92),2)-L92-'Calc base'!V92)</f>
        <v>0</v>
      </c>
      <c r="Y92">
        <f>MAX(0,ROUND(AW91*(1+'Calc base'!K92),2)-M92-'Calc base'!W92)</f>
        <v>0</v>
      </c>
      <c r="Z92">
        <f>MAX(0,ROUND(AX91*(1+'Calc base'!L92),2)-N92-'Calc base'!X92)</f>
        <v>0</v>
      </c>
      <c r="AA92">
        <f>MAX(0,ROUND(AY91*(1+'Calc base'!M92),2)-O92-'Calc base'!Y92)</f>
        <v>0</v>
      </c>
      <c r="AB92">
        <f>MAX(0,ROUND(AZ91*(1+'Calc base'!N92),2)-P92-'Calc base'!Z92)</f>
        <v>0</v>
      </c>
      <c r="AC92">
        <f>MAX(0,ROUND(BA91*(1+'Calc base'!O92),2)-Q92-'Calc base'!AA92)</f>
        <v>0</v>
      </c>
      <c r="AD92">
        <f>MAX(0,ROUND(BB91*(1+'Calc base'!P92),2)-R92-'Calc base'!AB92)</f>
        <v>0</v>
      </c>
      <c r="AE92">
        <f>MAX(0,ROUND(BC91*(1+'Calc base'!Q92),2)-S92-'Calc base'!AC92)</f>
        <v>0</v>
      </c>
      <c r="AF92">
        <f>MAX(0,ROUND(BD91*(1+'Calc base'!R92),2)-T92-'Calc base'!AD92)</f>
        <v>0</v>
      </c>
      <c r="AG92">
        <f>MAX(0,ROUND(BE91*(1+'Calc base'!S92),2)-U92-'Calc base'!AE92)</f>
        <v>0</v>
      </c>
      <c r="AH92">
        <f>IF('Calc base'!C$14=0,0,MIN(V92,MAX(0,$E92-SUMPRODUCT($V92:$AG92,'Calc base'!$C$14:$N$14,('Calc base'!$H92:$S92&gt;'Calc base'!H92)+('Calc base'!$H92:$S92='Calc base'!H92)*('Calc base'!$C$17:$N$17&lt;'Calc base'!C$17)))))</f>
        <v>0</v>
      </c>
      <c r="AI92">
        <f>IF('Calc base'!D$14=0,0,MIN(W92,MAX(0,$E92-SUMPRODUCT($V92:$AG92,'Calc base'!$C$14:$N$14,('Calc base'!$H92:$S92&gt;'Calc base'!I92)+('Calc base'!$H92:$S92='Calc base'!I92)*('Calc base'!$C$17:$N$17&lt;'Calc base'!D$17)))))</f>
        <v>0</v>
      </c>
      <c r="AJ92">
        <f>IF('Calc base'!E$14=0,0,MIN(X92,MAX(0,$E92-SUMPRODUCT($V92:$AG92,'Calc base'!$C$14:$N$14,('Calc base'!$H92:$S92&gt;'Calc base'!J92)+('Calc base'!$H92:$S92='Calc base'!J92)*('Calc base'!$C$17:$N$17&lt;'Calc base'!E$17)))))</f>
        <v>0</v>
      </c>
      <c r="AK92">
        <f>IF('Calc base'!F$14=0,0,MIN(Y92,MAX(0,$E92-SUMPRODUCT($V92:$AG92,'Calc base'!$C$14:$N$14,('Calc base'!$H92:$S92&gt;'Calc base'!K92)+('Calc base'!$H92:$S92='Calc base'!K92)*('Calc base'!$C$17:$N$17&lt;'Calc base'!F$17)))))</f>
        <v>0</v>
      </c>
      <c r="AL92">
        <f>IF('Calc base'!G$14=0,0,MIN(Z92,MAX(0,$E92-SUMPRODUCT($V92:$AG92,'Calc base'!$C$14:$N$14,('Calc base'!$H92:$S92&gt;'Calc base'!L92)+('Calc base'!$H92:$S92='Calc base'!L92)*('Calc base'!$C$17:$N$17&lt;'Calc base'!G$17)))))</f>
        <v>0</v>
      </c>
      <c r="AM92">
        <f>IF('Calc base'!H$14=0,0,MIN(AA92,MAX(0,$E92-SUMPRODUCT($V92:$AG92,'Calc base'!$C$14:$N$14,('Calc base'!$H92:$S92&gt;'Calc base'!M92)+('Calc base'!$H92:$S92='Calc base'!M92)*('Calc base'!$C$17:$N$17&lt;'Calc base'!H$17)))))</f>
        <v>0</v>
      </c>
      <c r="AN92">
        <f>IF('Calc base'!I$14=0,0,MIN(AB92,MAX(0,$E92-SUMPRODUCT($V92:$AG92,'Calc base'!$C$14:$N$14,('Calc base'!$H92:$S92&gt;'Calc base'!N92)+('Calc base'!$H92:$S92='Calc base'!N92)*('Calc base'!$C$17:$N$17&lt;'Calc base'!I$17)))))</f>
        <v>0</v>
      </c>
      <c r="AO92">
        <f>IF('Calc base'!J$14=0,0,MIN(AC92,MAX(0,$E92-SUMPRODUCT($V92:$AG92,'Calc base'!$C$14:$N$14,('Calc base'!$H92:$S92&gt;'Calc base'!O92)+('Calc base'!$H92:$S92='Calc base'!O92)*('Calc base'!$C$17:$N$17&lt;'Calc base'!J$17)))))</f>
        <v>0</v>
      </c>
      <c r="AP92">
        <f>IF('Calc base'!K$14=0,0,MIN(AD92,MAX(0,$E92-SUMPRODUCT($V92:$AG92,'Calc base'!$C$14:$N$14,('Calc base'!$H92:$S92&gt;'Calc base'!P92)+('Calc base'!$H92:$S92='Calc base'!P92)*('Calc base'!$C$17:$N$17&lt;'Calc base'!K$17)))))</f>
        <v>0</v>
      </c>
      <c r="AQ92">
        <f>IF('Calc base'!L$14=0,0,MIN(AE92,MAX(0,$E92-SUMPRODUCT($V92:$AG92,'Calc base'!$C$14:$N$14,('Calc base'!$H92:$S92&gt;'Calc base'!Q92)+('Calc base'!$H92:$S92='Calc base'!Q92)*('Calc base'!$C$17:$N$17&lt;'Calc base'!L$17)))))</f>
        <v>0</v>
      </c>
      <c r="AR92">
        <f>IF('Calc base'!M$14=0,0,MIN(AF92,MAX(0,$E92-SUMPRODUCT($V92:$AG92,'Calc base'!$C$14:$N$14,('Calc base'!$H92:$S92&gt;'Calc base'!R92)+('Calc base'!$H92:$S92='Calc base'!R92)*('Calc base'!$C$17:$N$17&lt;'Calc base'!M$17)))))</f>
        <v>0</v>
      </c>
      <c r="AS92">
        <f>IF('Calc base'!N$14=0,0,MIN(AG92,MAX(0,$E92-SUMPRODUCT($V92:$AG92,'Calc base'!$C$14:$N$14,('Calc base'!$H92:$S92&gt;'Calc base'!S92)+('Calc base'!$H92:$S92='Calc base'!S92)*('Calc base'!$C$17:$N$17&lt;'Calc base'!N$17)))))</f>
        <v>0</v>
      </c>
      <c r="AT92">
        <f>V92-AH92</f>
        <v>0</v>
      </c>
      <c r="AU92">
        <f>W92-AI92</f>
        <v>0</v>
      </c>
      <c r="AV92">
        <f>X92-AJ92</f>
        <v>0</v>
      </c>
      <c r="AW92">
        <f>Y92-AK92</f>
        <v>0</v>
      </c>
      <c r="AX92">
        <f>Z92-AL92</f>
        <v>0</v>
      </c>
      <c r="AY92">
        <f>AA92-AM92</f>
        <v>0</v>
      </c>
      <c r="AZ92">
        <f>AB92-AN92</f>
        <v>0</v>
      </c>
      <c r="BA92">
        <f>AC92-AO92</f>
        <v>0</v>
      </c>
      <c r="BB92">
        <f>AD92-AP92</f>
        <v>0</v>
      </c>
      <c r="BC92">
        <f>AE92-AQ92</f>
        <v>0</v>
      </c>
      <c r="BD92">
        <f>AF92-AR92</f>
        <v>0</v>
      </c>
      <c r="BE92">
        <f>AG92-AS92</f>
        <v>0</v>
      </c>
    </row>
    <row r="93">
      <c r="A93" t="n">
        <v>63</v>
      </c>
      <c r="B93">
        <f>SUMPRODUCT(ROUND($AT92:$BE92*(1+'Calc base'!$H93:$S93),2))</f>
        <v>0</v>
      </c>
      <c r="C93">
        <f>SUM(J93:U93)</f>
        <v>0</v>
      </c>
      <c r="D93">
        <f>SUM(V93:AG93)</f>
        <v>0</v>
      </c>
      <c r="E93">
        <f>MAX(0,IF(Impostazioni!$B$7="No",'Calc base'!$C93-$C$31,'Calc base'!$C93-C93)+'Calc base'!$G93+'Calc base'!$F93-(B93-C93-D93))</f>
        <v>900</v>
      </c>
      <c r="F93">
        <f>SUM(AH93:AS93)</f>
        <v>0</v>
      </c>
      <c r="G93">
        <f>SUM(AT93:BE93)</f>
        <v>0</v>
      </c>
      <c r="H93">
        <f>B93-G92</f>
        <v>0</v>
      </c>
      <c r="I93">
        <f>B93-G93</f>
        <v>0</v>
      </c>
      <c r="J93">
        <f>IF(AT92&lt;=0,0,IF(ROUND(AT92*(1+'Calc base'!H93),2)-MAX('Calc base'!C$12,ROUND('Calc base'!C$13*AT92,2))&lt;1,ROUND(AT92*(1+'Calc base'!H93),2),MAX('Calc base'!C$12,ROUND('Calc base'!C$13*AT92,2))))</f>
        <v>0</v>
      </c>
      <c r="K93">
        <f>IF(AU92&lt;=0,0,IF(ROUND(AU92*(1+'Calc base'!I93),2)-MAX('Calc base'!D$12,ROUND('Calc base'!D$13*AU92,2))&lt;1,ROUND(AU92*(1+'Calc base'!I93),2),MAX('Calc base'!D$12,ROUND('Calc base'!D$13*AU92,2))))</f>
        <v>0</v>
      </c>
      <c r="L93">
        <f>IF(AV92&lt;=0,0,IF(ROUND(AV92*(1+'Calc base'!J93),2)-MAX('Calc base'!E$12,ROUND('Calc base'!E$13*AV92,2))&lt;1,ROUND(AV92*(1+'Calc base'!J93),2),MAX('Calc base'!E$12,ROUND('Calc base'!E$13*AV92,2))))</f>
        <v>0</v>
      </c>
      <c r="M93">
        <f>IF(AW92&lt;=0,0,IF(ROUND(AW92*(1+'Calc base'!K93),2)-MAX('Calc base'!F$12,ROUND('Calc base'!F$13*AW92,2))&lt;1,ROUND(AW92*(1+'Calc base'!K93),2),MAX('Calc base'!F$12,ROUND('Calc base'!F$13*AW92,2))))</f>
        <v>0</v>
      </c>
      <c r="N93">
        <f>IF(AX92&lt;=0,0,IF(ROUND(AX92*(1+'Calc base'!L93),2)-MAX('Calc base'!G$12,ROUND('Calc base'!G$13*AX92,2))&lt;1,ROUND(AX92*(1+'Calc base'!L93),2),MAX('Calc base'!G$12,ROUND('Calc base'!G$13*AX92,2))))</f>
        <v>0</v>
      </c>
      <c r="O93">
        <f>IF(AY92&lt;=0,0,IF(ROUND(AY92*(1+'Calc base'!M93),2)-MAX('Calc base'!H$12,ROUND('Calc base'!H$13*AY92,2))&lt;1,ROUND(AY92*(1+'Calc base'!M93),2),MAX('Calc base'!H$12,ROUND('Calc base'!H$13*AY92,2))))</f>
        <v>0</v>
      </c>
      <c r="P93">
        <f>IF(AZ92&lt;=0,0,IF(ROUND(AZ92*(1+'Calc base'!N93),2)-MAX('Calc base'!I$12,ROUND('Calc base'!I$13*AZ92,2))&lt;1,ROUND(AZ92*(1+'Calc base'!N93),2),MAX('Calc base'!I$12,ROUND('Calc base'!I$13*AZ92,2))))</f>
        <v>0</v>
      </c>
      <c r="Q93">
        <f>IF(BA92&lt;=0,0,IF(ROUND(BA92*(1+'Calc base'!O93),2)-MAX('Calc base'!J$12,ROUND('Calc base'!J$13*BA92,2))&lt;1,ROUND(BA92*(1+'Calc base'!O93),2),MAX('Calc base'!J$12,ROUND('Calc base'!J$13*BA92,2))))</f>
        <v>0</v>
      </c>
      <c r="R93">
        <f>IF(BB92&lt;=0,0,IF(ROUND(BB92*(1+'Calc base'!P93),2)-MAX('Calc base'!K$12,ROUND('Calc base'!K$13*BB92,2))&lt;1,ROUND(BB92*(1+'Calc base'!P93),2),MAX('Calc base'!K$12,ROUND('Calc base'!K$13*BB92,2))))</f>
        <v>0</v>
      </c>
      <c r="S93">
        <f>IF(BC92&lt;=0,0,IF(ROUND(BC92*(1+'Calc base'!Q93),2)-MAX('Calc base'!L$12,ROUND('Calc base'!L$13*BC92,2))&lt;1,ROUND(BC92*(1+'Calc base'!Q93),2),MAX('Calc base'!L$12,ROUND('Calc base'!L$13*BC92,2))))</f>
        <v>0</v>
      </c>
      <c r="T93">
        <f>IF(BD92&lt;=0,0,IF(ROUND(BD92*(1+'Calc base'!R93),2)-MAX('Calc base'!M$12,ROUND('Calc base'!M$13*BD92,2))&lt;1,ROUND(BD92*(1+'Calc base'!R93),2),MAX('Calc base'!M$12,ROUND('Calc base'!M$13*BD92,2))))</f>
        <v>0</v>
      </c>
      <c r="U93">
        <f>IF(BE92&lt;=0,0,IF(ROUND(BE92*(1+'Calc base'!S93),2)-MAX('Calc base'!N$12,ROUND('Calc base'!N$13*BE92,2))&lt;1,ROUND(BE92*(1+'Calc base'!S93),2),MAX('Calc base'!N$12,ROUND('Calc base'!N$13*BE92,2))))</f>
        <v>0</v>
      </c>
      <c r="V93">
        <f>MAX(0,ROUND(AT92*(1+'Calc base'!H93),2)-J93-'Calc base'!T93)</f>
        <v>0</v>
      </c>
      <c r="W93">
        <f>MAX(0,ROUND(AU92*(1+'Calc base'!I93),2)-K93-'Calc base'!U93)</f>
        <v>0</v>
      </c>
      <c r="X93">
        <f>MAX(0,ROUND(AV92*(1+'Calc base'!J93),2)-L93-'Calc base'!V93)</f>
        <v>0</v>
      </c>
      <c r="Y93">
        <f>MAX(0,ROUND(AW92*(1+'Calc base'!K93),2)-M93-'Calc base'!W93)</f>
        <v>0</v>
      </c>
      <c r="Z93">
        <f>MAX(0,ROUND(AX92*(1+'Calc base'!L93),2)-N93-'Calc base'!X93)</f>
        <v>0</v>
      </c>
      <c r="AA93">
        <f>MAX(0,ROUND(AY92*(1+'Calc base'!M93),2)-O93-'Calc base'!Y93)</f>
        <v>0</v>
      </c>
      <c r="AB93">
        <f>MAX(0,ROUND(AZ92*(1+'Calc base'!N93),2)-P93-'Calc base'!Z93)</f>
        <v>0</v>
      </c>
      <c r="AC93">
        <f>MAX(0,ROUND(BA92*(1+'Calc base'!O93),2)-Q93-'Calc base'!AA93)</f>
        <v>0</v>
      </c>
      <c r="AD93">
        <f>MAX(0,ROUND(BB92*(1+'Calc base'!P93),2)-R93-'Calc base'!AB93)</f>
        <v>0</v>
      </c>
      <c r="AE93">
        <f>MAX(0,ROUND(BC92*(1+'Calc base'!Q93),2)-S93-'Calc base'!AC93)</f>
        <v>0</v>
      </c>
      <c r="AF93">
        <f>MAX(0,ROUND(BD92*(1+'Calc base'!R93),2)-T93-'Calc base'!AD93)</f>
        <v>0</v>
      </c>
      <c r="AG93">
        <f>MAX(0,ROUND(BE92*(1+'Calc base'!S93),2)-U93-'Calc base'!AE93)</f>
        <v>0</v>
      </c>
      <c r="AH93">
        <f>IF('Calc base'!C$14=0,0,MIN(V93,MAX(0,$E93-SUMPRODUCT($V93:$AG93,'Calc base'!$C$14:$N$14,('Calc base'!$H93:$S93&gt;'Calc base'!H93)+('Calc base'!$H93:$S93='Calc base'!H93)*('Calc base'!$C$17:$N$17&lt;'Calc base'!C$17)))))</f>
        <v>0</v>
      </c>
      <c r="AI93">
        <f>IF('Calc base'!D$14=0,0,MIN(W93,MAX(0,$E93-SUMPRODUCT($V93:$AG93,'Calc base'!$C$14:$N$14,('Calc base'!$H93:$S93&gt;'Calc base'!I93)+('Calc base'!$H93:$S93='Calc base'!I93)*('Calc base'!$C$17:$N$17&lt;'Calc base'!D$17)))))</f>
        <v>0</v>
      </c>
      <c r="AJ93">
        <f>IF('Calc base'!E$14=0,0,MIN(X93,MAX(0,$E93-SUMPRODUCT($V93:$AG93,'Calc base'!$C$14:$N$14,('Calc base'!$H93:$S93&gt;'Calc base'!J93)+('Calc base'!$H93:$S93='Calc base'!J93)*('Calc base'!$C$17:$N$17&lt;'Calc base'!E$17)))))</f>
        <v>0</v>
      </c>
      <c r="AK93">
        <f>IF('Calc base'!F$14=0,0,MIN(Y93,MAX(0,$E93-SUMPRODUCT($V93:$AG93,'Calc base'!$C$14:$N$14,('Calc base'!$H93:$S93&gt;'Calc base'!K93)+('Calc base'!$H93:$S93='Calc base'!K93)*('Calc base'!$C$17:$N$17&lt;'Calc base'!F$17)))))</f>
        <v>0</v>
      </c>
      <c r="AL93">
        <f>IF('Calc base'!G$14=0,0,MIN(Z93,MAX(0,$E93-SUMPRODUCT($V93:$AG93,'Calc base'!$C$14:$N$14,('Calc base'!$H93:$S93&gt;'Calc base'!L93)+('Calc base'!$H93:$S93='Calc base'!L93)*('Calc base'!$C$17:$N$17&lt;'Calc base'!G$17)))))</f>
        <v>0</v>
      </c>
      <c r="AM93">
        <f>IF('Calc base'!H$14=0,0,MIN(AA93,MAX(0,$E93-SUMPRODUCT($V93:$AG93,'Calc base'!$C$14:$N$14,('Calc base'!$H93:$S93&gt;'Calc base'!M93)+('Calc base'!$H93:$S93='Calc base'!M93)*('Calc base'!$C$17:$N$17&lt;'Calc base'!H$17)))))</f>
        <v>0</v>
      </c>
      <c r="AN93">
        <f>IF('Calc base'!I$14=0,0,MIN(AB93,MAX(0,$E93-SUMPRODUCT($V93:$AG93,'Calc base'!$C$14:$N$14,('Calc base'!$H93:$S93&gt;'Calc base'!N93)+('Calc base'!$H93:$S93='Calc base'!N93)*('Calc base'!$C$17:$N$17&lt;'Calc base'!I$17)))))</f>
        <v>0</v>
      </c>
      <c r="AO93">
        <f>IF('Calc base'!J$14=0,0,MIN(AC93,MAX(0,$E93-SUMPRODUCT($V93:$AG93,'Calc base'!$C$14:$N$14,('Calc base'!$H93:$S93&gt;'Calc base'!O93)+('Calc base'!$H93:$S93='Calc base'!O93)*('Calc base'!$C$17:$N$17&lt;'Calc base'!J$17)))))</f>
        <v>0</v>
      </c>
      <c r="AP93">
        <f>IF('Calc base'!K$14=0,0,MIN(AD93,MAX(0,$E93-SUMPRODUCT($V93:$AG93,'Calc base'!$C$14:$N$14,('Calc base'!$H93:$S93&gt;'Calc base'!P93)+('Calc base'!$H93:$S93='Calc base'!P93)*('Calc base'!$C$17:$N$17&lt;'Calc base'!K$17)))))</f>
        <v>0</v>
      </c>
      <c r="AQ93">
        <f>IF('Calc base'!L$14=0,0,MIN(AE93,MAX(0,$E93-SUMPRODUCT($V93:$AG93,'Calc base'!$C$14:$N$14,('Calc base'!$H93:$S93&gt;'Calc base'!Q93)+('Calc base'!$H93:$S93='Calc base'!Q93)*('Calc base'!$C$17:$N$17&lt;'Calc base'!L$17)))))</f>
        <v>0</v>
      </c>
      <c r="AR93">
        <f>IF('Calc base'!M$14=0,0,MIN(AF93,MAX(0,$E93-SUMPRODUCT($V93:$AG93,'Calc base'!$C$14:$N$14,('Calc base'!$H93:$S93&gt;'Calc base'!R93)+('Calc base'!$H93:$S93='Calc base'!R93)*('Calc base'!$C$17:$N$17&lt;'Calc base'!M$17)))))</f>
        <v>0</v>
      </c>
      <c r="AS93">
        <f>IF('Calc base'!N$14=0,0,MIN(AG93,MAX(0,$E93-SUMPRODUCT($V93:$AG93,'Calc base'!$C$14:$N$14,('Calc base'!$H93:$S93&gt;'Calc base'!S93)+('Calc base'!$H93:$S93='Calc base'!S93)*('Calc base'!$C$17:$N$17&lt;'Calc base'!N$17)))))</f>
        <v>0</v>
      </c>
      <c r="AT93">
        <f>V93-AH93</f>
        <v>0</v>
      </c>
      <c r="AU93">
        <f>W93-AI93</f>
        <v>0</v>
      </c>
      <c r="AV93">
        <f>X93-AJ93</f>
        <v>0</v>
      </c>
      <c r="AW93">
        <f>Y93-AK93</f>
        <v>0</v>
      </c>
      <c r="AX93">
        <f>Z93-AL93</f>
        <v>0</v>
      </c>
      <c r="AY93">
        <f>AA93-AM93</f>
        <v>0</v>
      </c>
      <c r="AZ93">
        <f>AB93-AN93</f>
        <v>0</v>
      </c>
      <c r="BA93">
        <f>AC93-AO93</f>
        <v>0</v>
      </c>
      <c r="BB93">
        <f>AD93-AP93</f>
        <v>0</v>
      </c>
      <c r="BC93">
        <f>AE93-AQ93</f>
        <v>0</v>
      </c>
      <c r="BD93">
        <f>AF93-AR93</f>
        <v>0</v>
      </c>
      <c r="BE93">
        <f>AG93-AS93</f>
        <v>0</v>
      </c>
    </row>
    <row r="94">
      <c r="A94" t="n">
        <v>64</v>
      </c>
      <c r="B94">
        <f>SUMPRODUCT(ROUND($AT93:$BE93*(1+'Calc base'!$H94:$S94),2))</f>
        <v>0</v>
      </c>
      <c r="C94">
        <f>SUM(J94:U94)</f>
        <v>0</v>
      </c>
      <c r="D94">
        <f>SUM(V94:AG94)</f>
        <v>0</v>
      </c>
      <c r="E94">
        <f>MAX(0,IF(Impostazioni!$B$7="No",'Calc base'!$C94-$C$31,'Calc base'!$C94-C94)+'Calc base'!$G94+'Calc base'!$F94-(B94-C94-D94))</f>
        <v>900</v>
      </c>
      <c r="F94">
        <f>SUM(AH94:AS94)</f>
        <v>0</v>
      </c>
      <c r="G94">
        <f>SUM(AT94:BE94)</f>
        <v>0</v>
      </c>
      <c r="H94">
        <f>B94-G93</f>
        <v>0</v>
      </c>
      <c r="I94">
        <f>B94-G94</f>
        <v>0</v>
      </c>
      <c r="J94">
        <f>IF(AT93&lt;=0,0,IF(ROUND(AT93*(1+'Calc base'!H94),2)-MAX('Calc base'!C$12,ROUND('Calc base'!C$13*AT93,2))&lt;1,ROUND(AT93*(1+'Calc base'!H94),2),MAX('Calc base'!C$12,ROUND('Calc base'!C$13*AT93,2))))</f>
        <v>0</v>
      </c>
      <c r="K94">
        <f>IF(AU93&lt;=0,0,IF(ROUND(AU93*(1+'Calc base'!I94),2)-MAX('Calc base'!D$12,ROUND('Calc base'!D$13*AU93,2))&lt;1,ROUND(AU93*(1+'Calc base'!I94),2),MAX('Calc base'!D$12,ROUND('Calc base'!D$13*AU93,2))))</f>
        <v>0</v>
      </c>
      <c r="L94">
        <f>IF(AV93&lt;=0,0,IF(ROUND(AV93*(1+'Calc base'!J94),2)-MAX('Calc base'!E$12,ROUND('Calc base'!E$13*AV93,2))&lt;1,ROUND(AV93*(1+'Calc base'!J94),2),MAX('Calc base'!E$12,ROUND('Calc base'!E$13*AV93,2))))</f>
        <v>0</v>
      </c>
      <c r="M94">
        <f>IF(AW93&lt;=0,0,IF(ROUND(AW93*(1+'Calc base'!K94),2)-MAX('Calc base'!F$12,ROUND('Calc base'!F$13*AW93,2))&lt;1,ROUND(AW93*(1+'Calc base'!K94),2),MAX('Calc base'!F$12,ROUND('Calc base'!F$13*AW93,2))))</f>
        <v>0</v>
      </c>
      <c r="N94">
        <f>IF(AX93&lt;=0,0,IF(ROUND(AX93*(1+'Calc base'!L94),2)-MAX('Calc base'!G$12,ROUND('Calc base'!G$13*AX93,2))&lt;1,ROUND(AX93*(1+'Calc base'!L94),2),MAX('Calc base'!G$12,ROUND('Calc base'!G$13*AX93,2))))</f>
        <v>0</v>
      </c>
      <c r="O94">
        <f>IF(AY93&lt;=0,0,IF(ROUND(AY93*(1+'Calc base'!M94),2)-MAX('Calc base'!H$12,ROUND('Calc base'!H$13*AY93,2))&lt;1,ROUND(AY93*(1+'Calc base'!M94),2),MAX('Calc base'!H$12,ROUND('Calc base'!H$13*AY93,2))))</f>
        <v>0</v>
      </c>
      <c r="P94">
        <f>IF(AZ93&lt;=0,0,IF(ROUND(AZ93*(1+'Calc base'!N94),2)-MAX('Calc base'!I$12,ROUND('Calc base'!I$13*AZ93,2))&lt;1,ROUND(AZ93*(1+'Calc base'!N94),2),MAX('Calc base'!I$12,ROUND('Calc base'!I$13*AZ93,2))))</f>
        <v>0</v>
      </c>
      <c r="Q94">
        <f>IF(BA93&lt;=0,0,IF(ROUND(BA93*(1+'Calc base'!O94),2)-MAX('Calc base'!J$12,ROUND('Calc base'!J$13*BA93,2))&lt;1,ROUND(BA93*(1+'Calc base'!O94),2),MAX('Calc base'!J$12,ROUND('Calc base'!J$13*BA93,2))))</f>
        <v>0</v>
      </c>
      <c r="R94">
        <f>IF(BB93&lt;=0,0,IF(ROUND(BB93*(1+'Calc base'!P94),2)-MAX('Calc base'!K$12,ROUND('Calc base'!K$13*BB93,2))&lt;1,ROUND(BB93*(1+'Calc base'!P94),2),MAX('Calc base'!K$12,ROUND('Calc base'!K$13*BB93,2))))</f>
        <v>0</v>
      </c>
      <c r="S94">
        <f>IF(BC93&lt;=0,0,IF(ROUND(BC93*(1+'Calc base'!Q94),2)-MAX('Calc base'!L$12,ROUND('Calc base'!L$13*BC93,2))&lt;1,ROUND(BC93*(1+'Calc base'!Q94),2),MAX('Calc base'!L$12,ROUND('Calc base'!L$13*BC93,2))))</f>
        <v>0</v>
      </c>
      <c r="T94">
        <f>IF(BD93&lt;=0,0,IF(ROUND(BD93*(1+'Calc base'!R94),2)-MAX('Calc base'!M$12,ROUND('Calc base'!M$13*BD93,2))&lt;1,ROUND(BD93*(1+'Calc base'!R94),2),MAX('Calc base'!M$12,ROUND('Calc base'!M$13*BD93,2))))</f>
        <v>0</v>
      </c>
      <c r="U94">
        <f>IF(BE93&lt;=0,0,IF(ROUND(BE93*(1+'Calc base'!S94),2)-MAX('Calc base'!N$12,ROUND('Calc base'!N$13*BE93,2))&lt;1,ROUND(BE93*(1+'Calc base'!S94),2),MAX('Calc base'!N$12,ROUND('Calc base'!N$13*BE93,2))))</f>
        <v>0</v>
      </c>
      <c r="V94">
        <f>MAX(0,ROUND(AT93*(1+'Calc base'!H94),2)-J94-'Calc base'!T94)</f>
        <v>0</v>
      </c>
      <c r="W94">
        <f>MAX(0,ROUND(AU93*(1+'Calc base'!I94),2)-K94-'Calc base'!U94)</f>
        <v>0</v>
      </c>
      <c r="X94">
        <f>MAX(0,ROUND(AV93*(1+'Calc base'!J94),2)-L94-'Calc base'!V94)</f>
        <v>0</v>
      </c>
      <c r="Y94">
        <f>MAX(0,ROUND(AW93*(1+'Calc base'!K94),2)-M94-'Calc base'!W94)</f>
        <v>0</v>
      </c>
      <c r="Z94">
        <f>MAX(0,ROUND(AX93*(1+'Calc base'!L94),2)-N94-'Calc base'!X94)</f>
        <v>0</v>
      </c>
      <c r="AA94">
        <f>MAX(0,ROUND(AY93*(1+'Calc base'!M94),2)-O94-'Calc base'!Y94)</f>
        <v>0</v>
      </c>
      <c r="AB94">
        <f>MAX(0,ROUND(AZ93*(1+'Calc base'!N94),2)-P94-'Calc base'!Z94)</f>
        <v>0</v>
      </c>
      <c r="AC94">
        <f>MAX(0,ROUND(BA93*(1+'Calc base'!O94),2)-Q94-'Calc base'!AA94)</f>
        <v>0</v>
      </c>
      <c r="AD94">
        <f>MAX(0,ROUND(BB93*(1+'Calc base'!P94),2)-R94-'Calc base'!AB94)</f>
        <v>0</v>
      </c>
      <c r="AE94">
        <f>MAX(0,ROUND(BC93*(1+'Calc base'!Q94),2)-S94-'Calc base'!AC94)</f>
        <v>0</v>
      </c>
      <c r="AF94">
        <f>MAX(0,ROUND(BD93*(1+'Calc base'!R94),2)-T94-'Calc base'!AD94)</f>
        <v>0</v>
      </c>
      <c r="AG94">
        <f>MAX(0,ROUND(BE93*(1+'Calc base'!S94),2)-U94-'Calc base'!AE94)</f>
        <v>0</v>
      </c>
      <c r="AH94">
        <f>IF('Calc base'!C$14=0,0,MIN(V94,MAX(0,$E94-SUMPRODUCT($V94:$AG94,'Calc base'!$C$14:$N$14,('Calc base'!$H94:$S94&gt;'Calc base'!H94)+('Calc base'!$H94:$S94='Calc base'!H94)*('Calc base'!$C$17:$N$17&lt;'Calc base'!C$17)))))</f>
        <v>0</v>
      </c>
      <c r="AI94">
        <f>IF('Calc base'!D$14=0,0,MIN(W94,MAX(0,$E94-SUMPRODUCT($V94:$AG94,'Calc base'!$C$14:$N$14,('Calc base'!$H94:$S94&gt;'Calc base'!I94)+('Calc base'!$H94:$S94='Calc base'!I94)*('Calc base'!$C$17:$N$17&lt;'Calc base'!D$17)))))</f>
        <v>0</v>
      </c>
      <c r="AJ94">
        <f>IF('Calc base'!E$14=0,0,MIN(X94,MAX(0,$E94-SUMPRODUCT($V94:$AG94,'Calc base'!$C$14:$N$14,('Calc base'!$H94:$S94&gt;'Calc base'!J94)+('Calc base'!$H94:$S94='Calc base'!J94)*('Calc base'!$C$17:$N$17&lt;'Calc base'!E$17)))))</f>
        <v>0</v>
      </c>
      <c r="AK94">
        <f>IF('Calc base'!F$14=0,0,MIN(Y94,MAX(0,$E94-SUMPRODUCT($V94:$AG94,'Calc base'!$C$14:$N$14,('Calc base'!$H94:$S94&gt;'Calc base'!K94)+('Calc base'!$H94:$S94='Calc base'!K94)*('Calc base'!$C$17:$N$17&lt;'Calc base'!F$17)))))</f>
        <v>0</v>
      </c>
      <c r="AL94">
        <f>IF('Calc base'!G$14=0,0,MIN(Z94,MAX(0,$E94-SUMPRODUCT($V94:$AG94,'Calc base'!$C$14:$N$14,('Calc base'!$H94:$S94&gt;'Calc base'!L94)+('Calc base'!$H94:$S94='Calc base'!L94)*('Calc base'!$C$17:$N$17&lt;'Calc base'!G$17)))))</f>
        <v>0</v>
      </c>
      <c r="AM94">
        <f>IF('Calc base'!H$14=0,0,MIN(AA94,MAX(0,$E94-SUMPRODUCT($V94:$AG94,'Calc base'!$C$14:$N$14,('Calc base'!$H94:$S94&gt;'Calc base'!M94)+('Calc base'!$H94:$S94='Calc base'!M94)*('Calc base'!$C$17:$N$17&lt;'Calc base'!H$17)))))</f>
        <v>0</v>
      </c>
      <c r="AN94">
        <f>IF('Calc base'!I$14=0,0,MIN(AB94,MAX(0,$E94-SUMPRODUCT($V94:$AG94,'Calc base'!$C$14:$N$14,('Calc base'!$H94:$S94&gt;'Calc base'!N94)+('Calc base'!$H94:$S94='Calc base'!N94)*('Calc base'!$C$17:$N$17&lt;'Calc base'!I$17)))))</f>
        <v>0</v>
      </c>
      <c r="AO94">
        <f>IF('Calc base'!J$14=0,0,MIN(AC94,MAX(0,$E94-SUMPRODUCT($V94:$AG94,'Calc base'!$C$14:$N$14,('Calc base'!$H94:$S94&gt;'Calc base'!O94)+('Calc base'!$H94:$S94='Calc base'!O94)*('Calc base'!$C$17:$N$17&lt;'Calc base'!J$17)))))</f>
        <v>0</v>
      </c>
      <c r="AP94">
        <f>IF('Calc base'!K$14=0,0,MIN(AD94,MAX(0,$E94-SUMPRODUCT($V94:$AG94,'Calc base'!$C$14:$N$14,('Calc base'!$H94:$S94&gt;'Calc base'!P94)+('Calc base'!$H94:$S94='Calc base'!P94)*('Calc base'!$C$17:$N$17&lt;'Calc base'!K$17)))))</f>
        <v>0</v>
      </c>
      <c r="AQ94">
        <f>IF('Calc base'!L$14=0,0,MIN(AE94,MAX(0,$E94-SUMPRODUCT($V94:$AG94,'Calc base'!$C$14:$N$14,('Calc base'!$H94:$S94&gt;'Calc base'!Q94)+('Calc base'!$H94:$S94='Calc base'!Q94)*('Calc base'!$C$17:$N$17&lt;'Calc base'!L$17)))))</f>
        <v>0</v>
      </c>
      <c r="AR94">
        <f>IF('Calc base'!M$14=0,0,MIN(AF94,MAX(0,$E94-SUMPRODUCT($V94:$AG94,'Calc base'!$C$14:$N$14,('Calc base'!$H94:$S94&gt;'Calc base'!R94)+('Calc base'!$H94:$S94='Calc base'!R94)*('Calc base'!$C$17:$N$17&lt;'Calc base'!M$17)))))</f>
        <v>0</v>
      </c>
      <c r="AS94">
        <f>IF('Calc base'!N$14=0,0,MIN(AG94,MAX(0,$E94-SUMPRODUCT($V94:$AG94,'Calc base'!$C$14:$N$14,('Calc base'!$H94:$S94&gt;'Calc base'!S94)+('Calc base'!$H94:$S94='Calc base'!S94)*('Calc base'!$C$17:$N$17&lt;'Calc base'!N$17)))))</f>
        <v>0</v>
      </c>
      <c r="AT94">
        <f>V94-AH94</f>
        <v>0</v>
      </c>
      <c r="AU94">
        <f>W94-AI94</f>
        <v>0</v>
      </c>
      <c r="AV94">
        <f>X94-AJ94</f>
        <v>0</v>
      </c>
      <c r="AW94">
        <f>Y94-AK94</f>
        <v>0</v>
      </c>
      <c r="AX94">
        <f>Z94-AL94</f>
        <v>0</v>
      </c>
      <c r="AY94">
        <f>AA94-AM94</f>
        <v>0</v>
      </c>
      <c r="AZ94">
        <f>AB94-AN94</f>
        <v>0</v>
      </c>
      <c r="BA94">
        <f>AC94-AO94</f>
        <v>0</v>
      </c>
      <c r="BB94">
        <f>AD94-AP94</f>
        <v>0</v>
      </c>
      <c r="BC94">
        <f>AE94-AQ94</f>
        <v>0</v>
      </c>
      <c r="BD94">
        <f>AF94-AR94</f>
        <v>0</v>
      </c>
      <c r="BE94">
        <f>AG94-AS94</f>
        <v>0</v>
      </c>
    </row>
    <row r="95">
      <c r="A95" t="n">
        <v>65</v>
      </c>
      <c r="B95">
        <f>SUMPRODUCT(ROUND($AT94:$BE94*(1+'Calc base'!$H95:$S95),2))</f>
        <v>0</v>
      </c>
      <c r="C95">
        <f>SUM(J95:U95)</f>
        <v>0</v>
      </c>
      <c r="D95">
        <f>SUM(V95:AG95)</f>
        <v>0</v>
      </c>
      <c r="E95">
        <f>MAX(0,IF(Impostazioni!$B$7="No",'Calc base'!$C95-$C$31,'Calc base'!$C95-C95)+'Calc base'!$G95+'Calc base'!$F95-(B95-C95-D95))</f>
        <v>900</v>
      </c>
      <c r="F95">
        <f>SUM(AH95:AS95)</f>
        <v>0</v>
      </c>
      <c r="G95">
        <f>SUM(AT95:BE95)</f>
        <v>0</v>
      </c>
      <c r="H95">
        <f>B95-G94</f>
        <v>0</v>
      </c>
      <c r="I95">
        <f>B95-G95</f>
        <v>0</v>
      </c>
      <c r="J95">
        <f>IF(AT94&lt;=0,0,IF(ROUND(AT94*(1+'Calc base'!H95),2)-MAX('Calc base'!C$12,ROUND('Calc base'!C$13*AT94,2))&lt;1,ROUND(AT94*(1+'Calc base'!H95),2),MAX('Calc base'!C$12,ROUND('Calc base'!C$13*AT94,2))))</f>
        <v>0</v>
      </c>
      <c r="K95">
        <f>IF(AU94&lt;=0,0,IF(ROUND(AU94*(1+'Calc base'!I95),2)-MAX('Calc base'!D$12,ROUND('Calc base'!D$13*AU94,2))&lt;1,ROUND(AU94*(1+'Calc base'!I95),2),MAX('Calc base'!D$12,ROUND('Calc base'!D$13*AU94,2))))</f>
        <v>0</v>
      </c>
      <c r="L95">
        <f>IF(AV94&lt;=0,0,IF(ROUND(AV94*(1+'Calc base'!J95),2)-MAX('Calc base'!E$12,ROUND('Calc base'!E$13*AV94,2))&lt;1,ROUND(AV94*(1+'Calc base'!J95),2),MAX('Calc base'!E$12,ROUND('Calc base'!E$13*AV94,2))))</f>
        <v>0</v>
      </c>
      <c r="M95">
        <f>IF(AW94&lt;=0,0,IF(ROUND(AW94*(1+'Calc base'!K95),2)-MAX('Calc base'!F$12,ROUND('Calc base'!F$13*AW94,2))&lt;1,ROUND(AW94*(1+'Calc base'!K95),2),MAX('Calc base'!F$12,ROUND('Calc base'!F$13*AW94,2))))</f>
        <v>0</v>
      </c>
      <c r="N95">
        <f>IF(AX94&lt;=0,0,IF(ROUND(AX94*(1+'Calc base'!L95),2)-MAX('Calc base'!G$12,ROUND('Calc base'!G$13*AX94,2))&lt;1,ROUND(AX94*(1+'Calc base'!L95),2),MAX('Calc base'!G$12,ROUND('Calc base'!G$13*AX94,2))))</f>
        <v>0</v>
      </c>
      <c r="O95">
        <f>IF(AY94&lt;=0,0,IF(ROUND(AY94*(1+'Calc base'!M95),2)-MAX('Calc base'!H$12,ROUND('Calc base'!H$13*AY94,2))&lt;1,ROUND(AY94*(1+'Calc base'!M95),2),MAX('Calc base'!H$12,ROUND('Calc base'!H$13*AY94,2))))</f>
        <v>0</v>
      </c>
      <c r="P95">
        <f>IF(AZ94&lt;=0,0,IF(ROUND(AZ94*(1+'Calc base'!N95),2)-MAX('Calc base'!I$12,ROUND('Calc base'!I$13*AZ94,2))&lt;1,ROUND(AZ94*(1+'Calc base'!N95),2),MAX('Calc base'!I$12,ROUND('Calc base'!I$13*AZ94,2))))</f>
        <v>0</v>
      </c>
      <c r="Q95">
        <f>IF(BA94&lt;=0,0,IF(ROUND(BA94*(1+'Calc base'!O95),2)-MAX('Calc base'!J$12,ROUND('Calc base'!J$13*BA94,2))&lt;1,ROUND(BA94*(1+'Calc base'!O95),2),MAX('Calc base'!J$12,ROUND('Calc base'!J$13*BA94,2))))</f>
        <v>0</v>
      </c>
      <c r="R95">
        <f>IF(BB94&lt;=0,0,IF(ROUND(BB94*(1+'Calc base'!P95),2)-MAX('Calc base'!K$12,ROUND('Calc base'!K$13*BB94,2))&lt;1,ROUND(BB94*(1+'Calc base'!P95),2),MAX('Calc base'!K$12,ROUND('Calc base'!K$13*BB94,2))))</f>
        <v>0</v>
      </c>
      <c r="S95">
        <f>IF(BC94&lt;=0,0,IF(ROUND(BC94*(1+'Calc base'!Q95),2)-MAX('Calc base'!L$12,ROUND('Calc base'!L$13*BC94,2))&lt;1,ROUND(BC94*(1+'Calc base'!Q95),2),MAX('Calc base'!L$12,ROUND('Calc base'!L$13*BC94,2))))</f>
        <v>0</v>
      </c>
      <c r="T95">
        <f>IF(BD94&lt;=0,0,IF(ROUND(BD94*(1+'Calc base'!R95),2)-MAX('Calc base'!M$12,ROUND('Calc base'!M$13*BD94,2))&lt;1,ROUND(BD94*(1+'Calc base'!R95),2),MAX('Calc base'!M$12,ROUND('Calc base'!M$13*BD94,2))))</f>
        <v>0</v>
      </c>
      <c r="U95">
        <f>IF(BE94&lt;=0,0,IF(ROUND(BE94*(1+'Calc base'!S95),2)-MAX('Calc base'!N$12,ROUND('Calc base'!N$13*BE94,2))&lt;1,ROUND(BE94*(1+'Calc base'!S95),2),MAX('Calc base'!N$12,ROUND('Calc base'!N$13*BE94,2))))</f>
        <v>0</v>
      </c>
      <c r="V95">
        <f>MAX(0,ROUND(AT94*(1+'Calc base'!H95),2)-J95-'Calc base'!T95)</f>
        <v>0</v>
      </c>
      <c r="W95">
        <f>MAX(0,ROUND(AU94*(1+'Calc base'!I95),2)-K95-'Calc base'!U95)</f>
        <v>0</v>
      </c>
      <c r="X95">
        <f>MAX(0,ROUND(AV94*(1+'Calc base'!J95),2)-L95-'Calc base'!V95)</f>
        <v>0</v>
      </c>
      <c r="Y95">
        <f>MAX(0,ROUND(AW94*(1+'Calc base'!K95),2)-M95-'Calc base'!W95)</f>
        <v>0</v>
      </c>
      <c r="Z95">
        <f>MAX(0,ROUND(AX94*(1+'Calc base'!L95),2)-N95-'Calc base'!X95)</f>
        <v>0</v>
      </c>
      <c r="AA95">
        <f>MAX(0,ROUND(AY94*(1+'Calc base'!M95),2)-O95-'Calc base'!Y95)</f>
        <v>0</v>
      </c>
      <c r="AB95">
        <f>MAX(0,ROUND(AZ94*(1+'Calc base'!N95),2)-P95-'Calc base'!Z95)</f>
        <v>0</v>
      </c>
      <c r="AC95">
        <f>MAX(0,ROUND(BA94*(1+'Calc base'!O95),2)-Q95-'Calc base'!AA95)</f>
        <v>0</v>
      </c>
      <c r="AD95">
        <f>MAX(0,ROUND(BB94*(1+'Calc base'!P95),2)-R95-'Calc base'!AB95)</f>
        <v>0</v>
      </c>
      <c r="AE95">
        <f>MAX(0,ROUND(BC94*(1+'Calc base'!Q95),2)-S95-'Calc base'!AC95)</f>
        <v>0</v>
      </c>
      <c r="AF95">
        <f>MAX(0,ROUND(BD94*(1+'Calc base'!R95),2)-T95-'Calc base'!AD95)</f>
        <v>0</v>
      </c>
      <c r="AG95">
        <f>MAX(0,ROUND(BE94*(1+'Calc base'!S95),2)-U95-'Calc base'!AE95)</f>
        <v>0</v>
      </c>
      <c r="AH95">
        <f>IF('Calc base'!C$14=0,0,MIN(V95,MAX(0,$E95-SUMPRODUCT($V95:$AG95,'Calc base'!$C$14:$N$14,('Calc base'!$H95:$S95&gt;'Calc base'!H95)+('Calc base'!$H95:$S95='Calc base'!H95)*('Calc base'!$C$17:$N$17&lt;'Calc base'!C$17)))))</f>
        <v>0</v>
      </c>
      <c r="AI95">
        <f>IF('Calc base'!D$14=0,0,MIN(W95,MAX(0,$E95-SUMPRODUCT($V95:$AG95,'Calc base'!$C$14:$N$14,('Calc base'!$H95:$S95&gt;'Calc base'!I95)+('Calc base'!$H95:$S95='Calc base'!I95)*('Calc base'!$C$17:$N$17&lt;'Calc base'!D$17)))))</f>
        <v>0</v>
      </c>
      <c r="AJ95">
        <f>IF('Calc base'!E$14=0,0,MIN(X95,MAX(0,$E95-SUMPRODUCT($V95:$AG95,'Calc base'!$C$14:$N$14,('Calc base'!$H95:$S95&gt;'Calc base'!J95)+('Calc base'!$H95:$S95='Calc base'!J95)*('Calc base'!$C$17:$N$17&lt;'Calc base'!E$17)))))</f>
        <v>0</v>
      </c>
      <c r="AK95">
        <f>IF('Calc base'!F$14=0,0,MIN(Y95,MAX(0,$E95-SUMPRODUCT($V95:$AG95,'Calc base'!$C$14:$N$14,('Calc base'!$H95:$S95&gt;'Calc base'!K95)+('Calc base'!$H95:$S95='Calc base'!K95)*('Calc base'!$C$17:$N$17&lt;'Calc base'!F$17)))))</f>
        <v>0</v>
      </c>
      <c r="AL95">
        <f>IF('Calc base'!G$14=0,0,MIN(Z95,MAX(0,$E95-SUMPRODUCT($V95:$AG95,'Calc base'!$C$14:$N$14,('Calc base'!$H95:$S95&gt;'Calc base'!L95)+('Calc base'!$H95:$S95='Calc base'!L95)*('Calc base'!$C$17:$N$17&lt;'Calc base'!G$17)))))</f>
        <v>0</v>
      </c>
      <c r="AM95">
        <f>IF('Calc base'!H$14=0,0,MIN(AA95,MAX(0,$E95-SUMPRODUCT($V95:$AG95,'Calc base'!$C$14:$N$14,('Calc base'!$H95:$S95&gt;'Calc base'!M95)+('Calc base'!$H95:$S95='Calc base'!M95)*('Calc base'!$C$17:$N$17&lt;'Calc base'!H$17)))))</f>
        <v>0</v>
      </c>
      <c r="AN95">
        <f>IF('Calc base'!I$14=0,0,MIN(AB95,MAX(0,$E95-SUMPRODUCT($V95:$AG95,'Calc base'!$C$14:$N$14,('Calc base'!$H95:$S95&gt;'Calc base'!N95)+('Calc base'!$H95:$S95='Calc base'!N95)*('Calc base'!$C$17:$N$17&lt;'Calc base'!I$17)))))</f>
        <v>0</v>
      </c>
      <c r="AO95">
        <f>IF('Calc base'!J$14=0,0,MIN(AC95,MAX(0,$E95-SUMPRODUCT($V95:$AG95,'Calc base'!$C$14:$N$14,('Calc base'!$H95:$S95&gt;'Calc base'!O95)+('Calc base'!$H95:$S95='Calc base'!O95)*('Calc base'!$C$17:$N$17&lt;'Calc base'!J$17)))))</f>
        <v>0</v>
      </c>
      <c r="AP95">
        <f>IF('Calc base'!K$14=0,0,MIN(AD95,MAX(0,$E95-SUMPRODUCT($V95:$AG95,'Calc base'!$C$14:$N$14,('Calc base'!$H95:$S95&gt;'Calc base'!P95)+('Calc base'!$H95:$S95='Calc base'!P95)*('Calc base'!$C$17:$N$17&lt;'Calc base'!K$17)))))</f>
        <v>0</v>
      </c>
      <c r="AQ95">
        <f>IF('Calc base'!L$14=0,0,MIN(AE95,MAX(0,$E95-SUMPRODUCT($V95:$AG95,'Calc base'!$C$14:$N$14,('Calc base'!$H95:$S95&gt;'Calc base'!Q95)+('Calc base'!$H95:$S95='Calc base'!Q95)*('Calc base'!$C$17:$N$17&lt;'Calc base'!L$17)))))</f>
        <v>0</v>
      </c>
      <c r="AR95">
        <f>IF('Calc base'!M$14=0,0,MIN(AF95,MAX(0,$E95-SUMPRODUCT($V95:$AG95,'Calc base'!$C$14:$N$14,('Calc base'!$H95:$S95&gt;'Calc base'!R95)+('Calc base'!$H95:$S95='Calc base'!R95)*('Calc base'!$C$17:$N$17&lt;'Calc base'!M$17)))))</f>
        <v>0</v>
      </c>
      <c r="AS95">
        <f>IF('Calc base'!N$14=0,0,MIN(AG95,MAX(0,$E95-SUMPRODUCT($V95:$AG95,'Calc base'!$C$14:$N$14,('Calc base'!$H95:$S95&gt;'Calc base'!S95)+('Calc base'!$H95:$S95='Calc base'!S95)*('Calc base'!$C$17:$N$17&lt;'Calc base'!N$17)))))</f>
        <v>0</v>
      </c>
      <c r="AT95">
        <f>V95-AH95</f>
        <v>0</v>
      </c>
      <c r="AU95">
        <f>W95-AI95</f>
        <v>0</v>
      </c>
      <c r="AV95">
        <f>X95-AJ95</f>
        <v>0</v>
      </c>
      <c r="AW95">
        <f>Y95-AK95</f>
        <v>0</v>
      </c>
      <c r="AX95">
        <f>Z95-AL95</f>
        <v>0</v>
      </c>
      <c r="AY95">
        <f>AA95-AM95</f>
        <v>0</v>
      </c>
      <c r="AZ95">
        <f>AB95-AN95</f>
        <v>0</v>
      </c>
      <c r="BA95">
        <f>AC95-AO95</f>
        <v>0</v>
      </c>
      <c r="BB95">
        <f>AD95-AP95</f>
        <v>0</v>
      </c>
      <c r="BC95">
        <f>AE95-AQ95</f>
        <v>0</v>
      </c>
      <c r="BD95">
        <f>AF95-AR95</f>
        <v>0</v>
      </c>
      <c r="BE95">
        <f>AG95-AS95</f>
        <v>0</v>
      </c>
    </row>
    <row r="96">
      <c r="A96" t="n">
        <v>66</v>
      </c>
      <c r="B96">
        <f>SUMPRODUCT(ROUND($AT95:$BE95*(1+'Calc base'!$H96:$S96),2))</f>
        <v>0</v>
      </c>
      <c r="C96">
        <f>SUM(J96:U96)</f>
        <v>0</v>
      </c>
      <c r="D96">
        <f>SUM(V96:AG96)</f>
        <v>0</v>
      </c>
      <c r="E96">
        <f>MAX(0,IF(Impostazioni!$B$7="No",'Calc base'!$C96-$C$31,'Calc base'!$C96-C96)+'Calc base'!$G96+'Calc base'!$F96-(B96-C96-D96))</f>
        <v>900</v>
      </c>
      <c r="F96">
        <f>SUM(AH96:AS96)</f>
        <v>0</v>
      </c>
      <c r="G96">
        <f>SUM(AT96:BE96)</f>
        <v>0</v>
      </c>
      <c r="H96">
        <f>B96-G95</f>
        <v>0</v>
      </c>
      <c r="I96">
        <f>B96-G96</f>
        <v>0</v>
      </c>
      <c r="J96">
        <f>IF(AT95&lt;=0,0,IF(ROUND(AT95*(1+'Calc base'!H96),2)-MAX('Calc base'!C$12,ROUND('Calc base'!C$13*AT95,2))&lt;1,ROUND(AT95*(1+'Calc base'!H96),2),MAX('Calc base'!C$12,ROUND('Calc base'!C$13*AT95,2))))</f>
        <v>0</v>
      </c>
      <c r="K96">
        <f>IF(AU95&lt;=0,0,IF(ROUND(AU95*(1+'Calc base'!I96),2)-MAX('Calc base'!D$12,ROUND('Calc base'!D$13*AU95,2))&lt;1,ROUND(AU95*(1+'Calc base'!I96),2),MAX('Calc base'!D$12,ROUND('Calc base'!D$13*AU95,2))))</f>
        <v>0</v>
      </c>
      <c r="L96">
        <f>IF(AV95&lt;=0,0,IF(ROUND(AV95*(1+'Calc base'!J96),2)-MAX('Calc base'!E$12,ROUND('Calc base'!E$13*AV95,2))&lt;1,ROUND(AV95*(1+'Calc base'!J96),2),MAX('Calc base'!E$12,ROUND('Calc base'!E$13*AV95,2))))</f>
        <v>0</v>
      </c>
      <c r="M96">
        <f>IF(AW95&lt;=0,0,IF(ROUND(AW95*(1+'Calc base'!K96),2)-MAX('Calc base'!F$12,ROUND('Calc base'!F$13*AW95,2))&lt;1,ROUND(AW95*(1+'Calc base'!K96),2),MAX('Calc base'!F$12,ROUND('Calc base'!F$13*AW95,2))))</f>
        <v>0</v>
      </c>
      <c r="N96">
        <f>IF(AX95&lt;=0,0,IF(ROUND(AX95*(1+'Calc base'!L96),2)-MAX('Calc base'!G$12,ROUND('Calc base'!G$13*AX95,2))&lt;1,ROUND(AX95*(1+'Calc base'!L96),2),MAX('Calc base'!G$12,ROUND('Calc base'!G$13*AX95,2))))</f>
        <v>0</v>
      </c>
      <c r="O96">
        <f>IF(AY95&lt;=0,0,IF(ROUND(AY95*(1+'Calc base'!M96),2)-MAX('Calc base'!H$12,ROUND('Calc base'!H$13*AY95,2))&lt;1,ROUND(AY95*(1+'Calc base'!M96),2),MAX('Calc base'!H$12,ROUND('Calc base'!H$13*AY95,2))))</f>
        <v>0</v>
      </c>
      <c r="P96">
        <f>IF(AZ95&lt;=0,0,IF(ROUND(AZ95*(1+'Calc base'!N96),2)-MAX('Calc base'!I$12,ROUND('Calc base'!I$13*AZ95,2))&lt;1,ROUND(AZ95*(1+'Calc base'!N96),2),MAX('Calc base'!I$12,ROUND('Calc base'!I$13*AZ95,2))))</f>
        <v>0</v>
      </c>
      <c r="Q96">
        <f>IF(BA95&lt;=0,0,IF(ROUND(BA95*(1+'Calc base'!O96),2)-MAX('Calc base'!J$12,ROUND('Calc base'!J$13*BA95,2))&lt;1,ROUND(BA95*(1+'Calc base'!O96),2),MAX('Calc base'!J$12,ROUND('Calc base'!J$13*BA95,2))))</f>
        <v>0</v>
      </c>
      <c r="R96">
        <f>IF(BB95&lt;=0,0,IF(ROUND(BB95*(1+'Calc base'!P96),2)-MAX('Calc base'!K$12,ROUND('Calc base'!K$13*BB95,2))&lt;1,ROUND(BB95*(1+'Calc base'!P96),2),MAX('Calc base'!K$12,ROUND('Calc base'!K$13*BB95,2))))</f>
        <v>0</v>
      </c>
      <c r="S96">
        <f>IF(BC95&lt;=0,0,IF(ROUND(BC95*(1+'Calc base'!Q96),2)-MAX('Calc base'!L$12,ROUND('Calc base'!L$13*BC95,2))&lt;1,ROUND(BC95*(1+'Calc base'!Q96),2),MAX('Calc base'!L$12,ROUND('Calc base'!L$13*BC95,2))))</f>
        <v>0</v>
      </c>
      <c r="T96">
        <f>IF(BD95&lt;=0,0,IF(ROUND(BD95*(1+'Calc base'!R96),2)-MAX('Calc base'!M$12,ROUND('Calc base'!M$13*BD95,2))&lt;1,ROUND(BD95*(1+'Calc base'!R96),2),MAX('Calc base'!M$12,ROUND('Calc base'!M$13*BD95,2))))</f>
        <v>0</v>
      </c>
      <c r="U96">
        <f>IF(BE95&lt;=0,0,IF(ROUND(BE95*(1+'Calc base'!S96),2)-MAX('Calc base'!N$12,ROUND('Calc base'!N$13*BE95,2))&lt;1,ROUND(BE95*(1+'Calc base'!S96),2),MAX('Calc base'!N$12,ROUND('Calc base'!N$13*BE95,2))))</f>
        <v>0</v>
      </c>
      <c r="V96">
        <f>MAX(0,ROUND(AT95*(1+'Calc base'!H96),2)-J96-'Calc base'!T96)</f>
        <v>0</v>
      </c>
      <c r="W96">
        <f>MAX(0,ROUND(AU95*(1+'Calc base'!I96),2)-K96-'Calc base'!U96)</f>
        <v>0</v>
      </c>
      <c r="X96">
        <f>MAX(0,ROUND(AV95*(1+'Calc base'!J96),2)-L96-'Calc base'!V96)</f>
        <v>0</v>
      </c>
      <c r="Y96">
        <f>MAX(0,ROUND(AW95*(1+'Calc base'!K96),2)-M96-'Calc base'!W96)</f>
        <v>0</v>
      </c>
      <c r="Z96">
        <f>MAX(0,ROUND(AX95*(1+'Calc base'!L96),2)-N96-'Calc base'!X96)</f>
        <v>0</v>
      </c>
      <c r="AA96">
        <f>MAX(0,ROUND(AY95*(1+'Calc base'!M96),2)-O96-'Calc base'!Y96)</f>
        <v>0</v>
      </c>
      <c r="AB96">
        <f>MAX(0,ROUND(AZ95*(1+'Calc base'!N96),2)-P96-'Calc base'!Z96)</f>
        <v>0</v>
      </c>
      <c r="AC96">
        <f>MAX(0,ROUND(BA95*(1+'Calc base'!O96),2)-Q96-'Calc base'!AA96)</f>
        <v>0</v>
      </c>
      <c r="AD96">
        <f>MAX(0,ROUND(BB95*(1+'Calc base'!P96),2)-R96-'Calc base'!AB96)</f>
        <v>0</v>
      </c>
      <c r="AE96">
        <f>MAX(0,ROUND(BC95*(1+'Calc base'!Q96),2)-S96-'Calc base'!AC96)</f>
        <v>0</v>
      </c>
      <c r="AF96">
        <f>MAX(0,ROUND(BD95*(1+'Calc base'!R96),2)-T96-'Calc base'!AD96)</f>
        <v>0</v>
      </c>
      <c r="AG96">
        <f>MAX(0,ROUND(BE95*(1+'Calc base'!S96),2)-U96-'Calc base'!AE96)</f>
        <v>0</v>
      </c>
      <c r="AH96">
        <f>IF('Calc base'!C$14=0,0,MIN(V96,MAX(0,$E96-SUMPRODUCT($V96:$AG96,'Calc base'!$C$14:$N$14,('Calc base'!$H96:$S96&gt;'Calc base'!H96)+('Calc base'!$H96:$S96='Calc base'!H96)*('Calc base'!$C$17:$N$17&lt;'Calc base'!C$17)))))</f>
        <v>0</v>
      </c>
      <c r="AI96">
        <f>IF('Calc base'!D$14=0,0,MIN(W96,MAX(0,$E96-SUMPRODUCT($V96:$AG96,'Calc base'!$C$14:$N$14,('Calc base'!$H96:$S96&gt;'Calc base'!I96)+('Calc base'!$H96:$S96='Calc base'!I96)*('Calc base'!$C$17:$N$17&lt;'Calc base'!D$17)))))</f>
        <v>0</v>
      </c>
      <c r="AJ96">
        <f>IF('Calc base'!E$14=0,0,MIN(X96,MAX(0,$E96-SUMPRODUCT($V96:$AG96,'Calc base'!$C$14:$N$14,('Calc base'!$H96:$S96&gt;'Calc base'!J96)+('Calc base'!$H96:$S96='Calc base'!J96)*('Calc base'!$C$17:$N$17&lt;'Calc base'!E$17)))))</f>
        <v>0</v>
      </c>
      <c r="AK96">
        <f>IF('Calc base'!F$14=0,0,MIN(Y96,MAX(0,$E96-SUMPRODUCT($V96:$AG96,'Calc base'!$C$14:$N$14,('Calc base'!$H96:$S96&gt;'Calc base'!K96)+('Calc base'!$H96:$S96='Calc base'!K96)*('Calc base'!$C$17:$N$17&lt;'Calc base'!F$17)))))</f>
        <v>0</v>
      </c>
      <c r="AL96">
        <f>IF('Calc base'!G$14=0,0,MIN(Z96,MAX(0,$E96-SUMPRODUCT($V96:$AG96,'Calc base'!$C$14:$N$14,('Calc base'!$H96:$S96&gt;'Calc base'!L96)+('Calc base'!$H96:$S96='Calc base'!L96)*('Calc base'!$C$17:$N$17&lt;'Calc base'!G$17)))))</f>
        <v>0</v>
      </c>
      <c r="AM96">
        <f>IF('Calc base'!H$14=0,0,MIN(AA96,MAX(0,$E96-SUMPRODUCT($V96:$AG96,'Calc base'!$C$14:$N$14,('Calc base'!$H96:$S96&gt;'Calc base'!M96)+('Calc base'!$H96:$S96='Calc base'!M96)*('Calc base'!$C$17:$N$17&lt;'Calc base'!H$17)))))</f>
        <v>0</v>
      </c>
      <c r="AN96">
        <f>IF('Calc base'!I$14=0,0,MIN(AB96,MAX(0,$E96-SUMPRODUCT($V96:$AG96,'Calc base'!$C$14:$N$14,('Calc base'!$H96:$S96&gt;'Calc base'!N96)+('Calc base'!$H96:$S96='Calc base'!N96)*('Calc base'!$C$17:$N$17&lt;'Calc base'!I$17)))))</f>
        <v>0</v>
      </c>
      <c r="AO96">
        <f>IF('Calc base'!J$14=0,0,MIN(AC96,MAX(0,$E96-SUMPRODUCT($V96:$AG96,'Calc base'!$C$14:$N$14,('Calc base'!$H96:$S96&gt;'Calc base'!O96)+('Calc base'!$H96:$S96='Calc base'!O96)*('Calc base'!$C$17:$N$17&lt;'Calc base'!J$17)))))</f>
        <v>0</v>
      </c>
      <c r="AP96">
        <f>IF('Calc base'!K$14=0,0,MIN(AD96,MAX(0,$E96-SUMPRODUCT($V96:$AG96,'Calc base'!$C$14:$N$14,('Calc base'!$H96:$S96&gt;'Calc base'!P96)+('Calc base'!$H96:$S96='Calc base'!P96)*('Calc base'!$C$17:$N$17&lt;'Calc base'!K$17)))))</f>
        <v>0</v>
      </c>
      <c r="AQ96">
        <f>IF('Calc base'!L$14=0,0,MIN(AE96,MAX(0,$E96-SUMPRODUCT($V96:$AG96,'Calc base'!$C$14:$N$14,('Calc base'!$H96:$S96&gt;'Calc base'!Q96)+('Calc base'!$H96:$S96='Calc base'!Q96)*('Calc base'!$C$17:$N$17&lt;'Calc base'!L$17)))))</f>
        <v>0</v>
      </c>
      <c r="AR96">
        <f>IF('Calc base'!M$14=0,0,MIN(AF96,MAX(0,$E96-SUMPRODUCT($V96:$AG96,'Calc base'!$C$14:$N$14,('Calc base'!$H96:$S96&gt;'Calc base'!R96)+('Calc base'!$H96:$S96='Calc base'!R96)*('Calc base'!$C$17:$N$17&lt;'Calc base'!M$17)))))</f>
        <v>0</v>
      </c>
      <c r="AS96">
        <f>IF('Calc base'!N$14=0,0,MIN(AG96,MAX(0,$E96-SUMPRODUCT($V96:$AG96,'Calc base'!$C$14:$N$14,('Calc base'!$H96:$S96&gt;'Calc base'!S96)+('Calc base'!$H96:$S96='Calc base'!S96)*('Calc base'!$C$17:$N$17&lt;'Calc base'!N$17)))))</f>
        <v>0</v>
      </c>
      <c r="AT96">
        <f>V96-AH96</f>
        <v>0</v>
      </c>
      <c r="AU96">
        <f>W96-AI96</f>
        <v>0</v>
      </c>
      <c r="AV96">
        <f>X96-AJ96</f>
        <v>0</v>
      </c>
      <c r="AW96">
        <f>Y96-AK96</f>
        <v>0</v>
      </c>
      <c r="AX96">
        <f>Z96-AL96</f>
        <v>0</v>
      </c>
      <c r="AY96">
        <f>AA96-AM96</f>
        <v>0</v>
      </c>
      <c r="AZ96">
        <f>AB96-AN96</f>
        <v>0</v>
      </c>
      <c r="BA96">
        <f>AC96-AO96</f>
        <v>0</v>
      </c>
      <c r="BB96">
        <f>AD96-AP96</f>
        <v>0</v>
      </c>
      <c r="BC96">
        <f>AE96-AQ96</f>
        <v>0</v>
      </c>
      <c r="BD96">
        <f>AF96-AR96</f>
        <v>0</v>
      </c>
      <c r="BE96">
        <f>AG96-AS96</f>
        <v>0</v>
      </c>
    </row>
    <row r="97">
      <c r="A97" t="n">
        <v>67</v>
      </c>
      <c r="B97">
        <f>SUMPRODUCT(ROUND($AT96:$BE96*(1+'Calc base'!$H97:$S97),2))</f>
        <v>0</v>
      </c>
      <c r="C97">
        <f>SUM(J97:U97)</f>
        <v>0</v>
      </c>
      <c r="D97">
        <f>SUM(V97:AG97)</f>
        <v>0</v>
      </c>
      <c r="E97">
        <f>MAX(0,IF(Impostazioni!$B$7="No",'Calc base'!$C97-$C$31,'Calc base'!$C97-C97)+'Calc base'!$G97+'Calc base'!$F97-(B97-C97-D97))</f>
        <v>900</v>
      </c>
      <c r="F97">
        <f>SUM(AH97:AS97)</f>
        <v>0</v>
      </c>
      <c r="G97">
        <f>SUM(AT97:BE97)</f>
        <v>0</v>
      </c>
      <c r="H97">
        <f>B97-G96</f>
        <v>0</v>
      </c>
      <c r="I97">
        <f>B97-G97</f>
        <v>0</v>
      </c>
      <c r="J97">
        <f>IF(AT96&lt;=0,0,IF(ROUND(AT96*(1+'Calc base'!H97),2)-MAX('Calc base'!C$12,ROUND('Calc base'!C$13*AT96,2))&lt;1,ROUND(AT96*(1+'Calc base'!H97),2),MAX('Calc base'!C$12,ROUND('Calc base'!C$13*AT96,2))))</f>
        <v>0</v>
      </c>
      <c r="K97">
        <f>IF(AU96&lt;=0,0,IF(ROUND(AU96*(1+'Calc base'!I97),2)-MAX('Calc base'!D$12,ROUND('Calc base'!D$13*AU96,2))&lt;1,ROUND(AU96*(1+'Calc base'!I97),2),MAX('Calc base'!D$12,ROUND('Calc base'!D$13*AU96,2))))</f>
        <v>0</v>
      </c>
      <c r="L97">
        <f>IF(AV96&lt;=0,0,IF(ROUND(AV96*(1+'Calc base'!J97),2)-MAX('Calc base'!E$12,ROUND('Calc base'!E$13*AV96,2))&lt;1,ROUND(AV96*(1+'Calc base'!J97),2),MAX('Calc base'!E$12,ROUND('Calc base'!E$13*AV96,2))))</f>
        <v>0</v>
      </c>
      <c r="M97">
        <f>IF(AW96&lt;=0,0,IF(ROUND(AW96*(1+'Calc base'!K97),2)-MAX('Calc base'!F$12,ROUND('Calc base'!F$13*AW96,2))&lt;1,ROUND(AW96*(1+'Calc base'!K97),2),MAX('Calc base'!F$12,ROUND('Calc base'!F$13*AW96,2))))</f>
        <v>0</v>
      </c>
      <c r="N97">
        <f>IF(AX96&lt;=0,0,IF(ROUND(AX96*(1+'Calc base'!L97),2)-MAX('Calc base'!G$12,ROUND('Calc base'!G$13*AX96,2))&lt;1,ROUND(AX96*(1+'Calc base'!L97),2),MAX('Calc base'!G$12,ROUND('Calc base'!G$13*AX96,2))))</f>
        <v>0</v>
      </c>
      <c r="O97">
        <f>IF(AY96&lt;=0,0,IF(ROUND(AY96*(1+'Calc base'!M97),2)-MAX('Calc base'!H$12,ROUND('Calc base'!H$13*AY96,2))&lt;1,ROUND(AY96*(1+'Calc base'!M97),2),MAX('Calc base'!H$12,ROUND('Calc base'!H$13*AY96,2))))</f>
        <v>0</v>
      </c>
      <c r="P97">
        <f>IF(AZ96&lt;=0,0,IF(ROUND(AZ96*(1+'Calc base'!N97),2)-MAX('Calc base'!I$12,ROUND('Calc base'!I$13*AZ96,2))&lt;1,ROUND(AZ96*(1+'Calc base'!N97),2),MAX('Calc base'!I$12,ROUND('Calc base'!I$13*AZ96,2))))</f>
        <v>0</v>
      </c>
      <c r="Q97">
        <f>IF(BA96&lt;=0,0,IF(ROUND(BA96*(1+'Calc base'!O97),2)-MAX('Calc base'!J$12,ROUND('Calc base'!J$13*BA96,2))&lt;1,ROUND(BA96*(1+'Calc base'!O97),2),MAX('Calc base'!J$12,ROUND('Calc base'!J$13*BA96,2))))</f>
        <v>0</v>
      </c>
      <c r="R97">
        <f>IF(BB96&lt;=0,0,IF(ROUND(BB96*(1+'Calc base'!P97),2)-MAX('Calc base'!K$12,ROUND('Calc base'!K$13*BB96,2))&lt;1,ROUND(BB96*(1+'Calc base'!P97),2),MAX('Calc base'!K$12,ROUND('Calc base'!K$13*BB96,2))))</f>
        <v>0</v>
      </c>
      <c r="S97">
        <f>IF(BC96&lt;=0,0,IF(ROUND(BC96*(1+'Calc base'!Q97),2)-MAX('Calc base'!L$12,ROUND('Calc base'!L$13*BC96,2))&lt;1,ROUND(BC96*(1+'Calc base'!Q97),2),MAX('Calc base'!L$12,ROUND('Calc base'!L$13*BC96,2))))</f>
        <v>0</v>
      </c>
      <c r="T97">
        <f>IF(BD96&lt;=0,0,IF(ROUND(BD96*(1+'Calc base'!R97),2)-MAX('Calc base'!M$12,ROUND('Calc base'!M$13*BD96,2))&lt;1,ROUND(BD96*(1+'Calc base'!R97),2),MAX('Calc base'!M$12,ROUND('Calc base'!M$13*BD96,2))))</f>
        <v>0</v>
      </c>
      <c r="U97">
        <f>IF(BE96&lt;=0,0,IF(ROUND(BE96*(1+'Calc base'!S97),2)-MAX('Calc base'!N$12,ROUND('Calc base'!N$13*BE96,2))&lt;1,ROUND(BE96*(1+'Calc base'!S97),2),MAX('Calc base'!N$12,ROUND('Calc base'!N$13*BE96,2))))</f>
        <v>0</v>
      </c>
      <c r="V97">
        <f>MAX(0,ROUND(AT96*(1+'Calc base'!H97),2)-J97-'Calc base'!T97)</f>
        <v>0</v>
      </c>
      <c r="W97">
        <f>MAX(0,ROUND(AU96*(1+'Calc base'!I97),2)-K97-'Calc base'!U97)</f>
        <v>0</v>
      </c>
      <c r="X97">
        <f>MAX(0,ROUND(AV96*(1+'Calc base'!J97),2)-L97-'Calc base'!V97)</f>
        <v>0</v>
      </c>
      <c r="Y97">
        <f>MAX(0,ROUND(AW96*(1+'Calc base'!K97),2)-M97-'Calc base'!W97)</f>
        <v>0</v>
      </c>
      <c r="Z97">
        <f>MAX(0,ROUND(AX96*(1+'Calc base'!L97),2)-N97-'Calc base'!X97)</f>
        <v>0</v>
      </c>
      <c r="AA97">
        <f>MAX(0,ROUND(AY96*(1+'Calc base'!M97),2)-O97-'Calc base'!Y97)</f>
        <v>0</v>
      </c>
      <c r="AB97">
        <f>MAX(0,ROUND(AZ96*(1+'Calc base'!N97),2)-P97-'Calc base'!Z97)</f>
        <v>0</v>
      </c>
      <c r="AC97">
        <f>MAX(0,ROUND(BA96*(1+'Calc base'!O97),2)-Q97-'Calc base'!AA97)</f>
        <v>0</v>
      </c>
      <c r="AD97">
        <f>MAX(0,ROUND(BB96*(1+'Calc base'!P97),2)-R97-'Calc base'!AB97)</f>
        <v>0</v>
      </c>
      <c r="AE97">
        <f>MAX(0,ROUND(BC96*(1+'Calc base'!Q97),2)-S97-'Calc base'!AC97)</f>
        <v>0</v>
      </c>
      <c r="AF97">
        <f>MAX(0,ROUND(BD96*(1+'Calc base'!R97),2)-T97-'Calc base'!AD97)</f>
        <v>0</v>
      </c>
      <c r="AG97">
        <f>MAX(0,ROUND(BE96*(1+'Calc base'!S97),2)-U97-'Calc base'!AE97)</f>
        <v>0</v>
      </c>
      <c r="AH97">
        <f>IF('Calc base'!C$14=0,0,MIN(V97,MAX(0,$E97-SUMPRODUCT($V97:$AG97,'Calc base'!$C$14:$N$14,('Calc base'!$H97:$S97&gt;'Calc base'!H97)+('Calc base'!$H97:$S97='Calc base'!H97)*('Calc base'!$C$17:$N$17&lt;'Calc base'!C$17)))))</f>
        <v>0</v>
      </c>
      <c r="AI97">
        <f>IF('Calc base'!D$14=0,0,MIN(W97,MAX(0,$E97-SUMPRODUCT($V97:$AG97,'Calc base'!$C$14:$N$14,('Calc base'!$H97:$S97&gt;'Calc base'!I97)+('Calc base'!$H97:$S97='Calc base'!I97)*('Calc base'!$C$17:$N$17&lt;'Calc base'!D$17)))))</f>
        <v>0</v>
      </c>
      <c r="AJ97">
        <f>IF('Calc base'!E$14=0,0,MIN(X97,MAX(0,$E97-SUMPRODUCT($V97:$AG97,'Calc base'!$C$14:$N$14,('Calc base'!$H97:$S97&gt;'Calc base'!J97)+('Calc base'!$H97:$S97='Calc base'!J97)*('Calc base'!$C$17:$N$17&lt;'Calc base'!E$17)))))</f>
        <v>0</v>
      </c>
      <c r="AK97">
        <f>IF('Calc base'!F$14=0,0,MIN(Y97,MAX(0,$E97-SUMPRODUCT($V97:$AG97,'Calc base'!$C$14:$N$14,('Calc base'!$H97:$S97&gt;'Calc base'!K97)+('Calc base'!$H97:$S97='Calc base'!K97)*('Calc base'!$C$17:$N$17&lt;'Calc base'!F$17)))))</f>
        <v>0</v>
      </c>
      <c r="AL97">
        <f>IF('Calc base'!G$14=0,0,MIN(Z97,MAX(0,$E97-SUMPRODUCT($V97:$AG97,'Calc base'!$C$14:$N$14,('Calc base'!$H97:$S97&gt;'Calc base'!L97)+('Calc base'!$H97:$S97='Calc base'!L97)*('Calc base'!$C$17:$N$17&lt;'Calc base'!G$17)))))</f>
        <v>0</v>
      </c>
      <c r="AM97">
        <f>IF('Calc base'!H$14=0,0,MIN(AA97,MAX(0,$E97-SUMPRODUCT($V97:$AG97,'Calc base'!$C$14:$N$14,('Calc base'!$H97:$S97&gt;'Calc base'!M97)+('Calc base'!$H97:$S97='Calc base'!M97)*('Calc base'!$C$17:$N$17&lt;'Calc base'!H$17)))))</f>
        <v>0</v>
      </c>
      <c r="AN97">
        <f>IF('Calc base'!I$14=0,0,MIN(AB97,MAX(0,$E97-SUMPRODUCT($V97:$AG97,'Calc base'!$C$14:$N$14,('Calc base'!$H97:$S97&gt;'Calc base'!N97)+('Calc base'!$H97:$S97='Calc base'!N97)*('Calc base'!$C$17:$N$17&lt;'Calc base'!I$17)))))</f>
        <v>0</v>
      </c>
      <c r="AO97">
        <f>IF('Calc base'!J$14=0,0,MIN(AC97,MAX(0,$E97-SUMPRODUCT($V97:$AG97,'Calc base'!$C$14:$N$14,('Calc base'!$H97:$S97&gt;'Calc base'!O97)+('Calc base'!$H97:$S97='Calc base'!O97)*('Calc base'!$C$17:$N$17&lt;'Calc base'!J$17)))))</f>
        <v>0</v>
      </c>
      <c r="AP97">
        <f>IF('Calc base'!K$14=0,0,MIN(AD97,MAX(0,$E97-SUMPRODUCT($V97:$AG97,'Calc base'!$C$14:$N$14,('Calc base'!$H97:$S97&gt;'Calc base'!P97)+('Calc base'!$H97:$S97='Calc base'!P97)*('Calc base'!$C$17:$N$17&lt;'Calc base'!K$17)))))</f>
        <v>0</v>
      </c>
      <c r="AQ97">
        <f>IF('Calc base'!L$14=0,0,MIN(AE97,MAX(0,$E97-SUMPRODUCT($V97:$AG97,'Calc base'!$C$14:$N$14,('Calc base'!$H97:$S97&gt;'Calc base'!Q97)+('Calc base'!$H97:$S97='Calc base'!Q97)*('Calc base'!$C$17:$N$17&lt;'Calc base'!L$17)))))</f>
        <v>0</v>
      </c>
      <c r="AR97">
        <f>IF('Calc base'!M$14=0,0,MIN(AF97,MAX(0,$E97-SUMPRODUCT($V97:$AG97,'Calc base'!$C$14:$N$14,('Calc base'!$H97:$S97&gt;'Calc base'!R97)+('Calc base'!$H97:$S97='Calc base'!R97)*('Calc base'!$C$17:$N$17&lt;'Calc base'!M$17)))))</f>
        <v>0</v>
      </c>
      <c r="AS97">
        <f>IF('Calc base'!N$14=0,0,MIN(AG97,MAX(0,$E97-SUMPRODUCT($V97:$AG97,'Calc base'!$C$14:$N$14,('Calc base'!$H97:$S97&gt;'Calc base'!S97)+('Calc base'!$H97:$S97='Calc base'!S97)*('Calc base'!$C$17:$N$17&lt;'Calc base'!N$17)))))</f>
        <v>0</v>
      </c>
      <c r="AT97">
        <f>V97-AH97</f>
        <v>0</v>
      </c>
      <c r="AU97">
        <f>W97-AI97</f>
        <v>0</v>
      </c>
      <c r="AV97">
        <f>X97-AJ97</f>
        <v>0</v>
      </c>
      <c r="AW97">
        <f>Y97-AK97</f>
        <v>0</v>
      </c>
      <c r="AX97">
        <f>Z97-AL97</f>
        <v>0</v>
      </c>
      <c r="AY97">
        <f>AA97-AM97</f>
        <v>0</v>
      </c>
      <c r="AZ97">
        <f>AB97-AN97</f>
        <v>0</v>
      </c>
      <c r="BA97">
        <f>AC97-AO97</f>
        <v>0</v>
      </c>
      <c r="BB97">
        <f>AD97-AP97</f>
        <v>0</v>
      </c>
      <c r="BC97">
        <f>AE97-AQ97</f>
        <v>0</v>
      </c>
      <c r="BD97">
        <f>AF97-AR97</f>
        <v>0</v>
      </c>
      <c r="BE97">
        <f>AG97-AS97</f>
        <v>0</v>
      </c>
    </row>
    <row r="98">
      <c r="A98" t="n">
        <v>68</v>
      </c>
      <c r="B98">
        <f>SUMPRODUCT(ROUND($AT97:$BE97*(1+'Calc base'!$H98:$S98),2))</f>
        <v>0</v>
      </c>
      <c r="C98">
        <f>SUM(J98:U98)</f>
        <v>0</v>
      </c>
      <c r="D98">
        <f>SUM(V98:AG98)</f>
        <v>0</v>
      </c>
      <c r="E98">
        <f>MAX(0,IF(Impostazioni!$B$7="No",'Calc base'!$C98-$C$31,'Calc base'!$C98-C98)+'Calc base'!$G98+'Calc base'!$F98-(B98-C98-D98))</f>
        <v>900</v>
      </c>
      <c r="F98">
        <f>SUM(AH98:AS98)</f>
        <v>0</v>
      </c>
      <c r="G98">
        <f>SUM(AT98:BE98)</f>
        <v>0</v>
      </c>
      <c r="H98">
        <f>B98-G97</f>
        <v>0</v>
      </c>
      <c r="I98">
        <f>B98-G98</f>
        <v>0</v>
      </c>
      <c r="J98">
        <f>IF(AT97&lt;=0,0,IF(ROUND(AT97*(1+'Calc base'!H98),2)-MAX('Calc base'!C$12,ROUND('Calc base'!C$13*AT97,2))&lt;1,ROUND(AT97*(1+'Calc base'!H98),2),MAX('Calc base'!C$12,ROUND('Calc base'!C$13*AT97,2))))</f>
        <v>0</v>
      </c>
      <c r="K98">
        <f>IF(AU97&lt;=0,0,IF(ROUND(AU97*(1+'Calc base'!I98),2)-MAX('Calc base'!D$12,ROUND('Calc base'!D$13*AU97,2))&lt;1,ROUND(AU97*(1+'Calc base'!I98),2),MAX('Calc base'!D$12,ROUND('Calc base'!D$13*AU97,2))))</f>
        <v>0</v>
      </c>
      <c r="L98">
        <f>IF(AV97&lt;=0,0,IF(ROUND(AV97*(1+'Calc base'!J98),2)-MAX('Calc base'!E$12,ROUND('Calc base'!E$13*AV97,2))&lt;1,ROUND(AV97*(1+'Calc base'!J98),2),MAX('Calc base'!E$12,ROUND('Calc base'!E$13*AV97,2))))</f>
        <v>0</v>
      </c>
      <c r="M98">
        <f>IF(AW97&lt;=0,0,IF(ROUND(AW97*(1+'Calc base'!K98),2)-MAX('Calc base'!F$12,ROUND('Calc base'!F$13*AW97,2))&lt;1,ROUND(AW97*(1+'Calc base'!K98),2),MAX('Calc base'!F$12,ROUND('Calc base'!F$13*AW97,2))))</f>
        <v>0</v>
      </c>
      <c r="N98">
        <f>IF(AX97&lt;=0,0,IF(ROUND(AX97*(1+'Calc base'!L98),2)-MAX('Calc base'!G$12,ROUND('Calc base'!G$13*AX97,2))&lt;1,ROUND(AX97*(1+'Calc base'!L98),2),MAX('Calc base'!G$12,ROUND('Calc base'!G$13*AX97,2))))</f>
        <v>0</v>
      </c>
      <c r="O98">
        <f>IF(AY97&lt;=0,0,IF(ROUND(AY97*(1+'Calc base'!M98),2)-MAX('Calc base'!H$12,ROUND('Calc base'!H$13*AY97,2))&lt;1,ROUND(AY97*(1+'Calc base'!M98),2),MAX('Calc base'!H$12,ROUND('Calc base'!H$13*AY97,2))))</f>
        <v>0</v>
      </c>
      <c r="P98">
        <f>IF(AZ97&lt;=0,0,IF(ROUND(AZ97*(1+'Calc base'!N98),2)-MAX('Calc base'!I$12,ROUND('Calc base'!I$13*AZ97,2))&lt;1,ROUND(AZ97*(1+'Calc base'!N98),2),MAX('Calc base'!I$12,ROUND('Calc base'!I$13*AZ97,2))))</f>
        <v>0</v>
      </c>
      <c r="Q98">
        <f>IF(BA97&lt;=0,0,IF(ROUND(BA97*(1+'Calc base'!O98),2)-MAX('Calc base'!J$12,ROUND('Calc base'!J$13*BA97,2))&lt;1,ROUND(BA97*(1+'Calc base'!O98),2),MAX('Calc base'!J$12,ROUND('Calc base'!J$13*BA97,2))))</f>
        <v>0</v>
      </c>
      <c r="R98">
        <f>IF(BB97&lt;=0,0,IF(ROUND(BB97*(1+'Calc base'!P98),2)-MAX('Calc base'!K$12,ROUND('Calc base'!K$13*BB97,2))&lt;1,ROUND(BB97*(1+'Calc base'!P98),2),MAX('Calc base'!K$12,ROUND('Calc base'!K$13*BB97,2))))</f>
        <v>0</v>
      </c>
      <c r="S98">
        <f>IF(BC97&lt;=0,0,IF(ROUND(BC97*(1+'Calc base'!Q98),2)-MAX('Calc base'!L$12,ROUND('Calc base'!L$13*BC97,2))&lt;1,ROUND(BC97*(1+'Calc base'!Q98),2),MAX('Calc base'!L$12,ROUND('Calc base'!L$13*BC97,2))))</f>
        <v>0</v>
      </c>
      <c r="T98">
        <f>IF(BD97&lt;=0,0,IF(ROUND(BD97*(1+'Calc base'!R98),2)-MAX('Calc base'!M$12,ROUND('Calc base'!M$13*BD97,2))&lt;1,ROUND(BD97*(1+'Calc base'!R98),2),MAX('Calc base'!M$12,ROUND('Calc base'!M$13*BD97,2))))</f>
        <v>0</v>
      </c>
      <c r="U98">
        <f>IF(BE97&lt;=0,0,IF(ROUND(BE97*(1+'Calc base'!S98),2)-MAX('Calc base'!N$12,ROUND('Calc base'!N$13*BE97,2))&lt;1,ROUND(BE97*(1+'Calc base'!S98),2),MAX('Calc base'!N$12,ROUND('Calc base'!N$13*BE97,2))))</f>
        <v>0</v>
      </c>
      <c r="V98">
        <f>MAX(0,ROUND(AT97*(1+'Calc base'!H98),2)-J98-'Calc base'!T98)</f>
        <v>0</v>
      </c>
      <c r="W98">
        <f>MAX(0,ROUND(AU97*(1+'Calc base'!I98),2)-K98-'Calc base'!U98)</f>
        <v>0</v>
      </c>
      <c r="X98">
        <f>MAX(0,ROUND(AV97*(1+'Calc base'!J98),2)-L98-'Calc base'!V98)</f>
        <v>0</v>
      </c>
      <c r="Y98">
        <f>MAX(0,ROUND(AW97*(1+'Calc base'!K98),2)-M98-'Calc base'!W98)</f>
        <v>0</v>
      </c>
      <c r="Z98">
        <f>MAX(0,ROUND(AX97*(1+'Calc base'!L98),2)-N98-'Calc base'!X98)</f>
        <v>0</v>
      </c>
      <c r="AA98">
        <f>MAX(0,ROUND(AY97*(1+'Calc base'!M98),2)-O98-'Calc base'!Y98)</f>
        <v>0</v>
      </c>
      <c r="AB98">
        <f>MAX(0,ROUND(AZ97*(1+'Calc base'!N98),2)-P98-'Calc base'!Z98)</f>
        <v>0</v>
      </c>
      <c r="AC98">
        <f>MAX(0,ROUND(BA97*(1+'Calc base'!O98),2)-Q98-'Calc base'!AA98)</f>
        <v>0</v>
      </c>
      <c r="AD98">
        <f>MAX(0,ROUND(BB97*(1+'Calc base'!P98),2)-R98-'Calc base'!AB98)</f>
        <v>0</v>
      </c>
      <c r="AE98">
        <f>MAX(0,ROUND(BC97*(1+'Calc base'!Q98),2)-S98-'Calc base'!AC98)</f>
        <v>0</v>
      </c>
      <c r="AF98">
        <f>MAX(0,ROUND(BD97*(1+'Calc base'!R98),2)-T98-'Calc base'!AD98)</f>
        <v>0</v>
      </c>
      <c r="AG98">
        <f>MAX(0,ROUND(BE97*(1+'Calc base'!S98),2)-U98-'Calc base'!AE98)</f>
        <v>0</v>
      </c>
      <c r="AH98">
        <f>IF('Calc base'!C$14=0,0,MIN(V98,MAX(0,$E98-SUMPRODUCT($V98:$AG98,'Calc base'!$C$14:$N$14,('Calc base'!$H98:$S98&gt;'Calc base'!H98)+('Calc base'!$H98:$S98='Calc base'!H98)*('Calc base'!$C$17:$N$17&lt;'Calc base'!C$17)))))</f>
        <v>0</v>
      </c>
      <c r="AI98">
        <f>IF('Calc base'!D$14=0,0,MIN(W98,MAX(0,$E98-SUMPRODUCT($V98:$AG98,'Calc base'!$C$14:$N$14,('Calc base'!$H98:$S98&gt;'Calc base'!I98)+('Calc base'!$H98:$S98='Calc base'!I98)*('Calc base'!$C$17:$N$17&lt;'Calc base'!D$17)))))</f>
        <v>0</v>
      </c>
      <c r="AJ98">
        <f>IF('Calc base'!E$14=0,0,MIN(X98,MAX(0,$E98-SUMPRODUCT($V98:$AG98,'Calc base'!$C$14:$N$14,('Calc base'!$H98:$S98&gt;'Calc base'!J98)+('Calc base'!$H98:$S98='Calc base'!J98)*('Calc base'!$C$17:$N$17&lt;'Calc base'!E$17)))))</f>
        <v>0</v>
      </c>
      <c r="AK98">
        <f>IF('Calc base'!F$14=0,0,MIN(Y98,MAX(0,$E98-SUMPRODUCT($V98:$AG98,'Calc base'!$C$14:$N$14,('Calc base'!$H98:$S98&gt;'Calc base'!K98)+('Calc base'!$H98:$S98='Calc base'!K98)*('Calc base'!$C$17:$N$17&lt;'Calc base'!F$17)))))</f>
        <v>0</v>
      </c>
      <c r="AL98">
        <f>IF('Calc base'!G$14=0,0,MIN(Z98,MAX(0,$E98-SUMPRODUCT($V98:$AG98,'Calc base'!$C$14:$N$14,('Calc base'!$H98:$S98&gt;'Calc base'!L98)+('Calc base'!$H98:$S98='Calc base'!L98)*('Calc base'!$C$17:$N$17&lt;'Calc base'!G$17)))))</f>
        <v>0</v>
      </c>
      <c r="AM98">
        <f>IF('Calc base'!H$14=0,0,MIN(AA98,MAX(0,$E98-SUMPRODUCT($V98:$AG98,'Calc base'!$C$14:$N$14,('Calc base'!$H98:$S98&gt;'Calc base'!M98)+('Calc base'!$H98:$S98='Calc base'!M98)*('Calc base'!$C$17:$N$17&lt;'Calc base'!H$17)))))</f>
        <v>0</v>
      </c>
      <c r="AN98">
        <f>IF('Calc base'!I$14=0,0,MIN(AB98,MAX(0,$E98-SUMPRODUCT($V98:$AG98,'Calc base'!$C$14:$N$14,('Calc base'!$H98:$S98&gt;'Calc base'!N98)+('Calc base'!$H98:$S98='Calc base'!N98)*('Calc base'!$C$17:$N$17&lt;'Calc base'!I$17)))))</f>
        <v>0</v>
      </c>
      <c r="AO98">
        <f>IF('Calc base'!J$14=0,0,MIN(AC98,MAX(0,$E98-SUMPRODUCT($V98:$AG98,'Calc base'!$C$14:$N$14,('Calc base'!$H98:$S98&gt;'Calc base'!O98)+('Calc base'!$H98:$S98='Calc base'!O98)*('Calc base'!$C$17:$N$17&lt;'Calc base'!J$17)))))</f>
        <v>0</v>
      </c>
      <c r="AP98">
        <f>IF('Calc base'!K$14=0,0,MIN(AD98,MAX(0,$E98-SUMPRODUCT($V98:$AG98,'Calc base'!$C$14:$N$14,('Calc base'!$H98:$S98&gt;'Calc base'!P98)+('Calc base'!$H98:$S98='Calc base'!P98)*('Calc base'!$C$17:$N$17&lt;'Calc base'!K$17)))))</f>
        <v>0</v>
      </c>
      <c r="AQ98">
        <f>IF('Calc base'!L$14=0,0,MIN(AE98,MAX(0,$E98-SUMPRODUCT($V98:$AG98,'Calc base'!$C$14:$N$14,('Calc base'!$H98:$S98&gt;'Calc base'!Q98)+('Calc base'!$H98:$S98='Calc base'!Q98)*('Calc base'!$C$17:$N$17&lt;'Calc base'!L$17)))))</f>
        <v>0</v>
      </c>
      <c r="AR98">
        <f>IF('Calc base'!M$14=0,0,MIN(AF98,MAX(0,$E98-SUMPRODUCT($V98:$AG98,'Calc base'!$C$14:$N$14,('Calc base'!$H98:$S98&gt;'Calc base'!R98)+('Calc base'!$H98:$S98='Calc base'!R98)*('Calc base'!$C$17:$N$17&lt;'Calc base'!M$17)))))</f>
        <v>0</v>
      </c>
      <c r="AS98">
        <f>IF('Calc base'!N$14=0,0,MIN(AG98,MAX(0,$E98-SUMPRODUCT($V98:$AG98,'Calc base'!$C$14:$N$14,('Calc base'!$H98:$S98&gt;'Calc base'!S98)+('Calc base'!$H98:$S98='Calc base'!S98)*('Calc base'!$C$17:$N$17&lt;'Calc base'!N$17)))))</f>
        <v>0</v>
      </c>
      <c r="AT98">
        <f>V98-AH98</f>
        <v>0</v>
      </c>
      <c r="AU98">
        <f>W98-AI98</f>
        <v>0</v>
      </c>
      <c r="AV98">
        <f>X98-AJ98</f>
        <v>0</v>
      </c>
      <c r="AW98">
        <f>Y98-AK98</f>
        <v>0</v>
      </c>
      <c r="AX98">
        <f>Z98-AL98</f>
        <v>0</v>
      </c>
      <c r="AY98">
        <f>AA98-AM98</f>
        <v>0</v>
      </c>
      <c r="AZ98">
        <f>AB98-AN98</f>
        <v>0</v>
      </c>
      <c r="BA98">
        <f>AC98-AO98</f>
        <v>0</v>
      </c>
      <c r="BB98">
        <f>AD98-AP98</f>
        <v>0</v>
      </c>
      <c r="BC98">
        <f>AE98-AQ98</f>
        <v>0</v>
      </c>
      <c r="BD98">
        <f>AF98-AR98</f>
        <v>0</v>
      </c>
      <c r="BE98">
        <f>AG98-AS98</f>
        <v>0</v>
      </c>
    </row>
    <row r="99">
      <c r="A99" t="n">
        <v>69</v>
      </c>
      <c r="B99">
        <f>SUMPRODUCT(ROUND($AT98:$BE98*(1+'Calc base'!$H99:$S99),2))</f>
        <v>0</v>
      </c>
      <c r="C99">
        <f>SUM(J99:U99)</f>
        <v>0</v>
      </c>
      <c r="D99">
        <f>SUM(V99:AG99)</f>
        <v>0</v>
      </c>
      <c r="E99">
        <f>MAX(0,IF(Impostazioni!$B$7="No",'Calc base'!$C99-$C$31,'Calc base'!$C99-C99)+'Calc base'!$G99+'Calc base'!$F99-(B99-C99-D99))</f>
        <v>900</v>
      </c>
      <c r="F99">
        <f>SUM(AH99:AS99)</f>
        <v>0</v>
      </c>
      <c r="G99">
        <f>SUM(AT99:BE99)</f>
        <v>0</v>
      </c>
      <c r="H99">
        <f>B99-G98</f>
        <v>0</v>
      </c>
      <c r="I99">
        <f>B99-G99</f>
        <v>0</v>
      </c>
      <c r="J99">
        <f>IF(AT98&lt;=0,0,IF(ROUND(AT98*(1+'Calc base'!H99),2)-MAX('Calc base'!C$12,ROUND('Calc base'!C$13*AT98,2))&lt;1,ROUND(AT98*(1+'Calc base'!H99),2),MAX('Calc base'!C$12,ROUND('Calc base'!C$13*AT98,2))))</f>
        <v>0</v>
      </c>
      <c r="K99">
        <f>IF(AU98&lt;=0,0,IF(ROUND(AU98*(1+'Calc base'!I99),2)-MAX('Calc base'!D$12,ROUND('Calc base'!D$13*AU98,2))&lt;1,ROUND(AU98*(1+'Calc base'!I99),2),MAX('Calc base'!D$12,ROUND('Calc base'!D$13*AU98,2))))</f>
        <v>0</v>
      </c>
      <c r="L99">
        <f>IF(AV98&lt;=0,0,IF(ROUND(AV98*(1+'Calc base'!J99),2)-MAX('Calc base'!E$12,ROUND('Calc base'!E$13*AV98,2))&lt;1,ROUND(AV98*(1+'Calc base'!J99),2),MAX('Calc base'!E$12,ROUND('Calc base'!E$13*AV98,2))))</f>
        <v>0</v>
      </c>
      <c r="M99">
        <f>IF(AW98&lt;=0,0,IF(ROUND(AW98*(1+'Calc base'!K99),2)-MAX('Calc base'!F$12,ROUND('Calc base'!F$13*AW98,2))&lt;1,ROUND(AW98*(1+'Calc base'!K99),2),MAX('Calc base'!F$12,ROUND('Calc base'!F$13*AW98,2))))</f>
        <v>0</v>
      </c>
      <c r="N99">
        <f>IF(AX98&lt;=0,0,IF(ROUND(AX98*(1+'Calc base'!L99),2)-MAX('Calc base'!G$12,ROUND('Calc base'!G$13*AX98,2))&lt;1,ROUND(AX98*(1+'Calc base'!L99),2),MAX('Calc base'!G$12,ROUND('Calc base'!G$13*AX98,2))))</f>
        <v>0</v>
      </c>
      <c r="O99">
        <f>IF(AY98&lt;=0,0,IF(ROUND(AY98*(1+'Calc base'!M99),2)-MAX('Calc base'!H$12,ROUND('Calc base'!H$13*AY98,2))&lt;1,ROUND(AY98*(1+'Calc base'!M99),2),MAX('Calc base'!H$12,ROUND('Calc base'!H$13*AY98,2))))</f>
        <v>0</v>
      </c>
      <c r="P99">
        <f>IF(AZ98&lt;=0,0,IF(ROUND(AZ98*(1+'Calc base'!N99),2)-MAX('Calc base'!I$12,ROUND('Calc base'!I$13*AZ98,2))&lt;1,ROUND(AZ98*(1+'Calc base'!N99),2),MAX('Calc base'!I$12,ROUND('Calc base'!I$13*AZ98,2))))</f>
        <v>0</v>
      </c>
      <c r="Q99">
        <f>IF(BA98&lt;=0,0,IF(ROUND(BA98*(1+'Calc base'!O99),2)-MAX('Calc base'!J$12,ROUND('Calc base'!J$13*BA98,2))&lt;1,ROUND(BA98*(1+'Calc base'!O99),2),MAX('Calc base'!J$12,ROUND('Calc base'!J$13*BA98,2))))</f>
        <v>0</v>
      </c>
      <c r="R99">
        <f>IF(BB98&lt;=0,0,IF(ROUND(BB98*(1+'Calc base'!P99),2)-MAX('Calc base'!K$12,ROUND('Calc base'!K$13*BB98,2))&lt;1,ROUND(BB98*(1+'Calc base'!P99),2),MAX('Calc base'!K$12,ROUND('Calc base'!K$13*BB98,2))))</f>
        <v>0</v>
      </c>
      <c r="S99">
        <f>IF(BC98&lt;=0,0,IF(ROUND(BC98*(1+'Calc base'!Q99),2)-MAX('Calc base'!L$12,ROUND('Calc base'!L$13*BC98,2))&lt;1,ROUND(BC98*(1+'Calc base'!Q99),2),MAX('Calc base'!L$12,ROUND('Calc base'!L$13*BC98,2))))</f>
        <v>0</v>
      </c>
      <c r="T99">
        <f>IF(BD98&lt;=0,0,IF(ROUND(BD98*(1+'Calc base'!R99),2)-MAX('Calc base'!M$12,ROUND('Calc base'!M$13*BD98,2))&lt;1,ROUND(BD98*(1+'Calc base'!R99),2),MAX('Calc base'!M$12,ROUND('Calc base'!M$13*BD98,2))))</f>
        <v>0</v>
      </c>
      <c r="U99">
        <f>IF(BE98&lt;=0,0,IF(ROUND(BE98*(1+'Calc base'!S99),2)-MAX('Calc base'!N$12,ROUND('Calc base'!N$13*BE98,2))&lt;1,ROUND(BE98*(1+'Calc base'!S99),2),MAX('Calc base'!N$12,ROUND('Calc base'!N$13*BE98,2))))</f>
        <v>0</v>
      </c>
      <c r="V99">
        <f>MAX(0,ROUND(AT98*(1+'Calc base'!H99),2)-J99-'Calc base'!T99)</f>
        <v>0</v>
      </c>
      <c r="W99">
        <f>MAX(0,ROUND(AU98*(1+'Calc base'!I99),2)-K99-'Calc base'!U99)</f>
        <v>0</v>
      </c>
      <c r="X99">
        <f>MAX(0,ROUND(AV98*(1+'Calc base'!J99),2)-L99-'Calc base'!V99)</f>
        <v>0</v>
      </c>
      <c r="Y99">
        <f>MAX(0,ROUND(AW98*(1+'Calc base'!K99),2)-M99-'Calc base'!W99)</f>
        <v>0</v>
      </c>
      <c r="Z99">
        <f>MAX(0,ROUND(AX98*(1+'Calc base'!L99),2)-N99-'Calc base'!X99)</f>
        <v>0</v>
      </c>
      <c r="AA99">
        <f>MAX(0,ROUND(AY98*(1+'Calc base'!M99),2)-O99-'Calc base'!Y99)</f>
        <v>0</v>
      </c>
      <c r="AB99">
        <f>MAX(0,ROUND(AZ98*(1+'Calc base'!N99),2)-P99-'Calc base'!Z99)</f>
        <v>0</v>
      </c>
      <c r="AC99">
        <f>MAX(0,ROUND(BA98*(1+'Calc base'!O99),2)-Q99-'Calc base'!AA99)</f>
        <v>0</v>
      </c>
      <c r="AD99">
        <f>MAX(0,ROUND(BB98*(1+'Calc base'!P99),2)-R99-'Calc base'!AB99)</f>
        <v>0</v>
      </c>
      <c r="AE99">
        <f>MAX(0,ROUND(BC98*(1+'Calc base'!Q99),2)-S99-'Calc base'!AC99)</f>
        <v>0</v>
      </c>
      <c r="AF99">
        <f>MAX(0,ROUND(BD98*(1+'Calc base'!R99),2)-T99-'Calc base'!AD99)</f>
        <v>0</v>
      </c>
      <c r="AG99">
        <f>MAX(0,ROUND(BE98*(1+'Calc base'!S99),2)-U99-'Calc base'!AE99)</f>
        <v>0</v>
      </c>
      <c r="AH99">
        <f>IF('Calc base'!C$14=0,0,MIN(V99,MAX(0,$E99-SUMPRODUCT($V99:$AG99,'Calc base'!$C$14:$N$14,('Calc base'!$H99:$S99&gt;'Calc base'!H99)+('Calc base'!$H99:$S99='Calc base'!H99)*('Calc base'!$C$17:$N$17&lt;'Calc base'!C$17)))))</f>
        <v>0</v>
      </c>
      <c r="AI99">
        <f>IF('Calc base'!D$14=0,0,MIN(W99,MAX(0,$E99-SUMPRODUCT($V99:$AG99,'Calc base'!$C$14:$N$14,('Calc base'!$H99:$S99&gt;'Calc base'!I99)+('Calc base'!$H99:$S99='Calc base'!I99)*('Calc base'!$C$17:$N$17&lt;'Calc base'!D$17)))))</f>
        <v>0</v>
      </c>
      <c r="AJ99">
        <f>IF('Calc base'!E$14=0,0,MIN(X99,MAX(0,$E99-SUMPRODUCT($V99:$AG99,'Calc base'!$C$14:$N$14,('Calc base'!$H99:$S99&gt;'Calc base'!J99)+('Calc base'!$H99:$S99='Calc base'!J99)*('Calc base'!$C$17:$N$17&lt;'Calc base'!E$17)))))</f>
        <v>0</v>
      </c>
      <c r="AK99">
        <f>IF('Calc base'!F$14=0,0,MIN(Y99,MAX(0,$E99-SUMPRODUCT($V99:$AG99,'Calc base'!$C$14:$N$14,('Calc base'!$H99:$S99&gt;'Calc base'!K99)+('Calc base'!$H99:$S99='Calc base'!K99)*('Calc base'!$C$17:$N$17&lt;'Calc base'!F$17)))))</f>
        <v>0</v>
      </c>
      <c r="AL99">
        <f>IF('Calc base'!G$14=0,0,MIN(Z99,MAX(0,$E99-SUMPRODUCT($V99:$AG99,'Calc base'!$C$14:$N$14,('Calc base'!$H99:$S99&gt;'Calc base'!L99)+('Calc base'!$H99:$S99='Calc base'!L99)*('Calc base'!$C$17:$N$17&lt;'Calc base'!G$17)))))</f>
        <v>0</v>
      </c>
      <c r="AM99">
        <f>IF('Calc base'!H$14=0,0,MIN(AA99,MAX(0,$E99-SUMPRODUCT($V99:$AG99,'Calc base'!$C$14:$N$14,('Calc base'!$H99:$S99&gt;'Calc base'!M99)+('Calc base'!$H99:$S99='Calc base'!M99)*('Calc base'!$C$17:$N$17&lt;'Calc base'!H$17)))))</f>
        <v>0</v>
      </c>
      <c r="AN99">
        <f>IF('Calc base'!I$14=0,0,MIN(AB99,MAX(0,$E99-SUMPRODUCT($V99:$AG99,'Calc base'!$C$14:$N$14,('Calc base'!$H99:$S99&gt;'Calc base'!N99)+('Calc base'!$H99:$S99='Calc base'!N99)*('Calc base'!$C$17:$N$17&lt;'Calc base'!I$17)))))</f>
        <v>0</v>
      </c>
      <c r="AO99">
        <f>IF('Calc base'!J$14=0,0,MIN(AC99,MAX(0,$E99-SUMPRODUCT($V99:$AG99,'Calc base'!$C$14:$N$14,('Calc base'!$H99:$S99&gt;'Calc base'!O99)+('Calc base'!$H99:$S99='Calc base'!O99)*('Calc base'!$C$17:$N$17&lt;'Calc base'!J$17)))))</f>
        <v>0</v>
      </c>
      <c r="AP99">
        <f>IF('Calc base'!K$14=0,0,MIN(AD99,MAX(0,$E99-SUMPRODUCT($V99:$AG99,'Calc base'!$C$14:$N$14,('Calc base'!$H99:$S99&gt;'Calc base'!P99)+('Calc base'!$H99:$S99='Calc base'!P99)*('Calc base'!$C$17:$N$17&lt;'Calc base'!K$17)))))</f>
        <v>0</v>
      </c>
      <c r="AQ99">
        <f>IF('Calc base'!L$14=0,0,MIN(AE99,MAX(0,$E99-SUMPRODUCT($V99:$AG99,'Calc base'!$C$14:$N$14,('Calc base'!$H99:$S99&gt;'Calc base'!Q99)+('Calc base'!$H99:$S99='Calc base'!Q99)*('Calc base'!$C$17:$N$17&lt;'Calc base'!L$17)))))</f>
        <v>0</v>
      </c>
      <c r="AR99">
        <f>IF('Calc base'!M$14=0,0,MIN(AF99,MAX(0,$E99-SUMPRODUCT($V99:$AG99,'Calc base'!$C$14:$N$14,('Calc base'!$H99:$S99&gt;'Calc base'!R99)+('Calc base'!$H99:$S99='Calc base'!R99)*('Calc base'!$C$17:$N$17&lt;'Calc base'!M$17)))))</f>
        <v>0</v>
      </c>
      <c r="AS99">
        <f>IF('Calc base'!N$14=0,0,MIN(AG99,MAX(0,$E99-SUMPRODUCT($V99:$AG99,'Calc base'!$C$14:$N$14,('Calc base'!$H99:$S99&gt;'Calc base'!S99)+('Calc base'!$H99:$S99='Calc base'!S99)*('Calc base'!$C$17:$N$17&lt;'Calc base'!N$17)))))</f>
        <v>0</v>
      </c>
      <c r="AT99">
        <f>V99-AH99</f>
        <v>0</v>
      </c>
      <c r="AU99">
        <f>W99-AI99</f>
        <v>0</v>
      </c>
      <c r="AV99">
        <f>X99-AJ99</f>
        <v>0</v>
      </c>
      <c r="AW99">
        <f>Y99-AK99</f>
        <v>0</v>
      </c>
      <c r="AX99">
        <f>Z99-AL99</f>
        <v>0</v>
      </c>
      <c r="AY99">
        <f>AA99-AM99</f>
        <v>0</v>
      </c>
      <c r="AZ99">
        <f>AB99-AN99</f>
        <v>0</v>
      </c>
      <c r="BA99">
        <f>AC99-AO99</f>
        <v>0</v>
      </c>
      <c r="BB99">
        <f>AD99-AP99</f>
        <v>0</v>
      </c>
      <c r="BC99">
        <f>AE99-AQ99</f>
        <v>0</v>
      </c>
      <c r="BD99">
        <f>AF99-AR99</f>
        <v>0</v>
      </c>
      <c r="BE99">
        <f>AG99-AS99</f>
        <v>0</v>
      </c>
    </row>
    <row r="100">
      <c r="A100" t="n">
        <v>70</v>
      </c>
      <c r="B100">
        <f>SUMPRODUCT(ROUND($AT99:$BE99*(1+'Calc base'!$H100:$S100),2))</f>
        <v>0</v>
      </c>
      <c r="C100">
        <f>SUM(J100:U100)</f>
        <v>0</v>
      </c>
      <c r="D100">
        <f>SUM(V100:AG100)</f>
        <v>0</v>
      </c>
      <c r="E100">
        <f>MAX(0,IF(Impostazioni!$B$7="No",'Calc base'!$C100-$C$31,'Calc base'!$C100-C100)+'Calc base'!$G100+'Calc base'!$F100-(B100-C100-D100))</f>
        <v>900</v>
      </c>
      <c r="F100">
        <f>SUM(AH100:AS100)</f>
        <v>0</v>
      </c>
      <c r="G100">
        <f>SUM(AT100:BE100)</f>
        <v>0</v>
      </c>
      <c r="H100">
        <f>B100-G99</f>
        <v>0</v>
      </c>
      <c r="I100">
        <f>B100-G100</f>
        <v>0</v>
      </c>
      <c r="J100">
        <f>IF(AT99&lt;=0,0,IF(ROUND(AT99*(1+'Calc base'!H100),2)-MAX('Calc base'!C$12,ROUND('Calc base'!C$13*AT99,2))&lt;1,ROUND(AT99*(1+'Calc base'!H100),2),MAX('Calc base'!C$12,ROUND('Calc base'!C$13*AT99,2))))</f>
        <v>0</v>
      </c>
      <c r="K100">
        <f>IF(AU99&lt;=0,0,IF(ROUND(AU99*(1+'Calc base'!I100),2)-MAX('Calc base'!D$12,ROUND('Calc base'!D$13*AU99,2))&lt;1,ROUND(AU99*(1+'Calc base'!I100),2),MAX('Calc base'!D$12,ROUND('Calc base'!D$13*AU99,2))))</f>
        <v>0</v>
      </c>
      <c r="L100">
        <f>IF(AV99&lt;=0,0,IF(ROUND(AV99*(1+'Calc base'!J100),2)-MAX('Calc base'!E$12,ROUND('Calc base'!E$13*AV99,2))&lt;1,ROUND(AV99*(1+'Calc base'!J100),2),MAX('Calc base'!E$12,ROUND('Calc base'!E$13*AV99,2))))</f>
        <v>0</v>
      </c>
      <c r="M100">
        <f>IF(AW99&lt;=0,0,IF(ROUND(AW99*(1+'Calc base'!K100),2)-MAX('Calc base'!F$12,ROUND('Calc base'!F$13*AW99,2))&lt;1,ROUND(AW99*(1+'Calc base'!K100),2),MAX('Calc base'!F$12,ROUND('Calc base'!F$13*AW99,2))))</f>
        <v>0</v>
      </c>
      <c r="N100">
        <f>IF(AX99&lt;=0,0,IF(ROUND(AX99*(1+'Calc base'!L100),2)-MAX('Calc base'!G$12,ROUND('Calc base'!G$13*AX99,2))&lt;1,ROUND(AX99*(1+'Calc base'!L100),2),MAX('Calc base'!G$12,ROUND('Calc base'!G$13*AX99,2))))</f>
        <v>0</v>
      </c>
      <c r="O100">
        <f>IF(AY99&lt;=0,0,IF(ROUND(AY99*(1+'Calc base'!M100),2)-MAX('Calc base'!H$12,ROUND('Calc base'!H$13*AY99,2))&lt;1,ROUND(AY99*(1+'Calc base'!M100),2),MAX('Calc base'!H$12,ROUND('Calc base'!H$13*AY99,2))))</f>
        <v>0</v>
      </c>
      <c r="P100">
        <f>IF(AZ99&lt;=0,0,IF(ROUND(AZ99*(1+'Calc base'!N100),2)-MAX('Calc base'!I$12,ROUND('Calc base'!I$13*AZ99,2))&lt;1,ROUND(AZ99*(1+'Calc base'!N100),2),MAX('Calc base'!I$12,ROUND('Calc base'!I$13*AZ99,2))))</f>
        <v>0</v>
      </c>
      <c r="Q100">
        <f>IF(BA99&lt;=0,0,IF(ROUND(BA99*(1+'Calc base'!O100),2)-MAX('Calc base'!J$12,ROUND('Calc base'!J$13*BA99,2))&lt;1,ROUND(BA99*(1+'Calc base'!O100),2),MAX('Calc base'!J$12,ROUND('Calc base'!J$13*BA99,2))))</f>
        <v>0</v>
      </c>
      <c r="R100">
        <f>IF(BB99&lt;=0,0,IF(ROUND(BB99*(1+'Calc base'!P100),2)-MAX('Calc base'!K$12,ROUND('Calc base'!K$13*BB99,2))&lt;1,ROUND(BB99*(1+'Calc base'!P100),2),MAX('Calc base'!K$12,ROUND('Calc base'!K$13*BB99,2))))</f>
        <v>0</v>
      </c>
      <c r="S100">
        <f>IF(BC99&lt;=0,0,IF(ROUND(BC99*(1+'Calc base'!Q100),2)-MAX('Calc base'!L$12,ROUND('Calc base'!L$13*BC99,2))&lt;1,ROUND(BC99*(1+'Calc base'!Q100),2),MAX('Calc base'!L$12,ROUND('Calc base'!L$13*BC99,2))))</f>
        <v>0</v>
      </c>
      <c r="T100">
        <f>IF(BD99&lt;=0,0,IF(ROUND(BD99*(1+'Calc base'!R100),2)-MAX('Calc base'!M$12,ROUND('Calc base'!M$13*BD99,2))&lt;1,ROUND(BD99*(1+'Calc base'!R100),2),MAX('Calc base'!M$12,ROUND('Calc base'!M$13*BD99,2))))</f>
        <v>0</v>
      </c>
      <c r="U100">
        <f>IF(BE99&lt;=0,0,IF(ROUND(BE99*(1+'Calc base'!S100),2)-MAX('Calc base'!N$12,ROUND('Calc base'!N$13*BE99,2))&lt;1,ROUND(BE99*(1+'Calc base'!S100),2),MAX('Calc base'!N$12,ROUND('Calc base'!N$13*BE99,2))))</f>
        <v>0</v>
      </c>
      <c r="V100">
        <f>MAX(0,ROUND(AT99*(1+'Calc base'!H100),2)-J100-'Calc base'!T100)</f>
        <v>0</v>
      </c>
      <c r="W100">
        <f>MAX(0,ROUND(AU99*(1+'Calc base'!I100),2)-K100-'Calc base'!U100)</f>
        <v>0</v>
      </c>
      <c r="X100">
        <f>MAX(0,ROUND(AV99*(1+'Calc base'!J100),2)-L100-'Calc base'!V100)</f>
        <v>0</v>
      </c>
      <c r="Y100">
        <f>MAX(0,ROUND(AW99*(1+'Calc base'!K100),2)-M100-'Calc base'!W100)</f>
        <v>0</v>
      </c>
      <c r="Z100">
        <f>MAX(0,ROUND(AX99*(1+'Calc base'!L100),2)-N100-'Calc base'!X100)</f>
        <v>0</v>
      </c>
      <c r="AA100">
        <f>MAX(0,ROUND(AY99*(1+'Calc base'!M100),2)-O100-'Calc base'!Y100)</f>
        <v>0</v>
      </c>
      <c r="AB100">
        <f>MAX(0,ROUND(AZ99*(1+'Calc base'!N100),2)-P100-'Calc base'!Z100)</f>
        <v>0</v>
      </c>
      <c r="AC100">
        <f>MAX(0,ROUND(BA99*(1+'Calc base'!O100),2)-Q100-'Calc base'!AA100)</f>
        <v>0</v>
      </c>
      <c r="AD100">
        <f>MAX(0,ROUND(BB99*(1+'Calc base'!P100),2)-R100-'Calc base'!AB100)</f>
        <v>0</v>
      </c>
      <c r="AE100">
        <f>MAX(0,ROUND(BC99*(1+'Calc base'!Q100),2)-S100-'Calc base'!AC100)</f>
        <v>0</v>
      </c>
      <c r="AF100">
        <f>MAX(0,ROUND(BD99*(1+'Calc base'!R100),2)-T100-'Calc base'!AD100)</f>
        <v>0</v>
      </c>
      <c r="AG100">
        <f>MAX(0,ROUND(BE99*(1+'Calc base'!S100),2)-U100-'Calc base'!AE100)</f>
        <v>0</v>
      </c>
      <c r="AH100">
        <f>IF('Calc base'!C$14=0,0,MIN(V100,MAX(0,$E100-SUMPRODUCT($V100:$AG100,'Calc base'!$C$14:$N$14,('Calc base'!$H100:$S100&gt;'Calc base'!H100)+('Calc base'!$H100:$S100='Calc base'!H100)*('Calc base'!$C$17:$N$17&lt;'Calc base'!C$17)))))</f>
        <v>0</v>
      </c>
      <c r="AI100">
        <f>IF('Calc base'!D$14=0,0,MIN(W100,MAX(0,$E100-SUMPRODUCT($V100:$AG100,'Calc base'!$C$14:$N$14,('Calc base'!$H100:$S100&gt;'Calc base'!I100)+('Calc base'!$H100:$S100='Calc base'!I100)*('Calc base'!$C$17:$N$17&lt;'Calc base'!D$17)))))</f>
        <v>0</v>
      </c>
      <c r="AJ100">
        <f>IF('Calc base'!E$14=0,0,MIN(X100,MAX(0,$E100-SUMPRODUCT($V100:$AG100,'Calc base'!$C$14:$N$14,('Calc base'!$H100:$S100&gt;'Calc base'!J100)+('Calc base'!$H100:$S100='Calc base'!J100)*('Calc base'!$C$17:$N$17&lt;'Calc base'!E$17)))))</f>
        <v>0</v>
      </c>
      <c r="AK100">
        <f>IF('Calc base'!F$14=0,0,MIN(Y100,MAX(0,$E100-SUMPRODUCT($V100:$AG100,'Calc base'!$C$14:$N$14,('Calc base'!$H100:$S100&gt;'Calc base'!K100)+('Calc base'!$H100:$S100='Calc base'!K100)*('Calc base'!$C$17:$N$17&lt;'Calc base'!F$17)))))</f>
        <v>0</v>
      </c>
      <c r="AL100">
        <f>IF('Calc base'!G$14=0,0,MIN(Z100,MAX(0,$E100-SUMPRODUCT($V100:$AG100,'Calc base'!$C$14:$N$14,('Calc base'!$H100:$S100&gt;'Calc base'!L100)+('Calc base'!$H100:$S100='Calc base'!L100)*('Calc base'!$C$17:$N$17&lt;'Calc base'!G$17)))))</f>
        <v>0</v>
      </c>
      <c r="AM100">
        <f>IF('Calc base'!H$14=0,0,MIN(AA100,MAX(0,$E100-SUMPRODUCT($V100:$AG100,'Calc base'!$C$14:$N$14,('Calc base'!$H100:$S100&gt;'Calc base'!M100)+('Calc base'!$H100:$S100='Calc base'!M100)*('Calc base'!$C$17:$N$17&lt;'Calc base'!H$17)))))</f>
        <v>0</v>
      </c>
      <c r="AN100">
        <f>IF('Calc base'!I$14=0,0,MIN(AB100,MAX(0,$E100-SUMPRODUCT($V100:$AG100,'Calc base'!$C$14:$N$14,('Calc base'!$H100:$S100&gt;'Calc base'!N100)+('Calc base'!$H100:$S100='Calc base'!N100)*('Calc base'!$C$17:$N$17&lt;'Calc base'!I$17)))))</f>
        <v>0</v>
      </c>
      <c r="AO100">
        <f>IF('Calc base'!J$14=0,0,MIN(AC100,MAX(0,$E100-SUMPRODUCT($V100:$AG100,'Calc base'!$C$14:$N$14,('Calc base'!$H100:$S100&gt;'Calc base'!O100)+('Calc base'!$H100:$S100='Calc base'!O100)*('Calc base'!$C$17:$N$17&lt;'Calc base'!J$17)))))</f>
        <v>0</v>
      </c>
      <c r="AP100">
        <f>IF('Calc base'!K$14=0,0,MIN(AD100,MAX(0,$E100-SUMPRODUCT($V100:$AG100,'Calc base'!$C$14:$N$14,('Calc base'!$H100:$S100&gt;'Calc base'!P100)+('Calc base'!$H100:$S100='Calc base'!P100)*('Calc base'!$C$17:$N$17&lt;'Calc base'!K$17)))))</f>
        <v>0</v>
      </c>
      <c r="AQ100">
        <f>IF('Calc base'!L$14=0,0,MIN(AE100,MAX(0,$E100-SUMPRODUCT($V100:$AG100,'Calc base'!$C$14:$N$14,('Calc base'!$H100:$S100&gt;'Calc base'!Q100)+('Calc base'!$H100:$S100='Calc base'!Q100)*('Calc base'!$C$17:$N$17&lt;'Calc base'!L$17)))))</f>
        <v>0</v>
      </c>
      <c r="AR100">
        <f>IF('Calc base'!M$14=0,0,MIN(AF100,MAX(0,$E100-SUMPRODUCT($V100:$AG100,'Calc base'!$C$14:$N$14,('Calc base'!$H100:$S100&gt;'Calc base'!R100)+('Calc base'!$H100:$S100='Calc base'!R100)*('Calc base'!$C$17:$N$17&lt;'Calc base'!M$17)))))</f>
        <v>0</v>
      </c>
      <c r="AS100">
        <f>IF('Calc base'!N$14=0,0,MIN(AG100,MAX(0,$E100-SUMPRODUCT($V100:$AG100,'Calc base'!$C$14:$N$14,('Calc base'!$H100:$S100&gt;'Calc base'!S100)+('Calc base'!$H100:$S100='Calc base'!S100)*('Calc base'!$C$17:$N$17&lt;'Calc base'!N$17)))))</f>
        <v>0</v>
      </c>
      <c r="AT100">
        <f>V100-AH100</f>
        <v>0</v>
      </c>
      <c r="AU100">
        <f>W100-AI100</f>
        <v>0</v>
      </c>
      <c r="AV100">
        <f>X100-AJ100</f>
        <v>0</v>
      </c>
      <c r="AW100">
        <f>Y100-AK100</f>
        <v>0</v>
      </c>
      <c r="AX100">
        <f>Z100-AL100</f>
        <v>0</v>
      </c>
      <c r="AY100">
        <f>AA100-AM100</f>
        <v>0</v>
      </c>
      <c r="AZ100">
        <f>AB100-AN100</f>
        <v>0</v>
      </c>
      <c r="BA100">
        <f>AC100-AO100</f>
        <v>0</v>
      </c>
      <c r="BB100">
        <f>AD100-AP100</f>
        <v>0</v>
      </c>
      <c r="BC100">
        <f>AE100-AQ100</f>
        <v>0</v>
      </c>
      <c r="BD100">
        <f>AF100-AR100</f>
        <v>0</v>
      </c>
      <c r="BE100">
        <f>AG100-AS100</f>
        <v>0</v>
      </c>
    </row>
    <row r="101">
      <c r="A101" t="n">
        <v>71</v>
      </c>
      <c r="B101">
        <f>SUMPRODUCT(ROUND($AT100:$BE100*(1+'Calc base'!$H101:$S101),2))</f>
        <v>0</v>
      </c>
      <c r="C101">
        <f>SUM(J101:U101)</f>
        <v>0</v>
      </c>
      <c r="D101">
        <f>SUM(V101:AG101)</f>
        <v>0</v>
      </c>
      <c r="E101">
        <f>MAX(0,IF(Impostazioni!$B$7="No",'Calc base'!$C101-$C$31,'Calc base'!$C101-C101)+'Calc base'!$G101+'Calc base'!$F101-(B101-C101-D101))</f>
        <v>900</v>
      </c>
      <c r="F101">
        <f>SUM(AH101:AS101)</f>
        <v>0</v>
      </c>
      <c r="G101">
        <f>SUM(AT101:BE101)</f>
        <v>0</v>
      </c>
      <c r="H101">
        <f>B101-G100</f>
        <v>0</v>
      </c>
      <c r="I101">
        <f>B101-G101</f>
        <v>0</v>
      </c>
      <c r="J101">
        <f>IF(AT100&lt;=0,0,IF(ROUND(AT100*(1+'Calc base'!H101),2)-MAX('Calc base'!C$12,ROUND('Calc base'!C$13*AT100,2))&lt;1,ROUND(AT100*(1+'Calc base'!H101),2),MAX('Calc base'!C$12,ROUND('Calc base'!C$13*AT100,2))))</f>
        <v>0</v>
      </c>
      <c r="K101">
        <f>IF(AU100&lt;=0,0,IF(ROUND(AU100*(1+'Calc base'!I101),2)-MAX('Calc base'!D$12,ROUND('Calc base'!D$13*AU100,2))&lt;1,ROUND(AU100*(1+'Calc base'!I101),2),MAX('Calc base'!D$12,ROUND('Calc base'!D$13*AU100,2))))</f>
        <v>0</v>
      </c>
      <c r="L101">
        <f>IF(AV100&lt;=0,0,IF(ROUND(AV100*(1+'Calc base'!J101),2)-MAX('Calc base'!E$12,ROUND('Calc base'!E$13*AV100,2))&lt;1,ROUND(AV100*(1+'Calc base'!J101),2),MAX('Calc base'!E$12,ROUND('Calc base'!E$13*AV100,2))))</f>
        <v>0</v>
      </c>
      <c r="M101">
        <f>IF(AW100&lt;=0,0,IF(ROUND(AW100*(1+'Calc base'!K101),2)-MAX('Calc base'!F$12,ROUND('Calc base'!F$13*AW100,2))&lt;1,ROUND(AW100*(1+'Calc base'!K101),2),MAX('Calc base'!F$12,ROUND('Calc base'!F$13*AW100,2))))</f>
        <v>0</v>
      </c>
      <c r="N101">
        <f>IF(AX100&lt;=0,0,IF(ROUND(AX100*(1+'Calc base'!L101),2)-MAX('Calc base'!G$12,ROUND('Calc base'!G$13*AX100,2))&lt;1,ROUND(AX100*(1+'Calc base'!L101),2),MAX('Calc base'!G$12,ROUND('Calc base'!G$13*AX100,2))))</f>
        <v>0</v>
      </c>
      <c r="O101">
        <f>IF(AY100&lt;=0,0,IF(ROUND(AY100*(1+'Calc base'!M101),2)-MAX('Calc base'!H$12,ROUND('Calc base'!H$13*AY100,2))&lt;1,ROUND(AY100*(1+'Calc base'!M101),2),MAX('Calc base'!H$12,ROUND('Calc base'!H$13*AY100,2))))</f>
        <v>0</v>
      </c>
      <c r="P101">
        <f>IF(AZ100&lt;=0,0,IF(ROUND(AZ100*(1+'Calc base'!N101),2)-MAX('Calc base'!I$12,ROUND('Calc base'!I$13*AZ100,2))&lt;1,ROUND(AZ100*(1+'Calc base'!N101),2),MAX('Calc base'!I$12,ROUND('Calc base'!I$13*AZ100,2))))</f>
        <v>0</v>
      </c>
      <c r="Q101">
        <f>IF(BA100&lt;=0,0,IF(ROUND(BA100*(1+'Calc base'!O101),2)-MAX('Calc base'!J$12,ROUND('Calc base'!J$13*BA100,2))&lt;1,ROUND(BA100*(1+'Calc base'!O101),2),MAX('Calc base'!J$12,ROUND('Calc base'!J$13*BA100,2))))</f>
        <v>0</v>
      </c>
      <c r="R101">
        <f>IF(BB100&lt;=0,0,IF(ROUND(BB100*(1+'Calc base'!P101),2)-MAX('Calc base'!K$12,ROUND('Calc base'!K$13*BB100,2))&lt;1,ROUND(BB100*(1+'Calc base'!P101),2),MAX('Calc base'!K$12,ROUND('Calc base'!K$13*BB100,2))))</f>
        <v>0</v>
      </c>
      <c r="S101">
        <f>IF(BC100&lt;=0,0,IF(ROUND(BC100*(1+'Calc base'!Q101),2)-MAX('Calc base'!L$12,ROUND('Calc base'!L$13*BC100,2))&lt;1,ROUND(BC100*(1+'Calc base'!Q101),2),MAX('Calc base'!L$12,ROUND('Calc base'!L$13*BC100,2))))</f>
        <v>0</v>
      </c>
      <c r="T101">
        <f>IF(BD100&lt;=0,0,IF(ROUND(BD100*(1+'Calc base'!R101),2)-MAX('Calc base'!M$12,ROUND('Calc base'!M$13*BD100,2))&lt;1,ROUND(BD100*(1+'Calc base'!R101),2),MAX('Calc base'!M$12,ROUND('Calc base'!M$13*BD100,2))))</f>
        <v>0</v>
      </c>
      <c r="U101">
        <f>IF(BE100&lt;=0,0,IF(ROUND(BE100*(1+'Calc base'!S101),2)-MAX('Calc base'!N$12,ROUND('Calc base'!N$13*BE100,2))&lt;1,ROUND(BE100*(1+'Calc base'!S101),2),MAX('Calc base'!N$12,ROUND('Calc base'!N$13*BE100,2))))</f>
        <v>0</v>
      </c>
      <c r="V101">
        <f>MAX(0,ROUND(AT100*(1+'Calc base'!H101),2)-J101-'Calc base'!T101)</f>
        <v>0</v>
      </c>
      <c r="W101">
        <f>MAX(0,ROUND(AU100*(1+'Calc base'!I101),2)-K101-'Calc base'!U101)</f>
        <v>0</v>
      </c>
      <c r="X101">
        <f>MAX(0,ROUND(AV100*(1+'Calc base'!J101),2)-L101-'Calc base'!V101)</f>
        <v>0</v>
      </c>
      <c r="Y101">
        <f>MAX(0,ROUND(AW100*(1+'Calc base'!K101),2)-M101-'Calc base'!W101)</f>
        <v>0</v>
      </c>
      <c r="Z101">
        <f>MAX(0,ROUND(AX100*(1+'Calc base'!L101),2)-N101-'Calc base'!X101)</f>
        <v>0</v>
      </c>
      <c r="AA101">
        <f>MAX(0,ROUND(AY100*(1+'Calc base'!M101),2)-O101-'Calc base'!Y101)</f>
        <v>0</v>
      </c>
      <c r="AB101">
        <f>MAX(0,ROUND(AZ100*(1+'Calc base'!N101),2)-P101-'Calc base'!Z101)</f>
        <v>0</v>
      </c>
      <c r="AC101">
        <f>MAX(0,ROUND(BA100*(1+'Calc base'!O101),2)-Q101-'Calc base'!AA101)</f>
        <v>0</v>
      </c>
      <c r="AD101">
        <f>MAX(0,ROUND(BB100*(1+'Calc base'!P101),2)-R101-'Calc base'!AB101)</f>
        <v>0</v>
      </c>
      <c r="AE101">
        <f>MAX(0,ROUND(BC100*(1+'Calc base'!Q101),2)-S101-'Calc base'!AC101)</f>
        <v>0</v>
      </c>
      <c r="AF101">
        <f>MAX(0,ROUND(BD100*(1+'Calc base'!R101),2)-T101-'Calc base'!AD101)</f>
        <v>0</v>
      </c>
      <c r="AG101">
        <f>MAX(0,ROUND(BE100*(1+'Calc base'!S101),2)-U101-'Calc base'!AE101)</f>
        <v>0</v>
      </c>
      <c r="AH101">
        <f>IF('Calc base'!C$14=0,0,MIN(V101,MAX(0,$E101-SUMPRODUCT($V101:$AG101,'Calc base'!$C$14:$N$14,('Calc base'!$H101:$S101&gt;'Calc base'!H101)+('Calc base'!$H101:$S101='Calc base'!H101)*('Calc base'!$C$17:$N$17&lt;'Calc base'!C$17)))))</f>
        <v>0</v>
      </c>
      <c r="AI101">
        <f>IF('Calc base'!D$14=0,0,MIN(W101,MAX(0,$E101-SUMPRODUCT($V101:$AG101,'Calc base'!$C$14:$N$14,('Calc base'!$H101:$S101&gt;'Calc base'!I101)+('Calc base'!$H101:$S101='Calc base'!I101)*('Calc base'!$C$17:$N$17&lt;'Calc base'!D$17)))))</f>
        <v>0</v>
      </c>
      <c r="AJ101">
        <f>IF('Calc base'!E$14=0,0,MIN(X101,MAX(0,$E101-SUMPRODUCT($V101:$AG101,'Calc base'!$C$14:$N$14,('Calc base'!$H101:$S101&gt;'Calc base'!J101)+('Calc base'!$H101:$S101='Calc base'!J101)*('Calc base'!$C$17:$N$17&lt;'Calc base'!E$17)))))</f>
        <v>0</v>
      </c>
      <c r="AK101">
        <f>IF('Calc base'!F$14=0,0,MIN(Y101,MAX(0,$E101-SUMPRODUCT($V101:$AG101,'Calc base'!$C$14:$N$14,('Calc base'!$H101:$S101&gt;'Calc base'!K101)+('Calc base'!$H101:$S101='Calc base'!K101)*('Calc base'!$C$17:$N$17&lt;'Calc base'!F$17)))))</f>
        <v>0</v>
      </c>
      <c r="AL101">
        <f>IF('Calc base'!G$14=0,0,MIN(Z101,MAX(0,$E101-SUMPRODUCT($V101:$AG101,'Calc base'!$C$14:$N$14,('Calc base'!$H101:$S101&gt;'Calc base'!L101)+('Calc base'!$H101:$S101='Calc base'!L101)*('Calc base'!$C$17:$N$17&lt;'Calc base'!G$17)))))</f>
        <v>0</v>
      </c>
      <c r="AM101">
        <f>IF('Calc base'!H$14=0,0,MIN(AA101,MAX(0,$E101-SUMPRODUCT($V101:$AG101,'Calc base'!$C$14:$N$14,('Calc base'!$H101:$S101&gt;'Calc base'!M101)+('Calc base'!$H101:$S101='Calc base'!M101)*('Calc base'!$C$17:$N$17&lt;'Calc base'!H$17)))))</f>
        <v>0</v>
      </c>
      <c r="AN101">
        <f>IF('Calc base'!I$14=0,0,MIN(AB101,MAX(0,$E101-SUMPRODUCT($V101:$AG101,'Calc base'!$C$14:$N$14,('Calc base'!$H101:$S101&gt;'Calc base'!N101)+('Calc base'!$H101:$S101='Calc base'!N101)*('Calc base'!$C$17:$N$17&lt;'Calc base'!I$17)))))</f>
        <v>0</v>
      </c>
      <c r="AO101">
        <f>IF('Calc base'!J$14=0,0,MIN(AC101,MAX(0,$E101-SUMPRODUCT($V101:$AG101,'Calc base'!$C$14:$N$14,('Calc base'!$H101:$S101&gt;'Calc base'!O101)+('Calc base'!$H101:$S101='Calc base'!O101)*('Calc base'!$C$17:$N$17&lt;'Calc base'!J$17)))))</f>
        <v>0</v>
      </c>
      <c r="AP101">
        <f>IF('Calc base'!K$14=0,0,MIN(AD101,MAX(0,$E101-SUMPRODUCT($V101:$AG101,'Calc base'!$C$14:$N$14,('Calc base'!$H101:$S101&gt;'Calc base'!P101)+('Calc base'!$H101:$S101='Calc base'!P101)*('Calc base'!$C$17:$N$17&lt;'Calc base'!K$17)))))</f>
        <v>0</v>
      </c>
      <c r="AQ101">
        <f>IF('Calc base'!L$14=0,0,MIN(AE101,MAX(0,$E101-SUMPRODUCT($V101:$AG101,'Calc base'!$C$14:$N$14,('Calc base'!$H101:$S101&gt;'Calc base'!Q101)+('Calc base'!$H101:$S101='Calc base'!Q101)*('Calc base'!$C$17:$N$17&lt;'Calc base'!L$17)))))</f>
        <v>0</v>
      </c>
      <c r="AR101">
        <f>IF('Calc base'!M$14=0,0,MIN(AF101,MAX(0,$E101-SUMPRODUCT($V101:$AG101,'Calc base'!$C$14:$N$14,('Calc base'!$H101:$S101&gt;'Calc base'!R101)+('Calc base'!$H101:$S101='Calc base'!R101)*('Calc base'!$C$17:$N$17&lt;'Calc base'!M$17)))))</f>
        <v>0</v>
      </c>
      <c r="AS101">
        <f>IF('Calc base'!N$14=0,0,MIN(AG101,MAX(0,$E101-SUMPRODUCT($V101:$AG101,'Calc base'!$C$14:$N$14,('Calc base'!$H101:$S101&gt;'Calc base'!S101)+('Calc base'!$H101:$S101='Calc base'!S101)*('Calc base'!$C$17:$N$17&lt;'Calc base'!N$17)))))</f>
        <v>0</v>
      </c>
      <c r="AT101">
        <f>V101-AH101</f>
        <v>0</v>
      </c>
      <c r="AU101">
        <f>W101-AI101</f>
        <v>0</v>
      </c>
      <c r="AV101">
        <f>X101-AJ101</f>
        <v>0</v>
      </c>
      <c r="AW101">
        <f>Y101-AK101</f>
        <v>0</v>
      </c>
      <c r="AX101">
        <f>Z101-AL101</f>
        <v>0</v>
      </c>
      <c r="AY101">
        <f>AA101-AM101</f>
        <v>0</v>
      </c>
      <c r="AZ101">
        <f>AB101-AN101</f>
        <v>0</v>
      </c>
      <c r="BA101">
        <f>AC101-AO101</f>
        <v>0</v>
      </c>
      <c r="BB101">
        <f>AD101-AP101</f>
        <v>0</v>
      </c>
      <c r="BC101">
        <f>AE101-AQ101</f>
        <v>0</v>
      </c>
      <c r="BD101">
        <f>AF101-AR101</f>
        <v>0</v>
      </c>
      <c r="BE101">
        <f>AG101-AS101</f>
        <v>0</v>
      </c>
    </row>
    <row r="102">
      <c r="A102" t="n">
        <v>72</v>
      </c>
      <c r="B102">
        <f>SUMPRODUCT(ROUND($AT101:$BE101*(1+'Calc base'!$H102:$S102),2))</f>
        <v>0</v>
      </c>
      <c r="C102">
        <f>SUM(J102:U102)</f>
        <v>0</v>
      </c>
      <c r="D102">
        <f>SUM(V102:AG102)</f>
        <v>0</v>
      </c>
      <c r="E102">
        <f>MAX(0,IF(Impostazioni!$B$7="No",'Calc base'!$C102-$C$31,'Calc base'!$C102-C102)+'Calc base'!$G102+'Calc base'!$F102-(B102-C102-D102))</f>
        <v>900</v>
      </c>
      <c r="F102">
        <f>SUM(AH102:AS102)</f>
        <v>0</v>
      </c>
      <c r="G102">
        <f>SUM(AT102:BE102)</f>
        <v>0</v>
      </c>
      <c r="H102">
        <f>B102-G101</f>
        <v>0</v>
      </c>
      <c r="I102">
        <f>B102-G102</f>
        <v>0</v>
      </c>
      <c r="J102">
        <f>IF(AT101&lt;=0,0,IF(ROUND(AT101*(1+'Calc base'!H102),2)-MAX('Calc base'!C$12,ROUND('Calc base'!C$13*AT101,2))&lt;1,ROUND(AT101*(1+'Calc base'!H102),2),MAX('Calc base'!C$12,ROUND('Calc base'!C$13*AT101,2))))</f>
        <v>0</v>
      </c>
      <c r="K102">
        <f>IF(AU101&lt;=0,0,IF(ROUND(AU101*(1+'Calc base'!I102),2)-MAX('Calc base'!D$12,ROUND('Calc base'!D$13*AU101,2))&lt;1,ROUND(AU101*(1+'Calc base'!I102),2),MAX('Calc base'!D$12,ROUND('Calc base'!D$13*AU101,2))))</f>
        <v>0</v>
      </c>
      <c r="L102">
        <f>IF(AV101&lt;=0,0,IF(ROUND(AV101*(1+'Calc base'!J102),2)-MAX('Calc base'!E$12,ROUND('Calc base'!E$13*AV101,2))&lt;1,ROUND(AV101*(1+'Calc base'!J102),2),MAX('Calc base'!E$12,ROUND('Calc base'!E$13*AV101,2))))</f>
        <v>0</v>
      </c>
      <c r="M102">
        <f>IF(AW101&lt;=0,0,IF(ROUND(AW101*(1+'Calc base'!K102),2)-MAX('Calc base'!F$12,ROUND('Calc base'!F$13*AW101,2))&lt;1,ROUND(AW101*(1+'Calc base'!K102),2),MAX('Calc base'!F$12,ROUND('Calc base'!F$13*AW101,2))))</f>
        <v>0</v>
      </c>
      <c r="N102">
        <f>IF(AX101&lt;=0,0,IF(ROUND(AX101*(1+'Calc base'!L102),2)-MAX('Calc base'!G$12,ROUND('Calc base'!G$13*AX101,2))&lt;1,ROUND(AX101*(1+'Calc base'!L102),2),MAX('Calc base'!G$12,ROUND('Calc base'!G$13*AX101,2))))</f>
        <v>0</v>
      </c>
      <c r="O102">
        <f>IF(AY101&lt;=0,0,IF(ROUND(AY101*(1+'Calc base'!M102),2)-MAX('Calc base'!H$12,ROUND('Calc base'!H$13*AY101,2))&lt;1,ROUND(AY101*(1+'Calc base'!M102),2),MAX('Calc base'!H$12,ROUND('Calc base'!H$13*AY101,2))))</f>
        <v>0</v>
      </c>
      <c r="P102">
        <f>IF(AZ101&lt;=0,0,IF(ROUND(AZ101*(1+'Calc base'!N102),2)-MAX('Calc base'!I$12,ROUND('Calc base'!I$13*AZ101,2))&lt;1,ROUND(AZ101*(1+'Calc base'!N102),2),MAX('Calc base'!I$12,ROUND('Calc base'!I$13*AZ101,2))))</f>
        <v>0</v>
      </c>
      <c r="Q102">
        <f>IF(BA101&lt;=0,0,IF(ROUND(BA101*(1+'Calc base'!O102),2)-MAX('Calc base'!J$12,ROUND('Calc base'!J$13*BA101,2))&lt;1,ROUND(BA101*(1+'Calc base'!O102),2),MAX('Calc base'!J$12,ROUND('Calc base'!J$13*BA101,2))))</f>
        <v>0</v>
      </c>
      <c r="R102">
        <f>IF(BB101&lt;=0,0,IF(ROUND(BB101*(1+'Calc base'!P102),2)-MAX('Calc base'!K$12,ROUND('Calc base'!K$13*BB101,2))&lt;1,ROUND(BB101*(1+'Calc base'!P102),2),MAX('Calc base'!K$12,ROUND('Calc base'!K$13*BB101,2))))</f>
        <v>0</v>
      </c>
      <c r="S102">
        <f>IF(BC101&lt;=0,0,IF(ROUND(BC101*(1+'Calc base'!Q102),2)-MAX('Calc base'!L$12,ROUND('Calc base'!L$13*BC101,2))&lt;1,ROUND(BC101*(1+'Calc base'!Q102),2),MAX('Calc base'!L$12,ROUND('Calc base'!L$13*BC101,2))))</f>
        <v>0</v>
      </c>
      <c r="T102">
        <f>IF(BD101&lt;=0,0,IF(ROUND(BD101*(1+'Calc base'!R102),2)-MAX('Calc base'!M$12,ROUND('Calc base'!M$13*BD101,2))&lt;1,ROUND(BD101*(1+'Calc base'!R102),2),MAX('Calc base'!M$12,ROUND('Calc base'!M$13*BD101,2))))</f>
        <v>0</v>
      </c>
      <c r="U102">
        <f>IF(BE101&lt;=0,0,IF(ROUND(BE101*(1+'Calc base'!S102),2)-MAX('Calc base'!N$12,ROUND('Calc base'!N$13*BE101,2))&lt;1,ROUND(BE101*(1+'Calc base'!S102),2),MAX('Calc base'!N$12,ROUND('Calc base'!N$13*BE101,2))))</f>
        <v>0</v>
      </c>
      <c r="V102">
        <f>MAX(0,ROUND(AT101*(1+'Calc base'!H102),2)-J102-'Calc base'!T102)</f>
        <v>0</v>
      </c>
      <c r="W102">
        <f>MAX(0,ROUND(AU101*(1+'Calc base'!I102),2)-K102-'Calc base'!U102)</f>
        <v>0</v>
      </c>
      <c r="X102">
        <f>MAX(0,ROUND(AV101*(1+'Calc base'!J102),2)-L102-'Calc base'!V102)</f>
        <v>0</v>
      </c>
      <c r="Y102">
        <f>MAX(0,ROUND(AW101*(1+'Calc base'!K102),2)-M102-'Calc base'!W102)</f>
        <v>0</v>
      </c>
      <c r="Z102">
        <f>MAX(0,ROUND(AX101*(1+'Calc base'!L102),2)-N102-'Calc base'!X102)</f>
        <v>0</v>
      </c>
      <c r="AA102">
        <f>MAX(0,ROUND(AY101*(1+'Calc base'!M102),2)-O102-'Calc base'!Y102)</f>
        <v>0</v>
      </c>
      <c r="AB102">
        <f>MAX(0,ROUND(AZ101*(1+'Calc base'!N102),2)-P102-'Calc base'!Z102)</f>
        <v>0</v>
      </c>
      <c r="AC102">
        <f>MAX(0,ROUND(BA101*(1+'Calc base'!O102),2)-Q102-'Calc base'!AA102)</f>
        <v>0</v>
      </c>
      <c r="AD102">
        <f>MAX(0,ROUND(BB101*(1+'Calc base'!P102),2)-R102-'Calc base'!AB102)</f>
        <v>0</v>
      </c>
      <c r="AE102">
        <f>MAX(0,ROUND(BC101*(1+'Calc base'!Q102),2)-S102-'Calc base'!AC102)</f>
        <v>0</v>
      </c>
      <c r="AF102">
        <f>MAX(0,ROUND(BD101*(1+'Calc base'!R102),2)-T102-'Calc base'!AD102)</f>
        <v>0</v>
      </c>
      <c r="AG102">
        <f>MAX(0,ROUND(BE101*(1+'Calc base'!S102),2)-U102-'Calc base'!AE102)</f>
        <v>0</v>
      </c>
      <c r="AH102">
        <f>IF('Calc base'!C$14=0,0,MIN(V102,MAX(0,$E102-SUMPRODUCT($V102:$AG102,'Calc base'!$C$14:$N$14,('Calc base'!$H102:$S102&gt;'Calc base'!H102)+('Calc base'!$H102:$S102='Calc base'!H102)*('Calc base'!$C$17:$N$17&lt;'Calc base'!C$17)))))</f>
        <v>0</v>
      </c>
      <c r="AI102">
        <f>IF('Calc base'!D$14=0,0,MIN(W102,MAX(0,$E102-SUMPRODUCT($V102:$AG102,'Calc base'!$C$14:$N$14,('Calc base'!$H102:$S102&gt;'Calc base'!I102)+('Calc base'!$H102:$S102='Calc base'!I102)*('Calc base'!$C$17:$N$17&lt;'Calc base'!D$17)))))</f>
        <v>0</v>
      </c>
      <c r="AJ102">
        <f>IF('Calc base'!E$14=0,0,MIN(X102,MAX(0,$E102-SUMPRODUCT($V102:$AG102,'Calc base'!$C$14:$N$14,('Calc base'!$H102:$S102&gt;'Calc base'!J102)+('Calc base'!$H102:$S102='Calc base'!J102)*('Calc base'!$C$17:$N$17&lt;'Calc base'!E$17)))))</f>
        <v>0</v>
      </c>
      <c r="AK102">
        <f>IF('Calc base'!F$14=0,0,MIN(Y102,MAX(0,$E102-SUMPRODUCT($V102:$AG102,'Calc base'!$C$14:$N$14,('Calc base'!$H102:$S102&gt;'Calc base'!K102)+('Calc base'!$H102:$S102='Calc base'!K102)*('Calc base'!$C$17:$N$17&lt;'Calc base'!F$17)))))</f>
        <v>0</v>
      </c>
      <c r="AL102">
        <f>IF('Calc base'!G$14=0,0,MIN(Z102,MAX(0,$E102-SUMPRODUCT($V102:$AG102,'Calc base'!$C$14:$N$14,('Calc base'!$H102:$S102&gt;'Calc base'!L102)+('Calc base'!$H102:$S102='Calc base'!L102)*('Calc base'!$C$17:$N$17&lt;'Calc base'!G$17)))))</f>
        <v>0</v>
      </c>
      <c r="AM102">
        <f>IF('Calc base'!H$14=0,0,MIN(AA102,MAX(0,$E102-SUMPRODUCT($V102:$AG102,'Calc base'!$C$14:$N$14,('Calc base'!$H102:$S102&gt;'Calc base'!M102)+('Calc base'!$H102:$S102='Calc base'!M102)*('Calc base'!$C$17:$N$17&lt;'Calc base'!H$17)))))</f>
        <v>0</v>
      </c>
      <c r="AN102">
        <f>IF('Calc base'!I$14=0,0,MIN(AB102,MAX(0,$E102-SUMPRODUCT($V102:$AG102,'Calc base'!$C$14:$N$14,('Calc base'!$H102:$S102&gt;'Calc base'!N102)+('Calc base'!$H102:$S102='Calc base'!N102)*('Calc base'!$C$17:$N$17&lt;'Calc base'!I$17)))))</f>
        <v>0</v>
      </c>
      <c r="AO102">
        <f>IF('Calc base'!J$14=0,0,MIN(AC102,MAX(0,$E102-SUMPRODUCT($V102:$AG102,'Calc base'!$C$14:$N$14,('Calc base'!$H102:$S102&gt;'Calc base'!O102)+('Calc base'!$H102:$S102='Calc base'!O102)*('Calc base'!$C$17:$N$17&lt;'Calc base'!J$17)))))</f>
        <v>0</v>
      </c>
      <c r="AP102">
        <f>IF('Calc base'!K$14=0,0,MIN(AD102,MAX(0,$E102-SUMPRODUCT($V102:$AG102,'Calc base'!$C$14:$N$14,('Calc base'!$H102:$S102&gt;'Calc base'!P102)+('Calc base'!$H102:$S102='Calc base'!P102)*('Calc base'!$C$17:$N$17&lt;'Calc base'!K$17)))))</f>
        <v>0</v>
      </c>
      <c r="AQ102">
        <f>IF('Calc base'!L$14=0,0,MIN(AE102,MAX(0,$E102-SUMPRODUCT($V102:$AG102,'Calc base'!$C$14:$N$14,('Calc base'!$H102:$S102&gt;'Calc base'!Q102)+('Calc base'!$H102:$S102='Calc base'!Q102)*('Calc base'!$C$17:$N$17&lt;'Calc base'!L$17)))))</f>
        <v>0</v>
      </c>
      <c r="AR102">
        <f>IF('Calc base'!M$14=0,0,MIN(AF102,MAX(0,$E102-SUMPRODUCT($V102:$AG102,'Calc base'!$C$14:$N$14,('Calc base'!$H102:$S102&gt;'Calc base'!R102)+('Calc base'!$H102:$S102='Calc base'!R102)*('Calc base'!$C$17:$N$17&lt;'Calc base'!M$17)))))</f>
        <v>0</v>
      </c>
      <c r="AS102">
        <f>IF('Calc base'!N$14=0,0,MIN(AG102,MAX(0,$E102-SUMPRODUCT($V102:$AG102,'Calc base'!$C$14:$N$14,('Calc base'!$H102:$S102&gt;'Calc base'!S102)+('Calc base'!$H102:$S102='Calc base'!S102)*('Calc base'!$C$17:$N$17&lt;'Calc base'!N$17)))))</f>
        <v>0</v>
      </c>
      <c r="AT102">
        <f>V102-AH102</f>
        <v>0</v>
      </c>
      <c r="AU102">
        <f>W102-AI102</f>
        <v>0</v>
      </c>
      <c r="AV102">
        <f>X102-AJ102</f>
        <v>0</v>
      </c>
      <c r="AW102">
        <f>Y102-AK102</f>
        <v>0</v>
      </c>
      <c r="AX102">
        <f>Z102-AL102</f>
        <v>0</v>
      </c>
      <c r="AY102">
        <f>AA102-AM102</f>
        <v>0</v>
      </c>
      <c r="AZ102">
        <f>AB102-AN102</f>
        <v>0</v>
      </c>
      <c r="BA102">
        <f>AC102-AO102</f>
        <v>0</v>
      </c>
      <c r="BB102">
        <f>AD102-AP102</f>
        <v>0</v>
      </c>
      <c r="BC102">
        <f>AE102-AQ102</f>
        <v>0</v>
      </c>
      <c r="BD102">
        <f>AF102-AR102</f>
        <v>0</v>
      </c>
      <c r="BE102">
        <f>AG102-AS102</f>
        <v>0</v>
      </c>
    </row>
    <row r="103">
      <c r="A103" t="n">
        <v>73</v>
      </c>
      <c r="B103">
        <f>SUMPRODUCT(ROUND($AT102:$BE102*(1+'Calc base'!$H103:$S103),2))</f>
        <v>0</v>
      </c>
      <c r="C103">
        <f>SUM(J103:U103)</f>
        <v>0</v>
      </c>
      <c r="D103">
        <f>SUM(V103:AG103)</f>
        <v>0</v>
      </c>
      <c r="E103">
        <f>MAX(0,IF(Impostazioni!$B$7="No",'Calc base'!$C103-$C$31,'Calc base'!$C103-C103)+'Calc base'!$G103+'Calc base'!$F103-(B103-C103-D103))</f>
        <v>900</v>
      </c>
      <c r="F103">
        <f>SUM(AH103:AS103)</f>
        <v>0</v>
      </c>
      <c r="G103">
        <f>SUM(AT103:BE103)</f>
        <v>0</v>
      </c>
      <c r="H103">
        <f>B103-G102</f>
        <v>0</v>
      </c>
      <c r="I103">
        <f>B103-G103</f>
        <v>0</v>
      </c>
      <c r="J103">
        <f>IF(AT102&lt;=0,0,IF(ROUND(AT102*(1+'Calc base'!H103),2)-MAX('Calc base'!C$12,ROUND('Calc base'!C$13*AT102,2))&lt;1,ROUND(AT102*(1+'Calc base'!H103),2),MAX('Calc base'!C$12,ROUND('Calc base'!C$13*AT102,2))))</f>
        <v>0</v>
      </c>
      <c r="K103">
        <f>IF(AU102&lt;=0,0,IF(ROUND(AU102*(1+'Calc base'!I103),2)-MAX('Calc base'!D$12,ROUND('Calc base'!D$13*AU102,2))&lt;1,ROUND(AU102*(1+'Calc base'!I103),2),MAX('Calc base'!D$12,ROUND('Calc base'!D$13*AU102,2))))</f>
        <v>0</v>
      </c>
      <c r="L103">
        <f>IF(AV102&lt;=0,0,IF(ROUND(AV102*(1+'Calc base'!J103),2)-MAX('Calc base'!E$12,ROUND('Calc base'!E$13*AV102,2))&lt;1,ROUND(AV102*(1+'Calc base'!J103),2),MAX('Calc base'!E$12,ROUND('Calc base'!E$13*AV102,2))))</f>
        <v>0</v>
      </c>
      <c r="M103">
        <f>IF(AW102&lt;=0,0,IF(ROUND(AW102*(1+'Calc base'!K103),2)-MAX('Calc base'!F$12,ROUND('Calc base'!F$13*AW102,2))&lt;1,ROUND(AW102*(1+'Calc base'!K103),2),MAX('Calc base'!F$12,ROUND('Calc base'!F$13*AW102,2))))</f>
        <v>0</v>
      </c>
      <c r="N103">
        <f>IF(AX102&lt;=0,0,IF(ROUND(AX102*(1+'Calc base'!L103),2)-MAX('Calc base'!G$12,ROUND('Calc base'!G$13*AX102,2))&lt;1,ROUND(AX102*(1+'Calc base'!L103),2),MAX('Calc base'!G$12,ROUND('Calc base'!G$13*AX102,2))))</f>
        <v>0</v>
      </c>
      <c r="O103">
        <f>IF(AY102&lt;=0,0,IF(ROUND(AY102*(1+'Calc base'!M103),2)-MAX('Calc base'!H$12,ROUND('Calc base'!H$13*AY102,2))&lt;1,ROUND(AY102*(1+'Calc base'!M103),2),MAX('Calc base'!H$12,ROUND('Calc base'!H$13*AY102,2))))</f>
        <v>0</v>
      </c>
      <c r="P103">
        <f>IF(AZ102&lt;=0,0,IF(ROUND(AZ102*(1+'Calc base'!N103),2)-MAX('Calc base'!I$12,ROUND('Calc base'!I$13*AZ102,2))&lt;1,ROUND(AZ102*(1+'Calc base'!N103),2),MAX('Calc base'!I$12,ROUND('Calc base'!I$13*AZ102,2))))</f>
        <v>0</v>
      </c>
      <c r="Q103">
        <f>IF(BA102&lt;=0,0,IF(ROUND(BA102*(1+'Calc base'!O103),2)-MAX('Calc base'!J$12,ROUND('Calc base'!J$13*BA102,2))&lt;1,ROUND(BA102*(1+'Calc base'!O103),2),MAX('Calc base'!J$12,ROUND('Calc base'!J$13*BA102,2))))</f>
        <v>0</v>
      </c>
      <c r="R103">
        <f>IF(BB102&lt;=0,0,IF(ROUND(BB102*(1+'Calc base'!P103),2)-MAX('Calc base'!K$12,ROUND('Calc base'!K$13*BB102,2))&lt;1,ROUND(BB102*(1+'Calc base'!P103),2),MAX('Calc base'!K$12,ROUND('Calc base'!K$13*BB102,2))))</f>
        <v>0</v>
      </c>
      <c r="S103">
        <f>IF(BC102&lt;=0,0,IF(ROUND(BC102*(1+'Calc base'!Q103),2)-MAX('Calc base'!L$12,ROUND('Calc base'!L$13*BC102,2))&lt;1,ROUND(BC102*(1+'Calc base'!Q103),2),MAX('Calc base'!L$12,ROUND('Calc base'!L$13*BC102,2))))</f>
        <v>0</v>
      </c>
      <c r="T103">
        <f>IF(BD102&lt;=0,0,IF(ROUND(BD102*(1+'Calc base'!R103),2)-MAX('Calc base'!M$12,ROUND('Calc base'!M$13*BD102,2))&lt;1,ROUND(BD102*(1+'Calc base'!R103),2),MAX('Calc base'!M$12,ROUND('Calc base'!M$13*BD102,2))))</f>
        <v>0</v>
      </c>
      <c r="U103">
        <f>IF(BE102&lt;=0,0,IF(ROUND(BE102*(1+'Calc base'!S103),2)-MAX('Calc base'!N$12,ROUND('Calc base'!N$13*BE102,2))&lt;1,ROUND(BE102*(1+'Calc base'!S103),2),MAX('Calc base'!N$12,ROUND('Calc base'!N$13*BE102,2))))</f>
        <v>0</v>
      </c>
      <c r="V103">
        <f>MAX(0,ROUND(AT102*(1+'Calc base'!H103),2)-J103-'Calc base'!T103)</f>
        <v>0</v>
      </c>
      <c r="W103">
        <f>MAX(0,ROUND(AU102*(1+'Calc base'!I103),2)-K103-'Calc base'!U103)</f>
        <v>0</v>
      </c>
      <c r="X103">
        <f>MAX(0,ROUND(AV102*(1+'Calc base'!J103),2)-L103-'Calc base'!V103)</f>
        <v>0</v>
      </c>
      <c r="Y103">
        <f>MAX(0,ROUND(AW102*(1+'Calc base'!K103),2)-M103-'Calc base'!W103)</f>
        <v>0</v>
      </c>
      <c r="Z103">
        <f>MAX(0,ROUND(AX102*(1+'Calc base'!L103),2)-N103-'Calc base'!X103)</f>
        <v>0</v>
      </c>
      <c r="AA103">
        <f>MAX(0,ROUND(AY102*(1+'Calc base'!M103),2)-O103-'Calc base'!Y103)</f>
        <v>0</v>
      </c>
      <c r="AB103">
        <f>MAX(0,ROUND(AZ102*(1+'Calc base'!N103),2)-P103-'Calc base'!Z103)</f>
        <v>0</v>
      </c>
      <c r="AC103">
        <f>MAX(0,ROUND(BA102*(1+'Calc base'!O103),2)-Q103-'Calc base'!AA103)</f>
        <v>0</v>
      </c>
      <c r="AD103">
        <f>MAX(0,ROUND(BB102*(1+'Calc base'!P103),2)-R103-'Calc base'!AB103)</f>
        <v>0</v>
      </c>
      <c r="AE103">
        <f>MAX(0,ROUND(BC102*(1+'Calc base'!Q103),2)-S103-'Calc base'!AC103)</f>
        <v>0</v>
      </c>
      <c r="AF103">
        <f>MAX(0,ROUND(BD102*(1+'Calc base'!R103),2)-T103-'Calc base'!AD103)</f>
        <v>0</v>
      </c>
      <c r="AG103">
        <f>MAX(0,ROUND(BE102*(1+'Calc base'!S103),2)-U103-'Calc base'!AE103)</f>
        <v>0</v>
      </c>
      <c r="AH103">
        <f>IF('Calc base'!C$14=0,0,MIN(V103,MAX(0,$E103-SUMPRODUCT($V103:$AG103,'Calc base'!$C$14:$N$14,('Calc base'!$H103:$S103&gt;'Calc base'!H103)+('Calc base'!$H103:$S103='Calc base'!H103)*('Calc base'!$C$17:$N$17&lt;'Calc base'!C$17)))))</f>
        <v>0</v>
      </c>
      <c r="AI103">
        <f>IF('Calc base'!D$14=0,0,MIN(W103,MAX(0,$E103-SUMPRODUCT($V103:$AG103,'Calc base'!$C$14:$N$14,('Calc base'!$H103:$S103&gt;'Calc base'!I103)+('Calc base'!$H103:$S103='Calc base'!I103)*('Calc base'!$C$17:$N$17&lt;'Calc base'!D$17)))))</f>
        <v>0</v>
      </c>
      <c r="AJ103">
        <f>IF('Calc base'!E$14=0,0,MIN(X103,MAX(0,$E103-SUMPRODUCT($V103:$AG103,'Calc base'!$C$14:$N$14,('Calc base'!$H103:$S103&gt;'Calc base'!J103)+('Calc base'!$H103:$S103='Calc base'!J103)*('Calc base'!$C$17:$N$17&lt;'Calc base'!E$17)))))</f>
        <v>0</v>
      </c>
      <c r="AK103">
        <f>IF('Calc base'!F$14=0,0,MIN(Y103,MAX(0,$E103-SUMPRODUCT($V103:$AG103,'Calc base'!$C$14:$N$14,('Calc base'!$H103:$S103&gt;'Calc base'!K103)+('Calc base'!$H103:$S103='Calc base'!K103)*('Calc base'!$C$17:$N$17&lt;'Calc base'!F$17)))))</f>
        <v>0</v>
      </c>
      <c r="AL103">
        <f>IF('Calc base'!G$14=0,0,MIN(Z103,MAX(0,$E103-SUMPRODUCT($V103:$AG103,'Calc base'!$C$14:$N$14,('Calc base'!$H103:$S103&gt;'Calc base'!L103)+('Calc base'!$H103:$S103='Calc base'!L103)*('Calc base'!$C$17:$N$17&lt;'Calc base'!G$17)))))</f>
        <v>0</v>
      </c>
      <c r="AM103">
        <f>IF('Calc base'!H$14=0,0,MIN(AA103,MAX(0,$E103-SUMPRODUCT($V103:$AG103,'Calc base'!$C$14:$N$14,('Calc base'!$H103:$S103&gt;'Calc base'!M103)+('Calc base'!$H103:$S103='Calc base'!M103)*('Calc base'!$C$17:$N$17&lt;'Calc base'!H$17)))))</f>
        <v>0</v>
      </c>
      <c r="AN103">
        <f>IF('Calc base'!I$14=0,0,MIN(AB103,MAX(0,$E103-SUMPRODUCT($V103:$AG103,'Calc base'!$C$14:$N$14,('Calc base'!$H103:$S103&gt;'Calc base'!N103)+('Calc base'!$H103:$S103='Calc base'!N103)*('Calc base'!$C$17:$N$17&lt;'Calc base'!I$17)))))</f>
        <v>0</v>
      </c>
      <c r="AO103">
        <f>IF('Calc base'!J$14=0,0,MIN(AC103,MAX(0,$E103-SUMPRODUCT($V103:$AG103,'Calc base'!$C$14:$N$14,('Calc base'!$H103:$S103&gt;'Calc base'!O103)+('Calc base'!$H103:$S103='Calc base'!O103)*('Calc base'!$C$17:$N$17&lt;'Calc base'!J$17)))))</f>
        <v>0</v>
      </c>
      <c r="AP103">
        <f>IF('Calc base'!K$14=0,0,MIN(AD103,MAX(0,$E103-SUMPRODUCT($V103:$AG103,'Calc base'!$C$14:$N$14,('Calc base'!$H103:$S103&gt;'Calc base'!P103)+('Calc base'!$H103:$S103='Calc base'!P103)*('Calc base'!$C$17:$N$17&lt;'Calc base'!K$17)))))</f>
        <v>0</v>
      </c>
      <c r="AQ103">
        <f>IF('Calc base'!L$14=0,0,MIN(AE103,MAX(0,$E103-SUMPRODUCT($V103:$AG103,'Calc base'!$C$14:$N$14,('Calc base'!$H103:$S103&gt;'Calc base'!Q103)+('Calc base'!$H103:$S103='Calc base'!Q103)*('Calc base'!$C$17:$N$17&lt;'Calc base'!L$17)))))</f>
        <v>0</v>
      </c>
      <c r="AR103">
        <f>IF('Calc base'!M$14=0,0,MIN(AF103,MAX(0,$E103-SUMPRODUCT($V103:$AG103,'Calc base'!$C$14:$N$14,('Calc base'!$H103:$S103&gt;'Calc base'!R103)+('Calc base'!$H103:$S103='Calc base'!R103)*('Calc base'!$C$17:$N$17&lt;'Calc base'!M$17)))))</f>
        <v>0</v>
      </c>
      <c r="AS103">
        <f>IF('Calc base'!N$14=0,0,MIN(AG103,MAX(0,$E103-SUMPRODUCT($V103:$AG103,'Calc base'!$C$14:$N$14,('Calc base'!$H103:$S103&gt;'Calc base'!S103)+('Calc base'!$H103:$S103='Calc base'!S103)*('Calc base'!$C$17:$N$17&lt;'Calc base'!N$17)))))</f>
        <v>0</v>
      </c>
      <c r="AT103">
        <f>V103-AH103</f>
        <v>0</v>
      </c>
      <c r="AU103">
        <f>W103-AI103</f>
        <v>0</v>
      </c>
      <c r="AV103">
        <f>X103-AJ103</f>
        <v>0</v>
      </c>
      <c r="AW103">
        <f>Y103-AK103</f>
        <v>0</v>
      </c>
      <c r="AX103">
        <f>Z103-AL103</f>
        <v>0</v>
      </c>
      <c r="AY103">
        <f>AA103-AM103</f>
        <v>0</v>
      </c>
      <c r="AZ103">
        <f>AB103-AN103</f>
        <v>0</v>
      </c>
      <c r="BA103">
        <f>AC103-AO103</f>
        <v>0</v>
      </c>
      <c r="BB103">
        <f>AD103-AP103</f>
        <v>0</v>
      </c>
      <c r="BC103">
        <f>AE103-AQ103</f>
        <v>0</v>
      </c>
      <c r="BD103">
        <f>AF103-AR103</f>
        <v>0</v>
      </c>
      <c r="BE103">
        <f>AG103-AS103</f>
        <v>0</v>
      </c>
    </row>
    <row r="104">
      <c r="A104" t="n">
        <v>74</v>
      </c>
      <c r="B104">
        <f>SUMPRODUCT(ROUND($AT103:$BE103*(1+'Calc base'!$H104:$S104),2))</f>
        <v>0</v>
      </c>
      <c r="C104">
        <f>SUM(J104:U104)</f>
        <v>0</v>
      </c>
      <c r="D104">
        <f>SUM(V104:AG104)</f>
        <v>0</v>
      </c>
      <c r="E104">
        <f>MAX(0,IF(Impostazioni!$B$7="No",'Calc base'!$C104-$C$31,'Calc base'!$C104-C104)+'Calc base'!$G104+'Calc base'!$F104-(B104-C104-D104))</f>
        <v>900</v>
      </c>
      <c r="F104">
        <f>SUM(AH104:AS104)</f>
        <v>0</v>
      </c>
      <c r="G104">
        <f>SUM(AT104:BE104)</f>
        <v>0</v>
      </c>
      <c r="H104">
        <f>B104-G103</f>
        <v>0</v>
      </c>
      <c r="I104">
        <f>B104-G104</f>
        <v>0</v>
      </c>
      <c r="J104">
        <f>IF(AT103&lt;=0,0,IF(ROUND(AT103*(1+'Calc base'!H104),2)-MAX('Calc base'!C$12,ROUND('Calc base'!C$13*AT103,2))&lt;1,ROUND(AT103*(1+'Calc base'!H104),2),MAX('Calc base'!C$12,ROUND('Calc base'!C$13*AT103,2))))</f>
        <v>0</v>
      </c>
      <c r="K104">
        <f>IF(AU103&lt;=0,0,IF(ROUND(AU103*(1+'Calc base'!I104),2)-MAX('Calc base'!D$12,ROUND('Calc base'!D$13*AU103,2))&lt;1,ROUND(AU103*(1+'Calc base'!I104),2),MAX('Calc base'!D$12,ROUND('Calc base'!D$13*AU103,2))))</f>
        <v>0</v>
      </c>
      <c r="L104">
        <f>IF(AV103&lt;=0,0,IF(ROUND(AV103*(1+'Calc base'!J104),2)-MAX('Calc base'!E$12,ROUND('Calc base'!E$13*AV103,2))&lt;1,ROUND(AV103*(1+'Calc base'!J104),2),MAX('Calc base'!E$12,ROUND('Calc base'!E$13*AV103,2))))</f>
        <v>0</v>
      </c>
      <c r="M104">
        <f>IF(AW103&lt;=0,0,IF(ROUND(AW103*(1+'Calc base'!K104),2)-MAX('Calc base'!F$12,ROUND('Calc base'!F$13*AW103,2))&lt;1,ROUND(AW103*(1+'Calc base'!K104),2),MAX('Calc base'!F$12,ROUND('Calc base'!F$13*AW103,2))))</f>
        <v>0</v>
      </c>
      <c r="N104">
        <f>IF(AX103&lt;=0,0,IF(ROUND(AX103*(1+'Calc base'!L104),2)-MAX('Calc base'!G$12,ROUND('Calc base'!G$13*AX103,2))&lt;1,ROUND(AX103*(1+'Calc base'!L104),2),MAX('Calc base'!G$12,ROUND('Calc base'!G$13*AX103,2))))</f>
        <v>0</v>
      </c>
      <c r="O104">
        <f>IF(AY103&lt;=0,0,IF(ROUND(AY103*(1+'Calc base'!M104),2)-MAX('Calc base'!H$12,ROUND('Calc base'!H$13*AY103,2))&lt;1,ROUND(AY103*(1+'Calc base'!M104),2),MAX('Calc base'!H$12,ROUND('Calc base'!H$13*AY103,2))))</f>
        <v>0</v>
      </c>
      <c r="P104">
        <f>IF(AZ103&lt;=0,0,IF(ROUND(AZ103*(1+'Calc base'!N104),2)-MAX('Calc base'!I$12,ROUND('Calc base'!I$13*AZ103,2))&lt;1,ROUND(AZ103*(1+'Calc base'!N104),2),MAX('Calc base'!I$12,ROUND('Calc base'!I$13*AZ103,2))))</f>
        <v>0</v>
      </c>
      <c r="Q104">
        <f>IF(BA103&lt;=0,0,IF(ROUND(BA103*(1+'Calc base'!O104),2)-MAX('Calc base'!J$12,ROUND('Calc base'!J$13*BA103,2))&lt;1,ROUND(BA103*(1+'Calc base'!O104),2),MAX('Calc base'!J$12,ROUND('Calc base'!J$13*BA103,2))))</f>
        <v>0</v>
      </c>
      <c r="R104">
        <f>IF(BB103&lt;=0,0,IF(ROUND(BB103*(1+'Calc base'!P104),2)-MAX('Calc base'!K$12,ROUND('Calc base'!K$13*BB103,2))&lt;1,ROUND(BB103*(1+'Calc base'!P104),2),MAX('Calc base'!K$12,ROUND('Calc base'!K$13*BB103,2))))</f>
        <v>0</v>
      </c>
      <c r="S104">
        <f>IF(BC103&lt;=0,0,IF(ROUND(BC103*(1+'Calc base'!Q104),2)-MAX('Calc base'!L$12,ROUND('Calc base'!L$13*BC103,2))&lt;1,ROUND(BC103*(1+'Calc base'!Q104),2),MAX('Calc base'!L$12,ROUND('Calc base'!L$13*BC103,2))))</f>
        <v>0</v>
      </c>
      <c r="T104">
        <f>IF(BD103&lt;=0,0,IF(ROUND(BD103*(1+'Calc base'!R104),2)-MAX('Calc base'!M$12,ROUND('Calc base'!M$13*BD103,2))&lt;1,ROUND(BD103*(1+'Calc base'!R104),2),MAX('Calc base'!M$12,ROUND('Calc base'!M$13*BD103,2))))</f>
        <v>0</v>
      </c>
      <c r="U104">
        <f>IF(BE103&lt;=0,0,IF(ROUND(BE103*(1+'Calc base'!S104),2)-MAX('Calc base'!N$12,ROUND('Calc base'!N$13*BE103,2))&lt;1,ROUND(BE103*(1+'Calc base'!S104),2),MAX('Calc base'!N$12,ROUND('Calc base'!N$13*BE103,2))))</f>
        <v>0</v>
      </c>
      <c r="V104">
        <f>MAX(0,ROUND(AT103*(1+'Calc base'!H104),2)-J104-'Calc base'!T104)</f>
        <v>0</v>
      </c>
      <c r="W104">
        <f>MAX(0,ROUND(AU103*(1+'Calc base'!I104),2)-K104-'Calc base'!U104)</f>
        <v>0</v>
      </c>
      <c r="X104">
        <f>MAX(0,ROUND(AV103*(1+'Calc base'!J104),2)-L104-'Calc base'!V104)</f>
        <v>0</v>
      </c>
      <c r="Y104">
        <f>MAX(0,ROUND(AW103*(1+'Calc base'!K104),2)-M104-'Calc base'!W104)</f>
        <v>0</v>
      </c>
      <c r="Z104">
        <f>MAX(0,ROUND(AX103*(1+'Calc base'!L104),2)-N104-'Calc base'!X104)</f>
        <v>0</v>
      </c>
      <c r="AA104">
        <f>MAX(0,ROUND(AY103*(1+'Calc base'!M104),2)-O104-'Calc base'!Y104)</f>
        <v>0</v>
      </c>
      <c r="AB104">
        <f>MAX(0,ROUND(AZ103*(1+'Calc base'!N104),2)-P104-'Calc base'!Z104)</f>
        <v>0</v>
      </c>
      <c r="AC104">
        <f>MAX(0,ROUND(BA103*(1+'Calc base'!O104),2)-Q104-'Calc base'!AA104)</f>
        <v>0</v>
      </c>
      <c r="AD104">
        <f>MAX(0,ROUND(BB103*(1+'Calc base'!P104),2)-R104-'Calc base'!AB104)</f>
        <v>0</v>
      </c>
      <c r="AE104">
        <f>MAX(0,ROUND(BC103*(1+'Calc base'!Q104),2)-S104-'Calc base'!AC104)</f>
        <v>0</v>
      </c>
      <c r="AF104">
        <f>MAX(0,ROUND(BD103*(1+'Calc base'!R104),2)-T104-'Calc base'!AD104)</f>
        <v>0</v>
      </c>
      <c r="AG104">
        <f>MAX(0,ROUND(BE103*(1+'Calc base'!S104),2)-U104-'Calc base'!AE104)</f>
        <v>0</v>
      </c>
      <c r="AH104">
        <f>IF('Calc base'!C$14=0,0,MIN(V104,MAX(0,$E104-SUMPRODUCT($V104:$AG104,'Calc base'!$C$14:$N$14,('Calc base'!$H104:$S104&gt;'Calc base'!H104)+('Calc base'!$H104:$S104='Calc base'!H104)*('Calc base'!$C$17:$N$17&lt;'Calc base'!C$17)))))</f>
        <v>0</v>
      </c>
      <c r="AI104">
        <f>IF('Calc base'!D$14=0,0,MIN(W104,MAX(0,$E104-SUMPRODUCT($V104:$AG104,'Calc base'!$C$14:$N$14,('Calc base'!$H104:$S104&gt;'Calc base'!I104)+('Calc base'!$H104:$S104='Calc base'!I104)*('Calc base'!$C$17:$N$17&lt;'Calc base'!D$17)))))</f>
        <v>0</v>
      </c>
      <c r="AJ104">
        <f>IF('Calc base'!E$14=0,0,MIN(X104,MAX(0,$E104-SUMPRODUCT($V104:$AG104,'Calc base'!$C$14:$N$14,('Calc base'!$H104:$S104&gt;'Calc base'!J104)+('Calc base'!$H104:$S104='Calc base'!J104)*('Calc base'!$C$17:$N$17&lt;'Calc base'!E$17)))))</f>
        <v>0</v>
      </c>
      <c r="AK104">
        <f>IF('Calc base'!F$14=0,0,MIN(Y104,MAX(0,$E104-SUMPRODUCT($V104:$AG104,'Calc base'!$C$14:$N$14,('Calc base'!$H104:$S104&gt;'Calc base'!K104)+('Calc base'!$H104:$S104='Calc base'!K104)*('Calc base'!$C$17:$N$17&lt;'Calc base'!F$17)))))</f>
        <v>0</v>
      </c>
      <c r="AL104">
        <f>IF('Calc base'!G$14=0,0,MIN(Z104,MAX(0,$E104-SUMPRODUCT($V104:$AG104,'Calc base'!$C$14:$N$14,('Calc base'!$H104:$S104&gt;'Calc base'!L104)+('Calc base'!$H104:$S104='Calc base'!L104)*('Calc base'!$C$17:$N$17&lt;'Calc base'!G$17)))))</f>
        <v>0</v>
      </c>
      <c r="AM104">
        <f>IF('Calc base'!H$14=0,0,MIN(AA104,MAX(0,$E104-SUMPRODUCT($V104:$AG104,'Calc base'!$C$14:$N$14,('Calc base'!$H104:$S104&gt;'Calc base'!M104)+('Calc base'!$H104:$S104='Calc base'!M104)*('Calc base'!$C$17:$N$17&lt;'Calc base'!H$17)))))</f>
        <v>0</v>
      </c>
      <c r="AN104">
        <f>IF('Calc base'!I$14=0,0,MIN(AB104,MAX(0,$E104-SUMPRODUCT($V104:$AG104,'Calc base'!$C$14:$N$14,('Calc base'!$H104:$S104&gt;'Calc base'!N104)+('Calc base'!$H104:$S104='Calc base'!N104)*('Calc base'!$C$17:$N$17&lt;'Calc base'!I$17)))))</f>
        <v>0</v>
      </c>
      <c r="AO104">
        <f>IF('Calc base'!J$14=0,0,MIN(AC104,MAX(0,$E104-SUMPRODUCT($V104:$AG104,'Calc base'!$C$14:$N$14,('Calc base'!$H104:$S104&gt;'Calc base'!O104)+('Calc base'!$H104:$S104='Calc base'!O104)*('Calc base'!$C$17:$N$17&lt;'Calc base'!J$17)))))</f>
        <v>0</v>
      </c>
      <c r="AP104">
        <f>IF('Calc base'!K$14=0,0,MIN(AD104,MAX(0,$E104-SUMPRODUCT($V104:$AG104,'Calc base'!$C$14:$N$14,('Calc base'!$H104:$S104&gt;'Calc base'!P104)+('Calc base'!$H104:$S104='Calc base'!P104)*('Calc base'!$C$17:$N$17&lt;'Calc base'!K$17)))))</f>
        <v>0</v>
      </c>
      <c r="AQ104">
        <f>IF('Calc base'!L$14=0,0,MIN(AE104,MAX(0,$E104-SUMPRODUCT($V104:$AG104,'Calc base'!$C$14:$N$14,('Calc base'!$H104:$S104&gt;'Calc base'!Q104)+('Calc base'!$H104:$S104='Calc base'!Q104)*('Calc base'!$C$17:$N$17&lt;'Calc base'!L$17)))))</f>
        <v>0</v>
      </c>
      <c r="AR104">
        <f>IF('Calc base'!M$14=0,0,MIN(AF104,MAX(0,$E104-SUMPRODUCT($V104:$AG104,'Calc base'!$C$14:$N$14,('Calc base'!$H104:$S104&gt;'Calc base'!R104)+('Calc base'!$H104:$S104='Calc base'!R104)*('Calc base'!$C$17:$N$17&lt;'Calc base'!M$17)))))</f>
        <v>0</v>
      </c>
      <c r="AS104">
        <f>IF('Calc base'!N$14=0,0,MIN(AG104,MAX(0,$E104-SUMPRODUCT($V104:$AG104,'Calc base'!$C$14:$N$14,('Calc base'!$H104:$S104&gt;'Calc base'!S104)+('Calc base'!$H104:$S104='Calc base'!S104)*('Calc base'!$C$17:$N$17&lt;'Calc base'!N$17)))))</f>
        <v>0</v>
      </c>
      <c r="AT104">
        <f>V104-AH104</f>
        <v>0</v>
      </c>
      <c r="AU104">
        <f>W104-AI104</f>
        <v>0</v>
      </c>
      <c r="AV104">
        <f>X104-AJ104</f>
        <v>0</v>
      </c>
      <c r="AW104">
        <f>Y104-AK104</f>
        <v>0</v>
      </c>
      <c r="AX104">
        <f>Z104-AL104</f>
        <v>0</v>
      </c>
      <c r="AY104">
        <f>AA104-AM104</f>
        <v>0</v>
      </c>
      <c r="AZ104">
        <f>AB104-AN104</f>
        <v>0</v>
      </c>
      <c r="BA104">
        <f>AC104-AO104</f>
        <v>0</v>
      </c>
      <c r="BB104">
        <f>AD104-AP104</f>
        <v>0</v>
      </c>
      <c r="BC104">
        <f>AE104-AQ104</f>
        <v>0</v>
      </c>
      <c r="BD104">
        <f>AF104-AR104</f>
        <v>0</v>
      </c>
      <c r="BE104">
        <f>AG104-AS104</f>
        <v>0</v>
      </c>
    </row>
    <row r="105">
      <c r="A105" t="n">
        <v>75</v>
      </c>
      <c r="B105">
        <f>SUMPRODUCT(ROUND($AT104:$BE104*(1+'Calc base'!$H105:$S105),2))</f>
        <v>0</v>
      </c>
      <c r="C105">
        <f>SUM(J105:U105)</f>
        <v>0</v>
      </c>
      <c r="D105">
        <f>SUM(V105:AG105)</f>
        <v>0</v>
      </c>
      <c r="E105">
        <f>MAX(0,IF(Impostazioni!$B$7="No",'Calc base'!$C105-$C$31,'Calc base'!$C105-C105)+'Calc base'!$G105+'Calc base'!$F105-(B105-C105-D105))</f>
        <v>900</v>
      </c>
      <c r="F105">
        <f>SUM(AH105:AS105)</f>
        <v>0</v>
      </c>
      <c r="G105">
        <f>SUM(AT105:BE105)</f>
        <v>0</v>
      </c>
      <c r="H105">
        <f>B105-G104</f>
        <v>0</v>
      </c>
      <c r="I105">
        <f>B105-G105</f>
        <v>0</v>
      </c>
      <c r="J105">
        <f>IF(AT104&lt;=0,0,IF(ROUND(AT104*(1+'Calc base'!H105),2)-MAX('Calc base'!C$12,ROUND('Calc base'!C$13*AT104,2))&lt;1,ROUND(AT104*(1+'Calc base'!H105),2),MAX('Calc base'!C$12,ROUND('Calc base'!C$13*AT104,2))))</f>
        <v>0</v>
      </c>
      <c r="K105">
        <f>IF(AU104&lt;=0,0,IF(ROUND(AU104*(1+'Calc base'!I105),2)-MAX('Calc base'!D$12,ROUND('Calc base'!D$13*AU104,2))&lt;1,ROUND(AU104*(1+'Calc base'!I105),2),MAX('Calc base'!D$12,ROUND('Calc base'!D$13*AU104,2))))</f>
        <v>0</v>
      </c>
      <c r="L105">
        <f>IF(AV104&lt;=0,0,IF(ROUND(AV104*(1+'Calc base'!J105),2)-MAX('Calc base'!E$12,ROUND('Calc base'!E$13*AV104,2))&lt;1,ROUND(AV104*(1+'Calc base'!J105),2),MAX('Calc base'!E$12,ROUND('Calc base'!E$13*AV104,2))))</f>
        <v>0</v>
      </c>
      <c r="M105">
        <f>IF(AW104&lt;=0,0,IF(ROUND(AW104*(1+'Calc base'!K105),2)-MAX('Calc base'!F$12,ROUND('Calc base'!F$13*AW104,2))&lt;1,ROUND(AW104*(1+'Calc base'!K105),2),MAX('Calc base'!F$12,ROUND('Calc base'!F$13*AW104,2))))</f>
        <v>0</v>
      </c>
      <c r="N105">
        <f>IF(AX104&lt;=0,0,IF(ROUND(AX104*(1+'Calc base'!L105),2)-MAX('Calc base'!G$12,ROUND('Calc base'!G$13*AX104,2))&lt;1,ROUND(AX104*(1+'Calc base'!L105),2),MAX('Calc base'!G$12,ROUND('Calc base'!G$13*AX104,2))))</f>
        <v>0</v>
      </c>
      <c r="O105">
        <f>IF(AY104&lt;=0,0,IF(ROUND(AY104*(1+'Calc base'!M105),2)-MAX('Calc base'!H$12,ROUND('Calc base'!H$13*AY104,2))&lt;1,ROUND(AY104*(1+'Calc base'!M105),2),MAX('Calc base'!H$12,ROUND('Calc base'!H$13*AY104,2))))</f>
        <v>0</v>
      </c>
      <c r="P105">
        <f>IF(AZ104&lt;=0,0,IF(ROUND(AZ104*(1+'Calc base'!N105),2)-MAX('Calc base'!I$12,ROUND('Calc base'!I$13*AZ104,2))&lt;1,ROUND(AZ104*(1+'Calc base'!N105),2),MAX('Calc base'!I$12,ROUND('Calc base'!I$13*AZ104,2))))</f>
        <v>0</v>
      </c>
      <c r="Q105">
        <f>IF(BA104&lt;=0,0,IF(ROUND(BA104*(1+'Calc base'!O105),2)-MAX('Calc base'!J$12,ROUND('Calc base'!J$13*BA104,2))&lt;1,ROUND(BA104*(1+'Calc base'!O105),2),MAX('Calc base'!J$12,ROUND('Calc base'!J$13*BA104,2))))</f>
        <v>0</v>
      </c>
      <c r="R105">
        <f>IF(BB104&lt;=0,0,IF(ROUND(BB104*(1+'Calc base'!P105),2)-MAX('Calc base'!K$12,ROUND('Calc base'!K$13*BB104,2))&lt;1,ROUND(BB104*(1+'Calc base'!P105),2),MAX('Calc base'!K$12,ROUND('Calc base'!K$13*BB104,2))))</f>
        <v>0</v>
      </c>
      <c r="S105">
        <f>IF(BC104&lt;=0,0,IF(ROUND(BC104*(1+'Calc base'!Q105),2)-MAX('Calc base'!L$12,ROUND('Calc base'!L$13*BC104,2))&lt;1,ROUND(BC104*(1+'Calc base'!Q105),2),MAX('Calc base'!L$12,ROUND('Calc base'!L$13*BC104,2))))</f>
        <v>0</v>
      </c>
      <c r="T105">
        <f>IF(BD104&lt;=0,0,IF(ROUND(BD104*(1+'Calc base'!R105),2)-MAX('Calc base'!M$12,ROUND('Calc base'!M$13*BD104,2))&lt;1,ROUND(BD104*(1+'Calc base'!R105),2),MAX('Calc base'!M$12,ROUND('Calc base'!M$13*BD104,2))))</f>
        <v>0</v>
      </c>
      <c r="U105">
        <f>IF(BE104&lt;=0,0,IF(ROUND(BE104*(1+'Calc base'!S105),2)-MAX('Calc base'!N$12,ROUND('Calc base'!N$13*BE104,2))&lt;1,ROUND(BE104*(1+'Calc base'!S105),2),MAX('Calc base'!N$12,ROUND('Calc base'!N$13*BE104,2))))</f>
        <v>0</v>
      </c>
      <c r="V105">
        <f>MAX(0,ROUND(AT104*(1+'Calc base'!H105),2)-J105-'Calc base'!T105)</f>
        <v>0</v>
      </c>
      <c r="W105">
        <f>MAX(0,ROUND(AU104*(1+'Calc base'!I105),2)-K105-'Calc base'!U105)</f>
        <v>0</v>
      </c>
      <c r="X105">
        <f>MAX(0,ROUND(AV104*(1+'Calc base'!J105),2)-L105-'Calc base'!V105)</f>
        <v>0</v>
      </c>
      <c r="Y105">
        <f>MAX(0,ROUND(AW104*(1+'Calc base'!K105),2)-M105-'Calc base'!W105)</f>
        <v>0</v>
      </c>
      <c r="Z105">
        <f>MAX(0,ROUND(AX104*(1+'Calc base'!L105),2)-N105-'Calc base'!X105)</f>
        <v>0</v>
      </c>
      <c r="AA105">
        <f>MAX(0,ROUND(AY104*(1+'Calc base'!M105),2)-O105-'Calc base'!Y105)</f>
        <v>0</v>
      </c>
      <c r="AB105">
        <f>MAX(0,ROUND(AZ104*(1+'Calc base'!N105),2)-P105-'Calc base'!Z105)</f>
        <v>0</v>
      </c>
      <c r="AC105">
        <f>MAX(0,ROUND(BA104*(1+'Calc base'!O105),2)-Q105-'Calc base'!AA105)</f>
        <v>0</v>
      </c>
      <c r="AD105">
        <f>MAX(0,ROUND(BB104*(1+'Calc base'!P105),2)-R105-'Calc base'!AB105)</f>
        <v>0</v>
      </c>
      <c r="AE105">
        <f>MAX(0,ROUND(BC104*(1+'Calc base'!Q105),2)-S105-'Calc base'!AC105)</f>
        <v>0</v>
      </c>
      <c r="AF105">
        <f>MAX(0,ROUND(BD104*(1+'Calc base'!R105),2)-T105-'Calc base'!AD105)</f>
        <v>0</v>
      </c>
      <c r="AG105">
        <f>MAX(0,ROUND(BE104*(1+'Calc base'!S105),2)-U105-'Calc base'!AE105)</f>
        <v>0</v>
      </c>
      <c r="AH105">
        <f>IF('Calc base'!C$14=0,0,MIN(V105,MAX(0,$E105-SUMPRODUCT($V105:$AG105,'Calc base'!$C$14:$N$14,('Calc base'!$H105:$S105&gt;'Calc base'!H105)+('Calc base'!$H105:$S105='Calc base'!H105)*('Calc base'!$C$17:$N$17&lt;'Calc base'!C$17)))))</f>
        <v>0</v>
      </c>
      <c r="AI105">
        <f>IF('Calc base'!D$14=0,0,MIN(W105,MAX(0,$E105-SUMPRODUCT($V105:$AG105,'Calc base'!$C$14:$N$14,('Calc base'!$H105:$S105&gt;'Calc base'!I105)+('Calc base'!$H105:$S105='Calc base'!I105)*('Calc base'!$C$17:$N$17&lt;'Calc base'!D$17)))))</f>
        <v>0</v>
      </c>
      <c r="AJ105">
        <f>IF('Calc base'!E$14=0,0,MIN(X105,MAX(0,$E105-SUMPRODUCT($V105:$AG105,'Calc base'!$C$14:$N$14,('Calc base'!$H105:$S105&gt;'Calc base'!J105)+('Calc base'!$H105:$S105='Calc base'!J105)*('Calc base'!$C$17:$N$17&lt;'Calc base'!E$17)))))</f>
        <v>0</v>
      </c>
      <c r="AK105">
        <f>IF('Calc base'!F$14=0,0,MIN(Y105,MAX(0,$E105-SUMPRODUCT($V105:$AG105,'Calc base'!$C$14:$N$14,('Calc base'!$H105:$S105&gt;'Calc base'!K105)+('Calc base'!$H105:$S105='Calc base'!K105)*('Calc base'!$C$17:$N$17&lt;'Calc base'!F$17)))))</f>
        <v>0</v>
      </c>
      <c r="AL105">
        <f>IF('Calc base'!G$14=0,0,MIN(Z105,MAX(0,$E105-SUMPRODUCT($V105:$AG105,'Calc base'!$C$14:$N$14,('Calc base'!$H105:$S105&gt;'Calc base'!L105)+('Calc base'!$H105:$S105='Calc base'!L105)*('Calc base'!$C$17:$N$17&lt;'Calc base'!G$17)))))</f>
        <v>0</v>
      </c>
      <c r="AM105">
        <f>IF('Calc base'!H$14=0,0,MIN(AA105,MAX(0,$E105-SUMPRODUCT($V105:$AG105,'Calc base'!$C$14:$N$14,('Calc base'!$H105:$S105&gt;'Calc base'!M105)+('Calc base'!$H105:$S105='Calc base'!M105)*('Calc base'!$C$17:$N$17&lt;'Calc base'!H$17)))))</f>
        <v>0</v>
      </c>
      <c r="AN105">
        <f>IF('Calc base'!I$14=0,0,MIN(AB105,MAX(0,$E105-SUMPRODUCT($V105:$AG105,'Calc base'!$C$14:$N$14,('Calc base'!$H105:$S105&gt;'Calc base'!N105)+('Calc base'!$H105:$S105='Calc base'!N105)*('Calc base'!$C$17:$N$17&lt;'Calc base'!I$17)))))</f>
        <v>0</v>
      </c>
      <c r="AO105">
        <f>IF('Calc base'!J$14=0,0,MIN(AC105,MAX(0,$E105-SUMPRODUCT($V105:$AG105,'Calc base'!$C$14:$N$14,('Calc base'!$H105:$S105&gt;'Calc base'!O105)+('Calc base'!$H105:$S105='Calc base'!O105)*('Calc base'!$C$17:$N$17&lt;'Calc base'!J$17)))))</f>
        <v>0</v>
      </c>
      <c r="AP105">
        <f>IF('Calc base'!K$14=0,0,MIN(AD105,MAX(0,$E105-SUMPRODUCT($V105:$AG105,'Calc base'!$C$14:$N$14,('Calc base'!$H105:$S105&gt;'Calc base'!P105)+('Calc base'!$H105:$S105='Calc base'!P105)*('Calc base'!$C$17:$N$17&lt;'Calc base'!K$17)))))</f>
        <v>0</v>
      </c>
      <c r="AQ105">
        <f>IF('Calc base'!L$14=0,0,MIN(AE105,MAX(0,$E105-SUMPRODUCT($V105:$AG105,'Calc base'!$C$14:$N$14,('Calc base'!$H105:$S105&gt;'Calc base'!Q105)+('Calc base'!$H105:$S105='Calc base'!Q105)*('Calc base'!$C$17:$N$17&lt;'Calc base'!L$17)))))</f>
        <v>0</v>
      </c>
      <c r="AR105">
        <f>IF('Calc base'!M$14=0,0,MIN(AF105,MAX(0,$E105-SUMPRODUCT($V105:$AG105,'Calc base'!$C$14:$N$14,('Calc base'!$H105:$S105&gt;'Calc base'!R105)+('Calc base'!$H105:$S105='Calc base'!R105)*('Calc base'!$C$17:$N$17&lt;'Calc base'!M$17)))))</f>
        <v>0</v>
      </c>
      <c r="AS105">
        <f>IF('Calc base'!N$14=0,0,MIN(AG105,MAX(0,$E105-SUMPRODUCT($V105:$AG105,'Calc base'!$C$14:$N$14,('Calc base'!$H105:$S105&gt;'Calc base'!S105)+('Calc base'!$H105:$S105='Calc base'!S105)*('Calc base'!$C$17:$N$17&lt;'Calc base'!N$17)))))</f>
        <v>0</v>
      </c>
      <c r="AT105">
        <f>V105-AH105</f>
        <v>0</v>
      </c>
      <c r="AU105">
        <f>W105-AI105</f>
        <v>0</v>
      </c>
      <c r="AV105">
        <f>X105-AJ105</f>
        <v>0</v>
      </c>
      <c r="AW105">
        <f>Y105-AK105</f>
        <v>0</v>
      </c>
      <c r="AX105">
        <f>Z105-AL105</f>
        <v>0</v>
      </c>
      <c r="AY105">
        <f>AA105-AM105</f>
        <v>0</v>
      </c>
      <c r="AZ105">
        <f>AB105-AN105</f>
        <v>0</v>
      </c>
      <c r="BA105">
        <f>AC105-AO105</f>
        <v>0</v>
      </c>
      <c r="BB105">
        <f>AD105-AP105</f>
        <v>0</v>
      </c>
      <c r="BC105">
        <f>AE105-AQ105</f>
        <v>0</v>
      </c>
      <c r="BD105">
        <f>AF105-AR105</f>
        <v>0</v>
      </c>
      <c r="BE105">
        <f>AG105-AS105</f>
        <v>0</v>
      </c>
    </row>
    <row r="106">
      <c r="A106" t="n">
        <v>76</v>
      </c>
      <c r="B106">
        <f>SUMPRODUCT(ROUND($AT105:$BE105*(1+'Calc base'!$H106:$S106),2))</f>
        <v>0</v>
      </c>
      <c r="C106">
        <f>SUM(J106:U106)</f>
        <v>0</v>
      </c>
      <c r="D106">
        <f>SUM(V106:AG106)</f>
        <v>0</v>
      </c>
      <c r="E106">
        <f>MAX(0,IF(Impostazioni!$B$7="No",'Calc base'!$C106-$C$31,'Calc base'!$C106-C106)+'Calc base'!$G106+'Calc base'!$F106-(B106-C106-D106))</f>
        <v>900</v>
      </c>
      <c r="F106">
        <f>SUM(AH106:AS106)</f>
        <v>0</v>
      </c>
      <c r="G106">
        <f>SUM(AT106:BE106)</f>
        <v>0</v>
      </c>
      <c r="H106">
        <f>B106-G105</f>
        <v>0</v>
      </c>
      <c r="I106">
        <f>B106-G106</f>
        <v>0</v>
      </c>
      <c r="J106">
        <f>IF(AT105&lt;=0,0,IF(ROUND(AT105*(1+'Calc base'!H106),2)-MAX('Calc base'!C$12,ROUND('Calc base'!C$13*AT105,2))&lt;1,ROUND(AT105*(1+'Calc base'!H106),2),MAX('Calc base'!C$12,ROUND('Calc base'!C$13*AT105,2))))</f>
        <v>0</v>
      </c>
      <c r="K106">
        <f>IF(AU105&lt;=0,0,IF(ROUND(AU105*(1+'Calc base'!I106),2)-MAX('Calc base'!D$12,ROUND('Calc base'!D$13*AU105,2))&lt;1,ROUND(AU105*(1+'Calc base'!I106),2),MAX('Calc base'!D$12,ROUND('Calc base'!D$13*AU105,2))))</f>
        <v>0</v>
      </c>
      <c r="L106">
        <f>IF(AV105&lt;=0,0,IF(ROUND(AV105*(1+'Calc base'!J106),2)-MAX('Calc base'!E$12,ROUND('Calc base'!E$13*AV105,2))&lt;1,ROUND(AV105*(1+'Calc base'!J106),2),MAX('Calc base'!E$12,ROUND('Calc base'!E$13*AV105,2))))</f>
        <v>0</v>
      </c>
      <c r="M106">
        <f>IF(AW105&lt;=0,0,IF(ROUND(AW105*(1+'Calc base'!K106),2)-MAX('Calc base'!F$12,ROUND('Calc base'!F$13*AW105,2))&lt;1,ROUND(AW105*(1+'Calc base'!K106),2),MAX('Calc base'!F$12,ROUND('Calc base'!F$13*AW105,2))))</f>
        <v>0</v>
      </c>
      <c r="N106">
        <f>IF(AX105&lt;=0,0,IF(ROUND(AX105*(1+'Calc base'!L106),2)-MAX('Calc base'!G$12,ROUND('Calc base'!G$13*AX105,2))&lt;1,ROUND(AX105*(1+'Calc base'!L106),2),MAX('Calc base'!G$12,ROUND('Calc base'!G$13*AX105,2))))</f>
        <v>0</v>
      </c>
      <c r="O106">
        <f>IF(AY105&lt;=0,0,IF(ROUND(AY105*(1+'Calc base'!M106),2)-MAX('Calc base'!H$12,ROUND('Calc base'!H$13*AY105,2))&lt;1,ROUND(AY105*(1+'Calc base'!M106),2),MAX('Calc base'!H$12,ROUND('Calc base'!H$13*AY105,2))))</f>
        <v>0</v>
      </c>
      <c r="P106">
        <f>IF(AZ105&lt;=0,0,IF(ROUND(AZ105*(1+'Calc base'!N106),2)-MAX('Calc base'!I$12,ROUND('Calc base'!I$13*AZ105,2))&lt;1,ROUND(AZ105*(1+'Calc base'!N106),2),MAX('Calc base'!I$12,ROUND('Calc base'!I$13*AZ105,2))))</f>
        <v>0</v>
      </c>
      <c r="Q106">
        <f>IF(BA105&lt;=0,0,IF(ROUND(BA105*(1+'Calc base'!O106),2)-MAX('Calc base'!J$12,ROUND('Calc base'!J$13*BA105,2))&lt;1,ROUND(BA105*(1+'Calc base'!O106),2),MAX('Calc base'!J$12,ROUND('Calc base'!J$13*BA105,2))))</f>
        <v>0</v>
      </c>
      <c r="R106">
        <f>IF(BB105&lt;=0,0,IF(ROUND(BB105*(1+'Calc base'!P106),2)-MAX('Calc base'!K$12,ROUND('Calc base'!K$13*BB105,2))&lt;1,ROUND(BB105*(1+'Calc base'!P106),2),MAX('Calc base'!K$12,ROUND('Calc base'!K$13*BB105,2))))</f>
        <v>0</v>
      </c>
      <c r="S106">
        <f>IF(BC105&lt;=0,0,IF(ROUND(BC105*(1+'Calc base'!Q106),2)-MAX('Calc base'!L$12,ROUND('Calc base'!L$13*BC105,2))&lt;1,ROUND(BC105*(1+'Calc base'!Q106),2),MAX('Calc base'!L$12,ROUND('Calc base'!L$13*BC105,2))))</f>
        <v>0</v>
      </c>
      <c r="T106">
        <f>IF(BD105&lt;=0,0,IF(ROUND(BD105*(1+'Calc base'!R106),2)-MAX('Calc base'!M$12,ROUND('Calc base'!M$13*BD105,2))&lt;1,ROUND(BD105*(1+'Calc base'!R106),2),MAX('Calc base'!M$12,ROUND('Calc base'!M$13*BD105,2))))</f>
        <v>0</v>
      </c>
      <c r="U106">
        <f>IF(BE105&lt;=0,0,IF(ROUND(BE105*(1+'Calc base'!S106),2)-MAX('Calc base'!N$12,ROUND('Calc base'!N$13*BE105,2))&lt;1,ROUND(BE105*(1+'Calc base'!S106),2),MAX('Calc base'!N$12,ROUND('Calc base'!N$13*BE105,2))))</f>
        <v>0</v>
      </c>
      <c r="V106">
        <f>MAX(0,ROUND(AT105*(1+'Calc base'!H106),2)-J106-'Calc base'!T106)</f>
        <v>0</v>
      </c>
      <c r="W106">
        <f>MAX(0,ROUND(AU105*(1+'Calc base'!I106),2)-K106-'Calc base'!U106)</f>
        <v>0</v>
      </c>
      <c r="X106">
        <f>MAX(0,ROUND(AV105*(1+'Calc base'!J106),2)-L106-'Calc base'!V106)</f>
        <v>0</v>
      </c>
      <c r="Y106">
        <f>MAX(0,ROUND(AW105*(1+'Calc base'!K106),2)-M106-'Calc base'!W106)</f>
        <v>0</v>
      </c>
      <c r="Z106">
        <f>MAX(0,ROUND(AX105*(1+'Calc base'!L106),2)-N106-'Calc base'!X106)</f>
        <v>0</v>
      </c>
      <c r="AA106">
        <f>MAX(0,ROUND(AY105*(1+'Calc base'!M106),2)-O106-'Calc base'!Y106)</f>
        <v>0</v>
      </c>
      <c r="AB106">
        <f>MAX(0,ROUND(AZ105*(1+'Calc base'!N106),2)-P106-'Calc base'!Z106)</f>
        <v>0</v>
      </c>
      <c r="AC106">
        <f>MAX(0,ROUND(BA105*(1+'Calc base'!O106),2)-Q106-'Calc base'!AA106)</f>
        <v>0</v>
      </c>
      <c r="AD106">
        <f>MAX(0,ROUND(BB105*(1+'Calc base'!P106),2)-R106-'Calc base'!AB106)</f>
        <v>0</v>
      </c>
      <c r="AE106">
        <f>MAX(0,ROUND(BC105*(1+'Calc base'!Q106),2)-S106-'Calc base'!AC106)</f>
        <v>0</v>
      </c>
      <c r="AF106">
        <f>MAX(0,ROUND(BD105*(1+'Calc base'!R106),2)-T106-'Calc base'!AD106)</f>
        <v>0</v>
      </c>
      <c r="AG106">
        <f>MAX(0,ROUND(BE105*(1+'Calc base'!S106),2)-U106-'Calc base'!AE106)</f>
        <v>0</v>
      </c>
      <c r="AH106">
        <f>IF('Calc base'!C$14=0,0,MIN(V106,MAX(0,$E106-SUMPRODUCT($V106:$AG106,'Calc base'!$C$14:$N$14,('Calc base'!$H106:$S106&gt;'Calc base'!H106)+('Calc base'!$H106:$S106='Calc base'!H106)*('Calc base'!$C$17:$N$17&lt;'Calc base'!C$17)))))</f>
        <v>0</v>
      </c>
      <c r="AI106">
        <f>IF('Calc base'!D$14=0,0,MIN(W106,MAX(0,$E106-SUMPRODUCT($V106:$AG106,'Calc base'!$C$14:$N$14,('Calc base'!$H106:$S106&gt;'Calc base'!I106)+('Calc base'!$H106:$S106='Calc base'!I106)*('Calc base'!$C$17:$N$17&lt;'Calc base'!D$17)))))</f>
        <v>0</v>
      </c>
      <c r="AJ106">
        <f>IF('Calc base'!E$14=0,0,MIN(X106,MAX(0,$E106-SUMPRODUCT($V106:$AG106,'Calc base'!$C$14:$N$14,('Calc base'!$H106:$S106&gt;'Calc base'!J106)+('Calc base'!$H106:$S106='Calc base'!J106)*('Calc base'!$C$17:$N$17&lt;'Calc base'!E$17)))))</f>
        <v>0</v>
      </c>
      <c r="AK106">
        <f>IF('Calc base'!F$14=0,0,MIN(Y106,MAX(0,$E106-SUMPRODUCT($V106:$AG106,'Calc base'!$C$14:$N$14,('Calc base'!$H106:$S106&gt;'Calc base'!K106)+('Calc base'!$H106:$S106='Calc base'!K106)*('Calc base'!$C$17:$N$17&lt;'Calc base'!F$17)))))</f>
        <v>0</v>
      </c>
      <c r="AL106">
        <f>IF('Calc base'!G$14=0,0,MIN(Z106,MAX(0,$E106-SUMPRODUCT($V106:$AG106,'Calc base'!$C$14:$N$14,('Calc base'!$H106:$S106&gt;'Calc base'!L106)+('Calc base'!$H106:$S106='Calc base'!L106)*('Calc base'!$C$17:$N$17&lt;'Calc base'!G$17)))))</f>
        <v>0</v>
      </c>
      <c r="AM106">
        <f>IF('Calc base'!H$14=0,0,MIN(AA106,MAX(0,$E106-SUMPRODUCT($V106:$AG106,'Calc base'!$C$14:$N$14,('Calc base'!$H106:$S106&gt;'Calc base'!M106)+('Calc base'!$H106:$S106='Calc base'!M106)*('Calc base'!$C$17:$N$17&lt;'Calc base'!H$17)))))</f>
        <v>0</v>
      </c>
      <c r="AN106">
        <f>IF('Calc base'!I$14=0,0,MIN(AB106,MAX(0,$E106-SUMPRODUCT($V106:$AG106,'Calc base'!$C$14:$N$14,('Calc base'!$H106:$S106&gt;'Calc base'!N106)+('Calc base'!$H106:$S106='Calc base'!N106)*('Calc base'!$C$17:$N$17&lt;'Calc base'!I$17)))))</f>
        <v>0</v>
      </c>
      <c r="AO106">
        <f>IF('Calc base'!J$14=0,0,MIN(AC106,MAX(0,$E106-SUMPRODUCT($V106:$AG106,'Calc base'!$C$14:$N$14,('Calc base'!$H106:$S106&gt;'Calc base'!O106)+('Calc base'!$H106:$S106='Calc base'!O106)*('Calc base'!$C$17:$N$17&lt;'Calc base'!J$17)))))</f>
        <v>0</v>
      </c>
      <c r="AP106">
        <f>IF('Calc base'!K$14=0,0,MIN(AD106,MAX(0,$E106-SUMPRODUCT($V106:$AG106,'Calc base'!$C$14:$N$14,('Calc base'!$H106:$S106&gt;'Calc base'!P106)+('Calc base'!$H106:$S106='Calc base'!P106)*('Calc base'!$C$17:$N$17&lt;'Calc base'!K$17)))))</f>
        <v>0</v>
      </c>
      <c r="AQ106">
        <f>IF('Calc base'!L$14=0,0,MIN(AE106,MAX(0,$E106-SUMPRODUCT($V106:$AG106,'Calc base'!$C$14:$N$14,('Calc base'!$H106:$S106&gt;'Calc base'!Q106)+('Calc base'!$H106:$S106='Calc base'!Q106)*('Calc base'!$C$17:$N$17&lt;'Calc base'!L$17)))))</f>
        <v>0</v>
      </c>
      <c r="AR106">
        <f>IF('Calc base'!M$14=0,0,MIN(AF106,MAX(0,$E106-SUMPRODUCT($V106:$AG106,'Calc base'!$C$14:$N$14,('Calc base'!$H106:$S106&gt;'Calc base'!R106)+('Calc base'!$H106:$S106='Calc base'!R106)*('Calc base'!$C$17:$N$17&lt;'Calc base'!M$17)))))</f>
        <v>0</v>
      </c>
      <c r="AS106">
        <f>IF('Calc base'!N$14=0,0,MIN(AG106,MAX(0,$E106-SUMPRODUCT($V106:$AG106,'Calc base'!$C$14:$N$14,('Calc base'!$H106:$S106&gt;'Calc base'!S106)+('Calc base'!$H106:$S106='Calc base'!S106)*('Calc base'!$C$17:$N$17&lt;'Calc base'!N$17)))))</f>
        <v>0</v>
      </c>
      <c r="AT106">
        <f>V106-AH106</f>
        <v>0</v>
      </c>
      <c r="AU106">
        <f>W106-AI106</f>
        <v>0</v>
      </c>
      <c r="AV106">
        <f>X106-AJ106</f>
        <v>0</v>
      </c>
      <c r="AW106">
        <f>Y106-AK106</f>
        <v>0</v>
      </c>
      <c r="AX106">
        <f>Z106-AL106</f>
        <v>0</v>
      </c>
      <c r="AY106">
        <f>AA106-AM106</f>
        <v>0</v>
      </c>
      <c r="AZ106">
        <f>AB106-AN106</f>
        <v>0</v>
      </c>
      <c r="BA106">
        <f>AC106-AO106</f>
        <v>0</v>
      </c>
      <c r="BB106">
        <f>AD106-AP106</f>
        <v>0</v>
      </c>
      <c r="BC106">
        <f>AE106-AQ106</f>
        <v>0</v>
      </c>
      <c r="BD106">
        <f>AF106-AR106</f>
        <v>0</v>
      </c>
      <c r="BE106">
        <f>AG106-AS106</f>
        <v>0</v>
      </c>
    </row>
    <row r="107">
      <c r="A107" t="n">
        <v>77</v>
      </c>
      <c r="B107">
        <f>SUMPRODUCT(ROUND($AT106:$BE106*(1+'Calc base'!$H107:$S107),2))</f>
        <v>0</v>
      </c>
      <c r="C107">
        <f>SUM(J107:U107)</f>
        <v>0</v>
      </c>
      <c r="D107">
        <f>SUM(V107:AG107)</f>
        <v>0</v>
      </c>
      <c r="E107">
        <f>MAX(0,IF(Impostazioni!$B$7="No",'Calc base'!$C107-$C$31,'Calc base'!$C107-C107)+'Calc base'!$G107+'Calc base'!$F107-(B107-C107-D107))</f>
        <v>900</v>
      </c>
      <c r="F107">
        <f>SUM(AH107:AS107)</f>
        <v>0</v>
      </c>
      <c r="G107">
        <f>SUM(AT107:BE107)</f>
        <v>0</v>
      </c>
      <c r="H107">
        <f>B107-G106</f>
        <v>0</v>
      </c>
      <c r="I107">
        <f>B107-G107</f>
        <v>0</v>
      </c>
      <c r="J107">
        <f>IF(AT106&lt;=0,0,IF(ROUND(AT106*(1+'Calc base'!H107),2)-MAX('Calc base'!C$12,ROUND('Calc base'!C$13*AT106,2))&lt;1,ROUND(AT106*(1+'Calc base'!H107),2),MAX('Calc base'!C$12,ROUND('Calc base'!C$13*AT106,2))))</f>
        <v>0</v>
      </c>
      <c r="K107">
        <f>IF(AU106&lt;=0,0,IF(ROUND(AU106*(1+'Calc base'!I107),2)-MAX('Calc base'!D$12,ROUND('Calc base'!D$13*AU106,2))&lt;1,ROUND(AU106*(1+'Calc base'!I107),2),MAX('Calc base'!D$12,ROUND('Calc base'!D$13*AU106,2))))</f>
        <v>0</v>
      </c>
      <c r="L107">
        <f>IF(AV106&lt;=0,0,IF(ROUND(AV106*(1+'Calc base'!J107),2)-MAX('Calc base'!E$12,ROUND('Calc base'!E$13*AV106,2))&lt;1,ROUND(AV106*(1+'Calc base'!J107),2),MAX('Calc base'!E$12,ROUND('Calc base'!E$13*AV106,2))))</f>
        <v>0</v>
      </c>
      <c r="M107">
        <f>IF(AW106&lt;=0,0,IF(ROUND(AW106*(1+'Calc base'!K107),2)-MAX('Calc base'!F$12,ROUND('Calc base'!F$13*AW106,2))&lt;1,ROUND(AW106*(1+'Calc base'!K107),2),MAX('Calc base'!F$12,ROUND('Calc base'!F$13*AW106,2))))</f>
        <v>0</v>
      </c>
      <c r="N107">
        <f>IF(AX106&lt;=0,0,IF(ROUND(AX106*(1+'Calc base'!L107),2)-MAX('Calc base'!G$12,ROUND('Calc base'!G$13*AX106,2))&lt;1,ROUND(AX106*(1+'Calc base'!L107),2),MAX('Calc base'!G$12,ROUND('Calc base'!G$13*AX106,2))))</f>
        <v>0</v>
      </c>
      <c r="O107">
        <f>IF(AY106&lt;=0,0,IF(ROUND(AY106*(1+'Calc base'!M107),2)-MAX('Calc base'!H$12,ROUND('Calc base'!H$13*AY106,2))&lt;1,ROUND(AY106*(1+'Calc base'!M107),2),MAX('Calc base'!H$12,ROUND('Calc base'!H$13*AY106,2))))</f>
        <v>0</v>
      </c>
      <c r="P107">
        <f>IF(AZ106&lt;=0,0,IF(ROUND(AZ106*(1+'Calc base'!N107),2)-MAX('Calc base'!I$12,ROUND('Calc base'!I$13*AZ106,2))&lt;1,ROUND(AZ106*(1+'Calc base'!N107),2),MAX('Calc base'!I$12,ROUND('Calc base'!I$13*AZ106,2))))</f>
        <v>0</v>
      </c>
      <c r="Q107">
        <f>IF(BA106&lt;=0,0,IF(ROUND(BA106*(1+'Calc base'!O107),2)-MAX('Calc base'!J$12,ROUND('Calc base'!J$13*BA106,2))&lt;1,ROUND(BA106*(1+'Calc base'!O107),2),MAX('Calc base'!J$12,ROUND('Calc base'!J$13*BA106,2))))</f>
        <v>0</v>
      </c>
      <c r="R107">
        <f>IF(BB106&lt;=0,0,IF(ROUND(BB106*(1+'Calc base'!P107),2)-MAX('Calc base'!K$12,ROUND('Calc base'!K$13*BB106,2))&lt;1,ROUND(BB106*(1+'Calc base'!P107),2),MAX('Calc base'!K$12,ROUND('Calc base'!K$13*BB106,2))))</f>
        <v>0</v>
      </c>
      <c r="S107">
        <f>IF(BC106&lt;=0,0,IF(ROUND(BC106*(1+'Calc base'!Q107),2)-MAX('Calc base'!L$12,ROUND('Calc base'!L$13*BC106,2))&lt;1,ROUND(BC106*(1+'Calc base'!Q107),2),MAX('Calc base'!L$12,ROUND('Calc base'!L$13*BC106,2))))</f>
        <v>0</v>
      </c>
      <c r="T107">
        <f>IF(BD106&lt;=0,0,IF(ROUND(BD106*(1+'Calc base'!R107),2)-MAX('Calc base'!M$12,ROUND('Calc base'!M$13*BD106,2))&lt;1,ROUND(BD106*(1+'Calc base'!R107),2),MAX('Calc base'!M$12,ROUND('Calc base'!M$13*BD106,2))))</f>
        <v>0</v>
      </c>
      <c r="U107">
        <f>IF(BE106&lt;=0,0,IF(ROUND(BE106*(1+'Calc base'!S107),2)-MAX('Calc base'!N$12,ROUND('Calc base'!N$13*BE106,2))&lt;1,ROUND(BE106*(1+'Calc base'!S107),2),MAX('Calc base'!N$12,ROUND('Calc base'!N$13*BE106,2))))</f>
        <v>0</v>
      </c>
      <c r="V107">
        <f>MAX(0,ROUND(AT106*(1+'Calc base'!H107),2)-J107-'Calc base'!T107)</f>
        <v>0</v>
      </c>
      <c r="W107">
        <f>MAX(0,ROUND(AU106*(1+'Calc base'!I107),2)-K107-'Calc base'!U107)</f>
        <v>0</v>
      </c>
      <c r="X107">
        <f>MAX(0,ROUND(AV106*(1+'Calc base'!J107),2)-L107-'Calc base'!V107)</f>
        <v>0</v>
      </c>
      <c r="Y107">
        <f>MAX(0,ROUND(AW106*(1+'Calc base'!K107),2)-M107-'Calc base'!W107)</f>
        <v>0</v>
      </c>
      <c r="Z107">
        <f>MAX(0,ROUND(AX106*(1+'Calc base'!L107),2)-N107-'Calc base'!X107)</f>
        <v>0</v>
      </c>
      <c r="AA107">
        <f>MAX(0,ROUND(AY106*(1+'Calc base'!M107),2)-O107-'Calc base'!Y107)</f>
        <v>0</v>
      </c>
      <c r="AB107">
        <f>MAX(0,ROUND(AZ106*(1+'Calc base'!N107),2)-P107-'Calc base'!Z107)</f>
        <v>0</v>
      </c>
      <c r="AC107">
        <f>MAX(0,ROUND(BA106*(1+'Calc base'!O107),2)-Q107-'Calc base'!AA107)</f>
        <v>0</v>
      </c>
      <c r="AD107">
        <f>MAX(0,ROUND(BB106*(1+'Calc base'!P107),2)-R107-'Calc base'!AB107)</f>
        <v>0</v>
      </c>
      <c r="AE107">
        <f>MAX(0,ROUND(BC106*(1+'Calc base'!Q107),2)-S107-'Calc base'!AC107)</f>
        <v>0</v>
      </c>
      <c r="AF107">
        <f>MAX(0,ROUND(BD106*(1+'Calc base'!R107),2)-T107-'Calc base'!AD107)</f>
        <v>0</v>
      </c>
      <c r="AG107">
        <f>MAX(0,ROUND(BE106*(1+'Calc base'!S107),2)-U107-'Calc base'!AE107)</f>
        <v>0</v>
      </c>
      <c r="AH107">
        <f>IF('Calc base'!C$14=0,0,MIN(V107,MAX(0,$E107-SUMPRODUCT($V107:$AG107,'Calc base'!$C$14:$N$14,('Calc base'!$H107:$S107&gt;'Calc base'!H107)+('Calc base'!$H107:$S107='Calc base'!H107)*('Calc base'!$C$17:$N$17&lt;'Calc base'!C$17)))))</f>
        <v>0</v>
      </c>
      <c r="AI107">
        <f>IF('Calc base'!D$14=0,0,MIN(W107,MAX(0,$E107-SUMPRODUCT($V107:$AG107,'Calc base'!$C$14:$N$14,('Calc base'!$H107:$S107&gt;'Calc base'!I107)+('Calc base'!$H107:$S107='Calc base'!I107)*('Calc base'!$C$17:$N$17&lt;'Calc base'!D$17)))))</f>
        <v>0</v>
      </c>
      <c r="AJ107">
        <f>IF('Calc base'!E$14=0,0,MIN(X107,MAX(0,$E107-SUMPRODUCT($V107:$AG107,'Calc base'!$C$14:$N$14,('Calc base'!$H107:$S107&gt;'Calc base'!J107)+('Calc base'!$H107:$S107='Calc base'!J107)*('Calc base'!$C$17:$N$17&lt;'Calc base'!E$17)))))</f>
        <v>0</v>
      </c>
      <c r="AK107">
        <f>IF('Calc base'!F$14=0,0,MIN(Y107,MAX(0,$E107-SUMPRODUCT($V107:$AG107,'Calc base'!$C$14:$N$14,('Calc base'!$H107:$S107&gt;'Calc base'!K107)+('Calc base'!$H107:$S107='Calc base'!K107)*('Calc base'!$C$17:$N$17&lt;'Calc base'!F$17)))))</f>
        <v>0</v>
      </c>
      <c r="AL107">
        <f>IF('Calc base'!G$14=0,0,MIN(Z107,MAX(0,$E107-SUMPRODUCT($V107:$AG107,'Calc base'!$C$14:$N$14,('Calc base'!$H107:$S107&gt;'Calc base'!L107)+('Calc base'!$H107:$S107='Calc base'!L107)*('Calc base'!$C$17:$N$17&lt;'Calc base'!G$17)))))</f>
        <v>0</v>
      </c>
      <c r="AM107">
        <f>IF('Calc base'!H$14=0,0,MIN(AA107,MAX(0,$E107-SUMPRODUCT($V107:$AG107,'Calc base'!$C$14:$N$14,('Calc base'!$H107:$S107&gt;'Calc base'!M107)+('Calc base'!$H107:$S107='Calc base'!M107)*('Calc base'!$C$17:$N$17&lt;'Calc base'!H$17)))))</f>
        <v>0</v>
      </c>
      <c r="AN107">
        <f>IF('Calc base'!I$14=0,0,MIN(AB107,MAX(0,$E107-SUMPRODUCT($V107:$AG107,'Calc base'!$C$14:$N$14,('Calc base'!$H107:$S107&gt;'Calc base'!N107)+('Calc base'!$H107:$S107='Calc base'!N107)*('Calc base'!$C$17:$N$17&lt;'Calc base'!I$17)))))</f>
        <v>0</v>
      </c>
      <c r="AO107">
        <f>IF('Calc base'!J$14=0,0,MIN(AC107,MAX(0,$E107-SUMPRODUCT($V107:$AG107,'Calc base'!$C$14:$N$14,('Calc base'!$H107:$S107&gt;'Calc base'!O107)+('Calc base'!$H107:$S107='Calc base'!O107)*('Calc base'!$C$17:$N$17&lt;'Calc base'!J$17)))))</f>
        <v>0</v>
      </c>
      <c r="AP107">
        <f>IF('Calc base'!K$14=0,0,MIN(AD107,MAX(0,$E107-SUMPRODUCT($V107:$AG107,'Calc base'!$C$14:$N$14,('Calc base'!$H107:$S107&gt;'Calc base'!P107)+('Calc base'!$H107:$S107='Calc base'!P107)*('Calc base'!$C$17:$N$17&lt;'Calc base'!K$17)))))</f>
        <v>0</v>
      </c>
      <c r="AQ107">
        <f>IF('Calc base'!L$14=0,0,MIN(AE107,MAX(0,$E107-SUMPRODUCT($V107:$AG107,'Calc base'!$C$14:$N$14,('Calc base'!$H107:$S107&gt;'Calc base'!Q107)+('Calc base'!$H107:$S107='Calc base'!Q107)*('Calc base'!$C$17:$N$17&lt;'Calc base'!L$17)))))</f>
        <v>0</v>
      </c>
      <c r="AR107">
        <f>IF('Calc base'!M$14=0,0,MIN(AF107,MAX(0,$E107-SUMPRODUCT($V107:$AG107,'Calc base'!$C$14:$N$14,('Calc base'!$H107:$S107&gt;'Calc base'!R107)+('Calc base'!$H107:$S107='Calc base'!R107)*('Calc base'!$C$17:$N$17&lt;'Calc base'!M$17)))))</f>
        <v>0</v>
      </c>
      <c r="AS107">
        <f>IF('Calc base'!N$14=0,0,MIN(AG107,MAX(0,$E107-SUMPRODUCT($V107:$AG107,'Calc base'!$C$14:$N$14,('Calc base'!$H107:$S107&gt;'Calc base'!S107)+('Calc base'!$H107:$S107='Calc base'!S107)*('Calc base'!$C$17:$N$17&lt;'Calc base'!N$17)))))</f>
        <v>0</v>
      </c>
      <c r="AT107">
        <f>V107-AH107</f>
        <v>0</v>
      </c>
      <c r="AU107">
        <f>W107-AI107</f>
        <v>0</v>
      </c>
      <c r="AV107">
        <f>X107-AJ107</f>
        <v>0</v>
      </c>
      <c r="AW107">
        <f>Y107-AK107</f>
        <v>0</v>
      </c>
      <c r="AX107">
        <f>Z107-AL107</f>
        <v>0</v>
      </c>
      <c r="AY107">
        <f>AA107-AM107</f>
        <v>0</v>
      </c>
      <c r="AZ107">
        <f>AB107-AN107</f>
        <v>0</v>
      </c>
      <c r="BA107">
        <f>AC107-AO107</f>
        <v>0</v>
      </c>
      <c r="BB107">
        <f>AD107-AP107</f>
        <v>0</v>
      </c>
      <c r="BC107">
        <f>AE107-AQ107</f>
        <v>0</v>
      </c>
      <c r="BD107">
        <f>AF107-AR107</f>
        <v>0</v>
      </c>
      <c r="BE107">
        <f>AG107-AS107</f>
        <v>0</v>
      </c>
    </row>
    <row r="108">
      <c r="A108" t="n">
        <v>78</v>
      </c>
      <c r="B108">
        <f>SUMPRODUCT(ROUND($AT107:$BE107*(1+'Calc base'!$H108:$S108),2))</f>
        <v>0</v>
      </c>
      <c r="C108">
        <f>SUM(J108:U108)</f>
        <v>0</v>
      </c>
      <c r="D108">
        <f>SUM(V108:AG108)</f>
        <v>0</v>
      </c>
      <c r="E108">
        <f>MAX(0,IF(Impostazioni!$B$7="No",'Calc base'!$C108-$C$31,'Calc base'!$C108-C108)+'Calc base'!$G108+'Calc base'!$F108-(B108-C108-D108))</f>
        <v>900</v>
      </c>
      <c r="F108">
        <f>SUM(AH108:AS108)</f>
        <v>0</v>
      </c>
      <c r="G108">
        <f>SUM(AT108:BE108)</f>
        <v>0</v>
      </c>
      <c r="H108">
        <f>B108-G107</f>
        <v>0</v>
      </c>
      <c r="I108">
        <f>B108-G108</f>
        <v>0</v>
      </c>
      <c r="J108">
        <f>IF(AT107&lt;=0,0,IF(ROUND(AT107*(1+'Calc base'!H108),2)-MAX('Calc base'!C$12,ROUND('Calc base'!C$13*AT107,2))&lt;1,ROUND(AT107*(1+'Calc base'!H108),2),MAX('Calc base'!C$12,ROUND('Calc base'!C$13*AT107,2))))</f>
        <v>0</v>
      </c>
      <c r="K108">
        <f>IF(AU107&lt;=0,0,IF(ROUND(AU107*(1+'Calc base'!I108),2)-MAX('Calc base'!D$12,ROUND('Calc base'!D$13*AU107,2))&lt;1,ROUND(AU107*(1+'Calc base'!I108),2),MAX('Calc base'!D$12,ROUND('Calc base'!D$13*AU107,2))))</f>
        <v>0</v>
      </c>
      <c r="L108">
        <f>IF(AV107&lt;=0,0,IF(ROUND(AV107*(1+'Calc base'!J108),2)-MAX('Calc base'!E$12,ROUND('Calc base'!E$13*AV107,2))&lt;1,ROUND(AV107*(1+'Calc base'!J108),2),MAX('Calc base'!E$12,ROUND('Calc base'!E$13*AV107,2))))</f>
        <v>0</v>
      </c>
      <c r="M108">
        <f>IF(AW107&lt;=0,0,IF(ROUND(AW107*(1+'Calc base'!K108),2)-MAX('Calc base'!F$12,ROUND('Calc base'!F$13*AW107,2))&lt;1,ROUND(AW107*(1+'Calc base'!K108),2),MAX('Calc base'!F$12,ROUND('Calc base'!F$13*AW107,2))))</f>
        <v>0</v>
      </c>
      <c r="N108">
        <f>IF(AX107&lt;=0,0,IF(ROUND(AX107*(1+'Calc base'!L108),2)-MAX('Calc base'!G$12,ROUND('Calc base'!G$13*AX107,2))&lt;1,ROUND(AX107*(1+'Calc base'!L108),2),MAX('Calc base'!G$12,ROUND('Calc base'!G$13*AX107,2))))</f>
        <v>0</v>
      </c>
      <c r="O108">
        <f>IF(AY107&lt;=0,0,IF(ROUND(AY107*(1+'Calc base'!M108),2)-MAX('Calc base'!H$12,ROUND('Calc base'!H$13*AY107,2))&lt;1,ROUND(AY107*(1+'Calc base'!M108),2),MAX('Calc base'!H$12,ROUND('Calc base'!H$13*AY107,2))))</f>
        <v>0</v>
      </c>
      <c r="P108">
        <f>IF(AZ107&lt;=0,0,IF(ROUND(AZ107*(1+'Calc base'!N108),2)-MAX('Calc base'!I$12,ROUND('Calc base'!I$13*AZ107,2))&lt;1,ROUND(AZ107*(1+'Calc base'!N108),2),MAX('Calc base'!I$12,ROUND('Calc base'!I$13*AZ107,2))))</f>
        <v>0</v>
      </c>
      <c r="Q108">
        <f>IF(BA107&lt;=0,0,IF(ROUND(BA107*(1+'Calc base'!O108),2)-MAX('Calc base'!J$12,ROUND('Calc base'!J$13*BA107,2))&lt;1,ROUND(BA107*(1+'Calc base'!O108),2),MAX('Calc base'!J$12,ROUND('Calc base'!J$13*BA107,2))))</f>
        <v>0</v>
      </c>
      <c r="R108">
        <f>IF(BB107&lt;=0,0,IF(ROUND(BB107*(1+'Calc base'!P108),2)-MAX('Calc base'!K$12,ROUND('Calc base'!K$13*BB107,2))&lt;1,ROUND(BB107*(1+'Calc base'!P108),2),MAX('Calc base'!K$12,ROUND('Calc base'!K$13*BB107,2))))</f>
        <v>0</v>
      </c>
      <c r="S108">
        <f>IF(BC107&lt;=0,0,IF(ROUND(BC107*(1+'Calc base'!Q108),2)-MAX('Calc base'!L$12,ROUND('Calc base'!L$13*BC107,2))&lt;1,ROUND(BC107*(1+'Calc base'!Q108),2),MAX('Calc base'!L$12,ROUND('Calc base'!L$13*BC107,2))))</f>
        <v>0</v>
      </c>
      <c r="T108">
        <f>IF(BD107&lt;=0,0,IF(ROUND(BD107*(1+'Calc base'!R108),2)-MAX('Calc base'!M$12,ROUND('Calc base'!M$13*BD107,2))&lt;1,ROUND(BD107*(1+'Calc base'!R108),2),MAX('Calc base'!M$12,ROUND('Calc base'!M$13*BD107,2))))</f>
        <v>0</v>
      </c>
      <c r="U108">
        <f>IF(BE107&lt;=0,0,IF(ROUND(BE107*(1+'Calc base'!S108),2)-MAX('Calc base'!N$12,ROUND('Calc base'!N$13*BE107,2))&lt;1,ROUND(BE107*(1+'Calc base'!S108),2),MAX('Calc base'!N$12,ROUND('Calc base'!N$13*BE107,2))))</f>
        <v>0</v>
      </c>
      <c r="V108">
        <f>MAX(0,ROUND(AT107*(1+'Calc base'!H108),2)-J108-'Calc base'!T108)</f>
        <v>0</v>
      </c>
      <c r="W108">
        <f>MAX(0,ROUND(AU107*(1+'Calc base'!I108),2)-K108-'Calc base'!U108)</f>
        <v>0</v>
      </c>
      <c r="X108">
        <f>MAX(0,ROUND(AV107*(1+'Calc base'!J108),2)-L108-'Calc base'!V108)</f>
        <v>0</v>
      </c>
      <c r="Y108">
        <f>MAX(0,ROUND(AW107*(1+'Calc base'!K108),2)-M108-'Calc base'!W108)</f>
        <v>0</v>
      </c>
      <c r="Z108">
        <f>MAX(0,ROUND(AX107*(1+'Calc base'!L108),2)-N108-'Calc base'!X108)</f>
        <v>0</v>
      </c>
      <c r="AA108">
        <f>MAX(0,ROUND(AY107*(1+'Calc base'!M108),2)-O108-'Calc base'!Y108)</f>
        <v>0</v>
      </c>
      <c r="AB108">
        <f>MAX(0,ROUND(AZ107*(1+'Calc base'!N108),2)-P108-'Calc base'!Z108)</f>
        <v>0</v>
      </c>
      <c r="AC108">
        <f>MAX(0,ROUND(BA107*(1+'Calc base'!O108),2)-Q108-'Calc base'!AA108)</f>
        <v>0</v>
      </c>
      <c r="AD108">
        <f>MAX(0,ROUND(BB107*(1+'Calc base'!P108),2)-R108-'Calc base'!AB108)</f>
        <v>0</v>
      </c>
      <c r="AE108">
        <f>MAX(0,ROUND(BC107*(1+'Calc base'!Q108),2)-S108-'Calc base'!AC108)</f>
        <v>0</v>
      </c>
      <c r="AF108">
        <f>MAX(0,ROUND(BD107*(1+'Calc base'!R108),2)-T108-'Calc base'!AD108)</f>
        <v>0</v>
      </c>
      <c r="AG108">
        <f>MAX(0,ROUND(BE107*(1+'Calc base'!S108),2)-U108-'Calc base'!AE108)</f>
        <v>0</v>
      </c>
      <c r="AH108">
        <f>IF('Calc base'!C$14=0,0,MIN(V108,MAX(0,$E108-SUMPRODUCT($V108:$AG108,'Calc base'!$C$14:$N$14,('Calc base'!$H108:$S108&gt;'Calc base'!H108)+('Calc base'!$H108:$S108='Calc base'!H108)*('Calc base'!$C$17:$N$17&lt;'Calc base'!C$17)))))</f>
        <v>0</v>
      </c>
      <c r="AI108">
        <f>IF('Calc base'!D$14=0,0,MIN(W108,MAX(0,$E108-SUMPRODUCT($V108:$AG108,'Calc base'!$C$14:$N$14,('Calc base'!$H108:$S108&gt;'Calc base'!I108)+('Calc base'!$H108:$S108='Calc base'!I108)*('Calc base'!$C$17:$N$17&lt;'Calc base'!D$17)))))</f>
        <v>0</v>
      </c>
      <c r="AJ108">
        <f>IF('Calc base'!E$14=0,0,MIN(X108,MAX(0,$E108-SUMPRODUCT($V108:$AG108,'Calc base'!$C$14:$N$14,('Calc base'!$H108:$S108&gt;'Calc base'!J108)+('Calc base'!$H108:$S108='Calc base'!J108)*('Calc base'!$C$17:$N$17&lt;'Calc base'!E$17)))))</f>
        <v>0</v>
      </c>
      <c r="AK108">
        <f>IF('Calc base'!F$14=0,0,MIN(Y108,MAX(0,$E108-SUMPRODUCT($V108:$AG108,'Calc base'!$C$14:$N$14,('Calc base'!$H108:$S108&gt;'Calc base'!K108)+('Calc base'!$H108:$S108='Calc base'!K108)*('Calc base'!$C$17:$N$17&lt;'Calc base'!F$17)))))</f>
        <v>0</v>
      </c>
      <c r="AL108">
        <f>IF('Calc base'!G$14=0,0,MIN(Z108,MAX(0,$E108-SUMPRODUCT($V108:$AG108,'Calc base'!$C$14:$N$14,('Calc base'!$H108:$S108&gt;'Calc base'!L108)+('Calc base'!$H108:$S108='Calc base'!L108)*('Calc base'!$C$17:$N$17&lt;'Calc base'!G$17)))))</f>
        <v>0</v>
      </c>
      <c r="AM108">
        <f>IF('Calc base'!H$14=0,0,MIN(AA108,MAX(0,$E108-SUMPRODUCT($V108:$AG108,'Calc base'!$C$14:$N$14,('Calc base'!$H108:$S108&gt;'Calc base'!M108)+('Calc base'!$H108:$S108='Calc base'!M108)*('Calc base'!$C$17:$N$17&lt;'Calc base'!H$17)))))</f>
        <v>0</v>
      </c>
      <c r="AN108">
        <f>IF('Calc base'!I$14=0,0,MIN(AB108,MAX(0,$E108-SUMPRODUCT($V108:$AG108,'Calc base'!$C$14:$N$14,('Calc base'!$H108:$S108&gt;'Calc base'!N108)+('Calc base'!$H108:$S108='Calc base'!N108)*('Calc base'!$C$17:$N$17&lt;'Calc base'!I$17)))))</f>
        <v>0</v>
      </c>
      <c r="AO108">
        <f>IF('Calc base'!J$14=0,0,MIN(AC108,MAX(0,$E108-SUMPRODUCT($V108:$AG108,'Calc base'!$C$14:$N$14,('Calc base'!$H108:$S108&gt;'Calc base'!O108)+('Calc base'!$H108:$S108='Calc base'!O108)*('Calc base'!$C$17:$N$17&lt;'Calc base'!J$17)))))</f>
        <v>0</v>
      </c>
      <c r="AP108">
        <f>IF('Calc base'!K$14=0,0,MIN(AD108,MAX(0,$E108-SUMPRODUCT($V108:$AG108,'Calc base'!$C$14:$N$14,('Calc base'!$H108:$S108&gt;'Calc base'!P108)+('Calc base'!$H108:$S108='Calc base'!P108)*('Calc base'!$C$17:$N$17&lt;'Calc base'!K$17)))))</f>
        <v>0</v>
      </c>
      <c r="AQ108">
        <f>IF('Calc base'!L$14=0,0,MIN(AE108,MAX(0,$E108-SUMPRODUCT($V108:$AG108,'Calc base'!$C$14:$N$14,('Calc base'!$H108:$S108&gt;'Calc base'!Q108)+('Calc base'!$H108:$S108='Calc base'!Q108)*('Calc base'!$C$17:$N$17&lt;'Calc base'!L$17)))))</f>
        <v>0</v>
      </c>
      <c r="AR108">
        <f>IF('Calc base'!M$14=0,0,MIN(AF108,MAX(0,$E108-SUMPRODUCT($V108:$AG108,'Calc base'!$C$14:$N$14,('Calc base'!$H108:$S108&gt;'Calc base'!R108)+('Calc base'!$H108:$S108='Calc base'!R108)*('Calc base'!$C$17:$N$17&lt;'Calc base'!M$17)))))</f>
        <v>0</v>
      </c>
      <c r="AS108">
        <f>IF('Calc base'!N$14=0,0,MIN(AG108,MAX(0,$E108-SUMPRODUCT($V108:$AG108,'Calc base'!$C$14:$N$14,('Calc base'!$H108:$S108&gt;'Calc base'!S108)+('Calc base'!$H108:$S108='Calc base'!S108)*('Calc base'!$C$17:$N$17&lt;'Calc base'!N$17)))))</f>
        <v>0</v>
      </c>
      <c r="AT108">
        <f>V108-AH108</f>
        <v>0</v>
      </c>
      <c r="AU108">
        <f>W108-AI108</f>
        <v>0</v>
      </c>
      <c r="AV108">
        <f>X108-AJ108</f>
        <v>0</v>
      </c>
      <c r="AW108">
        <f>Y108-AK108</f>
        <v>0</v>
      </c>
      <c r="AX108">
        <f>Z108-AL108</f>
        <v>0</v>
      </c>
      <c r="AY108">
        <f>AA108-AM108</f>
        <v>0</v>
      </c>
      <c r="AZ108">
        <f>AB108-AN108</f>
        <v>0</v>
      </c>
      <c r="BA108">
        <f>AC108-AO108</f>
        <v>0</v>
      </c>
      <c r="BB108">
        <f>AD108-AP108</f>
        <v>0</v>
      </c>
      <c r="BC108">
        <f>AE108-AQ108</f>
        <v>0</v>
      </c>
      <c r="BD108">
        <f>AF108-AR108</f>
        <v>0</v>
      </c>
      <c r="BE108">
        <f>AG108-AS108</f>
        <v>0</v>
      </c>
    </row>
    <row r="109">
      <c r="A109" t="n">
        <v>79</v>
      </c>
      <c r="B109">
        <f>SUMPRODUCT(ROUND($AT108:$BE108*(1+'Calc base'!$H109:$S109),2))</f>
        <v>0</v>
      </c>
      <c r="C109">
        <f>SUM(J109:U109)</f>
        <v>0</v>
      </c>
      <c r="D109">
        <f>SUM(V109:AG109)</f>
        <v>0</v>
      </c>
      <c r="E109">
        <f>MAX(0,IF(Impostazioni!$B$7="No",'Calc base'!$C109-$C$31,'Calc base'!$C109-C109)+'Calc base'!$G109+'Calc base'!$F109-(B109-C109-D109))</f>
        <v>900</v>
      </c>
      <c r="F109">
        <f>SUM(AH109:AS109)</f>
        <v>0</v>
      </c>
      <c r="G109">
        <f>SUM(AT109:BE109)</f>
        <v>0</v>
      </c>
      <c r="H109">
        <f>B109-G108</f>
        <v>0</v>
      </c>
      <c r="I109">
        <f>B109-G109</f>
        <v>0</v>
      </c>
      <c r="J109">
        <f>IF(AT108&lt;=0,0,IF(ROUND(AT108*(1+'Calc base'!H109),2)-MAX('Calc base'!C$12,ROUND('Calc base'!C$13*AT108,2))&lt;1,ROUND(AT108*(1+'Calc base'!H109),2),MAX('Calc base'!C$12,ROUND('Calc base'!C$13*AT108,2))))</f>
        <v>0</v>
      </c>
      <c r="K109">
        <f>IF(AU108&lt;=0,0,IF(ROUND(AU108*(1+'Calc base'!I109),2)-MAX('Calc base'!D$12,ROUND('Calc base'!D$13*AU108,2))&lt;1,ROUND(AU108*(1+'Calc base'!I109),2),MAX('Calc base'!D$12,ROUND('Calc base'!D$13*AU108,2))))</f>
        <v>0</v>
      </c>
      <c r="L109">
        <f>IF(AV108&lt;=0,0,IF(ROUND(AV108*(1+'Calc base'!J109),2)-MAX('Calc base'!E$12,ROUND('Calc base'!E$13*AV108,2))&lt;1,ROUND(AV108*(1+'Calc base'!J109),2),MAX('Calc base'!E$12,ROUND('Calc base'!E$13*AV108,2))))</f>
        <v>0</v>
      </c>
      <c r="M109">
        <f>IF(AW108&lt;=0,0,IF(ROUND(AW108*(1+'Calc base'!K109),2)-MAX('Calc base'!F$12,ROUND('Calc base'!F$13*AW108,2))&lt;1,ROUND(AW108*(1+'Calc base'!K109),2),MAX('Calc base'!F$12,ROUND('Calc base'!F$13*AW108,2))))</f>
        <v>0</v>
      </c>
      <c r="N109">
        <f>IF(AX108&lt;=0,0,IF(ROUND(AX108*(1+'Calc base'!L109),2)-MAX('Calc base'!G$12,ROUND('Calc base'!G$13*AX108,2))&lt;1,ROUND(AX108*(1+'Calc base'!L109),2),MAX('Calc base'!G$12,ROUND('Calc base'!G$13*AX108,2))))</f>
        <v>0</v>
      </c>
      <c r="O109">
        <f>IF(AY108&lt;=0,0,IF(ROUND(AY108*(1+'Calc base'!M109),2)-MAX('Calc base'!H$12,ROUND('Calc base'!H$13*AY108,2))&lt;1,ROUND(AY108*(1+'Calc base'!M109),2),MAX('Calc base'!H$12,ROUND('Calc base'!H$13*AY108,2))))</f>
        <v>0</v>
      </c>
      <c r="P109">
        <f>IF(AZ108&lt;=0,0,IF(ROUND(AZ108*(1+'Calc base'!N109),2)-MAX('Calc base'!I$12,ROUND('Calc base'!I$13*AZ108,2))&lt;1,ROUND(AZ108*(1+'Calc base'!N109),2),MAX('Calc base'!I$12,ROUND('Calc base'!I$13*AZ108,2))))</f>
        <v>0</v>
      </c>
      <c r="Q109">
        <f>IF(BA108&lt;=0,0,IF(ROUND(BA108*(1+'Calc base'!O109),2)-MAX('Calc base'!J$12,ROUND('Calc base'!J$13*BA108,2))&lt;1,ROUND(BA108*(1+'Calc base'!O109),2),MAX('Calc base'!J$12,ROUND('Calc base'!J$13*BA108,2))))</f>
        <v>0</v>
      </c>
      <c r="R109">
        <f>IF(BB108&lt;=0,0,IF(ROUND(BB108*(1+'Calc base'!P109),2)-MAX('Calc base'!K$12,ROUND('Calc base'!K$13*BB108,2))&lt;1,ROUND(BB108*(1+'Calc base'!P109),2),MAX('Calc base'!K$12,ROUND('Calc base'!K$13*BB108,2))))</f>
        <v>0</v>
      </c>
      <c r="S109">
        <f>IF(BC108&lt;=0,0,IF(ROUND(BC108*(1+'Calc base'!Q109),2)-MAX('Calc base'!L$12,ROUND('Calc base'!L$13*BC108,2))&lt;1,ROUND(BC108*(1+'Calc base'!Q109),2),MAX('Calc base'!L$12,ROUND('Calc base'!L$13*BC108,2))))</f>
        <v>0</v>
      </c>
      <c r="T109">
        <f>IF(BD108&lt;=0,0,IF(ROUND(BD108*(1+'Calc base'!R109),2)-MAX('Calc base'!M$12,ROUND('Calc base'!M$13*BD108,2))&lt;1,ROUND(BD108*(1+'Calc base'!R109),2),MAX('Calc base'!M$12,ROUND('Calc base'!M$13*BD108,2))))</f>
        <v>0</v>
      </c>
      <c r="U109">
        <f>IF(BE108&lt;=0,0,IF(ROUND(BE108*(1+'Calc base'!S109),2)-MAX('Calc base'!N$12,ROUND('Calc base'!N$13*BE108,2))&lt;1,ROUND(BE108*(1+'Calc base'!S109),2),MAX('Calc base'!N$12,ROUND('Calc base'!N$13*BE108,2))))</f>
        <v>0</v>
      </c>
      <c r="V109">
        <f>MAX(0,ROUND(AT108*(1+'Calc base'!H109),2)-J109-'Calc base'!T109)</f>
        <v>0</v>
      </c>
      <c r="W109">
        <f>MAX(0,ROUND(AU108*(1+'Calc base'!I109),2)-K109-'Calc base'!U109)</f>
        <v>0</v>
      </c>
      <c r="X109">
        <f>MAX(0,ROUND(AV108*(1+'Calc base'!J109),2)-L109-'Calc base'!V109)</f>
        <v>0</v>
      </c>
      <c r="Y109">
        <f>MAX(0,ROUND(AW108*(1+'Calc base'!K109),2)-M109-'Calc base'!W109)</f>
        <v>0</v>
      </c>
      <c r="Z109">
        <f>MAX(0,ROUND(AX108*(1+'Calc base'!L109),2)-N109-'Calc base'!X109)</f>
        <v>0</v>
      </c>
      <c r="AA109">
        <f>MAX(0,ROUND(AY108*(1+'Calc base'!M109),2)-O109-'Calc base'!Y109)</f>
        <v>0</v>
      </c>
      <c r="AB109">
        <f>MAX(0,ROUND(AZ108*(1+'Calc base'!N109),2)-P109-'Calc base'!Z109)</f>
        <v>0</v>
      </c>
      <c r="AC109">
        <f>MAX(0,ROUND(BA108*(1+'Calc base'!O109),2)-Q109-'Calc base'!AA109)</f>
        <v>0</v>
      </c>
      <c r="AD109">
        <f>MAX(0,ROUND(BB108*(1+'Calc base'!P109),2)-R109-'Calc base'!AB109)</f>
        <v>0</v>
      </c>
      <c r="AE109">
        <f>MAX(0,ROUND(BC108*(1+'Calc base'!Q109),2)-S109-'Calc base'!AC109)</f>
        <v>0</v>
      </c>
      <c r="AF109">
        <f>MAX(0,ROUND(BD108*(1+'Calc base'!R109),2)-T109-'Calc base'!AD109)</f>
        <v>0</v>
      </c>
      <c r="AG109">
        <f>MAX(0,ROUND(BE108*(1+'Calc base'!S109),2)-U109-'Calc base'!AE109)</f>
        <v>0</v>
      </c>
      <c r="AH109">
        <f>IF('Calc base'!C$14=0,0,MIN(V109,MAX(0,$E109-SUMPRODUCT($V109:$AG109,'Calc base'!$C$14:$N$14,('Calc base'!$H109:$S109&gt;'Calc base'!H109)+('Calc base'!$H109:$S109='Calc base'!H109)*('Calc base'!$C$17:$N$17&lt;'Calc base'!C$17)))))</f>
        <v>0</v>
      </c>
      <c r="AI109">
        <f>IF('Calc base'!D$14=0,0,MIN(W109,MAX(0,$E109-SUMPRODUCT($V109:$AG109,'Calc base'!$C$14:$N$14,('Calc base'!$H109:$S109&gt;'Calc base'!I109)+('Calc base'!$H109:$S109='Calc base'!I109)*('Calc base'!$C$17:$N$17&lt;'Calc base'!D$17)))))</f>
        <v>0</v>
      </c>
      <c r="AJ109">
        <f>IF('Calc base'!E$14=0,0,MIN(X109,MAX(0,$E109-SUMPRODUCT($V109:$AG109,'Calc base'!$C$14:$N$14,('Calc base'!$H109:$S109&gt;'Calc base'!J109)+('Calc base'!$H109:$S109='Calc base'!J109)*('Calc base'!$C$17:$N$17&lt;'Calc base'!E$17)))))</f>
        <v>0</v>
      </c>
      <c r="AK109">
        <f>IF('Calc base'!F$14=0,0,MIN(Y109,MAX(0,$E109-SUMPRODUCT($V109:$AG109,'Calc base'!$C$14:$N$14,('Calc base'!$H109:$S109&gt;'Calc base'!K109)+('Calc base'!$H109:$S109='Calc base'!K109)*('Calc base'!$C$17:$N$17&lt;'Calc base'!F$17)))))</f>
        <v>0</v>
      </c>
      <c r="AL109">
        <f>IF('Calc base'!G$14=0,0,MIN(Z109,MAX(0,$E109-SUMPRODUCT($V109:$AG109,'Calc base'!$C$14:$N$14,('Calc base'!$H109:$S109&gt;'Calc base'!L109)+('Calc base'!$H109:$S109='Calc base'!L109)*('Calc base'!$C$17:$N$17&lt;'Calc base'!G$17)))))</f>
        <v>0</v>
      </c>
      <c r="AM109">
        <f>IF('Calc base'!H$14=0,0,MIN(AA109,MAX(0,$E109-SUMPRODUCT($V109:$AG109,'Calc base'!$C$14:$N$14,('Calc base'!$H109:$S109&gt;'Calc base'!M109)+('Calc base'!$H109:$S109='Calc base'!M109)*('Calc base'!$C$17:$N$17&lt;'Calc base'!H$17)))))</f>
        <v>0</v>
      </c>
      <c r="AN109">
        <f>IF('Calc base'!I$14=0,0,MIN(AB109,MAX(0,$E109-SUMPRODUCT($V109:$AG109,'Calc base'!$C$14:$N$14,('Calc base'!$H109:$S109&gt;'Calc base'!N109)+('Calc base'!$H109:$S109='Calc base'!N109)*('Calc base'!$C$17:$N$17&lt;'Calc base'!I$17)))))</f>
        <v>0</v>
      </c>
      <c r="AO109">
        <f>IF('Calc base'!J$14=0,0,MIN(AC109,MAX(0,$E109-SUMPRODUCT($V109:$AG109,'Calc base'!$C$14:$N$14,('Calc base'!$H109:$S109&gt;'Calc base'!O109)+('Calc base'!$H109:$S109='Calc base'!O109)*('Calc base'!$C$17:$N$17&lt;'Calc base'!J$17)))))</f>
        <v>0</v>
      </c>
      <c r="AP109">
        <f>IF('Calc base'!K$14=0,0,MIN(AD109,MAX(0,$E109-SUMPRODUCT($V109:$AG109,'Calc base'!$C$14:$N$14,('Calc base'!$H109:$S109&gt;'Calc base'!P109)+('Calc base'!$H109:$S109='Calc base'!P109)*('Calc base'!$C$17:$N$17&lt;'Calc base'!K$17)))))</f>
        <v>0</v>
      </c>
      <c r="AQ109">
        <f>IF('Calc base'!L$14=0,0,MIN(AE109,MAX(0,$E109-SUMPRODUCT($V109:$AG109,'Calc base'!$C$14:$N$14,('Calc base'!$H109:$S109&gt;'Calc base'!Q109)+('Calc base'!$H109:$S109='Calc base'!Q109)*('Calc base'!$C$17:$N$17&lt;'Calc base'!L$17)))))</f>
        <v>0</v>
      </c>
      <c r="AR109">
        <f>IF('Calc base'!M$14=0,0,MIN(AF109,MAX(0,$E109-SUMPRODUCT($V109:$AG109,'Calc base'!$C$14:$N$14,('Calc base'!$H109:$S109&gt;'Calc base'!R109)+('Calc base'!$H109:$S109='Calc base'!R109)*('Calc base'!$C$17:$N$17&lt;'Calc base'!M$17)))))</f>
        <v>0</v>
      </c>
      <c r="AS109">
        <f>IF('Calc base'!N$14=0,0,MIN(AG109,MAX(0,$E109-SUMPRODUCT($V109:$AG109,'Calc base'!$C$14:$N$14,('Calc base'!$H109:$S109&gt;'Calc base'!S109)+('Calc base'!$H109:$S109='Calc base'!S109)*('Calc base'!$C$17:$N$17&lt;'Calc base'!N$17)))))</f>
        <v>0</v>
      </c>
      <c r="AT109">
        <f>V109-AH109</f>
        <v>0</v>
      </c>
      <c r="AU109">
        <f>W109-AI109</f>
        <v>0</v>
      </c>
      <c r="AV109">
        <f>X109-AJ109</f>
        <v>0</v>
      </c>
      <c r="AW109">
        <f>Y109-AK109</f>
        <v>0</v>
      </c>
      <c r="AX109">
        <f>Z109-AL109</f>
        <v>0</v>
      </c>
      <c r="AY109">
        <f>AA109-AM109</f>
        <v>0</v>
      </c>
      <c r="AZ109">
        <f>AB109-AN109</f>
        <v>0</v>
      </c>
      <c r="BA109">
        <f>AC109-AO109</f>
        <v>0</v>
      </c>
      <c r="BB109">
        <f>AD109-AP109</f>
        <v>0</v>
      </c>
      <c r="BC109">
        <f>AE109-AQ109</f>
        <v>0</v>
      </c>
      <c r="BD109">
        <f>AF109-AR109</f>
        <v>0</v>
      </c>
      <c r="BE109">
        <f>AG109-AS109</f>
        <v>0</v>
      </c>
    </row>
    <row r="110">
      <c r="A110" t="n">
        <v>80</v>
      </c>
      <c r="B110">
        <f>SUMPRODUCT(ROUND($AT109:$BE109*(1+'Calc base'!$H110:$S110),2))</f>
        <v>0</v>
      </c>
      <c r="C110">
        <f>SUM(J110:U110)</f>
        <v>0</v>
      </c>
      <c r="D110">
        <f>SUM(V110:AG110)</f>
        <v>0</v>
      </c>
      <c r="E110">
        <f>MAX(0,IF(Impostazioni!$B$7="No",'Calc base'!$C110-$C$31,'Calc base'!$C110-C110)+'Calc base'!$G110+'Calc base'!$F110-(B110-C110-D110))</f>
        <v>900</v>
      </c>
      <c r="F110">
        <f>SUM(AH110:AS110)</f>
        <v>0</v>
      </c>
      <c r="G110">
        <f>SUM(AT110:BE110)</f>
        <v>0</v>
      </c>
      <c r="H110">
        <f>B110-G109</f>
        <v>0</v>
      </c>
      <c r="I110">
        <f>B110-G110</f>
        <v>0</v>
      </c>
      <c r="J110">
        <f>IF(AT109&lt;=0,0,IF(ROUND(AT109*(1+'Calc base'!H110),2)-MAX('Calc base'!C$12,ROUND('Calc base'!C$13*AT109,2))&lt;1,ROUND(AT109*(1+'Calc base'!H110),2),MAX('Calc base'!C$12,ROUND('Calc base'!C$13*AT109,2))))</f>
        <v>0</v>
      </c>
      <c r="K110">
        <f>IF(AU109&lt;=0,0,IF(ROUND(AU109*(1+'Calc base'!I110),2)-MAX('Calc base'!D$12,ROUND('Calc base'!D$13*AU109,2))&lt;1,ROUND(AU109*(1+'Calc base'!I110),2),MAX('Calc base'!D$12,ROUND('Calc base'!D$13*AU109,2))))</f>
        <v>0</v>
      </c>
      <c r="L110">
        <f>IF(AV109&lt;=0,0,IF(ROUND(AV109*(1+'Calc base'!J110),2)-MAX('Calc base'!E$12,ROUND('Calc base'!E$13*AV109,2))&lt;1,ROUND(AV109*(1+'Calc base'!J110),2),MAX('Calc base'!E$12,ROUND('Calc base'!E$13*AV109,2))))</f>
        <v>0</v>
      </c>
      <c r="M110">
        <f>IF(AW109&lt;=0,0,IF(ROUND(AW109*(1+'Calc base'!K110),2)-MAX('Calc base'!F$12,ROUND('Calc base'!F$13*AW109,2))&lt;1,ROUND(AW109*(1+'Calc base'!K110),2),MAX('Calc base'!F$12,ROUND('Calc base'!F$13*AW109,2))))</f>
        <v>0</v>
      </c>
      <c r="N110">
        <f>IF(AX109&lt;=0,0,IF(ROUND(AX109*(1+'Calc base'!L110),2)-MAX('Calc base'!G$12,ROUND('Calc base'!G$13*AX109,2))&lt;1,ROUND(AX109*(1+'Calc base'!L110),2),MAX('Calc base'!G$12,ROUND('Calc base'!G$13*AX109,2))))</f>
        <v>0</v>
      </c>
      <c r="O110">
        <f>IF(AY109&lt;=0,0,IF(ROUND(AY109*(1+'Calc base'!M110),2)-MAX('Calc base'!H$12,ROUND('Calc base'!H$13*AY109,2))&lt;1,ROUND(AY109*(1+'Calc base'!M110),2),MAX('Calc base'!H$12,ROUND('Calc base'!H$13*AY109,2))))</f>
        <v>0</v>
      </c>
      <c r="P110">
        <f>IF(AZ109&lt;=0,0,IF(ROUND(AZ109*(1+'Calc base'!N110),2)-MAX('Calc base'!I$12,ROUND('Calc base'!I$13*AZ109,2))&lt;1,ROUND(AZ109*(1+'Calc base'!N110),2),MAX('Calc base'!I$12,ROUND('Calc base'!I$13*AZ109,2))))</f>
        <v>0</v>
      </c>
      <c r="Q110">
        <f>IF(BA109&lt;=0,0,IF(ROUND(BA109*(1+'Calc base'!O110),2)-MAX('Calc base'!J$12,ROUND('Calc base'!J$13*BA109,2))&lt;1,ROUND(BA109*(1+'Calc base'!O110),2),MAX('Calc base'!J$12,ROUND('Calc base'!J$13*BA109,2))))</f>
        <v>0</v>
      </c>
      <c r="R110">
        <f>IF(BB109&lt;=0,0,IF(ROUND(BB109*(1+'Calc base'!P110),2)-MAX('Calc base'!K$12,ROUND('Calc base'!K$13*BB109,2))&lt;1,ROUND(BB109*(1+'Calc base'!P110),2),MAX('Calc base'!K$12,ROUND('Calc base'!K$13*BB109,2))))</f>
        <v>0</v>
      </c>
      <c r="S110">
        <f>IF(BC109&lt;=0,0,IF(ROUND(BC109*(1+'Calc base'!Q110),2)-MAX('Calc base'!L$12,ROUND('Calc base'!L$13*BC109,2))&lt;1,ROUND(BC109*(1+'Calc base'!Q110),2),MAX('Calc base'!L$12,ROUND('Calc base'!L$13*BC109,2))))</f>
        <v>0</v>
      </c>
      <c r="T110">
        <f>IF(BD109&lt;=0,0,IF(ROUND(BD109*(1+'Calc base'!R110),2)-MAX('Calc base'!M$12,ROUND('Calc base'!M$13*BD109,2))&lt;1,ROUND(BD109*(1+'Calc base'!R110),2),MAX('Calc base'!M$12,ROUND('Calc base'!M$13*BD109,2))))</f>
        <v>0</v>
      </c>
      <c r="U110">
        <f>IF(BE109&lt;=0,0,IF(ROUND(BE109*(1+'Calc base'!S110),2)-MAX('Calc base'!N$12,ROUND('Calc base'!N$13*BE109,2))&lt;1,ROUND(BE109*(1+'Calc base'!S110),2),MAX('Calc base'!N$12,ROUND('Calc base'!N$13*BE109,2))))</f>
        <v>0</v>
      </c>
      <c r="V110">
        <f>MAX(0,ROUND(AT109*(1+'Calc base'!H110),2)-J110-'Calc base'!T110)</f>
        <v>0</v>
      </c>
      <c r="W110">
        <f>MAX(0,ROUND(AU109*(1+'Calc base'!I110),2)-K110-'Calc base'!U110)</f>
        <v>0</v>
      </c>
      <c r="X110">
        <f>MAX(0,ROUND(AV109*(1+'Calc base'!J110),2)-L110-'Calc base'!V110)</f>
        <v>0</v>
      </c>
      <c r="Y110">
        <f>MAX(0,ROUND(AW109*(1+'Calc base'!K110),2)-M110-'Calc base'!W110)</f>
        <v>0</v>
      </c>
      <c r="Z110">
        <f>MAX(0,ROUND(AX109*(1+'Calc base'!L110),2)-N110-'Calc base'!X110)</f>
        <v>0</v>
      </c>
      <c r="AA110">
        <f>MAX(0,ROUND(AY109*(1+'Calc base'!M110),2)-O110-'Calc base'!Y110)</f>
        <v>0</v>
      </c>
      <c r="AB110">
        <f>MAX(0,ROUND(AZ109*(1+'Calc base'!N110),2)-P110-'Calc base'!Z110)</f>
        <v>0</v>
      </c>
      <c r="AC110">
        <f>MAX(0,ROUND(BA109*(1+'Calc base'!O110),2)-Q110-'Calc base'!AA110)</f>
        <v>0</v>
      </c>
      <c r="AD110">
        <f>MAX(0,ROUND(BB109*(1+'Calc base'!P110),2)-R110-'Calc base'!AB110)</f>
        <v>0</v>
      </c>
      <c r="AE110">
        <f>MAX(0,ROUND(BC109*(1+'Calc base'!Q110),2)-S110-'Calc base'!AC110)</f>
        <v>0</v>
      </c>
      <c r="AF110">
        <f>MAX(0,ROUND(BD109*(1+'Calc base'!R110),2)-T110-'Calc base'!AD110)</f>
        <v>0</v>
      </c>
      <c r="AG110">
        <f>MAX(0,ROUND(BE109*(1+'Calc base'!S110),2)-U110-'Calc base'!AE110)</f>
        <v>0</v>
      </c>
      <c r="AH110">
        <f>IF('Calc base'!C$14=0,0,MIN(V110,MAX(0,$E110-SUMPRODUCT($V110:$AG110,'Calc base'!$C$14:$N$14,('Calc base'!$H110:$S110&gt;'Calc base'!H110)+('Calc base'!$H110:$S110='Calc base'!H110)*('Calc base'!$C$17:$N$17&lt;'Calc base'!C$17)))))</f>
        <v>0</v>
      </c>
      <c r="AI110">
        <f>IF('Calc base'!D$14=0,0,MIN(W110,MAX(0,$E110-SUMPRODUCT($V110:$AG110,'Calc base'!$C$14:$N$14,('Calc base'!$H110:$S110&gt;'Calc base'!I110)+('Calc base'!$H110:$S110='Calc base'!I110)*('Calc base'!$C$17:$N$17&lt;'Calc base'!D$17)))))</f>
        <v>0</v>
      </c>
      <c r="AJ110">
        <f>IF('Calc base'!E$14=0,0,MIN(X110,MAX(0,$E110-SUMPRODUCT($V110:$AG110,'Calc base'!$C$14:$N$14,('Calc base'!$H110:$S110&gt;'Calc base'!J110)+('Calc base'!$H110:$S110='Calc base'!J110)*('Calc base'!$C$17:$N$17&lt;'Calc base'!E$17)))))</f>
        <v>0</v>
      </c>
      <c r="AK110">
        <f>IF('Calc base'!F$14=0,0,MIN(Y110,MAX(0,$E110-SUMPRODUCT($V110:$AG110,'Calc base'!$C$14:$N$14,('Calc base'!$H110:$S110&gt;'Calc base'!K110)+('Calc base'!$H110:$S110='Calc base'!K110)*('Calc base'!$C$17:$N$17&lt;'Calc base'!F$17)))))</f>
        <v>0</v>
      </c>
      <c r="AL110">
        <f>IF('Calc base'!G$14=0,0,MIN(Z110,MAX(0,$E110-SUMPRODUCT($V110:$AG110,'Calc base'!$C$14:$N$14,('Calc base'!$H110:$S110&gt;'Calc base'!L110)+('Calc base'!$H110:$S110='Calc base'!L110)*('Calc base'!$C$17:$N$17&lt;'Calc base'!G$17)))))</f>
        <v>0</v>
      </c>
      <c r="AM110">
        <f>IF('Calc base'!H$14=0,0,MIN(AA110,MAX(0,$E110-SUMPRODUCT($V110:$AG110,'Calc base'!$C$14:$N$14,('Calc base'!$H110:$S110&gt;'Calc base'!M110)+('Calc base'!$H110:$S110='Calc base'!M110)*('Calc base'!$C$17:$N$17&lt;'Calc base'!H$17)))))</f>
        <v>0</v>
      </c>
      <c r="AN110">
        <f>IF('Calc base'!I$14=0,0,MIN(AB110,MAX(0,$E110-SUMPRODUCT($V110:$AG110,'Calc base'!$C$14:$N$14,('Calc base'!$H110:$S110&gt;'Calc base'!N110)+('Calc base'!$H110:$S110='Calc base'!N110)*('Calc base'!$C$17:$N$17&lt;'Calc base'!I$17)))))</f>
        <v>0</v>
      </c>
      <c r="AO110">
        <f>IF('Calc base'!J$14=0,0,MIN(AC110,MAX(0,$E110-SUMPRODUCT($V110:$AG110,'Calc base'!$C$14:$N$14,('Calc base'!$H110:$S110&gt;'Calc base'!O110)+('Calc base'!$H110:$S110='Calc base'!O110)*('Calc base'!$C$17:$N$17&lt;'Calc base'!J$17)))))</f>
        <v>0</v>
      </c>
      <c r="AP110">
        <f>IF('Calc base'!K$14=0,0,MIN(AD110,MAX(0,$E110-SUMPRODUCT($V110:$AG110,'Calc base'!$C$14:$N$14,('Calc base'!$H110:$S110&gt;'Calc base'!P110)+('Calc base'!$H110:$S110='Calc base'!P110)*('Calc base'!$C$17:$N$17&lt;'Calc base'!K$17)))))</f>
        <v>0</v>
      </c>
      <c r="AQ110">
        <f>IF('Calc base'!L$14=0,0,MIN(AE110,MAX(0,$E110-SUMPRODUCT($V110:$AG110,'Calc base'!$C$14:$N$14,('Calc base'!$H110:$S110&gt;'Calc base'!Q110)+('Calc base'!$H110:$S110='Calc base'!Q110)*('Calc base'!$C$17:$N$17&lt;'Calc base'!L$17)))))</f>
        <v>0</v>
      </c>
      <c r="AR110">
        <f>IF('Calc base'!M$14=0,0,MIN(AF110,MAX(0,$E110-SUMPRODUCT($V110:$AG110,'Calc base'!$C$14:$N$14,('Calc base'!$H110:$S110&gt;'Calc base'!R110)+('Calc base'!$H110:$S110='Calc base'!R110)*('Calc base'!$C$17:$N$17&lt;'Calc base'!M$17)))))</f>
        <v>0</v>
      </c>
      <c r="AS110">
        <f>IF('Calc base'!N$14=0,0,MIN(AG110,MAX(0,$E110-SUMPRODUCT($V110:$AG110,'Calc base'!$C$14:$N$14,('Calc base'!$H110:$S110&gt;'Calc base'!S110)+('Calc base'!$H110:$S110='Calc base'!S110)*('Calc base'!$C$17:$N$17&lt;'Calc base'!N$17)))))</f>
        <v>0</v>
      </c>
      <c r="AT110">
        <f>V110-AH110</f>
        <v>0</v>
      </c>
      <c r="AU110">
        <f>W110-AI110</f>
        <v>0</v>
      </c>
      <c r="AV110">
        <f>X110-AJ110</f>
        <v>0</v>
      </c>
      <c r="AW110">
        <f>Y110-AK110</f>
        <v>0</v>
      </c>
      <c r="AX110">
        <f>Z110-AL110</f>
        <v>0</v>
      </c>
      <c r="AY110">
        <f>AA110-AM110</f>
        <v>0</v>
      </c>
      <c r="AZ110">
        <f>AB110-AN110</f>
        <v>0</v>
      </c>
      <c r="BA110">
        <f>AC110-AO110</f>
        <v>0</v>
      </c>
      <c r="BB110">
        <f>AD110-AP110</f>
        <v>0</v>
      </c>
      <c r="BC110">
        <f>AE110-AQ110</f>
        <v>0</v>
      </c>
      <c r="BD110">
        <f>AF110-AR110</f>
        <v>0</v>
      </c>
      <c r="BE110">
        <f>AG110-AS110</f>
        <v>0</v>
      </c>
    </row>
    <row r="111">
      <c r="A111" t="n">
        <v>81</v>
      </c>
      <c r="B111">
        <f>SUMPRODUCT(ROUND($AT110:$BE110*(1+'Calc base'!$H111:$S111),2))</f>
        <v>0</v>
      </c>
      <c r="C111">
        <f>SUM(J111:U111)</f>
        <v>0</v>
      </c>
      <c r="D111">
        <f>SUM(V111:AG111)</f>
        <v>0</v>
      </c>
      <c r="E111">
        <f>MAX(0,IF(Impostazioni!$B$7="No",'Calc base'!$C111-$C$31,'Calc base'!$C111-C111)+'Calc base'!$G111+'Calc base'!$F111-(B111-C111-D111))</f>
        <v>900</v>
      </c>
      <c r="F111">
        <f>SUM(AH111:AS111)</f>
        <v>0</v>
      </c>
      <c r="G111">
        <f>SUM(AT111:BE111)</f>
        <v>0</v>
      </c>
      <c r="H111">
        <f>B111-G110</f>
        <v>0</v>
      </c>
      <c r="I111">
        <f>B111-G111</f>
        <v>0</v>
      </c>
      <c r="J111">
        <f>IF(AT110&lt;=0,0,IF(ROUND(AT110*(1+'Calc base'!H111),2)-MAX('Calc base'!C$12,ROUND('Calc base'!C$13*AT110,2))&lt;1,ROUND(AT110*(1+'Calc base'!H111),2),MAX('Calc base'!C$12,ROUND('Calc base'!C$13*AT110,2))))</f>
        <v>0</v>
      </c>
      <c r="K111">
        <f>IF(AU110&lt;=0,0,IF(ROUND(AU110*(1+'Calc base'!I111),2)-MAX('Calc base'!D$12,ROUND('Calc base'!D$13*AU110,2))&lt;1,ROUND(AU110*(1+'Calc base'!I111),2),MAX('Calc base'!D$12,ROUND('Calc base'!D$13*AU110,2))))</f>
        <v>0</v>
      </c>
      <c r="L111">
        <f>IF(AV110&lt;=0,0,IF(ROUND(AV110*(1+'Calc base'!J111),2)-MAX('Calc base'!E$12,ROUND('Calc base'!E$13*AV110,2))&lt;1,ROUND(AV110*(1+'Calc base'!J111),2),MAX('Calc base'!E$12,ROUND('Calc base'!E$13*AV110,2))))</f>
        <v>0</v>
      </c>
      <c r="M111">
        <f>IF(AW110&lt;=0,0,IF(ROUND(AW110*(1+'Calc base'!K111),2)-MAX('Calc base'!F$12,ROUND('Calc base'!F$13*AW110,2))&lt;1,ROUND(AW110*(1+'Calc base'!K111),2),MAX('Calc base'!F$12,ROUND('Calc base'!F$13*AW110,2))))</f>
        <v>0</v>
      </c>
      <c r="N111">
        <f>IF(AX110&lt;=0,0,IF(ROUND(AX110*(1+'Calc base'!L111),2)-MAX('Calc base'!G$12,ROUND('Calc base'!G$13*AX110,2))&lt;1,ROUND(AX110*(1+'Calc base'!L111),2),MAX('Calc base'!G$12,ROUND('Calc base'!G$13*AX110,2))))</f>
        <v>0</v>
      </c>
      <c r="O111">
        <f>IF(AY110&lt;=0,0,IF(ROUND(AY110*(1+'Calc base'!M111),2)-MAX('Calc base'!H$12,ROUND('Calc base'!H$13*AY110,2))&lt;1,ROUND(AY110*(1+'Calc base'!M111),2),MAX('Calc base'!H$12,ROUND('Calc base'!H$13*AY110,2))))</f>
        <v>0</v>
      </c>
      <c r="P111">
        <f>IF(AZ110&lt;=0,0,IF(ROUND(AZ110*(1+'Calc base'!N111),2)-MAX('Calc base'!I$12,ROUND('Calc base'!I$13*AZ110,2))&lt;1,ROUND(AZ110*(1+'Calc base'!N111),2),MAX('Calc base'!I$12,ROUND('Calc base'!I$13*AZ110,2))))</f>
        <v>0</v>
      </c>
      <c r="Q111">
        <f>IF(BA110&lt;=0,0,IF(ROUND(BA110*(1+'Calc base'!O111),2)-MAX('Calc base'!J$12,ROUND('Calc base'!J$13*BA110,2))&lt;1,ROUND(BA110*(1+'Calc base'!O111),2),MAX('Calc base'!J$12,ROUND('Calc base'!J$13*BA110,2))))</f>
        <v>0</v>
      </c>
      <c r="R111">
        <f>IF(BB110&lt;=0,0,IF(ROUND(BB110*(1+'Calc base'!P111),2)-MAX('Calc base'!K$12,ROUND('Calc base'!K$13*BB110,2))&lt;1,ROUND(BB110*(1+'Calc base'!P111),2),MAX('Calc base'!K$12,ROUND('Calc base'!K$13*BB110,2))))</f>
        <v>0</v>
      </c>
      <c r="S111">
        <f>IF(BC110&lt;=0,0,IF(ROUND(BC110*(1+'Calc base'!Q111),2)-MAX('Calc base'!L$12,ROUND('Calc base'!L$13*BC110,2))&lt;1,ROUND(BC110*(1+'Calc base'!Q111),2),MAX('Calc base'!L$12,ROUND('Calc base'!L$13*BC110,2))))</f>
        <v>0</v>
      </c>
      <c r="T111">
        <f>IF(BD110&lt;=0,0,IF(ROUND(BD110*(1+'Calc base'!R111),2)-MAX('Calc base'!M$12,ROUND('Calc base'!M$13*BD110,2))&lt;1,ROUND(BD110*(1+'Calc base'!R111),2),MAX('Calc base'!M$12,ROUND('Calc base'!M$13*BD110,2))))</f>
        <v>0</v>
      </c>
      <c r="U111">
        <f>IF(BE110&lt;=0,0,IF(ROUND(BE110*(1+'Calc base'!S111),2)-MAX('Calc base'!N$12,ROUND('Calc base'!N$13*BE110,2))&lt;1,ROUND(BE110*(1+'Calc base'!S111),2),MAX('Calc base'!N$12,ROUND('Calc base'!N$13*BE110,2))))</f>
        <v>0</v>
      </c>
      <c r="V111">
        <f>MAX(0,ROUND(AT110*(1+'Calc base'!H111),2)-J111-'Calc base'!T111)</f>
        <v>0</v>
      </c>
      <c r="W111">
        <f>MAX(0,ROUND(AU110*(1+'Calc base'!I111),2)-K111-'Calc base'!U111)</f>
        <v>0</v>
      </c>
      <c r="X111">
        <f>MAX(0,ROUND(AV110*(1+'Calc base'!J111),2)-L111-'Calc base'!V111)</f>
        <v>0</v>
      </c>
      <c r="Y111">
        <f>MAX(0,ROUND(AW110*(1+'Calc base'!K111),2)-M111-'Calc base'!W111)</f>
        <v>0</v>
      </c>
      <c r="Z111">
        <f>MAX(0,ROUND(AX110*(1+'Calc base'!L111),2)-N111-'Calc base'!X111)</f>
        <v>0</v>
      </c>
      <c r="AA111">
        <f>MAX(0,ROUND(AY110*(1+'Calc base'!M111),2)-O111-'Calc base'!Y111)</f>
        <v>0</v>
      </c>
      <c r="AB111">
        <f>MAX(0,ROUND(AZ110*(1+'Calc base'!N111),2)-P111-'Calc base'!Z111)</f>
        <v>0</v>
      </c>
      <c r="AC111">
        <f>MAX(0,ROUND(BA110*(1+'Calc base'!O111),2)-Q111-'Calc base'!AA111)</f>
        <v>0</v>
      </c>
      <c r="AD111">
        <f>MAX(0,ROUND(BB110*(1+'Calc base'!P111),2)-R111-'Calc base'!AB111)</f>
        <v>0</v>
      </c>
      <c r="AE111">
        <f>MAX(0,ROUND(BC110*(1+'Calc base'!Q111),2)-S111-'Calc base'!AC111)</f>
        <v>0</v>
      </c>
      <c r="AF111">
        <f>MAX(0,ROUND(BD110*(1+'Calc base'!R111),2)-T111-'Calc base'!AD111)</f>
        <v>0</v>
      </c>
      <c r="AG111">
        <f>MAX(0,ROUND(BE110*(1+'Calc base'!S111),2)-U111-'Calc base'!AE111)</f>
        <v>0</v>
      </c>
      <c r="AH111">
        <f>IF('Calc base'!C$14=0,0,MIN(V111,MAX(0,$E111-SUMPRODUCT($V111:$AG111,'Calc base'!$C$14:$N$14,('Calc base'!$H111:$S111&gt;'Calc base'!H111)+('Calc base'!$H111:$S111='Calc base'!H111)*('Calc base'!$C$17:$N$17&lt;'Calc base'!C$17)))))</f>
        <v>0</v>
      </c>
      <c r="AI111">
        <f>IF('Calc base'!D$14=0,0,MIN(W111,MAX(0,$E111-SUMPRODUCT($V111:$AG111,'Calc base'!$C$14:$N$14,('Calc base'!$H111:$S111&gt;'Calc base'!I111)+('Calc base'!$H111:$S111='Calc base'!I111)*('Calc base'!$C$17:$N$17&lt;'Calc base'!D$17)))))</f>
        <v>0</v>
      </c>
      <c r="AJ111">
        <f>IF('Calc base'!E$14=0,0,MIN(X111,MAX(0,$E111-SUMPRODUCT($V111:$AG111,'Calc base'!$C$14:$N$14,('Calc base'!$H111:$S111&gt;'Calc base'!J111)+('Calc base'!$H111:$S111='Calc base'!J111)*('Calc base'!$C$17:$N$17&lt;'Calc base'!E$17)))))</f>
        <v>0</v>
      </c>
      <c r="AK111">
        <f>IF('Calc base'!F$14=0,0,MIN(Y111,MAX(0,$E111-SUMPRODUCT($V111:$AG111,'Calc base'!$C$14:$N$14,('Calc base'!$H111:$S111&gt;'Calc base'!K111)+('Calc base'!$H111:$S111='Calc base'!K111)*('Calc base'!$C$17:$N$17&lt;'Calc base'!F$17)))))</f>
        <v>0</v>
      </c>
      <c r="AL111">
        <f>IF('Calc base'!G$14=0,0,MIN(Z111,MAX(0,$E111-SUMPRODUCT($V111:$AG111,'Calc base'!$C$14:$N$14,('Calc base'!$H111:$S111&gt;'Calc base'!L111)+('Calc base'!$H111:$S111='Calc base'!L111)*('Calc base'!$C$17:$N$17&lt;'Calc base'!G$17)))))</f>
        <v>0</v>
      </c>
      <c r="AM111">
        <f>IF('Calc base'!H$14=0,0,MIN(AA111,MAX(0,$E111-SUMPRODUCT($V111:$AG111,'Calc base'!$C$14:$N$14,('Calc base'!$H111:$S111&gt;'Calc base'!M111)+('Calc base'!$H111:$S111='Calc base'!M111)*('Calc base'!$C$17:$N$17&lt;'Calc base'!H$17)))))</f>
        <v>0</v>
      </c>
      <c r="AN111">
        <f>IF('Calc base'!I$14=0,0,MIN(AB111,MAX(0,$E111-SUMPRODUCT($V111:$AG111,'Calc base'!$C$14:$N$14,('Calc base'!$H111:$S111&gt;'Calc base'!N111)+('Calc base'!$H111:$S111='Calc base'!N111)*('Calc base'!$C$17:$N$17&lt;'Calc base'!I$17)))))</f>
        <v>0</v>
      </c>
      <c r="AO111">
        <f>IF('Calc base'!J$14=0,0,MIN(AC111,MAX(0,$E111-SUMPRODUCT($V111:$AG111,'Calc base'!$C$14:$N$14,('Calc base'!$H111:$S111&gt;'Calc base'!O111)+('Calc base'!$H111:$S111='Calc base'!O111)*('Calc base'!$C$17:$N$17&lt;'Calc base'!J$17)))))</f>
        <v>0</v>
      </c>
      <c r="AP111">
        <f>IF('Calc base'!K$14=0,0,MIN(AD111,MAX(0,$E111-SUMPRODUCT($V111:$AG111,'Calc base'!$C$14:$N$14,('Calc base'!$H111:$S111&gt;'Calc base'!P111)+('Calc base'!$H111:$S111='Calc base'!P111)*('Calc base'!$C$17:$N$17&lt;'Calc base'!K$17)))))</f>
        <v>0</v>
      </c>
      <c r="AQ111">
        <f>IF('Calc base'!L$14=0,0,MIN(AE111,MAX(0,$E111-SUMPRODUCT($V111:$AG111,'Calc base'!$C$14:$N$14,('Calc base'!$H111:$S111&gt;'Calc base'!Q111)+('Calc base'!$H111:$S111='Calc base'!Q111)*('Calc base'!$C$17:$N$17&lt;'Calc base'!L$17)))))</f>
        <v>0</v>
      </c>
      <c r="AR111">
        <f>IF('Calc base'!M$14=0,0,MIN(AF111,MAX(0,$E111-SUMPRODUCT($V111:$AG111,'Calc base'!$C$14:$N$14,('Calc base'!$H111:$S111&gt;'Calc base'!R111)+('Calc base'!$H111:$S111='Calc base'!R111)*('Calc base'!$C$17:$N$17&lt;'Calc base'!M$17)))))</f>
        <v>0</v>
      </c>
      <c r="AS111">
        <f>IF('Calc base'!N$14=0,0,MIN(AG111,MAX(0,$E111-SUMPRODUCT($V111:$AG111,'Calc base'!$C$14:$N$14,('Calc base'!$H111:$S111&gt;'Calc base'!S111)+('Calc base'!$H111:$S111='Calc base'!S111)*('Calc base'!$C$17:$N$17&lt;'Calc base'!N$17)))))</f>
        <v>0</v>
      </c>
      <c r="AT111">
        <f>V111-AH111</f>
        <v>0</v>
      </c>
      <c r="AU111">
        <f>W111-AI111</f>
        <v>0</v>
      </c>
      <c r="AV111">
        <f>X111-AJ111</f>
        <v>0</v>
      </c>
      <c r="AW111">
        <f>Y111-AK111</f>
        <v>0</v>
      </c>
      <c r="AX111">
        <f>Z111-AL111</f>
        <v>0</v>
      </c>
      <c r="AY111">
        <f>AA111-AM111</f>
        <v>0</v>
      </c>
      <c r="AZ111">
        <f>AB111-AN111</f>
        <v>0</v>
      </c>
      <c r="BA111">
        <f>AC111-AO111</f>
        <v>0</v>
      </c>
      <c r="BB111">
        <f>AD111-AP111</f>
        <v>0</v>
      </c>
      <c r="BC111">
        <f>AE111-AQ111</f>
        <v>0</v>
      </c>
      <c r="BD111">
        <f>AF111-AR111</f>
        <v>0</v>
      </c>
      <c r="BE111">
        <f>AG111-AS111</f>
        <v>0</v>
      </c>
    </row>
    <row r="112">
      <c r="A112" t="n">
        <v>82</v>
      </c>
      <c r="B112">
        <f>SUMPRODUCT(ROUND($AT111:$BE111*(1+'Calc base'!$H112:$S112),2))</f>
        <v>0</v>
      </c>
      <c r="C112">
        <f>SUM(J112:U112)</f>
        <v>0</v>
      </c>
      <c r="D112">
        <f>SUM(V112:AG112)</f>
        <v>0</v>
      </c>
      <c r="E112">
        <f>MAX(0,IF(Impostazioni!$B$7="No",'Calc base'!$C112-$C$31,'Calc base'!$C112-C112)+'Calc base'!$G112+'Calc base'!$F112-(B112-C112-D112))</f>
        <v>900</v>
      </c>
      <c r="F112">
        <f>SUM(AH112:AS112)</f>
        <v>0</v>
      </c>
      <c r="G112">
        <f>SUM(AT112:BE112)</f>
        <v>0</v>
      </c>
      <c r="H112">
        <f>B112-G111</f>
        <v>0</v>
      </c>
      <c r="I112">
        <f>B112-G112</f>
        <v>0</v>
      </c>
      <c r="J112">
        <f>IF(AT111&lt;=0,0,IF(ROUND(AT111*(1+'Calc base'!H112),2)-MAX('Calc base'!C$12,ROUND('Calc base'!C$13*AT111,2))&lt;1,ROUND(AT111*(1+'Calc base'!H112),2),MAX('Calc base'!C$12,ROUND('Calc base'!C$13*AT111,2))))</f>
        <v>0</v>
      </c>
      <c r="K112">
        <f>IF(AU111&lt;=0,0,IF(ROUND(AU111*(1+'Calc base'!I112),2)-MAX('Calc base'!D$12,ROUND('Calc base'!D$13*AU111,2))&lt;1,ROUND(AU111*(1+'Calc base'!I112),2),MAX('Calc base'!D$12,ROUND('Calc base'!D$13*AU111,2))))</f>
        <v>0</v>
      </c>
      <c r="L112">
        <f>IF(AV111&lt;=0,0,IF(ROUND(AV111*(1+'Calc base'!J112),2)-MAX('Calc base'!E$12,ROUND('Calc base'!E$13*AV111,2))&lt;1,ROUND(AV111*(1+'Calc base'!J112),2),MAX('Calc base'!E$12,ROUND('Calc base'!E$13*AV111,2))))</f>
        <v>0</v>
      </c>
      <c r="M112">
        <f>IF(AW111&lt;=0,0,IF(ROUND(AW111*(1+'Calc base'!K112),2)-MAX('Calc base'!F$12,ROUND('Calc base'!F$13*AW111,2))&lt;1,ROUND(AW111*(1+'Calc base'!K112),2),MAX('Calc base'!F$12,ROUND('Calc base'!F$13*AW111,2))))</f>
        <v>0</v>
      </c>
      <c r="N112">
        <f>IF(AX111&lt;=0,0,IF(ROUND(AX111*(1+'Calc base'!L112),2)-MAX('Calc base'!G$12,ROUND('Calc base'!G$13*AX111,2))&lt;1,ROUND(AX111*(1+'Calc base'!L112),2),MAX('Calc base'!G$12,ROUND('Calc base'!G$13*AX111,2))))</f>
        <v>0</v>
      </c>
      <c r="O112">
        <f>IF(AY111&lt;=0,0,IF(ROUND(AY111*(1+'Calc base'!M112),2)-MAX('Calc base'!H$12,ROUND('Calc base'!H$13*AY111,2))&lt;1,ROUND(AY111*(1+'Calc base'!M112),2),MAX('Calc base'!H$12,ROUND('Calc base'!H$13*AY111,2))))</f>
        <v>0</v>
      </c>
      <c r="P112">
        <f>IF(AZ111&lt;=0,0,IF(ROUND(AZ111*(1+'Calc base'!N112),2)-MAX('Calc base'!I$12,ROUND('Calc base'!I$13*AZ111,2))&lt;1,ROUND(AZ111*(1+'Calc base'!N112),2),MAX('Calc base'!I$12,ROUND('Calc base'!I$13*AZ111,2))))</f>
        <v>0</v>
      </c>
      <c r="Q112">
        <f>IF(BA111&lt;=0,0,IF(ROUND(BA111*(1+'Calc base'!O112),2)-MAX('Calc base'!J$12,ROUND('Calc base'!J$13*BA111,2))&lt;1,ROUND(BA111*(1+'Calc base'!O112),2),MAX('Calc base'!J$12,ROUND('Calc base'!J$13*BA111,2))))</f>
        <v>0</v>
      </c>
      <c r="R112">
        <f>IF(BB111&lt;=0,0,IF(ROUND(BB111*(1+'Calc base'!P112),2)-MAX('Calc base'!K$12,ROUND('Calc base'!K$13*BB111,2))&lt;1,ROUND(BB111*(1+'Calc base'!P112),2),MAX('Calc base'!K$12,ROUND('Calc base'!K$13*BB111,2))))</f>
        <v>0</v>
      </c>
      <c r="S112">
        <f>IF(BC111&lt;=0,0,IF(ROUND(BC111*(1+'Calc base'!Q112),2)-MAX('Calc base'!L$12,ROUND('Calc base'!L$13*BC111,2))&lt;1,ROUND(BC111*(1+'Calc base'!Q112),2),MAX('Calc base'!L$12,ROUND('Calc base'!L$13*BC111,2))))</f>
        <v>0</v>
      </c>
      <c r="T112">
        <f>IF(BD111&lt;=0,0,IF(ROUND(BD111*(1+'Calc base'!R112),2)-MAX('Calc base'!M$12,ROUND('Calc base'!M$13*BD111,2))&lt;1,ROUND(BD111*(1+'Calc base'!R112),2),MAX('Calc base'!M$12,ROUND('Calc base'!M$13*BD111,2))))</f>
        <v>0</v>
      </c>
      <c r="U112">
        <f>IF(BE111&lt;=0,0,IF(ROUND(BE111*(1+'Calc base'!S112),2)-MAX('Calc base'!N$12,ROUND('Calc base'!N$13*BE111,2))&lt;1,ROUND(BE111*(1+'Calc base'!S112),2),MAX('Calc base'!N$12,ROUND('Calc base'!N$13*BE111,2))))</f>
        <v>0</v>
      </c>
      <c r="V112">
        <f>MAX(0,ROUND(AT111*(1+'Calc base'!H112),2)-J112-'Calc base'!T112)</f>
        <v>0</v>
      </c>
      <c r="W112">
        <f>MAX(0,ROUND(AU111*(1+'Calc base'!I112),2)-K112-'Calc base'!U112)</f>
        <v>0</v>
      </c>
      <c r="X112">
        <f>MAX(0,ROUND(AV111*(1+'Calc base'!J112),2)-L112-'Calc base'!V112)</f>
        <v>0</v>
      </c>
      <c r="Y112">
        <f>MAX(0,ROUND(AW111*(1+'Calc base'!K112),2)-M112-'Calc base'!W112)</f>
        <v>0</v>
      </c>
      <c r="Z112">
        <f>MAX(0,ROUND(AX111*(1+'Calc base'!L112),2)-N112-'Calc base'!X112)</f>
        <v>0</v>
      </c>
      <c r="AA112">
        <f>MAX(0,ROUND(AY111*(1+'Calc base'!M112),2)-O112-'Calc base'!Y112)</f>
        <v>0</v>
      </c>
      <c r="AB112">
        <f>MAX(0,ROUND(AZ111*(1+'Calc base'!N112),2)-P112-'Calc base'!Z112)</f>
        <v>0</v>
      </c>
      <c r="AC112">
        <f>MAX(0,ROUND(BA111*(1+'Calc base'!O112),2)-Q112-'Calc base'!AA112)</f>
        <v>0</v>
      </c>
      <c r="AD112">
        <f>MAX(0,ROUND(BB111*(1+'Calc base'!P112),2)-R112-'Calc base'!AB112)</f>
        <v>0</v>
      </c>
      <c r="AE112">
        <f>MAX(0,ROUND(BC111*(1+'Calc base'!Q112),2)-S112-'Calc base'!AC112)</f>
        <v>0</v>
      </c>
      <c r="AF112">
        <f>MAX(0,ROUND(BD111*(1+'Calc base'!R112),2)-T112-'Calc base'!AD112)</f>
        <v>0</v>
      </c>
      <c r="AG112">
        <f>MAX(0,ROUND(BE111*(1+'Calc base'!S112),2)-U112-'Calc base'!AE112)</f>
        <v>0</v>
      </c>
      <c r="AH112">
        <f>IF('Calc base'!C$14=0,0,MIN(V112,MAX(0,$E112-SUMPRODUCT($V112:$AG112,'Calc base'!$C$14:$N$14,('Calc base'!$H112:$S112&gt;'Calc base'!H112)+('Calc base'!$H112:$S112='Calc base'!H112)*('Calc base'!$C$17:$N$17&lt;'Calc base'!C$17)))))</f>
        <v>0</v>
      </c>
      <c r="AI112">
        <f>IF('Calc base'!D$14=0,0,MIN(W112,MAX(0,$E112-SUMPRODUCT($V112:$AG112,'Calc base'!$C$14:$N$14,('Calc base'!$H112:$S112&gt;'Calc base'!I112)+('Calc base'!$H112:$S112='Calc base'!I112)*('Calc base'!$C$17:$N$17&lt;'Calc base'!D$17)))))</f>
        <v>0</v>
      </c>
      <c r="AJ112">
        <f>IF('Calc base'!E$14=0,0,MIN(X112,MAX(0,$E112-SUMPRODUCT($V112:$AG112,'Calc base'!$C$14:$N$14,('Calc base'!$H112:$S112&gt;'Calc base'!J112)+('Calc base'!$H112:$S112='Calc base'!J112)*('Calc base'!$C$17:$N$17&lt;'Calc base'!E$17)))))</f>
        <v>0</v>
      </c>
      <c r="AK112">
        <f>IF('Calc base'!F$14=0,0,MIN(Y112,MAX(0,$E112-SUMPRODUCT($V112:$AG112,'Calc base'!$C$14:$N$14,('Calc base'!$H112:$S112&gt;'Calc base'!K112)+('Calc base'!$H112:$S112='Calc base'!K112)*('Calc base'!$C$17:$N$17&lt;'Calc base'!F$17)))))</f>
        <v>0</v>
      </c>
      <c r="AL112">
        <f>IF('Calc base'!G$14=0,0,MIN(Z112,MAX(0,$E112-SUMPRODUCT($V112:$AG112,'Calc base'!$C$14:$N$14,('Calc base'!$H112:$S112&gt;'Calc base'!L112)+('Calc base'!$H112:$S112='Calc base'!L112)*('Calc base'!$C$17:$N$17&lt;'Calc base'!G$17)))))</f>
        <v>0</v>
      </c>
      <c r="AM112">
        <f>IF('Calc base'!H$14=0,0,MIN(AA112,MAX(0,$E112-SUMPRODUCT($V112:$AG112,'Calc base'!$C$14:$N$14,('Calc base'!$H112:$S112&gt;'Calc base'!M112)+('Calc base'!$H112:$S112='Calc base'!M112)*('Calc base'!$C$17:$N$17&lt;'Calc base'!H$17)))))</f>
        <v>0</v>
      </c>
      <c r="AN112">
        <f>IF('Calc base'!I$14=0,0,MIN(AB112,MAX(0,$E112-SUMPRODUCT($V112:$AG112,'Calc base'!$C$14:$N$14,('Calc base'!$H112:$S112&gt;'Calc base'!N112)+('Calc base'!$H112:$S112='Calc base'!N112)*('Calc base'!$C$17:$N$17&lt;'Calc base'!I$17)))))</f>
        <v>0</v>
      </c>
      <c r="AO112">
        <f>IF('Calc base'!J$14=0,0,MIN(AC112,MAX(0,$E112-SUMPRODUCT($V112:$AG112,'Calc base'!$C$14:$N$14,('Calc base'!$H112:$S112&gt;'Calc base'!O112)+('Calc base'!$H112:$S112='Calc base'!O112)*('Calc base'!$C$17:$N$17&lt;'Calc base'!J$17)))))</f>
        <v>0</v>
      </c>
      <c r="AP112">
        <f>IF('Calc base'!K$14=0,0,MIN(AD112,MAX(0,$E112-SUMPRODUCT($V112:$AG112,'Calc base'!$C$14:$N$14,('Calc base'!$H112:$S112&gt;'Calc base'!P112)+('Calc base'!$H112:$S112='Calc base'!P112)*('Calc base'!$C$17:$N$17&lt;'Calc base'!K$17)))))</f>
        <v>0</v>
      </c>
      <c r="AQ112">
        <f>IF('Calc base'!L$14=0,0,MIN(AE112,MAX(0,$E112-SUMPRODUCT($V112:$AG112,'Calc base'!$C$14:$N$14,('Calc base'!$H112:$S112&gt;'Calc base'!Q112)+('Calc base'!$H112:$S112='Calc base'!Q112)*('Calc base'!$C$17:$N$17&lt;'Calc base'!L$17)))))</f>
        <v>0</v>
      </c>
      <c r="AR112">
        <f>IF('Calc base'!M$14=0,0,MIN(AF112,MAX(0,$E112-SUMPRODUCT($V112:$AG112,'Calc base'!$C$14:$N$14,('Calc base'!$H112:$S112&gt;'Calc base'!R112)+('Calc base'!$H112:$S112='Calc base'!R112)*('Calc base'!$C$17:$N$17&lt;'Calc base'!M$17)))))</f>
        <v>0</v>
      </c>
      <c r="AS112">
        <f>IF('Calc base'!N$14=0,0,MIN(AG112,MAX(0,$E112-SUMPRODUCT($V112:$AG112,'Calc base'!$C$14:$N$14,('Calc base'!$H112:$S112&gt;'Calc base'!S112)+('Calc base'!$H112:$S112='Calc base'!S112)*('Calc base'!$C$17:$N$17&lt;'Calc base'!N$17)))))</f>
        <v>0</v>
      </c>
      <c r="AT112">
        <f>V112-AH112</f>
        <v>0</v>
      </c>
      <c r="AU112">
        <f>W112-AI112</f>
        <v>0</v>
      </c>
      <c r="AV112">
        <f>X112-AJ112</f>
        <v>0</v>
      </c>
      <c r="AW112">
        <f>Y112-AK112</f>
        <v>0</v>
      </c>
      <c r="AX112">
        <f>Z112-AL112</f>
        <v>0</v>
      </c>
      <c r="AY112">
        <f>AA112-AM112</f>
        <v>0</v>
      </c>
      <c r="AZ112">
        <f>AB112-AN112</f>
        <v>0</v>
      </c>
      <c r="BA112">
        <f>AC112-AO112</f>
        <v>0</v>
      </c>
      <c r="BB112">
        <f>AD112-AP112</f>
        <v>0</v>
      </c>
      <c r="BC112">
        <f>AE112-AQ112</f>
        <v>0</v>
      </c>
      <c r="BD112">
        <f>AF112-AR112</f>
        <v>0</v>
      </c>
      <c r="BE112">
        <f>AG112-AS112</f>
        <v>0</v>
      </c>
    </row>
    <row r="113">
      <c r="A113" t="n">
        <v>83</v>
      </c>
      <c r="B113">
        <f>SUMPRODUCT(ROUND($AT112:$BE112*(1+'Calc base'!$H113:$S113),2))</f>
        <v>0</v>
      </c>
      <c r="C113">
        <f>SUM(J113:U113)</f>
        <v>0</v>
      </c>
      <c r="D113">
        <f>SUM(V113:AG113)</f>
        <v>0</v>
      </c>
      <c r="E113">
        <f>MAX(0,IF(Impostazioni!$B$7="No",'Calc base'!$C113-$C$31,'Calc base'!$C113-C113)+'Calc base'!$G113+'Calc base'!$F113-(B113-C113-D113))</f>
        <v>900</v>
      </c>
      <c r="F113">
        <f>SUM(AH113:AS113)</f>
        <v>0</v>
      </c>
      <c r="G113">
        <f>SUM(AT113:BE113)</f>
        <v>0</v>
      </c>
      <c r="H113">
        <f>B113-G112</f>
        <v>0</v>
      </c>
      <c r="I113">
        <f>B113-G113</f>
        <v>0</v>
      </c>
      <c r="J113">
        <f>IF(AT112&lt;=0,0,IF(ROUND(AT112*(1+'Calc base'!H113),2)-MAX('Calc base'!C$12,ROUND('Calc base'!C$13*AT112,2))&lt;1,ROUND(AT112*(1+'Calc base'!H113),2),MAX('Calc base'!C$12,ROUND('Calc base'!C$13*AT112,2))))</f>
        <v>0</v>
      </c>
      <c r="K113">
        <f>IF(AU112&lt;=0,0,IF(ROUND(AU112*(1+'Calc base'!I113),2)-MAX('Calc base'!D$12,ROUND('Calc base'!D$13*AU112,2))&lt;1,ROUND(AU112*(1+'Calc base'!I113),2),MAX('Calc base'!D$12,ROUND('Calc base'!D$13*AU112,2))))</f>
        <v>0</v>
      </c>
      <c r="L113">
        <f>IF(AV112&lt;=0,0,IF(ROUND(AV112*(1+'Calc base'!J113),2)-MAX('Calc base'!E$12,ROUND('Calc base'!E$13*AV112,2))&lt;1,ROUND(AV112*(1+'Calc base'!J113),2),MAX('Calc base'!E$12,ROUND('Calc base'!E$13*AV112,2))))</f>
        <v>0</v>
      </c>
      <c r="M113">
        <f>IF(AW112&lt;=0,0,IF(ROUND(AW112*(1+'Calc base'!K113),2)-MAX('Calc base'!F$12,ROUND('Calc base'!F$13*AW112,2))&lt;1,ROUND(AW112*(1+'Calc base'!K113),2),MAX('Calc base'!F$12,ROUND('Calc base'!F$13*AW112,2))))</f>
        <v>0</v>
      </c>
      <c r="N113">
        <f>IF(AX112&lt;=0,0,IF(ROUND(AX112*(1+'Calc base'!L113),2)-MAX('Calc base'!G$12,ROUND('Calc base'!G$13*AX112,2))&lt;1,ROUND(AX112*(1+'Calc base'!L113),2),MAX('Calc base'!G$12,ROUND('Calc base'!G$13*AX112,2))))</f>
        <v>0</v>
      </c>
      <c r="O113">
        <f>IF(AY112&lt;=0,0,IF(ROUND(AY112*(1+'Calc base'!M113),2)-MAX('Calc base'!H$12,ROUND('Calc base'!H$13*AY112,2))&lt;1,ROUND(AY112*(1+'Calc base'!M113),2),MAX('Calc base'!H$12,ROUND('Calc base'!H$13*AY112,2))))</f>
        <v>0</v>
      </c>
      <c r="P113">
        <f>IF(AZ112&lt;=0,0,IF(ROUND(AZ112*(1+'Calc base'!N113),2)-MAX('Calc base'!I$12,ROUND('Calc base'!I$13*AZ112,2))&lt;1,ROUND(AZ112*(1+'Calc base'!N113),2),MAX('Calc base'!I$12,ROUND('Calc base'!I$13*AZ112,2))))</f>
        <v>0</v>
      </c>
      <c r="Q113">
        <f>IF(BA112&lt;=0,0,IF(ROUND(BA112*(1+'Calc base'!O113),2)-MAX('Calc base'!J$12,ROUND('Calc base'!J$13*BA112,2))&lt;1,ROUND(BA112*(1+'Calc base'!O113),2),MAX('Calc base'!J$12,ROUND('Calc base'!J$13*BA112,2))))</f>
        <v>0</v>
      </c>
      <c r="R113">
        <f>IF(BB112&lt;=0,0,IF(ROUND(BB112*(1+'Calc base'!P113),2)-MAX('Calc base'!K$12,ROUND('Calc base'!K$13*BB112,2))&lt;1,ROUND(BB112*(1+'Calc base'!P113),2),MAX('Calc base'!K$12,ROUND('Calc base'!K$13*BB112,2))))</f>
        <v>0</v>
      </c>
      <c r="S113">
        <f>IF(BC112&lt;=0,0,IF(ROUND(BC112*(1+'Calc base'!Q113),2)-MAX('Calc base'!L$12,ROUND('Calc base'!L$13*BC112,2))&lt;1,ROUND(BC112*(1+'Calc base'!Q113),2),MAX('Calc base'!L$12,ROUND('Calc base'!L$13*BC112,2))))</f>
        <v>0</v>
      </c>
      <c r="T113">
        <f>IF(BD112&lt;=0,0,IF(ROUND(BD112*(1+'Calc base'!R113),2)-MAX('Calc base'!M$12,ROUND('Calc base'!M$13*BD112,2))&lt;1,ROUND(BD112*(1+'Calc base'!R113),2),MAX('Calc base'!M$12,ROUND('Calc base'!M$13*BD112,2))))</f>
        <v>0</v>
      </c>
      <c r="U113">
        <f>IF(BE112&lt;=0,0,IF(ROUND(BE112*(1+'Calc base'!S113),2)-MAX('Calc base'!N$12,ROUND('Calc base'!N$13*BE112,2))&lt;1,ROUND(BE112*(1+'Calc base'!S113),2),MAX('Calc base'!N$12,ROUND('Calc base'!N$13*BE112,2))))</f>
        <v>0</v>
      </c>
      <c r="V113">
        <f>MAX(0,ROUND(AT112*(1+'Calc base'!H113),2)-J113-'Calc base'!T113)</f>
        <v>0</v>
      </c>
      <c r="W113">
        <f>MAX(0,ROUND(AU112*(1+'Calc base'!I113),2)-K113-'Calc base'!U113)</f>
        <v>0</v>
      </c>
      <c r="X113">
        <f>MAX(0,ROUND(AV112*(1+'Calc base'!J113),2)-L113-'Calc base'!V113)</f>
        <v>0</v>
      </c>
      <c r="Y113">
        <f>MAX(0,ROUND(AW112*(1+'Calc base'!K113),2)-M113-'Calc base'!W113)</f>
        <v>0</v>
      </c>
      <c r="Z113">
        <f>MAX(0,ROUND(AX112*(1+'Calc base'!L113),2)-N113-'Calc base'!X113)</f>
        <v>0</v>
      </c>
      <c r="AA113">
        <f>MAX(0,ROUND(AY112*(1+'Calc base'!M113),2)-O113-'Calc base'!Y113)</f>
        <v>0</v>
      </c>
      <c r="AB113">
        <f>MAX(0,ROUND(AZ112*(1+'Calc base'!N113),2)-P113-'Calc base'!Z113)</f>
        <v>0</v>
      </c>
      <c r="AC113">
        <f>MAX(0,ROUND(BA112*(1+'Calc base'!O113),2)-Q113-'Calc base'!AA113)</f>
        <v>0</v>
      </c>
      <c r="AD113">
        <f>MAX(0,ROUND(BB112*(1+'Calc base'!P113),2)-R113-'Calc base'!AB113)</f>
        <v>0</v>
      </c>
      <c r="AE113">
        <f>MAX(0,ROUND(BC112*(1+'Calc base'!Q113),2)-S113-'Calc base'!AC113)</f>
        <v>0</v>
      </c>
      <c r="AF113">
        <f>MAX(0,ROUND(BD112*(1+'Calc base'!R113),2)-T113-'Calc base'!AD113)</f>
        <v>0</v>
      </c>
      <c r="AG113">
        <f>MAX(0,ROUND(BE112*(1+'Calc base'!S113),2)-U113-'Calc base'!AE113)</f>
        <v>0</v>
      </c>
      <c r="AH113">
        <f>IF('Calc base'!C$14=0,0,MIN(V113,MAX(0,$E113-SUMPRODUCT($V113:$AG113,'Calc base'!$C$14:$N$14,('Calc base'!$H113:$S113&gt;'Calc base'!H113)+('Calc base'!$H113:$S113='Calc base'!H113)*('Calc base'!$C$17:$N$17&lt;'Calc base'!C$17)))))</f>
        <v>0</v>
      </c>
      <c r="AI113">
        <f>IF('Calc base'!D$14=0,0,MIN(W113,MAX(0,$E113-SUMPRODUCT($V113:$AG113,'Calc base'!$C$14:$N$14,('Calc base'!$H113:$S113&gt;'Calc base'!I113)+('Calc base'!$H113:$S113='Calc base'!I113)*('Calc base'!$C$17:$N$17&lt;'Calc base'!D$17)))))</f>
        <v>0</v>
      </c>
      <c r="AJ113">
        <f>IF('Calc base'!E$14=0,0,MIN(X113,MAX(0,$E113-SUMPRODUCT($V113:$AG113,'Calc base'!$C$14:$N$14,('Calc base'!$H113:$S113&gt;'Calc base'!J113)+('Calc base'!$H113:$S113='Calc base'!J113)*('Calc base'!$C$17:$N$17&lt;'Calc base'!E$17)))))</f>
        <v>0</v>
      </c>
      <c r="AK113">
        <f>IF('Calc base'!F$14=0,0,MIN(Y113,MAX(0,$E113-SUMPRODUCT($V113:$AG113,'Calc base'!$C$14:$N$14,('Calc base'!$H113:$S113&gt;'Calc base'!K113)+('Calc base'!$H113:$S113='Calc base'!K113)*('Calc base'!$C$17:$N$17&lt;'Calc base'!F$17)))))</f>
        <v>0</v>
      </c>
      <c r="AL113">
        <f>IF('Calc base'!G$14=0,0,MIN(Z113,MAX(0,$E113-SUMPRODUCT($V113:$AG113,'Calc base'!$C$14:$N$14,('Calc base'!$H113:$S113&gt;'Calc base'!L113)+('Calc base'!$H113:$S113='Calc base'!L113)*('Calc base'!$C$17:$N$17&lt;'Calc base'!G$17)))))</f>
        <v>0</v>
      </c>
      <c r="AM113">
        <f>IF('Calc base'!H$14=0,0,MIN(AA113,MAX(0,$E113-SUMPRODUCT($V113:$AG113,'Calc base'!$C$14:$N$14,('Calc base'!$H113:$S113&gt;'Calc base'!M113)+('Calc base'!$H113:$S113='Calc base'!M113)*('Calc base'!$C$17:$N$17&lt;'Calc base'!H$17)))))</f>
        <v>0</v>
      </c>
      <c r="AN113">
        <f>IF('Calc base'!I$14=0,0,MIN(AB113,MAX(0,$E113-SUMPRODUCT($V113:$AG113,'Calc base'!$C$14:$N$14,('Calc base'!$H113:$S113&gt;'Calc base'!N113)+('Calc base'!$H113:$S113='Calc base'!N113)*('Calc base'!$C$17:$N$17&lt;'Calc base'!I$17)))))</f>
        <v>0</v>
      </c>
      <c r="AO113">
        <f>IF('Calc base'!J$14=0,0,MIN(AC113,MAX(0,$E113-SUMPRODUCT($V113:$AG113,'Calc base'!$C$14:$N$14,('Calc base'!$H113:$S113&gt;'Calc base'!O113)+('Calc base'!$H113:$S113='Calc base'!O113)*('Calc base'!$C$17:$N$17&lt;'Calc base'!J$17)))))</f>
        <v>0</v>
      </c>
      <c r="AP113">
        <f>IF('Calc base'!K$14=0,0,MIN(AD113,MAX(0,$E113-SUMPRODUCT($V113:$AG113,'Calc base'!$C$14:$N$14,('Calc base'!$H113:$S113&gt;'Calc base'!P113)+('Calc base'!$H113:$S113='Calc base'!P113)*('Calc base'!$C$17:$N$17&lt;'Calc base'!K$17)))))</f>
        <v>0</v>
      </c>
      <c r="AQ113">
        <f>IF('Calc base'!L$14=0,0,MIN(AE113,MAX(0,$E113-SUMPRODUCT($V113:$AG113,'Calc base'!$C$14:$N$14,('Calc base'!$H113:$S113&gt;'Calc base'!Q113)+('Calc base'!$H113:$S113='Calc base'!Q113)*('Calc base'!$C$17:$N$17&lt;'Calc base'!L$17)))))</f>
        <v>0</v>
      </c>
      <c r="AR113">
        <f>IF('Calc base'!M$14=0,0,MIN(AF113,MAX(0,$E113-SUMPRODUCT($V113:$AG113,'Calc base'!$C$14:$N$14,('Calc base'!$H113:$S113&gt;'Calc base'!R113)+('Calc base'!$H113:$S113='Calc base'!R113)*('Calc base'!$C$17:$N$17&lt;'Calc base'!M$17)))))</f>
        <v>0</v>
      </c>
      <c r="AS113">
        <f>IF('Calc base'!N$14=0,0,MIN(AG113,MAX(0,$E113-SUMPRODUCT($V113:$AG113,'Calc base'!$C$14:$N$14,('Calc base'!$H113:$S113&gt;'Calc base'!S113)+('Calc base'!$H113:$S113='Calc base'!S113)*('Calc base'!$C$17:$N$17&lt;'Calc base'!N$17)))))</f>
        <v>0</v>
      </c>
      <c r="AT113">
        <f>V113-AH113</f>
        <v>0</v>
      </c>
      <c r="AU113">
        <f>W113-AI113</f>
        <v>0</v>
      </c>
      <c r="AV113">
        <f>X113-AJ113</f>
        <v>0</v>
      </c>
      <c r="AW113">
        <f>Y113-AK113</f>
        <v>0</v>
      </c>
      <c r="AX113">
        <f>Z113-AL113</f>
        <v>0</v>
      </c>
      <c r="AY113">
        <f>AA113-AM113</f>
        <v>0</v>
      </c>
      <c r="AZ113">
        <f>AB113-AN113</f>
        <v>0</v>
      </c>
      <c r="BA113">
        <f>AC113-AO113</f>
        <v>0</v>
      </c>
      <c r="BB113">
        <f>AD113-AP113</f>
        <v>0</v>
      </c>
      <c r="BC113">
        <f>AE113-AQ113</f>
        <v>0</v>
      </c>
      <c r="BD113">
        <f>AF113-AR113</f>
        <v>0</v>
      </c>
      <c r="BE113">
        <f>AG113-AS113</f>
        <v>0</v>
      </c>
    </row>
    <row r="114">
      <c r="A114" t="n">
        <v>84</v>
      </c>
      <c r="B114">
        <f>SUMPRODUCT(ROUND($AT113:$BE113*(1+'Calc base'!$H114:$S114),2))</f>
        <v>0</v>
      </c>
      <c r="C114">
        <f>SUM(J114:U114)</f>
        <v>0</v>
      </c>
      <c r="D114">
        <f>SUM(V114:AG114)</f>
        <v>0</v>
      </c>
      <c r="E114">
        <f>MAX(0,IF(Impostazioni!$B$7="No",'Calc base'!$C114-$C$31,'Calc base'!$C114-C114)+'Calc base'!$G114+'Calc base'!$F114-(B114-C114-D114))</f>
        <v>900</v>
      </c>
      <c r="F114">
        <f>SUM(AH114:AS114)</f>
        <v>0</v>
      </c>
      <c r="G114">
        <f>SUM(AT114:BE114)</f>
        <v>0</v>
      </c>
      <c r="H114">
        <f>B114-G113</f>
        <v>0</v>
      </c>
      <c r="I114">
        <f>B114-G114</f>
        <v>0</v>
      </c>
      <c r="J114">
        <f>IF(AT113&lt;=0,0,IF(ROUND(AT113*(1+'Calc base'!H114),2)-MAX('Calc base'!C$12,ROUND('Calc base'!C$13*AT113,2))&lt;1,ROUND(AT113*(1+'Calc base'!H114),2),MAX('Calc base'!C$12,ROUND('Calc base'!C$13*AT113,2))))</f>
        <v>0</v>
      </c>
      <c r="K114">
        <f>IF(AU113&lt;=0,0,IF(ROUND(AU113*(1+'Calc base'!I114),2)-MAX('Calc base'!D$12,ROUND('Calc base'!D$13*AU113,2))&lt;1,ROUND(AU113*(1+'Calc base'!I114),2),MAX('Calc base'!D$12,ROUND('Calc base'!D$13*AU113,2))))</f>
        <v>0</v>
      </c>
      <c r="L114">
        <f>IF(AV113&lt;=0,0,IF(ROUND(AV113*(1+'Calc base'!J114),2)-MAX('Calc base'!E$12,ROUND('Calc base'!E$13*AV113,2))&lt;1,ROUND(AV113*(1+'Calc base'!J114),2),MAX('Calc base'!E$12,ROUND('Calc base'!E$13*AV113,2))))</f>
        <v>0</v>
      </c>
      <c r="M114">
        <f>IF(AW113&lt;=0,0,IF(ROUND(AW113*(1+'Calc base'!K114),2)-MAX('Calc base'!F$12,ROUND('Calc base'!F$13*AW113,2))&lt;1,ROUND(AW113*(1+'Calc base'!K114),2),MAX('Calc base'!F$12,ROUND('Calc base'!F$13*AW113,2))))</f>
        <v>0</v>
      </c>
      <c r="N114">
        <f>IF(AX113&lt;=0,0,IF(ROUND(AX113*(1+'Calc base'!L114),2)-MAX('Calc base'!G$12,ROUND('Calc base'!G$13*AX113,2))&lt;1,ROUND(AX113*(1+'Calc base'!L114),2),MAX('Calc base'!G$12,ROUND('Calc base'!G$13*AX113,2))))</f>
        <v>0</v>
      </c>
      <c r="O114">
        <f>IF(AY113&lt;=0,0,IF(ROUND(AY113*(1+'Calc base'!M114),2)-MAX('Calc base'!H$12,ROUND('Calc base'!H$13*AY113,2))&lt;1,ROUND(AY113*(1+'Calc base'!M114),2),MAX('Calc base'!H$12,ROUND('Calc base'!H$13*AY113,2))))</f>
        <v>0</v>
      </c>
      <c r="P114">
        <f>IF(AZ113&lt;=0,0,IF(ROUND(AZ113*(1+'Calc base'!N114),2)-MAX('Calc base'!I$12,ROUND('Calc base'!I$13*AZ113,2))&lt;1,ROUND(AZ113*(1+'Calc base'!N114),2),MAX('Calc base'!I$12,ROUND('Calc base'!I$13*AZ113,2))))</f>
        <v>0</v>
      </c>
      <c r="Q114">
        <f>IF(BA113&lt;=0,0,IF(ROUND(BA113*(1+'Calc base'!O114),2)-MAX('Calc base'!J$12,ROUND('Calc base'!J$13*BA113,2))&lt;1,ROUND(BA113*(1+'Calc base'!O114),2),MAX('Calc base'!J$12,ROUND('Calc base'!J$13*BA113,2))))</f>
        <v>0</v>
      </c>
      <c r="R114">
        <f>IF(BB113&lt;=0,0,IF(ROUND(BB113*(1+'Calc base'!P114),2)-MAX('Calc base'!K$12,ROUND('Calc base'!K$13*BB113,2))&lt;1,ROUND(BB113*(1+'Calc base'!P114),2),MAX('Calc base'!K$12,ROUND('Calc base'!K$13*BB113,2))))</f>
        <v>0</v>
      </c>
      <c r="S114">
        <f>IF(BC113&lt;=0,0,IF(ROUND(BC113*(1+'Calc base'!Q114),2)-MAX('Calc base'!L$12,ROUND('Calc base'!L$13*BC113,2))&lt;1,ROUND(BC113*(1+'Calc base'!Q114),2),MAX('Calc base'!L$12,ROUND('Calc base'!L$13*BC113,2))))</f>
        <v>0</v>
      </c>
      <c r="T114">
        <f>IF(BD113&lt;=0,0,IF(ROUND(BD113*(1+'Calc base'!R114),2)-MAX('Calc base'!M$12,ROUND('Calc base'!M$13*BD113,2))&lt;1,ROUND(BD113*(1+'Calc base'!R114),2),MAX('Calc base'!M$12,ROUND('Calc base'!M$13*BD113,2))))</f>
        <v>0</v>
      </c>
      <c r="U114">
        <f>IF(BE113&lt;=0,0,IF(ROUND(BE113*(1+'Calc base'!S114),2)-MAX('Calc base'!N$12,ROUND('Calc base'!N$13*BE113,2))&lt;1,ROUND(BE113*(1+'Calc base'!S114),2),MAX('Calc base'!N$12,ROUND('Calc base'!N$13*BE113,2))))</f>
        <v>0</v>
      </c>
      <c r="V114">
        <f>MAX(0,ROUND(AT113*(1+'Calc base'!H114),2)-J114-'Calc base'!T114)</f>
        <v>0</v>
      </c>
      <c r="W114">
        <f>MAX(0,ROUND(AU113*(1+'Calc base'!I114),2)-K114-'Calc base'!U114)</f>
        <v>0</v>
      </c>
      <c r="X114">
        <f>MAX(0,ROUND(AV113*(1+'Calc base'!J114),2)-L114-'Calc base'!V114)</f>
        <v>0</v>
      </c>
      <c r="Y114">
        <f>MAX(0,ROUND(AW113*(1+'Calc base'!K114),2)-M114-'Calc base'!W114)</f>
        <v>0</v>
      </c>
      <c r="Z114">
        <f>MAX(0,ROUND(AX113*(1+'Calc base'!L114),2)-N114-'Calc base'!X114)</f>
        <v>0</v>
      </c>
      <c r="AA114">
        <f>MAX(0,ROUND(AY113*(1+'Calc base'!M114),2)-O114-'Calc base'!Y114)</f>
        <v>0</v>
      </c>
      <c r="AB114">
        <f>MAX(0,ROUND(AZ113*(1+'Calc base'!N114),2)-P114-'Calc base'!Z114)</f>
        <v>0</v>
      </c>
      <c r="AC114">
        <f>MAX(0,ROUND(BA113*(1+'Calc base'!O114),2)-Q114-'Calc base'!AA114)</f>
        <v>0</v>
      </c>
      <c r="AD114">
        <f>MAX(0,ROUND(BB113*(1+'Calc base'!P114),2)-R114-'Calc base'!AB114)</f>
        <v>0</v>
      </c>
      <c r="AE114">
        <f>MAX(0,ROUND(BC113*(1+'Calc base'!Q114),2)-S114-'Calc base'!AC114)</f>
        <v>0</v>
      </c>
      <c r="AF114">
        <f>MAX(0,ROUND(BD113*(1+'Calc base'!R114),2)-T114-'Calc base'!AD114)</f>
        <v>0</v>
      </c>
      <c r="AG114">
        <f>MAX(0,ROUND(BE113*(1+'Calc base'!S114),2)-U114-'Calc base'!AE114)</f>
        <v>0</v>
      </c>
      <c r="AH114">
        <f>IF('Calc base'!C$14=0,0,MIN(V114,MAX(0,$E114-SUMPRODUCT($V114:$AG114,'Calc base'!$C$14:$N$14,('Calc base'!$H114:$S114&gt;'Calc base'!H114)+('Calc base'!$H114:$S114='Calc base'!H114)*('Calc base'!$C$17:$N$17&lt;'Calc base'!C$17)))))</f>
        <v>0</v>
      </c>
      <c r="AI114">
        <f>IF('Calc base'!D$14=0,0,MIN(W114,MAX(0,$E114-SUMPRODUCT($V114:$AG114,'Calc base'!$C$14:$N$14,('Calc base'!$H114:$S114&gt;'Calc base'!I114)+('Calc base'!$H114:$S114='Calc base'!I114)*('Calc base'!$C$17:$N$17&lt;'Calc base'!D$17)))))</f>
        <v>0</v>
      </c>
      <c r="AJ114">
        <f>IF('Calc base'!E$14=0,0,MIN(X114,MAX(0,$E114-SUMPRODUCT($V114:$AG114,'Calc base'!$C$14:$N$14,('Calc base'!$H114:$S114&gt;'Calc base'!J114)+('Calc base'!$H114:$S114='Calc base'!J114)*('Calc base'!$C$17:$N$17&lt;'Calc base'!E$17)))))</f>
        <v>0</v>
      </c>
      <c r="AK114">
        <f>IF('Calc base'!F$14=0,0,MIN(Y114,MAX(0,$E114-SUMPRODUCT($V114:$AG114,'Calc base'!$C$14:$N$14,('Calc base'!$H114:$S114&gt;'Calc base'!K114)+('Calc base'!$H114:$S114='Calc base'!K114)*('Calc base'!$C$17:$N$17&lt;'Calc base'!F$17)))))</f>
        <v>0</v>
      </c>
      <c r="AL114">
        <f>IF('Calc base'!G$14=0,0,MIN(Z114,MAX(0,$E114-SUMPRODUCT($V114:$AG114,'Calc base'!$C$14:$N$14,('Calc base'!$H114:$S114&gt;'Calc base'!L114)+('Calc base'!$H114:$S114='Calc base'!L114)*('Calc base'!$C$17:$N$17&lt;'Calc base'!G$17)))))</f>
        <v>0</v>
      </c>
      <c r="AM114">
        <f>IF('Calc base'!H$14=0,0,MIN(AA114,MAX(0,$E114-SUMPRODUCT($V114:$AG114,'Calc base'!$C$14:$N$14,('Calc base'!$H114:$S114&gt;'Calc base'!M114)+('Calc base'!$H114:$S114='Calc base'!M114)*('Calc base'!$C$17:$N$17&lt;'Calc base'!H$17)))))</f>
        <v>0</v>
      </c>
      <c r="AN114">
        <f>IF('Calc base'!I$14=0,0,MIN(AB114,MAX(0,$E114-SUMPRODUCT($V114:$AG114,'Calc base'!$C$14:$N$14,('Calc base'!$H114:$S114&gt;'Calc base'!N114)+('Calc base'!$H114:$S114='Calc base'!N114)*('Calc base'!$C$17:$N$17&lt;'Calc base'!I$17)))))</f>
        <v>0</v>
      </c>
      <c r="AO114">
        <f>IF('Calc base'!J$14=0,0,MIN(AC114,MAX(0,$E114-SUMPRODUCT($V114:$AG114,'Calc base'!$C$14:$N$14,('Calc base'!$H114:$S114&gt;'Calc base'!O114)+('Calc base'!$H114:$S114='Calc base'!O114)*('Calc base'!$C$17:$N$17&lt;'Calc base'!J$17)))))</f>
        <v>0</v>
      </c>
      <c r="AP114">
        <f>IF('Calc base'!K$14=0,0,MIN(AD114,MAX(0,$E114-SUMPRODUCT($V114:$AG114,'Calc base'!$C$14:$N$14,('Calc base'!$H114:$S114&gt;'Calc base'!P114)+('Calc base'!$H114:$S114='Calc base'!P114)*('Calc base'!$C$17:$N$17&lt;'Calc base'!K$17)))))</f>
        <v>0</v>
      </c>
      <c r="AQ114">
        <f>IF('Calc base'!L$14=0,0,MIN(AE114,MAX(0,$E114-SUMPRODUCT($V114:$AG114,'Calc base'!$C$14:$N$14,('Calc base'!$H114:$S114&gt;'Calc base'!Q114)+('Calc base'!$H114:$S114='Calc base'!Q114)*('Calc base'!$C$17:$N$17&lt;'Calc base'!L$17)))))</f>
        <v>0</v>
      </c>
      <c r="AR114">
        <f>IF('Calc base'!M$14=0,0,MIN(AF114,MAX(0,$E114-SUMPRODUCT($V114:$AG114,'Calc base'!$C$14:$N$14,('Calc base'!$H114:$S114&gt;'Calc base'!R114)+('Calc base'!$H114:$S114='Calc base'!R114)*('Calc base'!$C$17:$N$17&lt;'Calc base'!M$17)))))</f>
        <v>0</v>
      </c>
      <c r="AS114">
        <f>IF('Calc base'!N$14=0,0,MIN(AG114,MAX(0,$E114-SUMPRODUCT($V114:$AG114,'Calc base'!$C$14:$N$14,('Calc base'!$H114:$S114&gt;'Calc base'!S114)+('Calc base'!$H114:$S114='Calc base'!S114)*('Calc base'!$C$17:$N$17&lt;'Calc base'!N$17)))))</f>
        <v>0</v>
      </c>
      <c r="AT114">
        <f>V114-AH114</f>
        <v>0</v>
      </c>
      <c r="AU114">
        <f>W114-AI114</f>
        <v>0</v>
      </c>
      <c r="AV114">
        <f>X114-AJ114</f>
        <v>0</v>
      </c>
      <c r="AW114">
        <f>Y114-AK114</f>
        <v>0</v>
      </c>
      <c r="AX114">
        <f>Z114-AL114</f>
        <v>0</v>
      </c>
      <c r="AY114">
        <f>AA114-AM114</f>
        <v>0</v>
      </c>
      <c r="AZ114">
        <f>AB114-AN114</f>
        <v>0</v>
      </c>
      <c r="BA114">
        <f>AC114-AO114</f>
        <v>0</v>
      </c>
      <c r="BB114">
        <f>AD114-AP114</f>
        <v>0</v>
      </c>
      <c r="BC114">
        <f>AE114-AQ114</f>
        <v>0</v>
      </c>
      <c r="BD114">
        <f>AF114-AR114</f>
        <v>0</v>
      </c>
      <c r="BE114">
        <f>AG114-AS114</f>
        <v>0</v>
      </c>
    </row>
    <row r="115">
      <c r="A115" t="n">
        <v>85</v>
      </c>
      <c r="B115">
        <f>SUMPRODUCT(ROUND($AT114:$BE114*(1+'Calc base'!$H115:$S115),2))</f>
        <v>0</v>
      </c>
      <c r="C115">
        <f>SUM(J115:U115)</f>
        <v>0</v>
      </c>
      <c r="D115">
        <f>SUM(V115:AG115)</f>
        <v>0</v>
      </c>
      <c r="E115">
        <f>MAX(0,IF(Impostazioni!$B$7="No",'Calc base'!$C115-$C$31,'Calc base'!$C115-C115)+'Calc base'!$G115+'Calc base'!$F115-(B115-C115-D115))</f>
        <v>900</v>
      </c>
      <c r="F115">
        <f>SUM(AH115:AS115)</f>
        <v>0</v>
      </c>
      <c r="G115">
        <f>SUM(AT115:BE115)</f>
        <v>0</v>
      </c>
      <c r="H115">
        <f>B115-G114</f>
        <v>0</v>
      </c>
      <c r="I115">
        <f>B115-G115</f>
        <v>0</v>
      </c>
      <c r="J115">
        <f>IF(AT114&lt;=0,0,IF(ROUND(AT114*(1+'Calc base'!H115),2)-MAX('Calc base'!C$12,ROUND('Calc base'!C$13*AT114,2))&lt;1,ROUND(AT114*(1+'Calc base'!H115),2),MAX('Calc base'!C$12,ROUND('Calc base'!C$13*AT114,2))))</f>
        <v>0</v>
      </c>
      <c r="K115">
        <f>IF(AU114&lt;=0,0,IF(ROUND(AU114*(1+'Calc base'!I115),2)-MAX('Calc base'!D$12,ROUND('Calc base'!D$13*AU114,2))&lt;1,ROUND(AU114*(1+'Calc base'!I115),2),MAX('Calc base'!D$12,ROUND('Calc base'!D$13*AU114,2))))</f>
        <v>0</v>
      </c>
      <c r="L115">
        <f>IF(AV114&lt;=0,0,IF(ROUND(AV114*(1+'Calc base'!J115),2)-MAX('Calc base'!E$12,ROUND('Calc base'!E$13*AV114,2))&lt;1,ROUND(AV114*(1+'Calc base'!J115),2),MAX('Calc base'!E$12,ROUND('Calc base'!E$13*AV114,2))))</f>
        <v>0</v>
      </c>
      <c r="M115">
        <f>IF(AW114&lt;=0,0,IF(ROUND(AW114*(1+'Calc base'!K115),2)-MAX('Calc base'!F$12,ROUND('Calc base'!F$13*AW114,2))&lt;1,ROUND(AW114*(1+'Calc base'!K115),2),MAX('Calc base'!F$12,ROUND('Calc base'!F$13*AW114,2))))</f>
        <v>0</v>
      </c>
      <c r="N115">
        <f>IF(AX114&lt;=0,0,IF(ROUND(AX114*(1+'Calc base'!L115),2)-MAX('Calc base'!G$12,ROUND('Calc base'!G$13*AX114,2))&lt;1,ROUND(AX114*(1+'Calc base'!L115),2),MAX('Calc base'!G$12,ROUND('Calc base'!G$13*AX114,2))))</f>
        <v>0</v>
      </c>
      <c r="O115">
        <f>IF(AY114&lt;=0,0,IF(ROUND(AY114*(1+'Calc base'!M115),2)-MAX('Calc base'!H$12,ROUND('Calc base'!H$13*AY114,2))&lt;1,ROUND(AY114*(1+'Calc base'!M115),2),MAX('Calc base'!H$12,ROUND('Calc base'!H$13*AY114,2))))</f>
        <v>0</v>
      </c>
      <c r="P115">
        <f>IF(AZ114&lt;=0,0,IF(ROUND(AZ114*(1+'Calc base'!N115),2)-MAX('Calc base'!I$12,ROUND('Calc base'!I$13*AZ114,2))&lt;1,ROUND(AZ114*(1+'Calc base'!N115),2),MAX('Calc base'!I$12,ROUND('Calc base'!I$13*AZ114,2))))</f>
        <v>0</v>
      </c>
      <c r="Q115">
        <f>IF(BA114&lt;=0,0,IF(ROUND(BA114*(1+'Calc base'!O115),2)-MAX('Calc base'!J$12,ROUND('Calc base'!J$13*BA114,2))&lt;1,ROUND(BA114*(1+'Calc base'!O115),2),MAX('Calc base'!J$12,ROUND('Calc base'!J$13*BA114,2))))</f>
        <v>0</v>
      </c>
      <c r="R115">
        <f>IF(BB114&lt;=0,0,IF(ROUND(BB114*(1+'Calc base'!P115),2)-MAX('Calc base'!K$12,ROUND('Calc base'!K$13*BB114,2))&lt;1,ROUND(BB114*(1+'Calc base'!P115),2),MAX('Calc base'!K$12,ROUND('Calc base'!K$13*BB114,2))))</f>
        <v>0</v>
      </c>
      <c r="S115">
        <f>IF(BC114&lt;=0,0,IF(ROUND(BC114*(1+'Calc base'!Q115),2)-MAX('Calc base'!L$12,ROUND('Calc base'!L$13*BC114,2))&lt;1,ROUND(BC114*(1+'Calc base'!Q115),2),MAX('Calc base'!L$12,ROUND('Calc base'!L$13*BC114,2))))</f>
        <v>0</v>
      </c>
      <c r="T115">
        <f>IF(BD114&lt;=0,0,IF(ROUND(BD114*(1+'Calc base'!R115),2)-MAX('Calc base'!M$12,ROUND('Calc base'!M$13*BD114,2))&lt;1,ROUND(BD114*(1+'Calc base'!R115),2),MAX('Calc base'!M$12,ROUND('Calc base'!M$13*BD114,2))))</f>
        <v>0</v>
      </c>
      <c r="U115">
        <f>IF(BE114&lt;=0,0,IF(ROUND(BE114*(1+'Calc base'!S115),2)-MAX('Calc base'!N$12,ROUND('Calc base'!N$13*BE114,2))&lt;1,ROUND(BE114*(1+'Calc base'!S115),2),MAX('Calc base'!N$12,ROUND('Calc base'!N$13*BE114,2))))</f>
        <v>0</v>
      </c>
      <c r="V115">
        <f>MAX(0,ROUND(AT114*(1+'Calc base'!H115),2)-J115-'Calc base'!T115)</f>
        <v>0</v>
      </c>
      <c r="W115">
        <f>MAX(0,ROUND(AU114*(1+'Calc base'!I115),2)-K115-'Calc base'!U115)</f>
        <v>0</v>
      </c>
      <c r="X115">
        <f>MAX(0,ROUND(AV114*(1+'Calc base'!J115),2)-L115-'Calc base'!V115)</f>
        <v>0</v>
      </c>
      <c r="Y115">
        <f>MAX(0,ROUND(AW114*(1+'Calc base'!K115),2)-M115-'Calc base'!W115)</f>
        <v>0</v>
      </c>
      <c r="Z115">
        <f>MAX(0,ROUND(AX114*(1+'Calc base'!L115),2)-N115-'Calc base'!X115)</f>
        <v>0</v>
      </c>
      <c r="AA115">
        <f>MAX(0,ROUND(AY114*(1+'Calc base'!M115),2)-O115-'Calc base'!Y115)</f>
        <v>0</v>
      </c>
      <c r="AB115">
        <f>MAX(0,ROUND(AZ114*(1+'Calc base'!N115),2)-P115-'Calc base'!Z115)</f>
        <v>0</v>
      </c>
      <c r="AC115">
        <f>MAX(0,ROUND(BA114*(1+'Calc base'!O115),2)-Q115-'Calc base'!AA115)</f>
        <v>0</v>
      </c>
      <c r="AD115">
        <f>MAX(0,ROUND(BB114*(1+'Calc base'!P115),2)-R115-'Calc base'!AB115)</f>
        <v>0</v>
      </c>
      <c r="AE115">
        <f>MAX(0,ROUND(BC114*(1+'Calc base'!Q115),2)-S115-'Calc base'!AC115)</f>
        <v>0</v>
      </c>
      <c r="AF115">
        <f>MAX(0,ROUND(BD114*(1+'Calc base'!R115),2)-T115-'Calc base'!AD115)</f>
        <v>0</v>
      </c>
      <c r="AG115">
        <f>MAX(0,ROUND(BE114*(1+'Calc base'!S115),2)-U115-'Calc base'!AE115)</f>
        <v>0</v>
      </c>
      <c r="AH115">
        <f>IF('Calc base'!C$14=0,0,MIN(V115,MAX(0,$E115-SUMPRODUCT($V115:$AG115,'Calc base'!$C$14:$N$14,('Calc base'!$H115:$S115&gt;'Calc base'!H115)+('Calc base'!$H115:$S115='Calc base'!H115)*('Calc base'!$C$17:$N$17&lt;'Calc base'!C$17)))))</f>
        <v>0</v>
      </c>
      <c r="AI115">
        <f>IF('Calc base'!D$14=0,0,MIN(W115,MAX(0,$E115-SUMPRODUCT($V115:$AG115,'Calc base'!$C$14:$N$14,('Calc base'!$H115:$S115&gt;'Calc base'!I115)+('Calc base'!$H115:$S115='Calc base'!I115)*('Calc base'!$C$17:$N$17&lt;'Calc base'!D$17)))))</f>
        <v>0</v>
      </c>
      <c r="AJ115">
        <f>IF('Calc base'!E$14=0,0,MIN(X115,MAX(0,$E115-SUMPRODUCT($V115:$AG115,'Calc base'!$C$14:$N$14,('Calc base'!$H115:$S115&gt;'Calc base'!J115)+('Calc base'!$H115:$S115='Calc base'!J115)*('Calc base'!$C$17:$N$17&lt;'Calc base'!E$17)))))</f>
        <v>0</v>
      </c>
      <c r="AK115">
        <f>IF('Calc base'!F$14=0,0,MIN(Y115,MAX(0,$E115-SUMPRODUCT($V115:$AG115,'Calc base'!$C$14:$N$14,('Calc base'!$H115:$S115&gt;'Calc base'!K115)+('Calc base'!$H115:$S115='Calc base'!K115)*('Calc base'!$C$17:$N$17&lt;'Calc base'!F$17)))))</f>
        <v>0</v>
      </c>
      <c r="AL115">
        <f>IF('Calc base'!G$14=0,0,MIN(Z115,MAX(0,$E115-SUMPRODUCT($V115:$AG115,'Calc base'!$C$14:$N$14,('Calc base'!$H115:$S115&gt;'Calc base'!L115)+('Calc base'!$H115:$S115='Calc base'!L115)*('Calc base'!$C$17:$N$17&lt;'Calc base'!G$17)))))</f>
        <v>0</v>
      </c>
      <c r="AM115">
        <f>IF('Calc base'!H$14=0,0,MIN(AA115,MAX(0,$E115-SUMPRODUCT($V115:$AG115,'Calc base'!$C$14:$N$14,('Calc base'!$H115:$S115&gt;'Calc base'!M115)+('Calc base'!$H115:$S115='Calc base'!M115)*('Calc base'!$C$17:$N$17&lt;'Calc base'!H$17)))))</f>
        <v>0</v>
      </c>
      <c r="AN115">
        <f>IF('Calc base'!I$14=0,0,MIN(AB115,MAX(0,$E115-SUMPRODUCT($V115:$AG115,'Calc base'!$C$14:$N$14,('Calc base'!$H115:$S115&gt;'Calc base'!N115)+('Calc base'!$H115:$S115='Calc base'!N115)*('Calc base'!$C$17:$N$17&lt;'Calc base'!I$17)))))</f>
        <v>0</v>
      </c>
      <c r="AO115">
        <f>IF('Calc base'!J$14=0,0,MIN(AC115,MAX(0,$E115-SUMPRODUCT($V115:$AG115,'Calc base'!$C$14:$N$14,('Calc base'!$H115:$S115&gt;'Calc base'!O115)+('Calc base'!$H115:$S115='Calc base'!O115)*('Calc base'!$C$17:$N$17&lt;'Calc base'!J$17)))))</f>
        <v>0</v>
      </c>
      <c r="AP115">
        <f>IF('Calc base'!K$14=0,0,MIN(AD115,MAX(0,$E115-SUMPRODUCT($V115:$AG115,'Calc base'!$C$14:$N$14,('Calc base'!$H115:$S115&gt;'Calc base'!P115)+('Calc base'!$H115:$S115='Calc base'!P115)*('Calc base'!$C$17:$N$17&lt;'Calc base'!K$17)))))</f>
        <v>0</v>
      </c>
      <c r="AQ115">
        <f>IF('Calc base'!L$14=0,0,MIN(AE115,MAX(0,$E115-SUMPRODUCT($V115:$AG115,'Calc base'!$C$14:$N$14,('Calc base'!$H115:$S115&gt;'Calc base'!Q115)+('Calc base'!$H115:$S115='Calc base'!Q115)*('Calc base'!$C$17:$N$17&lt;'Calc base'!L$17)))))</f>
        <v>0</v>
      </c>
      <c r="AR115">
        <f>IF('Calc base'!M$14=0,0,MIN(AF115,MAX(0,$E115-SUMPRODUCT($V115:$AG115,'Calc base'!$C$14:$N$14,('Calc base'!$H115:$S115&gt;'Calc base'!R115)+('Calc base'!$H115:$S115='Calc base'!R115)*('Calc base'!$C$17:$N$17&lt;'Calc base'!M$17)))))</f>
        <v>0</v>
      </c>
      <c r="AS115">
        <f>IF('Calc base'!N$14=0,0,MIN(AG115,MAX(0,$E115-SUMPRODUCT($V115:$AG115,'Calc base'!$C$14:$N$14,('Calc base'!$H115:$S115&gt;'Calc base'!S115)+('Calc base'!$H115:$S115='Calc base'!S115)*('Calc base'!$C$17:$N$17&lt;'Calc base'!N$17)))))</f>
        <v>0</v>
      </c>
      <c r="AT115">
        <f>V115-AH115</f>
        <v>0</v>
      </c>
      <c r="AU115">
        <f>W115-AI115</f>
        <v>0</v>
      </c>
      <c r="AV115">
        <f>X115-AJ115</f>
        <v>0</v>
      </c>
      <c r="AW115">
        <f>Y115-AK115</f>
        <v>0</v>
      </c>
      <c r="AX115">
        <f>Z115-AL115</f>
        <v>0</v>
      </c>
      <c r="AY115">
        <f>AA115-AM115</f>
        <v>0</v>
      </c>
      <c r="AZ115">
        <f>AB115-AN115</f>
        <v>0</v>
      </c>
      <c r="BA115">
        <f>AC115-AO115</f>
        <v>0</v>
      </c>
      <c r="BB115">
        <f>AD115-AP115</f>
        <v>0</v>
      </c>
      <c r="BC115">
        <f>AE115-AQ115</f>
        <v>0</v>
      </c>
      <c r="BD115">
        <f>AF115-AR115</f>
        <v>0</v>
      </c>
      <c r="BE115">
        <f>AG115-AS115</f>
        <v>0</v>
      </c>
    </row>
    <row r="116">
      <c r="A116" t="n">
        <v>86</v>
      </c>
      <c r="B116">
        <f>SUMPRODUCT(ROUND($AT115:$BE115*(1+'Calc base'!$H116:$S116),2))</f>
        <v>0</v>
      </c>
      <c r="C116">
        <f>SUM(J116:U116)</f>
        <v>0</v>
      </c>
      <c r="D116">
        <f>SUM(V116:AG116)</f>
        <v>0</v>
      </c>
      <c r="E116">
        <f>MAX(0,IF(Impostazioni!$B$7="No",'Calc base'!$C116-$C$31,'Calc base'!$C116-C116)+'Calc base'!$G116+'Calc base'!$F116-(B116-C116-D116))</f>
        <v>900</v>
      </c>
      <c r="F116">
        <f>SUM(AH116:AS116)</f>
        <v>0</v>
      </c>
      <c r="G116">
        <f>SUM(AT116:BE116)</f>
        <v>0</v>
      </c>
      <c r="H116">
        <f>B116-G115</f>
        <v>0</v>
      </c>
      <c r="I116">
        <f>B116-G116</f>
        <v>0</v>
      </c>
      <c r="J116">
        <f>IF(AT115&lt;=0,0,IF(ROUND(AT115*(1+'Calc base'!H116),2)-MAX('Calc base'!C$12,ROUND('Calc base'!C$13*AT115,2))&lt;1,ROUND(AT115*(1+'Calc base'!H116),2),MAX('Calc base'!C$12,ROUND('Calc base'!C$13*AT115,2))))</f>
        <v>0</v>
      </c>
      <c r="K116">
        <f>IF(AU115&lt;=0,0,IF(ROUND(AU115*(1+'Calc base'!I116),2)-MAX('Calc base'!D$12,ROUND('Calc base'!D$13*AU115,2))&lt;1,ROUND(AU115*(1+'Calc base'!I116),2),MAX('Calc base'!D$12,ROUND('Calc base'!D$13*AU115,2))))</f>
        <v>0</v>
      </c>
      <c r="L116">
        <f>IF(AV115&lt;=0,0,IF(ROUND(AV115*(1+'Calc base'!J116),2)-MAX('Calc base'!E$12,ROUND('Calc base'!E$13*AV115,2))&lt;1,ROUND(AV115*(1+'Calc base'!J116),2),MAX('Calc base'!E$12,ROUND('Calc base'!E$13*AV115,2))))</f>
        <v>0</v>
      </c>
      <c r="M116">
        <f>IF(AW115&lt;=0,0,IF(ROUND(AW115*(1+'Calc base'!K116),2)-MAX('Calc base'!F$12,ROUND('Calc base'!F$13*AW115,2))&lt;1,ROUND(AW115*(1+'Calc base'!K116),2),MAX('Calc base'!F$12,ROUND('Calc base'!F$13*AW115,2))))</f>
        <v>0</v>
      </c>
      <c r="N116">
        <f>IF(AX115&lt;=0,0,IF(ROUND(AX115*(1+'Calc base'!L116),2)-MAX('Calc base'!G$12,ROUND('Calc base'!G$13*AX115,2))&lt;1,ROUND(AX115*(1+'Calc base'!L116),2),MAX('Calc base'!G$12,ROUND('Calc base'!G$13*AX115,2))))</f>
        <v>0</v>
      </c>
      <c r="O116">
        <f>IF(AY115&lt;=0,0,IF(ROUND(AY115*(1+'Calc base'!M116),2)-MAX('Calc base'!H$12,ROUND('Calc base'!H$13*AY115,2))&lt;1,ROUND(AY115*(1+'Calc base'!M116),2),MAX('Calc base'!H$12,ROUND('Calc base'!H$13*AY115,2))))</f>
        <v>0</v>
      </c>
      <c r="P116">
        <f>IF(AZ115&lt;=0,0,IF(ROUND(AZ115*(1+'Calc base'!N116),2)-MAX('Calc base'!I$12,ROUND('Calc base'!I$13*AZ115,2))&lt;1,ROUND(AZ115*(1+'Calc base'!N116),2),MAX('Calc base'!I$12,ROUND('Calc base'!I$13*AZ115,2))))</f>
        <v>0</v>
      </c>
      <c r="Q116">
        <f>IF(BA115&lt;=0,0,IF(ROUND(BA115*(1+'Calc base'!O116),2)-MAX('Calc base'!J$12,ROUND('Calc base'!J$13*BA115,2))&lt;1,ROUND(BA115*(1+'Calc base'!O116),2),MAX('Calc base'!J$12,ROUND('Calc base'!J$13*BA115,2))))</f>
        <v>0</v>
      </c>
      <c r="R116">
        <f>IF(BB115&lt;=0,0,IF(ROUND(BB115*(1+'Calc base'!P116),2)-MAX('Calc base'!K$12,ROUND('Calc base'!K$13*BB115,2))&lt;1,ROUND(BB115*(1+'Calc base'!P116),2),MAX('Calc base'!K$12,ROUND('Calc base'!K$13*BB115,2))))</f>
        <v>0</v>
      </c>
      <c r="S116">
        <f>IF(BC115&lt;=0,0,IF(ROUND(BC115*(1+'Calc base'!Q116),2)-MAX('Calc base'!L$12,ROUND('Calc base'!L$13*BC115,2))&lt;1,ROUND(BC115*(1+'Calc base'!Q116),2),MAX('Calc base'!L$12,ROUND('Calc base'!L$13*BC115,2))))</f>
        <v>0</v>
      </c>
      <c r="T116">
        <f>IF(BD115&lt;=0,0,IF(ROUND(BD115*(1+'Calc base'!R116),2)-MAX('Calc base'!M$12,ROUND('Calc base'!M$13*BD115,2))&lt;1,ROUND(BD115*(1+'Calc base'!R116),2),MAX('Calc base'!M$12,ROUND('Calc base'!M$13*BD115,2))))</f>
        <v>0</v>
      </c>
      <c r="U116">
        <f>IF(BE115&lt;=0,0,IF(ROUND(BE115*(1+'Calc base'!S116),2)-MAX('Calc base'!N$12,ROUND('Calc base'!N$13*BE115,2))&lt;1,ROUND(BE115*(1+'Calc base'!S116),2),MAX('Calc base'!N$12,ROUND('Calc base'!N$13*BE115,2))))</f>
        <v>0</v>
      </c>
      <c r="V116">
        <f>MAX(0,ROUND(AT115*(1+'Calc base'!H116),2)-J116-'Calc base'!T116)</f>
        <v>0</v>
      </c>
      <c r="W116">
        <f>MAX(0,ROUND(AU115*(1+'Calc base'!I116),2)-K116-'Calc base'!U116)</f>
        <v>0</v>
      </c>
      <c r="X116">
        <f>MAX(0,ROUND(AV115*(1+'Calc base'!J116),2)-L116-'Calc base'!V116)</f>
        <v>0</v>
      </c>
      <c r="Y116">
        <f>MAX(0,ROUND(AW115*(1+'Calc base'!K116),2)-M116-'Calc base'!W116)</f>
        <v>0</v>
      </c>
      <c r="Z116">
        <f>MAX(0,ROUND(AX115*(1+'Calc base'!L116),2)-N116-'Calc base'!X116)</f>
        <v>0</v>
      </c>
      <c r="AA116">
        <f>MAX(0,ROUND(AY115*(1+'Calc base'!M116),2)-O116-'Calc base'!Y116)</f>
        <v>0</v>
      </c>
      <c r="AB116">
        <f>MAX(0,ROUND(AZ115*(1+'Calc base'!N116),2)-P116-'Calc base'!Z116)</f>
        <v>0</v>
      </c>
      <c r="AC116">
        <f>MAX(0,ROUND(BA115*(1+'Calc base'!O116),2)-Q116-'Calc base'!AA116)</f>
        <v>0</v>
      </c>
      <c r="AD116">
        <f>MAX(0,ROUND(BB115*(1+'Calc base'!P116),2)-R116-'Calc base'!AB116)</f>
        <v>0</v>
      </c>
      <c r="AE116">
        <f>MAX(0,ROUND(BC115*(1+'Calc base'!Q116),2)-S116-'Calc base'!AC116)</f>
        <v>0</v>
      </c>
      <c r="AF116">
        <f>MAX(0,ROUND(BD115*(1+'Calc base'!R116),2)-T116-'Calc base'!AD116)</f>
        <v>0</v>
      </c>
      <c r="AG116">
        <f>MAX(0,ROUND(BE115*(1+'Calc base'!S116),2)-U116-'Calc base'!AE116)</f>
        <v>0</v>
      </c>
      <c r="AH116">
        <f>IF('Calc base'!C$14=0,0,MIN(V116,MAX(0,$E116-SUMPRODUCT($V116:$AG116,'Calc base'!$C$14:$N$14,('Calc base'!$H116:$S116&gt;'Calc base'!H116)+('Calc base'!$H116:$S116='Calc base'!H116)*('Calc base'!$C$17:$N$17&lt;'Calc base'!C$17)))))</f>
        <v>0</v>
      </c>
      <c r="AI116">
        <f>IF('Calc base'!D$14=0,0,MIN(W116,MAX(0,$E116-SUMPRODUCT($V116:$AG116,'Calc base'!$C$14:$N$14,('Calc base'!$H116:$S116&gt;'Calc base'!I116)+('Calc base'!$H116:$S116='Calc base'!I116)*('Calc base'!$C$17:$N$17&lt;'Calc base'!D$17)))))</f>
        <v>0</v>
      </c>
      <c r="AJ116">
        <f>IF('Calc base'!E$14=0,0,MIN(X116,MAX(0,$E116-SUMPRODUCT($V116:$AG116,'Calc base'!$C$14:$N$14,('Calc base'!$H116:$S116&gt;'Calc base'!J116)+('Calc base'!$H116:$S116='Calc base'!J116)*('Calc base'!$C$17:$N$17&lt;'Calc base'!E$17)))))</f>
        <v>0</v>
      </c>
      <c r="AK116">
        <f>IF('Calc base'!F$14=0,0,MIN(Y116,MAX(0,$E116-SUMPRODUCT($V116:$AG116,'Calc base'!$C$14:$N$14,('Calc base'!$H116:$S116&gt;'Calc base'!K116)+('Calc base'!$H116:$S116='Calc base'!K116)*('Calc base'!$C$17:$N$17&lt;'Calc base'!F$17)))))</f>
        <v>0</v>
      </c>
      <c r="AL116">
        <f>IF('Calc base'!G$14=0,0,MIN(Z116,MAX(0,$E116-SUMPRODUCT($V116:$AG116,'Calc base'!$C$14:$N$14,('Calc base'!$H116:$S116&gt;'Calc base'!L116)+('Calc base'!$H116:$S116='Calc base'!L116)*('Calc base'!$C$17:$N$17&lt;'Calc base'!G$17)))))</f>
        <v>0</v>
      </c>
      <c r="AM116">
        <f>IF('Calc base'!H$14=0,0,MIN(AA116,MAX(0,$E116-SUMPRODUCT($V116:$AG116,'Calc base'!$C$14:$N$14,('Calc base'!$H116:$S116&gt;'Calc base'!M116)+('Calc base'!$H116:$S116='Calc base'!M116)*('Calc base'!$C$17:$N$17&lt;'Calc base'!H$17)))))</f>
        <v>0</v>
      </c>
      <c r="AN116">
        <f>IF('Calc base'!I$14=0,0,MIN(AB116,MAX(0,$E116-SUMPRODUCT($V116:$AG116,'Calc base'!$C$14:$N$14,('Calc base'!$H116:$S116&gt;'Calc base'!N116)+('Calc base'!$H116:$S116='Calc base'!N116)*('Calc base'!$C$17:$N$17&lt;'Calc base'!I$17)))))</f>
        <v>0</v>
      </c>
      <c r="AO116">
        <f>IF('Calc base'!J$14=0,0,MIN(AC116,MAX(0,$E116-SUMPRODUCT($V116:$AG116,'Calc base'!$C$14:$N$14,('Calc base'!$H116:$S116&gt;'Calc base'!O116)+('Calc base'!$H116:$S116='Calc base'!O116)*('Calc base'!$C$17:$N$17&lt;'Calc base'!J$17)))))</f>
        <v>0</v>
      </c>
      <c r="AP116">
        <f>IF('Calc base'!K$14=0,0,MIN(AD116,MAX(0,$E116-SUMPRODUCT($V116:$AG116,'Calc base'!$C$14:$N$14,('Calc base'!$H116:$S116&gt;'Calc base'!P116)+('Calc base'!$H116:$S116='Calc base'!P116)*('Calc base'!$C$17:$N$17&lt;'Calc base'!K$17)))))</f>
        <v>0</v>
      </c>
      <c r="AQ116">
        <f>IF('Calc base'!L$14=0,0,MIN(AE116,MAX(0,$E116-SUMPRODUCT($V116:$AG116,'Calc base'!$C$14:$N$14,('Calc base'!$H116:$S116&gt;'Calc base'!Q116)+('Calc base'!$H116:$S116='Calc base'!Q116)*('Calc base'!$C$17:$N$17&lt;'Calc base'!L$17)))))</f>
        <v>0</v>
      </c>
      <c r="AR116">
        <f>IF('Calc base'!M$14=0,0,MIN(AF116,MAX(0,$E116-SUMPRODUCT($V116:$AG116,'Calc base'!$C$14:$N$14,('Calc base'!$H116:$S116&gt;'Calc base'!R116)+('Calc base'!$H116:$S116='Calc base'!R116)*('Calc base'!$C$17:$N$17&lt;'Calc base'!M$17)))))</f>
        <v>0</v>
      </c>
      <c r="AS116">
        <f>IF('Calc base'!N$14=0,0,MIN(AG116,MAX(0,$E116-SUMPRODUCT($V116:$AG116,'Calc base'!$C$14:$N$14,('Calc base'!$H116:$S116&gt;'Calc base'!S116)+('Calc base'!$H116:$S116='Calc base'!S116)*('Calc base'!$C$17:$N$17&lt;'Calc base'!N$17)))))</f>
        <v>0</v>
      </c>
      <c r="AT116">
        <f>V116-AH116</f>
        <v>0</v>
      </c>
      <c r="AU116">
        <f>W116-AI116</f>
        <v>0</v>
      </c>
      <c r="AV116">
        <f>X116-AJ116</f>
        <v>0</v>
      </c>
      <c r="AW116">
        <f>Y116-AK116</f>
        <v>0</v>
      </c>
      <c r="AX116">
        <f>Z116-AL116</f>
        <v>0</v>
      </c>
      <c r="AY116">
        <f>AA116-AM116</f>
        <v>0</v>
      </c>
      <c r="AZ116">
        <f>AB116-AN116</f>
        <v>0</v>
      </c>
      <c r="BA116">
        <f>AC116-AO116</f>
        <v>0</v>
      </c>
      <c r="BB116">
        <f>AD116-AP116</f>
        <v>0</v>
      </c>
      <c r="BC116">
        <f>AE116-AQ116</f>
        <v>0</v>
      </c>
      <c r="BD116">
        <f>AF116-AR116</f>
        <v>0</v>
      </c>
      <c r="BE116">
        <f>AG116-AS116</f>
        <v>0</v>
      </c>
    </row>
    <row r="117">
      <c r="A117" t="n">
        <v>87</v>
      </c>
      <c r="B117">
        <f>SUMPRODUCT(ROUND($AT116:$BE116*(1+'Calc base'!$H117:$S117),2))</f>
        <v>0</v>
      </c>
      <c r="C117">
        <f>SUM(J117:U117)</f>
        <v>0</v>
      </c>
      <c r="D117">
        <f>SUM(V117:AG117)</f>
        <v>0</v>
      </c>
      <c r="E117">
        <f>MAX(0,IF(Impostazioni!$B$7="No",'Calc base'!$C117-$C$31,'Calc base'!$C117-C117)+'Calc base'!$G117+'Calc base'!$F117-(B117-C117-D117))</f>
        <v>900</v>
      </c>
      <c r="F117">
        <f>SUM(AH117:AS117)</f>
        <v>0</v>
      </c>
      <c r="G117">
        <f>SUM(AT117:BE117)</f>
        <v>0</v>
      </c>
      <c r="H117">
        <f>B117-G116</f>
        <v>0</v>
      </c>
      <c r="I117">
        <f>B117-G117</f>
        <v>0</v>
      </c>
      <c r="J117">
        <f>IF(AT116&lt;=0,0,IF(ROUND(AT116*(1+'Calc base'!H117),2)-MAX('Calc base'!C$12,ROUND('Calc base'!C$13*AT116,2))&lt;1,ROUND(AT116*(1+'Calc base'!H117),2),MAX('Calc base'!C$12,ROUND('Calc base'!C$13*AT116,2))))</f>
        <v>0</v>
      </c>
      <c r="K117">
        <f>IF(AU116&lt;=0,0,IF(ROUND(AU116*(1+'Calc base'!I117),2)-MAX('Calc base'!D$12,ROUND('Calc base'!D$13*AU116,2))&lt;1,ROUND(AU116*(1+'Calc base'!I117),2),MAX('Calc base'!D$12,ROUND('Calc base'!D$13*AU116,2))))</f>
        <v>0</v>
      </c>
      <c r="L117">
        <f>IF(AV116&lt;=0,0,IF(ROUND(AV116*(1+'Calc base'!J117),2)-MAX('Calc base'!E$12,ROUND('Calc base'!E$13*AV116,2))&lt;1,ROUND(AV116*(1+'Calc base'!J117),2),MAX('Calc base'!E$12,ROUND('Calc base'!E$13*AV116,2))))</f>
        <v>0</v>
      </c>
      <c r="M117">
        <f>IF(AW116&lt;=0,0,IF(ROUND(AW116*(1+'Calc base'!K117),2)-MAX('Calc base'!F$12,ROUND('Calc base'!F$13*AW116,2))&lt;1,ROUND(AW116*(1+'Calc base'!K117),2),MAX('Calc base'!F$12,ROUND('Calc base'!F$13*AW116,2))))</f>
        <v>0</v>
      </c>
      <c r="N117">
        <f>IF(AX116&lt;=0,0,IF(ROUND(AX116*(1+'Calc base'!L117),2)-MAX('Calc base'!G$12,ROUND('Calc base'!G$13*AX116,2))&lt;1,ROUND(AX116*(1+'Calc base'!L117),2),MAX('Calc base'!G$12,ROUND('Calc base'!G$13*AX116,2))))</f>
        <v>0</v>
      </c>
      <c r="O117">
        <f>IF(AY116&lt;=0,0,IF(ROUND(AY116*(1+'Calc base'!M117),2)-MAX('Calc base'!H$12,ROUND('Calc base'!H$13*AY116,2))&lt;1,ROUND(AY116*(1+'Calc base'!M117),2),MAX('Calc base'!H$12,ROUND('Calc base'!H$13*AY116,2))))</f>
        <v>0</v>
      </c>
      <c r="P117">
        <f>IF(AZ116&lt;=0,0,IF(ROUND(AZ116*(1+'Calc base'!N117),2)-MAX('Calc base'!I$12,ROUND('Calc base'!I$13*AZ116,2))&lt;1,ROUND(AZ116*(1+'Calc base'!N117),2),MAX('Calc base'!I$12,ROUND('Calc base'!I$13*AZ116,2))))</f>
        <v>0</v>
      </c>
      <c r="Q117">
        <f>IF(BA116&lt;=0,0,IF(ROUND(BA116*(1+'Calc base'!O117),2)-MAX('Calc base'!J$12,ROUND('Calc base'!J$13*BA116,2))&lt;1,ROUND(BA116*(1+'Calc base'!O117),2),MAX('Calc base'!J$12,ROUND('Calc base'!J$13*BA116,2))))</f>
        <v>0</v>
      </c>
      <c r="R117">
        <f>IF(BB116&lt;=0,0,IF(ROUND(BB116*(1+'Calc base'!P117),2)-MAX('Calc base'!K$12,ROUND('Calc base'!K$13*BB116,2))&lt;1,ROUND(BB116*(1+'Calc base'!P117),2),MAX('Calc base'!K$12,ROUND('Calc base'!K$13*BB116,2))))</f>
        <v>0</v>
      </c>
      <c r="S117">
        <f>IF(BC116&lt;=0,0,IF(ROUND(BC116*(1+'Calc base'!Q117),2)-MAX('Calc base'!L$12,ROUND('Calc base'!L$13*BC116,2))&lt;1,ROUND(BC116*(1+'Calc base'!Q117),2),MAX('Calc base'!L$12,ROUND('Calc base'!L$13*BC116,2))))</f>
        <v>0</v>
      </c>
      <c r="T117">
        <f>IF(BD116&lt;=0,0,IF(ROUND(BD116*(1+'Calc base'!R117),2)-MAX('Calc base'!M$12,ROUND('Calc base'!M$13*BD116,2))&lt;1,ROUND(BD116*(1+'Calc base'!R117),2),MAX('Calc base'!M$12,ROUND('Calc base'!M$13*BD116,2))))</f>
        <v>0</v>
      </c>
      <c r="U117">
        <f>IF(BE116&lt;=0,0,IF(ROUND(BE116*(1+'Calc base'!S117),2)-MAX('Calc base'!N$12,ROUND('Calc base'!N$13*BE116,2))&lt;1,ROUND(BE116*(1+'Calc base'!S117),2),MAX('Calc base'!N$12,ROUND('Calc base'!N$13*BE116,2))))</f>
        <v>0</v>
      </c>
      <c r="V117">
        <f>MAX(0,ROUND(AT116*(1+'Calc base'!H117),2)-J117-'Calc base'!T117)</f>
        <v>0</v>
      </c>
      <c r="W117">
        <f>MAX(0,ROUND(AU116*(1+'Calc base'!I117),2)-K117-'Calc base'!U117)</f>
        <v>0</v>
      </c>
      <c r="X117">
        <f>MAX(0,ROUND(AV116*(1+'Calc base'!J117),2)-L117-'Calc base'!V117)</f>
        <v>0</v>
      </c>
      <c r="Y117">
        <f>MAX(0,ROUND(AW116*(1+'Calc base'!K117),2)-M117-'Calc base'!W117)</f>
        <v>0</v>
      </c>
      <c r="Z117">
        <f>MAX(0,ROUND(AX116*(1+'Calc base'!L117),2)-N117-'Calc base'!X117)</f>
        <v>0</v>
      </c>
      <c r="AA117">
        <f>MAX(0,ROUND(AY116*(1+'Calc base'!M117),2)-O117-'Calc base'!Y117)</f>
        <v>0</v>
      </c>
      <c r="AB117">
        <f>MAX(0,ROUND(AZ116*(1+'Calc base'!N117),2)-P117-'Calc base'!Z117)</f>
        <v>0</v>
      </c>
      <c r="AC117">
        <f>MAX(0,ROUND(BA116*(1+'Calc base'!O117),2)-Q117-'Calc base'!AA117)</f>
        <v>0</v>
      </c>
      <c r="AD117">
        <f>MAX(0,ROUND(BB116*(1+'Calc base'!P117),2)-R117-'Calc base'!AB117)</f>
        <v>0</v>
      </c>
      <c r="AE117">
        <f>MAX(0,ROUND(BC116*(1+'Calc base'!Q117),2)-S117-'Calc base'!AC117)</f>
        <v>0</v>
      </c>
      <c r="AF117">
        <f>MAX(0,ROUND(BD116*(1+'Calc base'!R117),2)-T117-'Calc base'!AD117)</f>
        <v>0</v>
      </c>
      <c r="AG117">
        <f>MAX(0,ROUND(BE116*(1+'Calc base'!S117),2)-U117-'Calc base'!AE117)</f>
        <v>0</v>
      </c>
      <c r="AH117">
        <f>IF('Calc base'!C$14=0,0,MIN(V117,MAX(0,$E117-SUMPRODUCT($V117:$AG117,'Calc base'!$C$14:$N$14,('Calc base'!$H117:$S117&gt;'Calc base'!H117)+('Calc base'!$H117:$S117='Calc base'!H117)*('Calc base'!$C$17:$N$17&lt;'Calc base'!C$17)))))</f>
        <v>0</v>
      </c>
      <c r="AI117">
        <f>IF('Calc base'!D$14=0,0,MIN(W117,MAX(0,$E117-SUMPRODUCT($V117:$AG117,'Calc base'!$C$14:$N$14,('Calc base'!$H117:$S117&gt;'Calc base'!I117)+('Calc base'!$H117:$S117='Calc base'!I117)*('Calc base'!$C$17:$N$17&lt;'Calc base'!D$17)))))</f>
        <v>0</v>
      </c>
      <c r="AJ117">
        <f>IF('Calc base'!E$14=0,0,MIN(X117,MAX(0,$E117-SUMPRODUCT($V117:$AG117,'Calc base'!$C$14:$N$14,('Calc base'!$H117:$S117&gt;'Calc base'!J117)+('Calc base'!$H117:$S117='Calc base'!J117)*('Calc base'!$C$17:$N$17&lt;'Calc base'!E$17)))))</f>
        <v>0</v>
      </c>
      <c r="AK117">
        <f>IF('Calc base'!F$14=0,0,MIN(Y117,MAX(0,$E117-SUMPRODUCT($V117:$AG117,'Calc base'!$C$14:$N$14,('Calc base'!$H117:$S117&gt;'Calc base'!K117)+('Calc base'!$H117:$S117='Calc base'!K117)*('Calc base'!$C$17:$N$17&lt;'Calc base'!F$17)))))</f>
        <v>0</v>
      </c>
      <c r="AL117">
        <f>IF('Calc base'!G$14=0,0,MIN(Z117,MAX(0,$E117-SUMPRODUCT($V117:$AG117,'Calc base'!$C$14:$N$14,('Calc base'!$H117:$S117&gt;'Calc base'!L117)+('Calc base'!$H117:$S117='Calc base'!L117)*('Calc base'!$C$17:$N$17&lt;'Calc base'!G$17)))))</f>
        <v>0</v>
      </c>
      <c r="AM117">
        <f>IF('Calc base'!H$14=0,0,MIN(AA117,MAX(0,$E117-SUMPRODUCT($V117:$AG117,'Calc base'!$C$14:$N$14,('Calc base'!$H117:$S117&gt;'Calc base'!M117)+('Calc base'!$H117:$S117='Calc base'!M117)*('Calc base'!$C$17:$N$17&lt;'Calc base'!H$17)))))</f>
        <v>0</v>
      </c>
      <c r="AN117">
        <f>IF('Calc base'!I$14=0,0,MIN(AB117,MAX(0,$E117-SUMPRODUCT($V117:$AG117,'Calc base'!$C$14:$N$14,('Calc base'!$H117:$S117&gt;'Calc base'!N117)+('Calc base'!$H117:$S117='Calc base'!N117)*('Calc base'!$C$17:$N$17&lt;'Calc base'!I$17)))))</f>
        <v>0</v>
      </c>
      <c r="AO117">
        <f>IF('Calc base'!J$14=0,0,MIN(AC117,MAX(0,$E117-SUMPRODUCT($V117:$AG117,'Calc base'!$C$14:$N$14,('Calc base'!$H117:$S117&gt;'Calc base'!O117)+('Calc base'!$H117:$S117='Calc base'!O117)*('Calc base'!$C$17:$N$17&lt;'Calc base'!J$17)))))</f>
        <v>0</v>
      </c>
      <c r="AP117">
        <f>IF('Calc base'!K$14=0,0,MIN(AD117,MAX(0,$E117-SUMPRODUCT($V117:$AG117,'Calc base'!$C$14:$N$14,('Calc base'!$H117:$S117&gt;'Calc base'!P117)+('Calc base'!$H117:$S117='Calc base'!P117)*('Calc base'!$C$17:$N$17&lt;'Calc base'!K$17)))))</f>
        <v>0</v>
      </c>
      <c r="AQ117">
        <f>IF('Calc base'!L$14=0,0,MIN(AE117,MAX(0,$E117-SUMPRODUCT($V117:$AG117,'Calc base'!$C$14:$N$14,('Calc base'!$H117:$S117&gt;'Calc base'!Q117)+('Calc base'!$H117:$S117='Calc base'!Q117)*('Calc base'!$C$17:$N$17&lt;'Calc base'!L$17)))))</f>
        <v>0</v>
      </c>
      <c r="AR117">
        <f>IF('Calc base'!M$14=0,0,MIN(AF117,MAX(0,$E117-SUMPRODUCT($V117:$AG117,'Calc base'!$C$14:$N$14,('Calc base'!$H117:$S117&gt;'Calc base'!R117)+('Calc base'!$H117:$S117='Calc base'!R117)*('Calc base'!$C$17:$N$17&lt;'Calc base'!M$17)))))</f>
        <v>0</v>
      </c>
      <c r="AS117">
        <f>IF('Calc base'!N$14=0,0,MIN(AG117,MAX(0,$E117-SUMPRODUCT($V117:$AG117,'Calc base'!$C$14:$N$14,('Calc base'!$H117:$S117&gt;'Calc base'!S117)+('Calc base'!$H117:$S117='Calc base'!S117)*('Calc base'!$C$17:$N$17&lt;'Calc base'!N$17)))))</f>
        <v>0</v>
      </c>
      <c r="AT117">
        <f>V117-AH117</f>
        <v>0</v>
      </c>
      <c r="AU117">
        <f>W117-AI117</f>
        <v>0</v>
      </c>
      <c r="AV117">
        <f>X117-AJ117</f>
        <v>0</v>
      </c>
      <c r="AW117">
        <f>Y117-AK117</f>
        <v>0</v>
      </c>
      <c r="AX117">
        <f>Z117-AL117</f>
        <v>0</v>
      </c>
      <c r="AY117">
        <f>AA117-AM117</f>
        <v>0</v>
      </c>
      <c r="AZ117">
        <f>AB117-AN117</f>
        <v>0</v>
      </c>
      <c r="BA117">
        <f>AC117-AO117</f>
        <v>0</v>
      </c>
      <c r="BB117">
        <f>AD117-AP117</f>
        <v>0</v>
      </c>
      <c r="BC117">
        <f>AE117-AQ117</f>
        <v>0</v>
      </c>
      <c r="BD117">
        <f>AF117-AR117</f>
        <v>0</v>
      </c>
      <c r="BE117">
        <f>AG117-AS117</f>
        <v>0</v>
      </c>
    </row>
    <row r="118">
      <c r="A118" t="n">
        <v>88</v>
      </c>
      <c r="B118">
        <f>SUMPRODUCT(ROUND($AT117:$BE117*(1+'Calc base'!$H118:$S118),2))</f>
        <v>0</v>
      </c>
      <c r="C118">
        <f>SUM(J118:U118)</f>
        <v>0</v>
      </c>
      <c r="D118">
        <f>SUM(V118:AG118)</f>
        <v>0</v>
      </c>
      <c r="E118">
        <f>MAX(0,IF(Impostazioni!$B$7="No",'Calc base'!$C118-$C$31,'Calc base'!$C118-C118)+'Calc base'!$G118+'Calc base'!$F118-(B118-C118-D118))</f>
        <v>900</v>
      </c>
      <c r="F118">
        <f>SUM(AH118:AS118)</f>
        <v>0</v>
      </c>
      <c r="G118">
        <f>SUM(AT118:BE118)</f>
        <v>0</v>
      </c>
      <c r="H118">
        <f>B118-G117</f>
        <v>0</v>
      </c>
      <c r="I118">
        <f>B118-G118</f>
        <v>0</v>
      </c>
      <c r="J118">
        <f>IF(AT117&lt;=0,0,IF(ROUND(AT117*(1+'Calc base'!H118),2)-MAX('Calc base'!C$12,ROUND('Calc base'!C$13*AT117,2))&lt;1,ROUND(AT117*(1+'Calc base'!H118),2),MAX('Calc base'!C$12,ROUND('Calc base'!C$13*AT117,2))))</f>
        <v>0</v>
      </c>
      <c r="K118">
        <f>IF(AU117&lt;=0,0,IF(ROUND(AU117*(1+'Calc base'!I118),2)-MAX('Calc base'!D$12,ROUND('Calc base'!D$13*AU117,2))&lt;1,ROUND(AU117*(1+'Calc base'!I118),2),MAX('Calc base'!D$12,ROUND('Calc base'!D$13*AU117,2))))</f>
        <v>0</v>
      </c>
      <c r="L118">
        <f>IF(AV117&lt;=0,0,IF(ROUND(AV117*(1+'Calc base'!J118),2)-MAX('Calc base'!E$12,ROUND('Calc base'!E$13*AV117,2))&lt;1,ROUND(AV117*(1+'Calc base'!J118),2),MAX('Calc base'!E$12,ROUND('Calc base'!E$13*AV117,2))))</f>
        <v>0</v>
      </c>
      <c r="M118">
        <f>IF(AW117&lt;=0,0,IF(ROUND(AW117*(1+'Calc base'!K118),2)-MAX('Calc base'!F$12,ROUND('Calc base'!F$13*AW117,2))&lt;1,ROUND(AW117*(1+'Calc base'!K118),2),MAX('Calc base'!F$12,ROUND('Calc base'!F$13*AW117,2))))</f>
        <v>0</v>
      </c>
      <c r="N118">
        <f>IF(AX117&lt;=0,0,IF(ROUND(AX117*(1+'Calc base'!L118),2)-MAX('Calc base'!G$12,ROUND('Calc base'!G$13*AX117,2))&lt;1,ROUND(AX117*(1+'Calc base'!L118),2),MAX('Calc base'!G$12,ROUND('Calc base'!G$13*AX117,2))))</f>
        <v>0</v>
      </c>
      <c r="O118">
        <f>IF(AY117&lt;=0,0,IF(ROUND(AY117*(1+'Calc base'!M118),2)-MAX('Calc base'!H$12,ROUND('Calc base'!H$13*AY117,2))&lt;1,ROUND(AY117*(1+'Calc base'!M118),2),MAX('Calc base'!H$12,ROUND('Calc base'!H$13*AY117,2))))</f>
        <v>0</v>
      </c>
      <c r="P118">
        <f>IF(AZ117&lt;=0,0,IF(ROUND(AZ117*(1+'Calc base'!N118),2)-MAX('Calc base'!I$12,ROUND('Calc base'!I$13*AZ117,2))&lt;1,ROUND(AZ117*(1+'Calc base'!N118),2),MAX('Calc base'!I$12,ROUND('Calc base'!I$13*AZ117,2))))</f>
        <v>0</v>
      </c>
      <c r="Q118">
        <f>IF(BA117&lt;=0,0,IF(ROUND(BA117*(1+'Calc base'!O118),2)-MAX('Calc base'!J$12,ROUND('Calc base'!J$13*BA117,2))&lt;1,ROUND(BA117*(1+'Calc base'!O118),2),MAX('Calc base'!J$12,ROUND('Calc base'!J$13*BA117,2))))</f>
        <v>0</v>
      </c>
      <c r="R118">
        <f>IF(BB117&lt;=0,0,IF(ROUND(BB117*(1+'Calc base'!P118),2)-MAX('Calc base'!K$12,ROUND('Calc base'!K$13*BB117,2))&lt;1,ROUND(BB117*(1+'Calc base'!P118),2),MAX('Calc base'!K$12,ROUND('Calc base'!K$13*BB117,2))))</f>
        <v>0</v>
      </c>
      <c r="S118">
        <f>IF(BC117&lt;=0,0,IF(ROUND(BC117*(1+'Calc base'!Q118),2)-MAX('Calc base'!L$12,ROUND('Calc base'!L$13*BC117,2))&lt;1,ROUND(BC117*(1+'Calc base'!Q118),2),MAX('Calc base'!L$12,ROUND('Calc base'!L$13*BC117,2))))</f>
        <v>0</v>
      </c>
      <c r="T118">
        <f>IF(BD117&lt;=0,0,IF(ROUND(BD117*(1+'Calc base'!R118),2)-MAX('Calc base'!M$12,ROUND('Calc base'!M$13*BD117,2))&lt;1,ROUND(BD117*(1+'Calc base'!R118),2),MAX('Calc base'!M$12,ROUND('Calc base'!M$13*BD117,2))))</f>
        <v>0</v>
      </c>
      <c r="U118">
        <f>IF(BE117&lt;=0,0,IF(ROUND(BE117*(1+'Calc base'!S118),2)-MAX('Calc base'!N$12,ROUND('Calc base'!N$13*BE117,2))&lt;1,ROUND(BE117*(1+'Calc base'!S118),2),MAX('Calc base'!N$12,ROUND('Calc base'!N$13*BE117,2))))</f>
        <v>0</v>
      </c>
      <c r="V118">
        <f>MAX(0,ROUND(AT117*(1+'Calc base'!H118),2)-J118-'Calc base'!T118)</f>
        <v>0</v>
      </c>
      <c r="W118">
        <f>MAX(0,ROUND(AU117*(1+'Calc base'!I118),2)-K118-'Calc base'!U118)</f>
        <v>0</v>
      </c>
      <c r="X118">
        <f>MAX(0,ROUND(AV117*(1+'Calc base'!J118),2)-L118-'Calc base'!V118)</f>
        <v>0</v>
      </c>
      <c r="Y118">
        <f>MAX(0,ROUND(AW117*(1+'Calc base'!K118),2)-M118-'Calc base'!W118)</f>
        <v>0</v>
      </c>
      <c r="Z118">
        <f>MAX(0,ROUND(AX117*(1+'Calc base'!L118),2)-N118-'Calc base'!X118)</f>
        <v>0</v>
      </c>
      <c r="AA118">
        <f>MAX(0,ROUND(AY117*(1+'Calc base'!M118),2)-O118-'Calc base'!Y118)</f>
        <v>0</v>
      </c>
      <c r="AB118">
        <f>MAX(0,ROUND(AZ117*(1+'Calc base'!N118),2)-P118-'Calc base'!Z118)</f>
        <v>0</v>
      </c>
      <c r="AC118">
        <f>MAX(0,ROUND(BA117*(1+'Calc base'!O118),2)-Q118-'Calc base'!AA118)</f>
        <v>0</v>
      </c>
      <c r="AD118">
        <f>MAX(0,ROUND(BB117*(1+'Calc base'!P118),2)-R118-'Calc base'!AB118)</f>
        <v>0</v>
      </c>
      <c r="AE118">
        <f>MAX(0,ROUND(BC117*(1+'Calc base'!Q118),2)-S118-'Calc base'!AC118)</f>
        <v>0</v>
      </c>
      <c r="AF118">
        <f>MAX(0,ROUND(BD117*(1+'Calc base'!R118),2)-T118-'Calc base'!AD118)</f>
        <v>0</v>
      </c>
      <c r="AG118">
        <f>MAX(0,ROUND(BE117*(1+'Calc base'!S118),2)-U118-'Calc base'!AE118)</f>
        <v>0</v>
      </c>
      <c r="AH118">
        <f>IF('Calc base'!C$14=0,0,MIN(V118,MAX(0,$E118-SUMPRODUCT($V118:$AG118,'Calc base'!$C$14:$N$14,('Calc base'!$H118:$S118&gt;'Calc base'!H118)+('Calc base'!$H118:$S118='Calc base'!H118)*('Calc base'!$C$17:$N$17&lt;'Calc base'!C$17)))))</f>
        <v>0</v>
      </c>
      <c r="AI118">
        <f>IF('Calc base'!D$14=0,0,MIN(W118,MAX(0,$E118-SUMPRODUCT($V118:$AG118,'Calc base'!$C$14:$N$14,('Calc base'!$H118:$S118&gt;'Calc base'!I118)+('Calc base'!$H118:$S118='Calc base'!I118)*('Calc base'!$C$17:$N$17&lt;'Calc base'!D$17)))))</f>
        <v>0</v>
      </c>
      <c r="AJ118">
        <f>IF('Calc base'!E$14=0,0,MIN(X118,MAX(0,$E118-SUMPRODUCT($V118:$AG118,'Calc base'!$C$14:$N$14,('Calc base'!$H118:$S118&gt;'Calc base'!J118)+('Calc base'!$H118:$S118='Calc base'!J118)*('Calc base'!$C$17:$N$17&lt;'Calc base'!E$17)))))</f>
        <v>0</v>
      </c>
      <c r="AK118">
        <f>IF('Calc base'!F$14=0,0,MIN(Y118,MAX(0,$E118-SUMPRODUCT($V118:$AG118,'Calc base'!$C$14:$N$14,('Calc base'!$H118:$S118&gt;'Calc base'!K118)+('Calc base'!$H118:$S118='Calc base'!K118)*('Calc base'!$C$17:$N$17&lt;'Calc base'!F$17)))))</f>
        <v>0</v>
      </c>
      <c r="AL118">
        <f>IF('Calc base'!G$14=0,0,MIN(Z118,MAX(0,$E118-SUMPRODUCT($V118:$AG118,'Calc base'!$C$14:$N$14,('Calc base'!$H118:$S118&gt;'Calc base'!L118)+('Calc base'!$H118:$S118='Calc base'!L118)*('Calc base'!$C$17:$N$17&lt;'Calc base'!G$17)))))</f>
        <v>0</v>
      </c>
      <c r="AM118">
        <f>IF('Calc base'!H$14=0,0,MIN(AA118,MAX(0,$E118-SUMPRODUCT($V118:$AG118,'Calc base'!$C$14:$N$14,('Calc base'!$H118:$S118&gt;'Calc base'!M118)+('Calc base'!$H118:$S118='Calc base'!M118)*('Calc base'!$C$17:$N$17&lt;'Calc base'!H$17)))))</f>
        <v>0</v>
      </c>
      <c r="AN118">
        <f>IF('Calc base'!I$14=0,0,MIN(AB118,MAX(0,$E118-SUMPRODUCT($V118:$AG118,'Calc base'!$C$14:$N$14,('Calc base'!$H118:$S118&gt;'Calc base'!N118)+('Calc base'!$H118:$S118='Calc base'!N118)*('Calc base'!$C$17:$N$17&lt;'Calc base'!I$17)))))</f>
        <v>0</v>
      </c>
      <c r="AO118">
        <f>IF('Calc base'!J$14=0,0,MIN(AC118,MAX(0,$E118-SUMPRODUCT($V118:$AG118,'Calc base'!$C$14:$N$14,('Calc base'!$H118:$S118&gt;'Calc base'!O118)+('Calc base'!$H118:$S118='Calc base'!O118)*('Calc base'!$C$17:$N$17&lt;'Calc base'!J$17)))))</f>
        <v>0</v>
      </c>
      <c r="AP118">
        <f>IF('Calc base'!K$14=0,0,MIN(AD118,MAX(0,$E118-SUMPRODUCT($V118:$AG118,'Calc base'!$C$14:$N$14,('Calc base'!$H118:$S118&gt;'Calc base'!P118)+('Calc base'!$H118:$S118='Calc base'!P118)*('Calc base'!$C$17:$N$17&lt;'Calc base'!K$17)))))</f>
        <v>0</v>
      </c>
      <c r="AQ118">
        <f>IF('Calc base'!L$14=0,0,MIN(AE118,MAX(0,$E118-SUMPRODUCT($V118:$AG118,'Calc base'!$C$14:$N$14,('Calc base'!$H118:$S118&gt;'Calc base'!Q118)+('Calc base'!$H118:$S118='Calc base'!Q118)*('Calc base'!$C$17:$N$17&lt;'Calc base'!L$17)))))</f>
        <v>0</v>
      </c>
      <c r="AR118">
        <f>IF('Calc base'!M$14=0,0,MIN(AF118,MAX(0,$E118-SUMPRODUCT($V118:$AG118,'Calc base'!$C$14:$N$14,('Calc base'!$H118:$S118&gt;'Calc base'!R118)+('Calc base'!$H118:$S118='Calc base'!R118)*('Calc base'!$C$17:$N$17&lt;'Calc base'!M$17)))))</f>
        <v>0</v>
      </c>
      <c r="AS118">
        <f>IF('Calc base'!N$14=0,0,MIN(AG118,MAX(0,$E118-SUMPRODUCT($V118:$AG118,'Calc base'!$C$14:$N$14,('Calc base'!$H118:$S118&gt;'Calc base'!S118)+('Calc base'!$H118:$S118='Calc base'!S118)*('Calc base'!$C$17:$N$17&lt;'Calc base'!N$17)))))</f>
        <v>0</v>
      </c>
      <c r="AT118">
        <f>V118-AH118</f>
        <v>0</v>
      </c>
      <c r="AU118">
        <f>W118-AI118</f>
        <v>0</v>
      </c>
      <c r="AV118">
        <f>X118-AJ118</f>
        <v>0</v>
      </c>
      <c r="AW118">
        <f>Y118-AK118</f>
        <v>0</v>
      </c>
      <c r="AX118">
        <f>Z118-AL118</f>
        <v>0</v>
      </c>
      <c r="AY118">
        <f>AA118-AM118</f>
        <v>0</v>
      </c>
      <c r="AZ118">
        <f>AB118-AN118</f>
        <v>0</v>
      </c>
      <c r="BA118">
        <f>AC118-AO118</f>
        <v>0</v>
      </c>
      <c r="BB118">
        <f>AD118-AP118</f>
        <v>0</v>
      </c>
      <c r="BC118">
        <f>AE118-AQ118</f>
        <v>0</v>
      </c>
      <c r="BD118">
        <f>AF118-AR118</f>
        <v>0</v>
      </c>
      <c r="BE118">
        <f>AG118-AS118</f>
        <v>0</v>
      </c>
    </row>
    <row r="119">
      <c r="A119" t="n">
        <v>89</v>
      </c>
      <c r="B119">
        <f>SUMPRODUCT(ROUND($AT118:$BE118*(1+'Calc base'!$H119:$S119),2))</f>
        <v>0</v>
      </c>
      <c r="C119">
        <f>SUM(J119:U119)</f>
        <v>0</v>
      </c>
      <c r="D119">
        <f>SUM(V119:AG119)</f>
        <v>0</v>
      </c>
      <c r="E119">
        <f>MAX(0,IF(Impostazioni!$B$7="No",'Calc base'!$C119-$C$31,'Calc base'!$C119-C119)+'Calc base'!$G119+'Calc base'!$F119-(B119-C119-D119))</f>
        <v>900</v>
      </c>
      <c r="F119">
        <f>SUM(AH119:AS119)</f>
        <v>0</v>
      </c>
      <c r="G119">
        <f>SUM(AT119:BE119)</f>
        <v>0</v>
      </c>
      <c r="H119">
        <f>B119-G118</f>
        <v>0</v>
      </c>
      <c r="I119">
        <f>B119-G119</f>
        <v>0</v>
      </c>
      <c r="J119">
        <f>IF(AT118&lt;=0,0,IF(ROUND(AT118*(1+'Calc base'!H119),2)-MAX('Calc base'!C$12,ROUND('Calc base'!C$13*AT118,2))&lt;1,ROUND(AT118*(1+'Calc base'!H119),2),MAX('Calc base'!C$12,ROUND('Calc base'!C$13*AT118,2))))</f>
        <v>0</v>
      </c>
      <c r="K119">
        <f>IF(AU118&lt;=0,0,IF(ROUND(AU118*(1+'Calc base'!I119),2)-MAX('Calc base'!D$12,ROUND('Calc base'!D$13*AU118,2))&lt;1,ROUND(AU118*(1+'Calc base'!I119),2),MAX('Calc base'!D$12,ROUND('Calc base'!D$13*AU118,2))))</f>
        <v>0</v>
      </c>
      <c r="L119">
        <f>IF(AV118&lt;=0,0,IF(ROUND(AV118*(1+'Calc base'!J119),2)-MAX('Calc base'!E$12,ROUND('Calc base'!E$13*AV118,2))&lt;1,ROUND(AV118*(1+'Calc base'!J119),2),MAX('Calc base'!E$12,ROUND('Calc base'!E$13*AV118,2))))</f>
        <v>0</v>
      </c>
      <c r="M119">
        <f>IF(AW118&lt;=0,0,IF(ROUND(AW118*(1+'Calc base'!K119),2)-MAX('Calc base'!F$12,ROUND('Calc base'!F$13*AW118,2))&lt;1,ROUND(AW118*(1+'Calc base'!K119),2),MAX('Calc base'!F$12,ROUND('Calc base'!F$13*AW118,2))))</f>
        <v>0</v>
      </c>
      <c r="N119">
        <f>IF(AX118&lt;=0,0,IF(ROUND(AX118*(1+'Calc base'!L119),2)-MAX('Calc base'!G$12,ROUND('Calc base'!G$13*AX118,2))&lt;1,ROUND(AX118*(1+'Calc base'!L119),2),MAX('Calc base'!G$12,ROUND('Calc base'!G$13*AX118,2))))</f>
        <v>0</v>
      </c>
      <c r="O119">
        <f>IF(AY118&lt;=0,0,IF(ROUND(AY118*(1+'Calc base'!M119),2)-MAX('Calc base'!H$12,ROUND('Calc base'!H$13*AY118,2))&lt;1,ROUND(AY118*(1+'Calc base'!M119),2),MAX('Calc base'!H$12,ROUND('Calc base'!H$13*AY118,2))))</f>
        <v>0</v>
      </c>
      <c r="P119">
        <f>IF(AZ118&lt;=0,0,IF(ROUND(AZ118*(1+'Calc base'!N119),2)-MAX('Calc base'!I$12,ROUND('Calc base'!I$13*AZ118,2))&lt;1,ROUND(AZ118*(1+'Calc base'!N119),2),MAX('Calc base'!I$12,ROUND('Calc base'!I$13*AZ118,2))))</f>
        <v>0</v>
      </c>
      <c r="Q119">
        <f>IF(BA118&lt;=0,0,IF(ROUND(BA118*(1+'Calc base'!O119),2)-MAX('Calc base'!J$12,ROUND('Calc base'!J$13*BA118,2))&lt;1,ROUND(BA118*(1+'Calc base'!O119),2),MAX('Calc base'!J$12,ROUND('Calc base'!J$13*BA118,2))))</f>
        <v>0</v>
      </c>
      <c r="R119">
        <f>IF(BB118&lt;=0,0,IF(ROUND(BB118*(1+'Calc base'!P119),2)-MAX('Calc base'!K$12,ROUND('Calc base'!K$13*BB118,2))&lt;1,ROUND(BB118*(1+'Calc base'!P119),2),MAX('Calc base'!K$12,ROUND('Calc base'!K$13*BB118,2))))</f>
        <v>0</v>
      </c>
      <c r="S119">
        <f>IF(BC118&lt;=0,0,IF(ROUND(BC118*(1+'Calc base'!Q119),2)-MAX('Calc base'!L$12,ROUND('Calc base'!L$13*BC118,2))&lt;1,ROUND(BC118*(1+'Calc base'!Q119),2),MAX('Calc base'!L$12,ROUND('Calc base'!L$13*BC118,2))))</f>
        <v>0</v>
      </c>
      <c r="T119">
        <f>IF(BD118&lt;=0,0,IF(ROUND(BD118*(1+'Calc base'!R119),2)-MAX('Calc base'!M$12,ROUND('Calc base'!M$13*BD118,2))&lt;1,ROUND(BD118*(1+'Calc base'!R119),2),MAX('Calc base'!M$12,ROUND('Calc base'!M$13*BD118,2))))</f>
        <v>0</v>
      </c>
      <c r="U119">
        <f>IF(BE118&lt;=0,0,IF(ROUND(BE118*(1+'Calc base'!S119),2)-MAX('Calc base'!N$12,ROUND('Calc base'!N$13*BE118,2))&lt;1,ROUND(BE118*(1+'Calc base'!S119),2),MAX('Calc base'!N$12,ROUND('Calc base'!N$13*BE118,2))))</f>
        <v>0</v>
      </c>
      <c r="V119">
        <f>MAX(0,ROUND(AT118*(1+'Calc base'!H119),2)-J119-'Calc base'!T119)</f>
        <v>0</v>
      </c>
      <c r="W119">
        <f>MAX(0,ROUND(AU118*(1+'Calc base'!I119),2)-K119-'Calc base'!U119)</f>
        <v>0</v>
      </c>
      <c r="X119">
        <f>MAX(0,ROUND(AV118*(1+'Calc base'!J119),2)-L119-'Calc base'!V119)</f>
        <v>0</v>
      </c>
      <c r="Y119">
        <f>MAX(0,ROUND(AW118*(1+'Calc base'!K119),2)-M119-'Calc base'!W119)</f>
        <v>0</v>
      </c>
      <c r="Z119">
        <f>MAX(0,ROUND(AX118*(1+'Calc base'!L119),2)-N119-'Calc base'!X119)</f>
        <v>0</v>
      </c>
      <c r="AA119">
        <f>MAX(0,ROUND(AY118*(1+'Calc base'!M119),2)-O119-'Calc base'!Y119)</f>
        <v>0</v>
      </c>
      <c r="AB119">
        <f>MAX(0,ROUND(AZ118*(1+'Calc base'!N119),2)-P119-'Calc base'!Z119)</f>
        <v>0</v>
      </c>
      <c r="AC119">
        <f>MAX(0,ROUND(BA118*(1+'Calc base'!O119),2)-Q119-'Calc base'!AA119)</f>
        <v>0</v>
      </c>
      <c r="AD119">
        <f>MAX(0,ROUND(BB118*(1+'Calc base'!P119),2)-R119-'Calc base'!AB119)</f>
        <v>0</v>
      </c>
      <c r="AE119">
        <f>MAX(0,ROUND(BC118*(1+'Calc base'!Q119),2)-S119-'Calc base'!AC119)</f>
        <v>0</v>
      </c>
      <c r="AF119">
        <f>MAX(0,ROUND(BD118*(1+'Calc base'!R119),2)-T119-'Calc base'!AD119)</f>
        <v>0</v>
      </c>
      <c r="AG119">
        <f>MAX(0,ROUND(BE118*(1+'Calc base'!S119),2)-U119-'Calc base'!AE119)</f>
        <v>0</v>
      </c>
      <c r="AH119">
        <f>IF('Calc base'!C$14=0,0,MIN(V119,MAX(0,$E119-SUMPRODUCT($V119:$AG119,'Calc base'!$C$14:$N$14,('Calc base'!$H119:$S119&gt;'Calc base'!H119)+('Calc base'!$H119:$S119='Calc base'!H119)*('Calc base'!$C$17:$N$17&lt;'Calc base'!C$17)))))</f>
        <v>0</v>
      </c>
      <c r="AI119">
        <f>IF('Calc base'!D$14=0,0,MIN(W119,MAX(0,$E119-SUMPRODUCT($V119:$AG119,'Calc base'!$C$14:$N$14,('Calc base'!$H119:$S119&gt;'Calc base'!I119)+('Calc base'!$H119:$S119='Calc base'!I119)*('Calc base'!$C$17:$N$17&lt;'Calc base'!D$17)))))</f>
        <v>0</v>
      </c>
      <c r="AJ119">
        <f>IF('Calc base'!E$14=0,0,MIN(X119,MAX(0,$E119-SUMPRODUCT($V119:$AG119,'Calc base'!$C$14:$N$14,('Calc base'!$H119:$S119&gt;'Calc base'!J119)+('Calc base'!$H119:$S119='Calc base'!J119)*('Calc base'!$C$17:$N$17&lt;'Calc base'!E$17)))))</f>
        <v>0</v>
      </c>
      <c r="AK119">
        <f>IF('Calc base'!F$14=0,0,MIN(Y119,MAX(0,$E119-SUMPRODUCT($V119:$AG119,'Calc base'!$C$14:$N$14,('Calc base'!$H119:$S119&gt;'Calc base'!K119)+('Calc base'!$H119:$S119='Calc base'!K119)*('Calc base'!$C$17:$N$17&lt;'Calc base'!F$17)))))</f>
        <v>0</v>
      </c>
      <c r="AL119">
        <f>IF('Calc base'!G$14=0,0,MIN(Z119,MAX(0,$E119-SUMPRODUCT($V119:$AG119,'Calc base'!$C$14:$N$14,('Calc base'!$H119:$S119&gt;'Calc base'!L119)+('Calc base'!$H119:$S119='Calc base'!L119)*('Calc base'!$C$17:$N$17&lt;'Calc base'!G$17)))))</f>
        <v>0</v>
      </c>
      <c r="AM119">
        <f>IF('Calc base'!H$14=0,0,MIN(AA119,MAX(0,$E119-SUMPRODUCT($V119:$AG119,'Calc base'!$C$14:$N$14,('Calc base'!$H119:$S119&gt;'Calc base'!M119)+('Calc base'!$H119:$S119='Calc base'!M119)*('Calc base'!$C$17:$N$17&lt;'Calc base'!H$17)))))</f>
        <v>0</v>
      </c>
      <c r="AN119">
        <f>IF('Calc base'!I$14=0,0,MIN(AB119,MAX(0,$E119-SUMPRODUCT($V119:$AG119,'Calc base'!$C$14:$N$14,('Calc base'!$H119:$S119&gt;'Calc base'!N119)+('Calc base'!$H119:$S119='Calc base'!N119)*('Calc base'!$C$17:$N$17&lt;'Calc base'!I$17)))))</f>
        <v>0</v>
      </c>
      <c r="AO119">
        <f>IF('Calc base'!J$14=0,0,MIN(AC119,MAX(0,$E119-SUMPRODUCT($V119:$AG119,'Calc base'!$C$14:$N$14,('Calc base'!$H119:$S119&gt;'Calc base'!O119)+('Calc base'!$H119:$S119='Calc base'!O119)*('Calc base'!$C$17:$N$17&lt;'Calc base'!J$17)))))</f>
        <v>0</v>
      </c>
      <c r="AP119">
        <f>IF('Calc base'!K$14=0,0,MIN(AD119,MAX(0,$E119-SUMPRODUCT($V119:$AG119,'Calc base'!$C$14:$N$14,('Calc base'!$H119:$S119&gt;'Calc base'!P119)+('Calc base'!$H119:$S119='Calc base'!P119)*('Calc base'!$C$17:$N$17&lt;'Calc base'!K$17)))))</f>
        <v>0</v>
      </c>
      <c r="AQ119">
        <f>IF('Calc base'!L$14=0,0,MIN(AE119,MAX(0,$E119-SUMPRODUCT($V119:$AG119,'Calc base'!$C$14:$N$14,('Calc base'!$H119:$S119&gt;'Calc base'!Q119)+('Calc base'!$H119:$S119='Calc base'!Q119)*('Calc base'!$C$17:$N$17&lt;'Calc base'!L$17)))))</f>
        <v>0</v>
      </c>
      <c r="AR119">
        <f>IF('Calc base'!M$14=0,0,MIN(AF119,MAX(0,$E119-SUMPRODUCT($V119:$AG119,'Calc base'!$C$14:$N$14,('Calc base'!$H119:$S119&gt;'Calc base'!R119)+('Calc base'!$H119:$S119='Calc base'!R119)*('Calc base'!$C$17:$N$17&lt;'Calc base'!M$17)))))</f>
        <v>0</v>
      </c>
      <c r="AS119">
        <f>IF('Calc base'!N$14=0,0,MIN(AG119,MAX(0,$E119-SUMPRODUCT($V119:$AG119,'Calc base'!$C$14:$N$14,('Calc base'!$H119:$S119&gt;'Calc base'!S119)+('Calc base'!$H119:$S119='Calc base'!S119)*('Calc base'!$C$17:$N$17&lt;'Calc base'!N$17)))))</f>
        <v>0</v>
      </c>
      <c r="AT119">
        <f>V119-AH119</f>
        <v>0</v>
      </c>
      <c r="AU119">
        <f>W119-AI119</f>
        <v>0</v>
      </c>
      <c r="AV119">
        <f>X119-AJ119</f>
        <v>0</v>
      </c>
      <c r="AW119">
        <f>Y119-AK119</f>
        <v>0</v>
      </c>
      <c r="AX119">
        <f>Z119-AL119</f>
        <v>0</v>
      </c>
      <c r="AY119">
        <f>AA119-AM119</f>
        <v>0</v>
      </c>
      <c r="AZ119">
        <f>AB119-AN119</f>
        <v>0</v>
      </c>
      <c r="BA119">
        <f>AC119-AO119</f>
        <v>0</v>
      </c>
      <c r="BB119">
        <f>AD119-AP119</f>
        <v>0</v>
      </c>
      <c r="BC119">
        <f>AE119-AQ119</f>
        <v>0</v>
      </c>
      <c r="BD119">
        <f>AF119-AR119</f>
        <v>0</v>
      </c>
      <c r="BE119">
        <f>AG119-AS119</f>
        <v>0</v>
      </c>
    </row>
    <row r="120">
      <c r="A120" t="n">
        <v>90</v>
      </c>
      <c r="B120">
        <f>SUMPRODUCT(ROUND($AT119:$BE119*(1+'Calc base'!$H120:$S120),2))</f>
        <v>0</v>
      </c>
      <c r="C120">
        <f>SUM(J120:U120)</f>
        <v>0</v>
      </c>
      <c r="D120">
        <f>SUM(V120:AG120)</f>
        <v>0</v>
      </c>
      <c r="E120">
        <f>MAX(0,IF(Impostazioni!$B$7="No",'Calc base'!$C120-$C$31,'Calc base'!$C120-C120)+'Calc base'!$G120+'Calc base'!$F120-(B120-C120-D120))</f>
        <v>900</v>
      </c>
      <c r="F120">
        <f>SUM(AH120:AS120)</f>
        <v>0</v>
      </c>
      <c r="G120">
        <f>SUM(AT120:BE120)</f>
        <v>0</v>
      </c>
      <c r="H120">
        <f>B120-G119</f>
        <v>0</v>
      </c>
      <c r="I120">
        <f>B120-G120</f>
        <v>0</v>
      </c>
      <c r="J120">
        <f>IF(AT119&lt;=0,0,IF(ROUND(AT119*(1+'Calc base'!H120),2)-MAX('Calc base'!C$12,ROUND('Calc base'!C$13*AT119,2))&lt;1,ROUND(AT119*(1+'Calc base'!H120),2),MAX('Calc base'!C$12,ROUND('Calc base'!C$13*AT119,2))))</f>
        <v>0</v>
      </c>
      <c r="K120">
        <f>IF(AU119&lt;=0,0,IF(ROUND(AU119*(1+'Calc base'!I120),2)-MAX('Calc base'!D$12,ROUND('Calc base'!D$13*AU119,2))&lt;1,ROUND(AU119*(1+'Calc base'!I120),2),MAX('Calc base'!D$12,ROUND('Calc base'!D$13*AU119,2))))</f>
        <v>0</v>
      </c>
      <c r="L120">
        <f>IF(AV119&lt;=0,0,IF(ROUND(AV119*(1+'Calc base'!J120),2)-MAX('Calc base'!E$12,ROUND('Calc base'!E$13*AV119,2))&lt;1,ROUND(AV119*(1+'Calc base'!J120),2),MAX('Calc base'!E$12,ROUND('Calc base'!E$13*AV119,2))))</f>
        <v>0</v>
      </c>
      <c r="M120">
        <f>IF(AW119&lt;=0,0,IF(ROUND(AW119*(1+'Calc base'!K120),2)-MAX('Calc base'!F$12,ROUND('Calc base'!F$13*AW119,2))&lt;1,ROUND(AW119*(1+'Calc base'!K120),2),MAX('Calc base'!F$12,ROUND('Calc base'!F$13*AW119,2))))</f>
        <v>0</v>
      </c>
      <c r="N120">
        <f>IF(AX119&lt;=0,0,IF(ROUND(AX119*(1+'Calc base'!L120),2)-MAX('Calc base'!G$12,ROUND('Calc base'!G$13*AX119,2))&lt;1,ROUND(AX119*(1+'Calc base'!L120),2),MAX('Calc base'!G$12,ROUND('Calc base'!G$13*AX119,2))))</f>
        <v>0</v>
      </c>
      <c r="O120">
        <f>IF(AY119&lt;=0,0,IF(ROUND(AY119*(1+'Calc base'!M120),2)-MAX('Calc base'!H$12,ROUND('Calc base'!H$13*AY119,2))&lt;1,ROUND(AY119*(1+'Calc base'!M120),2),MAX('Calc base'!H$12,ROUND('Calc base'!H$13*AY119,2))))</f>
        <v>0</v>
      </c>
      <c r="P120">
        <f>IF(AZ119&lt;=0,0,IF(ROUND(AZ119*(1+'Calc base'!N120),2)-MAX('Calc base'!I$12,ROUND('Calc base'!I$13*AZ119,2))&lt;1,ROUND(AZ119*(1+'Calc base'!N120),2),MAX('Calc base'!I$12,ROUND('Calc base'!I$13*AZ119,2))))</f>
        <v>0</v>
      </c>
      <c r="Q120">
        <f>IF(BA119&lt;=0,0,IF(ROUND(BA119*(1+'Calc base'!O120),2)-MAX('Calc base'!J$12,ROUND('Calc base'!J$13*BA119,2))&lt;1,ROUND(BA119*(1+'Calc base'!O120),2),MAX('Calc base'!J$12,ROUND('Calc base'!J$13*BA119,2))))</f>
        <v>0</v>
      </c>
      <c r="R120">
        <f>IF(BB119&lt;=0,0,IF(ROUND(BB119*(1+'Calc base'!P120),2)-MAX('Calc base'!K$12,ROUND('Calc base'!K$13*BB119,2))&lt;1,ROUND(BB119*(1+'Calc base'!P120),2),MAX('Calc base'!K$12,ROUND('Calc base'!K$13*BB119,2))))</f>
        <v>0</v>
      </c>
      <c r="S120">
        <f>IF(BC119&lt;=0,0,IF(ROUND(BC119*(1+'Calc base'!Q120),2)-MAX('Calc base'!L$12,ROUND('Calc base'!L$13*BC119,2))&lt;1,ROUND(BC119*(1+'Calc base'!Q120),2),MAX('Calc base'!L$12,ROUND('Calc base'!L$13*BC119,2))))</f>
        <v>0</v>
      </c>
      <c r="T120">
        <f>IF(BD119&lt;=0,0,IF(ROUND(BD119*(1+'Calc base'!R120),2)-MAX('Calc base'!M$12,ROUND('Calc base'!M$13*BD119,2))&lt;1,ROUND(BD119*(1+'Calc base'!R120),2),MAX('Calc base'!M$12,ROUND('Calc base'!M$13*BD119,2))))</f>
        <v>0</v>
      </c>
      <c r="U120">
        <f>IF(BE119&lt;=0,0,IF(ROUND(BE119*(1+'Calc base'!S120),2)-MAX('Calc base'!N$12,ROUND('Calc base'!N$13*BE119,2))&lt;1,ROUND(BE119*(1+'Calc base'!S120),2),MAX('Calc base'!N$12,ROUND('Calc base'!N$13*BE119,2))))</f>
        <v>0</v>
      </c>
      <c r="V120">
        <f>MAX(0,ROUND(AT119*(1+'Calc base'!H120),2)-J120-'Calc base'!T120)</f>
        <v>0</v>
      </c>
      <c r="W120">
        <f>MAX(0,ROUND(AU119*(1+'Calc base'!I120),2)-K120-'Calc base'!U120)</f>
        <v>0</v>
      </c>
      <c r="X120">
        <f>MAX(0,ROUND(AV119*(1+'Calc base'!J120),2)-L120-'Calc base'!V120)</f>
        <v>0</v>
      </c>
      <c r="Y120">
        <f>MAX(0,ROUND(AW119*(1+'Calc base'!K120),2)-M120-'Calc base'!W120)</f>
        <v>0</v>
      </c>
      <c r="Z120">
        <f>MAX(0,ROUND(AX119*(1+'Calc base'!L120),2)-N120-'Calc base'!X120)</f>
        <v>0</v>
      </c>
      <c r="AA120">
        <f>MAX(0,ROUND(AY119*(1+'Calc base'!M120),2)-O120-'Calc base'!Y120)</f>
        <v>0</v>
      </c>
      <c r="AB120">
        <f>MAX(0,ROUND(AZ119*(1+'Calc base'!N120),2)-P120-'Calc base'!Z120)</f>
        <v>0</v>
      </c>
      <c r="AC120">
        <f>MAX(0,ROUND(BA119*(1+'Calc base'!O120),2)-Q120-'Calc base'!AA120)</f>
        <v>0</v>
      </c>
      <c r="AD120">
        <f>MAX(0,ROUND(BB119*(1+'Calc base'!P120),2)-R120-'Calc base'!AB120)</f>
        <v>0</v>
      </c>
      <c r="AE120">
        <f>MAX(0,ROUND(BC119*(1+'Calc base'!Q120),2)-S120-'Calc base'!AC120)</f>
        <v>0</v>
      </c>
      <c r="AF120">
        <f>MAX(0,ROUND(BD119*(1+'Calc base'!R120),2)-T120-'Calc base'!AD120)</f>
        <v>0</v>
      </c>
      <c r="AG120">
        <f>MAX(0,ROUND(BE119*(1+'Calc base'!S120),2)-U120-'Calc base'!AE120)</f>
        <v>0</v>
      </c>
      <c r="AH120">
        <f>IF('Calc base'!C$14=0,0,MIN(V120,MAX(0,$E120-SUMPRODUCT($V120:$AG120,'Calc base'!$C$14:$N$14,('Calc base'!$H120:$S120&gt;'Calc base'!H120)+('Calc base'!$H120:$S120='Calc base'!H120)*('Calc base'!$C$17:$N$17&lt;'Calc base'!C$17)))))</f>
        <v>0</v>
      </c>
      <c r="AI120">
        <f>IF('Calc base'!D$14=0,0,MIN(W120,MAX(0,$E120-SUMPRODUCT($V120:$AG120,'Calc base'!$C$14:$N$14,('Calc base'!$H120:$S120&gt;'Calc base'!I120)+('Calc base'!$H120:$S120='Calc base'!I120)*('Calc base'!$C$17:$N$17&lt;'Calc base'!D$17)))))</f>
        <v>0</v>
      </c>
      <c r="AJ120">
        <f>IF('Calc base'!E$14=0,0,MIN(X120,MAX(0,$E120-SUMPRODUCT($V120:$AG120,'Calc base'!$C$14:$N$14,('Calc base'!$H120:$S120&gt;'Calc base'!J120)+('Calc base'!$H120:$S120='Calc base'!J120)*('Calc base'!$C$17:$N$17&lt;'Calc base'!E$17)))))</f>
        <v>0</v>
      </c>
      <c r="AK120">
        <f>IF('Calc base'!F$14=0,0,MIN(Y120,MAX(0,$E120-SUMPRODUCT($V120:$AG120,'Calc base'!$C$14:$N$14,('Calc base'!$H120:$S120&gt;'Calc base'!K120)+('Calc base'!$H120:$S120='Calc base'!K120)*('Calc base'!$C$17:$N$17&lt;'Calc base'!F$17)))))</f>
        <v>0</v>
      </c>
      <c r="AL120">
        <f>IF('Calc base'!G$14=0,0,MIN(Z120,MAX(0,$E120-SUMPRODUCT($V120:$AG120,'Calc base'!$C$14:$N$14,('Calc base'!$H120:$S120&gt;'Calc base'!L120)+('Calc base'!$H120:$S120='Calc base'!L120)*('Calc base'!$C$17:$N$17&lt;'Calc base'!G$17)))))</f>
        <v>0</v>
      </c>
      <c r="AM120">
        <f>IF('Calc base'!H$14=0,0,MIN(AA120,MAX(0,$E120-SUMPRODUCT($V120:$AG120,'Calc base'!$C$14:$N$14,('Calc base'!$H120:$S120&gt;'Calc base'!M120)+('Calc base'!$H120:$S120='Calc base'!M120)*('Calc base'!$C$17:$N$17&lt;'Calc base'!H$17)))))</f>
        <v>0</v>
      </c>
      <c r="AN120">
        <f>IF('Calc base'!I$14=0,0,MIN(AB120,MAX(0,$E120-SUMPRODUCT($V120:$AG120,'Calc base'!$C$14:$N$14,('Calc base'!$H120:$S120&gt;'Calc base'!N120)+('Calc base'!$H120:$S120='Calc base'!N120)*('Calc base'!$C$17:$N$17&lt;'Calc base'!I$17)))))</f>
        <v>0</v>
      </c>
      <c r="AO120">
        <f>IF('Calc base'!J$14=0,0,MIN(AC120,MAX(0,$E120-SUMPRODUCT($V120:$AG120,'Calc base'!$C$14:$N$14,('Calc base'!$H120:$S120&gt;'Calc base'!O120)+('Calc base'!$H120:$S120='Calc base'!O120)*('Calc base'!$C$17:$N$17&lt;'Calc base'!J$17)))))</f>
        <v>0</v>
      </c>
      <c r="AP120">
        <f>IF('Calc base'!K$14=0,0,MIN(AD120,MAX(0,$E120-SUMPRODUCT($V120:$AG120,'Calc base'!$C$14:$N$14,('Calc base'!$H120:$S120&gt;'Calc base'!P120)+('Calc base'!$H120:$S120='Calc base'!P120)*('Calc base'!$C$17:$N$17&lt;'Calc base'!K$17)))))</f>
        <v>0</v>
      </c>
      <c r="AQ120">
        <f>IF('Calc base'!L$14=0,0,MIN(AE120,MAX(0,$E120-SUMPRODUCT($V120:$AG120,'Calc base'!$C$14:$N$14,('Calc base'!$H120:$S120&gt;'Calc base'!Q120)+('Calc base'!$H120:$S120='Calc base'!Q120)*('Calc base'!$C$17:$N$17&lt;'Calc base'!L$17)))))</f>
        <v>0</v>
      </c>
      <c r="AR120">
        <f>IF('Calc base'!M$14=0,0,MIN(AF120,MAX(0,$E120-SUMPRODUCT($V120:$AG120,'Calc base'!$C$14:$N$14,('Calc base'!$H120:$S120&gt;'Calc base'!R120)+('Calc base'!$H120:$S120='Calc base'!R120)*('Calc base'!$C$17:$N$17&lt;'Calc base'!M$17)))))</f>
        <v>0</v>
      </c>
      <c r="AS120">
        <f>IF('Calc base'!N$14=0,0,MIN(AG120,MAX(0,$E120-SUMPRODUCT($V120:$AG120,'Calc base'!$C$14:$N$14,('Calc base'!$H120:$S120&gt;'Calc base'!S120)+('Calc base'!$H120:$S120='Calc base'!S120)*('Calc base'!$C$17:$N$17&lt;'Calc base'!N$17)))))</f>
        <v>0</v>
      </c>
      <c r="AT120">
        <f>V120-AH120</f>
        <v>0</v>
      </c>
      <c r="AU120">
        <f>W120-AI120</f>
        <v>0</v>
      </c>
      <c r="AV120">
        <f>X120-AJ120</f>
        <v>0</v>
      </c>
      <c r="AW120">
        <f>Y120-AK120</f>
        <v>0</v>
      </c>
      <c r="AX120">
        <f>Z120-AL120</f>
        <v>0</v>
      </c>
      <c r="AY120">
        <f>AA120-AM120</f>
        <v>0</v>
      </c>
      <c r="AZ120">
        <f>AB120-AN120</f>
        <v>0</v>
      </c>
      <c r="BA120">
        <f>AC120-AO120</f>
        <v>0</v>
      </c>
      <c r="BB120">
        <f>AD120-AP120</f>
        <v>0</v>
      </c>
      <c r="BC120">
        <f>AE120-AQ120</f>
        <v>0</v>
      </c>
      <c r="BD120">
        <f>AF120-AR120</f>
        <v>0</v>
      </c>
      <c r="BE120">
        <f>AG120-AS120</f>
        <v>0</v>
      </c>
    </row>
    <row r="121">
      <c r="A121" t="n">
        <v>91</v>
      </c>
      <c r="B121">
        <f>SUMPRODUCT(ROUND($AT120:$BE120*(1+'Calc base'!$H121:$S121),2))</f>
        <v>0</v>
      </c>
      <c r="C121">
        <f>SUM(J121:U121)</f>
        <v>0</v>
      </c>
      <c r="D121">
        <f>SUM(V121:AG121)</f>
        <v>0</v>
      </c>
      <c r="E121">
        <f>MAX(0,IF(Impostazioni!$B$7="No",'Calc base'!$C121-$C$31,'Calc base'!$C121-C121)+'Calc base'!$G121+'Calc base'!$F121-(B121-C121-D121))</f>
        <v>900</v>
      </c>
      <c r="F121">
        <f>SUM(AH121:AS121)</f>
        <v>0</v>
      </c>
      <c r="G121">
        <f>SUM(AT121:BE121)</f>
        <v>0</v>
      </c>
      <c r="H121">
        <f>B121-G120</f>
        <v>0</v>
      </c>
      <c r="I121">
        <f>B121-G121</f>
        <v>0</v>
      </c>
      <c r="J121">
        <f>IF(AT120&lt;=0,0,IF(ROUND(AT120*(1+'Calc base'!H121),2)-MAX('Calc base'!C$12,ROUND('Calc base'!C$13*AT120,2))&lt;1,ROUND(AT120*(1+'Calc base'!H121),2),MAX('Calc base'!C$12,ROUND('Calc base'!C$13*AT120,2))))</f>
        <v>0</v>
      </c>
      <c r="K121">
        <f>IF(AU120&lt;=0,0,IF(ROUND(AU120*(1+'Calc base'!I121),2)-MAX('Calc base'!D$12,ROUND('Calc base'!D$13*AU120,2))&lt;1,ROUND(AU120*(1+'Calc base'!I121),2),MAX('Calc base'!D$12,ROUND('Calc base'!D$13*AU120,2))))</f>
        <v>0</v>
      </c>
      <c r="L121">
        <f>IF(AV120&lt;=0,0,IF(ROUND(AV120*(1+'Calc base'!J121),2)-MAX('Calc base'!E$12,ROUND('Calc base'!E$13*AV120,2))&lt;1,ROUND(AV120*(1+'Calc base'!J121),2),MAX('Calc base'!E$12,ROUND('Calc base'!E$13*AV120,2))))</f>
        <v>0</v>
      </c>
      <c r="M121">
        <f>IF(AW120&lt;=0,0,IF(ROUND(AW120*(1+'Calc base'!K121),2)-MAX('Calc base'!F$12,ROUND('Calc base'!F$13*AW120,2))&lt;1,ROUND(AW120*(1+'Calc base'!K121),2),MAX('Calc base'!F$12,ROUND('Calc base'!F$13*AW120,2))))</f>
        <v>0</v>
      </c>
      <c r="N121">
        <f>IF(AX120&lt;=0,0,IF(ROUND(AX120*(1+'Calc base'!L121),2)-MAX('Calc base'!G$12,ROUND('Calc base'!G$13*AX120,2))&lt;1,ROUND(AX120*(1+'Calc base'!L121),2),MAX('Calc base'!G$12,ROUND('Calc base'!G$13*AX120,2))))</f>
        <v>0</v>
      </c>
      <c r="O121">
        <f>IF(AY120&lt;=0,0,IF(ROUND(AY120*(1+'Calc base'!M121),2)-MAX('Calc base'!H$12,ROUND('Calc base'!H$13*AY120,2))&lt;1,ROUND(AY120*(1+'Calc base'!M121),2),MAX('Calc base'!H$12,ROUND('Calc base'!H$13*AY120,2))))</f>
        <v>0</v>
      </c>
      <c r="P121">
        <f>IF(AZ120&lt;=0,0,IF(ROUND(AZ120*(1+'Calc base'!N121),2)-MAX('Calc base'!I$12,ROUND('Calc base'!I$13*AZ120,2))&lt;1,ROUND(AZ120*(1+'Calc base'!N121),2),MAX('Calc base'!I$12,ROUND('Calc base'!I$13*AZ120,2))))</f>
        <v>0</v>
      </c>
      <c r="Q121">
        <f>IF(BA120&lt;=0,0,IF(ROUND(BA120*(1+'Calc base'!O121),2)-MAX('Calc base'!J$12,ROUND('Calc base'!J$13*BA120,2))&lt;1,ROUND(BA120*(1+'Calc base'!O121),2),MAX('Calc base'!J$12,ROUND('Calc base'!J$13*BA120,2))))</f>
        <v>0</v>
      </c>
      <c r="R121">
        <f>IF(BB120&lt;=0,0,IF(ROUND(BB120*(1+'Calc base'!P121),2)-MAX('Calc base'!K$12,ROUND('Calc base'!K$13*BB120,2))&lt;1,ROUND(BB120*(1+'Calc base'!P121),2),MAX('Calc base'!K$12,ROUND('Calc base'!K$13*BB120,2))))</f>
        <v>0</v>
      </c>
      <c r="S121">
        <f>IF(BC120&lt;=0,0,IF(ROUND(BC120*(1+'Calc base'!Q121),2)-MAX('Calc base'!L$12,ROUND('Calc base'!L$13*BC120,2))&lt;1,ROUND(BC120*(1+'Calc base'!Q121),2),MAX('Calc base'!L$12,ROUND('Calc base'!L$13*BC120,2))))</f>
        <v>0</v>
      </c>
      <c r="T121">
        <f>IF(BD120&lt;=0,0,IF(ROUND(BD120*(1+'Calc base'!R121),2)-MAX('Calc base'!M$12,ROUND('Calc base'!M$13*BD120,2))&lt;1,ROUND(BD120*(1+'Calc base'!R121),2),MAX('Calc base'!M$12,ROUND('Calc base'!M$13*BD120,2))))</f>
        <v>0</v>
      </c>
      <c r="U121">
        <f>IF(BE120&lt;=0,0,IF(ROUND(BE120*(1+'Calc base'!S121),2)-MAX('Calc base'!N$12,ROUND('Calc base'!N$13*BE120,2))&lt;1,ROUND(BE120*(1+'Calc base'!S121),2),MAX('Calc base'!N$12,ROUND('Calc base'!N$13*BE120,2))))</f>
        <v>0</v>
      </c>
      <c r="V121">
        <f>MAX(0,ROUND(AT120*(1+'Calc base'!H121),2)-J121-'Calc base'!T121)</f>
        <v>0</v>
      </c>
      <c r="W121">
        <f>MAX(0,ROUND(AU120*(1+'Calc base'!I121),2)-K121-'Calc base'!U121)</f>
        <v>0</v>
      </c>
      <c r="X121">
        <f>MAX(0,ROUND(AV120*(1+'Calc base'!J121),2)-L121-'Calc base'!V121)</f>
        <v>0</v>
      </c>
      <c r="Y121">
        <f>MAX(0,ROUND(AW120*(1+'Calc base'!K121),2)-M121-'Calc base'!W121)</f>
        <v>0</v>
      </c>
      <c r="Z121">
        <f>MAX(0,ROUND(AX120*(1+'Calc base'!L121),2)-N121-'Calc base'!X121)</f>
        <v>0</v>
      </c>
      <c r="AA121">
        <f>MAX(0,ROUND(AY120*(1+'Calc base'!M121),2)-O121-'Calc base'!Y121)</f>
        <v>0</v>
      </c>
      <c r="AB121">
        <f>MAX(0,ROUND(AZ120*(1+'Calc base'!N121),2)-P121-'Calc base'!Z121)</f>
        <v>0</v>
      </c>
      <c r="AC121">
        <f>MAX(0,ROUND(BA120*(1+'Calc base'!O121),2)-Q121-'Calc base'!AA121)</f>
        <v>0</v>
      </c>
      <c r="AD121">
        <f>MAX(0,ROUND(BB120*(1+'Calc base'!P121),2)-R121-'Calc base'!AB121)</f>
        <v>0</v>
      </c>
      <c r="AE121">
        <f>MAX(0,ROUND(BC120*(1+'Calc base'!Q121),2)-S121-'Calc base'!AC121)</f>
        <v>0</v>
      </c>
      <c r="AF121">
        <f>MAX(0,ROUND(BD120*(1+'Calc base'!R121),2)-T121-'Calc base'!AD121)</f>
        <v>0</v>
      </c>
      <c r="AG121">
        <f>MAX(0,ROUND(BE120*(1+'Calc base'!S121),2)-U121-'Calc base'!AE121)</f>
        <v>0</v>
      </c>
      <c r="AH121">
        <f>IF('Calc base'!C$14=0,0,MIN(V121,MAX(0,$E121-SUMPRODUCT($V121:$AG121,'Calc base'!$C$14:$N$14,('Calc base'!$H121:$S121&gt;'Calc base'!H121)+('Calc base'!$H121:$S121='Calc base'!H121)*('Calc base'!$C$17:$N$17&lt;'Calc base'!C$17)))))</f>
        <v>0</v>
      </c>
      <c r="AI121">
        <f>IF('Calc base'!D$14=0,0,MIN(W121,MAX(0,$E121-SUMPRODUCT($V121:$AG121,'Calc base'!$C$14:$N$14,('Calc base'!$H121:$S121&gt;'Calc base'!I121)+('Calc base'!$H121:$S121='Calc base'!I121)*('Calc base'!$C$17:$N$17&lt;'Calc base'!D$17)))))</f>
        <v>0</v>
      </c>
      <c r="AJ121">
        <f>IF('Calc base'!E$14=0,0,MIN(X121,MAX(0,$E121-SUMPRODUCT($V121:$AG121,'Calc base'!$C$14:$N$14,('Calc base'!$H121:$S121&gt;'Calc base'!J121)+('Calc base'!$H121:$S121='Calc base'!J121)*('Calc base'!$C$17:$N$17&lt;'Calc base'!E$17)))))</f>
        <v>0</v>
      </c>
      <c r="AK121">
        <f>IF('Calc base'!F$14=0,0,MIN(Y121,MAX(0,$E121-SUMPRODUCT($V121:$AG121,'Calc base'!$C$14:$N$14,('Calc base'!$H121:$S121&gt;'Calc base'!K121)+('Calc base'!$H121:$S121='Calc base'!K121)*('Calc base'!$C$17:$N$17&lt;'Calc base'!F$17)))))</f>
        <v>0</v>
      </c>
      <c r="AL121">
        <f>IF('Calc base'!G$14=0,0,MIN(Z121,MAX(0,$E121-SUMPRODUCT($V121:$AG121,'Calc base'!$C$14:$N$14,('Calc base'!$H121:$S121&gt;'Calc base'!L121)+('Calc base'!$H121:$S121='Calc base'!L121)*('Calc base'!$C$17:$N$17&lt;'Calc base'!G$17)))))</f>
        <v>0</v>
      </c>
      <c r="AM121">
        <f>IF('Calc base'!H$14=0,0,MIN(AA121,MAX(0,$E121-SUMPRODUCT($V121:$AG121,'Calc base'!$C$14:$N$14,('Calc base'!$H121:$S121&gt;'Calc base'!M121)+('Calc base'!$H121:$S121='Calc base'!M121)*('Calc base'!$C$17:$N$17&lt;'Calc base'!H$17)))))</f>
        <v>0</v>
      </c>
      <c r="AN121">
        <f>IF('Calc base'!I$14=0,0,MIN(AB121,MAX(0,$E121-SUMPRODUCT($V121:$AG121,'Calc base'!$C$14:$N$14,('Calc base'!$H121:$S121&gt;'Calc base'!N121)+('Calc base'!$H121:$S121='Calc base'!N121)*('Calc base'!$C$17:$N$17&lt;'Calc base'!I$17)))))</f>
        <v>0</v>
      </c>
      <c r="AO121">
        <f>IF('Calc base'!J$14=0,0,MIN(AC121,MAX(0,$E121-SUMPRODUCT($V121:$AG121,'Calc base'!$C$14:$N$14,('Calc base'!$H121:$S121&gt;'Calc base'!O121)+('Calc base'!$H121:$S121='Calc base'!O121)*('Calc base'!$C$17:$N$17&lt;'Calc base'!J$17)))))</f>
        <v>0</v>
      </c>
      <c r="AP121">
        <f>IF('Calc base'!K$14=0,0,MIN(AD121,MAX(0,$E121-SUMPRODUCT($V121:$AG121,'Calc base'!$C$14:$N$14,('Calc base'!$H121:$S121&gt;'Calc base'!P121)+('Calc base'!$H121:$S121='Calc base'!P121)*('Calc base'!$C$17:$N$17&lt;'Calc base'!K$17)))))</f>
        <v>0</v>
      </c>
      <c r="AQ121">
        <f>IF('Calc base'!L$14=0,0,MIN(AE121,MAX(0,$E121-SUMPRODUCT($V121:$AG121,'Calc base'!$C$14:$N$14,('Calc base'!$H121:$S121&gt;'Calc base'!Q121)+('Calc base'!$H121:$S121='Calc base'!Q121)*('Calc base'!$C$17:$N$17&lt;'Calc base'!L$17)))))</f>
        <v>0</v>
      </c>
      <c r="AR121">
        <f>IF('Calc base'!M$14=0,0,MIN(AF121,MAX(0,$E121-SUMPRODUCT($V121:$AG121,'Calc base'!$C$14:$N$14,('Calc base'!$H121:$S121&gt;'Calc base'!R121)+('Calc base'!$H121:$S121='Calc base'!R121)*('Calc base'!$C$17:$N$17&lt;'Calc base'!M$17)))))</f>
        <v>0</v>
      </c>
      <c r="AS121">
        <f>IF('Calc base'!N$14=0,0,MIN(AG121,MAX(0,$E121-SUMPRODUCT($V121:$AG121,'Calc base'!$C$14:$N$14,('Calc base'!$H121:$S121&gt;'Calc base'!S121)+('Calc base'!$H121:$S121='Calc base'!S121)*('Calc base'!$C$17:$N$17&lt;'Calc base'!N$17)))))</f>
        <v>0</v>
      </c>
      <c r="AT121">
        <f>V121-AH121</f>
        <v>0</v>
      </c>
      <c r="AU121">
        <f>W121-AI121</f>
        <v>0</v>
      </c>
      <c r="AV121">
        <f>X121-AJ121</f>
        <v>0</v>
      </c>
      <c r="AW121">
        <f>Y121-AK121</f>
        <v>0</v>
      </c>
      <c r="AX121">
        <f>Z121-AL121</f>
        <v>0</v>
      </c>
      <c r="AY121">
        <f>AA121-AM121</f>
        <v>0</v>
      </c>
      <c r="AZ121">
        <f>AB121-AN121</f>
        <v>0</v>
      </c>
      <c r="BA121">
        <f>AC121-AO121</f>
        <v>0</v>
      </c>
      <c r="BB121">
        <f>AD121-AP121</f>
        <v>0</v>
      </c>
      <c r="BC121">
        <f>AE121-AQ121</f>
        <v>0</v>
      </c>
      <c r="BD121">
        <f>AF121-AR121</f>
        <v>0</v>
      </c>
      <c r="BE121">
        <f>AG121-AS121</f>
        <v>0</v>
      </c>
    </row>
    <row r="122">
      <c r="A122" t="n">
        <v>92</v>
      </c>
      <c r="B122">
        <f>SUMPRODUCT(ROUND($AT121:$BE121*(1+'Calc base'!$H122:$S122),2))</f>
        <v>0</v>
      </c>
      <c r="C122">
        <f>SUM(J122:U122)</f>
        <v>0</v>
      </c>
      <c r="D122">
        <f>SUM(V122:AG122)</f>
        <v>0</v>
      </c>
      <c r="E122">
        <f>MAX(0,IF(Impostazioni!$B$7="No",'Calc base'!$C122-$C$31,'Calc base'!$C122-C122)+'Calc base'!$G122+'Calc base'!$F122-(B122-C122-D122))</f>
        <v>900</v>
      </c>
      <c r="F122">
        <f>SUM(AH122:AS122)</f>
        <v>0</v>
      </c>
      <c r="G122">
        <f>SUM(AT122:BE122)</f>
        <v>0</v>
      </c>
      <c r="H122">
        <f>B122-G121</f>
        <v>0</v>
      </c>
      <c r="I122">
        <f>B122-G122</f>
        <v>0</v>
      </c>
      <c r="J122">
        <f>IF(AT121&lt;=0,0,IF(ROUND(AT121*(1+'Calc base'!H122),2)-MAX('Calc base'!C$12,ROUND('Calc base'!C$13*AT121,2))&lt;1,ROUND(AT121*(1+'Calc base'!H122),2),MAX('Calc base'!C$12,ROUND('Calc base'!C$13*AT121,2))))</f>
        <v>0</v>
      </c>
      <c r="K122">
        <f>IF(AU121&lt;=0,0,IF(ROUND(AU121*(1+'Calc base'!I122),2)-MAX('Calc base'!D$12,ROUND('Calc base'!D$13*AU121,2))&lt;1,ROUND(AU121*(1+'Calc base'!I122),2),MAX('Calc base'!D$12,ROUND('Calc base'!D$13*AU121,2))))</f>
        <v>0</v>
      </c>
      <c r="L122">
        <f>IF(AV121&lt;=0,0,IF(ROUND(AV121*(1+'Calc base'!J122),2)-MAX('Calc base'!E$12,ROUND('Calc base'!E$13*AV121,2))&lt;1,ROUND(AV121*(1+'Calc base'!J122),2),MAX('Calc base'!E$12,ROUND('Calc base'!E$13*AV121,2))))</f>
        <v>0</v>
      </c>
      <c r="M122">
        <f>IF(AW121&lt;=0,0,IF(ROUND(AW121*(1+'Calc base'!K122),2)-MAX('Calc base'!F$12,ROUND('Calc base'!F$13*AW121,2))&lt;1,ROUND(AW121*(1+'Calc base'!K122),2),MAX('Calc base'!F$12,ROUND('Calc base'!F$13*AW121,2))))</f>
        <v>0</v>
      </c>
      <c r="N122">
        <f>IF(AX121&lt;=0,0,IF(ROUND(AX121*(1+'Calc base'!L122),2)-MAX('Calc base'!G$12,ROUND('Calc base'!G$13*AX121,2))&lt;1,ROUND(AX121*(1+'Calc base'!L122),2),MAX('Calc base'!G$12,ROUND('Calc base'!G$13*AX121,2))))</f>
        <v>0</v>
      </c>
      <c r="O122">
        <f>IF(AY121&lt;=0,0,IF(ROUND(AY121*(1+'Calc base'!M122),2)-MAX('Calc base'!H$12,ROUND('Calc base'!H$13*AY121,2))&lt;1,ROUND(AY121*(1+'Calc base'!M122),2),MAX('Calc base'!H$12,ROUND('Calc base'!H$13*AY121,2))))</f>
        <v>0</v>
      </c>
      <c r="P122">
        <f>IF(AZ121&lt;=0,0,IF(ROUND(AZ121*(1+'Calc base'!N122),2)-MAX('Calc base'!I$12,ROUND('Calc base'!I$13*AZ121,2))&lt;1,ROUND(AZ121*(1+'Calc base'!N122),2),MAX('Calc base'!I$12,ROUND('Calc base'!I$13*AZ121,2))))</f>
        <v>0</v>
      </c>
      <c r="Q122">
        <f>IF(BA121&lt;=0,0,IF(ROUND(BA121*(1+'Calc base'!O122),2)-MAX('Calc base'!J$12,ROUND('Calc base'!J$13*BA121,2))&lt;1,ROUND(BA121*(1+'Calc base'!O122),2),MAX('Calc base'!J$12,ROUND('Calc base'!J$13*BA121,2))))</f>
        <v>0</v>
      </c>
      <c r="R122">
        <f>IF(BB121&lt;=0,0,IF(ROUND(BB121*(1+'Calc base'!P122),2)-MAX('Calc base'!K$12,ROUND('Calc base'!K$13*BB121,2))&lt;1,ROUND(BB121*(1+'Calc base'!P122),2),MAX('Calc base'!K$12,ROUND('Calc base'!K$13*BB121,2))))</f>
        <v>0</v>
      </c>
      <c r="S122">
        <f>IF(BC121&lt;=0,0,IF(ROUND(BC121*(1+'Calc base'!Q122),2)-MAX('Calc base'!L$12,ROUND('Calc base'!L$13*BC121,2))&lt;1,ROUND(BC121*(1+'Calc base'!Q122),2),MAX('Calc base'!L$12,ROUND('Calc base'!L$13*BC121,2))))</f>
        <v>0</v>
      </c>
      <c r="T122">
        <f>IF(BD121&lt;=0,0,IF(ROUND(BD121*(1+'Calc base'!R122),2)-MAX('Calc base'!M$12,ROUND('Calc base'!M$13*BD121,2))&lt;1,ROUND(BD121*(1+'Calc base'!R122),2),MAX('Calc base'!M$12,ROUND('Calc base'!M$13*BD121,2))))</f>
        <v>0</v>
      </c>
      <c r="U122">
        <f>IF(BE121&lt;=0,0,IF(ROUND(BE121*(1+'Calc base'!S122),2)-MAX('Calc base'!N$12,ROUND('Calc base'!N$13*BE121,2))&lt;1,ROUND(BE121*(1+'Calc base'!S122),2),MAX('Calc base'!N$12,ROUND('Calc base'!N$13*BE121,2))))</f>
        <v>0</v>
      </c>
      <c r="V122">
        <f>MAX(0,ROUND(AT121*(1+'Calc base'!H122),2)-J122-'Calc base'!T122)</f>
        <v>0</v>
      </c>
      <c r="W122">
        <f>MAX(0,ROUND(AU121*(1+'Calc base'!I122),2)-K122-'Calc base'!U122)</f>
        <v>0</v>
      </c>
      <c r="X122">
        <f>MAX(0,ROUND(AV121*(1+'Calc base'!J122),2)-L122-'Calc base'!V122)</f>
        <v>0</v>
      </c>
      <c r="Y122">
        <f>MAX(0,ROUND(AW121*(1+'Calc base'!K122),2)-M122-'Calc base'!W122)</f>
        <v>0</v>
      </c>
      <c r="Z122">
        <f>MAX(0,ROUND(AX121*(1+'Calc base'!L122),2)-N122-'Calc base'!X122)</f>
        <v>0</v>
      </c>
      <c r="AA122">
        <f>MAX(0,ROUND(AY121*(1+'Calc base'!M122),2)-O122-'Calc base'!Y122)</f>
        <v>0</v>
      </c>
      <c r="AB122">
        <f>MAX(0,ROUND(AZ121*(1+'Calc base'!N122),2)-P122-'Calc base'!Z122)</f>
        <v>0</v>
      </c>
      <c r="AC122">
        <f>MAX(0,ROUND(BA121*(1+'Calc base'!O122),2)-Q122-'Calc base'!AA122)</f>
        <v>0</v>
      </c>
      <c r="AD122">
        <f>MAX(0,ROUND(BB121*(1+'Calc base'!P122),2)-R122-'Calc base'!AB122)</f>
        <v>0</v>
      </c>
      <c r="AE122">
        <f>MAX(0,ROUND(BC121*(1+'Calc base'!Q122),2)-S122-'Calc base'!AC122)</f>
        <v>0</v>
      </c>
      <c r="AF122">
        <f>MAX(0,ROUND(BD121*(1+'Calc base'!R122),2)-T122-'Calc base'!AD122)</f>
        <v>0</v>
      </c>
      <c r="AG122">
        <f>MAX(0,ROUND(BE121*(1+'Calc base'!S122),2)-U122-'Calc base'!AE122)</f>
        <v>0</v>
      </c>
      <c r="AH122">
        <f>IF('Calc base'!C$14=0,0,MIN(V122,MAX(0,$E122-SUMPRODUCT($V122:$AG122,'Calc base'!$C$14:$N$14,('Calc base'!$H122:$S122&gt;'Calc base'!H122)+('Calc base'!$H122:$S122='Calc base'!H122)*('Calc base'!$C$17:$N$17&lt;'Calc base'!C$17)))))</f>
        <v>0</v>
      </c>
      <c r="AI122">
        <f>IF('Calc base'!D$14=0,0,MIN(W122,MAX(0,$E122-SUMPRODUCT($V122:$AG122,'Calc base'!$C$14:$N$14,('Calc base'!$H122:$S122&gt;'Calc base'!I122)+('Calc base'!$H122:$S122='Calc base'!I122)*('Calc base'!$C$17:$N$17&lt;'Calc base'!D$17)))))</f>
        <v>0</v>
      </c>
      <c r="AJ122">
        <f>IF('Calc base'!E$14=0,0,MIN(X122,MAX(0,$E122-SUMPRODUCT($V122:$AG122,'Calc base'!$C$14:$N$14,('Calc base'!$H122:$S122&gt;'Calc base'!J122)+('Calc base'!$H122:$S122='Calc base'!J122)*('Calc base'!$C$17:$N$17&lt;'Calc base'!E$17)))))</f>
        <v>0</v>
      </c>
      <c r="AK122">
        <f>IF('Calc base'!F$14=0,0,MIN(Y122,MAX(0,$E122-SUMPRODUCT($V122:$AG122,'Calc base'!$C$14:$N$14,('Calc base'!$H122:$S122&gt;'Calc base'!K122)+('Calc base'!$H122:$S122='Calc base'!K122)*('Calc base'!$C$17:$N$17&lt;'Calc base'!F$17)))))</f>
        <v>0</v>
      </c>
      <c r="AL122">
        <f>IF('Calc base'!G$14=0,0,MIN(Z122,MAX(0,$E122-SUMPRODUCT($V122:$AG122,'Calc base'!$C$14:$N$14,('Calc base'!$H122:$S122&gt;'Calc base'!L122)+('Calc base'!$H122:$S122='Calc base'!L122)*('Calc base'!$C$17:$N$17&lt;'Calc base'!G$17)))))</f>
        <v>0</v>
      </c>
      <c r="AM122">
        <f>IF('Calc base'!H$14=0,0,MIN(AA122,MAX(0,$E122-SUMPRODUCT($V122:$AG122,'Calc base'!$C$14:$N$14,('Calc base'!$H122:$S122&gt;'Calc base'!M122)+('Calc base'!$H122:$S122='Calc base'!M122)*('Calc base'!$C$17:$N$17&lt;'Calc base'!H$17)))))</f>
        <v>0</v>
      </c>
      <c r="AN122">
        <f>IF('Calc base'!I$14=0,0,MIN(AB122,MAX(0,$E122-SUMPRODUCT($V122:$AG122,'Calc base'!$C$14:$N$14,('Calc base'!$H122:$S122&gt;'Calc base'!N122)+('Calc base'!$H122:$S122='Calc base'!N122)*('Calc base'!$C$17:$N$17&lt;'Calc base'!I$17)))))</f>
        <v>0</v>
      </c>
      <c r="AO122">
        <f>IF('Calc base'!J$14=0,0,MIN(AC122,MAX(0,$E122-SUMPRODUCT($V122:$AG122,'Calc base'!$C$14:$N$14,('Calc base'!$H122:$S122&gt;'Calc base'!O122)+('Calc base'!$H122:$S122='Calc base'!O122)*('Calc base'!$C$17:$N$17&lt;'Calc base'!J$17)))))</f>
        <v>0</v>
      </c>
      <c r="AP122">
        <f>IF('Calc base'!K$14=0,0,MIN(AD122,MAX(0,$E122-SUMPRODUCT($V122:$AG122,'Calc base'!$C$14:$N$14,('Calc base'!$H122:$S122&gt;'Calc base'!P122)+('Calc base'!$H122:$S122='Calc base'!P122)*('Calc base'!$C$17:$N$17&lt;'Calc base'!K$17)))))</f>
        <v>0</v>
      </c>
      <c r="AQ122">
        <f>IF('Calc base'!L$14=0,0,MIN(AE122,MAX(0,$E122-SUMPRODUCT($V122:$AG122,'Calc base'!$C$14:$N$14,('Calc base'!$H122:$S122&gt;'Calc base'!Q122)+('Calc base'!$H122:$S122='Calc base'!Q122)*('Calc base'!$C$17:$N$17&lt;'Calc base'!L$17)))))</f>
        <v>0</v>
      </c>
      <c r="AR122">
        <f>IF('Calc base'!M$14=0,0,MIN(AF122,MAX(0,$E122-SUMPRODUCT($V122:$AG122,'Calc base'!$C$14:$N$14,('Calc base'!$H122:$S122&gt;'Calc base'!R122)+('Calc base'!$H122:$S122='Calc base'!R122)*('Calc base'!$C$17:$N$17&lt;'Calc base'!M$17)))))</f>
        <v>0</v>
      </c>
      <c r="AS122">
        <f>IF('Calc base'!N$14=0,0,MIN(AG122,MAX(0,$E122-SUMPRODUCT($V122:$AG122,'Calc base'!$C$14:$N$14,('Calc base'!$H122:$S122&gt;'Calc base'!S122)+('Calc base'!$H122:$S122='Calc base'!S122)*('Calc base'!$C$17:$N$17&lt;'Calc base'!N$17)))))</f>
        <v>0</v>
      </c>
      <c r="AT122">
        <f>V122-AH122</f>
        <v>0</v>
      </c>
      <c r="AU122">
        <f>W122-AI122</f>
        <v>0</v>
      </c>
      <c r="AV122">
        <f>X122-AJ122</f>
        <v>0</v>
      </c>
      <c r="AW122">
        <f>Y122-AK122</f>
        <v>0</v>
      </c>
      <c r="AX122">
        <f>Z122-AL122</f>
        <v>0</v>
      </c>
      <c r="AY122">
        <f>AA122-AM122</f>
        <v>0</v>
      </c>
      <c r="AZ122">
        <f>AB122-AN122</f>
        <v>0</v>
      </c>
      <c r="BA122">
        <f>AC122-AO122</f>
        <v>0</v>
      </c>
      <c r="BB122">
        <f>AD122-AP122</f>
        <v>0</v>
      </c>
      <c r="BC122">
        <f>AE122-AQ122</f>
        <v>0</v>
      </c>
      <c r="BD122">
        <f>AF122-AR122</f>
        <v>0</v>
      </c>
      <c r="BE122">
        <f>AG122-AS122</f>
        <v>0</v>
      </c>
    </row>
    <row r="123">
      <c r="A123" t="n">
        <v>93</v>
      </c>
      <c r="B123">
        <f>SUMPRODUCT(ROUND($AT122:$BE122*(1+'Calc base'!$H123:$S123),2))</f>
        <v>0</v>
      </c>
      <c r="C123">
        <f>SUM(J123:U123)</f>
        <v>0</v>
      </c>
      <c r="D123">
        <f>SUM(V123:AG123)</f>
        <v>0</v>
      </c>
      <c r="E123">
        <f>MAX(0,IF(Impostazioni!$B$7="No",'Calc base'!$C123-$C$31,'Calc base'!$C123-C123)+'Calc base'!$G123+'Calc base'!$F123-(B123-C123-D123))</f>
        <v>900</v>
      </c>
      <c r="F123">
        <f>SUM(AH123:AS123)</f>
        <v>0</v>
      </c>
      <c r="G123">
        <f>SUM(AT123:BE123)</f>
        <v>0</v>
      </c>
      <c r="H123">
        <f>B123-G122</f>
        <v>0</v>
      </c>
      <c r="I123">
        <f>B123-G123</f>
        <v>0</v>
      </c>
      <c r="J123">
        <f>IF(AT122&lt;=0,0,IF(ROUND(AT122*(1+'Calc base'!H123),2)-MAX('Calc base'!C$12,ROUND('Calc base'!C$13*AT122,2))&lt;1,ROUND(AT122*(1+'Calc base'!H123),2),MAX('Calc base'!C$12,ROUND('Calc base'!C$13*AT122,2))))</f>
        <v>0</v>
      </c>
      <c r="K123">
        <f>IF(AU122&lt;=0,0,IF(ROUND(AU122*(1+'Calc base'!I123),2)-MAX('Calc base'!D$12,ROUND('Calc base'!D$13*AU122,2))&lt;1,ROUND(AU122*(1+'Calc base'!I123),2),MAX('Calc base'!D$12,ROUND('Calc base'!D$13*AU122,2))))</f>
        <v>0</v>
      </c>
      <c r="L123">
        <f>IF(AV122&lt;=0,0,IF(ROUND(AV122*(1+'Calc base'!J123),2)-MAX('Calc base'!E$12,ROUND('Calc base'!E$13*AV122,2))&lt;1,ROUND(AV122*(1+'Calc base'!J123),2),MAX('Calc base'!E$12,ROUND('Calc base'!E$13*AV122,2))))</f>
        <v>0</v>
      </c>
      <c r="M123">
        <f>IF(AW122&lt;=0,0,IF(ROUND(AW122*(1+'Calc base'!K123),2)-MAX('Calc base'!F$12,ROUND('Calc base'!F$13*AW122,2))&lt;1,ROUND(AW122*(1+'Calc base'!K123),2),MAX('Calc base'!F$12,ROUND('Calc base'!F$13*AW122,2))))</f>
        <v>0</v>
      </c>
      <c r="N123">
        <f>IF(AX122&lt;=0,0,IF(ROUND(AX122*(1+'Calc base'!L123),2)-MAX('Calc base'!G$12,ROUND('Calc base'!G$13*AX122,2))&lt;1,ROUND(AX122*(1+'Calc base'!L123),2),MAX('Calc base'!G$12,ROUND('Calc base'!G$13*AX122,2))))</f>
        <v>0</v>
      </c>
      <c r="O123">
        <f>IF(AY122&lt;=0,0,IF(ROUND(AY122*(1+'Calc base'!M123),2)-MAX('Calc base'!H$12,ROUND('Calc base'!H$13*AY122,2))&lt;1,ROUND(AY122*(1+'Calc base'!M123),2),MAX('Calc base'!H$12,ROUND('Calc base'!H$13*AY122,2))))</f>
        <v>0</v>
      </c>
      <c r="P123">
        <f>IF(AZ122&lt;=0,0,IF(ROUND(AZ122*(1+'Calc base'!N123),2)-MAX('Calc base'!I$12,ROUND('Calc base'!I$13*AZ122,2))&lt;1,ROUND(AZ122*(1+'Calc base'!N123),2),MAX('Calc base'!I$12,ROUND('Calc base'!I$13*AZ122,2))))</f>
        <v>0</v>
      </c>
      <c r="Q123">
        <f>IF(BA122&lt;=0,0,IF(ROUND(BA122*(1+'Calc base'!O123),2)-MAX('Calc base'!J$12,ROUND('Calc base'!J$13*BA122,2))&lt;1,ROUND(BA122*(1+'Calc base'!O123),2),MAX('Calc base'!J$12,ROUND('Calc base'!J$13*BA122,2))))</f>
        <v>0</v>
      </c>
      <c r="R123">
        <f>IF(BB122&lt;=0,0,IF(ROUND(BB122*(1+'Calc base'!P123),2)-MAX('Calc base'!K$12,ROUND('Calc base'!K$13*BB122,2))&lt;1,ROUND(BB122*(1+'Calc base'!P123),2),MAX('Calc base'!K$12,ROUND('Calc base'!K$13*BB122,2))))</f>
        <v>0</v>
      </c>
      <c r="S123">
        <f>IF(BC122&lt;=0,0,IF(ROUND(BC122*(1+'Calc base'!Q123),2)-MAX('Calc base'!L$12,ROUND('Calc base'!L$13*BC122,2))&lt;1,ROUND(BC122*(1+'Calc base'!Q123),2),MAX('Calc base'!L$12,ROUND('Calc base'!L$13*BC122,2))))</f>
        <v>0</v>
      </c>
      <c r="T123">
        <f>IF(BD122&lt;=0,0,IF(ROUND(BD122*(1+'Calc base'!R123),2)-MAX('Calc base'!M$12,ROUND('Calc base'!M$13*BD122,2))&lt;1,ROUND(BD122*(1+'Calc base'!R123),2),MAX('Calc base'!M$12,ROUND('Calc base'!M$13*BD122,2))))</f>
        <v>0</v>
      </c>
      <c r="U123">
        <f>IF(BE122&lt;=0,0,IF(ROUND(BE122*(1+'Calc base'!S123),2)-MAX('Calc base'!N$12,ROUND('Calc base'!N$13*BE122,2))&lt;1,ROUND(BE122*(1+'Calc base'!S123),2),MAX('Calc base'!N$12,ROUND('Calc base'!N$13*BE122,2))))</f>
        <v>0</v>
      </c>
      <c r="V123">
        <f>MAX(0,ROUND(AT122*(1+'Calc base'!H123),2)-J123-'Calc base'!T123)</f>
        <v>0</v>
      </c>
      <c r="W123">
        <f>MAX(0,ROUND(AU122*(1+'Calc base'!I123),2)-K123-'Calc base'!U123)</f>
        <v>0</v>
      </c>
      <c r="X123">
        <f>MAX(0,ROUND(AV122*(1+'Calc base'!J123),2)-L123-'Calc base'!V123)</f>
        <v>0</v>
      </c>
      <c r="Y123">
        <f>MAX(0,ROUND(AW122*(1+'Calc base'!K123),2)-M123-'Calc base'!W123)</f>
        <v>0</v>
      </c>
      <c r="Z123">
        <f>MAX(0,ROUND(AX122*(1+'Calc base'!L123),2)-N123-'Calc base'!X123)</f>
        <v>0</v>
      </c>
      <c r="AA123">
        <f>MAX(0,ROUND(AY122*(1+'Calc base'!M123),2)-O123-'Calc base'!Y123)</f>
        <v>0</v>
      </c>
      <c r="AB123">
        <f>MAX(0,ROUND(AZ122*(1+'Calc base'!N123),2)-P123-'Calc base'!Z123)</f>
        <v>0</v>
      </c>
      <c r="AC123">
        <f>MAX(0,ROUND(BA122*(1+'Calc base'!O123),2)-Q123-'Calc base'!AA123)</f>
        <v>0</v>
      </c>
      <c r="AD123">
        <f>MAX(0,ROUND(BB122*(1+'Calc base'!P123),2)-R123-'Calc base'!AB123)</f>
        <v>0</v>
      </c>
      <c r="AE123">
        <f>MAX(0,ROUND(BC122*(1+'Calc base'!Q123),2)-S123-'Calc base'!AC123)</f>
        <v>0</v>
      </c>
      <c r="AF123">
        <f>MAX(0,ROUND(BD122*(1+'Calc base'!R123),2)-T123-'Calc base'!AD123)</f>
        <v>0</v>
      </c>
      <c r="AG123">
        <f>MAX(0,ROUND(BE122*(1+'Calc base'!S123),2)-U123-'Calc base'!AE123)</f>
        <v>0</v>
      </c>
      <c r="AH123">
        <f>IF('Calc base'!C$14=0,0,MIN(V123,MAX(0,$E123-SUMPRODUCT($V123:$AG123,'Calc base'!$C$14:$N$14,('Calc base'!$H123:$S123&gt;'Calc base'!H123)+('Calc base'!$H123:$S123='Calc base'!H123)*('Calc base'!$C$17:$N$17&lt;'Calc base'!C$17)))))</f>
        <v>0</v>
      </c>
      <c r="AI123">
        <f>IF('Calc base'!D$14=0,0,MIN(W123,MAX(0,$E123-SUMPRODUCT($V123:$AG123,'Calc base'!$C$14:$N$14,('Calc base'!$H123:$S123&gt;'Calc base'!I123)+('Calc base'!$H123:$S123='Calc base'!I123)*('Calc base'!$C$17:$N$17&lt;'Calc base'!D$17)))))</f>
        <v>0</v>
      </c>
      <c r="AJ123">
        <f>IF('Calc base'!E$14=0,0,MIN(X123,MAX(0,$E123-SUMPRODUCT($V123:$AG123,'Calc base'!$C$14:$N$14,('Calc base'!$H123:$S123&gt;'Calc base'!J123)+('Calc base'!$H123:$S123='Calc base'!J123)*('Calc base'!$C$17:$N$17&lt;'Calc base'!E$17)))))</f>
        <v>0</v>
      </c>
      <c r="AK123">
        <f>IF('Calc base'!F$14=0,0,MIN(Y123,MAX(0,$E123-SUMPRODUCT($V123:$AG123,'Calc base'!$C$14:$N$14,('Calc base'!$H123:$S123&gt;'Calc base'!K123)+('Calc base'!$H123:$S123='Calc base'!K123)*('Calc base'!$C$17:$N$17&lt;'Calc base'!F$17)))))</f>
        <v>0</v>
      </c>
      <c r="AL123">
        <f>IF('Calc base'!G$14=0,0,MIN(Z123,MAX(0,$E123-SUMPRODUCT($V123:$AG123,'Calc base'!$C$14:$N$14,('Calc base'!$H123:$S123&gt;'Calc base'!L123)+('Calc base'!$H123:$S123='Calc base'!L123)*('Calc base'!$C$17:$N$17&lt;'Calc base'!G$17)))))</f>
        <v>0</v>
      </c>
      <c r="AM123">
        <f>IF('Calc base'!H$14=0,0,MIN(AA123,MAX(0,$E123-SUMPRODUCT($V123:$AG123,'Calc base'!$C$14:$N$14,('Calc base'!$H123:$S123&gt;'Calc base'!M123)+('Calc base'!$H123:$S123='Calc base'!M123)*('Calc base'!$C$17:$N$17&lt;'Calc base'!H$17)))))</f>
        <v>0</v>
      </c>
      <c r="AN123">
        <f>IF('Calc base'!I$14=0,0,MIN(AB123,MAX(0,$E123-SUMPRODUCT($V123:$AG123,'Calc base'!$C$14:$N$14,('Calc base'!$H123:$S123&gt;'Calc base'!N123)+('Calc base'!$H123:$S123='Calc base'!N123)*('Calc base'!$C$17:$N$17&lt;'Calc base'!I$17)))))</f>
        <v>0</v>
      </c>
      <c r="AO123">
        <f>IF('Calc base'!J$14=0,0,MIN(AC123,MAX(0,$E123-SUMPRODUCT($V123:$AG123,'Calc base'!$C$14:$N$14,('Calc base'!$H123:$S123&gt;'Calc base'!O123)+('Calc base'!$H123:$S123='Calc base'!O123)*('Calc base'!$C$17:$N$17&lt;'Calc base'!J$17)))))</f>
        <v>0</v>
      </c>
      <c r="AP123">
        <f>IF('Calc base'!K$14=0,0,MIN(AD123,MAX(0,$E123-SUMPRODUCT($V123:$AG123,'Calc base'!$C$14:$N$14,('Calc base'!$H123:$S123&gt;'Calc base'!P123)+('Calc base'!$H123:$S123='Calc base'!P123)*('Calc base'!$C$17:$N$17&lt;'Calc base'!K$17)))))</f>
        <v>0</v>
      </c>
      <c r="AQ123">
        <f>IF('Calc base'!L$14=0,0,MIN(AE123,MAX(0,$E123-SUMPRODUCT($V123:$AG123,'Calc base'!$C$14:$N$14,('Calc base'!$H123:$S123&gt;'Calc base'!Q123)+('Calc base'!$H123:$S123='Calc base'!Q123)*('Calc base'!$C$17:$N$17&lt;'Calc base'!L$17)))))</f>
        <v>0</v>
      </c>
      <c r="AR123">
        <f>IF('Calc base'!M$14=0,0,MIN(AF123,MAX(0,$E123-SUMPRODUCT($V123:$AG123,'Calc base'!$C$14:$N$14,('Calc base'!$H123:$S123&gt;'Calc base'!R123)+('Calc base'!$H123:$S123='Calc base'!R123)*('Calc base'!$C$17:$N$17&lt;'Calc base'!M$17)))))</f>
        <v>0</v>
      </c>
      <c r="AS123">
        <f>IF('Calc base'!N$14=0,0,MIN(AG123,MAX(0,$E123-SUMPRODUCT($V123:$AG123,'Calc base'!$C$14:$N$14,('Calc base'!$H123:$S123&gt;'Calc base'!S123)+('Calc base'!$H123:$S123='Calc base'!S123)*('Calc base'!$C$17:$N$17&lt;'Calc base'!N$17)))))</f>
        <v>0</v>
      </c>
      <c r="AT123">
        <f>V123-AH123</f>
        <v>0</v>
      </c>
      <c r="AU123">
        <f>W123-AI123</f>
        <v>0</v>
      </c>
      <c r="AV123">
        <f>X123-AJ123</f>
        <v>0</v>
      </c>
      <c r="AW123">
        <f>Y123-AK123</f>
        <v>0</v>
      </c>
      <c r="AX123">
        <f>Z123-AL123</f>
        <v>0</v>
      </c>
      <c r="AY123">
        <f>AA123-AM123</f>
        <v>0</v>
      </c>
      <c r="AZ123">
        <f>AB123-AN123</f>
        <v>0</v>
      </c>
      <c r="BA123">
        <f>AC123-AO123</f>
        <v>0</v>
      </c>
      <c r="BB123">
        <f>AD123-AP123</f>
        <v>0</v>
      </c>
      <c r="BC123">
        <f>AE123-AQ123</f>
        <v>0</v>
      </c>
      <c r="BD123">
        <f>AF123-AR123</f>
        <v>0</v>
      </c>
      <c r="BE123">
        <f>AG123-AS123</f>
        <v>0</v>
      </c>
    </row>
    <row r="124">
      <c r="A124" t="n">
        <v>94</v>
      </c>
      <c r="B124">
        <f>SUMPRODUCT(ROUND($AT123:$BE123*(1+'Calc base'!$H124:$S124),2))</f>
        <v>0</v>
      </c>
      <c r="C124">
        <f>SUM(J124:U124)</f>
        <v>0</v>
      </c>
      <c r="D124">
        <f>SUM(V124:AG124)</f>
        <v>0</v>
      </c>
      <c r="E124">
        <f>MAX(0,IF(Impostazioni!$B$7="No",'Calc base'!$C124-$C$31,'Calc base'!$C124-C124)+'Calc base'!$G124+'Calc base'!$F124-(B124-C124-D124))</f>
        <v>900</v>
      </c>
      <c r="F124">
        <f>SUM(AH124:AS124)</f>
        <v>0</v>
      </c>
      <c r="G124">
        <f>SUM(AT124:BE124)</f>
        <v>0</v>
      </c>
      <c r="H124">
        <f>B124-G123</f>
        <v>0</v>
      </c>
      <c r="I124">
        <f>B124-G124</f>
        <v>0</v>
      </c>
      <c r="J124">
        <f>IF(AT123&lt;=0,0,IF(ROUND(AT123*(1+'Calc base'!H124),2)-MAX('Calc base'!C$12,ROUND('Calc base'!C$13*AT123,2))&lt;1,ROUND(AT123*(1+'Calc base'!H124),2),MAX('Calc base'!C$12,ROUND('Calc base'!C$13*AT123,2))))</f>
        <v>0</v>
      </c>
      <c r="K124">
        <f>IF(AU123&lt;=0,0,IF(ROUND(AU123*(1+'Calc base'!I124),2)-MAX('Calc base'!D$12,ROUND('Calc base'!D$13*AU123,2))&lt;1,ROUND(AU123*(1+'Calc base'!I124),2),MAX('Calc base'!D$12,ROUND('Calc base'!D$13*AU123,2))))</f>
        <v>0</v>
      </c>
      <c r="L124">
        <f>IF(AV123&lt;=0,0,IF(ROUND(AV123*(1+'Calc base'!J124),2)-MAX('Calc base'!E$12,ROUND('Calc base'!E$13*AV123,2))&lt;1,ROUND(AV123*(1+'Calc base'!J124),2),MAX('Calc base'!E$12,ROUND('Calc base'!E$13*AV123,2))))</f>
        <v>0</v>
      </c>
      <c r="M124">
        <f>IF(AW123&lt;=0,0,IF(ROUND(AW123*(1+'Calc base'!K124),2)-MAX('Calc base'!F$12,ROUND('Calc base'!F$13*AW123,2))&lt;1,ROUND(AW123*(1+'Calc base'!K124),2),MAX('Calc base'!F$12,ROUND('Calc base'!F$13*AW123,2))))</f>
        <v>0</v>
      </c>
      <c r="N124">
        <f>IF(AX123&lt;=0,0,IF(ROUND(AX123*(1+'Calc base'!L124),2)-MAX('Calc base'!G$12,ROUND('Calc base'!G$13*AX123,2))&lt;1,ROUND(AX123*(1+'Calc base'!L124),2),MAX('Calc base'!G$12,ROUND('Calc base'!G$13*AX123,2))))</f>
        <v>0</v>
      </c>
      <c r="O124">
        <f>IF(AY123&lt;=0,0,IF(ROUND(AY123*(1+'Calc base'!M124),2)-MAX('Calc base'!H$12,ROUND('Calc base'!H$13*AY123,2))&lt;1,ROUND(AY123*(1+'Calc base'!M124),2),MAX('Calc base'!H$12,ROUND('Calc base'!H$13*AY123,2))))</f>
        <v>0</v>
      </c>
      <c r="P124">
        <f>IF(AZ123&lt;=0,0,IF(ROUND(AZ123*(1+'Calc base'!N124),2)-MAX('Calc base'!I$12,ROUND('Calc base'!I$13*AZ123,2))&lt;1,ROUND(AZ123*(1+'Calc base'!N124),2),MAX('Calc base'!I$12,ROUND('Calc base'!I$13*AZ123,2))))</f>
        <v>0</v>
      </c>
      <c r="Q124">
        <f>IF(BA123&lt;=0,0,IF(ROUND(BA123*(1+'Calc base'!O124),2)-MAX('Calc base'!J$12,ROUND('Calc base'!J$13*BA123,2))&lt;1,ROUND(BA123*(1+'Calc base'!O124),2),MAX('Calc base'!J$12,ROUND('Calc base'!J$13*BA123,2))))</f>
        <v>0</v>
      </c>
      <c r="R124">
        <f>IF(BB123&lt;=0,0,IF(ROUND(BB123*(1+'Calc base'!P124),2)-MAX('Calc base'!K$12,ROUND('Calc base'!K$13*BB123,2))&lt;1,ROUND(BB123*(1+'Calc base'!P124),2),MAX('Calc base'!K$12,ROUND('Calc base'!K$13*BB123,2))))</f>
        <v>0</v>
      </c>
      <c r="S124">
        <f>IF(BC123&lt;=0,0,IF(ROUND(BC123*(1+'Calc base'!Q124),2)-MAX('Calc base'!L$12,ROUND('Calc base'!L$13*BC123,2))&lt;1,ROUND(BC123*(1+'Calc base'!Q124),2),MAX('Calc base'!L$12,ROUND('Calc base'!L$13*BC123,2))))</f>
        <v>0</v>
      </c>
      <c r="T124">
        <f>IF(BD123&lt;=0,0,IF(ROUND(BD123*(1+'Calc base'!R124),2)-MAX('Calc base'!M$12,ROUND('Calc base'!M$13*BD123,2))&lt;1,ROUND(BD123*(1+'Calc base'!R124),2),MAX('Calc base'!M$12,ROUND('Calc base'!M$13*BD123,2))))</f>
        <v>0</v>
      </c>
      <c r="U124">
        <f>IF(BE123&lt;=0,0,IF(ROUND(BE123*(1+'Calc base'!S124),2)-MAX('Calc base'!N$12,ROUND('Calc base'!N$13*BE123,2))&lt;1,ROUND(BE123*(1+'Calc base'!S124),2),MAX('Calc base'!N$12,ROUND('Calc base'!N$13*BE123,2))))</f>
        <v>0</v>
      </c>
      <c r="V124">
        <f>MAX(0,ROUND(AT123*(1+'Calc base'!H124),2)-J124-'Calc base'!T124)</f>
        <v>0</v>
      </c>
      <c r="W124">
        <f>MAX(0,ROUND(AU123*(1+'Calc base'!I124),2)-K124-'Calc base'!U124)</f>
        <v>0</v>
      </c>
      <c r="X124">
        <f>MAX(0,ROUND(AV123*(1+'Calc base'!J124),2)-L124-'Calc base'!V124)</f>
        <v>0</v>
      </c>
      <c r="Y124">
        <f>MAX(0,ROUND(AW123*(1+'Calc base'!K124),2)-M124-'Calc base'!W124)</f>
        <v>0</v>
      </c>
      <c r="Z124">
        <f>MAX(0,ROUND(AX123*(1+'Calc base'!L124),2)-N124-'Calc base'!X124)</f>
        <v>0</v>
      </c>
      <c r="AA124">
        <f>MAX(0,ROUND(AY123*(1+'Calc base'!M124),2)-O124-'Calc base'!Y124)</f>
        <v>0</v>
      </c>
      <c r="AB124">
        <f>MAX(0,ROUND(AZ123*(1+'Calc base'!N124),2)-P124-'Calc base'!Z124)</f>
        <v>0</v>
      </c>
      <c r="AC124">
        <f>MAX(0,ROUND(BA123*(1+'Calc base'!O124),2)-Q124-'Calc base'!AA124)</f>
        <v>0</v>
      </c>
      <c r="AD124">
        <f>MAX(0,ROUND(BB123*(1+'Calc base'!P124),2)-R124-'Calc base'!AB124)</f>
        <v>0</v>
      </c>
      <c r="AE124">
        <f>MAX(0,ROUND(BC123*(1+'Calc base'!Q124),2)-S124-'Calc base'!AC124)</f>
        <v>0</v>
      </c>
      <c r="AF124">
        <f>MAX(0,ROUND(BD123*(1+'Calc base'!R124),2)-T124-'Calc base'!AD124)</f>
        <v>0</v>
      </c>
      <c r="AG124">
        <f>MAX(0,ROUND(BE123*(1+'Calc base'!S124),2)-U124-'Calc base'!AE124)</f>
        <v>0</v>
      </c>
      <c r="AH124">
        <f>IF('Calc base'!C$14=0,0,MIN(V124,MAX(0,$E124-SUMPRODUCT($V124:$AG124,'Calc base'!$C$14:$N$14,('Calc base'!$H124:$S124&gt;'Calc base'!H124)+('Calc base'!$H124:$S124='Calc base'!H124)*('Calc base'!$C$17:$N$17&lt;'Calc base'!C$17)))))</f>
        <v>0</v>
      </c>
      <c r="AI124">
        <f>IF('Calc base'!D$14=0,0,MIN(W124,MAX(0,$E124-SUMPRODUCT($V124:$AG124,'Calc base'!$C$14:$N$14,('Calc base'!$H124:$S124&gt;'Calc base'!I124)+('Calc base'!$H124:$S124='Calc base'!I124)*('Calc base'!$C$17:$N$17&lt;'Calc base'!D$17)))))</f>
        <v>0</v>
      </c>
      <c r="AJ124">
        <f>IF('Calc base'!E$14=0,0,MIN(X124,MAX(0,$E124-SUMPRODUCT($V124:$AG124,'Calc base'!$C$14:$N$14,('Calc base'!$H124:$S124&gt;'Calc base'!J124)+('Calc base'!$H124:$S124='Calc base'!J124)*('Calc base'!$C$17:$N$17&lt;'Calc base'!E$17)))))</f>
        <v>0</v>
      </c>
      <c r="AK124">
        <f>IF('Calc base'!F$14=0,0,MIN(Y124,MAX(0,$E124-SUMPRODUCT($V124:$AG124,'Calc base'!$C$14:$N$14,('Calc base'!$H124:$S124&gt;'Calc base'!K124)+('Calc base'!$H124:$S124='Calc base'!K124)*('Calc base'!$C$17:$N$17&lt;'Calc base'!F$17)))))</f>
        <v>0</v>
      </c>
      <c r="AL124">
        <f>IF('Calc base'!G$14=0,0,MIN(Z124,MAX(0,$E124-SUMPRODUCT($V124:$AG124,'Calc base'!$C$14:$N$14,('Calc base'!$H124:$S124&gt;'Calc base'!L124)+('Calc base'!$H124:$S124='Calc base'!L124)*('Calc base'!$C$17:$N$17&lt;'Calc base'!G$17)))))</f>
        <v>0</v>
      </c>
      <c r="AM124">
        <f>IF('Calc base'!H$14=0,0,MIN(AA124,MAX(0,$E124-SUMPRODUCT($V124:$AG124,'Calc base'!$C$14:$N$14,('Calc base'!$H124:$S124&gt;'Calc base'!M124)+('Calc base'!$H124:$S124='Calc base'!M124)*('Calc base'!$C$17:$N$17&lt;'Calc base'!H$17)))))</f>
        <v>0</v>
      </c>
      <c r="AN124">
        <f>IF('Calc base'!I$14=0,0,MIN(AB124,MAX(0,$E124-SUMPRODUCT($V124:$AG124,'Calc base'!$C$14:$N$14,('Calc base'!$H124:$S124&gt;'Calc base'!N124)+('Calc base'!$H124:$S124='Calc base'!N124)*('Calc base'!$C$17:$N$17&lt;'Calc base'!I$17)))))</f>
        <v>0</v>
      </c>
      <c r="AO124">
        <f>IF('Calc base'!J$14=0,0,MIN(AC124,MAX(0,$E124-SUMPRODUCT($V124:$AG124,'Calc base'!$C$14:$N$14,('Calc base'!$H124:$S124&gt;'Calc base'!O124)+('Calc base'!$H124:$S124='Calc base'!O124)*('Calc base'!$C$17:$N$17&lt;'Calc base'!J$17)))))</f>
        <v>0</v>
      </c>
      <c r="AP124">
        <f>IF('Calc base'!K$14=0,0,MIN(AD124,MAX(0,$E124-SUMPRODUCT($V124:$AG124,'Calc base'!$C$14:$N$14,('Calc base'!$H124:$S124&gt;'Calc base'!P124)+('Calc base'!$H124:$S124='Calc base'!P124)*('Calc base'!$C$17:$N$17&lt;'Calc base'!K$17)))))</f>
        <v>0</v>
      </c>
      <c r="AQ124">
        <f>IF('Calc base'!L$14=0,0,MIN(AE124,MAX(0,$E124-SUMPRODUCT($V124:$AG124,'Calc base'!$C$14:$N$14,('Calc base'!$H124:$S124&gt;'Calc base'!Q124)+('Calc base'!$H124:$S124='Calc base'!Q124)*('Calc base'!$C$17:$N$17&lt;'Calc base'!L$17)))))</f>
        <v>0</v>
      </c>
      <c r="AR124">
        <f>IF('Calc base'!M$14=0,0,MIN(AF124,MAX(0,$E124-SUMPRODUCT($V124:$AG124,'Calc base'!$C$14:$N$14,('Calc base'!$H124:$S124&gt;'Calc base'!R124)+('Calc base'!$H124:$S124='Calc base'!R124)*('Calc base'!$C$17:$N$17&lt;'Calc base'!M$17)))))</f>
        <v>0</v>
      </c>
      <c r="AS124">
        <f>IF('Calc base'!N$14=0,0,MIN(AG124,MAX(0,$E124-SUMPRODUCT($V124:$AG124,'Calc base'!$C$14:$N$14,('Calc base'!$H124:$S124&gt;'Calc base'!S124)+('Calc base'!$H124:$S124='Calc base'!S124)*('Calc base'!$C$17:$N$17&lt;'Calc base'!N$17)))))</f>
        <v>0</v>
      </c>
      <c r="AT124">
        <f>V124-AH124</f>
        <v>0</v>
      </c>
      <c r="AU124">
        <f>W124-AI124</f>
        <v>0</v>
      </c>
      <c r="AV124">
        <f>X124-AJ124</f>
        <v>0</v>
      </c>
      <c r="AW124">
        <f>Y124-AK124</f>
        <v>0</v>
      </c>
      <c r="AX124">
        <f>Z124-AL124</f>
        <v>0</v>
      </c>
      <c r="AY124">
        <f>AA124-AM124</f>
        <v>0</v>
      </c>
      <c r="AZ124">
        <f>AB124-AN124</f>
        <v>0</v>
      </c>
      <c r="BA124">
        <f>AC124-AO124</f>
        <v>0</v>
      </c>
      <c r="BB124">
        <f>AD124-AP124</f>
        <v>0</v>
      </c>
      <c r="BC124">
        <f>AE124-AQ124</f>
        <v>0</v>
      </c>
      <c r="BD124">
        <f>AF124-AR124</f>
        <v>0</v>
      </c>
      <c r="BE124">
        <f>AG124-AS124</f>
        <v>0</v>
      </c>
    </row>
    <row r="125">
      <c r="A125" t="n">
        <v>95</v>
      </c>
      <c r="B125">
        <f>SUMPRODUCT(ROUND($AT124:$BE124*(1+'Calc base'!$H125:$S125),2))</f>
        <v>0</v>
      </c>
      <c r="C125">
        <f>SUM(J125:U125)</f>
        <v>0</v>
      </c>
      <c r="D125">
        <f>SUM(V125:AG125)</f>
        <v>0</v>
      </c>
      <c r="E125">
        <f>MAX(0,IF(Impostazioni!$B$7="No",'Calc base'!$C125-$C$31,'Calc base'!$C125-C125)+'Calc base'!$G125+'Calc base'!$F125-(B125-C125-D125))</f>
        <v>900</v>
      </c>
      <c r="F125">
        <f>SUM(AH125:AS125)</f>
        <v>0</v>
      </c>
      <c r="G125">
        <f>SUM(AT125:BE125)</f>
        <v>0</v>
      </c>
      <c r="H125">
        <f>B125-G124</f>
        <v>0</v>
      </c>
      <c r="I125">
        <f>B125-G125</f>
        <v>0</v>
      </c>
      <c r="J125">
        <f>IF(AT124&lt;=0,0,IF(ROUND(AT124*(1+'Calc base'!H125),2)-MAX('Calc base'!C$12,ROUND('Calc base'!C$13*AT124,2))&lt;1,ROUND(AT124*(1+'Calc base'!H125),2),MAX('Calc base'!C$12,ROUND('Calc base'!C$13*AT124,2))))</f>
        <v>0</v>
      </c>
      <c r="K125">
        <f>IF(AU124&lt;=0,0,IF(ROUND(AU124*(1+'Calc base'!I125),2)-MAX('Calc base'!D$12,ROUND('Calc base'!D$13*AU124,2))&lt;1,ROUND(AU124*(1+'Calc base'!I125),2),MAX('Calc base'!D$12,ROUND('Calc base'!D$13*AU124,2))))</f>
        <v>0</v>
      </c>
      <c r="L125">
        <f>IF(AV124&lt;=0,0,IF(ROUND(AV124*(1+'Calc base'!J125),2)-MAX('Calc base'!E$12,ROUND('Calc base'!E$13*AV124,2))&lt;1,ROUND(AV124*(1+'Calc base'!J125),2),MAX('Calc base'!E$12,ROUND('Calc base'!E$13*AV124,2))))</f>
        <v>0</v>
      </c>
      <c r="M125">
        <f>IF(AW124&lt;=0,0,IF(ROUND(AW124*(1+'Calc base'!K125),2)-MAX('Calc base'!F$12,ROUND('Calc base'!F$13*AW124,2))&lt;1,ROUND(AW124*(1+'Calc base'!K125),2),MAX('Calc base'!F$12,ROUND('Calc base'!F$13*AW124,2))))</f>
        <v>0</v>
      </c>
      <c r="N125">
        <f>IF(AX124&lt;=0,0,IF(ROUND(AX124*(1+'Calc base'!L125),2)-MAX('Calc base'!G$12,ROUND('Calc base'!G$13*AX124,2))&lt;1,ROUND(AX124*(1+'Calc base'!L125),2),MAX('Calc base'!G$12,ROUND('Calc base'!G$13*AX124,2))))</f>
        <v>0</v>
      </c>
      <c r="O125">
        <f>IF(AY124&lt;=0,0,IF(ROUND(AY124*(1+'Calc base'!M125),2)-MAX('Calc base'!H$12,ROUND('Calc base'!H$13*AY124,2))&lt;1,ROUND(AY124*(1+'Calc base'!M125),2),MAX('Calc base'!H$12,ROUND('Calc base'!H$13*AY124,2))))</f>
        <v>0</v>
      </c>
      <c r="P125">
        <f>IF(AZ124&lt;=0,0,IF(ROUND(AZ124*(1+'Calc base'!N125),2)-MAX('Calc base'!I$12,ROUND('Calc base'!I$13*AZ124,2))&lt;1,ROUND(AZ124*(1+'Calc base'!N125),2),MAX('Calc base'!I$12,ROUND('Calc base'!I$13*AZ124,2))))</f>
        <v>0</v>
      </c>
      <c r="Q125">
        <f>IF(BA124&lt;=0,0,IF(ROUND(BA124*(1+'Calc base'!O125),2)-MAX('Calc base'!J$12,ROUND('Calc base'!J$13*BA124,2))&lt;1,ROUND(BA124*(1+'Calc base'!O125),2),MAX('Calc base'!J$12,ROUND('Calc base'!J$13*BA124,2))))</f>
        <v>0</v>
      </c>
      <c r="R125">
        <f>IF(BB124&lt;=0,0,IF(ROUND(BB124*(1+'Calc base'!P125),2)-MAX('Calc base'!K$12,ROUND('Calc base'!K$13*BB124,2))&lt;1,ROUND(BB124*(1+'Calc base'!P125),2),MAX('Calc base'!K$12,ROUND('Calc base'!K$13*BB124,2))))</f>
        <v>0</v>
      </c>
      <c r="S125">
        <f>IF(BC124&lt;=0,0,IF(ROUND(BC124*(1+'Calc base'!Q125),2)-MAX('Calc base'!L$12,ROUND('Calc base'!L$13*BC124,2))&lt;1,ROUND(BC124*(1+'Calc base'!Q125),2),MAX('Calc base'!L$12,ROUND('Calc base'!L$13*BC124,2))))</f>
        <v>0</v>
      </c>
      <c r="T125">
        <f>IF(BD124&lt;=0,0,IF(ROUND(BD124*(1+'Calc base'!R125),2)-MAX('Calc base'!M$12,ROUND('Calc base'!M$13*BD124,2))&lt;1,ROUND(BD124*(1+'Calc base'!R125),2),MAX('Calc base'!M$12,ROUND('Calc base'!M$13*BD124,2))))</f>
        <v>0</v>
      </c>
      <c r="U125">
        <f>IF(BE124&lt;=0,0,IF(ROUND(BE124*(1+'Calc base'!S125),2)-MAX('Calc base'!N$12,ROUND('Calc base'!N$13*BE124,2))&lt;1,ROUND(BE124*(1+'Calc base'!S125),2),MAX('Calc base'!N$12,ROUND('Calc base'!N$13*BE124,2))))</f>
        <v>0</v>
      </c>
      <c r="V125">
        <f>MAX(0,ROUND(AT124*(1+'Calc base'!H125),2)-J125-'Calc base'!T125)</f>
        <v>0</v>
      </c>
      <c r="W125">
        <f>MAX(0,ROUND(AU124*(1+'Calc base'!I125),2)-K125-'Calc base'!U125)</f>
        <v>0</v>
      </c>
      <c r="X125">
        <f>MAX(0,ROUND(AV124*(1+'Calc base'!J125),2)-L125-'Calc base'!V125)</f>
        <v>0</v>
      </c>
      <c r="Y125">
        <f>MAX(0,ROUND(AW124*(1+'Calc base'!K125),2)-M125-'Calc base'!W125)</f>
        <v>0</v>
      </c>
      <c r="Z125">
        <f>MAX(0,ROUND(AX124*(1+'Calc base'!L125),2)-N125-'Calc base'!X125)</f>
        <v>0</v>
      </c>
      <c r="AA125">
        <f>MAX(0,ROUND(AY124*(1+'Calc base'!M125),2)-O125-'Calc base'!Y125)</f>
        <v>0</v>
      </c>
      <c r="AB125">
        <f>MAX(0,ROUND(AZ124*(1+'Calc base'!N125),2)-P125-'Calc base'!Z125)</f>
        <v>0</v>
      </c>
      <c r="AC125">
        <f>MAX(0,ROUND(BA124*(1+'Calc base'!O125),2)-Q125-'Calc base'!AA125)</f>
        <v>0</v>
      </c>
      <c r="AD125">
        <f>MAX(0,ROUND(BB124*(1+'Calc base'!P125),2)-R125-'Calc base'!AB125)</f>
        <v>0</v>
      </c>
      <c r="AE125">
        <f>MAX(0,ROUND(BC124*(1+'Calc base'!Q125),2)-S125-'Calc base'!AC125)</f>
        <v>0</v>
      </c>
      <c r="AF125">
        <f>MAX(0,ROUND(BD124*(1+'Calc base'!R125),2)-T125-'Calc base'!AD125)</f>
        <v>0</v>
      </c>
      <c r="AG125">
        <f>MAX(0,ROUND(BE124*(1+'Calc base'!S125),2)-U125-'Calc base'!AE125)</f>
        <v>0</v>
      </c>
      <c r="AH125">
        <f>IF('Calc base'!C$14=0,0,MIN(V125,MAX(0,$E125-SUMPRODUCT($V125:$AG125,'Calc base'!$C$14:$N$14,('Calc base'!$H125:$S125&gt;'Calc base'!H125)+('Calc base'!$H125:$S125='Calc base'!H125)*('Calc base'!$C$17:$N$17&lt;'Calc base'!C$17)))))</f>
        <v>0</v>
      </c>
      <c r="AI125">
        <f>IF('Calc base'!D$14=0,0,MIN(W125,MAX(0,$E125-SUMPRODUCT($V125:$AG125,'Calc base'!$C$14:$N$14,('Calc base'!$H125:$S125&gt;'Calc base'!I125)+('Calc base'!$H125:$S125='Calc base'!I125)*('Calc base'!$C$17:$N$17&lt;'Calc base'!D$17)))))</f>
        <v>0</v>
      </c>
      <c r="AJ125">
        <f>IF('Calc base'!E$14=0,0,MIN(X125,MAX(0,$E125-SUMPRODUCT($V125:$AG125,'Calc base'!$C$14:$N$14,('Calc base'!$H125:$S125&gt;'Calc base'!J125)+('Calc base'!$H125:$S125='Calc base'!J125)*('Calc base'!$C$17:$N$17&lt;'Calc base'!E$17)))))</f>
        <v>0</v>
      </c>
      <c r="AK125">
        <f>IF('Calc base'!F$14=0,0,MIN(Y125,MAX(0,$E125-SUMPRODUCT($V125:$AG125,'Calc base'!$C$14:$N$14,('Calc base'!$H125:$S125&gt;'Calc base'!K125)+('Calc base'!$H125:$S125='Calc base'!K125)*('Calc base'!$C$17:$N$17&lt;'Calc base'!F$17)))))</f>
        <v>0</v>
      </c>
      <c r="AL125">
        <f>IF('Calc base'!G$14=0,0,MIN(Z125,MAX(0,$E125-SUMPRODUCT($V125:$AG125,'Calc base'!$C$14:$N$14,('Calc base'!$H125:$S125&gt;'Calc base'!L125)+('Calc base'!$H125:$S125='Calc base'!L125)*('Calc base'!$C$17:$N$17&lt;'Calc base'!G$17)))))</f>
        <v>0</v>
      </c>
      <c r="AM125">
        <f>IF('Calc base'!H$14=0,0,MIN(AA125,MAX(0,$E125-SUMPRODUCT($V125:$AG125,'Calc base'!$C$14:$N$14,('Calc base'!$H125:$S125&gt;'Calc base'!M125)+('Calc base'!$H125:$S125='Calc base'!M125)*('Calc base'!$C$17:$N$17&lt;'Calc base'!H$17)))))</f>
        <v>0</v>
      </c>
      <c r="AN125">
        <f>IF('Calc base'!I$14=0,0,MIN(AB125,MAX(0,$E125-SUMPRODUCT($V125:$AG125,'Calc base'!$C$14:$N$14,('Calc base'!$H125:$S125&gt;'Calc base'!N125)+('Calc base'!$H125:$S125='Calc base'!N125)*('Calc base'!$C$17:$N$17&lt;'Calc base'!I$17)))))</f>
        <v>0</v>
      </c>
      <c r="AO125">
        <f>IF('Calc base'!J$14=0,0,MIN(AC125,MAX(0,$E125-SUMPRODUCT($V125:$AG125,'Calc base'!$C$14:$N$14,('Calc base'!$H125:$S125&gt;'Calc base'!O125)+('Calc base'!$H125:$S125='Calc base'!O125)*('Calc base'!$C$17:$N$17&lt;'Calc base'!J$17)))))</f>
        <v>0</v>
      </c>
      <c r="AP125">
        <f>IF('Calc base'!K$14=0,0,MIN(AD125,MAX(0,$E125-SUMPRODUCT($V125:$AG125,'Calc base'!$C$14:$N$14,('Calc base'!$H125:$S125&gt;'Calc base'!P125)+('Calc base'!$H125:$S125='Calc base'!P125)*('Calc base'!$C$17:$N$17&lt;'Calc base'!K$17)))))</f>
        <v>0</v>
      </c>
      <c r="AQ125">
        <f>IF('Calc base'!L$14=0,0,MIN(AE125,MAX(0,$E125-SUMPRODUCT($V125:$AG125,'Calc base'!$C$14:$N$14,('Calc base'!$H125:$S125&gt;'Calc base'!Q125)+('Calc base'!$H125:$S125='Calc base'!Q125)*('Calc base'!$C$17:$N$17&lt;'Calc base'!L$17)))))</f>
        <v>0</v>
      </c>
      <c r="AR125">
        <f>IF('Calc base'!M$14=0,0,MIN(AF125,MAX(0,$E125-SUMPRODUCT($V125:$AG125,'Calc base'!$C$14:$N$14,('Calc base'!$H125:$S125&gt;'Calc base'!R125)+('Calc base'!$H125:$S125='Calc base'!R125)*('Calc base'!$C$17:$N$17&lt;'Calc base'!M$17)))))</f>
        <v>0</v>
      </c>
      <c r="AS125">
        <f>IF('Calc base'!N$14=0,0,MIN(AG125,MAX(0,$E125-SUMPRODUCT($V125:$AG125,'Calc base'!$C$14:$N$14,('Calc base'!$H125:$S125&gt;'Calc base'!S125)+('Calc base'!$H125:$S125='Calc base'!S125)*('Calc base'!$C$17:$N$17&lt;'Calc base'!N$17)))))</f>
        <v>0</v>
      </c>
      <c r="AT125">
        <f>V125-AH125</f>
        <v>0</v>
      </c>
      <c r="AU125">
        <f>W125-AI125</f>
        <v>0</v>
      </c>
      <c r="AV125">
        <f>X125-AJ125</f>
        <v>0</v>
      </c>
      <c r="AW125">
        <f>Y125-AK125</f>
        <v>0</v>
      </c>
      <c r="AX125">
        <f>Z125-AL125</f>
        <v>0</v>
      </c>
      <c r="AY125">
        <f>AA125-AM125</f>
        <v>0</v>
      </c>
      <c r="AZ125">
        <f>AB125-AN125</f>
        <v>0</v>
      </c>
      <c r="BA125">
        <f>AC125-AO125</f>
        <v>0</v>
      </c>
      <c r="BB125">
        <f>AD125-AP125</f>
        <v>0</v>
      </c>
      <c r="BC125">
        <f>AE125-AQ125</f>
        <v>0</v>
      </c>
      <c r="BD125">
        <f>AF125-AR125</f>
        <v>0</v>
      </c>
      <c r="BE125">
        <f>AG125-AS125</f>
        <v>0</v>
      </c>
    </row>
    <row r="126">
      <c r="A126" t="n">
        <v>96</v>
      </c>
      <c r="B126">
        <f>SUMPRODUCT(ROUND($AT125:$BE125*(1+'Calc base'!$H126:$S126),2))</f>
        <v>0</v>
      </c>
      <c r="C126">
        <f>SUM(J126:U126)</f>
        <v>0</v>
      </c>
      <c r="D126">
        <f>SUM(V126:AG126)</f>
        <v>0</v>
      </c>
      <c r="E126">
        <f>MAX(0,IF(Impostazioni!$B$7="No",'Calc base'!$C126-$C$31,'Calc base'!$C126-C126)+'Calc base'!$G126+'Calc base'!$F126-(B126-C126-D126))</f>
        <v>900</v>
      </c>
      <c r="F126">
        <f>SUM(AH126:AS126)</f>
        <v>0</v>
      </c>
      <c r="G126">
        <f>SUM(AT126:BE126)</f>
        <v>0</v>
      </c>
      <c r="H126">
        <f>B126-G125</f>
        <v>0</v>
      </c>
      <c r="I126">
        <f>B126-G126</f>
        <v>0</v>
      </c>
      <c r="J126">
        <f>IF(AT125&lt;=0,0,IF(ROUND(AT125*(1+'Calc base'!H126),2)-MAX('Calc base'!C$12,ROUND('Calc base'!C$13*AT125,2))&lt;1,ROUND(AT125*(1+'Calc base'!H126),2),MAX('Calc base'!C$12,ROUND('Calc base'!C$13*AT125,2))))</f>
        <v>0</v>
      </c>
      <c r="K126">
        <f>IF(AU125&lt;=0,0,IF(ROUND(AU125*(1+'Calc base'!I126),2)-MAX('Calc base'!D$12,ROUND('Calc base'!D$13*AU125,2))&lt;1,ROUND(AU125*(1+'Calc base'!I126),2),MAX('Calc base'!D$12,ROUND('Calc base'!D$13*AU125,2))))</f>
        <v>0</v>
      </c>
      <c r="L126">
        <f>IF(AV125&lt;=0,0,IF(ROUND(AV125*(1+'Calc base'!J126),2)-MAX('Calc base'!E$12,ROUND('Calc base'!E$13*AV125,2))&lt;1,ROUND(AV125*(1+'Calc base'!J126),2),MAX('Calc base'!E$12,ROUND('Calc base'!E$13*AV125,2))))</f>
        <v>0</v>
      </c>
      <c r="M126">
        <f>IF(AW125&lt;=0,0,IF(ROUND(AW125*(1+'Calc base'!K126),2)-MAX('Calc base'!F$12,ROUND('Calc base'!F$13*AW125,2))&lt;1,ROUND(AW125*(1+'Calc base'!K126),2),MAX('Calc base'!F$12,ROUND('Calc base'!F$13*AW125,2))))</f>
        <v>0</v>
      </c>
      <c r="N126">
        <f>IF(AX125&lt;=0,0,IF(ROUND(AX125*(1+'Calc base'!L126),2)-MAX('Calc base'!G$12,ROUND('Calc base'!G$13*AX125,2))&lt;1,ROUND(AX125*(1+'Calc base'!L126),2),MAX('Calc base'!G$12,ROUND('Calc base'!G$13*AX125,2))))</f>
        <v>0</v>
      </c>
      <c r="O126">
        <f>IF(AY125&lt;=0,0,IF(ROUND(AY125*(1+'Calc base'!M126),2)-MAX('Calc base'!H$12,ROUND('Calc base'!H$13*AY125,2))&lt;1,ROUND(AY125*(1+'Calc base'!M126),2),MAX('Calc base'!H$12,ROUND('Calc base'!H$13*AY125,2))))</f>
        <v>0</v>
      </c>
      <c r="P126">
        <f>IF(AZ125&lt;=0,0,IF(ROUND(AZ125*(1+'Calc base'!N126),2)-MAX('Calc base'!I$12,ROUND('Calc base'!I$13*AZ125,2))&lt;1,ROUND(AZ125*(1+'Calc base'!N126),2),MAX('Calc base'!I$12,ROUND('Calc base'!I$13*AZ125,2))))</f>
        <v>0</v>
      </c>
      <c r="Q126">
        <f>IF(BA125&lt;=0,0,IF(ROUND(BA125*(1+'Calc base'!O126),2)-MAX('Calc base'!J$12,ROUND('Calc base'!J$13*BA125,2))&lt;1,ROUND(BA125*(1+'Calc base'!O126),2),MAX('Calc base'!J$12,ROUND('Calc base'!J$13*BA125,2))))</f>
        <v>0</v>
      </c>
      <c r="R126">
        <f>IF(BB125&lt;=0,0,IF(ROUND(BB125*(1+'Calc base'!P126),2)-MAX('Calc base'!K$12,ROUND('Calc base'!K$13*BB125,2))&lt;1,ROUND(BB125*(1+'Calc base'!P126),2),MAX('Calc base'!K$12,ROUND('Calc base'!K$13*BB125,2))))</f>
        <v>0</v>
      </c>
      <c r="S126">
        <f>IF(BC125&lt;=0,0,IF(ROUND(BC125*(1+'Calc base'!Q126),2)-MAX('Calc base'!L$12,ROUND('Calc base'!L$13*BC125,2))&lt;1,ROUND(BC125*(1+'Calc base'!Q126),2),MAX('Calc base'!L$12,ROUND('Calc base'!L$13*BC125,2))))</f>
        <v>0</v>
      </c>
      <c r="T126">
        <f>IF(BD125&lt;=0,0,IF(ROUND(BD125*(1+'Calc base'!R126),2)-MAX('Calc base'!M$12,ROUND('Calc base'!M$13*BD125,2))&lt;1,ROUND(BD125*(1+'Calc base'!R126),2),MAX('Calc base'!M$12,ROUND('Calc base'!M$13*BD125,2))))</f>
        <v>0</v>
      </c>
      <c r="U126">
        <f>IF(BE125&lt;=0,0,IF(ROUND(BE125*(1+'Calc base'!S126),2)-MAX('Calc base'!N$12,ROUND('Calc base'!N$13*BE125,2))&lt;1,ROUND(BE125*(1+'Calc base'!S126),2),MAX('Calc base'!N$12,ROUND('Calc base'!N$13*BE125,2))))</f>
        <v>0</v>
      </c>
      <c r="V126">
        <f>MAX(0,ROUND(AT125*(1+'Calc base'!H126),2)-J126-'Calc base'!T126)</f>
        <v>0</v>
      </c>
      <c r="W126">
        <f>MAX(0,ROUND(AU125*(1+'Calc base'!I126),2)-K126-'Calc base'!U126)</f>
        <v>0</v>
      </c>
      <c r="X126">
        <f>MAX(0,ROUND(AV125*(1+'Calc base'!J126),2)-L126-'Calc base'!V126)</f>
        <v>0</v>
      </c>
      <c r="Y126">
        <f>MAX(0,ROUND(AW125*(1+'Calc base'!K126),2)-M126-'Calc base'!W126)</f>
        <v>0</v>
      </c>
      <c r="Z126">
        <f>MAX(0,ROUND(AX125*(1+'Calc base'!L126),2)-N126-'Calc base'!X126)</f>
        <v>0</v>
      </c>
      <c r="AA126">
        <f>MAX(0,ROUND(AY125*(1+'Calc base'!M126),2)-O126-'Calc base'!Y126)</f>
        <v>0</v>
      </c>
      <c r="AB126">
        <f>MAX(0,ROUND(AZ125*(1+'Calc base'!N126),2)-P126-'Calc base'!Z126)</f>
        <v>0</v>
      </c>
      <c r="AC126">
        <f>MAX(0,ROUND(BA125*(1+'Calc base'!O126),2)-Q126-'Calc base'!AA126)</f>
        <v>0</v>
      </c>
      <c r="AD126">
        <f>MAX(0,ROUND(BB125*(1+'Calc base'!P126),2)-R126-'Calc base'!AB126)</f>
        <v>0</v>
      </c>
      <c r="AE126">
        <f>MAX(0,ROUND(BC125*(1+'Calc base'!Q126),2)-S126-'Calc base'!AC126)</f>
        <v>0</v>
      </c>
      <c r="AF126">
        <f>MAX(0,ROUND(BD125*(1+'Calc base'!R126),2)-T126-'Calc base'!AD126)</f>
        <v>0</v>
      </c>
      <c r="AG126">
        <f>MAX(0,ROUND(BE125*(1+'Calc base'!S126),2)-U126-'Calc base'!AE126)</f>
        <v>0</v>
      </c>
      <c r="AH126">
        <f>IF('Calc base'!C$14=0,0,MIN(V126,MAX(0,$E126-SUMPRODUCT($V126:$AG126,'Calc base'!$C$14:$N$14,('Calc base'!$H126:$S126&gt;'Calc base'!H126)+('Calc base'!$H126:$S126='Calc base'!H126)*('Calc base'!$C$17:$N$17&lt;'Calc base'!C$17)))))</f>
        <v>0</v>
      </c>
      <c r="AI126">
        <f>IF('Calc base'!D$14=0,0,MIN(W126,MAX(0,$E126-SUMPRODUCT($V126:$AG126,'Calc base'!$C$14:$N$14,('Calc base'!$H126:$S126&gt;'Calc base'!I126)+('Calc base'!$H126:$S126='Calc base'!I126)*('Calc base'!$C$17:$N$17&lt;'Calc base'!D$17)))))</f>
        <v>0</v>
      </c>
      <c r="AJ126">
        <f>IF('Calc base'!E$14=0,0,MIN(X126,MAX(0,$E126-SUMPRODUCT($V126:$AG126,'Calc base'!$C$14:$N$14,('Calc base'!$H126:$S126&gt;'Calc base'!J126)+('Calc base'!$H126:$S126='Calc base'!J126)*('Calc base'!$C$17:$N$17&lt;'Calc base'!E$17)))))</f>
        <v>0</v>
      </c>
      <c r="AK126">
        <f>IF('Calc base'!F$14=0,0,MIN(Y126,MAX(0,$E126-SUMPRODUCT($V126:$AG126,'Calc base'!$C$14:$N$14,('Calc base'!$H126:$S126&gt;'Calc base'!K126)+('Calc base'!$H126:$S126='Calc base'!K126)*('Calc base'!$C$17:$N$17&lt;'Calc base'!F$17)))))</f>
        <v>0</v>
      </c>
      <c r="AL126">
        <f>IF('Calc base'!G$14=0,0,MIN(Z126,MAX(0,$E126-SUMPRODUCT($V126:$AG126,'Calc base'!$C$14:$N$14,('Calc base'!$H126:$S126&gt;'Calc base'!L126)+('Calc base'!$H126:$S126='Calc base'!L126)*('Calc base'!$C$17:$N$17&lt;'Calc base'!G$17)))))</f>
        <v>0</v>
      </c>
      <c r="AM126">
        <f>IF('Calc base'!H$14=0,0,MIN(AA126,MAX(0,$E126-SUMPRODUCT($V126:$AG126,'Calc base'!$C$14:$N$14,('Calc base'!$H126:$S126&gt;'Calc base'!M126)+('Calc base'!$H126:$S126='Calc base'!M126)*('Calc base'!$C$17:$N$17&lt;'Calc base'!H$17)))))</f>
        <v>0</v>
      </c>
      <c r="AN126">
        <f>IF('Calc base'!I$14=0,0,MIN(AB126,MAX(0,$E126-SUMPRODUCT($V126:$AG126,'Calc base'!$C$14:$N$14,('Calc base'!$H126:$S126&gt;'Calc base'!N126)+('Calc base'!$H126:$S126='Calc base'!N126)*('Calc base'!$C$17:$N$17&lt;'Calc base'!I$17)))))</f>
        <v>0</v>
      </c>
      <c r="AO126">
        <f>IF('Calc base'!J$14=0,0,MIN(AC126,MAX(0,$E126-SUMPRODUCT($V126:$AG126,'Calc base'!$C$14:$N$14,('Calc base'!$H126:$S126&gt;'Calc base'!O126)+('Calc base'!$H126:$S126='Calc base'!O126)*('Calc base'!$C$17:$N$17&lt;'Calc base'!J$17)))))</f>
        <v>0</v>
      </c>
      <c r="AP126">
        <f>IF('Calc base'!K$14=0,0,MIN(AD126,MAX(0,$E126-SUMPRODUCT($V126:$AG126,'Calc base'!$C$14:$N$14,('Calc base'!$H126:$S126&gt;'Calc base'!P126)+('Calc base'!$H126:$S126='Calc base'!P126)*('Calc base'!$C$17:$N$17&lt;'Calc base'!K$17)))))</f>
        <v>0</v>
      </c>
      <c r="AQ126">
        <f>IF('Calc base'!L$14=0,0,MIN(AE126,MAX(0,$E126-SUMPRODUCT($V126:$AG126,'Calc base'!$C$14:$N$14,('Calc base'!$H126:$S126&gt;'Calc base'!Q126)+('Calc base'!$H126:$S126='Calc base'!Q126)*('Calc base'!$C$17:$N$17&lt;'Calc base'!L$17)))))</f>
        <v>0</v>
      </c>
      <c r="AR126">
        <f>IF('Calc base'!M$14=0,0,MIN(AF126,MAX(0,$E126-SUMPRODUCT($V126:$AG126,'Calc base'!$C$14:$N$14,('Calc base'!$H126:$S126&gt;'Calc base'!R126)+('Calc base'!$H126:$S126='Calc base'!R126)*('Calc base'!$C$17:$N$17&lt;'Calc base'!M$17)))))</f>
        <v>0</v>
      </c>
      <c r="AS126">
        <f>IF('Calc base'!N$14=0,0,MIN(AG126,MAX(0,$E126-SUMPRODUCT($V126:$AG126,'Calc base'!$C$14:$N$14,('Calc base'!$H126:$S126&gt;'Calc base'!S126)+('Calc base'!$H126:$S126='Calc base'!S126)*('Calc base'!$C$17:$N$17&lt;'Calc base'!N$17)))))</f>
        <v>0</v>
      </c>
      <c r="AT126">
        <f>V126-AH126</f>
        <v>0</v>
      </c>
      <c r="AU126">
        <f>W126-AI126</f>
        <v>0</v>
      </c>
      <c r="AV126">
        <f>X126-AJ126</f>
        <v>0</v>
      </c>
      <c r="AW126">
        <f>Y126-AK126</f>
        <v>0</v>
      </c>
      <c r="AX126">
        <f>Z126-AL126</f>
        <v>0</v>
      </c>
      <c r="AY126">
        <f>AA126-AM126</f>
        <v>0</v>
      </c>
      <c r="AZ126">
        <f>AB126-AN126</f>
        <v>0</v>
      </c>
      <c r="BA126">
        <f>AC126-AO126</f>
        <v>0</v>
      </c>
      <c r="BB126">
        <f>AD126-AP126</f>
        <v>0</v>
      </c>
      <c r="BC126">
        <f>AE126-AQ126</f>
        <v>0</v>
      </c>
      <c r="BD126">
        <f>AF126-AR126</f>
        <v>0</v>
      </c>
      <c r="BE126">
        <f>AG126-AS126</f>
        <v>0</v>
      </c>
    </row>
    <row r="127">
      <c r="A127" t="n">
        <v>97</v>
      </c>
      <c r="B127">
        <f>SUMPRODUCT(ROUND($AT126:$BE126*(1+'Calc base'!$H127:$S127),2))</f>
        <v>0</v>
      </c>
      <c r="C127">
        <f>SUM(J127:U127)</f>
        <v>0</v>
      </c>
      <c r="D127">
        <f>SUM(V127:AG127)</f>
        <v>0</v>
      </c>
      <c r="E127">
        <f>MAX(0,IF(Impostazioni!$B$7="No",'Calc base'!$C127-$C$31,'Calc base'!$C127-C127)+'Calc base'!$G127+'Calc base'!$F127-(B127-C127-D127))</f>
        <v>900</v>
      </c>
      <c r="F127">
        <f>SUM(AH127:AS127)</f>
        <v>0</v>
      </c>
      <c r="G127">
        <f>SUM(AT127:BE127)</f>
        <v>0</v>
      </c>
      <c r="H127">
        <f>B127-G126</f>
        <v>0</v>
      </c>
      <c r="I127">
        <f>B127-G127</f>
        <v>0</v>
      </c>
      <c r="J127">
        <f>IF(AT126&lt;=0,0,IF(ROUND(AT126*(1+'Calc base'!H127),2)-MAX('Calc base'!C$12,ROUND('Calc base'!C$13*AT126,2))&lt;1,ROUND(AT126*(1+'Calc base'!H127),2),MAX('Calc base'!C$12,ROUND('Calc base'!C$13*AT126,2))))</f>
        <v>0</v>
      </c>
      <c r="K127">
        <f>IF(AU126&lt;=0,0,IF(ROUND(AU126*(1+'Calc base'!I127),2)-MAX('Calc base'!D$12,ROUND('Calc base'!D$13*AU126,2))&lt;1,ROUND(AU126*(1+'Calc base'!I127),2),MAX('Calc base'!D$12,ROUND('Calc base'!D$13*AU126,2))))</f>
        <v>0</v>
      </c>
      <c r="L127">
        <f>IF(AV126&lt;=0,0,IF(ROUND(AV126*(1+'Calc base'!J127),2)-MAX('Calc base'!E$12,ROUND('Calc base'!E$13*AV126,2))&lt;1,ROUND(AV126*(1+'Calc base'!J127),2),MAX('Calc base'!E$12,ROUND('Calc base'!E$13*AV126,2))))</f>
        <v>0</v>
      </c>
      <c r="M127">
        <f>IF(AW126&lt;=0,0,IF(ROUND(AW126*(1+'Calc base'!K127),2)-MAX('Calc base'!F$12,ROUND('Calc base'!F$13*AW126,2))&lt;1,ROUND(AW126*(1+'Calc base'!K127),2),MAX('Calc base'!F$12,ROUND('Calc base'!F$13*AW126,2))))</f>
        <v>0</v>
      </c>
      <c r="N127">
        <f>IF(AX126&lt;=0,0,IF(ROUND(AX126*(1+'Calc base'!L127),2)-MAX('Calc base'!G$12,ROUND('Calc base'!G$13*AX126,2))&lt;1,ROUND(AX126*(1+'Calc base'!L127),2),MAX('Calc base'!G$12,ROUND('Calc base'!G$13*AX126,2))))</f>
        <v>0</v>
      </c>
      <c r="O127">
        <f>IF(AY126&lt;=0,0,IF(ROUND(AY126*(1+'Calc base'!M127),2)-MAX('Calc base'!H$12,ROUND('Calc base'!H$13*AY126,2))&lt;1,ROUND(AY126*(1+'Calc base'!M127),2),MAX('Calc base'!H$12,ROUND('Calc base'!H$13*AY126,2))))</f>
        <v>0</v>
      </c>
      <c r="P127">
        <f>IF(AZ126&lt;=0,0,IF(ROUND(AZ126*(1+'Calc base'!N127),2)-MAX('Calc base'!I$12,ROUND('Calc base'!I$13*AZ126,2))&lt;1,ROUND(AZ126*(1+'Calc base'!N127),2),MAX('Calc base'!I$12,ROUND('Calc base'!I$13*AZ126,2))))</f>
        <v>0</v>
      </c>
      <c r="Q127">
        <f>IF(BA126&lt;=0,0,IF(ROUND(BA126*(1+'Calc base'!O127),2)-MAX('Calc base'!J$12,ROUND('Calc base'!J$13*BA126,2))&lt;1,ROUND(BA126*(1+'Calc base'!O127),2),MAX('Calc base'!J$12,ROUND('Calc base'!J$13*BA126,2))))</f>
        <v>0</v>
      </c>
      <c r="R127">
        <f>IF(BB126&lt;=0,0,IF(ROUND(BB126*(1+'Calc base'!P127),2)-MAX('Calc base'!K$12,ROUND('Calc base'!K$13*BB126,2))&lt;1,ROUND(BB126*(1+'Calc base'!P127),2),MAX('Calc base'!K$12,ROUND('Calc base'!K$13*BB126,2))))</f>
        <v>0</v>
      </c>
      <c r="S127">
        <f>IF(BC126&lt;=0,0,IF(ROUND(BC126*(1+'Calc base'!Q127),2)-MAX('Calc base'!L$12,ROUND('Calc base'!L$13*BC126,2))&lt;1,ROUND(BC126*(1+'Calc base'!Q127),2),MAX('Calc base'!L$12,ROUND('Calc base'!L$13*BC126,2))))</f>
        <v>0</v>
      </c>
      <c r="T127">
        <f>IF(BD126&lt;=0,0,IF(ROUND(BD126*(1+'Calc base'!R127),2)-MAX('Calc base'!M$12,ROUND('Calc base'!M$13*BD126,2))&lt;1,ROUND(BD126*(1+'Calc base'!R127),2),MAX('Calc base'!M$12,ROUND('Calc base'!M$13*BD126,2))))</f>
        <v>0</v>
      </c>
      <c r="U127">
        <f>IF(BE126&lt;=0,0,IF(ROUND(BE126*(1+'Calc base'!S127),2)-MAX('Calc base'!N$12,ROUND('Calc base'!N$13*BE126,2))&lt;1,ROUND(BE126*(1+'Calc base'!S127),2),MAX('Calc base'!N$12,ROUND('Calc base'!N$13*BE126,2))))</f>
        <v>0</v>
      </c>
      <c r="V127">
        <f>MAX(0,ROUND(AT126*(1+'Calc base'!H127),2)-J127-'Calc base'!T127)</f>
        <v>0</v>
      </c>
      <c r="W127">
        <f>MAX(0,ROUND(AU126*(1+'Calc base'!I127),2)-K127-'Calc base'!U127)</f>
        <v>0</v>
      </c>
      <c r="X127">
        <f>MAX(0,ROUND(AV126*(1+'Calc base'!J127),2)-L127-'Calc base'!V127)</f>
        <v>0</v>
      </c>
      <c r="Y127">
        <f>MAX(0,ROUND(AW126*(1+'Calc base'!K127),2)-M127-'Calc base'!W127)</f>
        <v>0</v>
      </c>
      <c r="Z127">
        <f>MAX(0,ROUND(AX126*(1+'Calc base'!L127),2)-N127-'Calc base'!X127)</f>
        <v>0</v>
      </c>
      <c r="AA127">
        <f>MAX(0,ROUND(AY126*(1+'Calc base'!M127),2)-O127-'Calc base'!Y127)</f>
        <v>0</v>
      </c>
      <c r="AB127">
        <f>MAX(0,ROUND(AZ126*(1+'Calc base'!N127),2)-P127-'Calc base'!Z127)</f>
        <v>0</v>
      </c>
      <c r="AC127">
        <f>MAX(0,ROUND(BA126*(1+'Calc base'!O127),2)-Q127-'Calc base'!AA127)</f>
        <v>0</v>
      </c>
      <c r="AD127">
        <f>MAX(0,ROUND(BB126*(1+'Calc base'!P127),2)-R127-'Calc base'!AB127)</f>
        <v>0</v>
      </c>
      <c r="AE127">
        <f>MAX(0,ROUND(BC126*(1+'Calc base'!Q127),2)-S127-'Calc base'!AC127)</f>
        <v>0</v>
      </c>
      <c r="AF127">
        <f>MAX(0,ROUND(BD126*(1+'Calc base'!R127),2)-T127-'Calc base'!AD127)</f>
        <v>0</v>
      </c>
      <c r="AG127">
        <f>MAX(0,ROUND(BE126*(1+'Calc base'!S127),2)-U127-'Calc base'!AE127)</f>
        <v>0</v>
      </c>
      <c r="AH127">
        <f>IF('Calc base'!C$14=0,0,MIN(V127,MAX(0,$E127-SUMPRODUCT($V127:$AG127,'Calc base'!$C$14:$N$14,('Calc base'!$H127:$S127&gt;'Calc base'!H127)+('Calc base'!$H127:$S127='Calc base'!H127)*('Calc base'!$C$17:$N$17&lt;'Calc base'!C$17)))))</f>
        <v>0</v>
      </c>
      <c r="AI127">
        <f>IF('Calc base'!D$14=0,0,MIN(W127,MAX(0,$E127-SUMPRODUCT($V127:$AG127,'Calc base'!$C$14:$N$14,('Calc base'!$H127:$S127&gt;'Calc base'!I127)+('Calc base'!$H127:$S127='Calc base'!I127)*('Calc base'!$C$17:$N$17&lt;'Calc base'!D$17)))))</f>
        <v>0</v>
      </c>
      <c r="AJ127">
        <f>IF('Calc base'!E$14=0,0,MIN(X127,MAX(0,$E127-SUMPRODUCT($V127:$AG127,'Calc base'!$C$14:$N$14,('Calc base'!$H127:$S127&gt;'Calc base'!J127)+('Calc base'!$H127:$S127='Calc base'!J127)*('Calc base'!$C$17:$N$17&lt;'Calc base'!E$17)))))</f>
        <v>0</v>
      </c>
      <c r="AK127">
        <f>IF('Calc base'!F$14=0,0,MIN(Y127,MAX(0,$E127-SUMPRODUCT($V127:$AG127,'Calc base'!$C$14:$N$14,('Calc base'!$H127:$S127&gt;'Calc base'!K127)+('Calc base'!$H127:$S127='Calc base'!K127)*('Calc base'!$C$17:$N$17&lt;'Calc base'!F$17)))))</f>
        <v>0</v>
      </c>
      <c r="AL127">
        <f>IF('Calc base'!G$14=0,0,MIN(Z127,MAX(0,$E127-SUMPRODUCT($V127:$AG127,'Calc base'!$C$14:$N$14,('Calc base'!$H127:$S127&gt;'Calc base'!L127)+('Calc base'!$H127:$S127='Calc base'!L127)*('Calc base'!$C$17:$N$17&lt;'Calc base'!G$17)))))</f>
        <v>0</v>
      </c>
      <c r="AM127">
        <f>IF('Calc base'!H$14=0,0,MIN(AA127,MAX(0,$E127-SUMPRODUCT($V127:$AG127,'Calc base'!$C$14:$N$14,('Calc base'!$H127:$S127&gt;'Calc base'!M127)+('Calc base'!$H127:$S127='Calc base'!M127)*('Calc base'!$C$17:$N$17&lt;'Calc base'!H$17)))))</f>
        <v>0</v>
      </c>
      <c r="AN127">
        <f>IF('Calc base'!I$14=0,0,MIN(AB127,MAX(0,$E127-SUMPRODUCT($V127:$AG127,'Calc base'!$C$14:$N$14,('Calc base'!$H127:$S127&gt;'Calc base'!N127)+('Calc base'!$H127:$S127='Calc base'!N127)*('Calc base'!$C$17:$N$17&lt;'Calc base'!I$17)))))</f>
        <v>0</v>
      </c>
      <c r="AO127">
        <f>IF('Calc base'!J$14=0,0,MIN(AC127,MAX(0,$E127-SUMPRODUCT($V127:$AG127,'Calc base'!$C$14:$N$14,('Calc base'!$H127:$S127&gt;'Calc base'!O127)+('Calc base'!$H127:$S127='Calc base'!O127)*('Calc base'!$C$17:$N$17&lt;'Calc base'!J$17)))))</f>
        <v>0</v>
      </c>
      <c r="AP127">
        <f>IF('Calc base'!K$14=0,0,MIN(AD127,MAX(0,$E127-SUMPRODUCT($V127:$AG127,'Calc base'!$C$14:$N$14,('Calc base'!$H127:$S127&gt;'Calc base'!P127)+('Calc base'!$H127:$S127='Calc base'!P127)*('Calc base'!$C$17:$N$17&lt;'Calc base'!K$17)))))</f>
        <v>0</v>
      </c>
      <c r="AQ127">
        <f>IF('Calc base'!L$14=0,0,MIN(AE127,MAX(0,$E127-SUMPRODUCT($V127:$AG127,'Calc base'!$C$14:$N$14,('Calc base'!$H127:$S127&gt;'Calc base'!Q127)+('Calc base'!$H127:$S127='Calc base'!Q127)*('Calc base'!$C$17:$N$17&lt;'Calc base'!L$17)))))</f>
        <v>0</v>
      </c>
      <c r="AR127">
        <f>IF('Calc base'!M$14=0,0,MIN(AF127,MAX(0,$E127-SUMPRODUCT($V127:$AG127,'Calc base'!$C$14:$N$14,('Calc base'!$H127:$S127&gt;'Calc base'!R127)+('Calc base'!$H127:$S127='Calc base'!R127)*('Calc base'!$C$17:$N$17&lt;'Calc base'!M$17)))))</f>
        <v>0</v>
      </c>
      <c r="AS127">
        <f>IF('Calc base'!N$14=0,0,MIN(AG127,MAX(0,$E127-SUMPRODUCT($V127:$AG127,'Calc base'!$C$14:$N$14,('Calc base'!$H127:$S127&gt;'Calc base'!S127)+('Calc base'!$H127:$S127='Calc base'!S127)*('Calc base'!$C$17:$N$17&lt;'Calc base'!N$17)))))</f>
        <v>0</v>
      </c>
      <c r="AT127">
        <f>V127-AH127</f>
        <v>0</v>
      </c>
      <c r="AU127">
        <f>W127-AI127</f>
        <v>0</v>
      </c>
      <c r="AV127">
        <f>X127-AJ127</f>
        <v>0</v>
      </c>
      <c r="AW127">
        <f>Y127-AK127</f>
        <v>0</v>
      </c>
      <c r="AX127">
        <f>Z127-AL127</f>
        <v>0</v>
      </c>
      <c r="AY127">
        <f>AA127-AM127</f>
        <v>0</v>
      </c>
      <c r="AZ127">
        <f>AB127-AN127</f>
        <v>0</v>
      </c>
      <c r="BA127">
        <f>AC127-AO127</f>
        <v>0</v>
      </c>
      <c r="BB127">
        <f>AD127-AP127</f>
        <v>0</v>
      </c>
      <c r="BC127">
        <f>AE127-AQ127</f>
        <v>0</v>
      </c>
      <c r="BD127">
        <f>AF127-AR127</f>
        <v>0</v>
      </c>
      <c r="BE127">
        <f>AG127-AS127</f>
        <v>0</v>
      </c>
    </row>
    <row r="128">
      <c r="A128" t="n">
        <v>98</v>
      </c>
      <c r="B128">
        <f>SUMPRODUCT(ROUND($AT127:$BE127*(1+'Calc base'!$H128:$S128),2))</f>
        <v>0</v>
      </c>
      <c r="C128">
        <f>SUM(J128:U128)</f>
        <v>0</v>
      </c>
      <c r="D128">
        <f>SUM(V128:AG128)</f>
        <v>0</v>
      </c>
      <c r="E128">
        <f>MAX(0,IF(Impostazioni!$B$7="No",'Calc base'!$C128-$C$31,'Calc base'!$C128-C128)+'Calc base'!$G128+'Calc base'!$F128-(B128-C128-D128))</f>
        <v>900</v>
      </c>
      <c r="F128">
        <f>SUM(AH128:AS128)</f>
        <v>0</v>
      </c>
      <c r="G128">
        <f>SUM(AT128:BE128)</f>
        <v>0</v>
      </c>
      <c r="H128">
        <f>B128-G127</f>
        <v>0</v>
      </c>
      <c r="I128">
        <f>B128-G128</f>
        <v>0</v>
      </c>
      <c r="J128">
        <f>IF(AT127&lt;=0,0,IF(ROUND(AT127*(1+'Calc base'!H128),2)-MAX('Calc base'!C$12,ROUND('Calc base'!C$13*AT127,2))&lt;1,ROUND(AT127*(1+'Calc base'!H128),2),MAX('Calc base'!C$12,ROUND('Calc base'!C$13*AT127,2))))</f>
        <v>0</v>
      </c>
      <c r="K128">
        <f>IF(AU127&lt;=0,0,IF(ROUND(AU127*(1+'Calc base'!I128),2)-MAX('Calc base'!D$12,ROUND('Calc base'!D$13*AU127,2))&lt;1,ROUND(AU127*(1+'Calc base'!I128),2),MAX('Calc base'!D$12,ROUND('Calc base'!D$13*AU127,2))))</f>
        <v>0</v>
      </c>
      <c r="L128">
        <f>IF(AV127&lt;=0,0,IF(ROUND(AV127*(1+'Calc base'!J128),2)-MAX('Calc base'!E$12,ROUND('Calc base'!E$13*AV127,2))&lt;1,ROUND(AV127*(1+'Calc base'!J128),2),MAX('Calc base'!E$12,ROUND('Calc base'!E$13*AV127,2))))</f>
        <v>0</v>
      </c>
      <c r="M128">
        <f>IF(AW127&lt;=0,0,IF(ROUND(AW127*(1+'Calc base'!K128),2)-MAX('Calc base'!F$12,ROUND('Calc base'!F$13*AW127,2))&lt;1,ROUND(AW127*(1+'Calc base'!K128),2),MAX('Calc base'!F$12,ROUND('Calc base'!F$13*AW127,2))))</f>
        <v>0</v>
      </c>
      <c r="N128">
        <f>IF(AX127&lt;=0,0,IF(ROUND(AX127*(1+'Calc base'!L128),2)-MAX('Calc base'!G$12,ROUND('Calc base'!G$13*AX127,2))&lt;1,ROUND(AX127*(1+'Calc base'!L128),2),MAX('Calc base'!G$12,ROUND('Calc base'!G$13*AX127,2))))</f>
        <v>0</v>
      </c>
      <c r="O128">
        <f>IF(AY127&lt;=0,0,IF(ROUND(AY127*(1+'Calc base'!M128),2)-MAX('Calc base'!H$12,ROUND('Calc base'!H$13*AY127,2))&lt;1,ROUND(AY127*(1+'Calc base'!M128),2),MAX('Calc base'!H$12,ROUND('Calc base'!H$13*AY127,2))))</f>
        <v>0</v>
      </c>
      <c r="P128">
        <f>IF(AZ127&lt;=0,0,IF(ROUND(AZ127*(1+'Calc base'!N128),2)-MAX('Calc base'!I$12,ROUND('Calc base'!I$13*AZ127,2))&lt;1,ROUND(AZ127*(1+'Calc base'!N128),2),MAX('Calc base'!I$12,ROUND('Calc base'!I$13*AZ127,2))))</f>
        <v>0</v>
      </c>
      <c r="Q128">
        <f>IF(BA127&lt;=0,0,IF(ROUND(BA127*(1+'Calc base'!O128),2)-MAX('Calc base'!J$12,ROUND('Calc base'!J$13*BA127,2))&lt;1,ROUND(BA127*(1+'Calc base'!O128),2),MAX('Calc base'!J$12,ROUND('Calc base'!J$13*BA127,2))))</f>
        <v>0</v>
      </c>
      <c r="R128">
        <f>IF(BB127&lt;=0,0,IF(ROUND(BB127*(1+'Calc base'!P128),2)-MAX('Calc base'!K$12,ROUND('Calc base'!K$13*BB127,2))&lt;1,ROUND(BB127*(1+'Calc base'!P128),2),MAX('Calc base'!K$12,ROUND('Calc base'!K$13*BB127,2))))</f>
        <v>0</v>
      </c>
      <c r="S128">
        <f>IF(BC127&lt;=0,0,IF(ROUND(BC127*(1+'Calc base'!Q128),2)-MAX('Calc base'!L$12,ROUND('Calc base'!L$13*BC127,2))&lt;1,ROUND(BC127*(1+'Calc base'!Q128),2),MAX('Calc base'!L$12,ROUND('Calc base'!L$13*BC127,2))))</f>
        <v>0</v>
      </c>
      <c r="T128">
        <f>IF(BD127&lt;=0,0,IF(ROUND(BD127*(1+'Calc base'!R128),2)-MAX('Calc base'!M$12,ROUND('Calc base'!M$13*BD127,2))&lt;1,ROUND(BD127*(1+'Calc base'!R128),2),MAX('Calc base'!M$12,ROUND('Calc base'!M$13*BD127,2))))</f>
        <v>0</v>
      </c>
      <c r="U128">
        <f>IF(BE127&lt;=0,0,IF(ROUND(BE127*(1+'Calc base'!S128),2)-MAX('Calc base'!N$12,ROUND('Calc base'!N$13*BE127,2))&lt;1,ROUND(BE127*(1+'Calc base'!S128),2),MAX('Calc base'!N$12,ROUND('Calc base'!N$13*BE127,2))))</f>
        <v>0</v>
      </c>
      <c r="V128">
        <f>MAX(0,ROUND(AT127*(1+'Calc base'!H128),2)-J128-'Calc base'!T128)</f>
        <v>0</v>
      </c>
      <c r="W128">
        <f>MAX(0,ROUND(AU127*(1+'Calc base'!I128),2)-K128-'Calc base'!U128)</f>
        <v>0</v>
      </c>
      <c r="X128">
        <f>MAX(0,ROUND(AV127*(1+'Calc base'!J128),2)-L128-'Calc base'!V128)</f>
        <v>0</v>
      </c>
      <c r="Y128">
        <f>MAX(0,ROUND(AW127*(1+'Calc base'!K128),2)-M128-'Calc base'!W128)</f>
        <v>0</v>
      </c>
      <c r="Z128">
        <f>MAX(0,ROUND(AX127*(1+'Calc base'!L128),2)-N128-'Calc base'!X128)</f>
        <v>0</v>
      </c>
      <c r="AA128">
        <f>MAX(0,ROUND(AY127*(1+'Calc base'!M128),2)-O128-'Calc base'!Y128)</f>
        <v>0</v>
      </c>
      <c r="AB128">
        <f>MAX(0,ROUND(AZ127*(1+'Calc base'!N128),2)-P128-'Calc base'!Z128)</f>
        <v>0</v>
      </c>
      <c r="AC128">
        <f>MAX(0,ROUND(BA127*(1+'Calc base'!O128),2)-Q128-'Calc base'!AA128)</f>
        <v>0</v>
      </c>
      <c r="AD128">
        <f>MAX(0,ROUND(BB127*(1+'Calc base'!P128),2)-R128-'Calc base'!AB128)</f>
        <v>0</v>
      </c>
      <c r="AE128">
        <f>MAX(0,ROUND(BC127*(1+'Calc base'!Q128),2)-S128-'Calc base'!AC128)</f>
        <v>0</v>
      </c>
      <c r="AF128">
        <f>MAX(0,ROUND(BD127*(1+'Calc base'!R128),2)-T128-'Calc base'!AD128)</f>
        <v>0</v>
      </c>
      <c r="AG128">
        <f>MAX(0,ROUND(BE127*(1+'Calc base'!S128),2)-U128-'Calc base'!AE128)</f>
        <v>0</v>
      </c>
      <c r="AH128">
        <f>IF('Calc base'!C$14=0,0,MIN(V128,MAX(0,$E128-SUMPRODUCT($V128:$AG128,'Calc base'!$C$14:$N$14,('Calc base'!$H128:$S128&gt;'Calc base'!H128)+('Calc base'!$H128:$S128='Calc base'!H128)*('Calc base'!$C$17:$N$17&lt;'Calc base'!C$17)))))</f>
        <v>0</v>
      </c>
      <c r="AI128">
        <f>IF('Calc base'!D$14=0,0,MIN(W128,MAX(0,$E128-SUMPRODUCT($V128:$AG128,'Calc base'!$C$14:$N$14,('Calc base'!$H128:$S128&gt;'Calc base'!I128)+('Calc base'!$H128:$S128='Calc base'!I128)*('Calc base'!$C$17:$N$17&lt;'Calc base'!D$17)))))</f>
        <v>0</v>
      </c>
      <c r="AJ128">
        <f>IF('Calc base'!E$14=0,0,MIN(X128,MAX(0,$E128-SUMPRODUCT($V128:$AG128,'Calc base'!$C$14:$N$14,('Calc base'!$H128:$S128&gt;'Calc base'!J128)+('Calc base'!$H128:$S128='Calc base'!J128)*('Calc base'!$C$17:$N$17&lt;'Calc base'!E$17)))))</f>
        <v>0</v>
      </c>
      <c r="AK128">
        <f>IF('Calc base'!F$14=0,0,MIN(Y128,MAX(0,$E128-SUMPRODUCT($V128:$AG128,'Calc base'!$C$14:$N$14,('Calc base'!$H128:$S128&gt;'Calc base'!K128)+('Calc base'!$H128:$S128='Calc base'!K128)*('Calc base'!$C$17:$N$17&lt;'Calc base'!F$17)))))</f>
        <v>0</v>
      </c>
      <c r="AL128">
        <f>IF('Calc base'!G$14=0,0,MIN(Z128,MAX(0,$E128-SUMPRODUCT($V128:$AG128,'Calc base'!$C$14:$N$14,('Calc base'!$H128:$S128&gt;'Calc base'!L128)+('Calc base'!$H128:$S128='Calc base'!L128)*('Calc base'!$C$17:$N$17&lt;'Calc base'!G$17)))))</f>
        <v>0</v>
      </c>
      <c r="AM128">
        <f>IF('Calc base'!H$14=0,0,MIN(AA128,MAX(0,$E128-SUMPRODUCT($V128:$AG128,'Calc base'!$C$14:$N$14,('Calc base'!$H128:$S128&gt;'Calc base'!M128)+('Calc base'!$H128:$S128='Calc base'!M128)*('Calc base'!$C$17:$N$17&lt;'Calc base'!H$17)))))</f>
        <v>0</v>
      </c>
      <c r="AN128">
        <f>IF('Calc base'!I$14=0,0,MIN(AB128,MAX(0,$E128-SUMPRODUCT($V128:$AG128,'Calc base'!$C$14:$N$14,('Calc base'!$H128:$S128&gt;'Calc base'!N128)+('Calc base'!$H128:$S128='Calc base'!N128)*('Calc base'!$C$17:$N$17&lt;'Calc base'!I$17)))))</f>
        <v>0</v>
      </c>
      <c r="AO128">
        <f>IF('Calc base'!J$14=0,0,MIN(AC128,MAX(0,$E128-SUMPRODUCT($V128:$AG128,'Calc base'!$C$14:$N$14,('Calc base'!$H128:$S128&gt;'Calc base'!O128)+('Calc base'!$H128:$S128='Calc base'!O128)*('Calc base'!$C$17:$N$17&lt;'Calc base'!J$17)))))</f>
        <v>0</v>
      </c>
      <c r="AP128">
        <f>IF('Calc base'!K$14=0,0,MIN(AD128,MAX(0,$E128-SUMPRODUCT($V128:$AG128,'Calc base'!$C$14:$N$14,('Calc base'!$H128:$S128&gt;'Calc base'!P128)+('Calc base'!$H128:$S128='Calc base'!P128)*('Calc base'!$C$17:$N$17&lt;'Calc base'!K$17)))))</f>
        <v>0</v>
      </c>
      <c r="AQ128">
        <f>IF('Calc base'!L$14=0,0,MIN(AE128,MAX(0,$E128-SUMPRODUCT($V128:$AG128,'Calc base'!$C$14:$N$14,('Calc base'!$H128:$S128&gt;'Calc base'!Q128)+('Calc base'!$H128:$S128='Calc base'!Q128)*('Calc base'!$C$17:$N$17&lt;'Calc base'!L$17)))))</f>
        <v>0</v>
      </c>
      <c r="AR128">
        <f>IF('Calc base'!M$14=0,0,MIN(AF128,MAX(0,$E128-SUMPRODUCT($V128:$AG128,'Calc base'!$C$14:$N$14,('Calc base'!$H128:$S128&gt;'Calc base'!R128)+('Calc base'!$H128:$S128='Calc base'!R128)*('Calc base'!$C$17:$N$17&lt;'Calc base'!M$17)))))</f>
        <v>0</v>
      </c>
      <c r="AS128">
        <f>IF('Calc base'!N$14=0,0,MIN(AG128,MAX(0,$E128-SUMPRODUCT($V128:$AG128,'Calc base'!$C$14:$N$14,('Calc base'!$H128:$S128&gt;'Calc base'!S128)+('Calc base'!$H128:$S128='Calc base'!S128)*('Calc base'!$C$17:$N$17&lt;'Calc base'!N$17)))))</f>
        <v>0</v>
      </c>
      <c r="AT128">
        <f>V128-AH128</f>
        <v>0</v>
      </c>
      <c r="AU128">
        <f>W128-AI128</f>
        <v>0</v>
      </c>
      <c r="AV128">
        <f>X128-AJ128</f>
        <v>0</v>
      </c>
      <c r="AW128">
        <f>Y128-AK128</f>
        <v>0</v>
      </c>
      <c r="AX128">
        <f>Z128-AL128</f>
        <v>0</v>
      </c>
      <c r="AY128">
        <f>AA128-AM128</f>
        <v>0</v>
      </c>
      <c r="AZ128">
        <f>AB128-AN128</f>
        <v>0</v>
      </c>
      <c r="BA128">
        <f>AC128-AO128</f>
        <v>0</v>
      </c>
      <c r="BB128">
        <f>AD128-AP128</f>
        <v>0</v>
      </c>
      <c r="BC128">
        <f>AE128-AQ128</f>
        <v>0</v>
      </c>
      <c r="BD128">
        <f>AF128-AR128</f>
        <v>0</v>
      </c>
      <c r="BE128">
        <f>AG128-AS128</f>
        <v>0</v>
      </c>
    </row>
    <row r="129">
      <c r="A129" t="n">
        <v>99</v>
      </c>
      <c r="B129">
        <f>SUMPRODUCT(ROUND($AT128:$BE128*(1+'Calc base'!$H129:$S129),2))</f>
        <v>0</v>
      </c>
      <c r="C129">
        <f>SUM(J129:U129)</f>
        <v>0</v>
      </c>
      <c r="D129">
        <f>SUM(V129:AG129)</f>
        <v>0</v>
      </c>
      <c r="E129">
        <f>MAX(0,IF(Impostazioni!$B$7="No",'Calc base'!$C129-$C$31,'Calc base'!$C129-C129)+'Calc base'!$G129+'Calc base'!$F129-(B129-C129-D129))</f>
        <v>900</v>
      </c>
      <c r="F129">
        <f>SUM(AH129:AS129)</f>
        <v>0</v>
      </c>
      <c r="G129">
        <f>SUM(AT129:BE129)</f>
        <v>0</v>
      </c>
      <c r="H129">
        <f>B129-G128</f>
        <v>0</v>
      </c>
      <c r="I129">
        <f>B129-G129</f>
        <v>0</v>
      </c>
      <c r="J129">
        <f>IF(AT128&lt;=0,0,IF(ROUND(AT128*(1+'Calc base'!H129),2)-MAX('Calc base'!C$12,ROUND('Calc base'!C$13*AT128,2))&lt;1,ROUND(AT128*(1+'Calc base'!H129),2),MAX('Calc base'!C$12,ROUND('Calc base'!C$13*AT128,2))))</f>
        <v>0</v>
      </c>
      <c r="K129">
        <f>IF(AU128&lt;=0,0,IF(ROUND(AU128*(1+'Calc base'!I129),2)-MAX('Calc base'!D$12,ROUND('Calc base'!D$13*AU128,2))&lt;1,ROUND(AU128*(1+'Calc base'!I129),2),MAX('Calc base'!D$12,ROUND('Calc base'!D$13*AU128,2))))</f>
        <v>0</v>
      </c>
      <c r="L129">
        <f>IF(AV128&lt;=0,0,IF(ROUND(AV128*(1+'Calc base'!J129),2)-MAX('Calc base'!E$12,ROUND('Calc base'!E$13*AV128,2))&lt;1,ROUND(AV128*(1+'Calc base'!J129),2),MAX('Calc base'!E$12,ROUND('Calc base'!E$13*AV128,2))))</f>
        <v>0</v>
      </c>
      <c r="M129">
        <f>IF(AW128&lt;=0,0,IF(ROUND(AW128*(1+'Calc base'!K129),2)-MAX('Calc base'!F$12,ROUND('Calc base'!F$13*AW128,2))&lt;1,ROUND(AW128*(1+'Calc base'!K129),2),MAX('Calc base'!F$12,ROUND('Calc base'!F$13*AW128,2))))</f>
        <v>0</v>
      </c>
      <c r="N129">
        <f>IF(AX128&lt;=0,0,IF(ROUND(AX128*(1+'Calc base'!L129),2)-MAX('Calc base'!G$12,ROUND('Calc base'!G$13*AX128,2))&lt;1,ROUND(AX128*(1+'Calc base'!L129),2),MAX('Calc base'!G$12,ROUND('Calc base'!G$13*AX128,2))))</f>
        <v>0</v>
      </c>
      <c r="O129">
        <f>IF(AY128&lt;=0,0,IF(ROUND(AY128*(1+'Calc base'!M129),2)-MAX('Calc base'!H$12,ROUND('Calc base'!H$13*AY128,2))&lt;1,ROUND(AY128*(1+'Calc base'!M129),2),MAX('Calc base'!H$12,ROUND('Calc base'!H$13*AY128,2))))</f>
        <v>0</v>
      </c>
      <c r="P129">
        <f>IF(AZ128&lt;=0,0,IF(ROUND(AZ128*(1+'Calc base'!N129),2)-MAX('Calc base'!I$12,ROUND('Calc base'!I$13*AZ128,2))&lt;1,ROUND(AZ128*(1+'Calc base'!N129),2),MAX('Calc base'!I$12,ROUND('Calc base'!I$13*AZ128,2))))</f>
        <v>0</v>
      </c>
      <c r="Q129">
        <f>IF(BA128&lt;=0,0,IF(ROUND(BA128*(1+'Calc base'!O129),2)-MAX('Calc base'!J$12,ROUND('Calc base'!J$13*BA128,2))&lt;1,ROUND(BA128*(1+'Calc base'!O129),2),MAX('Calc base'!J$12,ROUND('Calc base'!J$13*BA128,2))))</f>
        <v>0</v>
      </c>
      <c r="R129">
        <f>IF(BB128&lt;=0,0,IF(ROUND(BB128*(1+'Calc base'!P129),2)-MAX('Calc base'!K$12,ROUND('Calc base'!K$13*BB128,2))&lt;1,ROUND(BB128*(1+'Calc base'!P129),2),MAX('Calc base'!K$12,ROUND('Calc base'!K$13*BB128,2))))</f>
        <v>0</v>
      </c>
      <c r="S129">
        <f>IF(BC128&lt;=0,0,IF(ROUND(BC128*(1+'Calc base'!Q129),2)-MAX('Calc base'!L$12,ROUND('Calc base'!L$13*BC128,2))&lt;1,ROUND(BC128*(1+'Calc base'!Q129),2),MAX('Calc base'!L$12,ROUND('Calc base'!L$13*BC128,2))))</f>
        <v>0</v>
      </c>
      <c r="T129">
        <f>IF(BD128&lt;=0,0,IF(ROUND(BD128*(1+'Calc base'!R129),2)-MAX('Calc base'!M$12,ROUND('Calc base'!M$13*BD128,2))&lt;1,ROUND(BD128*(1+'Calc base'!R129),2),MAX('Calc base'!M$12,ROUND('Calc base'!M$13*BD128,2))))</f>
        <v>0</v>
      </c>
      <c r="U129">
        <f>IF(BE128&lt;=0,0,IF(ROUND(BE128*(1+'Calc base'!S129),2)-MAX('Calc base'!N$12,ROUND('Calc base'!N$13*BE128,2))&lt;1,ROUND(BE128*(1+'Calc base'!S129),2),MAX('Calc base'!N$12,ROUND('Calc base'!N$13*BE128,2))))</f>
        <v>0</v>
      </c>
      <c r="V129">
        <f>MAX(0,ROUND(AT128*(1+'Calc base'!H129),2)-J129-'Calc base'!T129)</f>
        <v>0</v>
      </c>
      <c r="W129">
        <f>MAX(0,ROUND(AU128*(1+'Calc base'!I129),2)-K129-'Calc base'!U129)</f>
        <v>0</v>
      </c>
      <c r="X129">
        <f>MAX(0,ROUND(AV128*(1+'Calc base'!J129),2)-L129-'Calc base'!V129)</f>
        <v>0</v>
      </c>
      <c r="Y129">
        <f>MAX(0,ROUND(AW128*(1+'Calc base'!K129),2)-M129-'Calc base'!W129)</f>
        <v>0</v>
      </c>
      <c r="Z129">
        <f>MAX(0,ROUND(AX128*(1+'Calc base'!L129),2)-N129-'Calc base'!X129)</f>
        <v>0</v>
      </c>
      <c r="AA129">
        <f>MAX(0,ROUND(AY128*(1+'Calc base'!M129),2)-O129-'Calc base'!Y129)</f>
        <v>0</v>
      </c>
      <c r="AB129">
        <f>MAX(0,ROUND(AZ128*(1+'Calc base'!N129),2)-P129-'Calc base'!Z129)</f>
        <v>0</v>
      </c>
      <c r="AC129">
        <f>MAX(0,ROUND(BA128*(1+'Calc base'!O129),2)-Q129-'Calc base'!AA129)</f>
        <v>0</v>
      </c>
      <c r="AD129">
        <f>MAX(0,ROUND(BB128*(1+'Calc base'!P129),2)-R129-'Calc base'!AB129)</f>
        <v>0</v>
      </c>
      <c r="AE129">
        <f>MAX(0,ROUND(BC128*(1+'Calc base'!Q129),2)-S129-'Calc base'!AC129)</f>
        <v>0</v>
      </c>
      <c r="AF129">
        <f>MAX(0,ROUND(BD128*(1+'Calc base'!R129),2)-T129-'Calc base'!AD129)</f>
        <v>0</v>
      </c>
      <c r="AG129">
        <f>MAX(0,ROUND(BE128*(1+'Calc base'!S129),2)-U129-'Calc base'!AE129)</f>
        <v>0</v>
      </c>
      <c r="AH129">
        <f>IF('Calc base'!C$14=0,0,MIN(V129,MAX(0,$E129-SUMPRODUCT($V129:$AG129,'Calc base'!$C$14:$N$14,('Calc base'!$H129:$S129&gt;'Calc base'!H129)+('Calc base'!$H129:$S129='Calc base'!H129)*('Calc base'!$C$17:$N$17&lt;'Calc base'!C$17)))))</f>
        <v>0</v>
      </c>
      <c r="AI129">
        <f>IF('Calc base'!D$14=0,0,MIN(W129,MAX(0,$E129-SUMPRODUCT($V129:$AG129,'Calc base'!$C$14:$N$14,('Calc base'!$H129:$S129&gt;'Calc base'!I129)+('Calc base'!$H129:$S129='Calc base'!I129)*('Calc base'!$C$17:$N$17&lt;'Calc base'!D$17)))))</f>
        <v>0</v>
      </c>
      <c r="AJ129">
        <f>IF('Calc base'!E$14=0,0,MIN(X129,MAX(0,$E129-SUMPRODUCT($V129:$AG129,'Calc base'!$C$14:$N$14,('Calc base'!$H129:$S129&gt;'Calc base'!J129)+('Calc base'!$H129:$S129='Calc base'!J129)*('Calc base'!$C$17:$N$17&lt;'Calc base'!E$17)))))</f>
        <v>0</v>
      </c>
      <c r="AK129">
        <f>IF('Calc base'!F$14=0,0,MIN(Y129,MAX(0,$E129-SUMPRODUCT($V129:$AG129,'Calc base'!$C$14:$N$14,('Calc base'!$H129:$S129&gt;'Calc base'!K129)+('Calc base'!$H129:$S129='Calc base'!K129)*('Calc base'!$C$17:$N$17&lt;'Calc base'!F$17)))))</f>
        <v>0</v>
      </c>
      <c r="AL129">
        <f>IF('Calc base'!G$14=0,0,MIN(Z129,MAX(0,$E129-SUMPRODUCT($V129:$AG129,'Calc base'!$C$14:$N$14,('Calc base'!$H129:$S129&gt;'Calc base'!L129)+('Calc base'!$H129:$S129='Calc base'!L129)*('Calc base'!$C$17:$N$17&lt;'Calc base'!G$17)))))</f>
        <v>0</v>
      </c>
      <c r="AM129">
        <f>IF('Calc base'!H$14=0,0,MIN(AA129,MAX(0,$E129-SUMPRODUCT($V129:$AG129,'Calc base'!$C$14:$N$14,('Calc base'!$H129:$S129&gt;'Calc base'!M129)+('Calc base'!$H129:$S129='Calc base'!M129)*('Calc base'!$C$17:$N$17&lt;'Calc base'!H$17)))))</f>
        <v>0</v>
      </c>
      <c r="AN129">
        <f>IF('Calc base'!I$14=0,0,MIN(AB129,MAX(0,$E129-SUMPRODUCT($V129:$AG129,'Calc base'!$C$14:$N$14,('Calc base'!$H129:$S129&gt;'Calc base'!N129)+('Calc base'!$H129:$S129='Calc base'!N129)*('Calc base'!$C$17:$N$17&lt;'Calc base'!I$17)))))</f>
        <v>0</v>
      </c>
      <c r="AO129">
        <f>IF('Calc base'!J$14=0,0,MIN(AC129,MAX(0,$E129-SUMPRODUCT($V129:$AG129,'Calc base'!$C$14:$N$14,('Calc base'!$H129:$S129&gt;'Calc base'!O129)+('Calc base'!$H129:$S129='Calc base'!O129)*('Calc base'!$C$17:$N$17&lt;'Calc base'!J$17)))))</f>
        <v>0</v>
      </c>
      <c r="AP129">
        <f>IF('Calc base'!K$14=0,0,MIN(AD129,MAX(0,$E129-SUMPRODUCT($V129:$AG129,'Calc base'!$C$14:$N$14,('Calc base'!$H129:$S129&gt;'Calc base'!P129)+('Calc base'!$H129:$S129='Calc base'!P129)*('Calc base'!$C$17:$N$17&lt;'Calc base'!K$17)))))</f>
        <v>0</v>
      </c>
      <c r="AQ129">
        <f>IF('Calc base'!L$14=0,0,MIN(AE129,MAX(0,$E129-SUMPRODUCT($V129:$AG129,'Calc base'!$C$14:$N$14,('Calc base'!$H129:$S129&gt;'Calc base'!Q129)+('Calc base'!$H129:$S129='Calc base'!Q129)*('Calc base'!$C$17:$N$17&lt;'Calc base'!L$17)))))</f>
        <v>0</v>
      </c>
      <c r="AR129">
        <f>IF('Calc base'!M$14=0,0,MIN(AF129,MAX(0,$E129-SUMPRODUCT($V129:$AG129,'Calc base'!$C$14:$N$14,('Calc base'!$H129:$S129&gt;'Calc base'!R129)+('Calc base'!$H129:$S129='Calc base'!R129)*('Calc base'!$C$17:$N$17&lt;'Calc base'!M$17)))))</f>
        <v>0</v>
      </c>
      <c r="AS129">
        <f>IF('Calc base'!N$14=0,0,MIN(AG129,MAX(0,$E129-SUMPRODUCT($V129:$AG129,'Calc base'!$C$14:$N$14,('Calc base'!$H129:$S129&gt;'Calc base'!S129)+('Calc base'!$H129:$S129='Calc base'!S129)*('Calc base'!$C$17:$N$17&lt;'Calc base'!N$17)))))</f>
        <v>0</v>
      </c>
      <c r="AT129">
        <f>V129-AH129</f>
        <v>0</v>
      </c>
      <c r="AU129">
        <f>W129-AI129</f>
        <v>0</v>
      </c>
      <c r="AV129">
        <f>X129-AJ129</f>
        <v>0</v>
      </c>
      <c r="AW129">
        <f>Y129-AK129</f>
        <v>0</v>
      </c>
      <c r="AX129">
        <f>Z129-AL129</f>
        <v>0</v>
      </c>
      <c r="AY129">
        <f>AA129-AM129</f>
        <v>0</v>
      </c>
      <c r="AZ129">
        <f>AB129-AN129</f>
        <v>0</v>
      </c>
      <c r="BA129">
        <f>AC129-AO129</f>
        <v>0</v>
      </c>
      <c r="BB129">
        <f>AD129-AP129</f>
        <v>0</v>
      </c>
      <c r="BC129">
        <f>AE129-AQ129</f>
        <v>0</v>
      </c>
      <c r="BD129">
        <f>AF129-AR129</f>
        <v>0</v>
      </c>
      <c r="BE129">
        <f>AG129-AS129</f>
        <v>0</v>
      </c>
    </row>
    <row r="130">
      <c r="A130" t="n">
        <v>100</v>
      </c>
      <c r="B130">
        <f>SUMPRODUCT(ROUND($AT129:$BE129*(1+'Calc base'!$H130:$S130),2))</f>
        <v>0</v>
      </c>
      <c r="C130">
        <f>SUM(J130:U130)</f>
        <v>0</v>
      </c>
      <c r="D130">
        <f>SUM(V130:AG130)</f>
        <v>0</v>
      </c>
      <c r="E130">
        <f>MAX(0,IF(Impostazioni!$B$7="No",'Calc base'!$C130-$C$31,'Calc base'!$C130-C130)+'Calc base'!$G130+'Calc base'!$F130-(B130-C130-D130))</f>
        <v>900</v>
      </c>
      <c r="F130">
        <f>SUM(AH130:AS130)</f>
        <v>0</v>
      </c>
      <c r="G130">
        <f>SUM(AT130:BE130)</f>
        <v>0</v>
      </c>
      <c r="H130">
        <f>B130-G129</f>
        <v>0</v>
      </c>
      <c r="I130">
        <f>B130-G130</f>
        <v>0</v>
      </c>
      <c r="J130">
        <f>IF(AT129&lt;=0,0,IF(ROUND(AT129*(1+'Calc base'!H130),2)-MAX('Calc base'!C$12,ROUND('Calc base'!C$13*AT129,2))&lt;1,ROUND(AT129*(1+'Calc base'!H130),2),MAX('Calc base'!C$12,ROUND('Calc base'!C$13*AT129,2))))</f>
        <v>0</v>
      </c>
      <c r="K130">
        <f>IF(AU129&lt;=0,0,IF(ROUND(AU129*(1+'Calc base'!I130),2)-MAX('Calc base'!D$12,ROUND('Calc base'!D$13*AU129,2))&lt;1,ROUND(AU129*(1+'Calc base'!I130),2),MAX('Calc base'!D$12,ROUND('Calc base'!D$13*AU129,2))))</f>
        <v>0</v>
      </c>
      <c r="L130">
        <f>IF(AV129&lt;=0,0,IF(ROUND(AV129*(1+'Calc base'!J130),2)-MAX('Calc base'!E$12,ROUND('Calc base'!E$13*AV129,2))&lt;1,ROUND(AV129*(1+'Calc base'!J130),2),MAX('Calc base'!E$12,ROUND('Calc base'!E$13*AV129,2))))</f>
        <v>0</v>
      </c>
      <c r="M130">
        <f>IF(AW129&lt;=0,0,IF(ROUND(AW129*(1+'Calc base'!K130),2)-MAX('Calc base'!F$12,ROUND('Calc base'!F$13*AW129,2))&lt;1,ROUND(AW129*(1+'Calc base'!K130),2),MAX('Calc base'!F$12,ROUND('Calc base'!F$13*AW129,2))))</f>
        <v>0</v>
      </c>
      <c r="N130">
        <f>IF(AX129&lt;=0,0,IF(ROUND(AX129*(1+'Calc base'!L130),2)-MAX('Calc base'!G$12,ROUND('Calc base'!G$13*AX129,2))&lt;1,ROUND(AX129*(1+'Calc base'!L130),2),MAX('Calc base'!G$12,ROUND('Calc base'!G$13*AX129,2))))</f>
        <v>0</v>
      </c>
      <c r="O130">
        <f>IF(AY129&lt;=0,0,IF(ROUND(AY129*(1+'Calc base'!M130),2)-MAX('Calc base'!H$12,ROUND('Calc base'!H$13*AY129,2))&lt;1,ROUND(AY129*(1+'Calc base'!M130),2),MAX('Calc base'!H$12,ROUND('Calc base'!H$13*AY129,2))))</f>
        <v>0</v>
      </c>
      <c r="P130">
        <f>IF(AZ129&lt;=0,0,IF(ROUND(AZ129*(1+'Calc base'!N130),2)-MAX('Calc base'!I$12,ROUND('Calc base'!I$13*AZ129,2))&lt;1,ROUND(AZ129*(1+'Calc base'!N130),2),MAX('Calc base'!I$12,ROUND('Calc base'!I$13*AZ129,2))))</f>
        <v>0</v>
      </c>
      <c r="Q130">
        <f>IF(BA129&lt;=0,0,IF(ROUND(BA129*(1+'Calc base'!O130),2)-MAX('Calc base'!J$12,ROUND('Calc base'!J$13*BA129,2))&lt;1,ROUND(BA129*(1+'Calc base'!O130),2),MAX('Calc base'!J$12,ROUND('Calc base'!J$13*BA129,2))))</f>
        <v>0</v>
      </c>
      <c r="R130">
        <f>IF(BB129&lt;=0,0,IF(ROUND(BB129*(1+'Calc base'!P130),2)-MAX('Calc base'!K$12,ROUND('Calc base'!K$13*BB129,2))&lt;1,ROUND(BB129*(1+'Calc base'!P130),2),MAX('Calc base'!K$12,ROUND('Calc base'!K$13*BB129,2))))</f>
        <v>0</v>
      </c>
      <c r="S130">
        <f>IF(BC129&lt;=0,0,IF(ROUND(BC129*(1+'Calc base'!Q130),2)-MAX('Calc base'!L$12,ROUND('Calc base'!L$13*BC129,2))&lt;1,ROUND(BC129*(1+'Calc base'!Q130),2),MAX('Calc base'!L$12,ROUND('Calc base'!L$13*BC129,2))))</f>
        <v>0</v>
      </c>
      <c r="T130">
        <f>IF(BD129&lt;=0,0,IF(ROUND(BD129*(1+'Calc base'!R130),2)-MAX('Calc base'!M$12,ROUND('Calc base'!M$13*BD129,2))&lt;1,ROUND(BD129*(1+'Calc base'!R130),2),MAX('Calc base'!M$12,ROUND('Calc base'!M$13*BD129,2))))</f>
        <v>0</v>
      </c>
      <c r="U130">
        <f>IF(BE129&lt;=0,0,IF(ROUND(BE129*(1+'Calc base'!S130),2)-MAX('Calc base'!N$12,ROUND('Calc base'!N$13*BE129,2))&lt;1,ROUND(BE129*(1+'Calc base'!S130),2),MAX('Calc base'!N$12,ROUND('Calc base'!N$13*BE129,2))))</f>
        <v>0</v>
      </c>
      <c r="V130">
        <f>MAX(0,ROUND(AT129*(1+'Calc base'!H130),2)-J130-'Calc base'!T130)</f>
        <v>0</v>
      </c>
      <c r="W130">
        <f>MAX(0,ROUND(AU129*(1+'Calc base'!I130),2)-K130-'Calc base'!U130)</f>
        <v>0</v>
      </c>
      <c r="X130">
        <f>MAX(0,ROUND(AV129*(1+'Calc base'!J130),2)-L130-'Calc base'!V130)</f>
        <v>0</v>
      </c>
      <c r="Y130">
        <f>MAX(0,ROUND(AW129*(1+'Calc base'!K130),2)-M130-'Calc base'!W130)</f>
        <v>0</v>
      </c>
      <c r="Z130">
        <f>MAX(0,ROUND(AX129*(1+'Calc base'!L130),2)-N130-'Calc base'!X130)</f>
        <v>0</v>
      </c>
      <c r="AA130">
        <f>MAX(0,ROUND(AY129*(1+'Calc base'!M130),2)-O130-'Calc base'!Y130)</f>
        <v>0</v>
      </c>
      <c r="AB130">
        <f>MAX(0,ROUND(AZ129*(1+'Calc base'!N130),2)-P130-'Calc base'!Z130)</f>
        <v>0</v>
      </c>
      <c r="AC130">
        <f>MAX(0,ROUND(BA129*(1+'Calc base'!O130),2)-Q130-'Calc base'!AA130)</f>
        <v>0</v>
      </c>
      <c r="AD130">
        <f>MAX(0,ROUND(BB129*(1+'Calc base'!P130),2)-R130-'Calc base'!AB130)</f>
        <v>0</v>
      </c>
      <c r="AE130">
        <f>MAX(0,ROUND(BC129*(1+'Calc base'!Q130),2)-S130-'Calc base'!AC130)</f>
        <v>0</v>
      </c>
      <c r="AF130">
        <f>MAX(0,ROUND(BD129*(1+'Calc base'!R130),2)-T130-'Calc base'!AD130)</f>
        <v>0</v>
      </c>
      <c r="AG130">
        <f>MAX(0,ROUND(BE129*(1+'Calc base'!S130),2)-U130-'Calc base'!AE130)</f>
        <v>0</v>
      </c>
      <c r="AH130">
        <f>IF('Calc base'!C$14=0,0,MIN(V130,MAX(0,$E130-SUMPRODUCT($V130:$AG130,'Calc base'!$C$14:$N$14,('Calc base'!$H130:$S130&gt;'Calc base'!H130)+('Calc base'!$H130:$S130='Calc base'!H130)*('Calc base'!$C$17:$N$17&lt;'Calc base'!C$17)))))</f>
        <v>0</v>
      </c>
      <c r="AI130">
        <f>IF('Calc base'!D$14=0,0,MIN(W130,MAX(0,$E130-SUMPRODUCT($V130:$AG130,'Calc base'!$C$14:$N$14,('Calc base'!$H130:$S130&gt;'Calc base'!I130)+('Calc base'!$H130:$S130='Calc base'!I130)*('Calc base'!$C$17:$N$17&lt;'Calc base'!D$17)))))</f>
        <v>0</v>
      </c>
      <c r="AJ130">
        <f>IF('Calc base'!E$14=0,0,MIN(X130,MAX(0,$E130-SUMPRODUCT($V130:$AG130,'Calc base'!$C$14:$N$14,('Calc base'!$H130:$S130&gt;'Calc base'!J130)+('Calc base'!$H130:$S130='Calc base'!J130)*('Calc base'!$C$17:$N$17&lt;'Calc base'!E$17)))))</f>
        <v>0</v>
      </c>
      <c r="AK130">
        <f>IF('Calc base'!F$14=0,0,MIN(Y130,MAX(0,$E130-SUMPRODUCT($V130:$AG130,'Calc base'!$C$14:$N$14,('Calc base'!$H130:$S130&gt;'Calc base'!K130)+('Calc base'!$H130:$S130='Calc base'!K130)*('Calc base'!$C$17:$N$17&lt;'Calc base'!F$17)))))</f>
        <v>0</v>
      </c>
      <c r="AL130">
        <f>IF('Calc base'!G$14=0,0,MIN(Z130,MAX(0,$E130-SUMPRODUCT($V130:$AG130,'Calc base'!$C$14:$N$14,('Calc base'!$H130:$S130&gt;'Calc base'!L130)+('Calc base'!$H130:$S130='Calc base'!L130)*('Calc base'!$C$17:$N$17&lt;'Calc base'!G$17)))))</f>
        <v>0</v>
      </c>
      <c r="AM130">
        <f>IF('Calc base'!H$14=0,0,MIN(AA130,MAX(0,$E130-SUMPRODUCT($V130:$AG130,'Calc base'!$C$14:$N$14,('Calc base'!$H130:$S130&gt;'Calc base'!M130)+('Calc base'!$H130:$S130='Calc base'!M130)*('Calc base'!$C$17:$N$17&lt;'Calc base'!H$17)))))</f>
        <v>0</v>
      </c>
      <c r="AN130">
        <f>IF('Calc base'!I$14=0,0,MIN(AB130,MAX(0,$E130-SUMPRODUCT($V130:$AG130,'Calc base'!$C$14:$N$14,('Calc base'!$H130:$S130&gt;'Calc base'!N130)+('Calc base'!$H130:$S130='Calc base'!N130)*('Calc base'!$C$17:$N$17&lt;'Calc base'!I$17)))))</f>
        <v>0</v>
      </c>
      <c r="AO130">
        <f>IF('Calc base'!J$14=0,0,MIN(AC130,MAX(0,$E130-SUMPRODUCT($V130:$AG130,'Calc base'!$C$14:$N$14,('Calc base'!$H130:$S130&gt;'Calc base'!O130)+('Calc base'!$H130:$S130='Calc base'!O130)*('Calc base'!$C$17:$N$17&lt;'Calc base'!J$17)))))</f>
        <v>0</v>
      </c>
      <c r="AP130">
        <f>IF('Calc base'!K$14=0,0,MIN(AD130,MAX(0,$E130-SUMPRODUCT($V130:$AG130,'Calc base'!$C$14:$N$14,('Calc base'!$H130:$S130&gt;'Calc base'!P130)+('Calc base'!$H130:$S130='Calc base'!P130)*('Calc base'!$C$17:$N$17&lt;'Calc base'!K$17)))))</f>
        <v>0</v>
      </c>
      <c r="AQ130">
        <f>IF('Calc base'!L$14=0,0,MIN(AE130,MAX(0,$E130-SUMPRODUCT($V130:$AG130,'Calc base'!$C$14:$N$14,('Calc base'!$H130:$S130&gt;'Calc base'!Q130)+('Calc base'!$H130:$S130='Calc base'!Q130)*('Calc base'!$C$17:$N$17&lt;'Calc base'!L$17)))))</f>
        <v>0</v>
      </c>
      <c r="AR130">
        <f>IF('Calc base'!M$14=0,0,MIN(AF130,MAX(0,$E130-SUMPRODUCT($V130:$AG130,'Calc base'!$C$14:$N$14,('Calc base'!$H130:$S130&gt;'Calc base'!R130)+('Calc base'!$H130:$S130='Calc base'!R130)*('Calc base'!$C$17:$N$17&lt;'Calc base'!M$17)))))</f>
        <v>0</v>
      </c>
      <c r="AS130">
        <f>IF('Calc base'!N$14=0,0,MIN(AG130,MAX(0,$E130-SUMPRODUCT($V130:$AG130,'Calc base'!$C$14:$N$14,('Calc base'!$H130:$S130&gt;'Calc base'!S130)+('Calc base'!$H130:$S130='Calc base'!S130)*('Calc base'!$C$17:$N$17&lt;'Calc base'!N$17)))))</f>
        <v>0</v>
      </c>
      <c r="AT130">
        <f>V130-AH130</f>
        <v>0</v>
      </c>
      <c r="AU130">
        <f>W130-AI130</f>
        <v>0</v>
      </c>
      <c r="AV130">
        <f>X130-AJ130</f>
        <v>0</v>
      </c>
      <c r="AW130">
        <f>Y130-AK130</f>
        <v>0</v>
      </c>
      <c r="AX130">
        <f>Z130-AL130</f>
        <v>0</v>
      </c>
      <c r="AY130">
        <f>AA130-AM130</f>
        <v>0</v>
      </c>
      <c r="AZ130">
        <f>AB130-AN130</f>
        <v>0</v>
      </c>
      <c r="BA130">
        <f>AC130-AO130</f>
        <v>0</v>
      </c>
      <c r="BB130">
        <f>AD130-AP130</f>
        <v>0</v>
      </c>
      <c r="BC130">
        <f>AE130-AQ130</f>
        <v>0</v>
      </c>
      <c r="BD130">
        <f>AF130-AR130</f>
        <v>0</v>
      </c>
      <c r="BE130">
        <f>AG130-AS130</f>
        <v>0</v>
      </c>
    </row>
    <row r="131">
      <c r="A131" t="n">
        <v>101</v>
      </c>
      <c r="B131">
        <f>SUMPRODUCT(ROUND($AT130:$BE130*(1+'Calc base'!$H131:$S131),2))</f>
        <v>0</v>
      </c>
      <c r="C131">
        <f>SUM(J131:U131)</f>
        <v>0</v>
      </c>
      <c r="D131">
        <f>SUM(V131:AG131)</f>
        <v>0</v>
      </c>
      <c r="E131">
        <f>MAX(0,IF(Impostazioni!$B$7="No",'Calc base'!$C131-$C$31,'Calc base'!$C131-C131)+'Calc base'!$G131+'Calc base'!$F131-(B131-C131-D131))</f>
        <v>900</v>
      </c>
      <c r="F131">
        <f>SUM(AH131:AS131)</f>
        <v>0</v>
      </c>
      <c r="G131">
        <f>SUM(AT131:BE131)</f>
        <v>0</v>
      </c>
      <c r="H131">
        <f>B131-G130</f>
        <v>0</v>
      </c>
      <c r="I131">
        <f>B131-G131</f>
        <v>0</v>
      </c>
      <c r="J131">
        <f>IF(AT130&lt;=0,0,IF(ROUND(AT130*(1+'Calc base'!H131),2)-MAX('Calc base'!C$12,ROUND('Calc base'!C$13*AT130,2))&lt;1,ROUND(AT130*(1+'Calc base'!H131),2),MAX('Calc base'!C$12,ROUND('Calc base'!C$13*AT130,2))))</f>
        <v>0</v>
      </c>
      <c r="K131">
        <f>IF(AU130&lt;=0,0,IF(ROUND(AU130*(1+'Calc base'!I131),2)-MAX('Calc base'!D$12,ROUND('Calc base'!D$13*AU130,2))&lt;1,ROUND(AU130*(1+'Calc base'!I131),2),MAX('Calc base'!D$12,ROUND('Calc base'!D$13*AU130,2))))</f>
        <v>0</v>
      </c>
      <c r="L131">
        <f>IF(AV130&lt;=0,0,IF(ROUND(AV130*(1+'Calc base'!J131),2)-MAX('Calc base'!E$12,ROUND('Calc base'!E$13*AV130,2))&lt;1,ROUND(AV130*(1+'Calc base'!J131),2),MAX('Calc base'!E$12,ROUND('Calc base'!E$13*AV130,2))))</f>
        <v>0</v>
      </c>
      <c r="M131">
        <f>IF(AW130&lt;=0,0,IF(ROUND(AW130*(1+'Calc base'!K131),2)-MAX('Calc base'!F$12,ROUND('Calc base'!F$13*AW130,2))&lt;1,ROUND(AW130*(1+'Calc base'!K131),2),MAX('Calc base'!F$12,ROUND('Calc base'!F$13*AW130,2))))</f>
        <v>0</v>
      </c>
      <c r="N131">
        <f>IF(AX130&lt;=0,0,IF(ROUND(AX130*(1+'Calc base'!L131),2)-MAX('Calc base'!G$12,ROUND('Calc base'!G$13*AX130,2))&lt;1,ROUND(AX130*(1+'Calc base'!L131),2),MAX('Calc base'!G$12,ROUND('Calc base'!G$13*AX130,2))))</f>
        <v>0</v>
      </c>
      <c r="O131">
        <f>IF(AY130&lt;=0,0,IF(ROUND(AY130*(1+'Calc base'!M131),2)-MAX('Calc base'!H$12,ROUND('Calc base'!H$13*AY130,2))&lt;1,ROUND(AY130*(1+'Calc base'!M131),2),MAX('Calc base'!H$12,ROUND('Calc base'!H$13*AY130,2))))</f>
        <v>0</v>
      </c>
      <c r="P131">
        <f>IF(AZ130&lt;=0,0,IF(ROUND(AZ130*(1+'Calc base'!N131),2)-MAX('Calc base'!I$12,ROUND('Calc base'!I$13*AZ130,2))&lt;1,ROUND(AZ130*(1+'Calc base'!N131),2),MAX('Calc base'!I$12,ROUND('Calc base'!I$13*AZ130,2))))</f>
        <v>0</v>
      </c>
      <c r="Q131">
        <f>IF(BA130&lt;=0,0,IF(ROUND(BA130*(1+'Calc base'!O131),2)-MAX('Calc base'!J$12,ROUND('Calc base'!J$13*BA130,2))&lt;1,ROUND(BA130*(1+'Calc base'!O131),2),MAX('Calc base'!J$12,ROUND('Calc base'!J$13*BA130,2))))</f>
        <v>0</v>
      </c>
      <c r="R131">
        <f>IF(BB130&lt;=0,0,IF(ROUND(BB130*(1+'Calc base'!P131),2)-MAX('Calc base'!K$12,ROUND('Calc base'!K$13*BB130,2))&lt;1,ROUND(BB130*(1+'Calc base'!P131),2),MAX('Calc base'!K$12,ROUND('Calc base'!K$13*BB130,2))))</f>
        <v>0</v>
      </c>
      <c r="S131">
        <f>IF(BC130&lt;=0,0,IF(ROUND(BC130*(1+'Calc base'!Q131),2)-MAX('Calc base'!L$12,ROUND('Calc base'!L$13*BC130,2))&lt;1,ROUND(BC130*(1+'Calc base'!Q131),2),MAX('Calc base'!L$12,ROUND('Calc base'!L$13*BC130,2))))</f>
        <v>0</v>
      </c>
      <c r="T131">
        <f>IF(BD130&lt;=0,0,IF(ROUND(BD130*(1+'Calc base'!R131),2)-MAX('Calc base'!M$12,ROUND('Calc base'!M$13*BD130,2))&lt;1,ROUND(BD130*(1+'Calc base'!R131),2),MAX('Calc base'!M$12,ROUND('Calc base'!M$13*BD130,2))))</f>
        <v>0</v>
      </c>
      <c r="U131">
        <f>IF(BE130&lt;=0,0,IF(ROUND(BE130*(1+'Calc base'!S131),2)-MAX('Calc base'!N$12,ROUND('Calc base'!N$13*BE130,2))&lt;1,ROUND(BE130*(1+'Calc base'!S131),2),MAX('Calc base'!N$12,ROUND('Calc base'!N$13*BE130,2))))</f>
        <v>0</v>
      </c>
      <c r="V131">
        <f>MAX(0,ROUND(AT130*(1+'Calc base'!H131),2)-J131-'Calc base'!T131)</f>
        <v>0</v>
      </c>
      <c r="W131">
        <f>MAX(0,ROUND(AU130*(1+'Calc base'!I131),2)-K131-'Calc base'!U131)</f>
        <v>0</v>
      </c>
      <c r="X131">
        <f>MAX(0,ROUND(AV130*(1+'Calc base'!J131),2)-L131-'Calc base'!V131)</f>
        <v>0</v>
      </c>
      <c r="Y131">
        <f>MAX(0,ROUND(AW130*(1+'Calc base'!K131),2)-M131-'Calc base'!W131)</f>
        <v>0</v>
      </c>
      <c r="Z131">
        <f>MAX(0,ROUND(AX130*(1+'Calc base'!L131),2)-N131-'Calc base'!X131)</f>
        <v>0</v>
      </c>
      <c r="AA131">
        <f>MAX(0,ROUND(AY130*(1+'Calc base'!M131),2)-O131-'Calc base'!Y131)</f>
        <v>0</v>
      </c>
      <c r="AB131">
        <f>MAX(0,ROUND(AZ130*(1+'Calc base'!N131),2)-P131-'Calc base'!Z131)</f>
        <v>0</v>
      </c>
      <c r="AC131">
        <f>MAX(0,ROUND(BA130*(1+'Calc base'!O131),2)-Q131-'Calc base'!AA131)</f>
        <v>0</v>
      </c>
      <c r="AD131">
        <f>MAX(0,ROUND(BB130*(1+'Calc base'!P131),2)-R131-'Calc base'!AB131)</f>
        <v>0</v>
      </c>
      <c r="AE131">
        <f>MAX(0,ROUND(BC130*(1+'Calc base'!Q131),2)-S131-'Calc base'!AC131)</f>
        <v>0</v>
      </c>
      <c r="AF131">
        <f>MAX(0,ROUND(BD130*(1+'Calc base'!R131),2)-T131-'Calc base'!AD131)</f>
        <v>0</v>
      </c>
      <c r="AG131">
        <f>MAX(0,ROUND(BE130*(1+'Calc base'!S131),2)-U131-'Calc base'!AE131)</f>
        <v>0</v>
      </c>
      <c r="AH131">
        <f>IF('Calc base'!C$14=0,0,MIN(V131,MAX(0,$E131-SUMPRODUCT($V131:$AG131,'Calc base'!$C$14:$N$14,('Calc base'!$H131:$S131&gt;'Calc base'!H131)+('Calc base'!$H131:$S131='Calc base'!H131)*('Calc base'!$C$17:$N$17&lt;'Calc base'!C$17)))))</f>
        <v>0</v>
      </c>
      <c r="AI131">
        <f>IF('Calc base'!D$14=0,0,MIN(W131,MAX(0,$E131-SUMPRODUCT($V131:$AG131,'Calc base'!$C$14:$N$14,('Calc base'!$H131:$S131&gt;'Calc base'!I131)+('Calc base'!$H131:$S131='Calc base'!I131)*('Calc base'!$C$17:$N$17&lt;'Calc base'!D$17)))))</f>
        <v>0</v>
      </c>
      <c r="AJ131">
        <f>IF('Calc base'!E$14=0,0,MIN(X131,MAX(0,$E131-SUMPRODUCT($V131:$AG131,'Calc base'!$C$14:$N$14,('Calc base'!$H131:$S131&gt;'Calc base'!J131)+('Calc base'!$H131:$S131='Calc base'!J131)*('Calc base'!$C$17:$N$17&lt;'Calc base'!E$17)))))</f>
        <v>0</v>
      </c>
      <c r="AK131">
        <f>IF('Calc base'!F$14=0,0,MIN(Y131,MAX(0,$E131-SUMPRODUCT($V131:$AG131,'Calc base'!$C$14:$N$14,('Calc base'!$H131:$S131&gt;'Calc base'!K131)+('Calc base'!$H131:$S131='Calc base'!K131)*('Calc base'!$C$17:$N$17&lt;'Calc base'!F$17)))))</f>
        <v>0</v>
      </c>
      <c r="AL131">
        <f>IF('Calc base'!G$14=0,0,MIN(Z131,MAX(0,$E131-SUMPRODUCT($V131:$AG131,'Calc base'!$C$14:$N$14,('Calc base'!$H131:$S131&gt;'Calc base'!L131)+('Calc base'!$H131:$S131='Calc base'!L131)*('Calc base'!$C$17:$N$17&lt;'Calc base'!G$17)))))</f>
        <v>0</v>
      </c>
      <c r="AM131">
        <f>IF('Calc base'!H$14=0,0,MIN(AA131,MAX(0,$E131-SUMPRODUCT($V131:$AG131,'Calc base'!$C$14:$N$14,('Calc base'!$H131:$S131&gt;'Calc base'!M131)+('Calc base'!$H131:$S131='Calc base'!M131)*('Calc base'!$C$17:$N$17&lt;'Calc base'!H$17)))))</f>
        <v>0</v>
      </c>
      <c r="AN131">
        <f>IF('Calc base'!I$14=0,0,MIN(AB131,MAX(0,$E131-SUMPRODUCT($V131:$AG131,'Calc base'!$C$14:$N$14,('Calc base'!$H131:$S131&gt;'Calc base'!N131)+('Calc base'!$H131:$S131='Calc base'!N131)*('Calc base'!$C$17:$N$17&lt;'Calc base'!I$17)))))</f>
        <v>0</v>
      </c>
      <c r="AO131">
        <f>IF('Calc base'!J$14=0,0,MIN(AC131,MAX(0,$E131-SUMPRODUCT($V131:$AG131,'Calc base'!$C$14:$N$14,('Calc base'!$H131:$S131&gt;'Calc base'!O131)+('Calc base'!$H131:$S131='Calc base'!O131)*('Calc base'!$C$17:$N$17&lt;'Calc base'!J$17)))))</f>
        <v>0</v>
      </c>
      <c r="AP131">
        <f>IF('Calc base'!K$14=0,0,MIN(AD131,MAX(0,$E131-SUMPRODUCT($V131:$AG131,'Calc base'!$C$14:$N$14,('Calc base'!$H131:$S131&gt;'Calc base'!P131)+('Calc base'!$H131:$S131='Calc base'!P131)*('Calc base'!$C$17:$N$17&lt;'Calc base'!K$17)))))</f>
        <v>0</v>
      </c>
      <c r="AQ131">
        <f>IF('Calc base'!L$14=0,0,MIN(AE131,MAX(0,$E131-SUMPRODUCT($V131:$AG131,'Calc base'!$C$14:$N$14,('Calc base'!$H131:$S131&gt;'Calc base'!Q131)+('Calc base'!$H131:$S131='Calc base'!Q131)*('Calc base'!$C$17:$N$17&lt;'Calc base'!L$17)))))</f>
        <v>0</v>
      </c>
      <c r="AR131">
        <f>IF('Calc base'!M$14=0,0,MIN(AF131,MAX(0,$E131-SUMPRODUCT($V131:$AG131,'Calc base'!$C$14:$N$14,('Calc base'!$H131:$S131&gt;'Calc base'!R131)+('Calc base'!$H131:$S131='Calc base'!R131)*('Calc base'!$C$17:$N$17&lt;'Calc base'!M$17)))))</f>
        <v>0</v>
      </c>
      <c r="AS131">
        <f>IF('Calc base'!N$14=0,0,MIN(AG131,MAX(0,$E131-SUMPRODUCT($V131:$AG131,'Calc base'!$C$14:$N$14,('Calc base'!$H131:$S131&gt;'Calc base'!S131)+('Calc base'!$H131:$S131='Calc base'!S131)*('Calc base'!$C$17:$N$17&lt;'Calc base'!N$17)))))</f>
        <v>0</v>
      </c>
      <c r="AT131">
        <f>V131-AH131</f>
        <v>0</v>
      </c>
      <c r="AU131">
        <f>W131-AI131</f>
        <v>0</v>
      </c>
      <c r="AV131">
        <f>X131-AJ131</f>
        <v>0</v>
      </c>
      <c r="AW131">
        <f>Y131-AK131</f>
        <v>0</v>
      </c>
      <c r="AX131">
        <f>Z131-AL131</f>
        <v>0</v>
      </c>
      <c r="AY131">
        <f>AA131-AM131</f>
        <v>0</v>
      </c>
      <c r="AZ131">
        <f>AB131-AN131</f>
        <v>0</v>
      </c>
      <c r="BA131">
        <f>AC131-AO131</f>
        <v>0</v>
      </c>
      <c r="BB131">
        <f>AD131-AP131</f>
        <v>0</v>
      </c>
      <c r="BC131">
        <f>AE131-AQ131</f>
        <v>0</v>
      </c>
      <c r="BD131">
        <f>AF131-AR131</f>
        <v>0</v>
      </c>
      <c r="BE131">
        <f>AG131-AS131</f>
        <v>0</v>
      </c>
    </row>
    <row r="132">
      <c r="A132" t="n">
        <v>102</v>
      </c>
      <c r="B132">
        <f>SUMPRODUCT(ROUND($AT131:$BE131*(1+'Calc base'!$H132:$S132),2))</f>
        <v>0</v>
      </c>
      <c r="C132">
        <f>SUM(J132:U132)</f>
        <v>0</v>
      </c>
      <c r="D132">
        <f>SUM(V132:AG132)</f>
        <v>0</v>
      </c>
      <c r="E132">
        <f>MAX(0,IF(Impostazioni!$B$7="No",'Calc base'!$C132-$C$31,'Calc base'!$C132-C132)+'Calc base'!$G132+'Calc base'!$F132-(B132-C132-D132))</f>
        <v>900</v>
      </c>
      <c r="F132">
        <f>SUM(AH132:AS132)</f>
        <v>0</v>
      </c>
      <c r="G132">
        <f>SUM(AT132:BE132)</f>
        <v>0</v>
      </c>
      <c r="H132">
        <f>B132-G131</f>
        <v>0</v>
      </c>
      <c r="I132">
        <f>B132-G132</f>
        <v>0</v>
      </c>
      <c r="J132">
        <f>IF(AT131&lt;=0,0,IF(ROUND(AT131*(1+'Calc base'!H132),2)-MAX('Calc base'!C$12,ROUND('Calc base'!C$13*AT131,2))&lt;1,ROUND(AT131*(1+'Calc base'!H132),2),MAX('Calc base'!C$12,ROUND('Calc base'!C$13*AT131,2))))</f>
        <v>0</v>
      </c>
      <c r="K132">
        <f>IF(AU131&lt;=0,0,IF(ROUND(AU131*(1+'Calc base'!I132),2)-MAX('Calc base'!D$12,ROUND('Calc base'!D$13*AU131,2))&lt;1,ROUND(AU131*(1+'Calc base'!I132),2),MAX('Calc base'!D$12,ROUND('Calc base'!D$13*AU131,2))))</f>
        <v>0</v>
      </c>
      <c r="L132">
        <f>IF(AV131&lt;=0,0,IF(ROUND(AV131*(1+'Calc base'!J132),2)-MAX('Calc base'!E$12,ROUND('Calc base'!E$13*AV131,2))&lt;1,ROUND(AV131*(1+'Calc base'!J132),2),MAX('Calc base'!E$12,ROUND('Calc base'!E$13*AV131,2))))</f>
        <v>0</v>
      </c>
      <c r="M132">
        <f>IF(AW131&lt;=0,0,IF(ROUND(AW131*(1+'Calc base'!K132),2)-MAX('Calc base'!F$12,ROUND('Calc base'!F$13*AW131,2))&lt;1,ROUND(AW131*(1+'Calc base'!K132),2),MAX('Calc base'!F$12,ROUND('Calc base'!F$13*AW131,2))))</f>
        <v>0</v>
      </c>
      <c r="N132">
        <f>IF(AX131&lt;=0,0,IF(ROUND(AX131*(1+'Calc base'!L132),2)-MAX('Calc base'!G$12,ROUND('Calc base'!G$13*AX131,2))&lt;1,ROUND(AX131*(1+'Calc base'!L132),2),MAX('Calc base'!G$12,ROUND('Calc base'!G$13*AX131,2))))</f>
        <v>0</v>
      </c>
      <c r="O132">
        <f>IF(AY131&lt;=0,0,IF(ROUND(AY131*(1+'Calc base'!M132),2)-MAX('Calc base'!H$12,ROUND('Calc base'!H$13*AY131,2))&lt;1,ROUND(AY131*(1+'Calc base'!M132),2),MAX('Calc base'!H$12,ROUND('Calc base'!H$13*AY131,2))))</f>
        <v>0</v>
      </c>
      <c r="P132">
        <f>IF(AZ131&lt;=0,0,IF(ROUND(AZ131*(1+'Calc base'!N132),2)-MAX('Calc base'!I$12,ROUND('Calc base'!I$13*AZ131,2))&lt;1,ROUND(AZ131*(1+'Calc base'!N132),2),MAX('Calc base'!I$12,ROUND('Calc base'!I$13*AZ131,2))))</f>
        <v>0</v>
      </c>
      <c r="Q132">
        <f>IF(BA131&lt;=0,0,IF(ROUND(BA131*(1+'Calc base'!O132),2)-MAX('Calc base'!J$12,ROUND('Calc base'!J$13*BA131,2))&lt;1,ROUND(BA131*(1+'Calc base'!O132),2),MAX('Calc base'!J$12,ROUND('Calc base'!J$13*BA131,2))))</f>
        <v>0</v>
      </c>
      <c r="R132">
        <f>IF(BB131&lt;=0,0,IF(ROUND(BB131*(1+'Calc base'!P132),2)-MAX('Calc base'!K$12,ROUND('Calc base'!K$13*BB131,2))&lt;1,ROUND(BB131*(1+'Calc base'!P132),2),MAX('Calc base'!K$12,ROUND('Calc base'!K$13*BB131,2))))</f>
        <v>0</v>
      </c>
      <c r="S132">
        <f>IF(BC131&lt;=0,0,IF(ROUND(BC131*(1+'Calc base'!Q132),2)-MAX('Calc base'!L$12,ROUND('Calc base'!L$13*BC131,2))&lt;1,ROUND(BC131*(1+'Calc base'!Q132),2),MAX('Calc base'!L$12,ROUND('Calc base'!L$13*BC131,2))))</f>
        <v>0</v>
      </c>
      <c r="T132">
        <f>IF(BD131&lt;=0,0,IF(ROUND(BD131*(1+'Calc base'!R132),2)-MAX('Calc base'!M$12,ROUND('Calc base'!M$13*BD131,2))&lt;1,ROUND(BD131*(1+'Calc base'!R132),2),MAX('Calc base'!M$12,ROUND('Calc base'!M$13*BD131,2))))</f>
        <v>0</v>
      </c>
      <c r="U132">
        <f>IF(BE131&lt;=0,0,IF(ROUND(BE131*(1+'Calc base'!S132),2)-MAX('Calc base'!N$12,ROUND('Calc base'!N$13*BE131,2))&lt;1,ROUND(BE131*(1+'Calc base'!S132),2),MAX('Calc base'!N$12,ROUND('Calc base'!N$13*BE131,2))))</f>
        <v>0</v>
      </c>
      <c r="V132">
        <f>MAX(0,ROUND(AT131*(1+'Calc base'!H132),2)-J132-'Calc base'!T132)</f>
        <v>0</v>
      </c>
      <c r="W132">
        <f>MAX(0,ROUND(AU131*(1+'Calc base'!I132),2)-K132-'Calc base'!U132)</f>
        <v>0</v>
      </c>
      <c r="X132">
        <f>MAX(0,ROUND(AV131*(1+'Calc base'!J132),2)-L132-'Calc base'!V132)</f>
        <v>0</v>
      </c>
      <c r="Y132">
        <f>MAX(0,ROUND(AW131*(1+'Calc base'!K132),2)-M132-'Calc base'!W132)</f>
        <v>0</v>
      </c>
      <c r="Z132">
        <f>MAX(0,ROUND(AX131*(1+'Calc base'!L132),2)-N132-'Calc base'!X132)</f>
        <v>0</v>
      </c>
      <c r="AA132">
        <f>MAX(0,ROUND(AY131*(1+'Calc base'!M132),2)-O132-'Calc base'!Y132)</f>
        <v>0</v>
      </c>
      <c r="AB132">
        <f>MAX(0,ROUND(AZ131*(1+'Calc base'!N132),2)-P132-'Calc base'!Z132)</f>
        <v>0</v>
      </c>
      <c r="AC132">
        <f>MAX(0,ROUND(BA131*(1+'Calc base'!O132),2)-Q132-'Calc base'!AA132)</f>
        <v>0</v>
      </c>
      <c r="AD132">
        <f>MAX(0,ROUND(BB131*(1+'Calc base'!P132),2)-R132-'Calc base'!AB132)</f>
        <v>0</v>
      </c>
      <c r="AE132">
        <f>MAX(0,ROUND(BC131*(1+'Calc base'!Q132),2)-S132-'Calc base'!AC132)</f>
        <v>0</v>
      </c>
      <c r="AF132">
        <f>MAX(0,ROUND(BD131*(1+'Calc base'!R132),2)-T132-'Calc base'!AD132)</f>
        <v>0</v>
      </c>
      <c r="AG132">
        <f>MAX(0,ROUND(BE131*(1+'Calc base'!S132),2)-U132-'Calc base'!AE132)</f>
        <v>0</v>
      </c>
      <c r="AH132">
        <f>IF('Calc base'!C$14=0,0,MIN(V132,MAX(0,$E132-SUMPRODUCT($V132:$AG132,'Calc base'!$C$14:$N$14,('Calc base'!$H132:$S132&gt;'Calc base'!H132)+('Calc base'!$H132:$S132='Calc base'!H132)*('Calc base'!$C$17:$N$17&lt;'Calc base'!C$17)))))</f>
        <v>0</v>
      </c>
      <c r="AI132">
        <f>IF('Calc base'!D$14=0,0,MIN(W132,MAX(0,$E132-SUMPRODUCT($V132:$AG132,'Calc base'!$C$14:$N$14,('Calc base'!$H132:$S132&gt;'Calc base'!I132)+('Calc base'!$H132:$S132='Calc base'!I132)*('Calc base'!$C$17:$N$17&lt;'Calc base'!D$17)))))</f>
        <v>0</v>
      </c>
      <c r="AJ132">
        <f>IF('Calc base'!E$14=0,0,MIN(X132,MAX(0,$E132-SUMPRODUCT($V132:$AG132,'Calc base'!$C$14:$N$14,('Calc base'!$H132:$S132&gt;'Calc base'!J132)+('Calc base'!$H132:$S132='Calc base'!J132)*('Calc base'!$C$17:$N$17&lt;'Calc base'!E$17)))))</f>
        <v>0</v>
      </c>
      <c r="AK132">
        <f>IF('Calc base'!F$14=0,0,MIN(Y132,MAX(0,$E132-SUMPRODUCT($V132:$AG132,'Calc base'!$C$14:$N$14,('Calc base'!$H132:$S132&gt;'Calc base'!K132)+('Calc base'!$H132:$S132='Calc base'!K132)*('Calc base'!$C$17:$N$17&lt;'Calc base'!F$17)))))</f>
        <v>0</v>
      </c>
      <c r="AL132">
        <f>IF('Calc base'!G$14=0,0,MIN(Z132,MAX(0,$E132-SUMPRODUCT($V132:$AG132,'Calc base'!$C$14:$N$14,('Calc base'!$H132:$S132&gt;'Calc base'!L132)+('Calc base'!$H132:$S132='Calc base'!L132)*('Calc base'!$C$17:$N$17&lt;'Calc base'!G$17)))))</f>
        <v>0</v>
      </c>
      <c r="AM132">
        <f>IF('Calc base'!H$14=0,0,MIN(AA132,MAX(0,$E132-SUMPRODUCT($V132:$AG132,'Calc base'!$C$14:$N$14,('Calc base'!$H132:$S132&gt;'Calc base'!M132)+('Calc base'!$H132:$S132='Calc base'!M132)*('Calc base'!$C$17:$N$17&lt;'Calc base'!H$17)))))</f>
        <v>0</v>
      </c>
      <c r="AN132">
        <f>IF('Calc base'!I$14=0,0,MIN(AB132,MAX(0,$E132-SUMPRODUCT($V132:$AG132,'Calc base'!$C$14:$N$14,('Calc base'!$H132:$S132&gt;'Calc base'!N132)+('Calc base'!$H132:$S132='Calc base'!N132)*('Calc base'!$C$17:$N$17&lt;'Calc base'!I$17)))))</f>
        <v>0</v>
      </c>
      <c r="AO132">
        <f>IF('Calc base'!J$14=0,0,MIN(AC132,MAX(0,$E132-SUMPRODUCT($V132:$AG132,'Calc base'!$C$14:$N$14,('Calc base'!$H132:$S132&gt;'Calc base'!O132)+('Calc base'!$H132:$S132='Calc base'!O132)*('Calc base'!$C$17:$N$17&lt;'Calc base'!J$17)))))</f>
        <v>0</v>
      </c>
      <c r="AP132">
        <f>IF('Calc base'!K$14=0,0,MIN(AD132,MAX(0,$E132-SUMPRODUCT($V132:$AG132,'Calc base'!$C$14:$N$14,('Calc base'!$H132:$S132&gt;'Calc base'!P132)+('Calc base'!$H132:$S132='Calc base'!P132)*('Calc base'!$C$17:$N$17&lt;'Calc base'!K$17)))))</f>
        <v>0</v>
      </c>
      <c r="AQ132">
        <f>IF('Calc base'!L$14=0,0,MIN(AE132,MAX(0,$E132-SUMPRODUCT($V132:$AG132,'Calc base'!$C$14:$N$14,('Calc base'!$H132:$S132&gt;'Calc base'!Q132)+('Calc base'!$H132:$S132='Calc base'!Q132)*('Calc base'!$C$17:$N$17&lt;'Calc base'!L$17)))))</f>
        <v>0</v>
      </c>
      <c r="AR132">
        <f>IF('Calc base'!M$14=0,0,MIN(AF132,MAX(0,$E132-SUMPRODUCT($V132:$AG132,'Calc base'!$C$14:$N$14,('Calc base'!$H132:$S132&gt;'Calc base'!R132)+('Calc base'!$H132:$S132='Calc base'!R132)*('Calc base'!$C$17:$N$17&lt;'Calc base'!M$17)))))</f>
        <v>0</v>
      </c>
      <c r="AS132">
        <f>IF('Calc base'!N$14=0,0,MIN(AG132,MAX(0,$E132-SUMPRODUCT($V132:$AG132,'Calc base'!$C$14:$N$14,('Calc base'!$H132:$S132&gt;'Calc base'!S132)+('Calc base'!$H132:$S132='Calc base'!S132)*('Calc base'!$C$17:$N$17&lt;'Calc base'!N$17)))))</f>
        <v>0</v>
      </c>
      <c r="AT132">
        <f>V132-AH132</f>
        <v>0</v>
      </c>
      <c r="AU132">
        <f>W132-AI132</f>
        <v>0</v>
      </c>
      <c r="AV132">
        <f>X132-AJ132</f>
        <v>0</v>
      </c>
      <c r="AW132">
        <f>Y132-AK132</f>
        <v>0</v>
      </c>
      <c r="AX132">
        <f>Z132-AL132</f>
        <v>0</v>
      </c>
      <c r="AY132">
        <f>AA132-AM132</f>
        <v>0</v>
      </c>
      <c r="AZ132">
        <f>AB132-AN132</f>
        <v>0</v>
      </c>
      <c r="BA132">
        <f>AC132-AO132</f>
        <v>0</v>
      </c>
      <c r="BB132">
        <f>AD132-AP132</f>
        <v>0</v>
      </c>
      <c r="BC132">
        <f>AE132-AQ132</f>
        <v>0</v>
      </c>
      <c r="BD132">
        <f>AF132-AR132</f>
        <v>0</v>
      </c>
      <c r="BE132">
        <f>AG132-AS132</f>
        <v>0</v>
      </c>
    </row>
    <row r="133">
      <c r="A133" t="n">
        <v>103</v>
      </c>
      <c r="B133">
        <f>SUMPRODUCT(ROUND($AT132:$BE132*(1+'Calc base'!$H133:$S133),2))</f>
        <v>0</v>
      </c>
      <c r="C133">
        <f>SUM(J133:U133)</f>
        <v>0</v>
      </c>
      <c r="D133">
        <f>SUM(V133:AG133)</f>
        <v>0</v>
      </c>
      <c r="E133">
        <f>MAX(0,IF(Impostazioni!$B$7="No",'Calc base'!$C133-$C$31,'Calc base'!$C133-C133)+'Calc base'!$G133+'Calc base'!$F133-(B133-C133-D133))</f>
        <v>900</v>
      </c>
      <c r="F133">
        <f>SUM(AH133:AS133)</f>
        <v>0</v>
      </c>
      <c r="G133">
        <f>SUM(AT133:BE133)</f>
        <v>0</v>
      </c>
      <c r="H133">
        <f>B133-G132</f>
        <v>0</v>
      </c>
      <c r="I133">
        <f>B133-G133</f>
        <v>0</v>
      </c>
      <c r="J133">
        <f>IF(AT132&lt;=0,0,IF(ROUND(AT132*(1+'Calc base'!H133),2)-MAX('Calc base'!C$12,ROUND('Calc base'!C$13*AT132,2))&lt;1,ROUND(AT132*(1+'Calc base'!H133),2),MAX('Calc base'!C$12,ROUND('Calc base'!C$13*AT132,2))))</f>
        <v>0</v>
      </c>
      <c r="K133">
        <f>IF(AU132&lt;=0,0,IF(ROUND(AU132*(1+'Calc base'!I133),2)-MAX('Calc base'!D$12,ROUND('Calc base'!D$13*AU132,2))&lt;1,ROUND(AU132*(1+'Calc base'!I133),2),MAX('Calc base'!D$12,ROUND('Calc base'!D$13*AU132,2))))</f>
        <v>0</v>
      </c>
      <c r="L133">
        <f>IF(AV132&lt;=0,0,IF(ROUND(AV132*(1+'Calc base'!J133),2)-MAX('Calc base'!E$12,ROUND('Calc base'!E$13*AV132,2))&lt;1,ROUND(AV132*(1+'Calc base'!J133),2),MAX('Calc base'!E$12,ROUND('Calc base'!E$13*AV132,2))))</f>
        <v>0</v>
      </c>
      <c r="M133">
        <f>IF(AW132&lt;=0,0,IF(ROUND(AW132*(1+'Calc base'!K133),2)-MAX('Calc base'!F$12,ROUND('Calc base'!F$13*AW132,2))&lt;1,ROUND(AW132*(1+'Calc base'!K133),2),MAX('Calc base'!F$12,ROUND('Calc base'!F$13*AW132,2))))</f>
        <v>0</v>
      </c>
      <c r="N133">
        <f>IF(AX132&lt;=0,0,IF(ROUND(AX132*(1+'Calc base'!L133),2)-MAX('Calc base'!G$12,ROUND('Calc base'!G$13*AX132,2))&lt;1,ROUND(AX132*(1+'Calc base'!L133),2),MAX('Calc base'!G$12,ROUND('Calc base'!G$13*AX132,2))))</f>
        <v>0</v>
      </c>
      <c r="O133">
        <f>IF(AY132&lt;=0,0,IF(ROUND(AY132*(1+'Calc base'!M133),2)-MAX('Calc base'!H$12,ROUND('Calc base'!H$13*AY132,2))&lt;1,ROUND(AY132*(1+'Calc base'!M133),2),MAX('Calc base'!H$12,ROUND('Calc base'!H$13*AY132,2))))</f>
        <v>0</v>
      </c>
      <c r="P133">
        <f>IF(AZ132&lt;=0,0,IF(ROUND(AZ132*(1+'Calc base'!N133),2)-MAX('Calc base'!I$12,ROUND('Calc base'!I$13*AZ132,2))&lt;1,ROUND(AZ132*(1+'Calc base'!N133),2),MAX('Calc base'!I$12,ROUND('Calc base'!I$13*AZ132,2))))</f>
        <v>0</v>
      </c>
      <c r="Q133">
        <f>IF(BA132&lt;=0,0,IF(ROUND(BA132*(1+'Calc base'!O133),2)-MAX('Calc base'!J$12,ROUND('Calc base'!J$13*BA132,2))&lt;1,ROUND(BA132*(1+'Calc base'!O133),2),MAX('Calc base'!J$12,ROUND('Calc base'!J$13*BA132,2))))</f>
        <v>0</v>
      </c>
      <c r="R133">
        <f>IF(BB132&lt;=0,0,IF(ROUND(BB132*(1+'Calc base'!P133),2)-MAX('Calc base'!K$12,ROUND('Calc base'!K$13*BB132,2))&lt;1,ROUND(BB132*(1+'Calc base'!P133),2),MAX('Calc base'!K$12,ROUND('Calc base'!K$13*BB132,2))))</f>
        <v>0</v>
      </c>
      <c r="S133">
        <f>IF(BC132&lt;=0,0,IF(ROUND(BC132*(1+'Calc base'!Q133),2)-MAX('Calc base'!L$12,ROUND('Calc base'!L$13*BC132,2))&lt;1,ROUND(BC132*(1+'Calc base'!Q133),2),MAX('Calc base'!L$12,ROUND('Calc base'!L$13*BC132,2))))</f>
        <v>0</v>
      </c>
      <c r="T133">
        <f>IF(BD132&lt;=0,0,IF(ROUND(BD132*(1+'Calc base'!R133),2)-MAX('Calc base'!M$12,ROUND('Calc base'!M$13*BD132,2))&lt;1,ROUND(BD132*(1+'Calc base'!R133),2),MAX('Calc base'!M$12,ROUND('Calc base'!M$13*BD132,2))))</f>
        <v>0</v>
      </c>
      <c r="U133">
        <f>IF(BE132&lt;=0,0,IF(ROUND(BE132*(1+'Calc base'!S133),2)-MAX('Calc base'!N$12,ROUND('Calc base'!N$13*BE132,2))&lt;1,ROUND(BE132*(1+'Calc base'!S133),2),MAX('Calc base'!N$12,ROUND('Calc base'!N$13*BE132,2))))</f>
        <v>0</v>
      </c>
      <c r="V133">
        <f>MAX(0,ROUND(AT132*(1+'Calc base'!H133),2)-J133-'Calc base'!T133)</f>
        <v>0</v>
      </c>
      <c r="W133">
        <f>MAX(0,ROUND(AU132*(1+'Calc base'!I133),2)-K133-'Calc base'!U133)</f>
        <v>0</v>
      </c>
      <c r="X133">
        <f>MAX(0,ROUND(AV132*(1+'Calc base'!J133),2)-L133-'Calc base'!V133)</f>
        <v>0</v>
      </c>
      <c r="Y133">
        <f>MAX(0,ROUND(AW132*(1+'Calc base'!K133),2)-M133-'Calc base'!W133)</f>
        <v>0</v>
      </c>
      <c r="Z133">
        <f>MAX(0,ROUND(AX132*(1+'Calc base'!L133),2)-N133-'Calc base'!X133)</f>
        <v>0</v>
      </c>
      <c r="AA133">
        <f>MAX(0,ROUND(AY132*(1+'Calc base'!M133),2)-O133-'Calc base'!Y133)</f>
        <v>0</v>
      </c>
      <c r="AB133">
        <f>MAX(0,ROUND(AZ132*(1+'Calc base'!N133),2)-P133-'Calc base'!Z133)</f>
        <v>0</v>
      </c>
      <c r="AC133">
        <f>MAX(0,ROUND(BA132*(1+'Calc base'!O133),2)-Q133-'Calc base'!AA133)</f>
        <v>0</v>
      </c>
      <c r="AD133">
        <f>MAX(0,ROUND(BB132*(1+'Calc base'!P133),2)-R133-'Calc base'!AB133)</f>
        <v>0</v>
      </c>
      <c r="AE133">
        <f>MAX(0,ROUND(BC132*(1+'Calc base'!Q133),2)-S133-'Calc base'!AC133)</f>
        <v>0</v>
      </c>
      <c r="AF133">
        <f>MAX(0,ROUND(BD132*(1+'Calc base'!R133),2)-T133-'Calc base'!AD133)</f>
        <v>0</v>
      </c>
      <c r="AG133">
        <f>MAX(0,ROUND(BE132*(1+'Calc base'!S133),2)-U133-'Calc base'!AE133)</f>
        <v>0</v>
      </c>
      <c r="AH133">
        <f>IF('Calc base'!C$14=0,0,MIN(V133,MAX(0,$E133-SUMPRODUCT($V133:$AG133,'Calc base'!$C$14:$N$14,('Calc base'!$H133:$S133&gt;'Calc base'!H133)+('Calc base'!$H133:$S133='Calc base'!H133)*('Calc base'!$C$17:$N$17&lt;'Calc base'!C$17)))))</f>
        <v>0</v>
      </c>
      <c r="AI133">
        <f>IF('Calc base'!D$14=0,0,MIN(W133,MAX(0,$E133-SUMPRODUCT($V133:$AG133,'Calc base'!$C$14:$N$14,('Calc base'!$H133:$S133&gt;'Calc base'!I133)+('Calc base'!$H133:$S133='Calc base'!I133)*('Calc base'!$C$17:$N$17&lt;'Calc base'!D$17)))))</f>
        <v>0</v>
      </c>
      <c r="AJ133">
        <f>IF('Calc base'!E$14=0,0,MIN(X133,MAX(0,$E133-SUMPRODUCT($V133:$AG133,'Calc base'!$C$14:$N$14,('Calc base'!$H133:$S133&gt;'Calc base'!J133)+('Calc base'!$H133:$S133='Calc base'!J133)*('Calc base'!$C$17:$N$17&lt;'Calc base'!E$17)))))</f>
        <v>0</v>
      </c>
      <c r="AK133">
        <f>IF('Calc base'!F$14=0,0,MIN(Y133,MAX(0,$E133-SUMPRODUCT($V133:$AG133,'Calc base'!$C$14:$N$14,('Calc base'!$H133:$S133&gt;'Calc base'!K133)+('Calc base'!$H133:$S133='Calc base'!K133)*('Calc base'!$C$17:$N$17&lt;'Calc base'!F$17)))))</f>
        <v>0</v>
      </c>
      <c r="AL133">
        <f>IF('Calc base'!G$14=0,0,MIN(Z133,MAX(0,$E133-SUMPRODUCT($V133:$AG133,'Calc base'!$C$14:$N$14,('Calc base'!$H133:$S133&gt;'Calc base'!L133)+('Calc base'!$H133:$S133='Calc base'!L133)*('Calc base'!$C$17:$N$17&lt;'Calc base'!G$17)))))</f>
        <v>0</v>
      </c>
      <c r="AM133">
        <f>IF('Calc base'!H$14=0,0,MIN(AA133,MAX(0,$E133-SUMPRODUCT($V133:$AG133,'Calc base'!$C$14:$N$14,('Calc base'!$H133:$S133&gt;'Calc base'!M133)+('Calc base'!$H133:$S133='Calc base'!M133)*('Calc base'!$C$17:$N$17&lt;'Calc base'!H$17)))))</f>
        <v>0</v>
      </c>
      <c r="AN133">
        <f>IF('Calc base'!I$14=0,0,MIN(AB133,MAX(0,$E133-SUMPRODUCT($V133:$AG133,'Calc base'!$C$14:$N$14,('Calc base'!$H133:$S133&gt;'Calc base'!N133)+('Calc base'!$H133:$S133='Calc base'!N133)*('Calc base'!$C$17:$N$17&lt;'Calc base'!I$17)))))</f>
        <v>0</v>
      </c>
      <c r="AO133">
        <f>IF('Calc base'!J$14=0,0,MIN(AC133,MAX(0,$E133-SUMPRODUCT($V133:$AG133,'Calc base'!$C$14:$N$14,('Calc base'!$H133:$S133&gt;'Calc base'!O133)+('Calc base'!$H133:$S133='Calc base'!O133)*('Calc base'!$C$17:$N$17&lt;'Calc base'!J$17)))))</f>
        <v>0</v>
      </c>
      <c r="AP133">
        <f>IF('Calc base'!K$14=0,0,MIN(AD133,MAX(0,$E133-SUMPRODUCT($V133:$AG133,'Calc base'!$C$14:$N$14,('Calc base'!$H133:$S133&gt;'Calc base'!P133)+('Calc base'!$H133:$S133='Calc base'!P133)*('Calc base'!$C$17:$N$17&lt;'Calc base'!K$17)))))</f>
        <v>0</v>
      </c>
      <c r="AQ133">
        <f>IF('Calc base'!L$14=0,0,MIN(AE133,MAX(0,$E133-SUMPRODUCT($V133:$AG133,'Calc base'!$C$14:$N$14,('Calc base'!$H133:$S133&gt;'Calc base'!Q133)+('Calc base'!$H133:$S133='Calc base'!Q133)*('Calc base'!$C$17:$N$17&lt;'Calc base'!L$17)))))</f>
        <v>0</v>
      </c>
      <c r="AR133">
        <f>IF('Calc base'!M$14=0,0,MIN(AF133,MAX(0,$E133-SUMPRODUCT($V133:$AG133,'Calc base'!$C$14:$N$14,('Calc base'!$H133:$S133&gt;'Calc base'!R133)+('Calc base'!$H133:$S133='Calc base'!R133)*('Calc base'!$C$17:$N$17&lt;'Calc base'!M$17)))))</f>
        <v>0</v>
      </c>
      <c r="AS133">
        <f>IF('Calc base'!N$14=0,0,MIN(AG133,MAX(0,$E133-SUMPRODUCT($V133:$AG133,'Calc base'!$C$14:$N$14,('Calc base'!$H133:$S133&gt;'Calc base'!S133)+('Calc base'!$H133:$S133='Calc base'!S133)*('Calc base'!$C$17:$N$17&lt;'Calc base'!N$17)))))</f>
        <v>0</v>
      </c>
      <c r="AT133">
        <f>V133-AH133</f>
        <v>0</v>
      </c>
      <c r="AU133">
        <f>W133-AI133</f>
        <v>0</v>
      </c>
      <c r="AV133">
        <f>X133-AJ133</f>
        <v>0</v>
      </c>
      <c r="AW133">
        <f>Y133-AK133</f>
        <v>0</v>
      </c>
      <c r="AX133">
        <f>Z133-AL133</f>
        <v>0</v>
      </c>
      <c r="AY133">
        <f>AA133-AM133</f>
        <v>0</v>
      </c>
      <c r="AZ133">
        <f>AB133-AN133</f>
        <v>0</v>
      </c>
      <c r="BA133">
        <f>AC133-AO133</f>
        <v>0</v>
      </c>
      <c r="BB133">
        <f>AD133-AP133</f>
        <v>0</v>
      </c>
      <c r="BC133">
        <f>AE133-AQ133</f>
        <v>0</v>
      </c>
      <c r="BD133">
        <f>AF133-AR133</f>
        <v>0</v>
      </c>
      <c r="BE133">
        <f>AG133-AS133</f>
        <v>0</v>
      </c>
    </row>
    <row r="134">
      <c r="A134" t="n">
        <v>104</v>
      </c>
      <c r="B134">
        <f>SUMPRODUCT(ROUND($AT133:$BE133*(1+'Calc base'!$H134:$S134),2))</f>
        <v>0</v>
      </c>
      <c r="C134">
        <f>SUM(J134:U134)</f>
        <v>0</v>
      </c>
      <c r="D134">
        <f>SUM(V134:AG134)</f>
        <v>0</v>
      </c>
      <c r="E134">
        <f>MAX(0,IF(Impostazioni!$B$7="No",'Calc base'!$C134-$C$31,'Calc base'!$C134-C134)+'Calc base'!$G134+'Calc base'!$F134-(B134-C134-D134))</f>
        <v>900</v>
      </c>
      <c r="F134">
        <f>SUM(AH134:AS134)</f>
        <v>0</v>
      </c>
      <c r="G134">
        <f>SUM(AT134:BE134)</f>
        <v>0</v>
      </c>
      <c r="H134">
        <f>B134-G133</f>
        <v>0</v>
      </c>
      <c r="I134">
        <f>B134-G134</f>
        <v>0</v>
      </c>
      <c r="J134">
        <f>IF(AT133&lt;=0,0,IF(ROUND(AT133*(1+'Calc base'!H134),2)-MAX('Calc base'!C$12,ROUND('Calc base'!C$13*AT133,2))&lt;1,ROUND(AT133*(1+'Calc base'!H134),2),MAX('Calc base'!C$12,ROUND('Calc base'!C$13*AT133,2))))</f>
        <v>0</v>
      </c>
      <c r="K134">
        <f>IF(AU133&lt;=0,0,IF(ROUND(AU133*(1+'Calc base'!I134),2)-MAX('Calc base'!D$12,ROUND('Calc base'!D$13*AU133,2))&lt;1,ROUND(AU133*(1+'Calc base'!I134),2),MAX('Calc base'!D$12,ROUND('Calc base'!D$13*AU133,2))))</f>
        <v>0</v>
      </c>
      <c r="L134">
        <f>IF(AV133&lt;=0,0,IF(ROUND(AV133*(1+'Calc base'!J134),2)-MAX('Calc base'!E$12,ROUND('Calc base'!E$13*AV133,2))&lt;1,ROUND(AV133*(1+'Calc base'!J134),2),MAX('Calc base'!E$12,ROUND('Calc base'!E$13*AV133,2))))</f>
        <v>0</v>
      </c>
      <c r="M134">
        <f>IF(AW133&lt;=0,0,IF(ROUND(AW133*(1+'Calc base'!K134),2)-MAX('Calc base'!F$12,ROUND('Calc base'!F$13*AW133,2))&lt;1,ROUND(AW133*(1+'Calc base'!K134),2),MAX('Calc base'!F$12,ROUND('Calc base'!F$13*AW133,2))))</f>
        <v>0</v>
      </c>
      <c r="N134">
        <f>IF(AX133&lt;=0,0,IF(ROUND(AX133*(1+'Calc base'!L134),2)-MAX('Calc base'!G$12,ROUND('Calc base'!G$13*AX133,2))&lt;1,ROUND(AX133*(1+'Calc base'!L134),2),MAX('Calc base'!G$12,ROUND('Calc base'!G$13*AX133,2))))</f>
        <v>0</v>
      </c>
      <c r="O134">
        <f>IF(AY133&lt;=0,0,IF(ROUND(AY133*(1+'Calc base'!M134),2)-MAX('Calc base'!H$12,ROUND('Calc base'!H$13*AY133,2))&lt;1,ROUND(AY133*(1+'Calc base'!M134),2),MAX('Calc base'!H$12,ROUND('Calc base'!H$13*AY133,2))))</f>
        <v>0</v>
      </c>
      <c r="P134">
        <f>IF(AZ133&lt;=0,0,IF(ROUND(AZ133*(1+'Calc base'!N134),2)-MAX('Calc base'!I$12,ROUND('Calc base'!I$13*AZ133,2))&lt;1,ROUND(AZ133*(1+'Calc base'!N134),2),MAX('Calc base'!I$12,ROUND('Calc base'!I$13*AZ133,2))))</f>
        <v>0</v>
      </c>
      <c r="Q134">
        <f>IF(BA133&lt;=0,0,IF(ROUND(BA133*(1+'Calc base'!O134),2)-MAX('Calc base'!J$12,ROUND('Calc base'!J$13*BA133,2))&lt;1,ROUND(BA133*(1+'Calc base'!O134),2),MAX('Calc base'!J$12,ROUND('Calc base'!J$13*BA133,2))))</f>
        <v>0</v>
      </c>
      <c r="R134">
        <f>IF(BB133&lt;=0,0,IF(ROUND(BB133*(1+'Calc base'!P134),2)-MAX('Calc base'!K$12,ROUND('Calc base'!K$13*BB133,2))&lt;1,ROUND(BB133*(1+'Calc base'!P134),2),MAX('Calc base'!K$12,ROUND('Calc base'!K$13*BB133,2))))</f>
        <v>0</v>
      </c>
      <c r="S134">
        <f>IF(BC133&lt;=0,0,IF(ROUND(BC133*(1+'Calc base'!Q134),2)-MAX('Calc base'!L$12,ROUND('Calc base'!L$13*BC133,2))&lt;1,ROUND(BC133*(1+'Calc base'!Q134),2),MAX('Calc base'!L$12,ROUND('Calc base'!L$13*BC133,2))))</f>
        <v>0</v>
      </c>
      <c r="T134">
        <f>IF(BD133&lt;=0,0,IF(ROUND(BD133*(1+'Calc base'!R134),2)-MAX('Calc base'!M$12,ROUND('Calc base'!M$13*BD133,2))&lt;1,ROUND(BD133*(1+'Calc base'!R134),2),MAX('Calc base'!M$12,ROUND('Calc base'!M$13*BD133,2))))</f>
        <v>0</v>
      </c>
      <c r="U134">
        <f>IF(BE133&lt;=0,0,IF(ROUND(BE133*(1+'Calc base'!S134),2)-MAX('Calc base'!N$12,ROUND('Calc base'!N$13*BE133,2))&lt;1,ROUND(BE133*(1+'Calc base'!S134),2),MAX('Calc base'!N$12,ROUND('Calc base'!N$13*BE133,2))))</f>
        <v>0</v>
      </c>
      <c r="V134">
        <f>MAX(0,ROUND(AT133*(1+'Calc base'!H134),2)-J134-'Calc base'!T134)</f>
        <v>0</v>
      </c>
      <c r="W134">
        <f>MAX(0,ROUND(AU133*(1+'Calc base'!I134),2)-K134-'Calc base'!U134)</f>
        <v>0</v>
      </c>
      <c r="X134">
        <f>MAX(0,ROUND(AV133*(1+'Calc base'!J134),2)-L134-'Calc base'!V134)</f>
        <v>0</v>
      </c>
      <c r="Y134">
        <f>MAX(0,ROUND(AW133*(1+'Calc base'!K134),2)-M134-'Calc base'!W134)</f>
        <v>0</v>
      </c>
      <c r="Z134">
        <f>MAX(0,ROUND(AX133*(1+'Calc base'!L134),2)-N134-'Calc base'!X134)</f>
        <v>0</v>
      </c>
      <c r="AA134">
        <f>MAX(0,ROUND(AY133*(1+'Calc base'!M134),2)-O134-'Calc base'!Y134)</f>
        <v>0</v>
      </c>
      <c r="AB134">
        <f>MAX(0,ROUND(AZ133*(1+'Calc base'!N134),2)-P134-'Calc base'!Z134)</f>
        <v>0</v>
      </c>
      <c r="AC134">
        <f>MAX(0,ROUND(BA133*(1+'Calc base'!O134),2)-Q134-'Calc base'!AA134)</f>
        <v>0</v>
      </c>
      <c r="AD134">
        <f>MAX(0,ROUND(BB133*(1+'Calc base'!P134),2)-R134-'Calc base'!AB134)</f>
        <v>0</v>
      </c>
      <c r="AE134">
        <f>MAX(0,ROUND(BC133*(1+'Calc base'!Q134),2)-S134-'Calc base'!AC134)</f>
        <v>0</v>
      </c>
      <c r="AF134">
        <f>MAX(0,ROUND(BD133*(1+'Calc base'!R134),2)-T134-'Calc base'!AD134)</f>
        <v>0</v>
      </c>
      <c r="AG134">
        <f>MAX(0,ROUND(BE133*(1+'Calc base'!S134),2)-U134-'Calc base'!AE134)</f>
        <v>0</v>
      </c>
      <c r="AH134">
        <f>IF('Calc base'!C$14=0,0,MIN(V134,MAX(0,$E134-SUMPRODUCT($V134:$AG134,'Calc base'!$C$14:$N$14,('Calc base'!$H134:$S134&gt;'Calc base'!H134)+('Calc base'!$H134:$S134='Calc base'!H134)*('Calc base'!$C$17:$N$17&lt;'Calc base'!C$17)))))</f>
        <v>0</v>
      </c>
      <c r="AI134">
        <f>IF('Calc base'!D$14=0,0,MIN(W134,MAX(0,$E134-SUMPRODUCT($V134:$AG134,'Calc base'!$C$14:$N$14,('Calc base'!$H134:$S134&gt;'Calc base'!I134)+('Calc base'!$H134:$S134='Calc base'!I134)*('Calc base'!$C$17:$N$17&lt;'Calc base'!D$17)))))</f>
        <v>0</v>
      </c>
      <c r="AJ134">
        <f>IF('Calc base'!E$14=0,0,MIN(X134,MAX(0,$E134-SUMPRODUCT($V134:$AG134,'Calc base'!$C$14:$N$14,('Calc base'!$H134:$S134&gt;'Calc base'!J134)+('Calc base'!$H134:$S134='Calc base'!J134)*('Calc base'!$C$17:$N$17&lt;'Calc base'!E$17)))))</f>
        <v>0</v>
      </c>
      <c r="AK134">
        <f>IF('Calc base'!F$14=0,0,MIN(Y134,MAX(0,$E134-SUMPRODUCT($V134:$AG134,'Calc base'!$C$14:$N$14,('Calc base'!$H134:$S134&gt;'Calc base'!K134)+('Calc base'!$H134:$S134='Calc base'!K134)*('Calc base'!$C$17:$N$17&lt;'Calc base'!F$17)))))</f>
        <v>0</v>
      </c>
      <c r="AL134">
        <f>IF('Calc base'!G$14=0,0,MIN(Z134,MAX(0,$E134-SUMPRODUCT($V134:$AG134,'Calc base'!$C$14:$N$14,('Calc base'!$H134:$S134&gt;'Calc base'!L134)+('Calc base'!$H134:$S134='Calc base'!L134)*('Calc base'!$C$17:$N$17&lt;'Calc base'!G$17)))))</f>
        <v>0</v>
      </c>
      <c r="AM134">
        <f>IF('Calc base'!H$14=0,0,MIN(AA134,MAX(0,$E134-SUMPRODUCT($V134:$AG134,'Calc base'!$C$14:$N$14,('Calc base'!$H134:$S134&gt;'Calc base'!M134)+('Calc base'!$H134:$S134='Calc base'!M134)*('Calc base'!$C$17:$N$17&lt;'Calc base'!H$17)))))</f>
        <v>0</v>
      </c>
      <c r="AN134">
        <f>IF('Calc base'!I$14=0,0,MIN(AB134,MAX(0,$E134-SUMPRODUCT($V134:$AG134,'Calc base'!$C$14:$N$14,('Calc base'!$H134:$S134&gt;'Calc base'!N134)+('Calc base'!$H134:$S134='Calc base'!N134)*('Calc base'!$C$17:$N$17&lt;'Calc base'!I$17)))))</f>
        <v>0</v>
      </c>
      <c r="AO134">
        <f>IF('Calc base'!J$14=0,0,MIN(AC134,MAX(0,$E134-SUMPRODUCT($V134:$AG134,'Calc base'!$C$14:$N$14,('Calc base'!$H134:$S134&gt;'Calc base'!O134)+('Calc base'!$H134:$S134='Calc base'!O134)*('Calc base'!$C$17:$N$17&lt;'Calc base'!J$17)))))</f>
        <v>0</v>
      </c>
      <c r="AP134">
        <f>IF('Calc base'!K$14=0,0,MIN(AD134,MAX(0,$E134-SUMPRODUCT($V134:$AG134,'Calc base'!$C$14:$N$14,('Calc base'!$H134:$S134&gt;'Calc base'!P134)+('Calc base'!$H134:$S134='Calc base'!P134)*('Calc base'!$C$17:$N$17&lt;'Calc base'!K$17)))))</f>
        <v>0</v>
      </c>
      <c r="AQ134">
        <f>IF('Calc base'!L$14=0,0,MIN(AE134,MAX(0,$E134-SUMPRODUCT($V134:$AG134,'Calc base'!$C$14:$N$14,('Calc base'!$H134:$S134&gt;'Calc base'!Q134)+('Calc base'!$H134:$S134='Calc base'!Q134)*('Calc base'!$C$17:$N$17&lt;'Calc base'!L$17)))))</f>
        <v>0</v>
      </c>
      <c r="AR134">
        <f>IF('Calc base'!M$14=0,0,MIN(AF134,MAX(0,$E134-SUMPRODUCT($V134:$AG134,'Calc base'!$C$14:$N$14,('Calc base'!$H134:$S134&gt;'Calc base'!R134)+('Calc base'!$H134:$S134='Calc base'!R134)*('Calc base'!$C$17:$N$17&lt;'Calc base'!M$17)))))</f>
        <v>0</v>
      </c>
      <c r="AS134">
        <f>IF('Calc base'!N$14=0,0,MIN(AG134,MAX(0,$E134-SUMPRODUCT($V134:$AG134,'Calc base'!$C$14:$N$14,('Calc base'!$H134:$S134&gt;'Calc base'!S134)+('Calc base'!$H134:$S134='Calc base'!S134)*('Calc base'!$C$17:$N$17&lt;'Calc base'!N$17)))))</f>
        <v>0</v>
      </c>
      <c r="AT134">
        <f>V134-AH134</f>
        <v>0</v>
      </c>
      <c r="AU134">
        <f>W134-AI134</f>
        <v>0</v>
      </c>
      <c r="AV134">
        <f>X134-AJ134</f>
        <v>0</v>
      </c>
      <c r="AW134">
        <f>Y134-AK134</f>
        <v>0</v>
      </c>
      <c r="AX134">
        <f>Z134-AL134</f>
        <v>0</v>
      </c>
      <c r="AY134">
        <f>AA134-AM134</f>
        <v>0</v>
      </c>
      <c r="AZ134">
        <f>AB134-AN134</f>
        <v>0</v>
      </c>
      <c r="BA134">
        <f>AC134-AO134</f>
        <v>0</v>
      </c>
      <c r="BB134">
        <f>AD134-AP134</f>
        <v>0</v>
      </c>
      <c r="BC134">
        <f>AE134-AQ134</f>
        <v>0</v>
      </c>
      <c r="BD134">
        <f>AF134-AR134</f>
        <v>0</v>
      </c>
      <c r="BE134">
        <f>AG134-AS134</f>
        <v>0</v>
      </c>
    </row>
    <row r="135">
      <c r="A135" t="n">
        <v>105</v>
      </c>
      <c r="B135">
        <f>SUMPRODUCT(ROUND($AT134:$BE134*(1+'Calc base'!$H135:$S135),2))</f>
        <v>0</v>
      </c>
      <c r="C135">
        <f>SUM(J135:U135)</f>
        <v>0</v>
      </c>
      <c r="D135">
        <f>SUM(V135:AG135)</f>
        <v>0</v>
      </c>
      <c r="E135">
        <f>MAX(0,IF(Impostazioni!$B$7="No",'Calc base'!$C135-$C$31,'Calc base'!$C135-C135)+'Calc base'!$G135+'Calc base'!$F135-(B135-C135-D135))</f>
        <v>900</v>
      </c>
      <c r="F135">
        <f>SUM(AH135:AS135)</f>
        <v>0</v>
      </c>
      <c r="G135">
        <f>SUM(AT135:BE135)</f>
        <v>0</v>
      </c>
      <c r="H135">
        <f>B135-G134</f>
        <v>0</v>
      </c>
      <c r="I135">
        <f>B135-G135</f>
        <v>0</v>
      </c>
      <c r="J135">
        <f>IF(AT134&lt;=0,0,IF(ROUND(AT134*(1+'Calc base'!H135),2)-MAX('Calc base'!C$12,ROUND('Calc base'!C$13*AT134,2))&lt;1,ROUND(AT134*(1+'Calc base'!H135),2),MAX('Calc base'!C$12,ROUND('Calc base'!C$13*AT134,2))))</f>
        <v>0</v>
      </c>
      <c r="K135">
        <f>IF(AU134&lt;=0,0,IF(ROUND(AU134*(1+'Calc base'!I135),2)-MAX('Calc base'!D$12,ROUND('Calc base'!D$13*AU134,2))&lt;1,ROUND(AU134*(1+'Calc base'!I135),2),MAX('Calc base'!D$12,ROUND('Calc base'!D$13*AU134,2))))</f>
        <v>0</v>
      </c>
      <c r="L135">
        <f>IF(AV134&lt;=0,0,IF(ROUND(AV134*(1+'Calc base'!J135),2)-MAX('Calc base'!E$12,ROUND('Calc base'!E$13*AV134,2))&lt;1,ROUND(AV134*(1+'Calc base'!J135),2),MAX('Calc base'!E$12,ROUND('Calc base'!E$13*AV134,2))))</f>
        <v>0</v>
      </c>
      <c r="M135">
        <f>IF(AW134&lt;=0,0,IF(ROUND(AW134*(1+'Calc base'!K135),2)-MAX('Calc base'!F$12,ROUND('Calc base'!F$13*AW134,2))&lt;1,ROUND(AW134*(1+'Calc base'!K135),2),MAX('Calc base'!F$12,ROUND('Calc base'!F$13*AW134,2))))</f>
        <v>0</v>
      </c>
      <c r="N135">
        <f>IF(AX134&lt;=0,0,IF(ROUND(AX134*(1+'Calc base'!L135),2)-MAX('Calc base'!G$12,ROUND('Calc base'!G$13*AX134,2))&lt;1,ROUND(AX134*(1+'Calc base'!L135),2),MAX('Calc base'!G$12,ROUND('Calc base'!G$13*AX134,2))))</f>
        <v>0</v>
      </c>
      <c r="O135">
        <f>IF(AY134&lt;=0,0,IF(ROUND(AY134*(1+'Calc base'!M135),2)-MAX('Calc base'!H$12,ROUND('Calc base'!H$13*AY134,2))&lt;1,ROUND(AY134*(1+'Calc base'!M135),2),MAX('Calc base'!H$12,ROUND('Calc base'!H$13*AY134,2))))</f>
        <v>0</v>
      </c>
      <c r="P135">
        <f>IF(AZ134&lt;=0,0,IF(ROUND(AZ134*(1+'Calc base'!N135),2)-MAX('Calc base'!I$12,ROUND('Calc base'!I$13*AZ134,2))&lt;1,ROUND(AZ134*(1+'Calc base'!N135),2),MAX('Calc base'!I$12,ROUND('Calc base'!I$13*AZ134,2))))</f>
        <v>0</v>
      </c>
      <c r="Q135">
        <f>IF(BA134&lt;=0,0,IF(ROUND(BA134*(1+'Calc base'!O135),2)-MAX('Calc base'!J$12,ROUND('Calc base'!J$13*BA134,2))&lt;1,ROUND(BA134*(1+'Calc base'!O135),2),MAX('Calc base'!J$12,ROUND('Calc base'!J$13*BA134,2))))</f>
        <v>0</v>
      </c>
      <c r="R135">
        <f>IF(BB134&lt;=0,0,IF(ROUND(BB134*(1+'Calc base'!P135),2)-MAX('Calc base'!K$12,ROUND('Calc base'!K$13*BB134,2))&lt;1,ROUND(BB134*(1+'Calc base'!P135),2),MAX('Calc base'!K$12,ROUND('Calc base'!K$13*BB134,2))))</f>
        <v>0</v>
      </c>
      <c r="S135">
        <f>IF(BC134&lt;=0,0,IF(ROUND(BC134*(1+'Calc base'!Q135),2)-MAX('Calc base'!L$12,ROUND('Calc base'!L$13*BC134,2))&lt;1,ROUND(BC134*(1+'Calc base'!Q135),2),MAX('Calc base'!L$12,ROUND('Calc base'!L$13*BC134,2))))</f>
        <v>0</v>
      </c>
      <c r="T135">
        <f>IF(BD134&lt;=0,0,IF(ROUND(BD134*(1+'Calc base'!R135),2)-MAX('Calc base'!M$12,ROUND('Calc base'!M$13*BD134,2))&lt;1,ROUND(BD134*(1+'Calc base'!R135),2),MAX('Calc base'!M$12,ROUND('Calc base'!M$13*BD134,2))))</f>
        <v>0</v>
      </c>
      <c r="U135">
        <f>IF(BE134&lt;=0,0,IF(ROUND(BE134*(1+'Calc base'!S135),2)-MAX('Calc base'!N$12,ROUND('Calc base'!N$13*BE134,2))&lt;1,ROUND(BE134*(1+'Calc base'!S135),2),MAX('Calc base'!N$12,ROUND('Calc base'!N$13*BE134,2))))</f>
        <v>0</v>
      </c>
      <c r="V135">
        <f>MAX(0,ROUND(AT134*(1+'Calc base'!H135),2)-J135-'Calc base'!T135)</f>
        <v>0</v>
      </c>
      <c r="W135">
        <f>MAX(0,ROUND(AU134*(1+'Calc base'!I135),2)-K135-'Calc base'!U135)</f>
        <v>0</v>
      </c>
      <c r="X135">
        <f>MAX(0,ROUND(AV134*(1+'Calc base'!J135),2)-L135-'Calc base'!V135)</f>
        <v>0</v>
      </c>
      <c r="Y135">
        <f>MAX(0,ROUND(AW134*(1+'Calc base'!K135),2)-M135-'Calc base'!W135)</f>
        <v>0</v>
      </c>
      <c r="Z135">
        <f>MAX(0,ROUND(AX134*(1+'Calc base'!L135),2)-N135-'Calc base'!X135)</f>
        <v>0</v>
      </c>
      <c r="AA135">
        <f>MAX(0,ROUND(AY134*(1+'Calc base'!M135),2)-O135-'Calc base'!Y135)</f>
        <v>0</v>
      </c>
      <c r="AB135">
        <f>MAX(0,ROUND(AZ134*(1+'Calc base'!N135),2)-P135-'Calc base'!Z135)</f>
        <v>0</v>
      </c>
      <c r="AC135">
        <f>MAX(0,ROUND(BA134*(1+'Calc base'!O135),2)-Q135-'Calc base'!AA135)</f>
        <v>0</v>
      </c>
      <c r="AD135">
        <f>MAX(0,ROUND(BB134*(1+'Calc base'!P135),2)-R135-'Calc base'!AB135)</f>
        <v>0</v>
      </c>
      <c r="AE135">
        <f>MAX(0,ROUND(BC134*(1+'Calc base'!Q135),2)-S135-'Calc base'!AC135)</f>
        <v>0</v>
      </c>
      <c r="AF135">
        <f>MAX(0,ROUND(BD134*(1+'Calc base'!R135),2)-T135-'Calc base'!AD135)</f>
        <v>0</v>
      </c>
      <c r="AG135">
        <f>MAX(0,ROUND(BE134*(1+'Calc base'!S135),2)-U135-'Calc base'!AE135)</f>
        <v>0</v>
      </c>
      <c r="AH135">
        <f>IF('Calc base'!C$14=0,0,MIN(V135,MAX(0,$E135-SUMPRODUCT($V135:$AG135,'Calc base'!$C$14:$N$14,('Calc base'!$H135:$S135&gt;'Calc base'!H135)+('Calc base'!$H135:$S135='Calc base'!H135)*('Calc base'!$C$17:$N$17&lt;'Calc base'!C$17)))))</f>
        <v>0</v>
      </c>
      <c r="AI135">
        <f>IF('Calc base'!D$14=0,0,MIN(W135,MAX(0,$E135-SUMPRODUCT($V135:$AG135,'Calc base'!$C$14:$N$14,('Calc base'!$H135:$S135&gt;'Calc base'!I135)+('Calc base'!$H135:$S135='Calc base'!I135)*('Calc base'!$C$17:$N$17&lt;'Calc base'!D$17)))))</f>
        <v>0</v>
      </c>
      <c r="AJ135">
        <f>IF('Calc base'!E$14=0,0,MIN(X135,MAX(0,$E135-SUMPRODUCT($V135:$AG135,'Calc base'!$C$14:$N$14,('Calc base'!$H135:$S135&gt;'Calc base'!J135)+('Calc base'!$H135:$S135='Calc base'!J135)*('Calc base'!$C$17:$N$17&lt;'Calc base'!E$17)))))</f>
        <v>0</v>
      </c>
      <c r="AK135">
        <f>IF('Calc base'!F$14=0,0,MIN(Y135,MAX(0,$E135-SUMPRODUCT($V135:$AG135,'Calc base'!$C$14:$N$14,('Calc base'!$H135:$S135&gt;'Calc base'!K135)+('Calc base'!$H135:$S135='Calc base'!K135)*('Calc base'!$C$17:$N$17&lt;'Calc base'!F$17)))))</f>
        <v>0</v>
      </c>
      <c r="AL135">
        <f>IF('Calc base'!G$14=0,0,MIN(Z135,MAX(0,$E135-SUMPRODUCT($V135:$AG135,'Calc base'!$C$14:$N$14,('Calc base'!$H135:$S135&gt;'Calc base'!L135)+('Calc base'!$H135:$S135='Calc base'!L135)*('Calc base'!$C$17:$N$17&lt;'Calc base'!G$17)))))</f>
        <v>0</v>
      </c>
      <c r="AM135">
        <f>IF('Calc base'!H$14=0,0,MIN(AA135,MAX(0,$E135-SUMPRODUCT($V135:$AG135,'Calc base'!$C$14:$N$14,('Calc base'!$H135:$S135&gt;'Calc base'!M135)+('Calc base'!$H135:$S135='Calc base'!M135)*('Calc base'!$C$17:$N$17&lt;'Calc base'!H$17)))))</f>
        <v>0</v>
      </c>
      <c r="AN135">
        <f>IF('Calc base'!I$14=0,0,MIN(AB135,MAX(0,$E135-SUMPRODUCT($V135:$AG135,'Calc base'!$C$14:$N$14,('Calc base'!$H135:$S135&gt;'Calc base'!N135)+('Calc base'!$H135:$S135='Calc base'!N135)*('Calc base'!$C$17:$N$17&lt;'Calc base'!I$17)))))</f>
        <v>0</v>
      </c>
      <c r="AO135">
        <f>IF('Calc base'!J$14=0,0,MIN(AC135,MAX(0,$E135-SUMPRODUCT($V135:$AG135,'Calc base'!$C$14:$N$14,('Calc base'!$H135:$S135&gt;'Calc base'!O135)+('Calc base'!$H135:$S135='Calc base'!O135)*('Calc base'!$C$17:$N$17&lt;'Calc base'!J$17)))))</f>
        <v>0</v>
      </c>
      <c r="AP135">
        <f>IF('Calc base'!K$14=0,0,MIN(AD135,MAX(0,$E135-SUMPRODUCT($V135:$AG135,'Calc base'!$C$14:$N$14,('Calc base'!$H135:$S135&gt;'Calc base'!P135)+('Calc base'!$H135:$S135='Calc base'!P135)*('Calc base'!$C$17:$N$17&lt;'Calc base'!K$17)))))</f>
        <v>0</v>
      </c>
      <c r="AQ135">
        <f>IF('Calc base'!L$14=0,0,MIN(AE135,MAX(0,$E135-SUMPRODUCT($V135:$AG135,'Calc base'!$C$14:$N$14,('Calc base'!$H135:$S135&gt;'Calc base'!Q135)+('Calc base'!$H135:$S135='Calc base'!Q135)*('Calc base'!$C$17:$N$17&lt;'Calc base'!L$17)))))</f>
        <v>0</v>
      </c>
      <c r="AR135">
        <f>IF('Calc base'!M$14=0,0,MIN(AF135,MAX(0,$E135-SUMPRODUCT($V135:$AG135,'Calc base'!$C$14:$N$14,('Calc base'!$H135:$S135&gt;'Calc base'!R135)+('Calc base'!$H135:$S135='Calc base'!R135)*('Calc base'!$C$17:$N$17&lt;'Calc base'!M$17)))))</f>
        <v>0</v>
      </c>
      <c r="AS135">
        <f>IF('Calc base'!N$14=0,0,MIN(AG135,MAX(0,$E135-SUMPRODUCT($V135:$AG135,'Calc base'!$C$14:$N$14,('Calc base'!$H135:$S135&gt;'Calc base'!S135)+('Calc base'!$H135:$S135='Calc base'!S135)*('Calc base'!$C$17:$N$17&lt;'Calc base'!N$17)))))</f>
        <v>0</v>
      </c>
      <c r="AT135">
        <f>V135-AH135</f>
        <v>0</v>
      </c>
      <c r="AU135">
        <f>W135-AI135</f>
        <v>0</v>
      </c>
      <c r="AV135">
        <f>X135-AJ135</f>
        <v>0</v>
      </c>
      <c r="AW135">
        <f>Y135-AK135</f>
        <v>0</v>
      </c>
      <c r="AX135">
        <f>Z135-AL135</f>
        <v>0</v>
      </c>
      <c r="AY135">
        <f>AA135-AM135</f>
        <v>0</v>
      </c>
      <c r="AZ135">
        <f>AB135-AN135</f>
        <v>0</v>
      </c>
      <c r="BA135">
        <f>AC135-AO135</f>
        <v>0</v>
      </c>
      <c r="BB135">
        <f>AD135-AP135</f>
        <v>0</v>
      </c>
      <c r="BC135">
        <f>AE135-AQ135</f>
        <v>0</v>
      </c>
      <c r="BD135">
        <f>AF135-AR135</f>
        <v>0</v>
      </c>
      <c r="BE135">
        <f>AG135-AS135</f>
        <v>0</v>
      </c>
    </row>
    <row r="136">
      <c r="A136" t="n">
        <v>106</v>
      </c>
      <c r="B136">
        <f>SUMPRODUCT(ROUND($AT135:$BE135*(1+'Calc base'!$H136:$S136),2))</f>
        <v>0</v>
      </c>
      <c r="C136">
        <f>SUM(J136:U136)</f>
        <v>0</v>
      </c>
      <c r="D136">
        <f>SUM(V136:AG136)</f>
        <v>0</v>
      </c>
      <c r="E136">
        <f>MAX(0,IF(Impostazioni!$B$7="No",'Calc base'!$C136-$C$31,'Calc base'!$C136-C136)+'Calc base'!$G136+'Calc base'!$F136-(B136-C136-D136))</f>
        <v>900</v>
      </c>
      <c r="F136">
        <f>SUM(AH136:AS136)</f>
        <v>0</v>
      </c>
      <c r="G136">
        <f>SUM(AT136:BE136)</f>
        <v>0</v>
      </c>
      <c r="H136">
        <f>B136-G135</f>
        <v>0</v>
      </c>
      <c r="I136">
        <f>B136-G136</f>
        <v>0</v>
      </c>
      <c r="J136">
        <f>IF(AT135&lt;=0,0,IF(ROUND(AT135*(1+'Calc base'!H136),2)-MAX('Calc base'!C$12,ROUND('Calc base'!C$13*AT135,2))&lt;1,ROUND(AT135*(1+'Calc base'!H136),2),MAX('Calc base'!C$12,ROUND('Calc base'!C$13*AT135,2))))</f>
        <v>0</v>
      </c>
      <c r="K136">
        <f>IF(AU135&lt;=0,0,IF(ROUND(AU135*(1+'Calc base'!I136),2)-MAX('Calc base'!D$12,ROUND('Calc base'!D$13*AU135,2))&lt;1,ROUND(AU135*(1+'Calc base'!I136),2),MAX('Calc base'!D$12,ROUND('Calc base'!D$13*AU135,2))))</f>
        <v>0</v>
      </c>
      <c r="L136">
        <f>IF(AV135&lt;=0,0,IF(ROUND(AV135*(1+'Calc base'!J136),2)-MAX('Calc base'!E$12,ROUND('Calc base'!E$13*AV135,2))&lt;1,ROUND(AV135*(1+'Calc base'!J136),2),MAX('Calc base'!E$12,ROUND('Calc base'!E$13*AV135,2))))</f>
        <v>0</v>
      </c>
      <c r="M136">
        <f>IF(AW135&lt;=0,0,IF(ROUND(AW135*(1+'Calc base'!K136),2)-MAX('Calc base'!F$12,ROUND('Calc base'!F$13*AW135,2))&lt;1,ROUND(AW135*(1+'Calc base'!K136),2),MAX('Calc base'!F$12,ROUND('Calc base'!F$13*AW135,2))))</f>
        <v>0</v>
      </c>
      <c r="N136">
        <f>IF(AX135&lt;=0,0,IF(ROUND(AX135*(1+'Calc base'!L136),2)-MAX('Calc base'!G$12,ROUND('Calc base'!G$13*AX135,2))&lt;1,ROUND(AX135*(1+'Calc base'!L136),2),MAX('Calc base'!G$12,ROUND('Calc base'!G$13*AX135,2))))</f>
        <v>0</v>
      </c>
      <c r="O136">
        <f>IF(AY135&lt;=0,0,IF(ROUND(AY135*(1+'Calc base'!M136),2)-MAX('Calc base'!H$12,ROUND('Calc base'!H$13*AY135,2))&lt;1,ROUND(AY135*(1+'Calc base'!M136),2),MAX('Calc base'!H$12,ROUND('Calc base'!H$13*AY135,2))))</f>
        <v>0</v>
      </c>
      <c r="P136">
        <f>IF(AZ135&lt;=0,0,IF(ROUND(AZ135*(1+'Calc base'!N136),2)-MAX('Calc base'!I$12,ROUND('Calc base'!I$13*AZ135,2))&lt;1,ROUND(AZ135*(1+'Calc base'!N136),2),MAX('Calc base'!I$12,ROUND('Calc base'!I$13*AZ135,2))))</f>
        <v>0</v>
      </c>
      <c r="Q136">
        <f>IF(BA135&lt;=0,0,IF(ROUND(BA135*(1+'Calc base'!O136),2)-MAX('Calc base'!J$12,ROUND('Calc base'!J$13*BA135,2))&lt;1,ROUND(BA135*(1+'Calc base'!O136),2),MAX('Calc base'!J$12,ROUND('Calc base'!J$13*BA135,2))))</f>
        <v>0</v>
      </c>
      <c r="R136">
        <f>IF(BB135&lt;=0,0,IF(ROUND(BB135*(1+'Calc base'!P136),2)-MAX('Calc base'!K$12,ROUND('Calc base'!K$13*BB135,2))&lt;1,ROUND(BB135*(1+'Calc base'!P136),2),MAX('Calc base'!K$12,ROUND('Calc base'!K$13*BB135,2))))</f>
        <v>0</v>
      </c>
      <c r="S136">
        <f>IF(BC135&lt;=0,0,IF(ROUND(BC135*(1+'Calc base'!Q136),2)-MAX('Calc base'!L$12,ROUND('Calc base'!L$13*BC135,2))&lt;1,ROUND(BC135*(1+'Calc base'!Q136),2),MAX('Calc base'!L$12,ROUND('Calc base'!L$13*BC135,2))))</f>
        <v>0</v>
      </c>
      <c r="T136">
        <f>IF(BD135&lt;=0,0,IF(ROUND(BD135*(1+'Calc base'!R136),2)-MAX('Calc base'!M$12,ROUND('Calc base'!M$13*BD135,2))&lt;1,ROUND(BD135*(1+'Calc base'!R136),2),MAX('Calc base'!M$12,ROUND('Calc base'!M$13*BD135,2))))</f>
        <v>0</v>
      </c>
      <c r="U136">
        <f>IF(BE135&lt;=0,0,IF(ROUND(BE135*(1+'Calc base'!S136),2)-MAX('Calc base'!N$12,ROUND('Calc base'!N$13*BE135,2))&lt;1,ROUND(BE135*(1+'Calc base'!S136),2),MAX('Calc base'!N$12,ROUND('Calc base'!N$13*BE135,2))))</f>
        <v>0</v>
      </c>
      <c r="V136">
        <f>MAX(0,ROUND(AT135*(1+'Calc base'!H136),2)-J136-'Calc base'!T136)</f>
        <v>0</v>
      </c>
      <c r="W136">
        <f>MAX(0,ROUND(AU135*(1+'Calc base'!I136),2)-K136-'Calc base'!U136)</f>
        <v>0</v>
      </c>
      <c r="X136">
        <f>MAX(0,ROUND(AV135*(1+'Calc base'!J136),2)-L136-'Calc base'!V136)</f>
        <v>0</v>
      </c>
      <c r="Y136">
        <f>MAX(0,ROUND(AW135*(1+'Calc base'!K136),2)-M136-'Calc base'!W136)</f>
        <v>0</v>
      </c>
      <c r="Z136">
        <f>MAX(0,ROUND(AX135*(1+'Calc base'!L136),2)-N136-'Calc base'!X136)</f>
        <v>0</v>
      </c>
      <c r="AA136">
        <f>MAX(0,ROUND(AY135*(1+'Calc base'!M136),2)-O136-'Calc base'!Y136)</f>
        <v>0</v>
      </c>
      <c r="AB136">
        <f>MAX(0,ROUND(AZ135*(1+'Calc base'!N136),2)-P136-'Calc base'!Z136)</f>
        <v>0</v>
      </c>
      <c r="AC136">
        <f>MAX(0,ROUND(BA135*(1+'Calc base'!O136),2)-Q136-'Calc base'!AA136)</f>
        <v>0</v>
      </c>
      <c r="AD136">
        <f>MAX(0,ROUND(BB135*(1+'Calc base'!P136),2)-R136-'Calc base'!AB136)</f>
        <v>0</v>
      </c>
      <c r="AE136">
        <f>MAX(0,ROUND(BC135*(1+'Calc base'!Q136),2)-S136-'Calc base'!AC136)</f>
        <v>0</v>
      </c>
      <c r="AF136">
        <f>MAX(0,ROUND(BD135*(1+'Calc base'!R136),2)-T136-'Calc base'!AD136)</f>
        <v>0</v>
      </c>
      <c r="AG136">
        <f>MAX(0,ROUND(BE135*(1+'Calc base'!S136),2)-U136-'Calc base'!AE136)</f>
        <v>0</v>
      </c>
      <c r="AH136">
        <f>IF('Calc base'!C$14=0,0,MIN(V136,MAX(0,$E136-SUMPRODUCT($V136:$AG136,'Calc base'!$C$14:$N$14,('Calc base'!$H136:$S136&gt;'Calc base'!H136)+('Calc base'!$H136:$S136='Calc base'!H136)*('Calc base'!$C$17:$N$17&lt;'Calc base'!C$17)))))</f>
        <v>0</v>
      </c>
      <c r="AI136">
        <f>IF('Calc base'!D$14=0,0,MIN(W136,MAX(0,$E136-SUMPRODUCT($V136:$AG136,'Calc base'!$C$14:$N$14,('Calc base'!$H136:$S136&gt;'Calc base'!I136)+('Calc base'!$H136:$S136='Calc base'!I136)*('Calc base'!$C$17:$N$17&lt;'Calc base'!D$17)))))</f>
        <v>0</v>
      </c>
      <c r="AJ136">
        <f>IF('Calc base'!E$14=0,0,MIN(X136,MAX(0,$E136-SUMPRODUCT($V136:$AG136,'Calc base'!$C$14:$N$14,('Calc base'!$H136:$S136&gt;'Calc base'!J136)+('Calc base'!$H136:$S136='Calc base'!J136)*('Calc base'!$C$17:$N$17&lt;'Calc base'!E$17)))))</f>
        <v>0</v>
      </c>
      <c r="AK136">
        <f>IF('Calc base'!F$14=0,0,MIN(Y136,MAX(0,$E136-SUMPRODUCT($V136:$AG136,'Calc base'!$C$14:$N$14,('Calc base'!$H136:$S136&gt;'Calc base'!K136)+('Calc base'!$H136:$S136='Calc base'!K136)*('Calc base'!$C$17:$N$17&lt;'Calc base'!F$17)))))</f>
        <v>0</v>
      </c>
      <c r="AL136">
        <f>IF('Calc base'!G$14=0,0,MIN(Z136,MAX(0,$E136-SUMPRODUCT($V136:$AG136,'Calc base'!$C$14:$N$14,('Calc base'!$H136:$S136&gt;'Calc base'!L136)+('Calc base'!$H136:$S136='Calc base'!L136)*('Calc base'!$C$17:$N$17&lt;'Calc base'!G$17)))))</f>
        <v>0</v>
      </c>
      <c r="AM136">
        <f>IF('Calc base'!H$14=0,0,MIN(AA136,MAX(0,$E136-SUMPRODUCT($V136:$AG136,'Calc base'!$C$14:$N$14,('Calc base'!$H136:$S136&gt;'Calc base'!M136)+('Calc base'!$H136:$S136='Calc base'!M136)*('Calc base'!$C$17:$N$17&lt;'Calc base'!H$17)))))</f>
        <v>0</v>
      </c>
      <c r="AN136">
        <f>IF('Calc base'!I$14=0,0,MIN(AB136,MAX(0,$E136-SUMPRODUCT($V136:$AG136,'Calc base'!$C$14:$N$14,('Calc base'!$H136:$S136&gt;'Calc base'!N136)+('Calc base'!$H136:$S136='Calc base'!N136)*('Calc base'!$C$17:$N$17&lt;'Calc base'!I$17)))))</f>
        <v>0</v>
      </c>
      <c r="AO136">
        <f>IF('Calc base'!J$14=0,0,MIN(AC136,MAX(0,$E136-SUMPRODUCT($V136:$AG136,'Calc base'!$C$14:$N$14,('Calc base'!$H136:$S136&gt;'Calc base'!O136)+('Calc base'!$H136:$S136='Calc base'!O136)*('Calc base'!$C$17:$N$17&lt;'Calc base'!J$17)))))</f>
        <v>0</v>
      </c>
      <c r="AP136">
        <f>IF('Calc base'!K$14=0,0,MIN(AD136,MAX(0,$E136-SUMPRODUCT($V136:$AG136,'Calc base'!$C$14:$N$14,('Calc base'!$H136:$S136&gt;'Calc base'!P136)+('Calc base'!$H136:$S136='Calc base'!P136)*('Calc base'!$C$17:$N$17&lt;'Calc base'!K$17)))))</f>
        <v>0</v>
      </c>
      <c r="AQ136">
        <f>IF('Calc base'!L$14=0,0,MIN(AE136,MAX(0,$E136-SUMPRODUCT($V136:$AG136,'Calc base'!$C$14:$N$14,('Calc base'!$H136:$S136&gt;'Calc base'!Q136)+('Calc base'!$H136:$S136='Calc base'!Q136)*('Calc base'!$C$17:$N$17&lt;'Calc base'!L$17)))))</f>
        <v>0</v>
      </c>
      <c r="AR136">
        <f>IF('Calc base'!M$14=0,0,MIN(AF136,MAX(0,$E136-SUMPRODUCT($V136:$AG136,'Calc base'!$C$14:$N$14,('Calc base'!$H136:$S136&gt;'Calc base'!R136)+('Calc base'!$H136:$S136='Calc base'!R136)*('Calc base'!$C$17:$N$17&lt;'Calc base'!M$17)))))</f>
        <v>0</v>
      </c>
      <c r="AS136">
        <f>IF('Calc base'!N$14=0,0,MIN(AG136,MAX(0,$E136-SUMPRODUCT($V136:$AG136,'Calc base'!$C$14:$N$14,('Calc base'!$H136:$S136&gt;'Calc base'!S136)+('Calc base'!$H136:$S136='Calc base'!S136)*('Calc base'!$C$17:$N$17&lt;'Calc base'!N$17)))))</f>
        <v>0</v>
      </c>
      <c r="AT136">
        <f>V136-AH136</f>
        <v>0</v>
      </c>
      <c r="AU136">
        <f>W136-AI136</f>
        <v>0</v>
      </c>
      <c r="AV136">
        <f>X136-AJ136</f>
        <v>0</v>
      </c>
      <c r="AW136">
        <f>Y136-AK136</f>
        <v>0</v>
      </c>
      <c r="AX136">
        <f>Z136-AL136</f>
        <v>0</v>
      </c>
      <c r="AY136">
        <f>AA136-AM136</f>
        <v>0</v>
      </c>
      <c r="AZ136">
        <f>AB136-AN136</f>
        <v>0</v>
      </c>
      <c r="BA136">
        <f>AC136-AO136</f>
        <v>0</v>
      </c>
      <c r="BB136">
        <f>AD136-AP136</f>
        <v>0</v>
      </c>
      <c r="BC136">
        <f>AE136-AQ136</f>
        <v>0</v>
      </c>
      <c r="BD136">
        <f>AF136-AR136</f>
        <v>0</v>
      </c>
      <c r="BE136">
        <f>AG136-AS136</f>
        <v>0</v>
      </c>
    </row>
    <row r="137">
      <c r="A137" t="n">
        <v>107</v>
      </c>
      <c r="B137">
        <f>SUMPRODUCT(ROUND($AT136:$BE136*(1+'Calc base'!$H137:$S137),2))</f>
        <v>0</v>
      </c>
      <c r="C137">
        <f>SUM(J137:U137)</f>
        <v>0</v>
      </c>
      <c r="D137">
        <f>SUM(V137:AG137)</f>
        <v>0</v>
      </c>
      <c r="E137">
        <f>MAX(0,IF(Impostazioni!$B$7="No",'Calc base'!$C137-$C$31,'Calc base'!$C137-C137)+'Calc base'!$G137+'Calc base'!$F137-(B137-C137-D137))</f>
        <v>900</v>
      </c>
      <c r="F137">
        <f>SUM(AH137:AS137)</f>
        <v>0</v>
      </c>
      <c r="G137">
        <f>SUM(AT137:BE137)</f>
        <v>0</v>
      </c>
      <c r="H137">
        <f>B137-G136</f>
        <v>0</v>
      </c>
      <c r="I137">
        <f>B137-G137</f>
        <v>0</v>
      </c>
      <c r="J137">
        <f>IF(AT136&lt;=0,0,IF(ROUND(AT136*(1+'Calc base'!H137),2)-MAX('Calc base'!C$12,ROUND('Calc base'!C$13*AT136,2))&lt;1,ROUND(AT136*(1+'Calc base'!H137),2),MAX('Calc base'!C$12,ROUND('Calc base'!C$13*AT136,2))))</f>
        <v>0</v>
      </c>
      <c r="K137">
        <f>IF(AU136&lt;=0,0,IF(ROUND(AU136*(1+'Calc base'!I137),2)-MAX('Calc base'!D$12,ROUND('Calc base'!D$13*AU136,2))&lt;1,ROUND(AU136*(1+'Calc base'!I137),2),MAX('Calc base'!D$12,ROUND('Calc base'!D$13*AU136,2))))</f>
        <v>0</v>
      </c>
      <c r="L137">
        <f>IF(AV136&lt;=0,0,IF(ROUND(AV136*(1+'Calc base'!J137),2)-MAX('Calc base'!E$12,ROUND('Calc base'!E$13*AV136,2))&lt;1,ROUND(AV136*(1+'Calc base'!J137),2),MAX('Calc base'!E$12,ROUND('Calc base'!E$13*AV136,2))))</f>
        <v>0</v>
      </c>
      <c r="M137">
        <f>IF(AW136&lt;=0,0,IF(ROUND(AW136*(1+'Calc base'!K137),2)-MAX('Calc base'!F$12,ROUND('Calc base'!F$13*AW136,2))&lt;1,ROUND(AW136*(1+'Calc base'!K137),2),MAX('Calc base'!F$12,ROUND('Calc base'!F$13*AW136,2))))</f>
        <v>0</v>
      </c>
      <c r="N137">
        <f>IF(AX136&lt;=0,0,IF(ROUND(AX136*(1+'Calc base'!L137),2)-MAX('Calc base'!G$12,ROUND('Calc base'!G$13*AX136,2))&lt;1,ROUND(AX136*(1+'Calc base'!L137),2),MAX('Calc base'!G$12,ROUND('Calc base'!G$13*AX136,2))))</f>
        <v>0</v>
      </c>
      <c r="O137">
        <f>IF(AY136&lt;=0,0,IF(ROUND(AY136*(1+'Calc base'!M137),2)-MAX('Calc base'!H$12,ROUND('Calc base'!H$13*AY136,2))&lt;1,ROUND(AY136*(1+'Calc base'!M137),2),MAX('Calc base'!H$12,ROUND('Calc base'!H$13*AY136,2))))</f>
        <v>0</v>
      </c>
      <c r="P137">
        <f>IF(AZ136&lt;=0,0,IF(ROUND(AZ136*(1+'Calc base'!N137),2)-MAX('Calc base'!I$12,ROUND('Calc base'!I$13*AZ136,2))&lt;1,ROUND(AZ136*(1+'Calc base'!N137),2),MAX('Calc base'!I$12,ROUND('Calc base'!I$13*AZ136,2))))</f>
        <v>0</v>
      </c>
      <c r="Q137">
        <f>IF(BA136&lt;=0,0,IF(ROUND(BA136*(1+'Calc base'!O137),2)-MAX('Calc base'!J$12,ROUND('Calc base'!J$13*BA136,2))&lt;1,ROUND(BA136*(1+'Calc base'!O137),2),MAX('Calc base'!J$12,ROUND('Calc base'!J$13*BA136,2))))</f>
        <v>0</v>
      </c>
      <c r="R137">
        <f>IF(BB136&lt;=0,0,IF(ROUND(BB136*(1+'Calc base'!P137),2)-MAX('Calc base'!K$12,ROUND('Calc base'!K$13*BB136,2))&lt;1,ROUND(BB136*(1+'Calc base'!P137),2),MAX('Calc base'!K$12,ROUND('Calc base'!K$13*BB136,2))))</f>
        <v>0</v>
      </c>
      <c r="S137">
        <f>IF(BC136&lt;=0,0,IF(ROUND(BC136*(1+'Calc base'!Q137),2)-MAX('Calc base'!L$12,ROUND('Calc base'!L$13*BC136,2))&lt;1,ROUND(BC136*(1+'Calc base'!Q137),2),MAX('Calc base'!L$12,ROUND('Calc base'!L$13*BC136,2))))</f>
        <v>0</v>
      </c>
      <c r="T137">
        <f>IF(BD136&lt;=0,0,IF(ROUND(BD136*(1+'Calc base'!R137),2)-MAX('Calc base'!M$12,ROUND('Calc base'!M$13*BD136,2))&lt;1,ROUND(BD136*(1+'Calc base'!R137),2),MAX('Calc base'!M$12,ROUND('Calc base'!M$13*BD136,2))))</f>
        <v>0</v>
      </c>
      <c r="U137">
        <f>IF(BE136&lt;=0,0,IF(ROUND(BE136*(1+'Calc base'!S137),2)-MAX('Calc base'!N$12,ROUND('Calc base'!N$13*BE136,2))&lt;1,ROUND(BE136*(1+'Calc base'!S137),2),MAX('Calc base'!N$12,ROUND('Calc base'!N$13*BE136,2))))</f>
        <v>0</v>
      </c>
      <c r="V137">
        <f>MAX(0,ROUND(AT136*(1+'Calc base'!H137),2)-J137-'Calc base'!T137)</f>
        <v>0</v>
      </c>
      <c r="W137">
        <f>MAX(0,ROUND(AU136*(1+'Calc base'!I137),2)-K137-'Calc base'!U137)</f>
        <v>0</v>
      </c>
      <c r="X137">
        <f>MAX(0,ROUND(AV136*(1+'Calc base'!J137),2)-L137-'Calc base'!V137)</f>
        <v>0</v>
      </c>
      <c r="Y137">
        <f>MAX(0,ROUND(AW136*(1+'Calc base'!K137),2)-M137-'Calc base'!W137)</f>
        <v>0</v>
      </c>
      <c r="Z137">
        <f>MAX(0,ROUND(AX136*(1+'Calc base'!L137),2)-N137-'Calc base'!X137)</f>
        <v>0</v>
      </c>
      <c r="AA137">
        <f>MAX(0,ROUND(AY136*(1+'Calc base'!M137),2)-O137-'Calc base'!Y137)</f>
        <v>0</v>
      </c>
      <c r="AB137">
        <f>MAX(0,ROUND(AZ136*(1+'Calc base'!N137),2)-P137-'Calc base'!Z137)</f>
        <v>0</v>
      </c>
      <c r="AC137">
        <f>MAX(0,ROUND(BA136*(1+'Calc base'!O137),2)-Q137-'Calc base'!AA137)</f>
        <v>0</v>
      </c>
      <c r="AD137">
        <f>MAX(0,ROUND(BB136*(1+'Calc base'!P137),2)-R137-'Calc base'!AB137)</f>
        <v>0</v>
      </c>
      <c r="AE137">
        <f>MAX(0,ROUND(BC136*(1+'Calc base'!Q137),2)-S137-'Calc base'!AC137)</f>
        <v>0</v>
      </c>
      <c r="AF137">
        <f>MAX(0,ROUND(BD136*(1+'Calc base'!R137),2)-T137-'Calc base'!AD137)</f>
        <v>0</v>
      </c>
      <c r="AG137">
        <f>MAX(0,ROUND(BE136*(1+'Calc base'!S137),2)-U137-'Calc base'!AE137)</f>
        <v>0</v>
      </c>
      <c r="AH137">
        <f>IF('Calc base'!C$14=0,0,MIN(V137,MAX(0,$E137-SUMPRODUCT($V137:$AG137,'Calc base'!$C$14:$N$14,('Calc base'!$H137:$S137&gt;'Calc base'!H137)+('Calc base'!$H137:$S137='Calc base'!H137)*('Calc base'!$C$17:$N$17&lt;'Calc base'!C$17)))))</f>
        <v>0</v>
      </c>
      <c r="AI137">
        <f>IF('Calc base'!D$14=0,0,MIN(W137,MAX(0,$E137-SUMPRODUCT($V137:$AG137,'Calc base'!$C$14:$N$14,('Calc base'!$H137:$S137&gt;'Calc base'!I137)+('Calc base'!$H137:$S137='Calc base'!I137)*('Calc base'!$C$17:$N$17&lt;'Calc base'!D$17)))))</f>
        <v>0</v>
      </c>
      <c r="AJ137">
        <f>IF('Calc base'!E$14=0,0,MIN(X137,MAX(0,$E137-SUMPRODUCT($V137:$AG137,'Calc base'!$C$14:$N$14,('Calc base'!$H137:$S137&gt;'Calc base'!J137)+('Calc base'!$H137:$S137='Calc base'!J137)*('Calc base'!$C$17:$N$17&lt;'Calc base'!E$17)))))</f>
        <v>0</v>
      </c>
      <c r="AK137">
        <f>IF('Calc base'!F$14=0,0,MIN(Y137,MAX(0,$E137-SUMPRODUCT($V137:$AG137,'Calc base'!$C$14:$N$14,('Calc base'!$H137:$S137&gt;'Calc base'!K137)+('Calc base'!$H137:$S137='Calc base'!K137)*('Calc base'!$C$17:$N$17&lt;'Calc base'!F$17)))))</f>
        <v>0</v>
      </c>
      <c r="AL137">
        <f>IF('Calc base'!G$14=0,0,MIN(Z137,MAX(0,$E137-SUMPRODUCT($V137:$AG137,'Calc base'!$C$14:$N$14,('Calc base'!$H137:$S137&gt;'Calc base'!L137)+('Calc base'!$H137:$S137='Calc base'!L137)*('Calc base'!$C$17:$N$17&lt;'Calc base'!G$17)))))</f>
        <v>0</v>
      </c>
      <c r="AM137">
        <f>IF('Calc base'!H$14=0,0,MIN(AA137,MAX(0,$E137-SUMPRODUCT($V137:$AG137,'Calc base'!$C$14:$N$14,('Calc base'!$H137:$S137&gt;'Calc base'!M137)+('Calc base'!$H137:$S137='Calc base'!M137)*('Calc base'!$C$17:$N$17&lt;'Calc base'!H$17)))))</f>
        <v>0</v>
      </c>
      <c r="AN137">
        <f>IF('Calc base'!I$14=0,0,MIN(AB137,MAX(0,$E137-SUMPRODUCT($V137:$AG137,'Calc base'!$C$14:$N$14,('Calc base'!$H137:$S137&gt;'Calc base'!N137)+('Calc base'!$H137:$S137='Calc base'!N137)*('Calc base'!$C$17:$N$17&lt;'Calc base'!I$17)))))</f>
        <v>0</v>
      </c>
      <c r="AO137">
        <f>IF('Calc base'!J$14=0,0,MIN(AC137,MAX(0,$E137-SUMPRODUCT($V137:$AG137,'Calc base'!$C$14:$N$14,('Calc base'!$H137:$S137&gt;'Calc base'!O137)+('Calc base'!$H137:$S137='Calc base'!O137)*('Calc base'!$C$17:$N$17&lt;'Calc base'!J$17)))))</f>
        <v>0</v>
      </c>
      <c r="AP137">
        <f>IF('Calc base'!K$14=0,0,MIN(AD137,MAX(0,$E137-SUMPRODUCT($V137:$AG137,'Calc base'!$C$14:$N$14,('Calc base'!$H137:$S137&gt;'Calc base'!P137)+('Calc base'!$H137:$S137='Calc base'!P137)*('Calc base'!$C$17:$N$17&lt;'Calc base'!K$17)))))</f>
        <v>0</v>
      </c>
      <c r="AQ137">
        <f>IF('Calc base'!L$14=0,0,MIN(AE137,MAX(0,$E137-SUMPRODUCT($V137:$AG137,'Calc base'!$C$14:$N$14,('Calc base'!$H137:$S137&gt;'Calc base'!Q137)+('Calc base'!$H137:$S137='Calc base'!Q137)*('Calc base'!$C$17:$N$17&lt;'Calc base'!L$17)))))</f>
        <v>0</v>
      </c>
      <c r="AR137">
        <f>IF('Calc base'!M$14=0,0,MIN(AF137,MAX(0,$E137-SUMPRODUCT($V137:$AG137,'Calc base'!$C$14:$N$14,('Calc base'!$H137:$S137&gt;'Calc base'!R137)+('Calc base'!$H137:$S137='Calc base'!R137)*('Calc base'!$C$17:$N$17&lt;'Calc base'!M$17)))))</f>
        <v>0</v>
      </c>
      <c r="AS137">
        <f>IF('Calc base'!N$14=0,0,MIN(AG137,MAX(0,$E137-SUMPRODUCT($V137:$AG137,'Calc base'!$C$14:$N$14,('Calc base'!$H137:$S137&gt;'Calc base'!S137)+('Calc base'!$H137:$S137='Calc base'!S137)*('Calc base'!$C$17:$N$17&lt;'Calc base'!N$17)))))</f>
        <v>0</v>
      </c>
      <c r="AT137">
        <f>V137-AH137</f>
        <v>0</v>
      </c>
      <c r="AU137">
        <f>W137-AI137</f>
        <v>0</v>
      </c>
      <c r="AV137">
        <f>X137-AJ137</f>
        <v>0</v>
      </c>
      <c r="AW137">
        <f>Y137-AK137</f>
        <v>0</v>
      </c>
      <c r="AX137">
        <f>Z137-AL137</f>
        <v>0</v>
      </c>
      <c r="AY137">
        <f>AA137-AM137</f>
        <v>0</v>
      </c>
      <c r="AZ137">
        <f>AB137-AN137</f>
        <v>0</v>
      </c>
      <c r="BA137">
        <f>AC137-AO137</f>
        <v>0</v>
      </c>
      <c r="BB137">
        <f>AD137-AP137</f>
        <v>0</v>
      </c>
      <c r="BC137">
        <f>AE137-AQ137</f>
        <v>0</v>
      </c>
      <c r="BD137">
        <f>AF137-AR137</f>
        <v>0</v>
      </c>
      <c r="BE137">
        <f>AG137-AS137</f>
        <v>0</v>
      </c>
    </row>
    <row r="138">
      <c r="A138" t="n">
        <v>108</v>
      </c>
      <c r="B138">
        <f>SUMPRODUCT(ROUND($AT137:$BE137*(1+'Calc base'!$H138:$S138),2))</f>
        <v>0</v>
      </c>
      <c r="C138">
        <f>SUM(J138:U138)</f>
        <v>0</v>
      </c>
      <c r="D138">
        <f>SUM(V138:AG138)</f>
        <v>0</v>
      </c>
      <c r="E138">
        <f>MAX(0,IF(Impostazioni!$B$7="No",'Calc base'!$C138-$C$31,'Calc base'!$C138-C138)+'Calc base'!$G138+'Calc base'!$F138-(B138-C138-D138))</f>
        <v>900</v>
      </c>
      <c r="F138">
        <f>SUM(AH138:AS138)</f>
        <v>0</v>
      </c>
      <c r="G138">
        <f>SUM(AT138:BE138)</f>
        <v>0</v>
      </c>
      <c r="H138">
        <f>B138-G137</f>
        <v>0</v>
      </c>
      <c r="I138">
        <f>B138-G138</f>
        <v>0</v>
      </c>
      <c r="J138">
        <f>IF(AT137&lt;=0,0,IF(ROUND(AT137*(1+'Calc base'!H138),2)-MAX('Calc base'!C$12,ROUND('Calc base'!C$13*AT137,2))&lt;1,ROUND(AT137*(1+'Calc base'!H138),2),MAX('Calc base'!C$12,ROUND('Calc base'!C$13*AT137,2))))</f>
        <v>0</v>
      </c>
      <c r="K138">
        <f>IF(AU137&lt;=0,0,IF(ROUND(AU137*(1+'Calc base'!I138),2)-MAX('Calc base'!D$12,ROUND('Calc base'!D$13*AU137,2))&lt;1,ROUND(AU137*(1+'Calc base'!I138),2),MAX('Calc base'!D$12,ROUND('Calc base'!D$13*AU137,2))))</f>
        <v>0</v>
      </c>
      <c r="L138">
        <f>IF(AV137&lt;=0,0,IF(ROUND(AV137*(1+'Calc base'!J138),2)-MAX('Calc base'!E$12,ROUND('Calc base'!E$13*AV137,2))&lt;1,ROUND(AV137*(1+'Calc base'!J138),2),MAX('Calc base'!E$12,ROUND('Calc base'!E$13*AV137,2))))</f>
        <v>0</v>
      </c>
      <c r="M138">
        <f>IF(AW137&lt;=0,0,IF(ROUND(AW137*(1+'Calc base'!K138),2)-MAX('Calc base'!F$12,ROUND('Calc base'!F$13*AW137,2))&lt;1,ROUND(AW137*(1+'Calc base'!K138),2),MAX('Calc base'!F$12,ROUND('Calc base'!F$13*AW137,2))))</f>
        <v>0</v>
      </c>
      <c r="N138">
        <f>IF(AX137&lt;=0,0,IF(ROUND(AX137*(1+'Calc base'!L138),2)-MAX('Calc base'!G$12,ROUND('Calc base'!G$13*AX137,2))&lt;1,ROUND(AX137*(1+'Calc base'!L138),2),MAX('Calc base'!G$12,ROUND('Calc base'!G$13*AX137,2))))</f>
        <v>0</v>
      </c>
      <c r="O138">
        <f>IF(AY137&lt;=0,0,IF(ROUND(AY137*(1+'Calc base'!M138),2)-MAX('Calc base'!H$12,ROUND('Calc base'!H$13*AY137,2))&lt;1,ROUND(AY137*(1+'Calc base'!M138),2),MAX('Calc base'!H$12,ROUND('Calc base'!H$13*AY137,2))))</f>
        <v>0</v>
      </c>
      <c r="P138">
        <f>IF(AZ137&lt;=0,0,IF(ROUND(AZ137*(1+'Calc base'!N138),2)-MAX('Calc base'!I$12,ROUND('Calc base'!I$13*AZ137,2))&lt;1,ROUND(AZ137*(1+'Calc base'!N138),2),MAX('Calc base'!I$12,ROUND('Calc base'!I$13*AZ137,2))))</f>
        <v>0</v>
      </c>
      <c r="Q138">
        <f>IF(BA137&lt;=0,0,IF(ROUND(BA137*(1+'Calc base'!O138),2)-MAX('Calc base'!J$12,ROUND('Calc base'!J$13*BA137,2))&lt;1,ROUND(BA137*(1+'Calc base'!O138),2),MAX('Calc base'!J$12,ROUND('Calc base'!J$13*BA137,2))))</f>
        <v>0</v>
      </c>
      <c r="R138">
        <f>IF(BB137&lt;=0,0,IF(ROUND(BB137*(1+'Calc base'!P138),2)-MAX('Calc base'!K$12,ROUND('Calc base'!K$13*BB137,2))&lt;1,ROUND(BB137*(1+'Calc base'!P138),2),MAX('Calc base'!K$12,ROUND('Calc base'!K$13*BB137,2))))</f>
        <v>0</v>
      </c>
      <c r="S138">
        <f>IF(BC137&lt;=0,0,IF(ROUND(BC137*(1+'Calc base'!Q138),2)-MAX('Calc base'!L$12,ROUND('Calc base'!L$13*BC137,2))&lt;1,ROUND(BC137*(1+'Calc base'!Q138),2),MAX('Calc base'!L$12,ROUND('Calc base'!L$13*BC137,2))))</f>
        <v>0</v>
      </c>
      <c r="T138">
        <f>IF(BD137&lt;=0,0,IF(ROUND(BD137*(1+'Calc base'!R138),2)-MAX('Calc base'!M$12,ROUND('Calc base'!M$13*BD137,2))&lt;1,ROUND(BD137*(1+'Calc base'!R138),2),MAX('Calc base'!M$12,ROUND('Calc base'!M$13*BD137,2))))</f>
        <v>0</v>
      </c>
      <c r="U138">
        <f>IF(BE137&lt;=0,0,IF(ROUND(BE137*(1+'Calc base'!S138),2)-MAX('Calc base'!N$12,ROUND('Calc base'!N$13*BE137,2))&lt;1,ROUND(BE137*(1+'Calc base'!S138),2),MAX('Calc base'!N$12,ROUND('Calc base'!N$13*BE137,2))))</f>
        <v>0</v>
      </c>
      <c r="V138">
        <f>MAX(0,ROUND(AT137*(1+'Calc base'!H138),2)-J138-'Calc base'!T138)</f>
        <v>0</v>
      </c>
      <c r="W138">
        <f>MAX(0,ROUND(AU137*(1+'Calc base'!I138),2)-K138-'Calc base'!U138)</f>
        <v>0</v>
      </c>
      <c r="X138">
        <f>MAX(0,ROUND(AV137*(1+'Calc base'!J138),2)-L138-'Calc base'!V138)</f>
        <v>0</v>
      </c>
      <c r="Y138">
        <f>MAX(0,ROUND(AW137*(1+'Calc base'!K138),2)-M138-'Calc base'!W138)</f>
        <v>0</v>
      </c>
      <c r="Z138">
        <f>MAX(0,ROUND(AX137*(1+'Calc base'!L138),2)-N138-'Calc base'!X138)</f>
        <v>0</v>
      </c>
      <c r="AA138">
        <f>MAX(0,ROUND(AY137*(1+'Calc base'!M138),2)-O138-'Calc base'!Y138)</f>
        <v>0</v>
      </c>
      <c r="AB138">
        <f>MAX(0,ROUND(AZ137*(1+'Calc base'!N138),2)-P138-'Calc base'!Z138)</f>
        <v>0</v>
      </c>
      <c r="AC138">
        <f>MAX(0,ROUND(BA137*(1+'Calc base'!O138),2)-Q138-'Calc base'!AA138)</f>
        <v>0</v>
      </c>
      <c r="AD138">
        <f>MAX(0,ROUND(BB137*(1+'Calc base'!P138),2)-R138-'Calc base'!AB138)</f>
        <v>0</v>
      </c>
      <c r="AE138">
        <f>MAX(0,ROUND(BC137*(1+'Calc base'!Q138),2)-S138-'Calc base'!AC138)</f>
        <v>0</v>
      </c>
      <c r="AF138">
        <f>MAX(0,ROUND(BD137*(1+'Calc base'!R138),2)-T138-'Calc base'!AD138)</f>
        <v>0</v>
      </c>
      <c r="AG138">
        <f>MAX(0,ROUND(BE137*(1+'Calc base'!S138),2)-U138-'Calc base'!AE138)</f>
        <v>0</v>
      </c>
      <c r="AH138">
        <f>IF('Calc base'!C$14=0,0,MIN(V138,MAX(0,$E138-SUMPRODUCT($V138:$AG138,'Calc base'!$C$14:$N$14,('Calc base'!$H138:$S138&gt;'Calc base'!H138)+('Calc base'!$H138:$S138='Calc base'!H138)*('Calc base'!$C$17:$N$17&lt;'Calc base'!C$17)))))</f>
        <v>0</v>
      </c>
      <c r="AI138">
        <f>IF('Calc base'!D$14=0,0,MIN(W138,MAX(0,$E138-SUMPRODUCT($V138:$AG138,'Calc base'!$C$14:$N$14,('Calc base'!$H138:$S138&gt;'Calc base'!I138)+('Calc base'!$H138:$S138='Calc base'!I138)*('Calc base'!$C$17:$N$17&lt;'Calc base'!D$17)))))</f>
        <v>0</v>
      </c>
      <c r="AJ138">
        <f>IF('Calc base'!E$14=0,0,MIN(X138,MAX(0,$E138-SUMPRODUCT($V138:$AG138,'Calc base'!$C$14:$N$14,('Calc base'!$H138:$S138&gt;'Calc base'!J138)+('Calc base'!$H138:$S138='Calc base'!J138)*('Calc base'!$C$17:$N$17&lt;'Calc base'!E$17)))))</f>
        <v>0</v>
      </c>
      <c r="AK138">
        <f>IF('Calc base'!F$14=0,0,MIN(Y138,MAX(0,$E138-SUMPRODUCT($V138:$AG138,'Calc base'!$C$14:$N$14,('Calc base'!$H138:$S138&gt;'Calc base'!K138)+('Calc base'!$H138:$S138='Calc base'!K138)*('Calc base'!$C$17:$N$17&lt;'Calc base'!F$17)))))</f>
        <v>0</v>
      </c>
      <c r="AL138">
        <f>IF('Calc base'!G$14=0,0,MIN(Z138,MAX(0,$E138-SUMPRODUCT($V138:$AG138,'Calc base'!$C$14:$N$14,('Calc base'!$H138:$S138&gt;'Calc base'!L138)+('Calc base'!$H138:$S138='Calc base'!L138)*('Calc base'!$C$17:$N$17&lt;'Calc base'!G$17)))))</f>
        <v>0</v>
      </c>
      <c r="AM138">
        <f>IF('Calc base'!H$14=0,0,MIN(AA138,MAX(0,$E138-SUMPRODUCT($V138:$AG138,'Calc base'!$C$14:$N$14,('Calc base'!$H138:$S138&gt;'Calc base'!M138)+('Calc base'!$H138:$S138='Calc base'!M138)*('Calc base'!$C$17:$N$17&lt;'Calc base'!H$17)))))</f>
        <v>0</v>
      </c>
      <c r="AN138">
        <f>IF('Calc base'!I$14=0,0,MIN(AB138,MAX(0,$E138-SUMPRODUCT($V138:$AG138,'Calc base'!$C$14:$N$14,('Calc base'!$H138:$S138&gt;'Calc base'!N138)+('Calc base'!$H138:$S138='Calc base'!N138)*('Calc base'!$C$17:$N$17&lt;'Calc base'!I$17)))))</f>
        <v>0</v>
      </c>
      <c r="AO138">
        <f>IF('Calc base'!J$14=0,0,MIN(AC138,MAX(0,$E138-SUMPRODUCT($V138:$AG138,'Calc base'!$C$14:$N$14,('Calc base'!$H138:$S138&gt;'Calc base'!O138)+('Calc base'!$H138:$S138='Calc base'!O138)*('Calc base'!$C$17:$N$17&lt;'Calc base'!J$17)))))</f>
        <v>0</v>
      </c>
      <c r="AP138">
        <f>IF('Calc base'!K$14=0,0,MIN(AD138,MAX(0,$E138-SUMPRODUCT($V138:$AG138,'Calc base'!$C$14:$N$14,('Calc base'!$H138:$S138&gt;'Calc base'!P138)+('Calc base'!$H138:$S138='Calc base'!P138)*('Calc base'!$C$17:$N$17&lt;'Calc base'!K$17)))))</f>
        <v>0</v>
      </c>
      <c r="AQ138">
        <f>IF('Calc base'!L$14=0,0,MIN(AE138,MAX(0,$E138-SUMPRODUCT($V138:$AG138,'Calc base'!$C$14:$N$14,('Calc base'!$H138:$S138&gt;'Calc base'!Q138)+('Calc base'!$H138:$S138='Calc base'!Q138)*('Calc base'!$C$17:$N$17&lt;'Calc base'!L$17)))))</f>
        <v>0</v>
      </c>
      <c r="AR138">
        <f>IF('Calc base'!M$14=0,0,MIN(AF138,MAX(0,$E138-SUMPRODUCT($V138:$AG138,'Calc base'!$C$14:$N$14,('Calc base'!$H138:$S138&gt;'Calc base'!R138)+('Calc base'!$H138:$S138='Calc base'!R138)*('Calc base'!$C$17:$N$17&lt;'Calc base'!M$17)))))</f>
        <v>0</v>
      </c>
      <c r="AS138">
        <f>IF('Calc base'!N$14=0,0,MIN(AG138,MAX(0,$E138-SUMPRODUCT($V138:$AG138,'Calc base'!$C$14:$N$14,('Calc base'!$H138:$S138&gt;'Calc base'!S138)+('Calc base'!$H138:$S138='Calc base'!S138)*('Calc base'!$C$17:$N$17&lt;'Calc base'!N$17)))))</f>
        <v>0</v>
      </c>
      <c r="AT138">
        <f>V138-AH138</f>
        <v>0</v>
      </c>
      <c r="AU138">
        <f>W138-AI138</f>
        <v>0</v>
      </c>
      <c r="AV138">
        <f>X138-AJ138</f>
        <v>0</v>
      </c>
      <c r="AW138">
        <f>Y138-AK138</f>
        <v>0</v>
      </c>
      <c r="AX138">
        <f>Z138-AL138</f>
        <v>0</v>
      </c>
      <c r="AY138">
        <f>AA138-AM138</f>
        <v>0</v>
      </c>
      <c r="AZ138">
        <f>AB138-AN138</f>
        <v>0</v>
      </c>
      <c r="BA138">
        <f>AC138-AO138</f>
        <v>0</v>
      </c>
      <c r="BB138">
        <f>AD138-AP138</f>
        <v>0</v>
      </c>
      <c r="BC138">
        <f>AE138-AQ138</f>
        <v>0</v>
      </c>
      <c r="BD138">
        <f>AF138-AR138</f>
        <v>0</v>
      </c>
      <c r="BE138">
        <f>AG138-AS138</f>
        <v>0</v>
      </c>
    </row>
    <row r="139">
      <c r="A139" t="n">
        <v>109</v>
      </c>
      <c r="B139">
        <f>SUMPRODUCT(ROUND($AT138:$BE138*(1+'Calc base'!$H139:$S139),2))</f>
        <v>0</v>
      </c>
      <c r="C139">
        <f>SUM(J139:U139)</f>
        <v>0</v>
      </c>
      <c r="D139">
        <f>SUM(V139:AG139)</f>
        <v>0</v>
      </c>
      <c r="E139">
        <f>MAX(0,IF(Impostazioni!$B$7="No",'Calc base'!$C139-$C$31,'Calc base'!$C139-C139)+'Calc base'!$G139+'Calc base'!$F139-(B139-C139-D139))</f>
        <v>900</v>
      </c>
      <c r="F139">
        <f>SUM(AH139:AS139)</f>
        <v>0</v>
      </c>
      <c r="G139">
        <f>SUM(AT139:BE139)</f>
        <v>0</v>
      </c>
      <c r="H139">
        <f>B139-G138</f>
        <v>0</v>
      </c>
      <c r="I139">
        <f>B139-G139</f>
        <v>0</v>
      </c>
      <c r="J139">
        <f>IF(AT138&lt;=0,0,IF(ROUND(AT138*(1+'Calc base'!H139),2)-MAX('Calc base'!C$12,ROUND('Calc base'!C$13*AT138,2))&lt;1,ROUND(AT138*(1+'Calc base'!H139),2),MAX('Calc base'!C$12,ROUND('Calc base'!C$13*AT138,2))))</f>
        <v>0</v>
      </c>
      <c r="K139">
        <f>IF(AU138&lt;=0,0,IF(ROUND(AU138*(1+'Calc base'!I139),2)-MAX('Calc base'!D$12,ROUND('Calc base'!D$13*AU138,2))&lt;1,ROUND(AU138*(1+'Calc base'!I139),2),MAX('Calc base'!D$12,ROUND('Calc base'!D$13*AU138,2))))</f>
        <v>0</v>
      </c>
      <c r="L139">
        <f>IF(AV138&lt;=0,0,IF(ROUND(AV138*(1+'Calc base'!J139),2)-MAX('Calc base'!E$12,ROUND('Calc base'!E$13*AV138,2))&lt;1,ROUND(AV138*(1+'Calc base'!J139),2),MAX('Calc base'!E$12,ROUND('Calc base'!E$13*AV138,2))))</f>
        <v>0</v>
      </c>
      <c r="M139">
        <f>IF(AW138&lt;=0,0,IF(ROUND(AW138*(1+'Calc base'!K139),2)-MAX('Calc base'!F$12,ROUND('Calc base'!F$13*AW138,2))&lt;1,ROUND(AW138*(1+'Calc base'!K139),2),MAX('Calc base'!F$12,ROUND('Calc base'!F$13*AW138,2))))</f>
        <v>0</v>
      </c>
      <c r="N139">
        <f>IF(AX138&lt;=0,0,IF(ROUND(AX138*(1+'Calc base'!L139),2)-MAX('Calc base'!G$12,ROUND('Calc base'!G$13*AX138,2))&lt;1,ROUND(AX138*(1+'Calc base'!L139),2),MAX('Calc base'!G$12,ROUND('Calc base'!G$13*AX138,2))))</f>
        <v>0</v>
      </c>
      <c r="O139">
        <f>IF(AY138&lt;=0,0,IF(ROUND(AY138*(1+'Calc base'!M139),2)-MAX('Calc base'!H$12,ROUND('Calc base'!H$13*AY138,2))&lt;1,ROUND(AY138*(1+'Calc base'!M139),2),MAX('Calc base'!H$12,ROUND('Calc base'!H$13*AY138,2))))</f>
        <v>0</v>
      </c>
      <c r="P139">
        <f>IF(AZ138&lt;=0,0,IF(ROUND(AZ138*(1+'Calc base'!N139),2)-MAX('Calc base'!I$12,ROUND('Calc base'!I$13*AZ138,2))&lt;1,ROUND(AZ138*(1+'Calc base'!N139),2),MAX('Calc base'!I$12,ROUND('Calc base'!I$13*AZ138,2))))</f>
        <v>0</v>
      </c>
      <c r="Q139">
        <f>IF(BA138&lt;=0,0,IF(ROUND(BA138*(1+'Calc base'!O139),2)-MAX('Calc base'!J$12,ROUND('Calc base'!J$13*BA138,2))&lt;1,ROUND(BA138*(1+'Calc base'!O139),2),MAX('Calc base'!J$12,ROUND('Calc base'!J$13*BA138,2))))</f>
        <v>0</v>
      </c>
      <c r="R139">
        <f>IF(BB138&lt;=0,0,IF(ROUND(BB138*(1+'Calc base'!P139),2)-MAX('Calc base'!K$12,ROUND('Calc base'!K$13*BB138,2))&lt;1,ROUND(BB138*(1+'Calc base'!P139),2),MAX('Calc base'!K$12,ROUND('Calc base'!K$13*BB138,2))))</f>
        <v>0</v>
      </c>
      <c r="S139">
        <f>IF(BC138&lt;=0,0,IF(ROUND(BC138*(1+'Calc base'!Q139),2)-MAX('Calc base'!L$12,ROUND('Calc base'!L$13*BC138,2))&lt;1,ROUND(BC138*(1+'Calc base'!Q139),2),MAX('Calc base'!L$12,ROUND('Calc base'!L$13*BC138,2))))</f>
        <v>0</v>
      </c>
      <c r="T139">
        <f>IF(BD138&lt;=0,0,IF(ROUND(BD138*(1+'Calc base'!R139),2)-MAX('Calc base'!M$12,ROUND('Calc base'!M$13*BD138,2))&lt;1,ROUND(BD138*(1+'Calc base'!R139),2),MAX('Calc base'!M$12,ROUND('Calc base'!M$13*BD138,2))))</f>
        <v>0</v>
      </c>
      <c r="U139">
        <f>IF(BE138&lt;=0,0,IF(ROUND(BE138*(1+'Calc base'!S139),2)-MAX('Calc base'!N$12,ROUND('Calc base'!N$13*BE138,2))&lt;1,ROUND(BE138*(1+'Calc base'!S139),2),MAX('Calc base'!N$12,ROUND('Calc base'!N$13*BE138,2))))</f>
        <v>0</v>
      </c>
      <c r="V139">
        <f>MAX(0,ROUND(AT138*(1+'Calc base'!H139),2)-J139-'Calc base'!T139)</f>
        <v>0</v>
      </c>
      <c r="W139">
        <f>MAX(0,ROUND(AU138*(1+'Calc base'!I139),2)-K139-'Calc base'!U139)</f>
        <v>0</v>
      </c>
      <c r="X139">
        <f>MAX(0,ROUND(AV138*(1+'Calc base'!J139),2)-L139-'Calc base'!V139)</f>
        <v>0</v>
      </c>
      <c r="Y139">
        <f>MAX(0,ROUND(AW138*(1+'Calc base'!K139),2)-M139-'Calc base'!W139)</f>
        <v>0</v>
      </c>
      <c r="Z139">
        <f>MAX(0,ROUND(AX138*(1+'Calc base'!L139),2)-N139-'Calc base'!X139)</f>
        <v>0</v>
      </c>
      <c r="AA139">
        <f>MAX(0,ROUND(AY138*(1+'Calc base'!M139),2)-O139-'Calc base'!Y139)</f>
        <v>0</v>
      </c>
      <c r="AB139">
        <f>MAX(0,ROUND(AZ138*(1+'Calc base'!N139),2)-P139-'Calc base'!Z139)</f>
        <v>0</v>
      </c>
      <c r="AC139">
        <f>MAX(0,ROUND(BA138*(1+'Calc base'!O139),2)-Q139-'Calc base'!AA139)</f>
        <v>0</v>
      </c>
      <c r="AD139">
        <f>MAX(0,ROUND(BB138*(1+'Calc base'!P139),2)-R139-'Calc base'!AB139)</f>
        <v>0</v>
      </c>
      <c r="AE139">
        <f>MAX(0,ROUND(BC138*(1+'Calc base'!Q139),2)-S139-'Calc base'!AC139)</f>
        <v>0</v>
      </c>
      <c r="AF139">
        <f>MAX(0,ROUND(BD138*(1+'Calc base'!R139),2)-T139-'Calc base'!AD139)</f>
        <v>0</v>
      </c>
      <c r="AG139">
        <f>MAX(0,ROUND(BE138*(1+'Calc base'!S139),2)-U139-'Calc base'!AE139)</f>
        <v>0</v>
      </c>
      <c r="AH139">
        <f>IF('Calc base'!C$14=0,0,MIN(V139,MAX(0,$E139-SUMPRODUCT($V139:$AG139,'Calc base'!$C$14:$N$14,('Calc base'!$H139:$S139&gt;'Calc base'!H139)+('Calc base'!$H139:$S139='Calc base'!H139)*('Calc base'!$C$17:$N$17&lt;'Calc base'!C$17)))))</f>
        <v>0</v>
      </c>
      <c r="AI139">
        <f>IF('Calc base'!D$14=0,0,MIN(W139,MAX(0,$E139-SUMPRODUCT($V139:$AG139,'Calc base'!$C$14:$N$14,('Calc base'!$H139:$S139&gt;'Calc base'!I139)+('Calc base'!$H139:$S139='Calc base'!I139)*('Calc base'!$C$17:$N$17&lt;'Calc base'!D$17)))))</f>
        <v>0</v>
      </c>
      <c r="AJ139">
        <f>IF('Calc base'!E$14=0,0,MIN(X139,MAX(0,$E139-SUMPRODUCT($V139:$AG139,'Calc base'!$C$14:$N$14,('Calc base'!$H139:$S139&gt;'Calc base'!J139)+('Calc base'!$H139:$S139='Calc base'!J139)*('Calc base'!$C$17:$N$17&lt;'Calc base'!E$17)))))</f>
        <v>0</v>
      </c>
      <c r="AK139">
        <f>IF('Calc base'!F$14=0,0,MIN(Y139,MAX(0,$E139-SUMPRODUCT($V139:$AG139,'Calc base'!$C$14:$N$14,('Calc base'!$H139:$S139&gt;'Calc base'!K139)+('Calc base'!$H139:$S139='Calc base'!K139)*('Calc base'!$C$17:$N$17&lt;'Calc base'!F$17)))))</f>
        <v>0</v>
      </c>
      <c r="AL139">
        <f>IF('Calc base'!G$14=0,0,MIN(Z139,MAX(0,$E139-SUMPRODUCT($V139:$AG139,'Calc base'!$C$14:$N$14,('Calc base'!$H139:$S139&gt;'Calc base'!L139)+('Calc base'!$H139:$S139='Calc base'!L139)*('Calc base'!$C$17:$N$17&lt;'Calc base'!G$17)))))</f>
        <v>0</v>
      </c>
      <c r="AM139">
        <f>IF('Calc base'!H$14=0,0,MIN(AA139,MAX(0,$E139-SUMPRODUCT($V139:$AG139,'Calc base'!$C$14:$N$14,('Calc base'!$H139:$S139&gt;'Calc base'!M139)+('Calc base'!$H139:$S139='Calc base'!M139)*('Calc base'!$C$17:$N$17&lt;'Calc base'!H$17)))))</f>
        <v>0</v>
      </c>
      <c r="AN139">
        <f>IF('Calc base'!I$14=0,0,MIN(AB139,MAX(0,$E139-SUMPRODUCT($V139:$AG139,'Calc base'!$C$14:$N$14,('Calc base'!$H139:$S139&gt;'Calc base'!N139)+('Calc base'!$H139:$S139='Calc base'!N139)*('Calc base'!$C$17:$N$17&lt;'Calc base'!I$17)))))</f>
        <v>0</v>
      </c>
      <c r="AO139">
        <f>IF('Calc base'!J$14=0,0,MIN(AC139,MAX(0,$E139-SUMPRODUCT($V139:$AG139,'Calc base'!$C$14:$N$14,('Calc base'!$H139:$S139&gt;'Calc base'!O139)+('Calc base'!$H139:$S139='Calc base'!O139)*('Calc base'!$C$17:$N$17&lt;'Calc base'!J$17)))))</f>
        <v>0</v>
      </c>
      <c r="AP139">
        <f>IF('Calc base'!K$14=0,0,MIN(AD139,MAX(0,$E139-SUMPRODUCT($V139:$AG139,'Calc base'!$C$14:$N$14,('Calc base'!$H139:$S139&gt;'Calc base'!P139)+('Calc base'!$H139:$S139='Calc base'!P139)*('Calc base'!$C$17:$N$17&lt;'Calc base'!K$17)))))</f>
        <v>0</v>
      </c>
      <c r="AQ139">
        <f>IF('Calc base'!L$14=0,0,MIN(AE139,MAX(0,$E139-SUMPRODUCT($V139:$AG139,'Calc base'!$C$14:$N$14,('Calc base'!$H139:$S139&gt;'Calc base'!Q139)+('Calc base'!$H139:$S139='Calc base'!Q139)*('Calc base'!$C$17:$N$17&lt;'Calc base'!L$17)))))</f>
        <v>0</v>
      </c>
      <c r="AR139">
        <f>IF('Calc base'!M$14=0,0,MIN(AF139,MAX(0,$E139-SUMPRODUCT($V139:$AG139,'Calc base'!$C$14:$N$14,('Calc base'!$H139:$S139&gt;'Calc base'!R139)+('Calc base'!$H139:$S139='Calc base'!R139)*('Calc base'!$C$17:$N$17&lt;'Calc base'!M$17)))))</f>
        <v>0</v>
      </c>
      <c r="AS139">
        <f>IF('Calc base'!N$14=0,0,MIN(AG139,MAX(0,$E139-SUMPRODUCT($V139:$AG139,'Calc base'!$C$14:$N$14,('Calc base'!$H139:$S139&gt;'Calc base'!S139)+('Calc base'!$H139:$S139='Calc base'!S139)*('Calc base'!$C$17:$N$17&lt;'Calc base'!N$17)))))</f>
        <v>0</v>
      </c>
      <c r="AT139">
        <f>V139-AH139</f>
        <v>0</v>
      </c>
      <c r="AU139">
        <f>W139-AI139</f>
        <v>0</v>
      </c>
      <c r="AV139">
        <f>X139-AJ139</f>
        <v>0</v>
      </c>
      <c r="AW139">
        <f>Y139-AK139</f>
        <v>0</v>
      </c>
      <c r="AX139">
        <f>Z139-AL139</f>
        <v>0</v>
      </c>
      <c r="AY139">
        <f>AA139-AM139</f>
        <v>0</v>
      </c>
      <c r="AZ139">
        <f>AB139-AN139</f>
        <v>0</v>
      </c>
      <c r="BA139">
        <f>AC139-AO139</f>
        <v>0</v>
      </c>
      <c r="BB139">
        <f>AD139-AP139</f>
        <v>0</v>
      </c>
      <c r="BC139">
        <f>AE139-AQ139</f>
        <v>0</v>
      </c>
      <c r="BD139">
        <f>AF139-AR139</f>
        <v>0</v>
      </c>
      <c r="BE139">
        <f>AG139-AS139</f>
        <v>0</v>
      </c>
    </row>
    <row r="140">
      <c r="A140" t="n">
        <v>110</v>
      </c>
      <c r="B140">
        <f>SUMPRODUCT(ROUND($AT139:$BE139*(1+'Calc base'!$H140:$S140),2))</f>
        <v>0</v>
      </c>
      <c r="C140">
        <f>SUM(J140:U140)</f>
        <v>0</v>
      </c>
      <c r="D140">
        <f>SUM(V140:AG140)</f>
        <v>0</v>
      </c>
      <c r="E140">
        <f>MAX(0,IF(Impostazioni!$B$7="No",'Calc base'!$C140-$C$31,'Calc base'!$C140-C140)+'Calc base'!$G140+'Calc base'!$F140-(B140-C140-D140))</f>
        <v>900</v>
      </c>
      <c r="F140">
        <f>SUM(AH140:AS140)</f>
        <v>0</v>
      </c>
      <c r="G140">
        <f>SUM(AT140:BE140)</f>
        <v>0</v>
      </c>
      <c r="H140">
        <f>B140-G139</f>
        <v>0</v>
      </c>
      <c r="I140">
        <f>B140-G140</f>
        <v>0</v>
      </c>
      <c r="J140">
        <f>IF(AT139&lt;=0,0,IF(ROUND(AT139*(1+'Calc base'!H140),2)-MAX('Calc base'!C$12,ROUND('Calc base'!C$13*AT139,2))&lt;1,ROUND(AT139*(1+'Calc base'!H140),2),MAX('Calc base'!C$12,ROUND('Calc base'!C$13*AT139,2))))</f>
        <v>0</v>
      </c>
      <c r="K140">
        <f>IF(AU139&lt;=0,0,IF(ROUND(AU139*(1+'Calc base'!I140),2)-MAX('Calc base'!D$12,ROUND('Calc base'!D$13*AU139,2))&lt;1,ROUND(AU139*(1+'Calc base'!I140),2),MAX('Calc base'!D$12,ROUND('Calc base'!D$13*AU139,2))))</f>
        <v>0</v>
      </c>
      <c r="L140">
        <f>IF(AV139&lt;=0,0,IF(ROUND(AV139*(1+'Calc base'!J140),2)-MAX('Calc base'!E$12,ROUND('Calc base'!E$13*AV139,2))&lt;1,ROUND(AV139*(1+'Calc base'!J140),2),MAX('Calc base'!E$12,ROUND('Calc base'!E$13*AV139,2))))</f>
        <v>0</v>
      </c>
      <c r="M140">
        <f>IF(AW139&lt;=0,0,IF(ROUND(AW139*(1+'Calc base'!K140),2)-MAX('Calc base'!F$12,ROUND('Calc base'!F$13*AW139,2))&lt;1,ROUND(AW139*(1+'Calc base'!K140),2),MAX('Calc base'!F$12,ROUND('Calc base'!F$13*AW139,2))))</f>
        <v>0</v>
      </c>
      <c r="N140">
        <f>IF(AX139&lt;=0,0,IF(ROUND(AX139*(1+'Calc base'!L140),2)-MAX('Calc base'!G$12,ROUND('Calc base'!G$13*AX139,2))&lt;1,ROUND(AX139*(1+'Calc base'!L140),2),MAX('Calc base'!G$12,ROUND('Calc base'!G$13*AX139,2))))</f>
        <v>0</v>
      </c>
      <c r="O140">
        <f>IF(AY139&lt;=0,0,IF(ROUND(AY139*(1+'Calc base'!M140),2)-MAX('Calc base'!H$12,ROUND('Calc base'!H$13*AY139,2))&lt;1,ROUND(AY139*(1+'Calc base'!M140),2),MAX('Calc base'!H$12,ROUND('Calc base'!H$13*AY139,2))))</f>
        <v>0</v>
      </c>
      <c r="P140">
        <f>IF(AZ139&lt;=0,0,IF(ROUND(AZ139*(1+'Calc base'!N140),2)-MAX('Calc base'!I$12,ROUND('Calc base'!I$13*AZ139,2))&lt;1,ROUND(AZ139*(1+'Calc base'!N140),2),MAX('Calc base'!I$12,ROUND('Calc base'!I$13*AZ139,2))))</f>
        <v>0</v>
      </c>
      <c r="Q140">
        <f>IF(BA139&lt;=0,0,IF(ROUND(BA139*(1+'Calc base'!O140),2)-MAX('Calc base'!J$12,ROUND('Calc base'!J$13*BA139,2))&lt;1,ROUND(BA139*(1+'Calc base'!O140),2),MAX('Calc base'!J$12,ROUND('Calc base'!J$13*BA139,2))))</f>
        <v>0</v>
      </c>
      <c r="R140">
        <f>IF(BB139&lt;=0,0,IF(ROUND(BB139*(1+'Calc base'!P140),2)-MAX('Calc base'!K$12,ROUND('Calc base'!K$13*BB139,2))&lt;1,ROUND(BB139*(1+'Calc base'!P140),2),MAX('Calc base'!K$12,ROUND('Calc base'!K$13*BB139,2))))</f>
        <v>0</v>
      </c>
      <c r="S140">
        <f>IF(BC139&lt;=0,0,IF(ROUND(BC139*(1+'Calc base'!Q140),2)-MAX('Calc base'!L$12,ROUND('Calc base'!L$13*BC139,2))&lt;1,ROUND(BC139*(1+'Calc base'!Q140),2),MAX('Calc base'!L$12,ROUND('Calc base'!L$13*BC139,2))))</f>
        <v>0</v>
      </c>
      <c r="T140">
        <f>IF(BD139&lt;=0,0,IF(ROUND(BD139*(1+'Calc base'!R140),2)-MAX('Calc base'!M$12,ROUND('Calc base'!M$13*BD139,2))&lt;1,ROUND(BD139*(1+'Calc base'!R140),2),MAX('Calc base'!M$12,ROUND('Calc base'!M$13*BD139,2))))</f>
        <v>0</v>
      </c>
      <c r="U140">
        <f>IF(BE139&lt;=0,0,IF(ROUND(BE139*(1+'Calc base'!S140),2)-MAX('Calc base'!N$12,ROUND('Calc base'!N$13*BE139,2))&lt;1,ROUND(BE139*(1+'Calc base'!S140),2),MAX('Calc base'!N$12,ROUND('Calc base'!N$13*BE139,2))))</f>
        <v>0</v>
      </c>
      <c r="V140">
        <f>MAX(0,ROUND(AT139*(1+'Calc base'!H140),2)-J140-'Calc base'!T140)</f>
        <v>0</v>
      </c>
      <c r="W140">
        <f>MAX(0,ROUND(AU139*(1+'Calc base'!I140),2)-K140-'Calc base'!U140)</f>
        <v>0</v>
      </c>
      <c r="X140">
        <f>MAX(0,ROUND(AV139*(1+'Calc base'!J140),2)-L140-'Calc base'!V140)</f>
        <v>0</v>
      </c>
      <c r="Y140">
        <f>MAX(0,ROUND(AW139*(1+'Calc base'!K140),2)-M140-'Calc base'!W140)</f>
        <v>0</v>
      </c>
      <c r="Z140">
        <f>MAX(0,ROUND(AX139*(1+'Calc base'!L140),2)-N140-'Calc base'!X140)</f>
        <v>0</v>
      </c>
      <c r="AA140">
        <f>MAX(0,ROUND(AY139*(1+'Calc base'!M140),2)-O140-'Calc base'!Y140)</f>
        <v>0</v>
      </c>
      <c r="AB140">
        <f>MAX(0,ROUND(AZ139*(1+'Calc base'!N140),2)-P140-'Calc base'!Z140)</f>
        <v>0</v>
      </c>
      <c r="AC140">
        <f>MAX(0,ROUND(BA139*(1+'Calc base'!O140),2)-Q140-'Calc base'!AA140)</f>
        <v>0</v>
      </c>
      <c r="AD140">
        <f>MAX(0,ROUND(BB139*(1+'Calc base'!P140),2)-R140-'Calc base'!AB140)</f>
        <v>0</v>
      </c>
      <c r="AE140">
        <f>MAX(0,ROUND(BC139*(1+'Calc base'!Q140),2)-S140-'Calc base'!AC140)</f>
        <v>0</v>
      </c>
      <c r="AF140">
        <f>MAX(0,ROUND(BD139*(1+'Calc base'!R140),2)-T140-'Calc base'!AD140)</f>
        <v>0</v>
      </c>
      <c r="AG140">
        <f>MAX(0,ROUND(BE139*(1+'Calc base'!S140),2)-U140-'Calc base'!AE140)</f>
        <v>0</v>
      </c>
      <c r="AH140">
        <f>IF('Calc base'!C$14=0,0,MIN(V140,MAX(0,$E140-SUMPRODUCT($V140:$AG140,'Calc base'!$C$14:$N$14,('Calc base'!$H140:$S140&gt;'Calc base'!H140)+('Calc base'!$H140:$S140='Calc base'!H140)*('Calc base'!$C$17:$N$17&lt;'Calc base'!C$17)))))</f>
        <v>0</v>
      </c>
      <c r="AI140">
        <f>IF('Calc base'!D$14=0,0,MIN(W140,MAX(0,$E140-SUMPRODUCT($V140:$AG140,'Calc base'!$C$14:$N$14,('Calc base'!$H140:$S140&gt;'Calc base'!I140)+('Calc base'!$H140:$S140='Calc base'!I140)*('Calc base'!$C$17:$N$17&lt;'Calc base'!D$17)))))</f>
        <v>0</v>
      </c>
      <c r="AJ140">
        <f>IF('Calc base'!E$14=0,0,MIN(X140,MAX(0,$E140-SUMPRODUCT($V140:$AG140,'Calc base'!$C$14:$N$14,('Calc base'!$H140:$S140&gt;'Calc base'!J140)+('Calc base'!$H140:$S140='Calc base'!J140)*('Calc base'!$C$17:$N$17&lt;'Calc base'!E$17)))))</f>
        <v>0</v>
      </c>
      <c r="AK140">
        <f>IF('Calc base'!F$14=0,0,MIN(Y140,MAX(0,$E140-SUMPRODUCT($V140:$AG140,'Calc base'!$C$14:$N$14,('Calc base'!$H140:$S140&gt;'Calc base'!K140)+('Calc base'!$H140:$S140='Calc base'!K140)*('Calc base'!$C$17:$N$17&lt;'Calc base'!F$17)))))</f>
        <v>0</v>
      </c>
      <c r="AL140">
        <f>IF('Calc base'!G$14=0,0,MIN(Z140,MAX(0,$E140-SUMPRODUCT($V140:$AG140,'Calc base'!$C$14:$N$14,('Calc base'!$H140:$S140&gt;'Calc base'!L140)+('Calc base'!$H140:$S140='Calc base'!L140)*('Calc base'!$C$17:$N$17&lt;'Calc base'!G$17)))))</f>
        <v>0</v>
      </c>
      <c r="AM140">
        <f>IF('Calc base'!H$14=0,0,MIN(AA140,MAX(0,$E140-SUMPRODUCT($V140:$AG140,'Calc base'!$C$14:$N$14,('Calc base'!$H140:$S140&gt;'Calc base'!M140)+('Calc base'!$H140:$S140='Calc base'!M140)*('Calc base'!$C$17:$N$17&lt;'Calc base'!H$17)))))</f>
        <v>0</v>
      </c>
      <c r="AN140">
        <f>IF('Calc base'!I$14=0,0,MIN(AB140,MAX(0,$E140-SUMPRODUCT($V140:$AG140,'Calc base'!$C$14:$N$14,('Calc base'!$H140:$S140&gt;'Calc base'!N140)+('Calc base'!$H140:$S140='Calc base'!N140)*('Calc base'!$C$17:$N$17&lt;'Calc base'!I$17)))))</f>
        <v>0</v>
      </c>
      <c r="AO140">
        <f>IF('Calc base'!J$14=0,0,MIN(AC140,MAX(0,$E140-SUMPRODUCT($V140:$AG140,'Calc base'!$C$14:$N$14,('Calc base'!$H140:$S140&gt;'Calc base'!O140)+('Calc base'!$H140:$S140='Calc base'!O140)*('Calc base'!$C$17:$N$17&lt;'Calc base'!J$17)))))</f>
        <v>0</v>
      </c>
      <c r="AP140">
        <f>IF('Calc base'!K$14=0,0,MIN(AD140,MAX(0,$E140-SUMPRODUCT($V140:$AG140,'Calc base'!$C$14:$N$14,('Calc base'!$H140:$S140&gt;'Calc base'!P140)+('Calc base'!$H140:$S140='Calc base'!P140)*('Calc base'!$C$17:$N$17&lt;'Calc base'!K$17)))))</f>
        <v>0</v>
      </c>
      <c r="AQ140">
        <f>IF('Calc base'!L$14=0,0,MIN(AE140,MAX(0,$E140-SUMPRODUCT($V140:$AG140,'Calc base'!$C$14:$N$14,('Calc base'!$H140:$S140&gt;'Calc base'!Q140)+('Calc base'!$H140:$S140='Calc base'!Q140)*('Calc base'!$C$17:$N$17&lt;'Calc base'!L$17)))))</f>
        <v>0</v>
      </c>
      <c r="AR140">
        <f>IF('Calc base'!M$14=0,0,MIN(AF140,MAX(0,$E140-SUMPRODUCT($V140:$AG140,'Calc base'!$C$14:$N$14,('Calc base'!$H140:$S140&gt;'Calc base'!R140)+('Calc base'!$H140:$S140='Calc base'!R140)*('Calc base'!$C$17:$N$17&lt;'Calc base'!M$17)))))</f>
        <v>0</v>
      </c>
      <c r="AS140">
        <f>IF('Calc base'!N$14=0,0,MIN(AG140,MAX(0,$E140-SUMPRODUCT($V140:$AG140,'Calc base'!$C$14:$N$14,('Calc base'!$H140:$S140&gt;'Calc base'!S140)+('Calc base'!$H140:$S140='Calc base'!S140)*('Calc base'!$C$17:$N$17&lt;'Calc base'!N$17)))))</f>
        <v>0</v>
      </c>
      <c r="AT140">
        <f>V140-AH140</f>
        <v>0</v>
      </c>
      <c r="AU140">
        <f>W140-AI140</f>
        <v>0</v>
      </c>
      <c r="AV140">
        <f>X140-AJ140</f>
        <v>0</v>
      </c>
      <c r="AW140">
        <f>Y140-AK140</f>
        <v>0</v>
      </c>
      <c r="AX140">
        <f>Z140-AL140</f>
        <v>0</v>
      </c>
      <c r="AY140">
        <f>AA140-AM140</f>
        <v>0</v>
      </c>
      <c r="AZ140">
        <f>AB140-AN140</f>
        <v>0</v>
      </c>
      <c r="BA140">
        <f>AC140-AO140</f>
        <v>0</v>
      </c>
      <c r="BB140">
        <f>AD140-AP140</f>
        <v>0</v>
      </c>
      <c r="BC140">
        <f>AE140-AQ140</f>
        <v>0</v>
      </c>
      <c r="BD140">
        <f>AF140-AR140</f>
        <v>0</v>
      </c>
      <c r="BE140">
        <f>AG140-AS140</f>
        <v>0</v>
      </c>
    </row>
    <row r="141">
      <c r="A141" t="n">
        <v>111</v>
      </c>
      <c r="B141">
        <f>SUMPRODUCT(ROUND($AT140:$BE140*(1+'Calc base'!$H141:$S141),2))</f>
        <v>0</v>
      </c>
      <c r="C141">
        <f>SUM(J141:U141)</f>
        <v>0</v>
      </c>
      <c r="D141">
        <f>SUM(V141:AG141)</f>
        <v>0</v>
      </c>
      <c r="E141">
        <f>MAX(0,IF(Impostazioni!$B$7="No",'Calc base'!$C141-$C$31,'Calc base'!$C141-C141)+'Calc base'!$G141+'Calc base'!$F141-(B141-C141-D141))</f>
        <v>900</v>
      </c>
      <c r="F141">
        <f>SUM(AH141:AS141)</f>
        <v>0</v>
      </c>
      <c r="G141">
        <f>SUM(AT141:BE141)</f>
        <v>0</v>
      </c>
      <c r="H141">
        <f>B141-G140</f>
        <v>0</v>
      </c>
      <c r="I141">
        <f>B141-G141</f>
        <v>0</v>
      </c>
      <c r="J141">
        <f>IF(AT140&lt;=0,0,IF(ROUND(AT140*(1+'Calc base'!H141),2)-MAX('Calc base'!C$12,ROUND('Calc base'!C$13*AT140,2))&lt;1,ROUND(AT140*(1+'Calc base'!H141),2),MAX('Calc base'!C$12,ROUND('Calc base'!C$13*AT140,2))))</f>
        <v>0</v>
      </c>
      <c r="K141">
        <f>IF(AU140&lt;=0,0,IF(ROUND(AU140*(1+'Calc base'!I141),2)-MAX('Calc base'!D$12,ROUND('Calc base'!D$13*AU140,2))&lt;1,ROUND(AU140*(1+'Calc base'!I141),2),MAX('Calc base'!D$12,ROUND('Calc base'!D$13*AU140,2))))</f>
        <v>0</v>
      </c>
      <c r="L141">
        <f>IF(AV140&lt;=0,0,IF(ROUND(AV140*(1+'Calc base'!J141),2)-MAX('Calc base'!E$12,ROUND('Calc base'!E$13*AV140,2))&lt;1,ROUND(AV140*(1+'Calc base'!J141),2),MAX('Calc base'!E$12,ROUND('Calc base'!E$13*AV140,2))))</f>
        <v>0</v>
      </c>
      <c r="M141">
        <f>IF(AW140&lt;=0,0,IF(ROUND(AW140*(1+'Calc base'!K141),2)-MAX('Calc base'!F$12,ROUND('Calc base'!F$13*AW140,2))&lt;1,ROUND(AW140*(1+'Calc base'!K141),2),MAX('Calc base'!F$12,ROUND('Calc base'!F$13*AW140,2))))</f>
        <v>0</v>
      </c>
      <c r="N141">
        <f>IF(AX140&lt;=0,0,IF(ROUND(AX140*(1+'Calc base'!L141),2)-MAX('Calc base'!G$12,ROUND('Calc base'!G$13*AX140,2))&lt;1,ROUND(AX140*(1+'Calc base'!L141),2),MAX('Calc base'!G$12,ROUND('Calc base'!G$13*AX140,2))))</f>
        <v>0</v>
      </c>
      <c r="O141">
        <f>IF(AY140&lt;=0,0,IF(ROUND(AY140*(1+'Calc base'!M141),2)-MAX('Calc base'!H$12,ROUND('Calc base'!H$13*AY140,2))&lt;1,ROUND(AY140*(1+'Calc base'!M141),2),MAX('Calc base'!H$12,ROUND('Calc base'!H$13*AY140,2))))</f>
        <v>0</v>
      </c>
      <c r="P141">
        <f>IF(AZ140&lt;=0,0,IF(ROUND(AZ140*(1+'Calc base'!N141),2)-MAX('Calc base'!I$12,ROUND('Calc base'!I$13*AZ140,2))&lt;1,ROUND(AZ140*(1+'Calc base'!N141),2),MAX('Calc base'!I$12,ROUND('Calc base'!I$13*AZ140,2))))</f>
        <v>0</v>
      </c>
      <c r="Q141">
        <f>IF(BA140&lt;=0,0,IF(ROUND(BA140*(1+'Calc base'!O141),2)-MAX('Calc base'!J$12,ROUND('Calc base'!J$13*BA140,2))&lt;1,ROUND(BA140*(1+'Calc base'!O141),2),MAX('Calc base'!J$12,ROUND('Calc base'!J$13*BA140,2))))</f>
        <v>0</v>
      </c>
      <c r="R141">
        <f>IF(BB140&lt;=0,0,IF(ROUND(BB140*(1+'Calc base'!P141),2)-MAX('Calc base'!K$12,ROUND('Calc base'!K$13*BB140,2))&lt;1,ROUND(BB140*(1+'Calc base'!P141),2),MAX('Calc base'!K$12,ROUND('Calc base'!K$13*BB140,2))))</f>
        <v>0</v>
      </c>
      <c r="S141">
        <f>IF(BC140&lt;=0,0,IF(ROUND(BC140*(1+'Calc base'!Q141),2)-MAX('Calc base'!L$12,ROUND('Calc base'!L$13*BC140,2))&lt;1,ROUND(BC140*(1+'Calc base'!Q141),2),MAX('Calc base'!L$12,ROUND('Calc base'!L$13*BC140,2))))</f>
        <v>0</v>
      </c>
      <c r="T141">
        <f>IF(BD140&lt;=0,0,IF(ROUND(BD140*(1+'Calc base'!R141),2)-MAX('Calc base'!M$12,ROUND('Calc base'!M$13*BD140,2))&lt;1,ROUND(BD140*(1+'Calc base'!R141),2),MAX('Calc base'!M$12,ROUND('Calc base'!M$13*BD140,2))))</f>
        <v>0</v>
      </c>
      <c r="U141">
        <f>IF(BE140&lt;=0,0,IF(ROUND(BE140*(1+'Calc base'!S141),2)-MAX('Calc base'!N$12,ROUND('Calc base'!N$13*BE140,2))&lt;1,ROUND(BE140*(1+'Calc base'!S141),2),MAX('Calc base'!N$12,ROUND('Calc base'!N$13*BE140,2))))</f>
        <v>0</v>
      </c>
      <c r="V141">
        <f>MAX(0,ROUND(AT140*(1+'Calc base'!H141),2)-J141-'Calc base'!T141)</f>
        <v>0</v>
      </c>
      <c r="W141">
        <f>MAX(0,ROUND(AU140*(1+'Calc base'!I141),2)-K141-'Calc base'!U141)</f>
        <v>0</v>
      </c>
      <c r="X141">
        <f>MAX(0,ROUND(AV140*(1+'Calc base'!J141),2)-L141-'Calc base'!V141)</f>
        <v>0</v>
      </c>
      <c r="Y141">
        <f>MAX(0,ROUND(AW140*(1+'Calc base'!K141),2)-M141-'Calc base'!W141)</f>
        <v>0</v>
      </c>
      <c r="Z141">
        <f>MAX(0,ROUND(AX140*(1+'Calc base'!L141),2)-N141-'Calc base'!X141)</f>
        <v>0</v>
      </c>
      <c r="AA141">
        <f>MAX(0,ROUND(AY140*(1+'Calc base'!M141),2)-O141-'Calc base'!Y141)</f>
        <v>0</v>
      </c>
      <c r="AB141">
        <f>MAX(0,ROUND(AZ140*(1+'Calc base'!N141),2)-P141-'Calc base'!Z141)</f>
        <v>0</v>
      </c>
      <c r="AC141">
        <f>MAX(0,ROUND(BA140*(1+'Calc base'!O141),2)-Q141-'Calc base'!AA141)</f>
        <v>0</v>
      </c>
      <c r="AD141">
        <f>MAX(0,ROUND(BB140*(1+'Calc base'!P141),2)-R141-'Calc base'!AB141)</f>
        <v>0</v>
      </c>
      <c r="AE141">
        <f>MAX(0,ROUND(BC140*(1+'Calc base'!Q141),2)-S141-'Calc base'!AC141)</f>
        <v>0</v>
      </c>
      <c r="AF141">
        <f>MAX(0,ROUND(BD140*(1+'Calc base'!R141),2)-T141-'Calc base'!AD141)</f>
        <v>0</v>
      </c>
      <c r="AG141">
        <f>MAX(0,ROUND(BE140*(1+'Calc base'!S141),2)-U141-'Calc base'!AE141)</f>
        <v>0</v>
      </c>
      <c r="AH141">
        <f>IF('Calc base'!C$14=0,0,MIN(V141,MAX(0,$E141-SUMPRODUCT($V141:$AG141,'Calc base'!$C$14:$N$14,('Calc base'!$H141:$S141&gt;'Calc base'!H141)+('Calc base'!$H141:$S141='Calc base'!H141)*('Calc base'!$C$17:$N$17&lt;'Calc base'!C$17)))))</f>
        <v>0</v>
      </c>
      <c r="AI141">
        <f>IF('Calc base'!D$14=0,0,MIN(W141,MAX(0,$E141-SUMPRODUCT($V141:$AG141,'Calc base'!$C$14:$N$14,('Calc base'!$H141:$S141&gt;'Calc base'!I141)+('Calc base'!$H141:$S141='Calc base'!I141)*('Calc base'!$C$17:$N$17&lt;'Calc base'!D$17)))))</f>
        <v>0</v>
      </c>
      <c r="AJ141">
        <f>IF('Calc base'!E$14=0,0,MIN(X141,MAX(0,$E141-SUMPRODUCT($V141:$AG141,'Calc base'!$C$14:$N$14,('Calc base'!$H141:$S141&gt;'Calc base'!J141)+('Calc base'!$H141:$S141='Calc base'!J141)*('Calc base'!$C$17:$N$17&lt;'Calc base'!E$17)))))</f>
        <v>0</v>
      </c>
      <c r="AK141">
        <f>IF('Calc base'!F$14=0,0,MIN(Y141,MAX(0,$E141-SUMPRODUCT($V141:$AG141,'Calc base'!$C$14:$N$14,('Calc base'!$H141:$S141&gt;'Calc base'!K141)+('Calc base'!$H141:$S141='Calc base'!K141)*('Calc base'!$C$17:$N$17&lt;'Calc base'!F$17)))))</f>
        <v>0</v>
      </c>
      <c r="AL141">
        <f>IF('Calc base'!G$14=0,0,MIN(Z141,MAX(0,$E141-SUMPRODUCT($V141:$AG141,'Calc base'!$C$14:$N$14,('Calc base'!$H141:$S141&gt;'Calc base'!L141)+('Calc base'!$H141:$S141='Calc base'!L141)*('Calc base'!$C$17:$N$17&lt;'Calc base'!G$17)))))</f>
        <v>0</v>
      </c>
      <c r="AM141">
        <f>IF('Calc base'!H$14=0,0,MIN(AA141,MAX(0,$E141-SUMPRODUCT($V141:$AG141,'Calc base'!$C$14:$N$14,('Calc base'!$H141:$S141&gt;'Calc base'!M141)+('Calc base'!$H141:$S141='Calc base'!M141)*('Calc base'!$C$17:$N$17&lt;'Calc base'!H$17)))))</f>
        <v>0</v>
      </c>
      <c r="AN141">
        <f>IF('Calc base'!I$14=0,0,MIN(AB141,MAX(0,$E141-SUMPRODUCT($V141:$AG141,'Calc base'!$C$14:$N$14,('Calc base'!$H141:$S141&gt;'Calc base'!N141)+('Calc base'!$H141:$S141='Calc base'!N141)*('Calc base'!$C$17:$N$17&lt;'Calc base'!I$17)))))</f>
        <v>0</v>
      </c>
      <c r="AO141">
        <f>IF('Calc base'!J$14=0,0,MIN(AC141,MAX(0,$E141-SUMPRODUCT($V141:$AG141,'Calc base'!$C$14:$N$14,('Calc base'!$H141:$S141&gt;'Calc base'!O141)+('Calc base'!$H141:$S141='Calc base'!O141)*('Calc base'!$C$17:$N$17&lt;'Calc base'!J$17)))))</f>
        <v>0</v>
      </c>
      <c r="AP141">
        <f>IF('Calc base'!K$14=0,0,MIN(AD141,MAX(0,$E141-SUMPRODUCT($V141:$AG141,'Calc base'!$C$14:$N$14,('Calc base'!$H141:$S141&gt;'Calc base'!P141)+('Calc base'!$H141:$S141='Calc base'!P141)*('Calc base'!$C$17:$N$17&lt;'Calc base'!K$17)))))</f>
        <v>0</v>
      </c>
      <c r="AQ141">
        <f>IF('Calc base'!L$14=0,0,MIN(AE141,MAX(0,$E141-SUMPRODUCT($V141:$AG141,'Calc base'!$C$14:$N$14,('Calc base'!$H141:$S141&gt;'Calc base'!Q141)+('Calc base'!$H141:$S141='Calc base'!Q141)*('Calc base'!$C$17:$N$17&lt;'Calc base'!L$17)))))</f>
        <v>0</v>
      </c>
      <c r="AR141">
        <f>IF('Calc base'!M$14=0,0,MIN(AF141,MAX(0,$E141-SUMPRODUCT($V141:$AG141,'Calc base'!$C$14:$N$14,('Calc base'!$H141:$S141&gt;'Calc base'!R141)+('Calc base'!$H141:$S141='Calc base'!R141)*('Calc base'!$C$17:$N$17&lt;'Calc base'!M$17)))))</f>
        <v>0</v>
      </c>
      <c r="AS141">
        <f>IF('Calc base'!N$14=0,0,MIN(AG141,MAX(0,$E141-SUMPRODUCT($V141:$AG141,'Calc base'!$C$14:$N$14,('Calc base'!$H141:$S141&gt;'Calc base'!S141)+('Calc base'!$H141:$S141='Calc base'!S141)*('Calc base'!$C$17:$N$17&lt;'Calc base'!N$17)))))</f>
        <v>0</v>
      </c>
      <c r="AT141">
        <f>V141-AH141</f>
        <v>0</v>
      </c>
      <c r="AU141">
        <f>W141-AI141</f>
        <v>0</v>
      </c>
      <c r="AV141">
        <f>X141-AJ141</f>
        <v>0</v>
      </c>
      <c r="AW141">
        <f>Y141-AK141</f>
        <v>0</v>
      </c>
      <c r="AX141">
        <f>Z141-AL141</f>
        <v>0</v>
      </c>
      <c r="AY141">
        <f>AA141-AM141</f>
        <v>0</v>
      </c>
      <c r="AZ141">
        <f>AB141-AN141</f>
        <v>0</v>
      </c>
      <c r="BA141">
        <f>AC141-AO141</f>
        <v>0</v>
      </c>
      <c r="BB141">
        <f>AD141-AP141</f>
        <v>0</v>
      </c>
      <c r="BC141">
        <f>AE141-AQ141</f>
        <v>0</v>
      </c>
      <c r="BD141">
        <f>AF141-AR141</f>
        <v>0</v>
      </c>
      <c r="BE141">
        <f>AG141-AS141</f>
        <v>0</v>
      </c>
    </row>
    <row r="142">
      <c r="A142" t="n">
        <v>112</v>
      </c>
      <c r="B142">
        <f>SUMPRODUCT(ROUND($AT141:$BE141*(1+'Calc base'!$H142:$S142),2))</f>
        <v>0</v>
      </c>
      <c r="C142">
        <f>SUM(J142:U142)</f>
        <v>0</v>
      </c>
      <c r="D142">
        <f>SUM(V142:AG142)</f>
        <v>0</v>
      </c>
      <c r="E142">
        <f>MAX(0,IF(Impostazioni!$B$7="No",'Calc base'!$C142-$C$31,'Calc base'!$C142-C142)+'Calc base'!$G142+'Calc base'!$F142-(B142-C142-D142))</f>
        <v>900</v>
      </c>
      <c r="F142">
        <f>SUM(AH142:AS142)</f>
        <v>0</v>
      </c>
      <c r="G142">
        <f>SUM(AT142:BE142)</f>
        <v>0</v>
      </c>
      <c r="H142">
        <f>B142-G141</f>
        <v>0</v>
      </c>
      <c r="I142">
        <f>B142-G142</f>
        <v>0</v>
      </c>
      <c r="J142">
        <f>IF(AT141&lt;=0,0,IF(ROUND(AT141*(1+'Calc base'!H142),2)-MAX('Calc base'!C$12,ROUND('Calc base'!C$13*AT141,2))&lt;1,ROUND(AT141*(1+'Calc base'!H142),2),MAX('Calc base'!C$12,ROUND('Calc base'!C$13*AT141,2))))</f>
        <v>0</v>
      </c>
      <c r="K142">
        <f>IF(AU141&lt;=0,0,IF(ROUND(AU141*(1+'Calc base'!I142),2)-MAX('Calc base'!D$12,ROUND('Calc base'!D$13*AU141,2))&lt;1,ROUND(AU141*(1+'Calc base'!I142),2),MAX('Calc base'!D$12,ROUND('Calc base'!D$13*AU141,2))))</f>
        <v>0</v>
      </c>
      <c r="L142">
        <f>IF(AV141&lt;=0,0,IF(ROUND(AV141*(1+'Calc base'!J142),2)-MAX('Calc base'!E$12,ROUND('Calc base'!E$13*AV141,2))&lt;1,ROUND(AV141*(1+'Calc base'!J142),2),MAX('Calc base'!E$12,ROUND('Calc base'!E$13*AV141,2))))</f>
        <v>0</v>
      </c>
      <c r="M142">
        <f>IF(AW141&lt;=0,0,IF(ROUND(AW141*(1+'Calc base'!K142),2)-MAX('Calc base'!F$12,ROUND('Calc base'!F$13*AW141,2))&lt;1,ROUND(AW141*(1+'Calc base'!K142),2),MAX('Calc base'!F$12,ROUND('Calc base'!F$13*AW141,2))))</f>
        <v>0</v>
      </c>
      <c r="N142">
        <f>IF(AX141&lt;=0,0,IF(ROUND(AX141*(1+'Calc base'!L142),2)-MAX('Calc base'!G$12,ROUND('Calc base'!G$13*AX141,2))&lt;1,ROUND(AX141*(1+'Calc base'!L142),2),MAX('Calc base'!G$12,ROUND('Calc base'!G$13*AX141,2))))</f>
        <v>0</v>
      </c>
      <c r="O142">
        <f>IF(AY141&lt;=0,0,IF(ROUND(AY141*(1+'Calc base'!M142),2)-MAX('Calc base'!H$12,ROUND('Calc base'!H$13*AY141,2))&lt;1,ROUND(AY141*(1+'Calc base'!M142),2),MAX('Calc base'!H$12,ROUND('Calc base'!H$13*AY141,2))))</f>
        <v>0</v>
      </c>
      <c r="P142">
        <f>IF(AZ141&lt;=0,0,IF(ROUND(AZ141*(1+'Calc base'!N142),2)-MAX('Calc base'!I$12,ROUND('Calc base'!I$13*AZ141,2))&lt;1,ROUND(AZ141*(1+'Calc base'!N142),2),MAX('Calc base'!I$12,ROUND('Calc base'!I$13*AZ141,2))))</f>
        <v>0</v>
      </c>
      <c r="Q142">
        <f>IF(BA141&lt;=0,0,IF(ROUND(BA141*(1+'Calc base'!O142),2)-MAX('Calc base'!J$12,ROUND('Calc base'!J$13*BA141,2))&lt;1,ROUND(BA141*(1+'Calc base'!O142),2),MAX('Calc base'!J$12,ROUND('Calc base'!J$13*BA141,2))))</f>
        <v>0</v>
      </c>
      <c r="R142">
        <f>IF(BB141&lt;=0,0,IF(ROUND(BB141*(1+'Calc base'!P142),2)-MAX('Calc base'!K$12,ROUND('Calc base'!K$13*BB141,2))&lt;1,ROUND(BB141*(1+'Calc base'!P142),2),MAX('Calc base'!K$12,ROUND('Calc base'!K$13*BB141,2))))</f>
        <v>0</v>
      </c>
      <c r="S142">
        <f>IF(BC141&lt;=0,0,IF(ROUND(BC141*(1+'Calc base'!Q142),2)-MAX('Calc base'!L$12,ROUND('Calc base'!L$13*BC141,2))&lt;1,ROUND(BC141*(1+'Calc base'!Q142),2),MAX('Calc base'!L$12,ROUND('Calc base'!L$13*BC141,2))))</f>
        <v>0</v>
      </c>
      <c r="T142">
        <f>IF(BD141&lt;=0,0,IF(ROUND(BD141*(1+'Calc base'!R142),2)-MAX('Calc base'!M$12,ROUND('Calc base'!M$13*BD141,2))&lt;1,ROUND(BD141*(1+'Calc base'!R142),2),MAX('Calc base'!M$12,ROUND('Calc base'!M$13*BD141,2))))</f>
        <v>0</v>
      </c>
      <c r="U142">
        <f>IF(BE141&lt;=0,0,IF(ROUND(BE141*(1+'Calc base'!S142),2)-MAX('Calc base'!N$12,ROUND('Calc base'!N$13*BE141,2))&lt;1,ROUND(BE141*(1+'Calc base'!S142),2),MAX('Calc base'!N$12,ROUND('Calc base'!N$13*BE141,2))))</f>
        <v>0</v>
      </c>
      <c r="V142">
        <f>MAX(0,ROUND(AT141*(1+'Calc base'!H142),2)-J142-'Calc base'!T142)</f>
        <v>0</v>
      </c>
      <c r="W142">
        <f>MAX(0,ROUND(AU141*(1+'Calc base'!I142),2)-K142-'Calc base'!U142)</f>
        <v>0</v>
      </c>
      <c r="X142">
        <f>MAX(0,ROUND(AV141*(1+'Calc base'!J142),2)-L142-'Calc base'!V142)</f>
        <v>0</v>
      </c>
      <c r="Y142">
        <f>MAX(0,ROUND(AW141*(1+'Calc base'!K142),2)-M142-'Calc base'!W142)</f>
        <v>0</v>
      </c>
      <c r="Z142">
        <f>MAX(0,ROUND(AX141*(1+'Calc base'!L142),2)-N142-'Calc base'!X142)</f>
        <v>0</v>
      </c>
      <c r="AA142">
        <f>MAX(0,ROUND(AY141*(1+'Calc base'!M142),2)-O142-'Calc base'!Y142)</f>
        <v>0</v>
      </c>
      <c r="AB142">
        <f>MAX(0,ROUND(AZ141*(1+'Calc base'!N142),2)-P142-'Calc base'!Z142)</f>
        <v>0</v>
      </c>
      <c r="AC142">
        <f>MAX(0,ROUND(BA141*(1+'Calc base'!O142),2)-Q142-'Calc base'!AA142)</f>
        <v>0</v>
      </c>
      <c r="AD142">
        <f>MAX(0,ROUND(BB141*(1+'Calc base'!P142),2)-R142-'Calc base'!AB142)</f>
        <v>0</v>
      </c>
      <c r="AE142">
        <f>MAX(0,ROUND(BC141*(1+'Calc base'!Q142),2)-S142-'Calc base'!AC142)</f>
        <v>0</v>
      </c>
      <c r="AF142">
        <f>MAX(0,ROUND(BD141*(1+'Calc base'!R142),2)-T142-'Calc base'!AD142)</f>
        <v>0</v>
      </c>
      <c r="AG142">
        <f>MAX(0,ROUND(BE141*(1+'Calc base'!S142),2)-U142-'Calc base'!AE142)</f>
        <v>0</v>
      </c>
      <c r="AH142">
        <f>IF('Calc base'!C$14=0,0,MIN(V142,MAX(0,$E142-SUMPRODUCT($V142:$AG142,'Calc base'!$C$14:$N$14,('Calc base'!$H142:$S142&gt;'Calc base'!H142)+('Calc base'!$H142:$S142='Calc base'!H142)*('Calc base'!$C$17:$N$17&lt;'Calc base'!C$17)))))</f>
        <v>0</v>
      </c>
      <c r="AI142">
        <f>IF('Calc base'!D$14=0,0,MIN(W142,MAX(0,$E142-SUMPRODUCT($V142:$AG142,'Calc base'!$C$14:$N$14,('Calc base'!$H142:$S142&gt;'Calc base'!I142)+('Calc base'!$H142:$S142='Calc base'!I142)*('Calc base'!$C$17:$N$17&lt;'Calc base'!D$17)))))</f>
        <v>0</v>
      </c>
      <c r="AJ142">
        <f>IF('Calc base'!E$14=0,0,MIN(X142,MAX(0,$E142-SUMPRODUCT($V142:$AG142,'Calc base'!$C$14:$N$14,('Calc base'!$H142:$S142&gt;'Calc base'!J142)+('Calc base'!$H142:$S142='Calc base'!J142)*('Calc base'!$C$17:$N$17&lt;'Calc base'!E$17)))))</f>
        <v>0</v>
      </c>
      <c r="AK142">
        <f>IF('Calc base'!F$14=0,0,MIN(Y142,MAX(0,$E142-SUMPRODUCT($V142:$AG142,'Calc base'!$C$14:$N$14,('Calc base'!$H142:$S142&gt;'Calc base'!K142)+('Calc base'!$H142:$S142='Calc base'!K142)*('Calc base'!$C$17:$N$17&lt;'Calc base'!F$17)))))</f>
        <v>0</v>
      </c>
      <c r="AL142">
        <f>IF('Calc base'!G$14=0,0,MIN(Z142,MAX(0,$E142-SUMPRODUCT($V142:$AG142,'Calc base'!$C$14:$N$14,('Calc base'!$H142:$S142&gt;'Calc base'!L142)+('Calc base'!$H142:$S142='Calc base'!L142)*('Calc base'!$C$17:$N$17&lt;'Calc base'!G$17)))))</f>
        <v>0</v>
      </c>
      <c r="AM142">
        <f>IF('Calc base'!H$14=0,0,MIN(AA142,MAX(0,$E142-SUMPRODUCT($V142:$AG142,'Calc base'!$C$14:$N$14,('Calc base'!$H142:$S142&gt;'Calc base'!M142)+('Calc base'!$H142:$S142='Calc base'!M142)*('Calc base'!$C$17:$N$17&lt;'Calc base'!H$17)))))</f>
        <v>0</v>
      </c>
      <c r="AN142">
        <f>IF('Calc base'!I$14=0,0,MIN(AB142,MAX(0,$E142-SUMPRODUCT($V142:$AG142,'Calc base'!$C$14:$N$14,('Calc base'!$H142:$S142&gt;'Calc base'!N142)+('Calc base'!$H142:$S142='Calc base'!N142)*('Calc base'!$C$17:$N$17&lt;'Calc base'!I$17)))))</f>
        <v>0</v>
      </c>
      <c r="AO142">
        <f>IF('Calc base'!J$14=0,0,MIN(AC142,MAX(0,$E142-SUMPRODUCT($V142:$AG142,'Calc base'!$C$14:$N$14,('Calc base'!$H142:$S142&gt;'Calc base'!O142)+('Calc base'!$H142:$S142='Calc base'!O142)*('Calc base'!$C$17:$N$17&lt;'Calc base'!J$17)))))</f>
        <v>0</v>
      </c>
      <c r="AP142">
        <f>IF('Calc base'!K$14=0,0,MIN(AD142,MAX(0,$E142-SUMPRODUCT($V142:$AG142,'Calc base'!$C$14:$N$14,('Calc base'!$H142:$S142&gt;'Calc base'!P142)+('Calc base'!$H142:$S142='Calc base'!P142)*('Calc base'!$C$17:$N$17&lt;'Calc base'!K$17)))))</f>
        <v>0</v>
      </c>
      <c r="AQ142">
        <f>IF('Calc base'!L$14=0,0,MIN(AE142,MAX(0,$E142-SUMPRODUCT($V142:$AG142,'Calc base'!$C$14:$N$14,('Calc base'!$H142:$S142&gt;'Calc base'!Q142)+('Calc base'!$H142:$S142='Calc base'!Q142)*('Calc base'!$C$17:$N$17&lt;'Calc base'!L$17)))))</f>
        <v>0</v>
      </c>
      <c r="AR142">
        <f>IF('Calc base'!M$14=0,0,MIN(AF142,MAX(0,$E142-SUMPRODUCT($V142:$AG142,'Calc base'!$C$14:$N$14,('Calc base'!$H142:$S142&gt;'Calc base'!R142)+('Calc base'!$H142:$S142='Calc base'!R142)*('Calc base'!$C$17:$N$17&lt;'Calc base'!M$17)))))</f>
        <v>0</v>
      </c>
      <c r="AS142">
        <f>IF('Calc base'!N$14=0,0,MIN(AG142,MAX(0,$E142-SUMPRODUCT($V142:$AG142,'Calc base'!$C$14:$N$14,('Calc base'!$H142:$S142&gt;'Calc base'!S142)+('Calc base'!$H142:$S142='Calc base'!S142)*('Calc base'!$C$17:$N$17&lt;'Calc base'!N$17)))))</f>
        <v>0</v>
      </c>
      <c r="AT142">
        <f>V142-AH142</f>
        <v>0</v>
      </c>
      <c r="AU142">
        <f>W142-AI142</f>
        <v>0</v>
      </c>
      <c r="AV142">
        <f>X142-AJ142</f>
        <v>0</v>
      </c>
      <c r="AW142">
        <f>Y142-AK142</f>
        <v>0</v>
      </c>
      <c r="AX142">
        <f>Z142-AL142</f>
        <v>0</v>
      </c>
      <c r="AY142">
        <f>AA142-AM142</f>
        <v>0</v>
      </c>
      <c r="AZ142">
        <f>AB142-AN142</f>
        <v>0</v>
      </c>
      <c r="BA142">
        <f>AC142-AO142</f>
        <v>0</v>
      </c>
      <c r="BB142">
        <f>AD142-AP142</f>
        <v>0</v>
      </c>
      <c r="BC142">
        <f>AE142-AQ142</f>
        <v>0</v>
      </c>
      <c r="BD142">
        <f>AF142-AR142</f>
        <v>0</v>
      </c>
      <c r="BE142">
        <f>AG142-AS142</f>
        <v>0</v>
      </c>
    </row>
    <row r="143">
      <c r="A143" t="n">
        <v>113</v>
      </c>
      <c r="B143">
        <f>SUMPRODUCT(ROUND($AT142:$BE142*(1+'Calc base'!$H143:$S143),2))</f>
        <v>0</v>
      </c>
      <c r="C143">
        <f>SUM(J143:U143)</f>
        <v>0</v>
      </c>
      <c r="D143">
        <f>SUM(V143:AG143)</f>
        <v>0</v>
      </c>
      <c r="E143">
        <f>MAX(0,IF(Impostazioni!$B$7="No",'Calc base'!$C143-$C$31,'Calc base'!$C143-C143)+'Calc base'!$G143+'Calc base'!$F143-(B143-C143-D143))</f>
        <v>900</v>
      </c>
      <c r="F143">
        <f>SUM(AH143:AS143)</f>
        <v>0</v>
      </c>
      <c r="G143">
        <f>SUM(AT143:BE143)</f>
        <v>0</v>
      </c>
      <c r="H143">
        <f>B143-G142</f>
        <v>0</v>
      </c>
      <c r="I143">
        <f>B143-G143</f>
        <v>0</v>
      </c>
      <c r="J143">
        <f>IF(AT142&lt;=0,0,IF(ROUND(AT142*(1+'Calc base'!H143),2)-MAX('Calc base'!C$12,ROUND('Calc base'!C$13*AT142,2))&lt;1,ROUND(AT142*(1+'Calc base'!H143),2),MAX('Calc base'!C$12,ROUND('Calc base'!C$13*AT142,2))))</f>
        <v>0</v>
      </c>
      <c r="K143">
        <f>IF(AU142&lt;=0,0,IF(ROUND(AU142*(1+'Calc base'!I143),2)-MAX('Calc base'!D$12,ROUND('Calc base'!D$13*AU142,2))&lt;1,ROUND(AU142*(1+'Calc base'!I143),2),MAX('Calc base'!D$12,ROUND('Calc base'!D$13*AU142,2))))</f>
        <v>0</v>
      </c>
      <c r="L143">
        <f>IF(AV142&lt;=0,0,IF(ROUND(AV142*(1+'Calc base'!J143),2)-MAX('Calc base'!E$12,ROUND('Calc base'!E$13*AV142,2))&lt;1,ROUND(AV142*(1+'Calc base'!J143),2),MAX('Calc base'!E$12,ROUND('Calc base'!E$13*AV142,2))))</f>
        <v>0</v>
      </c>
      <c r="M143">
        <f>IF(AW142&lt;=0,0,IF(ROUND(AW142*(1+'Calc base'!K143),2)-MAX('Calc base'!F$12,ROUND('Calc base'!F$13*AW142,2))&lt;1,ROUND(AW142*(1+'Calc base'!K143),2),MAX('Calc base'!F$12,ROUND('Calc base'!F$13*AW142,2))))</f>
        <v>0</v>
      </c>
      <c r="N143">
        <f>IF(AX142&lt;=0,0,IF(ROUND(AX142*(1+'Calc base'!L143),2)-MAX('Calc base'!G$12,ROUND('Calc base'!G$13*AX142,2))&lt;1,ROUND(AX142*(1+'Calc base'!L143),2),MAX('Calc base'!G$12,ROUND('Calc base'!G$13*AX142,2))))</f>
        <v>0</v>
      </c>
      <c r="O143">
        <f>IF(AY142&lt;=0,0,IF(ROUND(AY142*(1+'Calc base'!M143),2)-MAX('Calc base'!H$12,ROUND('Calc base'!H$13*AY142,2))&lt;1,ROUND(AY142*(1+'Calc base'!M143),2),MAX('Calc base'!H$12,ROUND('Calc base'!H$13*AY142,2))))</f>
        <v>0</v>
      </c>
      <c r="P143">
        <f>IF(AZ142&lt;=0,0,IF(ROUND(AZ142*(1+'Calc base'!N143),2)-MAX('Calc base'!I$12,ROUND('Calc base'!I$13*AZ142,2))&lt;1,ROUND(AZ142*(1+'Calc base'!N143),2),MAX('Calc base'!I$12,ROUND('Calc base'!I$13*AZ142,2))))</f>
        <v>0</v>
      </c>
      <c r="Q143">
        <f>IF(BA142&lt;=0,0,IF(ROUND(BA142*(1+'Calc base'!O143),2)-MAX('Calc base'!J$12,ROUND('Calc base'!J$13*BA142,2))&lt;1,ROUND(BA142*(1+'Calc base'!O143),2),MAX('Calc base'!J$12,ROUND('Calc base'!J$13*BA142,2))))</f>
        <v>0</v>
      </c>
      <c r="R143">
        <f>IF(BB142&lt;=0,0,IF(ROUND(BB142*(1+'Calc base'!P143),2)-MAX('Calc base'!K$12,ROUND('Calc base'!K$13*BB142,2))&lt;1,ROUND(BB142*(1+'Calc base'!P143),2),MAX('Calc base'!K$12,ROUND('Calc base'!K$13*BB142,2))))</f>
        <v>0</v>
      </c>
      <c r="S143">
        <f>IF(BC142&lt;=0,0,IF(ROUND(BC142*(1+'Calc base'!Q143),2)-MAX('Calc base'!L$12,ROUND('Calc base'!L$13*BC142,2))&lt;1,ROUND(BC142*(1+'Calc base'!Q143),2),MAX('Calc base'!L$12,ROUND('Calc base'!L$13*BC142,2))))</f>
        <v>0</v>
      </c>
      <c r="T143">
        <f>IF(BD142&lt;=0,0,IF(ROUND(BD142*(1+'Calc base'!R143),2)-MAX('Calc base'!M$12,ROUND('Calc base'!M$13*BD142,2))&lt;1,ROUND(BD142*(1+'Calc base'!R143),2),MAX('Calc base'!M$12,ROUND('Calc base'!M$13*BD142,2))))</f>
        <v>0</v>
      </c>
      <c r="U143">
        <f>IF(BE142&lt;=0,0,IF(ROUND(BE142*(1+'Calc base'!S143),2)-MAX('Calc base'!N$12,ROUND('Calc base'!N$13*BE142,2))&lt;1,ROUND(BE142*(1+'Calc base'!S143),2),MAX('Calc base'!N$12,ROUND('Calc base'!N$13*BE142,2))))</f>
        <v>0</v>
      </c>
      <c r="V143">
        <f>MAX(0,ROUND(AT142*(1+'Calc base'!H143),2)-J143-'Calc base'!T143)</f>
        <v>0</v>
      </c>
      <c r="W143">
        <f>MAX(0,ROUND(AU142*(1+'Calc base'!I143),2)-K143-'Calc base'!U143)</f>
        <v>0</v>
      </c>
      <c r="X143">
        <f>MAX(0,ROUND(AV142*(1+'Calc base'!J143),2)-L143-'Calc base'!V143)</f>
        <v>0</v>
      </c>
      <c r="Y143">
        <f>MAX(0,ROUND(AW142*(1+'Calc base'!K143),2)-M143-'Calc base'!W143)</f>
        <v>0</v>
      </c>
      <c r="Z143">
        <f>MAX(0,ROUND(AX142*(1+'Calc base'!L143),2)-N143-'Calc base'!X143)</f>
        <v>0</v>
      </c>
      <c r="AA143">
        <f>MAX(0,ROUND(AY142*(1+'Calc base'!M143),2)-O143-'Calc base'!Y143)</f>
        <v>0</v>
      </c>
      <c r="AB143">
        <f>MAX(0,ROUND(AZ142*(1+'Calc base'!N143),2)-P143-'Calc base'!Z143)</f>
        <v>0</v>
      </c>
      <c r="AC143">
        <f>MAX(0,ROUND(BA142*(1+'Calc base'!O143),2)-Q143-'Calc base'!AA143)</f>
        <v>0</v>
      </c>
      <c r="AD143">
        <f>MAX(0,ROUND(BB142*(1+'Calc base'!P143),2)-R143-'Calc base'!AB143)</f>
        <v>0</v>
      </c>
      <c r="AE143">
        <f>MAX(0,ROUND(BC142*(1+'Calc base'!Q143),2)-S143-'Calc base'!AC143)</f>
        <v>0</v>
      </c>
      <c r="AF143">
        <f>MAX(0,ROUND(BD142*(1+'Calc base'!R143),2)-T143-'Calc base'!AD143)</f>
        <v>0</v>
      </c>
      <c r="AG143">
        <f>MAX(0,ROUND(BE142*(1+'Calc base'!S143),2)-U143-'Calc base'!AE143)</f>
        <v>0</v>
      </c>
      <c r="AH143">
        <f>IF('Calc base'!C$14=0,0,MIN(V143,MAX(0,$E143-SUMPRODUCT($V143:$AG143,'Calc base'!$C$14:$N$14,('Calc base'!$H143:$S143&gt;'Calc base'!H143)+('Calc base'!$H143:$S143='Calc base'!H143)*('Calc base'!$C$17:$N$17&lt;'Calc base'!C$17)))))</f>
        <v>0</v>
      </c>
      <c r="AI143">
        <f>IF('Calc base'!D$14=0,0,MIN(W143,MAX(0,$E143-SUMPRODUCT($V143:$AG143,'Calc base'!$C$14:$N$14,('Calc base'!$H143:$S143&gt;'Calc base'!I143)+('Calc base'!$H143:$S143='Calc base'!I143)*('Calc base'!$C$17:$N$17&lt;'Calc base'!D$17)))))</f>
        <v>0</v>
      </c>
      <c r="AJ143">
        <f>IF('Calc base'!E$14=0,0,MIN(X143,MAX(0,$E143-SUMPRODUCT($V143:$AG143,'Calc base'!$C$14:$N$14,('Calc base'!$H143:$S143&gt;'Calc base'!J143)+('Calc base'!$H143:$S143='Calc base'!J143)*('Calc base'!$C$17:$N$17&lt;'Calc base'!E$17)))))</f>
        <v>0</v>
      </c>
      <c r="AK143">
        <f>IF('Calc base'!F$14=0,0,MIN(Y143,MAX(0,$E143-SUMPRODUCT($V143:$AG143,'Calc base'!$C$14:$N$14,('Calc base'!$H143:$S143&gt;'Calc base'!K143)+('Calc base'!$H143:$S143='Calc base'!K143)*('Calc base'!$C$17:$N$17&lt;'Calc base'!F$17)))))</f>
        <v>0</v>
      </c>
      <c r="AL143">
        <f>IF('Calc base'!G$14=0,0,MIN(Z143,MAX(0,$E143-SUMPRODUCT($V143:$AG143,'Calc base'!$C$14:$N$14,('Calc base'!$H143:$S143&gt;'Calc base'!L143)+('Calc base'!$H143:$S143='Calc base'!L143)*('Calc base'!$C$17:$N$17&lt;'Calc base'!G$17)))))</f>
        <v>0</v>
      </c>
      <c r="AM143">
        <f>IF('Calc base'!H$14=0,0,MIN(AA143,MAX(0,$E143-SUMPRODUCT($V143:$AG143,'Calc base'!$C$14:$N$14,('Calc base'!$H143:$S143&gt;'Calc base'!M143)+('Calc base'!$H143:$S143='Calc base'!M143)*('Calc base'!$C$17:$N$17&lt;'Calc base'!H$17)))))</f>
        <v>0</v>
      </c>
      <c r="AN143">
        <f>IF('Calc base'!I$14=0,0,MIN(AB143,MAX(0,$E143-SUMPRODUCT($V143:$AG143,'Calc base'!$C$14:$N$14,('Calc base'!$H143:$S143&gt;'Calc base'!N143)+('Calc base'!$H143:$S143='Calc base'!N143)*('Calc base'!$C$17:$N$17&lt;'Calc base'!I$17)))))</f>
        <v>0</v>
      </c>
      <c r="AO143">
        <f>IF('Calc base'!J$14=0,0,MIN(AC143,MAX(0,$E143-SUMPRODUCT($V143:$AG143,'Calc base'!$C$14:$N$14,('Calc base'!$H143:$S143&gt;'Calc base'!O143)+('Calc base'!$H143:$S143='Calc base'!O143)*('Calc base'!$C$17:$N$17&lt;'Calc base'!J$17)))))</f>
        <v>0</v>
      </c>
      <c r="AP143">
        <f>IF('Calc base'!K$14=0,0,MIN(AD143,MAX(0,$E143-SUMPRODUCT($V143:$AG143,'Calc base'!$C$14:$N$14,('Calc base'!$H143:$S143&gt;'Calc base'!P143)+('Calc base'!$H143:$S143='Calc base'!P143)*('Calc base'!$C$17:$N$17&lt;'Calc base'!K$17)))))</f>
        <v>0</v>
      </c>
      <c r="AQ143">
        <f>IF('Calc base'!L$14=0,0,MIN(AE143,MAX(0,$E143-SUMPRODUCT($V143:$AG143,'Calc base'!$C$14:$N$14,('Calc base'!$H143:$S143&gt;'Calc base'!Q143)+('Calc base'!$H143:$S143='Calc base'!Q143)*('Calc base'!$C$17:$N$17&lt;'Calc base'!L$17)))))</f>
        <v>0</v>
      </c>
      <c r="AR143">
        <f>IF('Calc base'!M$14=0,0,MIN(AF143,MAX(0,$E143-SUMPRODUCT($V143:$AG143,'Calc base'!$C$14:$N$14,('Calc base'!$H143:$S143&gt;'Calc base'!R143)+('Calc base'!$H143:$S143='Calc base'!R143)*('Calc base'!$C$17:$N$17&lt;'Calc base'!M$17)))))</f>
        <v>0</v>
      </c>
      <c r="AS143">
        <f>IF('Calc base'!N$14=0,0,MIN(AG143,MAX(0,$E143-SUMPRODUCT($V143:$AG143,'Calc base'!$C$14:$N$14,('Calc base'!$H143:$S143&gt;'Calc base'!S143)+('Calc base'!$H143:$S143='Calc base'!S143)*('Calc base'!$C$17:$N$17&lt;'Calc base'!N$17)))))</f>
        <v>0</v>
      </c>
      <c r="AT143">
        <f>V143-AH143</f>
        <v>0</v>
      </c>
      <c r="AU143">
        <f>W143-AI143</f>
        <v>0</v>
      </c>
      <c r="AV143">
        <f>X143-AJ143</f>
        <v>0</v>
      </c>
      <c r="AW143">
        <f>Y143-AK143</f>
        <v>0</v>
      </c>
      <c r="AX143">
        <f>Z143-AL143</f>
        <v>0</v>
      </c>
      <c r="AY143">
        <f>AA143-AM143</f>
        <v>0</v>
      </c>
      <c r="AZ143">
        <f>AB143-AN143</f>
        <v>0</v>
      </c>
      <c r="BA143">
        <f>AC143-AO143</f>
        <v>0</v>
      </c>
      <c r="BB143">
        <f>AD143-AP143</f>
        <v>0</v>
      </c>
      <c r="BC143">
        <f>AE143-AQ143</f>
        <v>0</v>
      </c>
      <c r="BD143">
        <f>AF143-AR143</f>
        <v>0</v>
      </c>
      <c r="BE143">
        <f>AG143-AS143</f>
        <v>0</v>
      </c>
    </row>
    <row r="144">
      <c r="A144" t="n">
        <v>114</v>
      </c>
      <c r="B144">
        <f>SUMPRODUCT(ROUND($AT143:$BE143*(1+'Calc base'!$H144:$S144),2))</f>
        <v>0</v>
      </c>
      <c r="C144">
        <f>SUM(J144:U144)</f>
        <v>0</v>
      </c>
      <c r="D144">
        <f>SUM(V144:AG144)</f>
        <v>0</v>
      </c>
      <c r="E144">
        <f>MAX(0,IF(Impostazioni!$B$7="No",'Calc base'!$C144-$C$31,'Calc base'!$C144-C144)+'Calc base'!$G144+'Calc base'!$F144-(B144-C144-D144))</f>
        <v>900</v>
      </c>
      <c r="F144">
        <f>SUM(AH144:AS144)</f>
        <v>0</v>
      </c>
      <c r="G144">
        <f>SUM(AT144:BE144)</f>
        <v>0</v>
      </c>
      <c r="H144">
        <f>B144-G143</f>
        <v>0</v>
      </c>
      <c r="I144">
        <f>B144-G144</f>
        <v>0</v>
      </c>
      <c r="J144">
        <f>IF(AT143&lt;=0,0,IF(ROUND(AT143*(1+'Calc base'!H144),2)-MAX('Calc base'!C$12,ROUND('Calc base'!C$13*AT143,2))&lt;1,ROUND(AT143*(1+'Calc base'!H144),2),MAX('Calc base'!C$12,ROUND('Calc base'!C$13*AT143,2))))</f>
        <v>0</v>
      </c>
      <c r="K144">
        <f>IF(AU143&lt;=0,0,IF(ROUND(AU143*(1+'Calc base'!I144),2)-MAX('Calc base'!D$12,ROUND('Calc base'!D$13*AU143,2))&lt;1,ROUND(AU143*(1+'Calc base'!I144),2),MAX('Calc base'!D$12,ROUND('Calc base'!D$13*AU143,2))))</f>
        <v>0</v>
      </c>
      <c r="L144">
        <f>IF(AV143&lt;=0,0,IF(ROUND(AV143*(1+'Calc base'!J144),2)-MAX('Calc base'!E$12,ROUND('Calc base'!E$13*AV143,2))&lt;1,ROUND(AV143*(1+'Calc base'!J144),2),MAX('Calc base'!E$12,ROUND('Calc base'!E$13*AV143,2))))</f>
        <v>0</v>
      </c>
      <c r="M144">
        <f>IF(AW143&lt;=0,0,IF(ROUND(AW143*(1+'Calc base'!K144),2)-MAX('Calc base'!F$12,ROUND('Calc base'!F$13*AW143,2))&lt;1,ROUND(AW143*(1+'Calc base'!K144),2),MAX('Calc base'!F$12,ROUND('Calc base'!F$13*AW143,2))))</f>
        <v>0</v>
      </c>
      <c r="N144">
        <f>IF(AX143&lt;=0,0,IF(ROUND(AX143*(1+'Calc base'!L144),2)-MAX('Calc base'!G$12,ROUND('Calc base'!G$13*AX143,2))&lt;1,ROUND(AX143*(1+'Calc base'!L144),2),MAX('Calc base'!G$12,ROUND('Calc base'!G$13*AX143,2))))</f>
        <v>0</v>
      </c>
      <c r="O144">
        <f>IF(AY143&lt;=0,0,IF(ROUND(AY143*(1+'Calc base'!M144),2)-MAX('Calc base'!H$12,ROUND('Calc base'!H$13*AY143,2))&lt;1,ROUND(AY143*(1+'Calc base'!M144),2),MAX('Calc base'!H$12,ROUND('Calc base'!H$13*AY143,2))))</f>
        <v>0</v>
      </c>
      <c r="P144">
        <f>IF(AZ143&lt;=0,0,IF(ROUND(AZ143*(1+'Calc base'!N144),2)-MAX('Calc base'!I$12,ROUND('Calc base'!I$13*AZ143,2))&lt;1,ROUND(AZ143*(1+'Calc base'!N144),2),MAX('Calc base'!I$12,ROUND('Calc base'!I$13*AZ143,2))))</f>
        <v>0</v>
      </c>
      <c r="Q144">
        <f>IF(BA143&lt;=0,0,IF(ROUND(BA143*(1+'Calc base'!O144),2)-MAX('Calc base'!J$12,ROUND('Calc base'!J$13*BA143,2))&lt;1,ROUND(BA143*(1+'Calc base'!O144),2),MAX('Calc base'!J$12,ROUND('Calc base'!J$13*BA143,2))))</f>
        <v>0</v>
      </c>
      <c r="R144">
        <f>IF(BB143&lt;=0,0,IF(ROUND(BB143*(1+'Calc base'!P144),2)-MAX('Calc base'!K$12,ROUND('Calc base'!K$13*BB143,2))&lt;1,ROUND(BB143*(1+'Calc base'!P144),2),MAX('Calc base'!K$12,ROUND('Calc base'!K$13*BB143,2))))</f>
        <v>0</v>
      </c>
      <c r="S144">
        <f>IF(BC143&lt;=0,0,IF(ROUND(BC143*(1+'Calc base'!Q144),2)-MAX('Calc base'!L$12,ROUND('Calc base'!L$13*BC143,2))&lt;1,ROUND(BC143*(1+'Calc base'!Q144),2),MAX('Calc base'!L$12,ROUND('Calc base'!L$13*BC143,2))))</f>
        <v>0</v>
      </c>
      <c r="T144">
        <f>IF(BD143&lt;=0,0,IF(ROUND(BD143*(1+'Calc base'!R144),2)-MAX('Calc base'!M$12,ROUND('Calc base'!M$13*BD143,2))&lt;1,ROUND(BD143*(1+'Calc base'!R144),2),MAX('Calc base'!M$12,ROUND('Calc base'!M$13*BD143,2))))</f>
        <v>0</v>
      </c>
      <c r="U144">
        <f>IF(BE143&lt;=0,0,IF(ROUND(BE143*(1+'Calc base'!S144),2)-MAX('Calc base'!N$12,ROUND('Calc base'!N$13*BE143,2))&lt;1,ROUND(BE143*(1+'Calc base'!S144),2),MAX('Calc base'!N$12,ROUND('Calc base'!N$13*BE143,2))))</f>
        <v>0</v>
      </c>
      <c r="V144">
        <f>MAX(0,ROUND(AT143*(1+'Calc base'!H144),2)-J144-'Calc base'!T144)</f>
        <v>0</v>
      </c>
      <c r="W144">
        <f>MAX(0,ROUND(AU143*(1+'Calc base'!I144),2)-K144-'Calc base'!U144)</f>
        <v>0</v>
      </c>
      <c r="X144">
        <f>MAX(0,ROUND(AV143*(1+'Calc base'!J144),2)-L144-'Calc base'!V144)</f>
        <v>0</v>
      </c>
      <c r="Y144">
        <f>MAX(0,ROUND(AW143*(1+'Calc base'!K144),2)-M144-'Calc base'!W144)</f>
        <v>0</v>
      </c>
      <c r="Z144">
        <f>MAX(0,ROUND(AX143*(1+'Calc base'!L144),2)-N144-'Calc base'!X144)</f>
        <v>0</v>
      </c>
      <c r="AA144">
        <f>MAX(0,ROUND(AY143*(1+'Calc base'!M144),2)-O144-'Calc base'!Y144)</f>
        <v>0</v>
      </c>
      <c r="AB144">
        <f>MAX(0,ROUND(AZ143*(1+'Calc base'!N144),2)-P144-'Calc base'!Z144)</f>
        <v>0</v>
      </c>
      <c r="AC144">
        <f>MAX(0,ROUND(BA143*(1+'Calc base'!O144),2)-Q144-'Calc base'!AA144)</f>
        <v>0</v>
      </c>
      <c r="AD144">
        <f>MAX(0,ROUND(BB143*(1+'Calc base'!P144),2)-R144-'Calc base'!AB144)</f>
        <v>0</v>
      </c>
      <c r="AE144">
        <f>MAX(0,ROUND(BC143*(1+'Calc base'!Q144),2)-S144-'Calc base'!AC144)</f>
        <v>0</v>
      </c>
      <c r="AF144">
        <f>MAX(0,ROUND(BD143*(1+'Calc base'!R144),2)-T144-'Calc base'!AD144)</f>
        <v>0</v>
      </c>
      <c r="AG144">
        <f>MAX(0,ROUND(BE143*(1+'Calc base'!S144),2)-U144-'Calc base'!AE144)</f>
        <v>0</v>
      </c>
      <c r="AH144">
        <f>IF('Calc base'!C$14=0,0,MIN(V144,MAX(0,$E144-SUMPRODUCT($V144:$AG144,'Calc base'!$C$14:$N$14,('Calc base'!$H144:$S144&gt;'Calc base'!H144)+('Calc base'!$H144:$S144='Calc base'!H144)*('Calc base'!$C$17:$N$17&lt;'Calc base'!C$17)))))</f>
        <v>0</v>
      </c>
      <c r="AI144">
        <f>IF('Calc base'!D$14=0,0,MIN(W144,MAX(0,$E144-SUMPRODUCT($V144:$AG144,'Calc base'!$C$14:$N$14,('Calc base'!$H144:$S144&gt;'Calc base'!I144)+('Calc base'!$H144:$S144='Calc base'!I144)*('Calc base'!$C$17:$N$17&lt;'Calc base'!D$17)))))</f>
        <v>0</v>
      </c>
      <c r="AJ144">
        <f>IF('Calc base'!E$14=0,0,MIN(X144,MAX(0,$E144-SUMPRODUCT($V144:$AG144,'Calc base'!$C$14:$N$14,('Calc base'!$H144:$S144&gt;'Calc base'!J144)+('Calc base'!$H144:$S144='Calc base'!J144)*('Calc base'!$C$17:$N$17&lt;'Calc base'!E$17)))))</f>
        <v>0</v>
      </c>
      <c r="AK144">
        <f>IF('Calc base'!F$14=0,0,MIN(Y144,MAX(0,$E144-SUMPRODUCT($V144:$AG144,'Calc base'!$C$14:$N$14,('Calc base'!$H144:$S144&gt;'Calc base'!K144)+('Calc base'!$H144:$S144='Calc base'!K144)*('Calc base'!$C$17:$N$17&lt;'Calc base'!F$17)))))</f>
        <v>0</v>
      </c>
      <c r="AL144">
        <f>IF('Calc base'!G$14=0,0,MIN(Z144,MAX(0,$E144-SUMPRODUCT($V144:$AG144,'Calc base'!$C$14:$N$14,('Calc base'!$H144:$S144&gt;'Calc base'!L144)+('Calc base'!$H144:$S144='Calc base'!L144)*('Calc base'!$C$17:$N$17&lt;'Calc base'!G$17)))))</f>
        <v>0</v>
      </c>
      <c r="AM144">
        <f>IF('Calc base'!H$14=0,0,MIN(AA144,MAX(0,$E144-SUMPRODUCT($V144:$AG144,'Calc base'!$C$14:$N$14,('Calc base'!$H144:$S144&gt;'Calc base'!M144)+('Calc base'!$H144:$S144='Calc base'!M144)*('Calc base'!$C$17:$N$17&lt;'Calc base'!H$17)))))</f>
        <v>0</v>
      </c>
      <c r="AN144">
        <f>IF('Calc base'!I$14=0,0,MIN(AB144,MAX(0,$E144-SUMPRODUCT($V144:$AG144,'Calc base'!$C$14:$N$14,('Calc base'!$H144:$S144&gt;'Calc base'!N144)+('Calc base'!$H144:$S144='Calc base'!N144)*('Calc base'!$C$17:$N$17&lt;'Calc base'!I$17)))))</f>
        <v>0</v>
      </c>
      <c r="AO144">
        <f>IF('Calc base'!J$14=0,0,MIN(AC144,MAX(0,$E144-SUMPRODUCT($V144:$AG144,'Calc base'!$C$14:$N$14,('Calc base'!$H144:$S144&gt;'Calc base'!O144)+('Calc base'!$H144:$S144='Calc base'!O144)*('Calc base'!$C$17:$N$17&lt;'Calc base'!J$17)))))</f>
        <v>0</v>
      </c>
      <c r="AP144">
        <f>IF('Calc base'!K$14=0,0,MIN(AD144,MAX(0,$E144-SUMPRODUCT($V144:$AG144,'Calc base'!$C$14:$N$14,('Calc base'!$H144:$S144&gt;'Calc base'!P144)+('Calc base'!$H144:$S144='Calc base'!P144)*('Calc base'!$C$17:$N$17&lt;'Calc base'!K$17)))))</f>
        <v>0</v>
      </c>
      <c r="AQ144">
        <f>IF('Calc base'!L$14=0,0,MIN(AE144,MAX(0,$E144-SUMPRODUCT($V144:$AG144,'Calc base'!$C$14:$N$14,('Calc base'!$H144:$S144&gt;'Calc base'!Q144)+('Calc base'!$H144:$S144='Calc base'!Q144)*('Calc base'!$C$17:$N$17&lt;'Calc base'!L$17)))))</f>
        <v>0</v>
      </c>
      <c r="AR144">
        <f>IF('Calc base'!M$14=0,0,MIN(AF144,MAX(0,$E144-SUMPRODUCT($V144:$AG144,'Calc base'!$C$14:$N$14,('Calc base'!$H144:$S144&gt;'Calc base'!R144)+('Calc base'!$H144:$S144='Calc base'!R144)*('Calc base'!$C$17:$N$17&lt;'Calc base'!M$17)))))</f>
        <v>0</v>
      </c>
      <c r="AS144">
        <f>IF('Calc base'!N$14=0,0,MIN(AG144,MAX(0,$E144-SUMPRODUCT($V144:$AG144,'Calc base'!$C$14:$N$14,('Calc base'!$H144:$S144&gt;'Calc base'!S144)+('Calc base'!$H144:$S144='Calc base'!S144)*('Calc base'!$C$17:$N$17&lt;'Calc base'!N$17)))))</f>
        <v>0</v>
      </c>
      <c r="AT144">
        <f>V144-AH144</f>
        <v>0</v>
      </c>
      <c r="AU144">
        <f>W144-AI144</f>
        <v>0</v>
      </c>
      <c r="AV144">
        <f>X144-AJ144</f>
        <v>0</v>
      </c>
      <c r="AW144">
        <f>Y144-AK144</f>
        <v>0</v>
      </c>
      <c r="AX144">
        <f>Z144-AL144</f>
        <v>0</v>
      </c>
      <c r="AY144">
        <f>AA144-AM144</f>
        <v>0</v>
      </c>
      <c r="AZ144">
        <f>AB144-AN144</f>
        <v>0</v>
      </c>
      <c r="BA144">
        <f>AC144-AO144</f>
        <v>0</v>
      </c>
      <c r="BB144">
        <f>AD144-AP144</f>
        <v>0</v>
      </c>
      <c r="BC144">
        <f>AE144-AQ144</f>
        <v>0</v>
      </c>
      <c r="BD144">
        <f>AF144-AR144</f>
        <v>0</v>
      </c>
      <c r="BE144">
        <f>AG144-AS144</f>
        <v>0</v>
      </c>
    </row>
    <row r="145">
      <c r="A145" t="n">
        <v>115</v>
      </c>
      <c r="B145">
        <f>SUMPRODUCT(ROUND($AT144:$BE144*(1+'Calc base'!$H145:$S145),2))</f>
        <v>0</v>
      </c>
      <c r="C145">
        <f>SUM(J145:U145)</f>
        <v>0</v>
      </c>
      <c r="D145">
        <f>SUM(V145:AG145)</f>
        <v>0</v>
      </c>
      <c r="E145">
        <f>MAX(0,IF(Impostazioni!$B$7="No",'Calc base'!$C145-$C$31,'Calc base'!$C145-C145)+'Calc base'!$G145+'Calc base'!$F145-(B145-C145-D145))</f>
        <v>900</v>
      </c>
      <c r="F145">
        <f>SUM(AH145:AS145)</f>
        <v>0</v>
      </c>
      <c r="G145">
        <f>SUM(AT145:BE145)</f>
        <v>0</v>
      </c>
      <c r="H145">
        <f>B145-G144</f>
        <v>0</v>
      </c>
      <c r="I145">
        <f>B145-G145</f>
        <v>0</v>
      </c>
      <c r="J145">
        <f>IF(AT144&lt;=0,0,IF(ROUND(AT144*(1+'Calc base'!H145),2)-MAX('Calc base'!C$12,ROUND('Calc base'!C$13*AT144,2))&lt;1,ROUND(AT144*(1+'Calc base'!H145),2),MAX('Calc base'!C$12,ROUND('Calc base'!C$13*AT144,2))))</f>
        <v>0</v>
      </c>
      <c r="K145">
        <f>IF(AU144&lt;=0,0,IF(ROUND(AU144*(1+'Calc base'!I145),2)-MAX('Calc base'!D$12,ROUND('Calc base'!D$13*AU144,2))&lt;1,ROUND(AU144*(1+'Calc base'!I145),2),MAX('Calc base'!D$12,ROUND('Calc base'!D$13*AU144,2))))</f>
        <v>0</v>
      </c>
      <c r="L145">
        <f>IF(AV144&lt;=0,0,IF(ROUND(AV144*(1+'Calc base'!J145),2)-MAX('Calc base'!E$12,ROUND('Calc base'!E$13*AV144,2))&lt;1,ROUND(AV144*(1+'Calc base'!J145),2),MAX('Calc base'!E$12,ROUND('Calc base'!E$13*AV144,2))))</f>
        <v>0</v>
      </c>
      <c r="M145">
        <f>IF(AW144&lt;=0,0,IF(ROUND(AW144*(1+'Calc base'!K145),2)-MAX('Calc base'!F$12,ROUND('Calc base'!F$13*AW144,2))&lt;1,ROUND(AW144*(1+'Calc base'!K145),2),MAX('Calc base'!F$12,ROUND('Calc base'!F$13*AW144,2))))</f>
        <v>0</v>
      </c>
      <c r="N145">
        <f>IF(AX144&lt;=0,0,IF(ROUND(AX144*(1+'Calc base'!L145),2)-MAX('Calc base'!G$12,ROUND('Calc base'!G$13*AX144,2))&lt;1,ROUND(AX144*(1+'Calc base'!L145),2),MAX('Calc base'!G$12,ROUND('Calc base'!G$13*AX144,2))))</f>
        <v>0</v>
      </c>
      <c r="O145">
        <f>IF(AY144&lt;=0,0,IF(ROUND(AY144*(1+'Calc base'!M145),2)-MAX('Calc base'!H$12,ROUND('Calc base'!H$13*AY144,2))&lt;1,ROUND(AY144*(1+'Calc base'!M145),2),MAX('Calc base'!H$12,ROUND('Calc base'!H$13*AY144,2))))</f>
        <v>0</v>
      </c>
      <c r="P145">
        <f>IF(AZ144&lt;=0,0,IF(ROUND(AZ144*(1+'Calc base'!N145),2)-MAX('Calc base'!I$12,ROUND('Calc base'!I$13*AZ144,2))&lt;1,ROUND(AZ144*(1+'Calc base'!N145),2),MAX('Calc base'!I$12,ROUND('Calc base'!I$13*AZ144,2))))</f>
        <v>0</v>
      </c>
      <c r="Q145">
        <f>IF(BA144&lt;=0,0,IF(ROUND(BA144*(1+'Calc base'!O145),2)-MAX('Calc base'!J$12,ROUND('Calc base'!J$13*BA144,2))&lt;1,ROUND(BA144*(1+'Calc base'!O145),2),MAX('Calc base'!J$12,ROUND('Calc base'!J$13*BA144,2))))</f>
        <v>0</v>
      </c>
      <c r="R145">
        <f>IF(BB144&lt;=0,0,IF(ROUND(BB144*(1+'Calc base'!P145),2)-MAX('Calc base'!K$12,ROUND('Calc base'!K$13*BB144,2))&lt;1,ROUND(BB144*(1+'Calc base'!P145),2),MAX('Calc base'!K$12,ROUND('Calc base'!K$13*BB144,2))))</f>
        <v>0</v>
      </c>
      <c r="S145">
        <f>IF(BC144&lt;=0,0,IF(ROUND(BC144*(1+'Calc base'!Q145),2)-MAX('Calc base'!L$12,ROUND('Calc base'!L$13*BC144,2))&lt;1,ROUND(BC144*(1+'Calc base'!Q145),2),MAX('Calc base'!L$12,ROUND('Calc base'!L$13*BC144,2))))</f>
        <v>0</v>
      </c>
      <c r="T145">
        <f>IF(BD144&lt;=0,0,IF(ROUND(BD144*(1+'Calc base'!R145),2)-MAX('Calc base'!M$12,ROUND('Calc base'!M$13*BD144,2))&lt;1,ROUND(BD144*(1+'Calc base'!R145),2),MAX('Calc base'!M$12,ROUND('Calc base'!M$13*BD144,2))))</f>
        <v>0</v>
      </c>
      <c r="U145">
        <f>IF(BE144&lt;=0,0,IF(ROUND(BE144*(1+'Calc base'!S145),2)-MAX('Calc base'!N$12,ROUND('Calc base'!N$13*BE144,2))&lt;1,ROUND(BE144*(1+'Calc base'!S145),2),MAX('Calc base'!N$12,ROUND('Calc base'!N$13*BE144,2))))</f>
        <v>0</v>
      </c>
      <c r="V145">
        <f>MAX(0,ROUND(AT144*(1+'Calc base'!H145),2)-J145-'Calc base'!T145)</f>
        <v>0</v>
      </c>
      <c r="W145">
        <f>MAX(0,ROUND(AU144*(1+'Calc base'!I145),2)-K145-'Calc base'!U145)</f>
        <v>0</v>
      </c>
      <c r="X145">
        <f>MAX(0,ROUND(AV144*(1+'Calc base'!J145),2)-L145-'Calc base'!V145)</f>
        <v>0</v>
      </c>
      <c r="Y145">
        <f>MAX(0,ROUND(AW144*(1+'Calc base'!K145),2)-M145-'Calc base'!W145)</f>
        <v>0</v>
      </c>
      <c r="Z145">
        <f>MAX(0,ROUND(AX144*(1+'Calc base'!L145),2)-N145-'Calc base'!X145)</f>
        <v>0</v>
      </c>
      <c r="AA145">
        <f>MAX(0,ROUND(AY144*(1+'Calc base'!M145),2)-O145-'Calc base'!Y145)</f>
        <v>0</v>
      </c>
      <c r="AB145">
        <f>MAX(0,ROUND(AZ144*(1+'Calc base'!N145),2)-P145-'Calc base'!Z145)</f>
        <v>0</v>
      </c>
      <c r="AC145">
        <f>MAX(0,ROUND(BA144*(1+'Calc base'!O145),2)-Q145-'Calc base'!AA145)</f>
        <v>0</v>
      </c>
      <c r="AD145">
        <f>MAX(0,ROUND(BB144*(1+'Calc base'!P145),2)-R145-'Calc base'!AB145)</f>
        <v>0</v>
      </c>
      <c r="AE145">
        <f>MAX(0,ROUND(BC144*(1+'Calc base'!Q145),2)-S145-'Calc base'!AC145)</f>
        <v>0</v>
      </c>
      <c r="AF145">
        <f>MAX(0,ROUND(BD144*(1+'Calc base'!R145),2)-T145-'Calc base'!AD145)</f>
        <v>0</v>
      </c>
      <c r="AG145">
        <f>MAX(0,ROUND(BE144*(1+'Calc base'!S145),2)-U145-'Calc base'!AE145)</f>
        <v>0</v>
      </c>
      <c r="AH145">
        <f>IF('Calc base'!C$14=0,0,MIN(V145,MAX(0,$E145-SUMPRODUCT($V145:$AG145,'Calc base'!$C$14:$N$14,('Calc base'!$H145:$S145&gt;'Calc base'!H145)+('Calc base'!$H145:$S145='Calc base'!H145)*('Calc base'!$C$17:$N$17&lt;'Calc base'!C$17)))))</f>
        <v>0</v>
      </c>
      <c r="AI145">
        <f>IF('Calc base'!D$14=0,0,MIN(W145,MAX(0,$E145-SUMPRODUCT($V145:$AG145,'Calc base'!$C$14:$N$14,('Calc base'!$H145:$S145&gt;'Calc base'!I145)+('Calc base'!$H145:$S145='Calc base'!I145)*('Calc base'!$C$17:$N$17&lt;'Calc base'!D$17)))))</f>
        <v>0</v>
      </c>
      <c r="AJ145">
        <f>IF('Calc base'!E$14=0,0,MIN(X145,MAX(0,$E145-SUMPRODUCT($V145:$AG145,'Calc base'!$C$14:$N$14,('Calc base'!$H145:$S145&gt;'Calc base'!J145)+('Calc base'!$H145:$S145='Calc base'!J145)*('Calc base'!$C$17:$N$17&lt;'Calc base'!E$17)))))</f>
        <v>0</v>
      </c>
      <c r="AK145">
        <f>IF('Calc base'!F$14=0,0,MIN(Y145,MAX(0,$E145-SUMPRODUCT($V145:$AG145,'Calc base'!$C$14:$N$14,('Calc base'!$H145:$S145&gt;'Calc base'!K145)+('Calc base'!$H145:$S145='Calc base'!K145)*('Calc base'!$C$17:$N$17&lt;'Calc base'!F$17)))))</f>
        <v>0</v>
      </c>
      <c r="AL145">
        <f>IF('Calc base'!G$14=0,0,MIN(Z145,MAX(0,$E145-SUMPRODUCT($V145:$AG145,'Calc base'!$C$14:$N$14,('Calc base'!$H145:$S145&gt;'Calc base'!L145)+('Calc base'!$H145:$S145='Calc base'!L145)*('Calc base'!$C$17:$N$17&lt;'Calc base'!G$17)))))</f>
        <v>0</v>
      </c>
      <c r="AM145">
        <f>IF('Calc base'!H$14=0,0,MIN(AA145,MAX(0,$E145-SUMPRODUCT($V145:$AG145,'Calc base'!$C$14:$N$14,('Calc base'!$H145:$S145&gt;'Calc base'!M145)+('Calc base'!$H145:$S145='Calc base'!M145)*('Calc base'!$C$17:$N$17&lt;'Calc base'!H$17)))))</f>
        <v>0</v>
      </c>
      <c r="AN145">
        <f>IF('Calc base'!I$14=0,0,MIN(AB145,MAX(0,$E145-SUMPRODUCT($V145:$AG145,'Calc base'!$C$14:$N$14,('Calc base'!$H145:$S145&gt;'Calc base'!N145)+('Calc base'!$H145:$S145='Calc base'!N145)*('Calc base'!$C$17:$N$17&lt;'Calc base'!I$17)))))</f>
        <v>0</v>
      </c>
      <c r="AO145">
        <f>IF('Calc base'!J$14=0,0,MIN(AC145,MAX(0,$E145-SUMPRODUCT($V145:$AG145,'Calc base'!$C$14:$N$14,('Calc base'!$H145:$S145&gt;'Calc base'!O145)+('Calc base'!$H145:$S145='Calc base'!O145)*('Calc base'!$C$17:$N$17&lt;'Calc base'!J$17)))))</f>
        <v>0</v>
      </c>
      <c r="AP145">
        <f>IF('Calc base'!K$14=0,0,MIN(AD145,MAX(0,$E145-SUMPRODUCT($V145:$AG145,'Calc base'!$C$14:$N$14,('Calc base'!$H145:$S145&gt;'Calc base'!P145)+('Calc base'!$H145:$S145='Calc base'!P145)*('Calc base'!$C$17:$N$17&lt;'Calc base'!K$17)))))</f>
        <v>0</v>
      </c>
      <c r="AQ145">
        <f>IF('Calc base'!L$14=0,0,MIN(AE145,MAX(0,$E145-SUMPRODUCT($V145:$AG145,'Calc base'!$C$14:$N$14,('Calc base'!$H145:$S145&gt;'Calc base'!Q145)+('Calc base'!$H145:$S145='Calc base'!Q145)*('Calc base'!$C$17:$N$17&lt;'Calc base'!L$17)))))</f>
        <v>0</v>
      </c>
      <c r="AR145">
        <f>IF('Calc base'!M$14=0,0,MIN(AF145,MAX(0,$E145-SUMPRODUCT($V145:$AG145,'Calc base'!$C$14:$N$14,('Calc base'!$H145:$S145&gt;'Calc base'!R145)+('Calc base'!$H145:$S145='Calc base'!R145)*('Calc base'!$C$17:$N$17&lt;'Calc base'!M$17)))))</f>
        <v>0</v>
      </c>
      <c r="AS145">
        <f>IF('Calc base'!N$14=0,0,MIN(AG145,MAX(0,$E145-SUMPRODUCT($V145:$AG145,'Calc base'!$C$14:$N$14,('Calc base'!$H145:$S145&gt;'Calc base'!S145)+('Calc base'!$H145:$S145='Calc base'!S145)*('Calc base'!$C$17:$N$17&lt;'Calc base'!N$17)))))</f>
        <v>0</v>
      </c>
      <c r="AT145">
        <f>V145-AH145</f>
        <v>0</v>
      </c>
      <c r="AU145">
        <f>W145-AI145</f>
        <v>0</v>
      </c>
      <c r="AV145">
        <f>X145-AJ145</f>
        <v>0</v>
      </c>
      <c r="AW145">
        <f>Y145-AK145</f>
        <v>0</v>
      </c>
      <c r="AX145">
        <f>Z145-AL145</f>
        <v>0</v>
      </c>
      <c r="AY145">
        <f>AA145-AM145</f>
        <v>0</v>
      </c>
      <c r="AZ145">
        <f>AB145-AN145</f>
        <v>0</v>
      </c>
      <c r="BA145">
        <f>AC145-AO145</f>
        <v>0</v>
      </c>
      <c r="BB145">
        <f>AD145-AP145</f>
        <v>0</v>
      </c>
      <c r="BC145">
        <f>AE145-AQ145</f>
        <v>0</v>
      </c>
      <c r="BD145">
        <f>AF145-AR145</f>
        <v>0</v>
      </c>
      <c r="BE145">
        <f>AG145-AS145</f>
        <v>0</v>
      </c>
    </row>
    <row r="146">
      <c r="A146" t="n">
        <v>116</v>
      </c>
      <c r="B146">
        <f>SUMPRODUCT(ROUND($AT145:$BE145*(1+'Calc base'!$H146:$S146),2))</f>
        <v>0</v>
      </c>
      <c r="C146">
        <f>SUM(J146:U146)</f>
        <v>0</v>
      </c>
      <c r="D146">
        <f>SUM(V146:AG146)</f>
        <v>0</v>
      </c>
      <c r="E146">
        <f>MAX(0,IF(Impostazioni!$B$7="No",'Calc base'!$C146-$C$31,'Calc base'!$C146-C146)+'Calc base'!$G146+'Calc base'!$F146-(B146-C146-D146))</f>
        <v>900</v>
      </c>
      <c r="F146">
        <f>SUM(AH146:AS146)</f>
        <v>0</v>
      </c>
      <c r="G146">
        <f>SUM(AT146:BE146)</f>
        <v>0</v>
      </c>
      <c r="H146">
        <f>B146-G145</f>
        <v>0</v>
      </c>
      <c r="I146">
        <f>B146-G146</f>
        <v>0</v>
      </c>
      <c r="J146">
        <f>IF(AT145&lt;=0,0,IF(ROUND(AT145*(1+'Calc base'!H146),2)-MAX('Calc base'!C$12,ROUND('Calc base'!C$13*AT145,2))&lt;1,ROUND(AT145*(1+'Calc base'!H146),2),MAX('Calc base'!C$12,ROUND('Calc base'!C$13*AT145,2))))</f>
        <v>0</v>
      </c>
      <c r="K146">
        <f>IF(AU145&lt;=0,0,IF(ROUND(AU145*(1+'Calc base'!I146),2)-MAX('Calc base'!D$12,ROUND('Calc base'!D$13*AU145,2))&lt;1,ROUND(AU145*(1+'Calc base'!I146),2),MAX('Calc base'!D$12,ROUND('Calc base'!D$13*AU145,2))))</f>
        <v>0</v>
      </c>
      <c r="L146">
        <f>IF(AV145&lt;=0,0,IF(ROUND(AV145*(1+'Calc base'!J146),2)-MAX('Calc base'!E$12,ROUND('Calc base'!E$13*AV145,2))&lt;1,ROUND(AV145*(1+'Calc base'!J146),2),MAX('Calc base'!E$12,ROUND('Calc base'!E$13*AV145,2))))</f>
        <v>0</v>
      </c>
      <c r="M146">
        <f>IF(AW145&lt;=0,0,IF(ROUND(AW145*(1+'Calc base'!K146),2)-MAX('Calc base'!F$12,ROUND('Calc base'!F$13*AW145,2))&lt;1,ROUND(AW145*(1+'Calc base'!K146),2),MAX('Calc base'!F$12,ROUND('Calc base'!F$13*AW145,2))))</f>
        <v>0</v>
      </c>
      <c r="N146">
        <f>IF(AX145&lt;=0,0,IF(ROUND(AX145*(1+'Calc base'!L146),2)-MAX('Calc base'!G$12,ROUND('Calc base'!G$13*AX145,2))&lt;1,ROUND(AX145*(1+'Calc base'!L146),2),MAX('Calc base'!G$12,ROUND('Calc base'!G$13*AX145,2))))</f>
        <v>0</v>
      </c>
      <c r="O146">
        <f>IF(AY145&lt;=0,0,IF(ROUND(AY145*(1+'Calc base'!M146),2)-MAX('Calc base'!H$12,ROUND('Calc base'!H$13*AY145,2))&lt;1,ROUND(AY145*(1+'Calc base'!M146),2),MAX('Calc base'!H$12,ROUND('Calc base'!H$13*AY145,2))))</f>
        <v>0</v>
      </c>
      <c r="P146">
        <f>IF(AZ145&lt;=0,0,IF(ROUND(AZ145*(1+'Calc base'!N146),2)-MAX('Calc base'!I$12,ROUND('Calc base'!I$13*AZ145,2))&lt;1,ROUND(AZ145*(1+'Calc base'!N146),2),MAX('Calc base'!I$12,ROUND('Calc base'!I$13*AZ145,2))))</f>
        <v>0</v>
      </c>
      <c r="Q146">
        <f>IF(BA145&lt;=0,0,IF(ROUND(BA145*(1+'Calc base'!O146),2)-MAX('Calc base'!J$12,ROUND('Calc base'!J$13*BA145,2))&lt;1,ROUND(BA145*(1+'Calc base'!O146),2),MAX('Calc base'!J$12,ROUND('Calc base'!J$13*BA145,2))))</f>
        <v>0</v>
      </c>
      <c r="R146">
        <f>IF(BB145&lt;=0,0,IF(ROUND(BB145*(1+'Calc base'!P146),2)-MAX('Calc base'!K$12,ROUND('Calc base'!K$13*BB145,2))&lt;1,ROUND(BB145*(1+'Calc base'!P146),2),MAX('Calc base'!K$12,ROUND('Calc base'!K$13*BB145,2))))</f>
        <v>0</v>
      </c>
      <c r="S146">
        <f>IF(BC145&lt;=0,0,IF(ROUND(BC145*(1+'Calc base'!Q146),2)-MAX('Calc base'!L$12,ROUND('Calc base'!L$13*BC145,2))&lt;1,ROUND(BC145*(1+'Calc base'!Q146),2),MAX('Calc base'!L$12,ROUND('Calc base'!L$13*BC145,2))))</f>
        <v>0</v>
      </c>
      <c r="T146">
        <f>IF(BD145&lt;=0,0,IF(ROUND(BD145*(1+'Calc base'!R146),2)-MAX('Calc base'!M$12,ROUND('Calc base'!M$13*BD145,2))&lt;1,ROUND(BD145*(1+'Calc base'!R146),2),MAX('Calc base'!M$12,ROUND('Calc base'!M$13*BD145,2))))</f>
        <v>0</v>
      </c>
      <c r="U146">
        <f>IF(BE145&lt;=0,0,IF(ROUND(BE145*(1+'Calc base'!S146),2)-MAX('Calc base'!N$12,ROUND('Calc base'!N$13*BE145,2))&lt;1,ROUND(BE145*(1+'Calc base'!S146),2),MAX('Calc base'!N$12,ROUND('Calc base'!N$13*BE145,2))))</f>
        <v>0</v>
      </c>
      <c r="V146">
        <f>MAX(0,ROUND(AT145*(1+'Calc base'!H146),2)-J146-'Calc base'!T146)</f>
        <v>0</v>
      </c>
      <c r="W146">
        <f>MAX(0,ROUND(AU145*(1+'Calc base'!I146),2)-K146-'Calc base'!U146)</f>
        <v>0</v>
      </c>
      <c r="X146">
        <f>MAX(0,ROUND(AV145*(1+'Calc base'!J146),2)-L146-'Calc base'!V146)</f>
        <v>0</v>
      </c>
      <c r="Y146">
        <f>MAX(0,ROUND(AW145*(1+'Calc base'!K146),2)-M146-'Calc base'!W146)</f>
        <v>0</v>
      </c>
      <c r="Z146">
        <f>MAX(0,ROUND(AX145*(1+'Calc base'!L146),2)-N146-'Calc base'!X146)</f>
        <v>0</v>
      </c>
      <c r="AA146">
        <f>MAX(0,ROUND(AY145*(1+'Calc base'!M146),2)-O146-'Calc base'!Y146)</f>
        <v>0</v>
      </c>
      <c r="AB146">
        <f>MAX(0,ROUND(AZ145*(1+'Calc base'!N146),2)-P146-'Calc base'!Z146)</f>
        <v>0</v>
      </c>
      <c r="AC146">
        <f>MAX(0,ROUND(BA145*(1+'Calc base'!O146),2)-Q146-'Calc base'!AA146)</f>
        <v>0</v>
      </c>
      <c r="AD146">
        <f>MAX(0,ROUND(BB145*(1+'Calc base'!P146),2)-R146-'Calc base'!AB146)</f>
        <v>0</v>
      </c>
      <c r="AE146">
        <f>MAX(0,ROUND(BC145*(1+'Calc base'!Q146),2)-S146-'Calc base'!AC146)</f>
        <v>0</v>
      </c>
      <c r="AF146">
        <f>MAX(0,ROUND(BD145*(1+'Calc base'!R146),2)-T146-'Calc base'!AD146)</f>
        <v>0</v>
      </c>
      <c r="AG146">
        <f>MAX(0,ROUND(BE145*(1+'Calc base'!S146),2)-U146-'Calc base'!AE146)</f>
        <v>0</v>
      </c>
      <c r="AH146">
        <f>IF('Calc base'!C$14=0,0,MIN(V146,MAX(0,$E146-SUMPRODUCT($V146:$AG146,'Calc base'!$C$14:$N$14,('Calc base'!$H146:$S146&gt;'Calc base'!H146)+('Calc base'!$H146:$S146='Calc base'!H146)*('Calc base'!$C$17:$N$17&lt;'Calc base'!C$17)))))</f>
        <v>0</v>
      </c>
      <c r="AI146">
        <f>IF('Calc base'!D$14=0,0,MIN(W146,MAX(0,$E146-SUMPRODUCT($V146:$AG146,'Calc base'!$C$14:$N$14,('Calc base'!$H146:$S146&gt;'Calc base'!I146)+('Calc base'!$H146:$S146='Calc base'!I146)*('Calc base'!$C$17:$N$17&lt;'Calc base'!D$17)))))</f>
        <v>0</v>
      </c>
      <c r="AJ146">
        <f>IF('Calc base'!E$14=0,0,MIN(X146,MAX(0,$E146-SUMPRODUCT($V146:$AG146,'Calc base'!$C$14:$N$14,('Calc base'!$H146:$S146&gt;'Calc base'!J146)+('Calc base'!$H146:$S146='Calc base'!J146)*('Calc base'!$C$17:$N$17&lt;'Calc base'!E$17)))))</f>
        <v>0</v>
      </c>
      <c r="AK146">
        <f>IF('Calc base'!F$14=0,0,MIN(Y146,MAX(0,$E146-SUMPRODUCT($V146:$AG146,'Calc base'!$C$14:$N$14,('Calc base'!$H146:$S146&gt;'Calc base'!K146)+('Calc base'!$H146:$S146='Calc base'!K146)*('Calc base'!$C$17:$N$17&lt;'Calc base'!F$17)))))</f>
        <v>0</v>
      </c>
      <c r="AL146">
        <f>IF('Calc base'!G$14=0,0,MIN(Z146,MAX(0,$E146-SUMPRODUCT($V146:$AG146,'Calc base'!$C$14:$N$14,('Calc base'!$H146:$S146&gt;'Calc base'!L146)+('Calc base'!$H146:$S146='Calc base'!L146)*('Calc base'!$C$17:$N$17&lt;'Calc base'!G$17)))))</f>
        <v>0</v>
      </c>
      <c r="AM146">
        <f>IF('Calc base'!H$14=0,0,MIN(AA146,MAX(0,$E146-SUMPRODUCT($V146:$AG146,'Calc base'!$C$14:$N$14,('Calc base'!$H146:$S146&gt;'Calc base'!M146)+('Calc base'!$H146:$S146='Calc base'!M146)*('Calc base'!$C$17:$N$17&lt;'Calc base'!H$17)))))</f>
        <v>0</v>
      </c>
      <c r="AN146">
        <f>IF('Calc base'!I$14=0,0,MIN(AB146,MAX(0,$E146-SUMPRODUCT($V146:$AG146,'Calc base'!$C$14:$N$14,('Calc base'!$H146:$S146&gt;'Calc base'!N146)+('Calc base'!$H146:$S146='Calc base'!N146)*('Calc base'!$C$17:$N$17&lt;'Calc base'!I$17)))))</f>
        <v>0</v>
      </c>
      <c r="AO146">
        <f>IF('Calc base'!J$14=0,0,MIN(AC146,MAX(0,$E146-SUMPRODUCT($V146:$AG146,'Calc base'!$C$14:$N$14,('Calc base'!$H146:$S146&gt;'Calc base'!O146)+('Calc base'!$H146:$S146='Calc base'!O146)*('Calc base'!$C$17:$N$17&lt;'Calc base'!J$17)))))</f>
        <v>0</v>
      </c>
      <c r="AP146">
        <f>IF('Calc base'!K$14=0,0,MIN(AD146,MAX(0,$E146-SUMPRODUCT($V146:$AG146,'Calc base'!$C$14:$N$14,('Calc base'!$H146:$S146&gt;'Calc base'!P146)+('Calc base'!$H146:$S146='Calc base'!P146)*('Calc base'!$C$17:$N$17&lt;'Calc base'!K$17)))))</f>
        <v>0</v>
      </c>
      <c r="AQ146">
        <f>IF('Calc base'!L$14=0,0,MIN(AE146,MAX(0,$E146-SUMPRODUCT($V146:$AG146,'Calc base'!$C$14:$N$14,('Calc base'!$H146:$S146&gt;'Calc base'!Q146)+('Calc base'!$H146:$S146='Calc base'!Q146)*('Calc base'!$C$17:$N$17&lt;'Calc base'!L$17)))))</f>
        <v>0</v>
      </c>
      <c r="AR146">
        <f>IF('Calc base'!M$14=0,0,MIN(AF146,MAX(0,$E146-SUMPRODUCT($V146:$AG146,'Calc base'!$C$14:$N$14,('Calc base'!$H146:$S146&gt;'Calc base'!R146)+('Calc base'!$H146:$S146='Calc base'!R146)*('Calc base'!$C$17:$N$17&lt;'Calc base'!M$17)))))</f>
        <v>0</v>
      </c>
      <c r="AS146">
        <f>IF('Calc base'!N$14=0,0,MIN(AG146,MAX(0,$E146-SUMPRODUCT($V146:$AG146,'Calc base'!$C$14:$N$14,('Calc base'!$H146:$S146&gt;'Calc base'!S146)+('Calc base'!$H146:$S146='Calc base'!S146)*('Calc base'!$C$17:$N$17&lt;'Calc base'!N$17)))))</f>
        <v>0</v>
      </c>
      <c r="AT146">
        <f>V146-AH146</f>
        <v>0</v>
      </c>
      <c r="AU146">
        <f>W146-AI146</f>
        <v>0</v>
      </c>
      <c r="AV146">
        <f>X146-AJ146</f>
        <v>0</v>
      </c>
      <c r="AW146">
        <f>Y146-AK146</f>
        <v>0</v>
      </c>
      <c r="AX146">
        <f>Z146-AL146</f>
        <v>0</v>
      </c>
      <c r="AY146">
        <f>AA146-AM146</f>
        <v>0</v>
      </c>
      <c r="AZ146">
        <f>AB146-AN146</f>
        <v>0</v>
      </c>
      <c r="BA146">
        <f>AC146-AO146</f>
        <v>0</v>
      </c>
      <c r="BB146">
        <f>AD146-AP146</f>
        <v>0</v>
      </c>
      <c r="BC146">
        <f>AE146-AQ146</f>
        <v>0</v>
      </c>
      <c r="BD146">
        <f>AF146-AR146</f>
        <v>0</v>
      </c>
      <c r="BE146">
        <f>AG146-AS146</f>
        <v>0</v>
      </c>
    </row>
    <row r="147">
      <c r="A147" t="n">
        <v>117</v>
      </c>
      <c r="B147">
        <f>SUMPRODUCT(ROUND($AT146:$BE146*(1+'Calc base'!$H147:$S147),2))</f>
        <v>0</v>
      </c>
      <c r="C147">
        <f>SUM(J147:U147)</f>
        <v>0</v>
      </c>
      <c r="D147">
        <f>SUM(V147:AG147)</f>
        <v>0</v>
      </c>
      <c r="E147">
        <f>MAX(0,IF(Impostazioni!$B$7="No",'Calc base'!$C147-$C$31,'Calc base'!$C147-C147)+'Calc base'!$G147+'Calc base'!$F147-(B147-C147-D147))</f>
        <v>900</v>
      </c>
      <c r="F147">
        <f>SUM(AH147:AS147)</f>
        <v>0</v>
      </c>
      <c r="G147">
        <f>SUM(AT147:BE147)</f>
        <v>0</v>
      </c>
      <c r="H147">
        <f>B147-G146</f>
        <v>0</v>
      </c>
      <c r="I147">
        <f>B147-G147</f>
        <v>0</v>
      </c>
      <c r="J147">
        <f>IF(AT146&lt;=0,0,IF(ROUND(AT146*(1+'Calc base'!H147),2)-MAX('Calc base'!C$12,ROUND('Calc base'!C$13*AT146,2))&lt;1,ROUND(AT146*(1+'Calc base'!H147),2),MAX('Calc base'!C$12,ROUND('Calc base'!C$13*AT146,2))))</f>
        <v>0</v>
      </c>
      <c r="K147">
        <f>IF(AU146&lt;=0,0,IF(ROUND(AU146*(1+'Calc base'!I147),2)-MAX('Calc base'!D$12,ROUND('Calc base'!D$13*AU146,2))&lt;1,ROUND(AU146*(1+'Calc base'!I147),2),MAX('Calc base'!D$12,ROUND('Calc base'!D$13*AU146,2))))</f>
        <v>0</v>
      </c>
      <c r="L147">
        <f>IF(AV146&lt;=0,0,IF(ROUND(AV146*(1+'Calc base'!J147),2)-MAX('Calc base'!E$12,ROUND('Calc base'!E$13*AV146,2))&lt;1,ROUND(AV146*(1+'Calc base'!J147),2),MAX('Calc base'!E$12,ROUND('Calc base'!E$13*AV146,2))))</f>
        <v>0</v>
      </c>
      <c r="M147">
        <f>IF(AW146&lt;=0,0,IF(ROUND(AW146*(1+'Calc base'!K147),2)-MAX('Calc base'!F$12,ROUND('Calc base'!F$13*AW146,2))&lt;1,ROUND(AW146*(1+'Calc base'!K147),2),MAX('Calc base'!F$12,ROUND('Calc base'!F$13*AW146,2))))</f>
        <v>0</v>
      </c>
      <c r="N147">
        <f>IF(AX146&lt;=0,0,IF(ROUND(AX146*(1+'Calc base'!L147),2)-MAX('Calc base'!G$12,ROUND('Calc base'!G$13*AX146,2))&lt;1,ROUND(AX146*(1+'Calc base'!L147),2),MAX('Calc base'!G$12,ROUND('Calc base'!G$13*AX146,2))))</f>
        <v>0</v>
      </c>
      <c r="O147">
        <f>IF(AY146&lt;=0,0,IF(ROUND(AY146*(1+'Calc base'!M147),2)-MAX('Calc base'!H$12,ROUND('Calc base'!H$13*AY146,2))&lt;1,ROUND(AY146*(1+'Calc base'!M147),2),MAX('Calc base'!H$12,ROUND('Calc base'!H$13*AY146,2))))</f>
        <v>0</v>
      </c>
      <c r="P147">
        <f>IF(AZ146&lt;=0,0,IF(ROUND(AZ146*(1+'Calc base'!N147),2)-MAX('Calc base'!I$12,ROUND('Calc base'!I$13*AZ146,2))&lt;1,ROUND(AZ146*(1+'Calc base'!N147),2),MAX('Calc base'!I$12,ROUND('Calc base'!I$13*AZ146,2))))</f>
        <v>0</v>
      </c>
      <c r="Q147">
        <f>IF(BA146&lt;=0,0,IF(ROUND(BA146*(1+'Calc base'!O147),2)-MAX('Calc base'!J$12,ROUND('Calc base'!J$13*BA146,2))&lt;1,ROUND(BA146*(1+'Calc base'!O147),2),MAX('Calc base'!J$12,ROUND('Calc base'!J$13*BA146,2))))</f>
        <v>0</v>
      </c>
      <c r="R147">
        <f>IF(BB146&lt;=0,0,IF(ROUND(BB146*(1+'Calc base'!P147),2)-MAX('Calc base'!K$12,ROUND('Calc base'!K$13*BB146,2))&lt;1,ROUND(BB146*(1+'Calc base'!P147),2),MAX('Calc base'!K$12,ROUND('Calc base'!K$13*BB146,2))))</f>
        <v>0</v>
      </c>
      <c r="S147">
        <f>IF(BC146&lt;=0,0,IF(ROUND(BC146*(1+'Calc base'!Q147),2)-MAX('Calc base'!L$12,ROUND('Calc base'!L$13*BC146,2))&lt;1,ROUND(BC146*(1+'Calc base'!Q147),2),MAX('Calc base'!L$12,ROUND('Calc base'!L$13*BC146,2))))</f>
        <v>0</v>
      </c>
      <c r="T147">
        <f>IF(BD146&lt;=0,0,IF(ROUND(BD146*(1+'Calc base'!R147),2)-MAX('Calc base'!M$12,ROUND('Calc base'!M$13*BD146,2))&lt;1,ROUND(BD146*(1+'Calc base'!R147),2),MAX('Calc base'!M$12,ROUND('Calc base'!M$13*BD146,2))))</f>
        <v>0</v>
      </c>
      <c r="U147">
        <f>IF(BE146&lt;=0,0,IF(ROUND(BE146*(1+'Calc base'!S147),2)-MAX('Calc base'!N$12,ROUND('Calc base'!N$13*BE146,2))&lt;1,ROUND(BE146*(1+'Calc base'!S147),2),MAX('Calc base'!N$12,ROUND('Calc base'!N$13*BE146,2))))</f>
        <v>0</v>
      </c>
      <c r="V147">
        <f>MAX(0,ROUND(AT146*(1+'Calc base'!H147),2)-J147-'Calc base'!T147)</f>
        <v>0</v>
      </c>
      <c r="W147">
        <f>MAX(0,ROUND(AU146*(1+'Calc base'!I147),2)-K147-'Calc base'!U147)</f>
        <v>0</v>
      </c>
      <c r="X147">
        <f>MAX(0,ROUND(AV146*(1+'Calc base'!J147),2)-L147-'Calc base'!V147)</f>
        <v>0</v>
      </c>
      <c r="Y147">
        <f>MAX(0,ROUND(AW146*(1+'Calc base'!K147),2)-M147-'Calc base'!W147)</f>
        <v>0</v>
      </c>
      <c r="Z147">
        <f>MAX(0,ROUND(AX146*(1+'Calc base'!L147),2)-N147-'Calc base'!X147)</f>
        <v>0</v>
      </c>
      <c r="AA147">
        <f>MAX(0,ROUND(AY146*(1+'Calc base'!M147),2)-O147-'Calc base'!Y147)</f>
        <v>0</v>
      </c>
      <c r="AB147">
        <f>MAX(0,ROUND(AZ146*(1+'Calc base'!N147),2)-P147-'Calc base'!Z147)</f>
        <v>0</v>
      </c>
      <c r="AC147">
        <f>MAX(0,ROUND(BA146*(1+'Calc base'!O147),2)-Q147-'Calc base'!AA147)</f>
        <v>0</v>
      </c>
      <c r="AD147">
        <f>MAX(0,ROUND(BB146*(1+'Calc base'!P147),2)-R147-'Calc base'!AB147)</f>
        <v>0</v>
      </c>
      <c r="AE147">
        <f>MAX(0,ROUND(BC146*(1+'Calc base'!Q147),2)-S147-'Calc base'!AC147)</f>
        <v>0</v>
      </c>
      <c r="AF147">
        <f>MAX(0,ROUND(BD146*(1+'Calc base'!R147),2)-T147-'Calc base'!AD147)</f>
        <v>0</v>
      </c>
      <c r="AG147">
        <f>MAX(0,ROUND(BE146*(1+'Calc base'!S147),2)-U147-'Calc base'!AE147)</f>
        <v>0</v>
      </c>
      <c r="AH147">
        <f>IF('Calc base'!C$14=0,0,MIN(V147,MAX(0,$E147-SUMPRODUCT($V147:$AG147,'Calc base'!$C$14:$N$14,('Calc base'!$H147:$S147&gt;'Calc base'!H147)+('Calc base'!$H147:$S147='Calc base'!H147)*('Calc base'!$C$17:$N$17&lt;'Calc base'!C$17)))))</f>
        <v>0</v>
      </c>
      <c r="AI147">
        <f>IF('Calc base'!D$14=0,0,MIN(W147,MAX(0,$E147-SUMPRODUCT($V147:$AG147,'Calc base'!$C$14:$N$14,('Calc base'!$H147:$S147&gt;'Calc base'!I147)+('Calc base'!$H147:$S147='Calc base'!I147)*('Calc base'!$C$17:$N$17&lt;'Calc base'!D$17)))))</f>
        <v>0</v>
      </c>
      <c r="AJ147">
        <f>IF('Calc base'!E$14=0,0,MIN(X147,MAX(0,$E147-SUMPRODUCT($V147:$AG147,'Calc base'!$C$14:$N$14,('Calc base'!$H147:$S147&gt;'Calc base'!J147)+('Calc base'!$H147:$S147='Calc base'!J147)*('Calc base'!$C$17:$N$17&lt;'Calc base'!E$17)))))</f>
        <v>0</v>
      </c>
      <c r="AK147">
        <f>IF('Calc base'!F$14=0,0,MIN(Y147,MAX(0,$E147-SUMPRODUCT($V147:$AG147,'Calc base'!$C$14:$N$14,('Calc base'!$H147:$S147&gt;'Calc base'!K147)+('Calc base'!$H147:$S147='Calc base'!K147)*('Calc base'!$C$17:$N$17&lt;'Calc base'!F$17)))))</f>
        <v>0</v>
      </c>
      <c r="AL147">
        <f>IF('Calc base'!G$14=0,0,MIN(Z147,MAX(0,$E147-SUMPRODUCT($V147:$AG147,'Calc base'!$C$14:$N$14,('Calc base'!$H147:$S147&gt;'Calc base'!L147)+('Calc base'!$H147:$S147='Calc base'!L147)*('Calc base'!$C$17:$N$17&lt;'Calc base'!G$17)))))</f>
        <v>0</v>
      </c>
      <c r="AM147">
        <f>IF('Calc base'!H$14=0,0,MIN(AA147,MAX(0,$E147-SUMPRODUCT($V147:$AG147,'Calc base'!$C$14:$N$14,('Calc base'!$H147:$S147&gt;'Calc base'!M147)+('Calc base'!$H147:$S147='Calc base'!M147)*('Calc base'!$C$17:$N$17&lt;'Calc base'!H$17)))))</f>
        <v>0</v>
      </c>
      <c r="AN147">
        <f>IF('Calc base'!I$14=0,0,MIN(AB147,MAX(0,$E147-SUMPRODUCT($V147:$AG147,'Calc base'!$C$14:$N$14,('Calc base'!$H147:$S147&gt;'Calc base'!N147)+('Calc base'!$H147:$S147='Calc base'!N147)*('Calc base'!$C$17:$N$17&lt;'Calc base'!I$17)))))</f>
        <v>0</v>
      </c>
      <c r="AO147">
        <f>IF('Calc base'!J$14=0,0,MIN(AC147,MAX(0,$E147-SUMPRODUCT($V147:$AG147,'Calc base'!$C$14:$N$14,('Calc base'!$H147:$S147&gt;'Calc base'!O147)+('Calc base'!$H147:$S147='Calc base'!O147)*('Calc base'!$C$17:$N$17&lt;'Calc base'!J$17)))))</f>
        <v>0</v>
      </c>
      <c r="AP147">
        <f>IF('Calc base'!K$14=0,0,MIN(AD147,MAX(0,$E147-SUMPRODUCT($V147:$AG147,'Calc base'!$C$14:$N$14,('Calc base'!$H147:$S147&gt;'Calc base'!P147)+('Calc base'!$H147:$S147='Calc base'!P147)*('Calc base'!$C$17:$N$17&lt;'Calc base'!K$17)))))</f>
        <v>0</v>
      </c>
      <c r="AQ147">
        <f>IF('Calc base'!L$14=0,0,MIN(AE147,MAX(0,$E147-SUMPRODUCT($V147:$AG147,'Calc base'!$C$14:$N$14,('Calc base'!$H147:$S147&gt;'Calc base'!Q147)+('Calc base'!$H147:$S147='Calc base'!Q147)*('Calc base'!$C$17:$N$17&lt;'Calc base'!L$17)))))</f>
        <v>0</v>
      </c>
      <c r="AR147">
        <f>IF('Calc base'!M$14=0,0,MIN(AF147,MAX(0,$E147-SUMPRODUCT($V147:$AG147,'Calc base'!$C$14:$N$14,('Calc base'!$H147:$S147&gt;'Calc base'!R147)+('Calc base'!$H147:$S147='Calc base'!R147)*('Calc base'!$C$17:$N$17&lt;'Calc base'!M$17)))))</f>
        <v>0</v>
      </c>
      <c r="AS147">
        <f>IF('Calc base'!N$14=0,0,MIN(AG147,MAX(0,$E147-SUMPRODUCT($V147:$AG147,'Calc base'!$C$14:$N$14,('Calc base'!$H147:$S147&gt;'Calc base'!S147)+('Calc base'!$H147:$S147='Calc base'!S147)*('Calc base'!$C$17:$N$17&lt;'Calc base'!N$17)))))</f>
        <v>0</v>
      </c>
      <c r="AT147">
        <f>V147-AH147</f>
        <v>0</v>
      </c>
      <c r="AU147">
        <f>W147-AI147</f>
        <v>0</v>
      </c>
      <c r="AV147">
        <f>X147-AJ147</f>
        <v>0</v>
      </c>
      <c r="AW147">
        <f>Y147-AK147</f>
        <v>0</v>
      </c>
      <c r="AX147">
        <f>Z147-AL147</f>
        <v>0</v>
      </c>
      <c r="AY147">
        <f>AA147-AM147</f>
        <v>0</v>
      </c>
      <c r="AZ147">
        <f>AB147-AN147</f>
        <v>0</v>
      </c>
      <c r="BA147">
        <f>AC147-AO147</f>
        <v>0</v>
      </c>
      <c r="BB147">
        <f>AD147-AP147</f>
        <v>0</v>
      </c>
      <c r="BC147">
        <f>AE147-AQ147</f>
        <v>0</v>
      </c>
      <c r="BD147">
        <f>AF147-AR147</f>
        <v>0</v>
      </c>
      <c r="BE147">
        <f>AG147-AS147</f>
        <v>0</v>
      </c>
    </row>
    <row r="148">
      <c r="A148" t="n">
        <v>118</v>
      </c>
      <c r="B148">
        <f>SUMPRODUCT(ROUND($AT147:$BE147*(1+'Calc base'!$H148:$S148),2))</f>
        <v>0</v>
      </c>
      <c r="C148">
        <f>SUM(J148:U148)</f>
        <v>0</v>
      </c>
      <c r="D148">
        <f>SUM(V148:AG148)</f>
        <v>0</v>
      </c>
      <c r="E148">
        <f>MAX(0,IF(Impostazioni!$B$7="No",'Calc base'!$C148-$C$31,'Calc base'!$C148-C148)+'Calc base'!$G148+'Calc base'!$F148-(B148-C148-D148))</f>
        <v>900</v>
      </c>
      <c r="F148">
        <f>SUM(AH148:AS148)</f>
        <v>0</v>
      </c>
      <c r="G148">
        <f>SUM(AT148:BE148)</f>
        <v>0</v>
      </c>
      <c r="H148">
        <f>B148-G147</f>
        <v>0</v>
      </c>
      <c r="I148">
        <f>B148-G148</f>
        <v>0</v>
      </c>
      <c r="J148">
        <f>IF(AT147&lt;=0,0,IF(ROUND(AT147*(1+'Calc base'!H148),2)-MAX('Calc base'!C$12,ROUND('Calc base'!C$13*AT147,2))&lt;1,ROUND(AT147*(1+'Calc base'!H148),2),MAX('Calc base'!C$12,ROUND('Calc base'!C$13*AT147,2))))</f>
        <v>0</v>
      </c>
      <c r="K148">
        <f>IF(AU147&lt;=0,0,IF(ROUND(AU147*(1+'Calc base'!I148),2)-MAX('Calc base'!D$12,ROUND('Calc base'!D$13*AU147,2))&lt;1,ROUND(AU147*(1+'Calc base'!I148),2),MAX('Calc base'!D$12,ROUND('Calc base'!D$13*AU147,2))))</f>
        <v>0</v>
      </c>
      <c r="L148">
        <f>IF(AV147&lt;=0,0,IF(ROUND(AV147*(1+'Calc base'!J148),2)-MAX('Calc base'!E$12,ROUND('Calc base'!E$13*AV147,2))&lt;1,ROUND(AV147*(1+'Calc base'!J148),2),MAX('Calc base'!E$12,ROUND('Calc base'!E$13*AV147,2))))</f>
        <v>0</v>
      </c>
      <c r="M148">
        <f>IF(AW147&lt;=0,0,IF(ROUND(AW147*(1+'Calc base'!K148),2)-MAX('Calc base'!F$12,ROUND('Calc base'!F$13*AW147,2))&lt;1,ROUND(AW147*(1+'Calc base'!K148),2),MAX('Calc base'!F$12,ROUND('Calc base'!F$13*AW147,2))))</f>
        <v>0</v>
      </c>
      <c r="N148">
        <f>IF(AX147&lt;=0,0,IF(ROUND(AX147*(1+'Calc base'!L148),2)-MAX('Calc base'!G$12,ROUND('Calc base'!G$13*AX147,2))&lt;1,ROUND(AX147*(1+'Calc base'!L148),2),MAX('Calc base'!G$12,ROUND('Calc base'!G$13*AX147,2))))</f>
        <v>0</v>
      </c>
      <c r="O148">
        <f>IF(AY147&lt;=0,0,IF(ROUND(AY147*(1+'Calc base'!M148),2)-MAX('Calc base'!H$12,ROUND('Calc base'!H$13*AY147,2))&lt;1,ROUND(AY147*(1+'Calc base'!M148),2),MAX('Calc base'!H$12,ROUND('Calc base'!H$13*AY147,2))))</f>
        <v>0</v>
      </c>
      <c r="P148">
        <f>IF(AZ147&lt;=0,0,IF(ROUND(AZ147*(1+'Calc base'!N148),2)-MAX('Calc base'!I$12,ROUND('Calc base'!I$13*AZ147,2))&lt;1,ROUND(AZ147*(1+'Calc base'!N148),2),MAX('Calc base'!I$12,ROUND('Calc base'!I$13*AZ147,2))))</f>
        <v>0</v>
      </c>
      <c r="Q148">
        <f>IF(BA147&lt;=0,0,IF(ROUND(BA147*(1+'Calc base'!O148),2)-MAX('Calc base'!J$12,ROUND('Calc base'!J$13*BA147,2))&lt;1,ROUND(BA147*(1+'Calc base'!O148),2),MAX('Calc base'!J$12,ROUND('Calc base'!J$13*BA147,2))))</f>
        <v>0</v>
      </c>
      <c r="R148">
        <f>IF(BB147&lt;=0,0,IF(ROUND(BB147*(1+'Calc base'!P148),2)-MAX('Calc base'!K$12,ROUND('Calc base'!K$13*BB147,2))&lt;1,ROUND(BB147*(1+'Calc base'!P148),2),MAX('Calc base'!K$12,ROUND('Calc base'!K$13*BB147,2))))</f>
        <v>0</v>
      </c>
      <c r="S148">
        <f>IF(BC147&lt;=0,0,IF(ROUND(BC147*(1+'Calc base'!Q148),2)-MAX('Calc base'!L$12,ROUND('Calc base'!L$13*BC147,2))&lt;1,ROUND(BC147*(1+'Calc base'!Q148),2),MAX('Calc base'!L$12,ROUND('Calc base'!L$13*BC147,2))))</f>
        <v>0</v>
      </c>
      <c r="T148">
        <f>IF(BD147&lt;=0,0,IF(ROUND(BD147*(1+'Calc base'!R148),2)-MAX('Calc base'!M$12,ROUND('Calc base'!M$13*BD147,2))&lt;1,ROUND(BD147*(1+'Calc base'!R148),2),MAX('Calc base'!M$12,ROUND('Calc base'!M$13*BD147,2))))</f>
        <v>0</v>
      </c>
      <c r="U148">
        <f>IF(BE147&lt;=0,0,IF(ROUND(BE147*(1+'Calc base'!S148),2)-MAX('Calc base'!N$12,ROUND('Calc base'!N$13*BE147,2))&lt;1,ROUND(BE147*(1+'Calc base'!S148),2),MAX('Calc base'!N$12,ROUND('Calc base'!N$13*BE147,2))))</f>
        <v>0</v>
      </c>
      <c r="V148">
        <f>MAX(0,ROUND(AT147*(1+'Calc base'!H148),2)-J148-'Calc base'!T148)</f>
        <v>0</v>
      </c>
      <c r="W148">
        <f>MAX(0,ROUND(AU147*(1+'Calc base'!I148),2)-K148-'Calc base'!U148)</f>
        <v>0</v>
      </c>
      <c r="X148">
        <f>MAX(0,ROUND(AV147*(1+'Calc base'!J148),2)-L148-'Calc base'!V148)</f>
        <v>0</v>
      </c>
      <c r="Y148">
        <f>MAX(0,ROUND(AW147*(1+'Calc base'!K148),2)-M148-'Calc base'!W148)</f>
        <v>0</v>
      </c>
      <c r="Z148">
        <f>MAX(0,ROUND(AX147*(1+'Calc base'!L148),2)-N148-'Calc base'!X148)</f>
        <v>0</v>
      </c>
      <c r="AA148">
        <f>MAX(0,ROUND(AY147*(1+'Calc base'!M148),2)-O148-'Calc base'!Y148)</f>
        <v>0</v>
      </c>
      <c r="AB148">
        <f>MAX(0,ROUND(AZ147*(1+'Calc base'!N148),2)-P148-'Calc base'!Z148)</f>
        <v>0</v>
      </c>
      <c r="AC148">
        <f>MAX(0,ROUND(BA147*(1+'Calc base'!O148),2)-Q148-'Calc base'!AA148)</f>
        <v>0</v>
      </c>
      <c r="AD148">
        <f>MAX(0,ROUND(BB147*(1+'Calc base'!P148),2)-R148-'Calc base'!AB148)</f>
        <v>0</v>
      </c>
      <c r="AE148">
        <f>MAX(0,ROUND(BC147*(1+'Calc base'!Q148),2)-S148-'Calc base'!AC148)</f>
        <v>0</v>
      </c>
      <c r="AF148">
        <f>MAX(0,ROUND(BD147*(1+'Calc base'!R148),2)-T148-'Calc base'!AD148)</f>
        <v>0</v>
      </c>
      <c r="AG148">
        <f>MAX(0,ROUND(BE147*(1+'Calc base'!S148),2)-U148-'Calc base'!AE148)</f>
        <v>0</v>
      </c>
      <c r="AH148">
        <f>IF('Calc base'!C$14=0,0,MIN(V148,MAX(0,$E148-SUMPRODUCT($V148:$AG148,'Calc base'!$C$14:$N$14,('Calc base'!$H148:$S148&gt;'Calc base'!H148)+('Calc base'!$H148:$S148='Calc base'!H148)*('Calc base'!$C$17:$N$17&lt;'Calc base'!C$17)))))</f>
        <v>0</v>
      </c>
      <c r="AI148">
        <f>IF('Calc base'!D$14=0,0,MIN(W148,MAX(0,$E148-SUMPRODUCT($V148:$AG148,'Calc base'!$C$14:$N$14,('Calc base'!$H148:$S148&gt;'Calc base'!I148)+('Calc base'!$H148:$S148='Calc base'!I148)*('Calc base'!$C$17:$N$17&lt;'Calc base'!D$17)))))</f>
        <v>0</v>
      </c>
      <c r="AJ148">
        <f>IF('Calc base'!E$14=0,0,MIN(X148,MAX(0,$E148-SUMPRODUCT($V148:$AG148,'Calc base'!$C$14:$N$14,('Calc base'!$H148:$S148&gt;'Calc base'!J148)+('Calc base'!$H148:$S148='Calc base'!J148)*('Calc base'!$C$17:$N$17&lt;'Calc base'!E$17)))))</f>
        <v>0</v>
      </c>
      <c r="AK148">
        <f>IF('Calc base'!F$14=0,0,MIN(Y148,MAX(0,$E148-SUMPRODUCT($V148:$AG148,'Calc base'!$C$14:$N$14,('Calc base'!$H148:$S148&gt;'Calc base'!K148)+('Calc base'!$H148:$S148='Calc base'!K148)*('Calc base'!$C$17:$N$17&lt;'Calc base'!F$17)))))</f>
        <v>0</v>
      </c>
      <c r="AL148">
        <f>IF('Calc base'!G$14=0,0,MIN(Z148,MAX(0,$E148-SUMPRODUCT($V148:$AG148,'Calc base'!$C$14:$N$14,('Calc base'!$H148:$S148&gt;'Calc base'!L148)+('Calc base'!$H148:$S148='Calc base'!L148)*('Calc base'!$C$17:$N$17&lt;'Calc base'!G$17)))))</f>
        <v>0</v>
      </c>
      <c r="AM148">
        <f>IF('Calc base'!H$14=0,0,MIN(AA148,MAX(0,$E148-SUMPRODUCT($V148:$AG148,'Calc base'!$C$14:$N$14,('Calc base'!$H148:$S148&gt;'Calc base'!M148)+('Calc base'!$H148:$S148='Calc base'!M148)*('Calc base'!$C$17:$N$17&lt;'Calc base'!H$17)))))</f>
        <v>0</v>
      </c>
      <c r="AN148">
        <f>IF('Calc base'!I$14=0,0,MIN(AB148,MAX(0,$E148-SUMPRODUCT($V148:$AG148,'Calc base'!$C$14:$N$14,('Calc base'!$H148:$S148&gt;'Calc base'!N148)+('Calc base'!$H148:$S148='Calc base'!N148)*('Calc base'!$C$17:$N$17&lt;'Calc base'!I$17)))))</f>
        <v>0</v>
      </c>
      <c r="AO148">
        <f>IF('Calc base'!J$14=0,0,MIN(AC148,MAX(0,$E148-SUMPRODUCT($V148:$AG148,'Calc base'!$C$14:$N$14,('Calc base'!$H148:$S148&gt;'Calc base'!O148)+('Calc base'!$H148:$S148='Calc base'!O148)*('Calc base'!$C$17:$N$17&lt;'Calc base'!J$17)))))</f>
        <v>0</v>
      </c>
      <c r="AP148">
        <f>IF('Calc base'!K$14=0,0,MIN(AD148,MAX(0,$E148-SUMPRODUCT($V148:$AG148,'Calc base'!$C$14:$N$14,('Calc base'!$H148:$S148&gt;'Calc base'!P148)+('Calc base'!$H148:$S148='Calc base'!P148)*('Calc base'!$C$17:$N$17&lt;'Calc base'!K$17)))))</f>
        <v>0</v>
      </c>
      <c r="AQ148">
        <f>IF('Calc base'!L$14=0,0,MIN(AE148,MAX(0,$E148-SUMPRODUCT($V148:$AG148,'Calc base'!$C$14:$N$14,('Calc base'!$H148:$S148&gt;'Calc base'!Q148)+('Calc base'!$H148:$S148='Calc base'!Q148)*('Calc base'!$C$17:$N$17&lt;'Calc base'!L$17)))))</f>
        <v>0</v>
      </c>
      <c r="AR148">
        <f>IF('Calc base'!M$14=0,0,MIN(AF148,MAX(0,$E148-SUMPRODUCT($V148:$AG148,'Calc base'!$C$14:$N$14,('Calc base'!$H148:$S148&gt;'Calc base'!R148)+('Calc base'!$H148:$S148='Calc base'!R148)*('Calc base'!$C$17:$N$17&lt;'Calc base'!M$17)))))</f>
        <v>0</v>
      </c>
      <c r="AS148">
        <f>IF('Calc base'!N$14=0,0,MIN(AG148,MAX(0,$E148-SUMPRODUCT($V148:$AG148,'Calc base'!$C$14:$N$14,('Calc base'!$H148:$S148&gt;'Calc base'!S148)+('Calc base'!$H148:$S148='Calc base'!S148)*('Calc base'!$C$17:$N$17&lt;'Calc base'!N$17)))))</f>
        <v>0</v>
      </c>
      <c r="AT148">
        <f>V148-AH148</f>
        <v>0</v>
      </c>
      <c r="AU148">
        <f>W148-AI148</f>
        <v>0</v>
      </c>
      <c r="AV148">
        <f>X148-AJ148</f>
        <v>0</v>
      </c>
      <c r="AW148">
        <f>Y148-AK148</f>
        <v>0</v>
      </c>
      <c r="AX148">
        <f>Z148-AL148</f>
        <v>0</v>
      </c>
      <c r="AY148">
        <f>AA148-AM148</f>
        <v>0</v>
      </c>
      <c r="AZ148">
        <f>AB148-AN148</f>
        <v>0</v>
      </c>
      <c r="BA148">
        <f>AC148-AO148</f>
        <v>0</v>
      </c>
      <c r="BB148">
        <f>AD148-AP148</f>
        <v>0</v>
      </c>
      <c r="BC148">
        <f>AE148-AQ148</f>
        <v>0</v>
      </c>
      <c r="BD148">
        <f>AF148-AR148</f>
        <v>0</v>
      </c>
      <c r="BE148">
        <f>AG148-AS148</f>
        <v>0</v>
      </c>
    </row>
    <row r="149">
      <c r="A149" t="n">
        <v>119</v>
      </c>
      <c r="B149">
        <f>SUMPRODUCT(ROUND($AT148:$BE148*(1+'Calc base'!$H149:$S149),2))</f>
        <v>0</v>
      </c>
      <c r="C149">
        <f>SUM(J149:U149)</f>
        <v>0</v>
      </c>
      <c r="D149">
        <f>SUM(V149:AG149)</f>
        <v>0</v>
      </c>
      <c r="E149">
        <f>MAX(0,IF(Impostazioni!$B$7="No",'Calc base'!$C149-$C$31,'Calc base'!$C149-C149)+'Calc base'!$G149+'Calc base'!$F149-(B149-C149-D149))</f>
        <v>900</v>
      </c>
      <c r="F149">
        <f>SUM(AH149:AS149)</f>
        <v>0</v>
      </c>
      <c r="G149">
        <f>SUM(AT149:BE149)</f>
        <v>0</v>
      </c>
      <c r="H149">
        <f>B149-G148</f>
        <v>0</v>
      </c>
      <c r="I149">
        <f>B149-G149</f>
        <v>0</v>
      </c>
      <c r="J149">
        <f>IF(AT148&lt;=0,0,IF(ROUND(AT148*(1+'Calc base'!H149),2)-MAX('Calc base'!C$12,ROUND('Calc base'!C$13*AT148,2))&lt;1,ROUND(AT148*(1+'Calc base'!H149),2),MAX('Calc base'!C$12,ROUND('Calc base'!C$13*AT148,2))))</f>
        <v>0</v>
      </c>
      <c r="K149">
        <f>IF(AU148&lt;=0,0,IF(ROUND(AU148*(1+'Calc base'!I149),2)-MAX('Calc base'!D$12,ROUND('Calc base'!D$13*AU148,2))&lt;1,ROUND(AU148*(1+'Calc base'!I149),2),MAX('Calc base'!D$12,ROUND('Calc base'!D$13*AU148,2))))</f>
        <v>0</v>
      </c>
      <c r="L149">
        <f>IF(AV148&lt;=0,0,IF(ROUND(AV148*(1+'Calc base'!J149),2)-MAX('Calc base'!E$12,ROUND('Calc base'!E$13*AV148,2))&lt;1,ROUND(AV148*(1+'Calc base'!J149),2),MAX('Calc base'!E$12,ROUND('Calc base'!E$13*AV148,2))))</f>
        <v>0</v>
      </c>
      <c r="M149">
        <f>IF(AW148&lt;=0,0,IF(ROUND(AW148*(1+'Calc base'!K149),2)-MAX('Calc base'!F$12,ROUND('Calc base'!F$13*AW148,2))&lt;1,ROUND(AW148*(1+'Calc base'!K149),2),MAX('Calc base'!F$12,ROUND('Calc base'!F$13*AW148,2))))</f>
        <v>0</v>
      </c>
      <c r="N149">
        <f>IF(AX148&lt;=0,0,IF(ROUND(AX148*(1+'Calc base'!L149),2)-MAX('Calc base'!G$12,ROUND('Calc base'!G$13*AX148,2))&lt;1,ROUND(AX148*(1+'Calc base'!L149),2),MAX('Calc base'!G$12,ROUND('Calc base'!G$13*AX148,2))))</f>
        <v>0</v>
      </c>
      <c r="O149">
        <f>IF(AY148&lt;=0,0,IF(ROUND(AY148*(1+'Calc base'!M149),2)-MAX('Calc base'!H$12,ROUND('Calc base'!H$13*AY148,2))&lt;1,ROUND(AY148*(1+'Calc base'!M149),2),MAX('Calc base'!H$12,ROUND('Calc base'!H$13*AY148,2))))</f>
        <v>0</v>
      </c>
      <c r="P149">
        <f>IF(AZ148&lt;=0,0,IF(ROUND(AZ148*(1+'Calc base'!N149),2)-MAX('Calc base'!I$12,ROUND('Calc base'!I$13*AZ148,2))&lt;1,ROUND(AZ148*(1+'Calc base'!N149),2),MAX('Calc base'!I$12,ROUND('Calc base'!I$13*AZ148,2))))</f>
        <v>0</v>
      </c>
      <c r="Q149">
        <f>IF(BA148&lt;=0,0,IF(ROUND(BA148*(1+'Calc base'!O149),2)-MAX('Calc base'!J$12,ROUND('Calc base'!J$13*BA148,2))&lt;1,ROUND(BA148*(1+'Calc base'!O149),2),MAX('Calc base'!J$12,ROUND('Calc base'!J$13*BA148,2))))</f>
        <v>0</v>
      </c>
      <c r="R149">
        <f>IF(BB148&lt;=0,0,IF(ROUND(BB148*(1+'Calc base'!P149),2)-MAX('Calc base'!K$12,ROUND('Calc base'!K$13*BB148,2))&lt;1,ROUND(BB148*(1+'Calc base'!P149),2),MAX('Calc base'!K$12,ROUND('Calc base'!K$13*BB148,2))))</f>
        <v>0</v>
      </c>
      <c r="S149">
        <f>IF(BC148&lt;=0,0,IF(ROUND(BC148*(1+'Calc base'!Q149),2)-MAX('Calc base'!L$12,ROUND('Calc base'!L$13*BC148,2))&lt;1,ROUND(BC148*(1+'Calc base'!Q149),2),MAX('Calc base'!L$12,ROUND('Calc base'!L$13*BC148,2))))</f>
        <v>0</v>
      </c>
      <c r="T149">
        <f>IF(BD148&lt;=0,0,IF(ROUND(BD148*(1+'Calc base'!R149),2)-MAX('Calc base'!M$12,ROUND('Calc base'!M$13*BD148,2))&lt;1,ROUND(BD148*(1+'Calc base'!R149),2),MAX('Calc base'!M$12,ROUND('Calc base'!M$13*BD148,2))))</f>
        <v>0</v>
      </c>
      <c r="U149">
        <f>IF(BE148&lt;=0,0,IF(ROUND(BE148*(1+'Calc base'!S149),2)-MAX('Calc base'!N$12,ROUND('Calc base'!N$13*BE148,2))&lt;1,ROUND(BE148*(1+'Calc base'!S149),2),MAX('Calc base'!N$12,ROUND('Calc base'!N$13*BE148,2))))</f>
        <v>0</v>
      </c>
      <c r="V149">
        <f>MAX(0,ROUND(AT148*(1+'Calc base'!H149),2)-J149-'Calc base'!T149)</f>
        <v>0</v>
      </c>
      <c r="W149">
        <f>MAX(0,ROUND(AU148*(1+'Calc base'!I149),2)-K149-'Calc base'!U149)</f>
        <v>0</v>
      </c>
      <c r="X149">
        <f>MAX(0,ROUND(AV148*(1+'Calc base'!J149),2)-L149-'Calc base'!V149)</f>
        <v>0</v>
      </c>
      <c r="Y149">
        <f>MAX(0,ROUND(AW148*(1+'Calc base'!K149),2)-M149-'Calc base'!W149)</f>
        <v>0</v>
      </c>
      <c r="Z149">
        <f>MAX(0,ROUND(AX148*(1+'Calc base'!L149),2)-N149-'Calc base'!X149)</f>
        <v>0</v>
      </c>
      <c r="AA149">
        <f>MAX(0,ROUND(AY148*(1+'Calc base'!M149),2)-O149-'Calc base'!Y149)</f>
        <v>0</v>
      </c>
      <c r="AB149">
        <f>MAX(0,ROUND(AZ148*(1+'Calc base'!N149),2)-P149-'Calc base'!Z149)</f>
        <v>0</v>
      </c>
      <c r="AC149">
        <f>MAX(0,ROUND(BA148*(1+'Calc base'!O149),2)-Q149-'Calc base'!AA149)</f>
        <v>0</v>
      </c>
      <c r="AD149">
        <f>MAX(0,ROUND(BB148*(1+'Calc base'!P149),2)-R149-'Calc base'!AB149)</f>
        <v>0</v>
      </c>
      <c r="AE149">
        <f>MAX(0,ROUND(BC148*(1+'Calc base'!Q149),2)-S149-'Calc base'!AC149)</f>
        <v>0</v>
      </c>
      <c r="AF149">
        <f>MAX(0,ROUND(BD148*(1+'Calc base'!R149),2)-T149-'Calc base'!AD149)</f>
        <v>0</v>
      </c>
      <c r="AG149">
        <f>MAX(0,ROUND(BE148*(1+'Calc base'!S149),2)-U149-'Calc base'!AE149)</f>
        <v>0</v>
      </c>
      <c r="AH149">
        <f>IF('Calc base'!C$14=0,0,MIN(V149,MAX(0,$E149-SUMPRODUCT($V149:$AG149,'Calc base'!$C$14:$N$14,('Calc base'!$H149:$S149&gt;'Calc base'!H149)+('Calc base'!$H149:$S149='Calc base'!H149)*('Calc base'!$C$17:$N$17&lt;'Calc base'!C$17)))))</f>
        <v>0</v>
      </c>
      <c r="AI149">
        <f>IF('Calc base'!D$14=0,0,MIN(W149,MAX(0,$E149-SUMPRODUCT($V149:$AG149,'Calc base'!$C$14:$N$14,('Calc base'!$H149:$S149&gt;'Calc base'!I149)+('Calc base'!$H149:$S149='Calc base'!I149)*('Calc base'!$C$17:$N$17&lt;'Calc base'!D$17)))))</f>
        <v>0</v>
      </c>
      <c r="AJ149">
        <f>IF('Calc base'!E$14=0,0,MIN(X149,MAX(0,$E149-SUMPRODUCT($V149:$AG149,'Calc base'!$C$14:$N$14,('Calc base'!$H149:$S149&gt;'Calc base'!J149)+('Calc base'!$H149:$S149='Calc base'!J149)*('Calc base'!$C$17:$N$17&lt;'Calc base'!E$17)))))</f>
        <v>0</v>
      </c>
      <c r="AK149">
        <f>IF('Calc base'!F$14=0,0,MIN(Y149,MAX(0,$E149-SUMPRODUCT($V149:$AG149,'Calc base'!$C$14:$N$14,('Calc base'!$H149:$S149&gt;'Calc base'!K149)+('Calc base'!$H149:$S149='Calc base'!K149)*('Calc base'!$C$17:$N$17&lt;'Calc base'!F$17)))))</f>
        <v>0</v>
      </c>
      <c r="AL149">
        <f>IF('Calc base'!G$14=0,0,MIN(Z149,MAX(0,$E149-SUMPRODUCT($V149:$AG149,'Calc base'!$C$14:$N$14,('Calc base'!$H149:$S149&gt;'Calc base'!L149)+('Calc base'!$H149:$S149='Calc base'!L149)*('Calc base'!$C$17:$N$17&lt;'Calc base'!G$17)))))</f>
        <v>0</v>
      </c>
      <c r="AM149">
        <f>IF('Calc base'!H$14=0,0,MIN(AA149,MAX(0,$E149-SUMPRODUCT($V149:$AG149,'Calc base'!$C$14:$N$14,('Calc base'!$H149:$S149&gt;'Calc base'!M149)+('Calc base'!$H149:$S149='Calc base'!M149)*('Calc base'!$C$17:$N$17&lt;'Calc base'!H$17)))))</f>
        <v>0</v>
      </c>
      <c r="AN149">
        <f>IF('Calc base'!I$14=0,0,MIN(AB149,MAX(0,$E149-SUMPRODUCT($V149:$AG149,'Calc base'!$C$14:$N$14,('Calc base'!$H149:$S149&gt;'Calc base'!N149)+('Calc base'!$H149:$S149='Calc base'!N149)*('Calc base'!$C$17:$N$17&lt;'Calc base'!I$17)))))</f>
        <v>0</v>
      </c>
      <c r="AO149">
        <f>IF('Calc base'!J$14=0,0,MIN(AC149,MAX(0,$E149-SUMPRODUCT($V149:$AG149,'Calc base'!$C$14:$N$14,('Calc base'!$H149:$S149&gt;'Calc base'!O149)+('Calc base'!$H149:$S149='Calc base'!O149)*('Calc base'!$C$17:$N$17&lt;'Calc base'!J$17)))))</f>
        <v>0</v>
      </c>
      <c r="AP149">
        <f>IF('Calc base'!K$14=0,0,MIN(AD149,MAX(0,$E149-SUMPRODUCT($V149:$AG149,'Calc base'!$C$14:$N$14,('Calc base'!$H149:$S149&gt;'Calc base'!P149)+('Calc base'!$H149:$S149='Calc base'!P149)*('Calc base'!$C$17:$N$17&lt;'Calc base'!K$17)))))</f>
        <v>0</v>
      </c>
      <c r="AQ149">
        <f>IF('Calc base'!L$14=0,0,MIN(AE149,MAX(0,$E149-SUMPRODUCT($V149:$AG149,'Calc base'!$C$14:$N$14,('Calc base'!$H149:$S149&gt;'Calc base'!Q149)+('Calc base'!$H149:$S149='Calc base'!Q149)*('Calc base'!$C$17:$N$17&lt;'Calc base'!L$17)))))</f>
        <v>0</v>
      </c>
      <c r="AR149">
        <f>IF('Calc base'!M$14=0,0,MIN(AF149,MAX(0,$E149-SUMPRODUCT($V149:$AG149,'Calc base'!$C$14:$N$14,('Calc base'!$H149:$S149&gt;'Calc base'!R149)+('Calc base'!$H149:$S149='Calc base'!R149)*('Calc base'!$C$17:$N$17&lt;'Calc base'!M$17)))))</f>
        <v>0</v>
      </c>
      <c r="AS149">
        <f>IF('Calc base'!N$14=0,0,MIN(AG149,MAX(0,$E149-SUMPRODUCT($V149:$AG149,'Calc base'!$C$14:$N$14,('Calc base'!$H149:$S149&gt;'Calc base'!S149)+('Calc base'!$H149:$S149='Calc base'!S149)*('Calc base'!$C$17:$N$17&lt;'Calc base'!N$17)))))</f>
        <v>0</v>
      </c>
      <c r="AT149">
        <f>V149-AH149</f>
        <v>0</v>
      </c>
      <c r="AU149">
        <f>W149-AI149</f>
        <v>0</v>
      </c>
      <c r="AV149">
        <f>X149-AJ149</f>
        <v>0</v>
      </c>
      <c r="AW149">
        <f>Y149-AK149</f>
        <v>0</v>
      </c>
      <c r="AX149">
        <f>Z149-AL149</f>
        <v>0</v>
      </c>
      <c r="AY149">
        <f>AA149-AM149</f>
        <v>0</v>
      </c>
      <c r="AZ149">
        <f>AB149-AN149</f>
        <v>0</v>
      </c>
      <c r="BA149">
        <f>AC149-AO149</f>
        <v>0</v>
      </c>
      <c r="BB149">
        <f>AD149-AP149</f>
        <v>0</v>
      </c>
      <c r="BC149">
        <f>AE149-AQ149</f>
        <v>0</v>
      </c>
      <c r="BD149">
        <f>AF149-AR149</f>
        <v>0</v>
      </c>
      <c r="BE149">
        <f>AG149-AS149</f>
        <v>0</v>
      </c>
    </row>
    <row r="150">
      <c r="A150" t="n">
        <v>120</v>
      </c>
      <c r="B150">
        <f>SUMPRODUCT(ROUND($AT149:$BE149*(1+'Calc base'!$H150:$S150),2))</f>
        <v>0</v>
      </c>
      <c r="C150">
        <f>SUM(J150:U150)</f>
        <v>0</v>
      </c>
      <c r="D150">
        <f>SUM(V150:AG150)</f>
        <v>0</v>
      </c>
      <c r="E150">
        <f>MAX(0,IF(Impostazioni!$B$7="No",'Calc base'!$C150-$C$31,'Calc base'!$C150-C150)+'Calc base'!$G150+'Calc base'!$F150-(B150-C150-D150))</f>
        <v>900</v>
      </c>
      <c r="F150">
        <f>SUM(AH150:AS150)</f>
        <v>0</v>
      </c>
      <c r="G150">
        <f>SUM(AT150:BE150)</f>
        <v>0</v>
      </c>
      <c r="H150">
        <f>B150-G149</f>
        <v>0</v>
      </c>
      <c r="I150">
        <f>B150-G150</f>
        <v>0</v>
      </c>
      <c r="J150">
        <f>IF(AT149&lt;=0,0,IF(ROUND(AT149*(1+'Calc base'!H150),2)-MAX('Calc base'!C$12,ROUND('Calc base'!C$13*AT149,2))&lt;1,ROUND(AT149*(1+'Calc base'!H150),2),MAX('Calc base'!C$12,ROUND('Calc base'!C$13*AT149,2))))</f>
        <v>0</v>
      </c>
      <c r="K150">
        <f>IF(AU149&lt;=0,0,IF(ROUND(AU149*(1+'Calc base'!I150),2)-MAX('Calc base'!D$12,ROUND('Calc base'!D$13*AU149,2))&lt;1,ROUND(AU149*(1+'Calc base'!I150),2),MAX('Calc base'!D$12,ROUND('Calc base'!D$13*AU149,2))))</f>
        <v>0</v>
      </c>
      <c r="L150">
        <f>IF(AV149&lt;=0,0,IF(ROUND(AV149*(1+'Calc base'!J150),2)-MAX('Calc base'!E$12,ROUND('Calc base'!E$13*AV149,2))&lt;1,ROUND(AV149*(1+'Calc base'!J150),2),MAX('Calc base'!E$12,ROUND('Calc base'!E$13*AV149,2))))</f>
        <v>0</v>
      </c>
      <c r="M150">
        <f>IF(AW149&lt;=0,0,IF(ROUND(AW149*(1+'Calc base'!K150),2)-MAX('Calc base'!F$12,ROUND('Calc base'!F$13*AW149,2))&lt;1,ROUND(AW149*(1+'Calc base'!K150),2),MAX('Calc base'!F$12,ROUND('Calc base'!F$13*AW149,2))))</f>
        <v>0</v>
      </c>
      <c r="N150">
        <f>IF(AX149&lt;=0,0,IF(ROUND(AX149*(1+'Calc base'!L150),2)-MAX('Calc base'!G$12,ROUND('Calc base'!G$13*AX149,2))&lt;1,ROUND(AX149*(1+'Calc base'!L150),2),MAX('Calc base'!G$12,ROUND('Calc base'!G$13*AX149,2))))</f>
        <v>0</v>
      </c>
      <c r="O150">
        <f>IF(AY149&lt;=0,0,IF(ROUND(AY149*(1+'Calc base'!M150),2)-MAX('Calc base'!H$12,ROUND('Calc base'!H$13*AY149,2))&lt;1,ROUND(AY149*(1+'Calc base'!M150),2),MAX('Calc base'!H$12,ROUND('Calc base'!H$13*AY149,2))))</f>
        <v>0</v>
      </c>
      <c r="P150">
        <f>IF(AZ149&lt;=0,0,IF(ROUND(AZ149*(1+'Calc base'!N150),2)-MAX('Calc base'!I$12,ROUND('Calc base'!I$13*AZ149,2))&lt;1,ROUND(AZ149*(1+'Calc base'!N150),2),MAX('Calc base'!I$12,ROUND('Calc base'!I$13*AZ149,2))))</f>
        <v>0</v>
      </c>
      <c r="Q150">
        <f>IF(BA149&lt;=0,0,IF(ROUND(BA149*(1+'Calc base'!O150),2)-MAX('Calc base'!J$12,ROUND('Calc base'!J$13*BA149,2))&lt;1,ROUND(BA149*(1+'Calc base'!O150),2),MAX('Calc base'!J$12,ROUND('Calc base'!J$13*BA149,2))))</f>
        <v>0</v>
      </c>
      <c r="R150">
        <f>IF(BB149&lt;=0,0,IF(ROUND(BB149*(1+'Calc base'!P150),2)-MAX('Calc base'!K$12,ROUND('Calc base'!K$13*BB149,2))&lt;1,ROUND(BB149*(1+'Calc base'!P150),2),MAX('Calc base'!K$12,ROUND('Calc base'!K$13*BB149,2))))</f>
        <v>0</v>
      </c>
      <c r="S150">
        <f>IF(BC149&lt;=0,0,IF(ROUND(BC149*(1+'Calc base'!Q150),2)-MAX('Calc base'!L$12,ROUND('Calc base'!L$13*BC149,2))&lt;1,ROUND(BC149*(1+'Calc base'!Q150),2),MAX('Calc base'!L$12,ROUND('Calc base'!L$13*BC149,2))))</f>
        <v>0</v>
      </c>
      <c r="T150">
        <f>IF(BD149&lt;=0,0,IF(ROUND(BD149*(1+'Calc base'!R150),2)-MAX('Calc base'!M$12,ROUND('Calc base'!M$13*BD149,2))&lt;1,ROUND(BD149*(1+'Calc base'!R150),2),MAX('Calc base'!M$12,ROUND('Calc base'!M$13*BD149,2))))</f>
        <v>0</v>
      </c>
      <c r="U150">
        <f>IF(BE149&lt;=0,0,IF(ROUND(BE149*(1+'Calc base'!S150),2)-MAX('Calc base'!N$12,ROUND('Calc base'!N$13*BE149,2))&lt;1,ROUND(BE149*(1+'Calc base'!S150),2),MAX('Calc base'!N$12,ROUND('Calc base'!N$13*BE149,2))))</f>
        <v>0</v>
      </c>
      <c r="V150">
        <f>MAX(0,ROUND(AT149*(1+'Calc base'!H150),2)-J150-'Calc base'!T150)</f>
        <v>0</v>
      </c>
      <c r="W150">
        <f>MAX(0,ROUND(AU149*(1+'Calc base'!I150),2)-K150-'Calc base'!U150)</f>
        <v>0</v>
      </c>
      <c r="X150">
        <f>MAX(0,ROUND(AV149*(1+'Calc base'!J150),2)-L150-'Calc base'!V150)</f>
        <v>0</v>
      </c>
      <c r="Y150">
        <f>MAX(0,ROUND(AW149*(1+'Calc base'!K150),2)-M150-'Calc base'!W150)</f>
        <v>0</v>
      </c>
      <c r="Z150">
        <f>MAX(0,ROUND(AX149*(1+'Calc base'!L150),2)-N150-'Calc base'!X150)</f>
        <v>0</v>
      </c>
      <c r="AA150">
        <f>MAX(0,ROUND(AY149*(1+'Calc base'!M150),2)-O150-'Calc base'!Y150)</f>
        <v>0</v>
      </c>
      <c r="AB150">
        <f>MAX(0,ROUND(AZ149*(1+'Calc base'!N150),2)-P150-'Calc base'!Z150)</f>
        <v>0</v>
      </c>
      <c r="AC150">
        <f>MAX(0,ROUND(BA149*(1+'Calc base'!O150),2)-Q150-'Calc base'!AA150)</f>
        <v>0</v>
      </c>
      <c r="AD150">
        <f>MAX(0,ROUND(BB149*(1+'Calc base'!P150),2)-R150-'Calc base'!AB150)</f>
        <v>0</v>
      </c>
      <c r="AE150">
        <f>MAX(0,ROUND(BC149*(1+'Calc base'!Q150),2)-S150-'Calc base'!AC150)</f>
        <v>0</v>
      </c>
      <c r="AF150">
        <f>MAX(0,ROUND(BD149*(1+'Calc base'!R150),2)-T150-'Calc base'!AD150)</f>
        <v>0</v>
      </c>
      <c r="AG150">
        <f>MAX(0,ROUND(BE149*(1+'Calc base'!S150),2)-U150-'Calc base'!AE150)</f>
        <v>0</v>
      </c>
      <c r="AH150">
        <f>IF('Calc base'!C$14=0,0,MIN(V150,MAX(0,$E150-SUMPRODUCT($V150:$AG150,'Calc base'!$C$14:$N$14,('Calc base'!$H150:$S150&gt;'Calc base'!H150)+('Calc base'!$H150:$S150='Calc base'!H150)*('Calc base'!$C$17:$N$17&lt;'Calc base'!C$17)))))</f>
        <v>0</v>
      </c>
      <c r="AI150">
        <f>IF('Calc base'!D$14=0,0,MIN(W150,MAX(0,$E150-SUMPRODUCT($V150:$AG150,'Calc base'!$C$14:$N$14,('Calc base'!$H150:$S150&gt;'Calc base'!I150)+('Calc base'!$H150:$S150='Calc base'!I150)*('Calc base'!$C$17:$N$17&lt;'Calc base'!D$17)))))</f>
        <v>0</v>
      </c>
      <c r="AJ150">
        <f>IF('Calc base'!E$14=0,0,MIN(X150,MAX(0,$E150-SUMPRODUCT($V150:$AG150,'Calc base'!$C$14:$N$14,('Calc base'!$H150:$S150&gt;'Calc base'!J150)+('Calc base'!$H150:$S150='Calc base'!J150)*('Calc base'!$C$17:$N$17&lt;'Calc base'!E$17)))))</f>
        <v>0</v>
      </c>
      <c r="AK150">
        <f>IF('Calc base'!F$14=0,0,MIN(Y150,MAX(0,$E150-SUMPRODUCT($V150:$AG150,'Calc base'!$C$14:$N$14,('Calc base'!$H150:$S150&gt;'Calc base'!K150)+('Calc base'!$H150:$S150='Calc base'!K150)*('Calc base'!$C$17:$N$17&lt;'Calc base'!F$17)))))</f>
        <v>0</v>
      </c>
      <c r="AL150">
        <f>IF('Calc base'!G$14=0,0,MIN(Z150,MAX(0,$E150-SUMPRODUCT($V150:$AG150,'Calc base'!$C$14:$N$14,('Calc base'!$H150:$S150&gt;'Calc base'!L150)+('Calc base'!$H150:$S150='Calc base'!L150)*('Calc base'!$C$17:$N$17&lt;'Calc base'!G$17)))))</f>
        <v>0</v>
      </c>
      <c r="AM150">
        <f>IF('Calc base'!H$14=0,0,MIN(AA150,MAX(0,$E150-SUMPRODUCT($V150:$AG150,'Calc base'!$C$14:$N$14,('Calc base'!$H150:$S150&gt;'Calc base'!M150)+('Calc base'!$H150:$S150='Calc base'!M150)*('Calc base'!$C$17:$N$17&lt;'Calc base'!H$17)))))</f>
        <v>0</v>
      </c>
      <c r="AN150">
        <f>IF('Calc base'!I$14=0,0,MIN(AB150,MAX(0,$E150-SUMPRODUCT($V150:$AG150,'Calc base'!$C$14:$N$14,('Calc base'!$H150:$S150&gt;'Calc base'!N150)+('Calc base'!$H150:$S150='Calc base'!N150)*('Calc base'!$C$17:$N$17&lt;'Calc base'!I$17)))))</f>
        <v>0</v>
      </c>
      <c r="AO150">
        <f>IF('Calc base'!J$14=0,0,MIN(AC150,MAX(0,$E150-SUMPRODUCT($V150:$AG150,'Calc base'!$C$14:$N$14,('Calc base'!$H150:$S150&gt;'Calc base'!O150)+('Calc base'!$H150:$S150='Calc base'!O150)*('Calc base'!$C$17:$N$17&lt;'Calc base'!J$17)))))</f>
        <v>0</v>
      </c>
      <c r="AP150">
        <f>IF('Calc base'!K$14=0,0,MIN(AD150,MAX(0,$E150-SUMPRODUCT($V150:$AG150,'Calc base'!$C$14:$N$14,('Calc base'!$H150:$S150&gt;'Calc base'!P150)+('Calc base'!$H150:$S150='Calc base'!P150)*('Calc base'!$C$17:$N$17&lt;'Calc base'!K$17)))))</f>
        <v>0</v>
      </c>
      <c r="AQ150">
        <f>IF('Calc base'!L$14=0,0,MIN(AE150,MAX(0,$E150-SUMPRODUCT($V150:$AG150,'Calc base'!$C$14:$N$14,('Calc base'!$H150:$S150&gt;'Calc base'!Q150)+('Calc base'!$H150:$S150='Calc base'!Q150)*('Calc base'!$C$17:$N$17&lt;'Calc base'!L$17)))))</f>
        <v>0</v>
      </c>
      <c r="AR150">
        <f>IF('Calc base'!M$14=0,0,MIN(AF150,MAX(0,$E150-SUMPRODUCT($V150:$AG150,'Calc base'!$C$14:$N$14,('Calc base'!$H150:$S150&gt;'Calc base'!R150)+('Calc base'!$H150:$S150='Calc base'!R150)*('Calc base'!$C$17:$N$17&lt;'Calc base'!M$17)))))</f>
        <v>0</v>
      </c>
      <c r="AS150">
        <f>IF('Calc base'!N$14=0,0,MIN(AG150,MAX(0,$E150-SUMPRODUCT($V150:$AG150,'Calc base'!$C$14:$N$14,('Calc base'!$H150:$S150&gt;'Calc base'!S150)+('Calc base'!$H150:$S150='Calc base'!S150)*('Calc base'!$C$17:$N$17&lt;'Calc base'!N$17)))))</f>
        <v>0</v>
      </c>
      <c r="AT150">
        <f>V150-AH150</f>
        <v>0</v>
      </c>
      <c r="AU150">
        <f>W150-AI150</f>
        <v>0</v>
      </c>
      <c r="AV150">
        <f>X150-AJ150</f>
        <v>0</v>
      </c>
      <c r="AW150">
        <f>Y150-AK150</f>
        <v>0</v>
      </c>
      <c r="AX150">
        <f>Z150-AL150</f>
        <v>0</v>
      </c>
      <c r="AY150">
        <f>AA150-AM150</f>
        <v>0</v>
      </c>
      <c r="AZ150">
        <f>AB150-AN150</f>
        <v>0</v>
      </c>
      <c r="BA150">
        <f>AC150-AO150</f>
        <v>0</v>
      </c>
      <c r="BB150">
        <f>AD150-AP150</f>
        <v>0</v>
      </c>
      <c r="BC150">
        <f>AE150-AQ150</f>
        <v>0</v>
      </c>
      <c r="BD150">
        <f>AF150-AR150</f>
        <v>0</v>
      </c>
      <c r="BE150">
        <f>AG150-AS150</f>
        <v>0</v>
      </c>
    </row>
    <row r="151">
      <c r="A151" t="n">
        <v>121</v>
      </c>
      <c r="B151">
        <f>SUMPRODUCT(ROUND($AT150:$BE150*(1+'Calc base'!$H151:$S151),2))</f>
        <v>0</v>
      </c>
      <c r="C151">
        <f>SUM(J151:U151)</f>
        <v>0</v>
      </c>
      <c r="D151">
        <f>SUM(V151:AG151)</f>
        <v>0</v>
      </c>
      <c r="E151">
        <f>MAX(0,IF(Impostazioni!$B$7="No",'Calc base'!$C151-$C$31,'Calc base'!$C151-C151)+'Calc base'!$G151+'Calc base'!$F151-(B151-C151-D151))</f>
        <v>900</v>
      </c>
      <c r="F151">
        <f>SUM(AH151:AS151)</f>
        <v>0</v>
      </c>
      <c r="G151">
        <f>SUM(AT151:BE151)</f>
        <v>0</v>
      </c>
      <c r="H151">
        <f>B151-G150</f>
        <v>0</v>
      </c>
      <c r="I151">
        <f>B151-G151</f>
        <v>0</v>
      </c>
      <c r="J151">
        <f>IF(AT150&lt;=0,0,IF(ROUND(AT150*(1+'Calc base'!H151),2)-MAX('Calc base'!C$12,ROUND('Calc base'!C$13*AT150,2))&lt;1,ROUND(AT150*(1+'Calc base'!H151),2),MAX('Calc base'!C$12,ROUND('Calc base'!C$13*AT150,2))))</f>
        <v>0</v>
      </c>
      <c r="K151">
        <f>IF(AU150&lt;=0,0,IF(ROUND(AU150*(1+'Calc base'!I151),2)-MAX('Calc base'!D$12,ROUND('Calc base'!D$13*AU150,2))&lt;1,ROUND(AU150*(1+'Calc base'!I151),2),MAX('Calc base'!D$12,ROUND('Calc base'!D$13*AU150,2))))</f>
        <v>0</v>
      </c>
      <c r="L151">
        <f>IF(AV150&lt;=0,0,IF(ROUND(AV150*(1+'Calc base'!J151),2)-MAX('Calc base'!E$12,ROUND('Calc base'!E$13*AV150,2))&lt;1,ROUND(AV150*(1+'Calc base'!J151),2),MAX('Calc base'!E$12,ROUND('Calc base'!E$13*AV150,2))))</f>
        <v>0</v>
      </c>
      <c r="M151">
        <f>IF(AW150&lt;=0,0,IF(ROUND(AW150*(1+'Calc base'!K151),2)-MAX('Calc base'!F$12,ROUND('Calc base'!F$13*AW150,2))&lt;1,ROUND(AW150*(1+'Calc base'!K151),2),MAX('Calc base'!F$12,ROUND('Calc base'!F$13*AW150,2))))</f>
        <v>0</v>
      </c>
      <c r="N151">
        <f>IF(AX150&lt;=0,0,IF(ROUND(AX150*(1+'Calc base'!L151),2)-MAX('Calc base'!G$12,ROUND('Calc base'!G$13*AX150,2))&lt;1,ROUND(AX150*(1+'Calc base'!L151),2),MAX('Calc base'!G$12,ROUND('Calc base'!G$13*AX150,2))))</f>
        <v>0</v>
      </c>
      <c r="O151">
        <f>IF(AY150&lt;=0,0,IF(ROUND(AY150*(1+'Calc base'!M151),2)-MAX('Calc base'!H$12,ROUND('Calc base'!H$13*AY150,2))&lt;1,ROUND(AY150*(1+'Calc base'!M151),2),MAX('Calc base'!H$12,ROUND('Calc base'!H$13*AY150,2))))</f>
        <v>0</v>
      </c>
      <c r="P151">
        <f>IF(AZ150&lt;=0,0,IF(ROUND(AZ150*(1+'Calc base'!N151),2)-MAX('Calc base'!I$12,ROUND('Calc base'!I$13*AZ150,2))&lt;1,ROUND(AZ150*(1+'Calc base'!N151),2),MAX('Calc base'!I$12,ROUND('Calc base'!I$13*AZ150,2))))</f>
        <v>0</v>
      </c>
      <c r="Q151">
        <f>IF(BA150&lt;=0,0,IF(ROUND(BA150*(1+'Calc base'!O151),2)-MAX('Calc base'!J$12,ROUND('Calc base'!J$13*BA150,2))&lt;1,ROUND(BA150*(1+'Calc base'!O151),2),MAX('Calc base'!J$12,ROUND('Calc base'!J$13*BA150,2))))</f>
        <v>0</v>
      </c>
      <c r="R151">
        <f>IF(BB150&lt;=0,0,IF(ROUND(BB150*(1+'Calc base'!P151),2)-MAX('Calc base'!K$12,ROUND('Calc base'!K$13*BB150,2))&lt;1,ROUND(BB150*(1+'Calc base'!P151),2),MAX('Calc base'!K$12,ROUND('Calc base'!K$13*BB150,2))))</f>
        <v>0</v>
      </c>
      <c r="S151">
        <f>IF(BC150&lt;=0,0,IF(ROUND(BC150*(1+'Calc base'!Q151),2)-MAX('Calc base'!L$12,ROUND('Calc base'!L$13*BC150,2))&lt;1,ROUND(BC150*(1+'Calc base'!Q151),2),MAX('Calc base'!L$12,ROUND('Calc base'!L$13*BC150,2))))</f>
        <v>0</v>
      </c>
      <c r="T151">
        <f>IF(BD150&lt;=0,0,IF(ROUND(BD150*(1+'Calc base'!R151),2)-MAX('Calc base'!M$12,ROUND('Calc base'!M$13*BD150,2))&lt;1,ROUND(BD150*(1+'Calc base'!R151),2),MAX('Calc base'!M$12,ROUND('Calc base'!M$13*BD150,2))))</f>
        <v>0</v>
      </c>
      <c r="U151">
        <f>IF(BE150&lt;=0,0,IF(ROUND(BE150*(1+'Calc base'!S151),2)-MAX('Calc base'!N$12,ROUND('Calc base'!N$13*BE150,2))&lt;1,ROUND(BE150*(1+'Calc base'!S151),2),MAX('Calc base'!N$12,ROUND('Calc base'!N$13*BE150,2))))</f>
        <v>0</v>
      </c>
      <c r="V151">
        <f>MAX(0,ROUND(AT150*(1+'Calc base'!H151),2)-J151-'Calc base'!T151)</f>
        <v>0</v>
      </c>
      <c r="W151">
        <f>MAX(0,ROUND(AU150*(1+'Calc base'!I151),2)-K151-'Calc base'!U151)</f>
        <v>0</v>
      </c>
      <c r="X151">
        <f>MAX(0,ROUND(AV150*(1+'Calc base'!J151),2)-L151-'Calc base'!V151)</f>
        <v>0</v>
      </c>
      <c r="Y151">
        <f>MAX(0,ROUND(AW150*(1+'Calc base'!K151),2)-M151-'Calc base'!W151)</f>
        <v>0</v>
      </c>
      <c r="Z151">
        <f>MAX(0,ROUND(AX150*(1+'Calc base'!L151),2)-N151-'Calc base'!X151)</f>
        <v>0</v>
      </c>
      <c r="AA151">
        <f>MAX(0,ROUND(AY150*(1+'Calc base'!M151),2)-O151-'Calc base'!Y151)</f>
        <v>0</v>
      </c>
      <c r="AB151">
        <f>MAX(0,ROUND(AZ150*(1+'Calc base'!N151),2)-P151-'Calc base'!Z151)</f>
        <v>0</v>
      </c>
      <c r="AC151">
        <f>MAX(0,ROUND(BA150*(1+'Calc base'!O151),2)-Q151-'Calc base'!AA151)</f>
        <v>0</v>
      </c>
      <c r="AD151">
        <f>MAX(0,ROUND(BB150*(1+'Calc base'!P151),2)-R151-'Calc base'!AB151)</f>
        <v>0</v>
      </c>
      <c r="AE151">
        <f>MAX(0,ROUND(BC150*(1+'Calc base'!Q151),2)-S151-'Calc base'!AC151)</f>
        <v>0</v>
      </c>
      <c r="AF151">
        <f>MAX(0,ROUND(BD150*(1+'Calc base'!R151),2)-T151-'Calc base'!AD151)</f>
        <v>0</v>
      </c>
      <c r="AG151">
        <f>MAX(0,ROUND(BE150*(1+'Calc base'!S151),2)-U151-'Calc base'!AE151)</f>
        <v>0</v>
      </c>
      <c r="AH151">
        <f>IF('Calc base'!C$14=0,0,MIN(V151,MAX(0,$E151-SUMPRODUCT($V151:$AG151,'Calc base'!$C$14:$N$14,('Calc base'!$H151:$S151&gt;'Calc base'!H151)+('Calc base'!$H151:$S151='Calc base'!H151)*('Calc base'!$C$17:$N$17&lt;'Calc base'!C$17)))))</f>
        <v>0</v>
      </c>
      <c r="AI151">
        <f>IF('Calc base'!D$14=0,0,MIN(W151,MAX(0,$E151-SUMPRODUCT($V151:$AG151,'Calc base'!$C$14:$N$14,('Calc base'!$H151:$S151&gt;'Calc base'!I151)+('Calc base'!$H151:$S151='Calc base'!I151)*('Calc base'!$C$17:$N$17&lt;'Calc base'!D$17)))))</f>
        <v>0</v>
      </c>
      <c r="AJ151">
        <f>IF('Calc base'!E$14=0,0,MIN(X151,MAX(0,$E151-SUMPRODUCT($V151:$AG151,'Calc base'!$C$14:$N$14,('Calc base'!$H151:$S151&gt;'Calc base'!J151)+('Calc base'!$H151:$S151='Calc base'!J151)*('Calc base'!$C$17:$N$17&lt;'Calc base'!E$17)))))</f>
        <v>0</v>
      </c>
      <c r="AK151">
        <f>IF('Calc base'!F$14=0,0,MIN(Y151,MAX(0,$E151-SUMPRODUCT($V151:$AG151,'Calc base'!$C$14:$N$14,('Calc base'!$H151:$S151&gt;'Calc base'!K151)+('Calc base'!$H151:$S151='Calc base'!K151)*('Calc base'!$C$17:$N$17&lt;'Calc base'!F$17)))))</f>
        <v>0</v>
      </c>
      <c r="AL151">
        <f>IF('Calc base'!G$14=0,0,MIN(Z151,MAX(0,$E151-SUMPRODUCT($V151:$AG151,'Calc base'!$C$14:$N$14,('Calc base'!$H151:$S151&gt;'Calc base'!L151)+('Calc base'!$H151:$S151='Calc base'!L151)*('Calc base'!$C$17:$N$17&lt;'Calc base'!G$17)))))</f>
        <v>0</v>
      </c>
      <c r="AM151">
        <f>IF('Calc base'!H$14=0,0,MIN(AA151,MAX(0,$E151-SUMPRODUCT($V151:$AG151,'Calc base'!$C$14:$N$14,('Calc base'!$H151:$S151&gt;'Calc base'!M151)+('Calc base'!$H151:$S151='Calc base'!M151)*('Calc base'!$C$17:$N$17&lt;'Calc base'!H$17)))))</f>
        <v>0</v>
      </c>
      <c r="AN151">
        <f>IF('Calc base'!I$14=0,0,MIN(AB151,MAX(0,$E151-SUMPRODUCT($V151:$AG151,'Calc base'!$C$14:$N$14,('Calc base'!$H151:$S151&gt;'Calc base'!N151)+('Calc base'!$H151:$S151='Calc base'!N151)*('Calc base'!$C$17:$N$17&lt;'Calc base'!I$17)))))</f>
        <v>0</v>
      </c>
      <c r="AO151">
        <f>IF('Calc base'!J$14=0,0,MIN(AC151,MAX(0,$E151-SUMPRODUCT($V151:$AG151,'Calc base'!$C$14:$N$14,('Calc base'!$H151:$S151&gt;'Calc base'!O151)+('Calc base'!$H151:$S151='Calc base'!O151)*('Calc base'!$C$17:$N$17&lt;'Calc base'!J$17)))))</f>
        <v>0</v>
      </c>
      <c r="AP151">
        <f>IF('Calc base'!K$14=0,0,MIN(AD151,MAX(0,$E151-SUMPRODUCT($V151:$AG151,'Calc base'!$C$14:$N$14,('Calc base'!$H151:$S151&gt;'Calc base'!P151)+('Calc base'!$H151:$S151='Calc base'!P151)*('Calc base'!$C$17:$N$17&lt;'Calc base'!K$17)))))</f>
        <v>0</v>
      </c>
      <c r="AQ151">
        <f>IF('Calc base'!L$14=0,0,MIN(AE151,MAX(0,$E151-SUMPRODUCT($V151:$AG151,'Calc base'!$C$14:$N$14,('Calc base'!$H151:$S151&gt;'Calc base'!Q151)+('Calc base'!$H151:$S151='Calc base'!Q151)*('Calc base'!$C$17:$N$17&lt;'Calc base'!L$17)))))</f>
        <v>0</v>
      </c>
      <c r="AR151">
        <f>IF('Calc base'!M$14=0,0,MIN(AF151,MAX(0,$E151-SUMPRODUCT($V151:$AG151,'Calc base'!$C$14:$N$14,('Calc base'!$H151:$S151&gt;'Calc base'!R151)+('Calc base'!$H151:$S151='Calc base'!R151)*('Calc base'!$C$17:$N$17&lt;'Calc base'!M$17)))))</f>
        <v>0</v>
      </c>
      <c r="AS151">
        <f>IF('Calc base'!N$14=0,0,MIN(AG151,MAX(0,$E151-SUMPRODUCT($V151:$AG151,'Calc base'!$C$14:$N$14,('Calc base'!$H151:$S151&gt;'Calc base'!S151)+('Calc base'!$H151:$S151='Calc base'!S151)*('Calc base'!$C$17:$N$17&lt;'Calc base'!N$17)))))</f>
        <v>0</v>
      </c>
      <c r="AT151">
        <f>V151-AH151</f>
        <v>0</v>
      </c>
      <c r="AU151">
        <f>W151-AI151</f>
        <v>0</v>
      </c>
      <c r="AV151">
        <f>X151-AJ151</f>
        <v>0</v>
      </c>
      <c r="AW151">
        <f>Y151-AK151</f>
        <v>0</v>
      </c>
      <c r="AX151">
        <f>Z151-AL151</f>
        <v>0</v>
      </c>
      <c r="AY151">
        <f>AA151-AM151</f>
        <v>0</v>
      </c>
      <c r="AZ151">
        <f>AB151-AN151</f>
        <v>0</v>
      </c>
      <c r="BA151">
        <f>AC151-AO151</f>
        <v>0</v>
      </c>
      <c r="BB151">
        <f>AD151-AP151</f>
        <v>0</v>
      </c>
      <c r="BC151">
        <f>AE151-AQ151</f>
        <v>0</v>
      </c>
      <c r="BD151">
        <f>AF151-AR151</f>
        <v>0</v>
      </c>
      <c r="BE151">
        <f>AG151-AS151</f>
        <v>0</v>
      </c>
    </row>
    <row r="152">
      <c r="A152" t="n">
        <v>122</v>
      </c>
      <c r="B152">
        <f>SUMPRODUCT(ROUND($AT151:$BE151*(1+'Calc base'!$H152:$S152),2))</f>
        <v>0</v>
      </c>
      <c r="C152">
        <f>SUM(J152:U152)</f>
        <v>0</v>
      </c>
      <c r="D152">
        <f>SUM(V152:AG152)</f>
        <v>0</v>
      </c>
      <c r="E152">
        <f>MAX(0,IF(Impostazioni!$B$7="No",'Calc base'!$C152-$C$31,'Calc base'!$C152-C152)+'Calc base'!$G152+'Calc base'!$F152-(B152-C152-D152))</f>
        <v>900</v>
      </c>
      <c r="F152">
        <f>SUM(AH152:AS152)</f>
        <v>0</v>
      </c>
      <c r="G152">
        <f>SUM(AT152:BE152)</f>
        <v>0</v>
      </c>
      <c r="H152">
        <f>B152-G151</f>
        <v>0</v>
      </c>
      <c r="I152">
        <f>B152-G152</f>
        <v>0</v>
      </c>
      <c r="J152">
        <f>IF(AT151&lt;=0,0,IF(ROUND(AT151*(1+'Calc base'!H152),2)-MAX('Calc base'!C$12,ROUND('Calc base'!C$13*AT151,2))&lt;1,ROUND(AT151*(1+'Calc base'!H152),2),MAX('Calc base'!C$12,ROUND('Calc base'!C$13*AT151,2))))</f>
        <v>0</v>
      </c>
      <c r="K152">
        <f>IF(AU151&lt;=0,0,IF(ROUND(AU151*(1+'Calc base'!I152),2)-MAX('Calc base'!D$12,ROUND('Calc base'!D$13*AU151,2))&lt;1,ROUND(AU151*(1+'Calc base'!I152),2),MAX('Calc base'!D$12,ROUND('Calc base'!D$13*AU151,2))))</f>
        <v>0</v>
      </c>
      <c r="L152">
        <f>IF(AV151&lt;=0,0,IF(ROUND(AV151*(1+'Calc base'!J152),2)-MAX('Calc base'!E$12,ROUND('Calc base'!E$13*AV151,2))&lt;1,ROUND(AV151*(1+'Calc base'!J152),2),MAX('Calc base'!E$12,ROUND('Calc base'!E$13*AV151,2))))</f>
        <v>0</v>
      </c>
      <c r="M152">
        <f>IF(AW151&lt;=0,0,IF(ROUND(AW151*(1+'Calc base'!K152),2)-MAX('Calc base'!F$12,ROUND('Calc base'!F$13*AW151,2))&lt;1,ROUND(AW151*(1+'Calc base'!K152),2),MAX('Calc base'!F$12,ROUND('Calc base'!F$13*AW151,2))))</f>
        <v>0</v>
      </c>
      <c r="N152">
        <f>IF(AX151&lt;=0,0,IF(ROUND(AX151*(1+'Calc base'!L152),2)-MAX('Calc base'!G$12,ROUND('Calc base'!G$13*AX151,2))&lt;1,ROUND(AX151*(1+'Calc base'!L152),2),MAX('Calc base'!G$12,ROUND('Calc base'!G$13*AX151,2))))</f>
        <v>0</v>
      </c>
      <c r="O152">
        <f>IF(AY151&lt;=0,0,IF(ROUND(AY151*(1+'Calc base'!M152),2)-MAX('Calc base'!H$12,ROUND('Calc base'!H$13*AY151,2))&lt;1,ROUND(AY151*(1+'Calc base'!M152),2),MAX('Calc base'!H$12,ROUND('Calc base'!H$13*AY151,2))))</f>
        <v>0</v>
      </c>
      <c r="P152">
        <f>IF(AZ151&lt;=0,0,IF(ROUND(AZ151*(1+'Calc base'!N152),2)-MAX('Calc base'!I$12,ROUND('Calc base'!I$13*AZ151,2))&lt;1,ROUND(AZ151*(1+'Calc base'!N152),2),MAX('Calc base'!I$12,ROUND('Calc base'!I$13*AZ151,2))))</f>
        <v>0</v>
      </c>
      <c r="Q152">
        <f>IF(BA151&lt;=0,0,IF(ROUND(BA151*(1+'Calc base'!O152),2)-MAX('Calc base'!J$12,ROUND('Calc base'!J$13*BA151,2))&lt;1,ROUND(BA151*(1+'Calc base'!O152),2),MAX('Calc base'!J$12,ROUND('Calc base'!J$13*BA151,2))))</f>
        <v>0</v>
      </c>
      <c r="R152">
        <f>IF(BB151&lt;=0,0,IF(ROUND(BB151*(1+'Calc base'!P152),2)-MAX('Calc base'!K$12,ROUND('Calc base'!K$13*BB151,2))&lt;1,ROUND(BB151*(1+'Calc base'!P152),2),MAX('Calc base'!K$12,ROUND('Calc base'!K$13*BB151,2))))</f>
        <v>0</v>
      </c>
      <c r="S152">
        <f>IF(BC151&lt;=0,0,IF(ROUND(BC151*(1+'Calc base'!Q152),2)-MAX('Calc base'!L$12,ROUND('Calc base'!L$13*BC151,2))&lt;1,ROUND(BC151*(1+'Calc base'!Q152),2),MAX('Calc base'!L$12,ROUND('Calc base'!L$13*BC151,2))))</f>
        <v>0</v>
      </c>
      <c r="T152">
        <f>IF(BD151&lt;=0,0,IF(ROUND(BD151*(1+'Calc base'!R152),2)-MAX('Calc base'!M$12,ROUND('Calc base'!M$13*BD151,2))&lt;1,ROUND(BD151*(1+'Calc base'!R152),2),MAX('Calc base'!M$12,ROUND('Calc base'!M$13*BD151,2))))</f>
        <v>0</v>
      </c>
      <c r="U152">
        <f>IF(BE151&lt;=0,0,IF(ROUND(BE151*(1+'Calc base'!S152),2)-MAX('Calc base'!N$12,ROUND('Calc base'!N$13*BE151,2))&lt;1,ROUND(BE151*(1+'Calc base'!S152),2),MAX('Calc base'!N$12,ROUND('Calc base'!N$13*BE151,2))))</f>
        <v>0</v>
      </c>
      <c r="V152">
        <f>MAX(0,ROUND(AT151*(1+'Calc base'!H152),2)-J152-'Calc base'!T152)</f>
        <v>0</v>
      </c>
      <c r="W152">
        <f>MAX(0,ROUND(AU151*(1+'Calc base'!I152),2)-K152-'Calc base'!U152)</f>
        <v>0</v>
      </c>
      <c r="X152">
        <f>MAX(0,ROUND(AV151*(1+'Calc base'!J152),2)-L152-'Calc base'!V152)</f>
        <v>0</v>
      </c>
      <c r="Y152">
        <f>MAX(0,ROUND(AW151*(1+'Calc base'!K152),2)-M152-'Calc base'!W152)</f>
        <v>0</v>
      </c>
      <c r="Z152">
        <f>MAX(0,ROUND(AX151*(1+'Calc base'!L152),2)-N152-'Calc base'!X152)</f>
        <v>0</v>
      </c>
      <c r="AA152">
        <f>MAX(0,ROUND(AY151*(1+'Calc base'!M152),2)-O152-'Calc base'!Y152)</f>
        <v>0</v>
      </c>
      <c r="AB152">
        <f>MAX(0,ROUND(AZ151*(1+'Calc base'!N152),2)-P152-'Calc base'!Z152)</f>
        <v>0</v>
      </c>
      <c r="AC152">
        <f>MAX(0,ROUND(BA151*(1+'Calc base'!O152),2)-Q152-'Calc base'!AA152)</f>
        <v>0</v>
      </c>
      <c r="AD152">
        <f>MAX(0,ROUND(BB151*(1+'Calc base'!P152),2)-R152-'Calc base'!AB152)</f>
        <v>0</v>
      </c>
      <c r="AE152">
        <f>MAX(0,ROUND(BC151*(1+'Calc base'!Q152),2)-S152-'Calc base'!AC152)</f>
        <v>0</v>
      </c>
      <c r="AF152">
        <f>MAX(0,ROUND(BD151*(1+'Calc base'!R152),2)-T152-'Calc base'!AD152)</f>
        <v>0</v>
      </c>
      <c r="AG152">
        <f>MAX(0,ROUND(BE151*(1+'Calc base'!S152),2)-U152-'Calc base'!AE152)</f>
        <v>0</v>
      </c>
      <c r="AH152">
        <f>IF('Calc base'!C$14=0,0,MIN(V152,MAX(0,$E152-SUMPRODUCT($V152:$AG152,'Calc base'!$C$14:$N$14,('Calc base'!$H152:$S152&gt;'Calc base'!H152)+('Calc base'!$H152:$S152='Calc base'!H152)*('Calc base'!$C$17:$N$17&lt;'Calc base'!C$17)))))</f>
        <v>0</v>
      </c>
      <c r="AI152">
        <f>IF('Calc base'!D$14=0,0,MIN(W152,MAX(0,$E152-SUMPRODUCT($V152:$AG152,'Calc base'!$C$14:$N$14,('Calc base'!$H152:$S152&gt;'Calc base'!I152)+('Calc base'!$H152:$S152='Calc base'!I152)*('Calc base'!$C$17:$N$17&lt;'Calc base'!D$17)))))</f>
        <v>0</v>
      </c>
      <c r="AJ152">
        <f>IF('Calc base'!E$14=0,0,MIN(X152,MAX(0,$E152-SUMPRODUCT($V152:$AG152,'Calc base'!$C$14:$N$14,('Calc base'!$H152:$S152&gt;'Calc base'!J152)+('Calc base'!$H152:$S152='Calc base'!J152)*('Calc base'!$C$17:$N$17&lt;'Calc base'!E$17)))))</f>
        <v>0</v>
      </c>
      <c r="AK152">
        <f>IF('Calc base'!F$14=0,0,MIN(Y152,MAX(0,$E152-SUMPRODUCT($V152:$AG152,'Calc base'!$C$14:$N$14,('Calc base'!$H152:$S152&gt;'Calc base'!K152)+('Calc base'!$H152:$S152='Calc base'!K152)*('Calc base'!$C$17:$N$17&lt;'Calc base'!F$17)))))</f>
        <v>0</v>
      </c>
      <c r="AL152">
        <f>IF('Calc base'!G$14=0,0,MIN(Z152,MAX(0,$E152-SUMPRODUCT($V152:$AG152,'Calc base'!$C$14:$N$14,('Calc base'!$H152:$S152&gt;'Calc base'!L152)+('Calc base'!$H152:$S152='Calc base'!L152)*('Calc base'!$C$17:$N$17&lt;'Calc base'!G$17)))))</f>
        <v>0</v>
      </c>
      <c r="AM152">
        <f>IF('Calc base'!H$14=0,0,MIN(AA152,MAX(0,$E152-SUMPRODUCT($V152:$AG152,'Calc base'!$C$14:$N$14,('Calc base'!$H152:$S152&gt;'Calc base'!M152)+('Calc base'!$H152:$S152='Calc base'!M152)*('Calc base'!$C$17:$N$17&lt;'Calc base'!H$17)))))</f>
        <v>0</v>
      </c>
      <c r="AN152">
        <f>IF('Calc base'!I$14=0,0,MIN(AB152,MAX(0,$E152-SUMPRODUCT($V152:$AG152,'Calc base'!$C$14:$N$14,('Calc base'!$H152:$S152&gt;'Calc base'!N152)+('Calc base'!$H152:$S152='Calc base'!N152)*('Calc base'!$C$17:$N$17&lt;'Calc base'!I$17)))))</f>
        <v>0</v>
      </c>
      <c r="AO152">
        <f>IF('Calc base'!J$14=0,0,MIN(AC152,MAX(0,$E152-SUMPRODUCT($V152:$AG152,'Calc base'!$C$14:$N$14,('Calc base'!$H152:$S152&gt;'Calc base'!O152)+('Calc base'!$H152:$S152='Calc base'!O152)*('Calc base'!$C$17:$N$17&lt;'Calc base'!J$17)))))</f>
        <v>0</v>
      </c>
      <c r="AP152">
        <f>IF('Calc base'!K$14=0,0,MIN(AD152,MAX(0,$E152-SUMPRODUCT($V152:$AG152,'Calc base'!$C$14:$N$14,('Calc base'!$H152:$S152&gt;'Calc base'!P152)+('Calc base'!$H152:$S152='Calc base'!P152)*('Calc base'!$C$17:$N$17&lt;'Calc base'!K$17)))))</f>
        <v>0</v>
      </c>
      <c r="AQ152">
        <f>IF('Calc base'!L$14=0,0,MIN(AE152,MAX(0,$E152-SUMPRODUCT($V152:$AG152,'Calc base'!$C$14:$N$14,('Calc base'!$H152:$S152&gt;'Calc base'!Q152)+('Calc base'!$H152:$S152='Calc base'!Q152)*('Calc base'!$C$17:$N$17&lt;'Calc base'!L$17)))))</f>
        <v>0</v>
      </c>
      <c r="AR152">
        <f>IF('Calc base'!M$14=0,0,MIN(AF152,MAX(0,$E152-SUMPRODUCT($V152:$AG152,'Calc base'!$C$14:$N$14,('Calc base'!$H152:$S152&gt;'Calc base'!R152)+('Calc base'!$H152:$S152='Calc base'!R152)*('Calc base'!$C$17:$N$17&lt;'Calc base'!M$17)))))</f>
        <v>0</v>
      </c>
      <c r="AS152">
        <f>IF('Calc base'!N$14=0,0,MIN(AG152,MAX(0,$E152-SUMPRODUCT($V152:$AG152,'Calc base'!$C$14:$N$14,('Calc base'!$H152:$S152&gt;'Calc base'!S152)+('Calc base'!$H152:$S152='Calc base'!S152)*('Calc base'!$C$17:$N$17&lt;'Calc base'!N$17)))))</f>
        <v>0</v>
      </c>
      <c r="AT152">
        <f>V152-AH152</f>
        <v>0</v>
      </c>
      <c r="AU152">
        <f>W152-AI152</f>
        <v>0</v>
      </c>
      <c r="AV152">
        <f>X152-AJ152</f>
        <v>0</v>
      </c>
      <c r="AW152">
        <f>Y152-AK152</f>
        <v>0</v>
      </c>
      <c r="AX152">
        <f>Z152-AL152</f>
        <v>0</v>
      </c>
      <c r="AY152">
        <f>AA152-AM152</f>
        <v>0</v>
      </c>
      <c r="AZ152">
        <f>AB152-AN152</f>
        <v>0</v>
      </c>
      <c r="BA152">
        <f>AC152-AO152</f>
        <v>0</v>
      </c>
      <c r="BB152">
        <f>AD152-AP152</f>
        <v>0</v>
      </c>
      <c r="BC152">
        <f>AE152-AQ152</f>
        <v>0</v>
      </c>
      <c r="BD152">
        <f>AF152-AR152</f>
        <v>0</v>
      </c>
      <c r="BE152">
        <f>AG152-AS152</f>
        <v>0</v>
      </c>
    </row>
    <row r="153">
      <c r="A153" t="n">
        <v>123</v>
      </c>
      <c r="B153">
        <f>SUMPRODUCT(ROUND($AT152:$BE152*(1+'Calc base'!$H153:$S153),2))</f>
        <v>0</v>
      </c>
      <c r="C153">
        <f>SUM(J153:U153)</f>
        <v>0</v>
      </c>
      <c r="D153">
        <f>SUM(V153:AG153)</f>
        <v>0</v>
      </c>
      <c r="E153">
        <f>MAX(0,IF(Impostazioni!$B$7="No",'Calc base'!$C153-$C$31,'Calc base'!$C153-C153)+'Calc base'!$G153+'Calc base'!$F153-(B153-C153-D153))</f>
        <v>900</v>
      </c>
      <c r="F153">
        <f>SUM(AH153:AS153)</f>
        <v>0</v>
      </c>
      <c r="G153">
        <f>SUM(AT153:BE153)</f>
        <v>0</v>
      </c>
      <c r="H153">
        <f>B153-G152</f>
        <v>0</v>
      </c>
      <c r="I153">
        <f>B153-G153</f>
        <v>0</v>
      </c>
      <c r="J153">
        <f>IF(AT152&lt;=0,0,IF(ROUND(AT152*(1+'Calc base'!H153),2)-MAX('Calc base'!C$12,ROUND('Calc base'!C$13*AT152,2))&lt;1,ROUND(AT152*(1+'Calc base'!H153),2),MAX('Calc base'!C$12,ROUND('Calc base'!C$13*AT152,2))))</f>
        <v>0</v>
      </c>
      <c r="K153">
        <f>IF(AU152&lt;=0,0,IF(ROUND(AU152*(1+'Calc base'!I153),2)-MAX('Calc base'!D$12,ROUND('Calc base'!D$13*AU152,2))&lt;1,ROUND(AU152*(1+'Calc base'!I153),2),MAX('Calc base'!D$12,ROUND('Calc base'!D$13*AU152,2))))</f>
        <v>0</v>
      </c>
      <c r="L153">
        <f>IF(AV152&lt;=0,0,IF(ROUND(AV152*(1+'Calc base'!J153),2)-MAX('Calc base'!E$12,ROUND('Calc base'!E$13*AV152,2))&lt;1,ROUND(AV152*(1+'Calc base'!J153),2),MAX('Calc base'!E$12,ROUND('Calc base'!E$13*AV152,2))))</f>
        <v>0</v>
      </c>
      <c r="M153">
        <f>IF(AW152&lt;=0,0,IF(ROUND(AW152*(1+'Calc base'!K153),2)-MAX('Calc base'!F$12,ROUND('Calc base'!F$13*AW152,2))&lt;1,ROUND(AW152*(1+'Calc base'!K153),2),MAX('Calc base'!F$12,ROUND('Calc base'!F$13*AW152,2))))</f>
        <v>0</v>
      </c>
      <c r="N153">
        <f>IF(AX152&lt;=0,0,IF(ROUND(AX152*(1+'Calc base'!L153),2)-MAX('Calc base'!G$12,ROUND('Calc base'!G$13*AX152,2))&lt;1,ROUND(AX152*(1+'Calc base'!L153),2),MAX('Calc base'!G$12,ROUND('Calc base'!G$13*AX152,2))))</f>
        <v>0</v>
      </c>
      <c r="O153">
        <f>IF(AY152&lt;=0,0,IF(ROUND(AY152*(1+'Calc base'!M153),2)-MAX('Calc base'!H$12,ROUND('Calc base'!H$13*AY152,2))&lt;1,ROUND(AY152*(1+'Calc base'!M153),2),MAX('Calc base'!H$12,ROUND('Calc base'!H$13*AY152,2))))</f>
        <v>0</v>
      </c>
      <c r="P153">
        <f>IF(AZ152&lt;=0,0,IF(ROUND(AZ152*(1+'Calc base'!N153),2)-MAX('Calc base'!I$12,ROUND('Calc base'!I$13*AZ152,2))&lt;1,ROUND(AZ152*(1+'Calc base'!N153),2),MAX('Calc base'!I$12,ROUND('Calc base'!I$13*AZ152,2))))</f>
        <v>0</v>
      </c>
      <c r="Q153">
        <f>IF(BA152&lt;=0,0,IF(ROUND(BA152*(1+'Calc base'!O153),2)-MAX('Calc base'!J$12,ROUND('Calc base'!J$13*BA152,2))&lt;1,ROUND(BA152*(1+'Calc base'!O153),2),MAX('Calc base'!J$12,ROUND('Calc base'!J$13*BA152,2))))</f>
        <v>0</v>
      </c>
      <c r="R153">
        <f>IF(BB152&lt;=0,0,IF(ROUND(BB152*(1+'Calc base'!P153),2)-MAX('Calc base'!K$12,ROUND('Calc base'!K$13*BB152,2))&lt;1,ROUND(BB152*(1+'Calc base'!P153),2),MAX('Calc base'!K$12,ROUND('Calc base'!K$13*BB152,2))))</f>
        <v>0</v>
      </c>
      <c r="S153">
        <f>IF(BC152&lt;=0,0,IF(ROUND(BC152*(1+'Calc base'!Q153),2)-MAX('Calc base'!L$12,ROUND('Calc base'!L$13*BC152,2))&lt;1,ROUND(BC152*(1+'Calc base'!Q153),2),MAX('Calc base'!L$12,ROUND('Calc base'!L$13*BC152,2))))</f>
        <v>0</v>
      </c>
      <c r="T153">
        <f>IF(BD152&lt;=0,0,IF(ROUND(BD152*(1+'Calc base'!R153),2)-MAX('Calc base'!M$12,ROUND('Calc base'!M$13*BD152,2))&lt;1,ROUND(BD152*(1+'Calc base'!R153),2),MAX('Calc base'!M$12,ROUND('Calc base'!M$13*BD152,2))))</f>
        <v>0</v>
      </c>
      <c r="U153">
        <f>IF(BE152&lt;=0,0,IF(ROUND(BE152*(1+'Calc base'!S153),2)-MAX('Calc base'!N$12,ROUND('Calc base'!N$13*BE152,2))&lt;1,ROUND(BE152*(1+'Calc base'!S153),2),MAX('Calc base'!N$12,ROUND('Calc base'!N$13*BE152,2))))</f>
        <v>0</v>
      </c>
      <c r="V153">
        <f>MAX(0,ROUND(AT152*(1+'Calc base'!H153),2)-J153-'Calc base'!T153)</f>
        <v>0</v>
      </c>
      <c r="W153">
        <f>MAX(0,ROUND(AU152*(1+'Calc base'!I153),2)-K153-'Calc base'!U153)</f>
        <v>0</v>
      </c>
      <c r="X153">
        <f>MAX(0,ROUND(AV152*(1+'Calc base'!J153),2)-L153-'Calc base'!V153)</f>
        <v>0</v>
      </c>
      <c r="Y153">
        <f>MAX(0,ROUND(AW152*(1+'Calc base'!K153),2)-M153-'Calc base'!W153)</f>
        <v>0</v>
      </c>
      <c r="Z153">
        <f>MAX(0,ROUND(AX152*(1+'Calc base'!L153),2)-N153-'Calc base'!X153)</f>
        <v>0</v>
      </c>
      <c r="AA153">
        <f>MAX(0,ROUND(AY152*(1+'Calc base'!M153),2)-O153-'Calc base'!Y153)</f>
        <v>0</v>
      </c>
      <c r="AB153">
        <f>MAX(0,ROUND(AZ152*(1+'Calc base'!N153),2)-P153-'Calc base'!Z153)</f>
        <v>0</v>
      </c>
      <c r="AC153">
        <f>MAX(0,ROUND(BA152*(1+'Calc base'!O153),2)-Q153-'Calc base'!AA153)</f>
        <v>0</v>
      </c>
      <c r="AD153">
        <f>MAX(0,ROUND(BB152*(1+'Calc base'!P153),2)-R153-'Calc base'!AB153)</f>
        <v>0</v>
      </c>
      <c r="AE153">
        <f>MAX(0,ROUND(BC152*(1+'Calc base'!Q153),2)-S153-'Calc base'!AC153)</f>
        <v>0</v>
      </c>
      <c r="AF153">
        <f>MAX(0,ROUND(BD152*(1+'Calc base'!R153),2)-T153-'Calc base'!AD153)</f>
        <v>0</v>
      </c>
      <c r="AG153">
        <f>MAX(0,ROUND(BE152*(1+'Calc base'!S153),2)-U153-'Calc base'!AE153)</f>
        <v>0</v>
      </c>
      <c r="AH153">
        <f>IF('Calc base'!C$14=0,0,MIN(V153,MAX(0,$E153-SUMPRODUCT($V153:$AG153,'Calc base'!$C$14:$N$14,('Calc base'!$H153:$S153&gt;'Calc base'!H153)+('Calc base'!$H153:$S153='Calc base'!H153)*('Calc base'!$C$17:$N$17&lt;'Calc base'!C$17)))))</f>
        <v>0</v>
      </c>
      <c r="AI153">
        <f>IF('Calc base'!D$14=0,0,MIN(W153,MAX(0,$E153-SUMPRODUCT($V153:$AG153,'Calc base'!$C$14:$N$14,('Calc base'!$H153:$S153&gt;'Calc base'!I153)+('Calc base'!$H153:$S153='Calc base'!I153)*('Calc base'!$C$17:$N$17&lt;'Calc base'!D$17)))))</f>
        <v>0</v>
      </c>
      <c r="AJ153">
        <f>IF('Calc base'!E$14=0,0,MIN(X153,MAX(0,$E153-SUMPRODUCT($V153:$AG153,'Calc base'!$C$14:$N$14,('Calc base'!$H153:$S153&gt;'Calc base'!J153)+('Calc base'!$H153:$S153='Calc base'!J153)*('Calc base'!$C$17:$N$17&lt;'Calc base'!E$17)))))</f>
        <v>0</v>
      </c>
      <c r="AK153">
        <f>IF('Calc base'!F$14=0,0,MIN(Y153,MAX(0,$E153-SUMPRODUCT($V153:$AG153,'Calc base'!$C$14:$N$14,('Calc base'!$H153:$S153&gt;'Calc base'!K153)+('Calc base'!$H153:$S153='Calc base'!K153)*('Calc base'!$C$17:$N$17&lt;'Calc base'!F$17)))))</f>
        <v>0</v>
      </c>
      <c r="AL153">
        <f>IF('Calc base'!G$14=0,0,MIN(Z153,MAX(0,$E153-SUMPRODUCT($V153:$AG153,'Calc base'!$C$14:$N$14,('Calc base'!$H153:$S153&gt;'Calc base'!L153)+('Calc base'!$H153:$S153='Calc base'!L153)*('Calc base'!$C$17:$N$17&lt;'Calc base'!G$17)))))</f>
        <v>0</v>
      </c>
      <c r="AM153">
        <f>IF('Calc base'!H$14=0,0,MIN(AA153,MAX(0,$E153-SUMPRODUCT($V153:$AG153,'Calc base'!$C$14:$N$14,('Calc base'!$H153:$S153&gt;'Calc base'!M153)+('Calc base'!$H153:$S153='Calc base'!M153)*('Calc base'!$C$17:$N$17&lt;'Calc base'!H$17)))))</f>
        <v>0</v>
      </c>
      <c r="AN153">
        <f>IF('Calc base'!I$14=0,0,MIN(AB153,MAX(0,$E153-SUMPRODUCT($V153:$AG153,'Calc base'!$C$14:$N$14,('Calc base'!$H153:$S153&gt;'Calc base'!N153)+('Calc base'!$H153:$S153='Calc base'!N153)*('Calc base'!$C$17:$N$17&lt;'Calc base'!I$17)))))</f>
        <v>0</v>
      </c>
      <c r="AO153">
        <f>IF('Calc base'!J$14=0,0,MIN(AC153,MAX(0,$E153-SUMPRODUCT($V153:$AG153,'Calc base'!$C$14:$N$14,('Calc base'!$H153:$S153&gt;'Calc base'!O153)+('Calc base'!$H153:$S153='Calc base'!O153)*('Calc base'!$C$17:$N$17&lt;'Calc base'!J$17)))))</f>
        <v>0</v>
      </c>
      <c r="AP153">
        <f>IF('Calc base'!K$14=0,0,MIN(AD153,MAX(0,$E153-SUMPRODUCT($V153:$AG153,'Calc base'!$C$14:$N$14,('Calc base'!$H153:$S153&gt;'Calc base'!P153)+('Calc base'!$H153:$S153='Calc base'!P153)*('Calc base'!$C$17:$N$17&lt;'Calc base'!K$17)))))</f>
        <v>0</v>
      </c>
      <c r="AQ153">
        <f>IF('Calc base'!L$14=0,0,MIN(AE153,MAX(0,$E153-SUMPRODUCT($V153:$AG153,'Calc base'!$C$14:$N$14,('Calc base'!$H153:$S153&gt;'Calc base'!Q153)+('Calc base'!$H153:$S153='Calc base'!Q153)*('Calc base'!$C$17:$N$17&lt;'Calc base'!L$17)))))</f>
        <v>0</v>
      </c>
      <c r="AR153">
        <f>IF('Calc base'!M$14=0,0,MIN(AF153,MAX(0,$E153-SUMPRODUCT($V153:$AG153,'Calc base'!$C$14:$N$14,('Calc base'!$H153:$S153&gt;'Calc base'!R153)+('Calc base'!$H153:$S153='Calc base'!R153)*('Calc base'!$C$17:$N$17&lt;'Calc base'!M$17)))))</f>
        <v>0</v>
      </c>
      <c r="AS153">
        <f>IF('Calc base'!N$14=0,0,MIN(AG153,MAX(0,$E153-SUMPRODUCT($V153:$AG153,'Calc base'!$C$14:$N$14,('Calc base'!$H153:$S153&gt;'Calc base'!S153)+('Calc base'!$H153:$S153='Calc base'!S153)*('Calc base'!$C$17:$N$17&lt;'Calc base'!N$17)))))</f>
        <v>0</v>
      </c>
      <c r="AT153">
        <f>V153-AH153</f>
        <v>0</v>
      </c>
      <c r="AU153">
        <f>W153-AI153</f>
        <v>0</v>
      </c>
      <c r="AV153">
        <f>X153-AJ153</f>
        <v>0</v>
      </c>
      <c r="AW153">
        <f>Y153-AK153</f>
        <v>0</v>
      </c>
      <c r="AX153">
        <f>Z153-AL153</f>
        <v>0</v>
      </c>
      <c r="AY153">
        <f>AA153-AM153</f>
        <v>0</v>
      </c>
      <c r="AZ153">
        <f>AB153-AN153</f>
        <v>0</v>
      </c>
      <c r="BA153">
        <f>AC153-AO153</f>
        <v>0</v>
      </c>
      <c r="BB153">
        <f>AD153-AP153</f>
        <v>0</v>
      </c>
      <c r="BC153">
        <f>AE153-AQ153</f>
        <v>0</v>
      </c>
      <c r="BD153">
        <f>AF153-AR153</f>
        <v>0</v>
      </c>
      <c r="BE153">
        <f>AG153-AS153</f>
        <v>0</v>
      </c>
    </row>
    <row r="154">
      <c r="A154" t="n">
        <v>124</v>
      </c>
      <c r="B154">
        <f>SUMPRODUCT(ROUND($AT153:$BE153*(1+'Calc base'!$H154:$S154),2))</f>
        <v>0</v>
      </c>
      <c r="C154">
        <f>SUM(J154:U154)</f>
        <v>0</v>
      </c>
      <c r="D154">
        <f>SUM(V154:AG154)</f>
        <v>0</v>
      </c>
      <c r="E154">
        <f>MAX(0,IF(Impostazioni!$B$7="No",'Calc base'!$C154-$C$31,'Calc base'!$C154-C154)+'Calc base'!$G154+'Calc base'!$F154-(B154-C154-D154))</f>
        <v>900</v>
      </c>
      <c r="F154">
        <f>SUM(AH154:AS154)</f>
        <v>0</v>
      </c>
      <c r="G154">
        <f>SUM(AT154:BE154)</f>
        <v>0</v>
      </c>
      <c r="H154">
        <f>B154-G153</f>
        <v>0</v>
      </c>
      <c r="I154">
        <f>B154-G154</f>
        <v>0</v>
      </c>
      <c r="J154">
        <f>IF(AT153&lt;=0,0,IF(ROUND(AT153*(1+'Calc base'!H154),2)-MAX('Calc base'!C$12,ROUND('Calc base'!C$13*AT153,2))&lt;1,ROUND(AT153*(1+'Calc base'!H154),2),MAX('Calc base'!C$12,ROUND('Calc base'!C$13*AT153,2))))</f>
        <v>0</v>
      </c>
      <c r="K154">
        <f>IF(AU153&lt;=0,0,IF(ROUND(AU153*(1+'Calc base'!I154),2)-MAX('Calc base'!D$12,ROUND('Calc base'!D$13*AU153,2))&lt;1,ROUND(AU153*(1+'Calc base'!I154),2),MAX('Calc base'!D$12,ROUND('Calc base'!D$13*AU153,2))))</f>
        <v>0</v>
      </c>
      <c r="L154">
        <f>IF(AV153&lt;=0,0,IF(ROUND(AV153*(1+'Calc base'!J154),2)-MAX('Calc base'!E$12,ROUND('Calc base'!E$13*AV153,2))&lt;1,ROUND(AV153*(1+'Calc base'!J154),2),MAX('Calc base'!E$12,ROUND('Calc base'!E$13*AV153,2))))</f>
        <v>0</v>
      </c>
      <c r="M154">
        <f>IF(AW153&lt;=0,0,IF(ROUND(AW153*(1+'Calc base'!K154),2)-MAX('Calc base'!F$12,ROUND('Calc base'!F$13*AW153,2))&lt;1,ROUND(AW153*(1+'Calc base'!K154),2),MAX('Calc base'!F$12,ROUND('Calc base'!F$13*AW153,2))))</f>
        <v>0</v>
      </c>
      <c r="N154">
        <f>IF(AX153&lt;=0,0,IF(ROUND(AX153*(1+'Calc base'!L154),2)-MAX('Calc base'!G$12,ROUND('Calc base'!G$13*AX153,2))&lt;1,ROUND(AX153*(1+'Calc base'!L154),2),MAX('Calc base'!G$12,ROUND('Calc base'!G$13*AX153,2))))</f>
        <v>0</v>
      </c>
      <c r="O154">
        <f>IF(AY153&lt;=0,0,IF(ROUND(AY153*(1+'Calc base'!M154),2)-MAX('Calc base'!H$12,ROUND('Calc base'!H$13*AY153,2))&lt;1,ROUND(AY153*(1+'Calc base'!M154),2),MAX('Calc base'!H$12,ROUND('Calc base'!H$13*AY153,2))))</f>
        <v>0</v>
      </c>
      <c r="P154">
        <f>IF(AZ153&lt;=0,0,IF(ROUND(AZ153*(1+'Calc base'!N154),2)-MAX('Calc base'!I$12,ROUND('Calc base'!I$13*AZ153,2))&lt;1,ROUND(AZ153*(1+'Calc base'!N154),2),MAX('Calc base'!I$12,ROUND('Calc base'!I$13*AZ153,2))))</f>
        <v>0</v>
      </c>
      <c r="Q154">
        <f>IF(BA153&lt;=0,0,IF(ROUND(BA153*(1+'Calc base'!O154),2)-MAX('Calc base'!J$12,ROUND('Calc base'!J$13*BA153,2))&lt;1,ROUND(BA153*(1+'Calc base'!O154),2),MAX('Calc base'!J$12,ROUND('Calc base'!J$13*BA153,2))))</f>
        <v>0</v>
      </c>
      <c r="R154">
        <f>IF(BB153&lt;=0,0,IF(ROUND(BB153*(1+'Calc base'!P154),2)-MAX('Calc base'!K$12,ROUND('Calc base'!K$13*BB153,2))&lt;1,ROUND(BB153*(1+'Calc base'!P154),2),MAX('Calc base'!K$12,ROUND('Calc base'!K$13*BB153,2))))</f>
        <v>0</v>
      </c>
      <c r="S154">
        <f>IF(BC153&lt;=0,0,IF(ROUND(BC153*(1+'Calc base'!Q154),2)-MAX('Calc base'!L$12,ROUND('Calc base'!L$13*BC153,2))&lt;1,ROUND(BC153*(1+'Calc base'!Q154),2),MAX('Calc base'!L$12,ROUND('Calc base'!L$13*BC153,2))))</f>
        <v>0</v>
      </c>
      <c r="T154">
        <f>IF(BD153&lt;=0,0,IF(ROUND(BD153*(1+'Calc base'!R154),2)-MAX('Calc base'!M$12,ROUND('Calc base'!M$13*BD153,2))&lt;1,ROUND(BD153*(1+'Calc base'!R154),2),MAX('Calc base'!M$12,ROUND('Calc base'!M$13*BD153,2))))</f>
        <v>0</v>
      </c>
      <c r="U154">
        <f>IF(BE153&lt;=0,0,IF(ROUND(BE153*(1+'Calc base'!S154),2)-MAX('Calc base'!N$12,ROUND('Calc base'!N$13*BE153,2))&lt;1,ROUND(BE153*(1+'Calc base'!S154),2),MAX('Calc base'!N$12,ROUND('Calc base'!N$13*BE153,2))))</f>
        <v>0</v>
      </c>
      <c r="V154">
        <f>MAX(0,ROUND(AT153*(1+'Calc base'!H154),2)-J154-'Calc base'!T154)</f>
        <v>0</v>
      </c>
      <c r="W154">
        <f>MAX(0,ROUND(AU153*(1+'Calc base'!I154),2)-K154-'Calc base'!U154)</f>
        <v>0</v>
      </c>
      <c r="X154">
        <f>MAX(0,ROUND(AV153*(1+'Calc base'!J154),2)-L154-'Calc base'!V154)</f>
        <v>0</v>
      </c>
      <c r="Y154">
        <f>MAX(0,ROUND(AW153*(1+'Calc base'!K154),2)-M154-'Calc base'!W154)</f>
        <v>0</v>
      </c>
      <c r="Z154">
        <f>MAX(0,ROUND(AX153*(1+'Calc base'!L154),2)-N154-'Calc base'!X154)</f>
        <v>0</v>
      </c>
      <c r="AA154">
        <f>MAX(0,ROUND(AY153*(1+'Calc base'!M154),2)-O154-'Calc base'!Y154)</f>
        <v>0</v>
      </c>
      <c r="AB154">
        <f>MAX(0,ROUND(AZ153*(1+'Calc base'!N154),2)-P154-'Calc base'!Z154)</f>
        <v>0</v>
      </c>
      <c r="AC154">
        <f>MAX(0,ROUND(BA153*(1+'Calc base'!O154),2)-Q154-'Calc base'!AA154)</f>
        <v>0</v>
      </c>
      <c r="AD154">
        <f>MAX(0,ROUND(BB153*(1+'Calc base'!P154),2)-R154-'Calc base'!AB154)</f>
        <v>0</v>
      </c>
      <c r="AE154">
        <f>MAX(0,ROUND(BC153*(1+'Calc base'!Q154),2)-S154-'Calc base'!AC154)</f>
        <v>0</v>
      </c>
      <c r="AF154">
        <f>MAX(0,ROUND(BD153*(1+'Calc base'!R154),2)-T154-'Calc base'!AD154)</f>
        <v>0</v>
      </c>
      <c r="AG154">
        <f>MAX(0,ROUND(BE153*(1+'Calc base'!S154),2)-U154-'Calc base'!AE154)</f>
        <v>0</v>
      </c>
      <c r="AH154">
        <f>IF('Calc base'!C$14=0,0,MIN(V154,MAX(0,$E154-SUMPRODUCT($V154:$AG154,'Calc base'!$C$14:$N$14,('Calc base'!$H154:$S154&gt;'Calc base'!H154)+('Calc base'!$H154:$S154='Calc base'!H154)*('Calc base'!$C$17:$N$17&lt;'Calc base'!C$17)))))</f>
        <v>0</v>
      </c>
      <c r="AI154">
        <f>IF('Calc base'!D$14=0,0,MIN(W154,MAX(0,$E154-SUMPRODUCT($V154:$AG154,'Calc base'!$C$14:$N$14,('Calc base'!$H154:$S154&gt;'Calc base'!I154)+('Calc base'!$H154:$S154='Calc base'!I154)*('Calc base'!$C$17:$N$17&lt;'Calc base'!D$17)))))</f>
        <v>0</v>
      </c>
      <c r="AJ154">
        <f>IF('Calc base'!E$14=0,0,MIN(X154,MAX(0,$E154-SUMPRODUCT($V154:$AG154,'Calc base'!$C$14:$N$14,('Calc base'!$H154:$S154&gt;'Calc base'!J154)+('Calc base'!$H154:$S154='Calc base'!J154)*('Calc base'!$C$17:$N$17&lt;'Calc base'!E$17)))))</f>
        <v>0</v>
      </c>
      <c r="AK154">
        <f>IF('Calc base'!F$14=0,0,MIN(Y154,MAX(0,$E154-SUMPRODUCT($V154:$AG154,'Calc base'!$C$14:$N$14,('Calc base'!$H154:$S154&gt;'Calc base'!K154)+('Calc base'!$H154:$S154='Calc base'!K154)*('Calc base'!$C$17:$N$17&lt;'Calc base'!F$17)))))</f>
        <v>0</v>
      </c>
      <c r="AL154">
        <f>IF('Calc base'!G$14=0,0,MIN(Z154,MAX(0,$E154-SUMPRODUCT($V154:$AG154,'Calc base'!$C$14:$N$14,('Calc base'!$H154:$S154&gt;'Calc base'!L154)+('Calc base'!$H154:$S154='Calc base'!L154)*('Calc base'!$C$17:$N$17&lt;'Calc base'!G$17)))))</f>
        <v>0</v>
      </c>
      <c r="AM154">
        <f>IF('Calc base'!H$14=0,0,MIN(AA154,MAX(0,$E154-SUMPRODUCT($V154:$AG154,'Calc base'!$C$14:$N$14,('Calc base'!$H154:$S154&gt;'Calc base'!M154)+('Calc base'!$H154:$S154='Calc base'!M154)*('Calc base'!$C$17:$N$17&lt;'Calc base'!H$17)))))</f>
        <v>0</v>
      </c>
      <c r="AN154">
        <f>IF('Calc base'!I$14=0,0,MIN(AB154,MAX(0,$E154-SUMPRODUCT($V154:$AG154,'Calc base'!$C$14:$N$14,('Calc base'!$H154:$S154&gt;'Calc base'!N154)+('Calc base'!$H154:$S154='Calc base'!N154)*('Calc base'!$C$17:$N$17&lt;'Calc base'!I$17)))))</f>
        <v>0</v>
      </c>
      <c r="AO154">
        <f>IF('Calc base'!J$14=0,0,MIN(AC154,MAX(0,$E154-SUMPRODUCT($V154:$AG154,'Calc base'!$C$14:$N$14,('Calc base'!$H154:$S154&gt;'Calc base'!O154)+('Calc base'!$H154:$S154='Calc base'!O154)*('Calc base'!$C$17:$N$17&lt;'Calc base'!J$17)))))</f>
        <v>0</v>
      </c>
      <c r="AP154">
        <f>IF('Calc base'!K$14=0,0,MIN(AD154,MAX(0,$E154-SUMPRODUCT($V154:$AG154,'Calc base'!$C$14:$N$14,('Calc base'!$H154:$S154&gt;'Calc base'!P154)+('Calc base'!$H154:$S154='Calc base'!P154)*('Calc base'!$C$17:$N$17&lt;'Calc base'!K$17)))))</f>
        <v>0</v>
      </c>
      <c r="AQ154">
        <f>IF('Calc base'!L$14=0,0,MIN(AE154,MAX(0,$E154-SUMPRODUCT($V154:$AG154,'Calc base'!$C$14:$N$14,('Calc base'!$H154:$S154&gt;'Calc base'!Q154)+('Calc base'!$H154:$S154='Calc base'!Q154)*('Calc base'!$C$17:$N$17&lt;'Calc base'!L$17)))))</f>
        <v>0</v>
      </c>
      <c r="AR154">
        <f>IF('Calc base'!M$14=0,0,MIN(AF154,MAX(0,$E154-SUMPRODUCT($V154:$AG154,'Calc base'!$C$14:$N$14,('Calc base'!$H154:$S154&gt;'Calc base'!R154)+('Calc base'!$H154:$S154='Calc base'!R154)*('Calc base'!$C$17:$N$17&lt;'Calc base'!M$17)))))</f>
        <v>0</v>
      </c>
      <c r="AS154">
        <f>IF('Calc base'!N$14=0,0,MIN(AG154,MAX(0,$E154-SUMPRODUCT($V154:$AG154,'Calc base'!$C$14:$N$14,('Calc base'!$H154:$S154&gt;'Calc base'!S154)+('Calc base'!$H154:$S154='Calc base'!S154)*('Calc base'!$C$17:$N$17&lt;'Calc base'!N$17)))))</f>
        <v>0</v>
      </c>
      <c r="AT154">
        <f>V154-AH154</f>
        <v>0</v>
      </c>
      <c r="AU154">
        <f>W154-AI154</f>
        <v>0</v>
      </c>
      <c r="AV154">
        <f>X154-AJ154</f>
        <v>0</v>
      </c>
      <c r="AW154">
        <f>Y154-AK154</f>
        <v>0</v>
      </c>
      <c r="AX154">
        <f>Z154-AL154</f>
        <v>0</v>
      </c>
      <c r="AY154">
        <f>AA154-AM154</f>
        <v>0</v>
      </c>
      <c r="AZ154">
        <f>AB154-AN154</f>
        <v>0</v>
      </c>
      <c r="BA154">
        <f>AC154-AO154</f>
        <v>0</v>
      </c>
      <c r="BB154">
        <f>AD154-AP154</f>
        <v>0</v>
      </c>
      <c r="BC154">
        <f>AE154-AQ154</f>
        <v>0</v>
      </c>
      <c r="BD154">
        <f>AF154-AR154</f>
        <v>0</v>
      </c>
      <c r="BE154">
        <f>AG154-AS154</f>
        <v>0</v>
      </c>
    </row>
    <row r="155">
      <c r="A155" t="n">
        <v>125</v>
      </c>
      <c r="B155">
        <f>SUMPRODUCT(ROUND($AT154:$BE154*(1+'Calc base'!$H155:$S155),2))</f>
        <v>0</v>
      </c>
      <c r="C155">
        <f>SUM(J155:U155)</f>
        <v>0</v>
      </c>
      <c r="D155">
        <f>SUM(V155:AG155)</f>
        <v>0</v>
      </c>
      <c r="E155">
        <f>MAX(0,IF(Impostazioni!$B$7="No",'Calc base'!$C155-$C$31,'Calc base'!$C155-C155)+'Calc base'!$G155+'Calc base'!$F155-(B155-C155-D155))</f>
        <v>900</v>
      </c>
      <c r="F155">
        <f>SUM(AH155:AS155)</f>
        <v>0</v>
      </c>
      <c r="G155">
        <f>SUM(AT155:BE155)</f>
        <v>0</v>
      </c>
      <c r="H155">
        <f>B155-G154</f>
        <v>0</v>
      </c>
      <c r="I155">
        <f>B155-G155</f>
        <v>0</v>
      </c>
      <c r="J155">
        <f>IF(AT154&lt;=0,0,IF(ROUND(AT154*(1+'Calc base'!H155),2)-MAX('Calc base'!C$12,ROUND('Calc base'!C$13*AT154,2))&lt;1,ROUND(AT154*(1+'Calc base'!H155),2),MAX('Calc base'!C$12,ROUND('Calc base'!C$13*AT154,2))))</f>
        <v>0</v>
      </c>
      <c r="K155">
        <f>IF(AU154&lt;=0,0,IF(ROUND(AU154*(1+'Calc base'!I155),2)-MAX('Calc base'!D$12,ROUND('Calc base'!D$13*AU154,2))&lt;1,ROUND(AU154*(1+'Calc base'!I155),2),MAX('Calc base'!D$12,ROUND('Calc base'!D$13*AU154,2))))</f>
        <v>0</v>
      </c>
      <c r="L155">
        <f>IF(AV154&lt;=0,0,IF(ROUND(AV154*(1+'Calc base'!J155),2)-MAX('Calc base'!E$12,ROUND('Calc base'!E$13*AV154,2))&lt;1,ROUND(AV154*(1+'Calc base'!J155),2),MAX('Calc base'!E$12,ROUND('Calc base'!E$13*AV154,2))))</f>
        <v>0</v>
      </c>
      <c r="M155">
        <f>IF(AW154&lt;=0,0,IF(ROUND(AW154*(1+'Calc base'!K155),2)-MAX('Calc base'!F$12,ROUND('Calc base'!F$13*AW154,2))&lt;1,ROUND(AW154*(1+'Calc base'!K155),2),MAX('Calc base'!F$12,ROUND('Calc base'!F$13*AW154,2))))</f>
        <v>0</v>
      </c>
      <c r="N155">
        <f>IF(AX154&lt;=0,0,IF(ROUND(AX154*(1+'Calc base'!L155),2)-MAX('Calc base'!G$12,ROUND('Calc base'!G$13*AX154,2))&lt;1,ROUND(AX154*(1+'Calc base'!L155),2),MAX('Calc base'!G$12,ROUND('Calc base'!G$13*AX154,2))))</f>
        <v>0</v>
      </c>
      <c r="O155">
        <f>IF(AY154&lt;=0,0,IF(ROUND(AY154*(1+'Calc base'!M155),2)-MAX('Calc base'!H$12,ROUND('Calc base'!H$13*AY154,2))&lt;1,ROUND(AY154*(1+'Calc base'!M155),2),MAX('Calc base'!H$12,ROUND('Calc base'!H$13*AY154,2))))</f>
        <v>0</v>
      </c>
      <c r="P155">
        <f>IF(AZ154&lt;=0,0,IF(ROUND(AZ154*(1+'Calc base'!N155),2)-MAX('Calc base'!I$12,ROUND('Calc base'!I$13*AZ154,2))&lt;1,ROUND(AZ154*(1+'Calc base'!N155),2),MAX('Calc base'!I$12,ROUND('Calc base'!I$13*AZ154,2))))</f>
        <v>0</v>
      </c>
      <c r="Q155">
        <f>IF(BA154&lt;=0,0,IF(ROUND(BA154*(1+'Calc base'!O155),2)-MAX('Calc base'!J$12,ROUND('Calc base'!J$13*BA154,2))&lt;1,ROUND(BA154*(1+'Calc base'!O155),2),MAX('Calc base'!J$12,ROUND('Calc base'!J$13*BA154,2))))</f>
        <v>0</v>
      </c>
      <c r="R155">
        <f>IF(BB154&lt;=0,0,IF(ROUND(BB154*(1+'Calc base'!P155),2)-MAX('Calc base'!K$12,ROUND('Calc base'!K$13*BB154,2))&lt;1,ROUND(BB154*(1+'Calc base'!P155),2),MAX('Calc base'!K$12,ROUND('Calc base'!K$13*BB154,2))))</f>
        <v>0</v>
      </c>
      <c r="S155">
        <f>IF(BC154&lt;=0,0,IF(ROUND(BC154*(1+'Calc base'!Q155),2)-MAX('Calc base'!L$12,ROUND('Calc base'!L$13*BC154,2))&lt;1,ROUND(BC154*(1+'Calc base'!Q155),2),MAX('Calc base'!L$12,ROUND('Calc base'!L$13*BC154,2))))</f>
        <v>0</v>
      </c>
      <c r="T155">
        <f>IF(BD154&lt;=0,0,IF(ROUND(BD154*(1+'Calc base'!R155),2)-MAX('Calc base'!M$12,ROUND('Calc base'!M$13*BD154,2))&lt;1,ROUND(BD154*(1+'Calc base'!R155),2),MAX('Calc base'!M$12,ROUND('Calc base'!M$13*BD154,2))))</f>
        <v>0</v>
      </c>
      <c r="U155">
        <f>IF(BE154&lt;=0,0,IF(ROUND(BE154*(1+'Calc base'!S155),2)-MAX('Calc base'!N$12,ROUND('Calc base'!N$13*BE154,2))&lt;1,ROUND(BE154*(1+'Calc base'!S155),2),MAX('Calc base'!N$12,ROUND('Calc base'!N$13*BE154,2))))</f>
        <v>0</v>
      </c>
      <c r="V155">
        <f>MAX(0,ROUND(AT154*(1+'Calc base'!H155),2)-J155-'Calc base'!T155)</f>
        <v>0</v>
      </c>
      <c r="W155">
        <f>MAX(0,ROUND(AU154*(1+'Calc base'!I155),2)-K155-'Calc base'!U155)</f>
        <v>0</v>
      </c>
      <c r="X155">
        <f>MAX(0,ROUND(AV154*(1+'Calc base'!J155),2)-L155-'Calc base'!V155)</f>
        <v>0</v>
      </c>
      <c r="Y155">
        <f>MAX(0,ROUND(AW154*(1+'Calc base'!K155),2)-M155-'Calc base'!W155)</f>
        <v>0</v>
      </c>
      <c r="Z155">
        <f>MAX(0,ROUND(AX154*(1+'Calc base'!L155),2)-N155-'Calc base'!X155)</f>
        <v>0</v>
      </c>
      <c r="AA155">
        <f>MAX(0,ROUND(AY154*(1+'Calc base'!M155),2)-O155-'Calc base'!Y155)</f>
        <v>0</v>
      </c>
      <c r="AB155">
        <f>MAX(0,ROUND(AZ154*(1+'Calc base'!N155),2)-P155-'Calc base'!Z155)</f>
        <v>0</v>
      </c>
      <c r="AC155">
        <f>MAX(0,ROUND(BA154*(1+'Calc base'!O155),2)-Q155-'Calc base'!AA155)</f>
        <v>0</v>
      </c>
      <c r="AD155">
        <f>MAX(0,ROUND(BB154*(1+'Calc base'!P155),2)-R155-'Calc base'!AB155)</f>
        <v>0</v>
      </c>
      <c r="AE155">
        <f>MAX(0,ROUND(BC154*(1+'Calc base'!Q155),2)-S155-'Calc base'!AC155)</f>
        <v>0</v>
      </c>
      <c r="AF155">
        <f>MAX(0,ROUND(BD154*(1+'Calc base'!R155),2)-T155-'Calc base'!AD155)</f>
        <v>0</v>
      </c>
      <c r="AG155">
        <f>MAX(0,ROUND(BE154*(1+'Calc base'!S155),2)-U155-'Calc base'!AE155)</f>
        <v>0</v>
      </c>
      <c r="AH155">
        <f>IF('Calc base'!C$14=0,0,MIN(V155,MAX(0,$E155-SUMPRODUCT($V155:$AG155,'Calc base'!$C$14:$N$14,('Calc base'!$H155:$S155&gt;'Calc base'!H155)+('Calc base'!$H155:$S155='Calc base'!H155)*('Calc base'!$C$17:$N$17&lt;'Calc base'!C$17)))))</f>
        <v>0</v>
      </c>
      <c r="AI155">
        <f>IF('Calc base'!D$14=0,0,MIN(W155,MAX(0,$E155-SUMPRODUCT($V155:$AG155,'Calc base'!$C$14:$N$14,('Calc base'!$H155:$S155&gt;'Calc base'!I155)+('Calc base'!$H155:$S155='Calc base'!I155)*('Calc base'!$C$17:$N$17&lt;'Calc base'!D$17)))))</f>
        <v>0</v>
      </c>
      <c r="AJ155">
        <f>IF('Calc base'!E$14=0,0,MIN(X155,MAX(0,$E155-SUMPRODUCT($V155:$AG155,'Calc base'!$C$14:$N$14,('Calc base'!$H155:$S155&gt;'Calc base'!J155)+('Calc base'!$H155:$S155='Calc base'!J155)*('Calc base'!$C$17:$N$17&lt;'Calc base'!E$17)))))</f>
        <v>0</v>
      </c>
      <c r="AK155">
        <f>IF('Calc base'!F$14=0,0,MIN(Y155,MAX(0,$E155-SUMPRODUCT($V155:$AG155,'Calc base'!$C$14:$N$14,('Calc base'!$H155:$S155&gt;'Calc base'!K155)+('Calc base'!$H155:$S155='Calc base'!K155)*('Calc base'!$C$17:$N$17&lt;'Calc base'!F$17)))))</f>
        <v>0</v>
      </c>
      <c r="AL155">
        <f>IF('Calc base'!G$14=0,0,MIN(Z155,MAX(0,$E155-SUMPRODUCT($V155:$AG155,'Calc base'!$C$14:$N$14,('Calc base'!$H155:$S155&gt;'Calc base'!L155)+('Calc base'!$H155:$S155='Calc base'!L155)*('Calc base'!$C$17:$N$17&lt;'Calc base'!G$17)))))</f>
        <v>0</v>
      </c>
      <c r="AM155">
        <f>IF('Calc base'!H$14=0,0,MIN(AA155,MAX(0,$E155-SUMPRODUCT($V155:$AG155,'Calc base'!$C$14:$N$14,('Calc base'!$H155:$S155&gt;'Calc base'!M155)+('Calc base'!$H155:$S155='Calc base'!M155)*('Calc base'!$C$17:$N$17&lt;'Calc base'!H$17)))))</f>
        <v>0</v>
      </c>
      <c r="AN155">
        <f>IF('Calc base'!I$14=0,0,MIN(AB155,MAX(0,$E155-SUMPRODUCT($V155:$AG155,'Calc base'!$C$14:$N$14,('Calc base'!$H155:$S155&gt;'Calc base'!N155)+('Calc base'!$H155:$S155='Calc base'!N155)*('Calc base'!$C$17:$N$17&lt;'Calc base'!I$17)))))</f>
        <v>0</v>
      </c>
      <c r="AO155">
        <f>IF('Calc base'!J$14=0,0,MIN(AC155,MAX(0,$E155-SUMPRODUCT($V155:$AG155,'Calc base'!$C$14:$N$14,('Calc base'!$H155:$S155&gt;'Calc base'!O155)+('Calc base'!$H155:$S155='Calc base'!O155)*('Calc base'!$C$17:$N$17&lt;'Calc base'!J$17)))))</f>
        <v>0</v>
      </c>
      <c r="AP155">
        <f>IF('Calc base'!K$14=0,0,MIN(AD155,MAX(0,$E155-SUMPRODUCT($V155:$AG155,'Calc base'!$C$14:$N$14,('Calc base'!$H155:$S155&gt;'Calc base'!P155)+('Calc base'!$H155:$S155='Calc base'!P155)*('Calc base'!$C$17:$N$17&lt;'Calc base'!K$17)))))</f>
        <v>0</v>
      </c>
      <c r="AQ155">
        <f>IF('Calc base'!L$14=0,0,MIN(AE155,MAX(0,$E155-SUMPRODUCT($V155:$AG155,'Calc base'!$C$14:$N$14,('Calc base'!$H155:$S155&gt;'Calc base'!Q155)+('Calc base'!$H155:$S155='Calc base'!Q155)*('Calc base'!$C$17:$N$17&lt;'Calc base'!L$17)))))</f>
        <v>0</v>
      </c>
      <c r="AR155">
        <f>IF('Calc base'!M$14=0,0,MIN(AF155,MAX(0,$E155-SUMPRODUCT($V155:$AG155,'Calc base'!$C$14:$N$14,('Calc base'!$H155:$S155&gt;'Calc base'!R155)+('Calc base'!$H155:$S155='Calc base'!R155)*('Calc base'!$C$17:$N$17&lt;'Calc base'!M$17)))))</f>
        <v>0</v>
      </c>
      <c r="AS155">
        <f>IF('Calc base'!N$14=0,0,MIN(AG155,MAX(0,$E155-SUMPRODUCT($V155:$AG155,'Calc base'!$C$14:$N$14,('Calc base'!$H155:$S155&gt;'Calc base'!S155)+('Calc base'!$H155:$S155='Calc base'!S155)*('Calc base'!$C$17:$N$17&lt;'Calc base'!N$17)))))</f>
        <v>0</v>
      </c>
      <c r="AT155">
        <f>V155-AH155</f>
        <v>0</v>
      </c>
      <c r="AU155">
        <f>W155-AI155</f>
        <v>0</v>
      </c>
      <c r="AV155">
        <f>X155-AJ155</f>
        <v>0</v>
      </c>
      <c r="AW155">
        <f>Y155-AK155</f>
        <v>0</v>
      </c>
      <c r="AX155">
        <f>Z155-AL155</f>
        <v>0</v>
      </c>
      <c r="AY155">
        <f>AA155-AM155</f>
        <v>0</v>
      </c>
      <c r="AZ155">
        <f>AB155-AN155</f>
        <v>0</v>
      </c>
      <c r="BA155">
        <f>AC155-AO155</f>
        <v>0</v>
      </c>
      <c r="BB155">
        <f>AD155-AP155</f>
        <v>0</v>
      </c>
      <c r="BC155">
        <f>AE155-AQ155</f>
        <v>0</v>
      </c>
      <c r="BD155">
        <f>AF155-AR155</f>
        <v>0</v>
      </c>
      <c r="BE155">
        <f>AG155-AS155</f>
        <v>0</v>
      </c>
    </row>
    <row r="156">
      <c r="A156" t="n">
        <v>126</v>
      </c>
      <c r="B156">
        <f>SUMPRODUCT(ROUND($AT155:$BE155*(1+'Calc base'!$H156:$S156),2))</f>
        <v>0</v>
      </c>
      <c r="C156">
        <f>SUM(J156:U156)</f>
        <v>0</v>
      </c>
      <c r="D156">
        <f>SUM(V156:AG156)</f>
        <v>0</v>
      </c>
      <c r="E156">
        <f>MAX(0,IF(Impostazioni!$B$7="No",'Calc base'!$C156-$C$31,'Calc base'!$C156-C156)+'Calc base'!$G156+'Calc base'!$F156-(B156-C156-D156))</f>
        <v>900</v>
      </c>
      <c r="F156">
        <f>SUM(AH156:AS156)</f>
        <v>0</v>
      </c>
      <c r="G156">
        <f>SUM(AT156:BE156)</f>
        <v>0</v>
      </c>
      <c r="H156">
        <f>B156-G155</f>
        <v>0</v>
      </c>
      <c r="I156">
        <f>B156-G156</f>
        <v>0</v>
      </c>
      <c r="J156">
        <f>IF(AT155&lt;=0,0,IF(ROUND(AT155*(1+'Calc base'!H156),2)-MAX('Calc base'!C$12,ROUND('Calc base'!C$13*AT155,2))&lt;1,ROUND(AT155*(1+'Calc base'!H156),2),MAX('Calc base'!C$12,ROUND('Calc base'!C$13*AT155,2))))</f>
        <v>0</v>
      </c>
      <c r="K156">
        <f>IF(AU155&lt;=0,0,IF(ROUND(AU155*(1+'Calc base'!I156),2)-MAX('Calc base'!D$12,ROUND('Calc base'!D$13*AU155,2))&lt;1,ROUND(AU155*(1+'Calc base'!I156),2),MAX('Calc base'!D$12,ROUND('Calc base'!D$13*AU155,2))))</f>
        <v>0</v>
      </c>
      <c r="L156">
        <f>IF(AV155&lt;=0,0,IF(ROUND(AV155*(1+'Calc base'!J156),2)-MAX('Calc base'!E$12,ROUND('Calc base'!E$13*AV155,2))&lt;1,ROUND(AV155*(1+'Calc base'!J156),2),MAX('Calc base'!E$12,ROUND('Calc base'!E$13*AV155,2))))</f>
        <v>0</v>
      </c>
      <c r="M156">
        <f>IF(AW155&lt;=0,0,IF(ROUND(AW155*(1+'Calc base'!K156),2)-MAX('Calc base'!F$12,ROUND('Calc base'!F$13*AW155,2))&lt;1,ROUND(AW155*(1+'Calc base'!K156),2),MAX('Calc base'!F$12,ROUND('Calc base'!F$13*AW155,2))))</f>
        <v>0</v>
      </c>
      <c r="N156">
        <f>IF(AX155&lt;=0,0,IF(ROUND(AX155*(1+'Calc base'!L156),2)-MAX('Calc base'!G$12,ROUND('Calc base'!G$13*AX155,2))&lt;1,ROUND(AX155*(1+'Calc base'!L156),2),MAX('Calc base'!G$12,ROUND('Calc base'!G$13*AX155,2))))</f>
        <v>0</v>
      </c>
      <c r="O156">
        <f>IF(AY155&lt;=0,0,IF(ROUND(AY155*(1+'Calc base'!M156),2)-MAX('Calc base'!H$12,ROUND('Calc base'!H$13*AY155,2))&lt;1,ROUND(AY155*(1+'Calc base'!M156),2),MAX('Calc base'!H$12,ROUND('Calc base'!H$13*AY155,2))))</f>
        <v>0</v>
      </c>
      <c r="P156">
        <f>IF(AZ155&lt;=0,0,IF(ROUND(AZ155*(1+'Calc base'!N156),2)-MAX('Calc base'!I$12,ROUND('Calc base'!I$13*AZ155,2))&lt;1,ROUND(AZ155*(1+'Calc base'!N156),2),MAX('Calc base'!I$12,ROUND('Calc base'!I$13*AZ155,2))))</f>
        <v>0</v>
      </c>
      <c r="Q156">
        <f>IF(BA155&lt;=0,0,IF(ROUND(BA155*(1+'Calc base'!O156),2)-MAX('Calc base'!J$12,ROUND('Calc base'!J$13*BA155,2))&lt;1,ROUND(BA155*(1+'Calc base'!O156),2),MAX('Calc base'!J$12,ROUND('Calc base'!J$13*BA155,2))))</f>
        <v>0</v>
      </c>
      <c r="R156">
        <f>IF(BB155&lt;=0,0,IF(ROUND(BB155*(1+'Calc base'!P156),2)-MAX('Calc base'!K$12,ROUND('Calc base'!K$13*BB155,2))&lt;1,ROUND(BB155*(1+'Calc base'!P156),2),MAX('Calc base'!K$12,ROUND('Calc base'!K$13*BB155,2))))</f>
        <v>0</v>
      </c>
      <c r="S156">
        <f>IF(BC155&lt;=0,0,IF(ROUND(BC155*(1+'Calc base'!Q156),2)-MAX('Calc base'!L$12,ROUND('Calc base'!L$13*BC155,2))&lt;1,ROUND(BC155*(1+'Calc base'!Q156),2),MAX('Calc base'!L$12,ROUND('Calc base'!L$13*BC155,2))))</f>
        <v>0</v>
      </c>
      <c r="T156">
        <f>IF(BD155&lt;=0,0,IF(ROUND(BD155*(1+'Calc base'!R156),2)-MAX('Calc base'!M$12,ROUND('Calc base'!M$13*BD155,2))&lt;1,ROUND(BD155*(1+'Calc base'!R156),2),MAX('Calc base'!M$12,ROUND('Calc base'!M$13*BD155,2))))</f>
        <v>0</v>
      </c>
      <c r="U156">
        <f>IF(BE155&lt;=0,0,IF(ROUND(BE155*(1+'Calc base'!S156),2)-MAX('Calc base'!N$12,ROUND('Calc base'!N$13*BE155,2))&lt;1,ROUND(BE155*(1+'Calc base'!S156),2),MAX('Calc base'!N$12,ROUND('Calc base'!N$13*BE155,2))))</f>
        <v>0</v>
      </c>
      <c r="V156">
        <f>MAX(0,ROUND(AT155*(1+'Calc base'!H156),2)-J156-'Calc base'!T156)</f>
        <v>0</v>
      </c>
      <c r="W156">
        <f>MAX(0,ROUND(AU155*(1+'Calc base'!I156),2)-K156-'Calc base'!U156)</f>
        <v>0</v>
      </c>
      <c r="X156">
        <f>MAX(0,ROUND(AV155*(1+'Calc base'!J156),2)-L156-'Calc base'!V156)</f>
        <v>0</v>
      </c>
      <c r="Y156">
        <f>MAX(0,ROUND(AW155*(1+'Calc base'!K156),2)-M156-'Calc base'!W156)</f>
        <v>0</v>
      </c>
      <c r="Z156">
        <f>MAX(0,ROUND(AX155*(1+'Calc base'!L156),2)-N156-'Calc base'!X156)</f>
        <v>0</v>
      </c>
      <c r="AA156">
        <f>MAX(0,ROUND(AY155*(1+'Calc base'!M156),2)-O156-'Calc base'!Y156)</f>
        <v>0</v>
      </c>
      <c r="AB156">
        <f>MAX(0,ROUND(AZ155*(1+'Calc base'!N156),2)-P156-'Calc base'!Z156)</f>
        <v>0</v>
      </c>
      <c r="AC156">
        <f>MAX(0,ROUND(BA155*(1+'Calc base'!O156),2)-Q156-'Calc base'!AA156)</f>
        <v>0</v>
      </c>
      <c r="AD156">
        <f>MAX(0,ROUND(BB155*(1+'Calc base'!P156),2)-R156-'Calc base'!AB156)</f>
        <v>0</v>
      </c>
      <c r="AE156">
        <f>MAX(0,ROUND(BC155*(1+'Calc base'!Q156),2)-S156-'Calc base'!AC156)</f>
        <v>0</v>
      </c>
      <c r="AF156">
        <f>MAX(0,ROUND(BD155*(1+'Calc base'!R156),2)-T156-'Calc base'!AD156)</f>
        <v>0</v>
      </c>
      <c r="AG156">
        <f>MAX(0,ROUND(BE155*(1+'Calc base'!S156),2)-U156-'Calc base'!AE156)</f>
        <v>0</v>
      </c>
      <c r="AH156">
        <f>IF('Calc base'!C$14=0,0,MIN(V156,MAX(0,$E156-SUMPRODUCT($V156:$AG156,'Calc base'!$C$14:$N$14,('Calc base'!$H156:$S156&gt;'Calc base'!H156)+('Calc base'!$H156:$S156='Calc base'!H156)*('Calc base'!$C$17:$N$17&lt;'Calc base'!C$17)))))</f>
        <v>0</v>
      </c>
      <c r="AI156">
        <f>IF('Calc base'!D$14=0,0,MIN(W156,MAX(0,$E156-SUMPRODUCT($V156:$AG156,'Calc base'!$C$14:$N$14,('Calc base'!$H156:$S156&gt;'Calc base'!I156)+('Calc base'!$H156:$S156='Calc base'!I156)*('Calc base'!$C$17:$N$17&lt;'Calc base'!D$17)))))</f>
        <v>0</v>
      </c>
      <c r="AJ156">
        <f>IF('Calc base'!E$14=0,0,MIN(X156,MAX(0,$E156-SUMPRODUCT($V156:$AG156,'Calc base'!$C$14:$N$14,('Calc base'!$H156:$S156&gt;'Calc base'!J156)+('Calc base'!$H156:$S156='Calc base'!J156)*('Calc base'!$C$17:$N$17&lt;'Calc base'!E$17)))))</f>
        <v>0</v>
      </c>
      <c r="AK156">
        <f>IF('Calc base'!F$14=0,0,MIN(Y156,MAX(0,$E156-SUMPRODUCT($V156:$AG156,'Calc base'!$C$14:$N$14,('Calc base'!$H156:$S156&gt;'Calc base'!K156)+('Calc base'!$H156:$S156='Calc base'!K156)*('Calc base'!$C$17:$N$17&lt;'Calc base'!F$17)))))</f>
        <v>0</v>
      </c>
      <c r="AL156">
        <f>IF('Calc base'!G$14=0,0,MIN(Z156,MAX(0,$E156-SUMPRODUCT($V156:$AG156,'Calc base'!$C$14:$N$14,('Calc base'!$H156:$S156&gt;'Calc base'!L156)+('Calc base'!$H156:$S156='Calc base'!L156)*('Calc base'!$C$17:$N$17&lt;'Calc base'!G$17)))))</f>
        <v>0</v>
      </c>
      <c r="AM156">
        <f>IF('Calc base'!H$14=0,0,MIN(AA156,MAX(0,$E156-SUMPRODUCT($V156:$AG156,'Calc base'!$C$14:$N$14,('Calc base'!$H156:$S156&gt;'Calc base'!M156)+('Calc base'!$H156:$S156='Calc base'!M156)*('Calc base'!$C$17:$N$17&lt;'Calc base'!H$17)))))</f>
        <v>0</v>
      </c>
      <c r="AN156">
        <f>IF('Calc base'!I$14=0,0,MIN(AB156,MAX(0,$E156-SUMPRODUCT($V156:$AG156,'Calc base'!$C$14:$N$14,('Calc base'!$H156:$S156&gt;'Calc base'!N156)+('Calc base'!$H156:$S156='Calc base'!N156)*('Calc base'!$C$17:$N$17&lt;'Calc base'!I$17)))))</f>
        <v>0</v>
      </c>
      <c r="AO156">
        <f>IF('Calc base'!J$14=0,0,MIN(AC156,MAX(0,$E156-SUMPRODUCT($V156:$AG156,'Calc base'!$C$14:$N$14,('Calc base'!$H156:$S156&gt;'Calc base'!O156)+('Calc base'!$H156:$S156='Calc base'!O156)*('Calc base'!$C$17:$N$17&lt;'Calc base'!J$17)))))</f>
        <v>0</v>
      </c>
      <c r="AP156">
        <f>IF('Calc base'!K$14=0,0,MIN(AD156,MAX(0,$E156-SUMPRODUCT($V156:$AG156,'Calc base'!$C$14:$N$14,('Calc base'!$H156:$S156&gt;'Calc base'!P156)+('Calc base'!$H156:$S156='Calc base'!P156)*('Calc base'!$C$17:$N$17&lt;'Calc base'!K$17)))))</f>
        <v>0</v>
      </c>
      <c r="AQ156">
        <f>IF('Calc base'!L$14=0,0,MIN(AE156,MAX(0,$E156-SUMPRODUCT($V156:$AG156,'Calc base'!$C$14:$N$14,('Calc base'!$H156:$S156&gt;'Calc base'!Q156)+('Calc base'!$H156:$S156='Calc base'!Q156)*('Calc base'!$C$17:$N$17&lt;'Calc base'!L$17)))))</f>
        <v>0</v>
      </c>
      <c r="AR156">
        <f>IF('Calc base'!M$14=0,0,MIN(AF156,MAX(0,$E156-SUMPRODUCT($V156:$AG156,'Calc base'!$C$14:$N$14,('Calc base'!$H156:$S156&gt;'Calc base'!R156)+('Calc base'!$H156:$S156='Calc base'!R156)*('Calc base'!$C$17:$N$17&lt;'Calc base'!M$17)))))</f>
        <v>0</v>
      </c>
      <c r="AS156">
        <f>IF('Calc base'!N$14=0,0,MIN(AG156,MAX(0,$E156-SUMPRODUCT($V156:$AG156,'Calc base'!$C$14:$N$14,('Calc base'!$H156:$S156&gt;'Calc base'!S156)+('Calc base'!$H156:$S156='Calc base'!S156)*('Calc base'!$C$17:$N$17&lt;'Calc base'!N$17)))))</f>
        <v>0</v>
      </c>
      <c r="AT156">
        <f>V156-AH156</f>
        <v>0</v>
      </c>
      <c r="AU156">
        <f>W156-AI156</f>
        <v>0</v>
      </c>
      <c r="AV156">
        <f>X156-AJ156</f>
        <v>0</v>
      </c>
      <c r="AW156">
        <f>Y156-AK156</f>
        <v>0</v>
      </c>
      <c r="AX156">
        <f>Z156-AL156</f>
        <v>0</v>
      </c>
      <c r="AY156">
        <f>AA156-AM156</f>
        <v>0</v>
      </c>
      <c r="AZ156">
        <f>AB156-AN156</f>
        <v>0</v>
      </c>
      <c r="BA156">
        <f>AC156-AO156</f>
        <v>0</v>
      </c>
      <c r="BB156">
        <f>AD156-AP156</f>
        <v>0</v>
      </c>
      <c r="BC156">
        <f>AE156-AQ156</f>
        <v>0</v>
      </c>
      <c r="BD156">
        <f>AF156-AR156</f>
        <v>0</v>
      </c>
      <c r="BE156">
        <f>AG156-AS156</f>
        <v>0</v>
      </c>
    </row>
    <row r="157">
      <c r="A157" t="n">
        <v>127</v>
      </c>
      <c r="B157">
        <f>SUMPRODUCT(ROUND($AT156:$BE156*(1+'Calc base'!$H157:$S157),2))</f>
        <v>0</v>
      </c>
      <c r="C157">
        <f>SUM(J157:U157)</f>
        <v>0</v>
      </c>
      <c r="D157">
        <f>SUM(V157:AG157)</f>
        <v>0</v>
      </c>
      <c r="E157">
        <f>MAX(0,IF(Impostazioni!$B$7="No",'Calc base'!$C157-$C$31,'Calc base'!$C157-C157)+'Calc base'!$G157+'Calc base'!$F157-(B157-C157-D157))</f>
        <v>900</v>
      </c>
      <c r="F157">
        <f>SUM(AH157:AS157)</f>
        <v>0</v>
      </c>
      <c r="G157">
        <f>SUM(AT157:BE157)</f>
        <v>0</v>
      </c>
      <c r="H157">
        <f>B157-G156</f>
        <v>0</v>
      </c>
      <c r="I157">
        <f>B157-G157</f>
        <v>0</v>
      </c>
      <c r="J157">
        <f>IF(AT156&lt;=0,0,IF(ROUND(AT156*(1+'Calc base'!H157),2)-MAX('Calc base'!C$12,ROUND('Calc base'!C$13*AT156,2))&lt;1,ROUND(AT156*(1+'Calc base'!H157),2),MAX('Calc base'!C$12,ROUND('Calc base'!C$13*AT156,2))))</f>
        <v>0</v>
      </c>
      <c r="K157">
        <f>IF(AU156&lt;=0,0,IF(ROUND(AU156*(1+'Calc base'!I157),2)-MAX('Calc base'!D$12,ROUND('Calc base'!D$13*AU156,2))&lt;1,ROUND(AU156*(1+'Calc base'!I157),2),MAX('Calc base'!D$12,ROUND('Calc base'!D$13*AU156,2))))</f>
        <v>0</v>
      </c>
      <c r="L157">
        <f>IF(AV156&lt;=0,0,IF(ROUND(AV156*(1+'Calc base'!J157),2)-MAX('Calc base'!E$12,ROUND('Calc base'!E$13*AV156,2))&lt;1,ROUND(AV156*(1+'Calc base'!J157),2),MAX('Calc base'!E$12,ROUND('Calc base'!E$13*AV156,2))))</f>
        <v>0</v>
      </c>
      <c r="M157">
        <f>IF(AW156&lt;=0,0,IF(ROUND(AW156*(1+'Calc base'!K157),2)-MAX('Calc base'!F$12,ROUND('Calc base'!F$13*AW156,2))&lt;1,ROUND(AW156*(1+'Calc base'!K157),2),MAX('Calc base'!F$12,ROUND('Calc base'!F$13*AW156,2))))</f>
        <v>0</v>
      </c>
      <c r="N157">
        <f>IF(AX156&lt;=0,0,IF(ROUND(AX156*(1+'Calc base'!L157),2)-MAX('Calc base'!G$12,ROUND('Calc base'!G$13*AX156,2))&lt;1,ROUND(AX156*(1+'Calc base'!L157),2),MAX('Calc base'!G$12,ROUND('Calc base'!G$13*AX156,2))))</f>
        <v>0</v>
      </c>
      <c r="O157">
        <f>IF(AY156&lt;=0,0,IF(ROUND(AY156*(1+'Calc base'!M157),2)-MAX('Calc base'!H$12,ROUND('Calc base'!H$13*AY156,2))&lt;1,ROUND(AY156*(1+'Calc base'!M157),2),MAX('Calc base'!H$12,ROUND('Calc base'!H$13*AY156,2))))</f>
        <v>0</v>
      </c>
      <c r="P157">
        <f>IF(AZ156&lt;=0,0,IF(ROUND(AZ156*(1+'Calc base'!N157),2)-MAX('Calc base'!I$12,ROUND('Calc base'!I$13*AZ156,2))&lt;1,ROUND(AZ156*(1+'Calc base'!N157),2),MAX('Calc base'!I$12,ROUND('Calc base'!I$13*AZ156,2))))</f>
        <v>0</v>
      </c>
      <c r="Q157">
        <f>IF(BA156&lt;=0,0,IF(ROUND(BA156*(1+'Calc base'!O157),2)-MAX('Calc base'!J$12,ROUND('Calc base'!J$13*BA156,2))&lt;1,ROUND(BA156*(1+'Calc base'!O157),2),MAX('Calc base'!J$12,ROUND('Calc base'!J$13*BA156,2))))</f>
        <v>0</v>
      </c>
      <c r="R157">
        <f>IF(BB156&lt;=0,0,IF(ROUND(BB156*(1+'Calc base'!P157),2)-MAX('Calc base'!K$12,ROUND('Calc base'!K$13*BB156,2))&lt;1,ROUND(BB156*(1+'Calc base'!P157),2),MAX('Calc base'!K$12,ROUND('Calc base'!K$13*BB156,2))))</f>
        <v>0</v>
      </c>
      <c r="S157">
        <f>IF(BC156&lt;=0,0,IF(ROUND(BC156*(1+'Calc base'!Q157),2)-MAX('Calc base'!L$12,ROUND('Calc base'!L$13*BC156,2))&lt;1,ROUND(BC156*(1+'Calc base'!Q157),2),MAX('Calc base'!L$12,ROUND('Calc base'!L$13*BC156,2))))</f>
        <v>0</v>
      </c>
      <c r="T157">
        <f>IF(BD156&lt;=0,0,IF(ROUND(BD156*(1+'Calc base'!R157),2)-MAX('Calc base'!M$12,ROUND('Calc base'!M$13*BD156,2))&lt;1,ROUND(BD156*(1+'Calc base'!R157),2),MAX('Calc base'!M$12,ROUND('Calc base'!M$13*BD156,2))))</f>
        <v>0</v>
      </c>
      <c r="U157">
        <f>IF(BE156&lt;=0,0,IF(ROUND(BE156*(1+'Calc base'!S157),2)-MAX('Calc base'!N$12,ROUND('Calc base'!N$13*BE156,2))&lt;1,ROUND(BE156*(1+'Calc base'!S157),2),MAX('Calc base'!N$12,ROUND('Calc base'!N$13*BE156,2))))</f>
        <v>0</v>
      </c>
      <c r="V157">
        <f>MAX(0,ROUND(AT156*(1+'Calc base'!H157),2)-J157-'Calc base'!T157)</f>
        <v>0</v>
      </c>
      <c r="W157">
        <f>MAX(0,ROUND(AU156*(1+'Calc base'!I157),2)-K157-'Calc base'!U157)</f>
        <v>0</v>
      </c>
      <c r="X157">
        <f>MAX(0,ROUND(AV156*(1+'Calc base'!J157),2)-L157-'Calc base'!V157)</f>
        <v>0</v>
      </c>
      <c r="Y157">
        <f>MAX(0,ROUND(AW156*(1+'Calc base'!K157),2)-M157-'Calc base'!W157)</f>
        <v>0</v>
      </c>
      <c r="Z157">
        <f>MAX(0,ROUND(AX156*(1+'Calc base'!L157),2)-N157-'Calc base'!X157)</f>
        <v>0</v>
      </c>
      <c r="AA157">
        <f>MAX(0,ROUND(AY156*(1+'Calc base'!M157),2)-O157-'Calc base'!Y157)</f>
        <v>0</v>
      </c>
      <c r="AB157">
        <f>MAX(0,ROUND(AZ156*(1+'Calc base'!N157),2)-P157-'Calc base'!Z157)</f>
        <v>0</v>
      </c>
      <c r="AC157">
        <f>MAX(0,ROUND(BA156*(1+'Calc base'!O157),2)-Q157-'Calc base'!AA157)</f>
        <v>0</v>
      </c>
      <c r="AD157">
        <f>MAX(0,ROUND(BB156*(1+'Calc base'!P157),2)-R157-'Calc base'!AB157)</f>
        <v>0</v>
      </c>
      <c r="AE157">
        <f>MAX(0,ROUND(BC156*(1+'Calc base'!Q157),2)-S157-'Calc base'!AC157)</f>
        <v>0</v>
      </c>
      <c r="AF157">
        <f>MAX(0,ROUND(BD156*(1+'Calc base'!R157),2)-T157-'Calc base'!AD157)</f>
        <v>0</v>
      </c>
      <c r="AG157">
        <f>MAX(0,ROUND(BE156*(1+'Calc base'!S157),2)-U157-'Calc base'!AE157)</f>
        <v>0</v>
      </c>
      <c r="AH157">
        <f>IF('Calc base'!C$14=0,0,MIN(V157,MAX(0,$E157-SUMPRODUCT($V157:$AG157,'Calc base'!$C$14:$N$14,('Calc base'!$H157:$S157&gt;'Calc base'!H157)+('Calc base'!$H157:$S157='Calc base'!H157)*('Calc base'!$C$17:$N$17&lt;'Calc base'!C$17)))))</f>
        <v>0</v>
      </c>
      <c r="AI157">
        <f>IF('Calc base'!D$14=0,0,MIN(W157,MAX(0,$E157-SUMPRODUCT($V157:$AG157,'Calc base'!$C$14:$N$14,('Calc base'!$H157:$S157&gt;'Calc base'!I157)+('Calc base'!$H157:$S157='Calc base'!I157)*('Calc base'!$C$17:$N$17&lt;'Calc base'!D$17)))))</f>
        <v>0</v>
      </c>
      <c r="AJ157">
        <f>IF('Calc base'!E$14=0,0,MIN(X157,MAX(0,$E157-SUMPRODUCT($V157:$AG157,'Calc base'!$C$14:$N$14,('Calc base'!$H157:$S157&gt;'Calc base'!J157)+('Calc base'!$H157:$S157='Calc base'!J157)*('Calc base'!$C$17:$N$17&lt;'Calc base'!E$17)))))</f>
        <v>0</v>
      </c>
      <c r="AK157">
        <f>IF('Calc base'!F$14=0,0,MIN(Y157,MAX(0,$E157-SUMPRODUCT($V157:$AG157,'Calc base'!$C$14:$N$14,('Calc base'!$H157:$S157&gt;'Calc base'!K157)+('Calc base'!$H157:$S157='Calc base'!K157)*('Calc base'!$C$17:$N$17&lt;'Calc base'!F$17)))))</f>
        <v>0</v>
      </c>
      <c r="AL157">
        <f>IF('Calc base'!G$14=0,0,MIN(Z157,MAX(0,$E157-SUMPRODUCT($V157:$AG157,'Calc base'!$C$14:$N$14,('Calc base'!$H157:$S157&gt;'Calc base'!L157)+('Calc base'!$H157:$S157='Calc base'!L157)*('Calc base'!$C$17:$N$17&lt;'Calc base'!G$17)))))</f>
        <v>0</v>
      </c>
      <c r="AM157">
        <f>IF('Calc base'!H$14=0,0,MIN(AA157,MAX(0,$E157-SUMPRODUCT($V157:$AG157,'Calc base'!$C$14:$N$14,('Calc base'!$H157:$S157&gt;'Calc base'!M157)+('Calc base'!$H157:$S157='Calc base'!M157)*('Calc base'!$C$17:$N$17&lt;'Calc base'!H$17)))))</f>
        <v>0</v>
      </c>
      <c r="AN157">
        <f>IF('Calc base'!I$14=0,0,MIN(AB157,MAX(0,$E157-SUMPRODUCT($V157:$AG157,'Calc base'!$C$14:$N$14,('Calc base'!$H157:$S157&gt;'Calc base'!N157)+('Calc base'!$H157:$S157='Calc base'!N157)*('Calc base'!$C$17:$N$17&lt;'Calc base'!I$17)))))</f>
        <v>0</v>
      </c>
      <c r="AO157">
        <f>IF('Calc base'!J$14=0,0,MIN(AC157,MAX(0,$E157-SUMPRODUCT($V157:$AG157,'Calc base'!$C$14:$N$14,('Calc base'!$H157:$S157&gt;'Calc base'!O157)+('Calc base'!$H157:$S157='Calc base'!O157)*('Calc base'!$C$17:$N$17&lt;'Calc base'!J$17)))))</f>
        <v>0</v>
      </c>
      <c r="AP157">
        <f>IF('Calc base'!K$14=0,0,MIN(AD157,MAX(0,$E157-SUMPRODUCT($V157:$AG157,'Calc base'!$C$14:$N$14,('Calc base'!$H157:$S157&gt;'Calc base'!P157)+('Calc base'!$H157:$S157='Calc base'!P157)*('Calc base'!$C$17:$N$17&lt;'Calc base'!K$17)))))</f>
        <v>0</v>
      </c>
      <c r="AQ157">
        <f>IF('Calc base'!L$14=0,0,MIN(AE157,MAX(0,$E157-SUMPRODUCT($V157:$AG157,'Calc base'!$C$14:$N$14,('Calc base'!$H157:$S157&gt;'Calc base'!Q157)+('Calc base'!$H157:$S157='Calc base'!Q157)*('Calc base'!$C$17:$N$17&lt;'Calc base'!L$17)))))</f>
        <v>0</v>
      </c>
      <c r="AR157">
        <f>IF('Calc base'!M$14=0,0,MIN(AF157,MAX(0,$E157-SUMPRODUCT($V157:$AG157,'Calc base'!$C$14:$N$14,('Calc base'!$H157:$S157&gt;'Calc base'!R157)+('Calc base'!$H157:$S157='Calc base'!R157)*('Calc base'!$C$17:$N$17&lt;'Calc base'!M$17)))))</f>
        <v>0</v>
      </c>
      <c r="AS157">
        <f>IF('Calc base'!N$14=0,0,MIN(AG157,MAX(0,$E157-SUMPRODUCT($V157:$AG157,'Calc base'!$C$14:$N$14,('Calc base'!$H157:$S157&gt;'Calc base'!S157)+('Calc base'!$H157:$S157='Calc base'!S157)*('Calc base'!$C$17:$N$17&lt;'Calc base'!N$17)))))</f>
        <v>0</v>
      </c>
      <c r="AT157">
        <f>V157-AH157</f>
        <v>0</v>
      </c>
      <c r="AU157">
        <f>W157-AI157</f>
        <v>0</v>
      </c>
      <c r="AV157">
        <f>X157-AJ157</f>
        <v>0</v>
      </c>
      <c r="AW157">
        <f>Y157-AK157</f>
        <v>0</v>
      </c>
      <c r="AX157">
        <f>Z157-AL157</f>
        <v>0</v>
      </c>
      <c r="AY157">
        <f>AA157-AM157</f>
        <v>0</v>
      </c>
      <c r="AZ157">
        <f>AB157-AN157</f>
        <v>0</v>
      </c>
      <c r="BA157">
        <f>AC157-AO157</f>
        <v>0</v>
      </c>
      <c r="BB157">
        <f>AD157-AP157</f>
        <v>0</v>
      </c>
      <c r="BC157">
        <f>AE157-AQ157</f>
        <v>0</v>
      </c>
      <c r="BD157">
        <f>AF157-AR157</f>
        <v>0</v>
      </c>
      <c r="BE157">
        <f>AG157-AS157</f>
        <v>0</v>
      </c>
    </row>
    <row r="158">
      <c r="A158" t="n">
        <v>128</v>
      </c>
      <c r="B158">
        <f>SUMPRODUCT(ROUND($AT157:$BE157*(1+'Calc base'!$H158:$S158),2))</f>
        <v>0</v>
      </c>
      <c r="C158">
        <f>SUM(J158:U158)</f>
        <v>0</v>
      </c>
      <c r="D158">
        <f>SUM(V158:AG158)</f>
        <v>0</v>
      </c>
      <c r="E158">
        <f>MAX(0,IF(Impostazioni!$B$7="No",'Calc base'!$C158-$C$31,'Calc base'!$C158-C158)+'Calc base'!$G158+'Calc base'!$F158-(B158-C158-D158))</f>
        <v>900</v>
      </c>
      <c r="F158">
        <f>SUM(AH158:AS158)</f>
        <v>0</v>
      </c>
      <c r="G158">
        <f>SUM(AT158:BE158)</f>
        <v>0</v>
      </c>
      <c r="H158">
        <f>B158-G157</f>
        <v>0</v>
      </c>
      <c r="I158">
        <f>B158-G158</f>
        <v>0</v>
      </c>
      <c r="J158">
        <f>IF(AT157&lt;=0,0,IF(ROUND(AT157*(1+'Calc base'!H158),2)-MAX('Calc base'!C$12,ROUND('Calc base'!C$13*AT157,2))&lt;1,ROUND(AT157*(1+'Calc base'!H158),2),MAX('Calc base'!C$12,ROUND('Calc base'!C$13*AT157,2))))</f>
        <v>0</v>
      </c>
      <c r="K158">
        <f>IF(AU157&lt;=0,0,IF(ROUND(AU157*(1+'Calc base'!I158),2)-MAX('Calc base'!D$12,ROUND('Calc base'!D$13*AU157,2))&lt;1,ROUND(AU157*(1+'Calc base'!I158),2),MAX('Calc base'!D$12,ROUND('Calc base'!D$13*AU157,2))))</f>
        <v>0</v>
      </c>
      <c r="L158">
        <f>IF(AV157&lt;=0,0,IF(ROUND(AV157*(1+'Calc base'!J158),2)-MAX('Calc base'!E$12,ROUND('Calc base'!E$13*AV157,2))&lt;1,ROUND(AV157*(1+'Calc base'!J158),2),MAX('Calc base'!E$12,ROUND('Calc base'!E$13*AV157,2))))</f>
        <v>0</v>
      </c>
      <c r="M158">
        <f>IF(AW157&lt;=0,0,IF(ROUND(AW157*(1+'Calc base'!K158),2)-MAX('Calc base'!F$12,ROUND('Calc base'!F$13*AW157,2))&lt;1,ROUND(AW157*(1+'Calc base'!K158),2),MAX('Calc base'!F$12,ROUND('Calc base'!F$13*AW157,2))))</f>
        <v>0</v>
      </c>
      <c r="N158">
        <f>IF(AX157&lt;=0,0,IF(ROUND(AX157*(1+'Calc base'!L158),2)-MAX('Calc base'!G$12,ROUND('Calc base'!G$13*AX157,2))&lt;1,ROUND(AX157*(1+'Calc base'!L158),2),MAX('Calc base'!G$12,ROUND('Calc base'!G$13*AX157,2))))</f>
        <v>0</v>
      </c>
      <c r="O158">
        <f>IF(AY157&lt;=0,0,IF(ROUND(AY157*(1+'Calc base'!M158),2)-MAX('Calc base'!H$12,ROUND('Calc base'!H$13*AY157,2))&lt;1,ROUND(AY157*(1+'Calc base'!M158),2),MAX('Calc base'!H$12,ROUND('Calc base'!H$13*AY157,2))))</f>
        <v>0</v>
      </c>
      <c r="P158">
        <f>IF(AZ157&lt;=0,0,IF(ROUND(AZ157*(1+'Calc base'!N158),2)-MAX('Calc base'!I$12,ROUND('Calc base'!I$13*AZ157,2))&lt;1,ROUND(AZ157*(1+'Calc base'!N158),2),MAX('Calc base'!I$12,ROUND('Calc base'!I$13*AZ157,2))))</f>
        <v>0</v>
      </c>
      <c r="Q158">
        <f>IF(BA157&lt;=0,0,IF(ROUND(BA157*(1+'Calc base'!O158),2)-MAX('Calc base'!J$12,ROUND('Calc base'!J$13*BA157,2))&lt;1,ROUND(BA157*(1+'Calc base'!O158),2),MAX('Calc base'!J$12,ROUND('Calc base'!J$13*BA157,2))))</f>
        <v>0</v>
      </c>
      <c r="R158">
        <f>IF(BB157&lt;=0,0,IF(ROUND(BB157*(1+'Calc base'!P158),2)-MAX('Calc base'!K$12,ROUND('Calc base'!K$13*BB157,2))&lt;1,ROUND(BB157*(1+'Calc base'!P158),2),MAX('Calc base'!K$12,ROUND('Calc base'!K$13*BB157,2))))</f>
        <v>0</v>
      </c>
      <c r="S158">
        <f>IF(BC157&lt;=0,0,IF(ROUND(BC157*(1+'Calc base'!Q158),2)-MAX('Calc base'!L$12,ROUND('Calc base'!L$13*BC157,2))&lt;1,ROUND(BC157*(1+'Calc base'!Q158),2),MAX('Calc base'!L$12,ROUND('Calc base'!L$13*BC157,2))))</f>
        <v>0</v>
      </c>
      <c r="T158">
        <f>IF(BD157&lt;=0,0,IF(ROUND(BD157*(1+'Calc base'!R158),2)-MAX('Calc base'!M$12,ROUND('Calc base'!M$13*BD157,2))&lt;1,ROUND(BD157*(1+'Calc base'!R158),2),MAX('Calc base'!M$12,ROUND('Calc base'!M$13*BD157,2))))</f>
        <v>0</v>
      </c>
      <c r="U158">
        <f>IF(BE157&lt;=0,0,IF(ROUND(BE157*(1+'Calc base'!S158),2)-MAX('Calc base'!N$12,ROUND('Calc base'!N$13*BE157,2))&lt;1,ROUND(BE157*(1+'Calc base'!S158),2),MAX('Calc base'!N$12,ROUND('Calc base'!N$13*BE157,2))))</f>
        <v>0</v>
      </c>
      <c r="V158">
        <f>MAX(0,ROUND(AT157*(1+'Calc base'!H158),2)-J158-'Calc base'!T158)</f>
        <v>0</v>
      </c>
      <c r="W158">
        <f>MAX(0,ROUND(AU157*(1+'Calc base'!I158),2)-K158-'Calc base'!U158)</f>
        <v>0</v>
      </c>
      <c r="X158">
        <f>MAX(0,ROUND(AV157*(1+'Calc base'!J158),2)-L158-'Calc base'!V158)</f>
        <v>0</v>
      </c>
      <c r="Y158">
        <f>MAX(0,ROUND(AW157*(1+'Calc base'!K158),2)-M158-'Calc base'!W158)</f>
        <v>0</v>
      </c>
      <c r="Z158">
        <f>MAX(0,ROUND(AX157*(1+'Calc base'!L158),2)-N158-'Calc base'!X158)</f>
        <v>0</v>
      </c>
      <c r="AA158">
        <f>MAX(0,ROUND(AY157*(1+'Calc base'!M158),2)-O158-'Calc base'!Y158)</f>
        <v>0</v>
      </c>
      <c r="AB158">
        <f>MAX(0,ROUND(AZ157*(1+'Calc base'!N158),2)-P158-'Calc base'!Z158)</f>
        <v>0</v>
      </c>
      <c r="AC158">
        <f>MAX(0,ROUND(BA157*(1+'Calc base'!O158),2)-Q158-'Calc base'!AA158)</f>
        <v>0</v>
      </c>
      <c r="AD158">
        <f>MAX(0,ROUND(BB157*(1+'Calc base'!P158),2)-R158-'Calc base'!AB158)</f>
        <v>0</v>
      </c>
      <c r="AE158">
        <f>MAX(0,ROUND(BC157*(1+'Calc base'!Q158),2)-S158-'Calc base'!AC158)</f>
        <v>0</v>
      </c>
      <c r="AF158">
        <f>MAX(0,ROUND(BD157*(1+'Calc base'!R158),2)-T158-'Calc base'!AD158)</f>
        <v>0</v>
      </c>
      <c r="AG158">
        <f>MAX(0,ROUND(BE157*(1+'Calc base'!S158),2)-U158-'Calc base'!AE158)</f>
        <v>0</v>
      </c>
      <c r="AH158">
        <f>IF('Calc base'!C$14=0,0,MIN(V158,MAX(0,$E158-SUMPRODUCT($V158:$AG158,'Calc base'!$C$14:$N$14,('Calc base'!$H158:$S158&gt;'Calc base'!H158)+('Calc base'!$H158:$S158='Calc base'!H158)*('Calc base'!$C$17:$N$17&lt;'Calc base'!C$17)))))</f>
        <v>0</v>
      </c>
      <c r="AI158">
        <f>IF('Calc base'!D$14=0,0,MIN(W158,MAX(0,$E158-SUMPRODUCT($V158:$AG158,'Calc base'!$C$14:$N$14,('Calc base'!$H158:$S158&gt;'Calc base'!I158)+('Calc base'!$H158:$S158='Calc base'!I158)*('Calc base'!$C$17:$N$17&lt;'Calc base'!D$17)))))</f>
        <v>0</v>
      </c>
      <c r="AJ158">
        <f>IF('Calc base'!E$14=0,0,MIN(X158,MAX(0,$E158-SUMPRODUCT($V158:$AG158,'Calc base'!$C$14:$N$14,('Calc base'!$H158:$S158&gt;'Calc base'!J158)+('Calc base'!$H158:$S158='Calc base'!J158)*('Calc base'!$C$17:$N$17&lt;'Calc base'!E$17)))))</f>
        <v>0</v>
      </c>
      <c r="AK158">
        <f>IF('Calc base'!F$14=0,0,MIN(Y158,MAX(0,$E158-SUMPRODUCT($V158:$AG158,'Calc base'!$C$14:$N$14,('Calc base'!$H158:$S158&gt;'Calc base'!K158)+('Calc base'!$H158:$S158='Calc base'!K158)*('Calc base'!$C$17:$N$17&lt;'Calc base'!F$17)))))</f>
        <v>0</v>
      </c>
      <c r="AL158">
        <f>IF('Calc base'!G$14=0,0,MIN(Z158,MAX(0,$E158-SUMPRODUCT($V158:$AG158,'Calc base'!$C$14:$N$14,('Calc base'!$H158:$S158&gt;'Calc base'!L158)+('Calc base'!$H158:$S158='Calc base'!L158)*('Calc base'!$C$17:$N$17&lt;'Calc base'!G$17)))))</f>
        <v>0</v>
      </c>
      <c r="AM158">
        <f>IF('Calc base'!H$14=0,0,MIN(AA158,MAX(0,$E158-SUMPRODUCT($V158:$AG158,'Calc base'!$C$14:$N$14,('Calc base'!$H158:$S158&gt;'Calc base'!M158)+('Calc base'!$H158:$S158='Calc base'!M158)*('Calc base'!$C$17:$N$17&lt;'Calc base'!H$17)))))</f>
        <v>0</v>
      </c>
      <c r="AN158">
        <f>IF('Calc base'!I$14=0,0,MIN(AB158,MAX(0,$E158-SUMPRODUCT($V158:$AG158,'Calc base'!$C$14:$N$14,('Calc base'!$H158:$S158&gt;'Calc base'!N158)+('Calc base'!$H158:$S158='Calc base'!N158)*('Calc base'!$C$17:$N$17&lt;'Calc base'!I$17)))))</f>
        <v>0</v>
      </c>
      <c r="AO158">
        <f>IF('Calc base'!J$14=0,0,MIN(AC158,MAX(0,$E158-SUMPRODUCT($V158:$AG158,'Calc base'!$C$14:$N$14,('Calc base'!$H158:$S158&gt;'Calc base'!O158)+('Calc base'!$H158:$S158='Calc base'!O158)*('Calc base'!$C$17:$N$17&lt;'Calc base'!J$17)))))</f>
        <v>0</v>
      </c>
      <c r="AP158">
        <f>IF('Calc base'!K$14=0,0,MIN(AD158,MAX(0,$E158-SUMPRODUCT($V158:$AG158,'Calc base'!$C$14:$N$14,('Calc base'!$H158:$S158&gt;'Calc base'!P158)+('Calc base'!$H158:$S158='Calc base'!P158)*('Calc base'!$C$17:$N$17&lt;'Calc base'!K$17)))))</f>
        <v>0</v>
      </c>
      <c r="AQ158">
        <f>IF('Calc base'!L$14=0,0,MIN(AE158,MAX(0,$E158-SUMPRODUCT($V158:$AG158,'Calc base'!$C$14:$N$14,('Calc base'!$H158:$S158&gt;'Calc base'!Q158)+('Calc base'!$H158:$S158='Calc base'!Q158)*('Calc base'!$C$17:$N$17&lt;'Calc base'!L$17)))))</f>
        <v>0</v>
      </c>
      <c r="AR158">
        <f>IF('Calc base'!M$14=0,0,MIN(AF158,MAX(0,$E158-SUMPRODUCT($V158:$AG158,'Calc base'!$C$14:$N$14,('Calc base'!$H158:$S158&gt;'Calc base'!R158)+('Calc base'!$H158:$S158='Calc base'!R158)*('Calc base'!$C$17:$N$17&lt;'Calc base'!M$17)))))</f>
        <v>0</v>
      </c>
      <c r="AS158">
        <f>IF('Calc base'!N$14=0,0,MIN(AG158,MAX(0,$E158-SUMPRODUCT($V158:$AG158,'Calc base'!$C$14:$N$14,('Calc base'!$H158:$S158&gt;'Calc base'!S158)+('Calc base'!$H158:$S158='Calc base'!S158)*('Calc base'!$C$17:$N$17&lt;'Calc base'!N$17)))))</f>
        <v>0</v>
      </c>
      <c r="AT158">
        <f>V158-AH158</f>
        <v>0</v>
      </c>
      <c r="AU158">
        <f>W158-AI158</f>
        <v>0</v>
      </c>
      <c r="AV158">
        <f>X158-AJ158</f>
        <v>0</v>
      </c>
      <c r="AW158">
        <f>Y158-AK158</f>
        <v>0</v>
      </c>
      <c r="AX158">
        <f>Z158-AL158</f>
        <v>0</v>
      </c>
      <c r="AY158">
        <f>AA158-AM158</f>
        <v>0</v>
      </c>
      <c r="AZ158">
        <f>AB158-AN158</f>
        <v>0</v>
      </c>
      <c r="BA158">
        <f>AC158-AO158</f>
        <v>0</v>
      </c>
      <c r="BB158">
        <f>AD158-AP158</f>
        <v>0</v>
      </c>
      <c r="BC158">
        <f>AE158-AQ158</f>
        <v>0</v>
      </c>
      <c r="BD158">
        <f>AF158-AR158</f>
        <v>0</v>
      </c>
      <c r="BE158">
        <f>AG158-AS158</f>
        <v>0</v>
      </c>
    </row>
    <row r="159">
      <c r="A159" t="n">
        <v>129</v>
      </c>
      <c r="B159">
        <f>SUMPRODUCT(ROUND($AT158:$BE158*(1+'Calc base'!$H159:$S159),2))</f>
        <v>0</v>
      </c>
      <c r="C159">
        <f>SUM(J159:U159)</f>
        <v>0</v>
      </c>
      <c r="D159">
        <f>SUM(V159:AG159)</f>
        <v>0</v>
      </c>
      <c r="E159">
        <f>MAX(0,IF(Impostazioni!$B$7="No",'Calc base'!$C159-$C$31,'Calc base'!$C159-C159)+'Calc base'!$G159+'Calc base'!$F159-(B159-C159-D159))</f>
        <v>900</v>
      </c>
      <c r="F159">
        <f>SUM(AH159:AS159)</f>
        <v>0</v>
      </c>
      <c r="G159">
        <f>SUM(AT159:BE159)</f>
        <v>0</v>
      </c>
      <c r="H159">
        <f>B159-G158</f>
        <v>0</v>
      </c>
      <c r="I159">
        <f>B159-G159</f>
        <v>0</v>
      </c>
      <c r="J159">
        <f>IF(AT158&lt;=0,0,IF(ROUND(AT158*(1+'Calc base'!H159),2)-MAX('Calc base'!C$12,ROUND('Calc base'!C$13*AT158,2))&lt;1,ROUND(AT158*(1+'Calc base'!H159),2),MAX('Calc base'!C$12,ROUND('Calc base'!C$13*AT158,2))))</f>
        <v>0</v>
      </c>
      <c r="K159">
        <f>IF(AU158&lt;=0,0,IF(ROUND(AU158*(1+'Calc base'!I159),2)-MAX('Calc base'!D$12,ROUND('Calc base'!D$13*AU158,2))&lt;1,ROUND(AU158*(1+'Calc base'!I159),2),MAX('Calc base'!D$12,ROUND('Calc base'!D$13*AU158,2))))</f>
        <v>0</v>
      </c>
      <c r="L159">
        <f>IF(AV158&lt;=0,0,IF(ROUND(AV158*(1+'Calc base'!J159),2)-MAX('Calc base'!E$12,ROUND('Calc base'!E$13*AV158,2))&lt;1,ROUND(AV158*(1+'Calc base'!J159),2),MAX('Calc base'!E$12,ROUND('Calc base'!E$13*AV158,2))))</f>
        <v>0</v>
      </c>
      <c r="M159">
        <f>IF(AW158&lt;=0,0,IF(ROUND(AW158*(1+'Calc base'!K159),2)-MAX('Calc base'!F$12,ROUND('Calc base'!F$13*AW158,2))&lt;1,ROUND(AW158*(1+'Calc base'!K159),2),MAX('Calc base'!F$12,ROUND('Calc base'!F$13*AW158,2))))</f>
        <v>0</v>
      </c>
      <c r="N159">
        <f>IF(AX158&lt;=0,0,IF(ROUND(AX158*(1+'Calc base'!L159),2)-MAX('Calc base'!G$12,ROUND('Calc base'!G$13*AX158,2))&lt;1,ROUND(AX158*(1+'Calc base'!L159),2),MAX('Calc base'!G$12,ROUND('Calc base'!G$13*AX158,2))))</f>
        <v>0</v>
      </c>
      <c r="O159">
        <f>IF(AY158&lt;=0,0,IF(ROUND(AY158*(1+'Calc base'!M159),2)-MAX('Calc base'!H$12,ROUND('Calc base'!H$13*AY158,2))&lt;1,ROUND(AY158*(1+'Calc base'!M159),2),MAX('Calc base'!H$12,ROUND('Calc base'!H$13*AY158,2))))</f>
        <v>0</v>
      </c>
      <c r="P159">
        <f>IF(AZ158&lt;=0,0,IF(ROUND(AZ158*(1+'Calc base'!N159),2)-MAX('Calc base'!I$12,ROUND('Calc base'!I$13*AZ158,2))&lt;1,ROUND(AZ158*(1+'Calc base'!N159),2),MAX('Calc base'!I$12,ROUND('Calc base'!I$13*AZ158,2))))</f>
        <v>0</v>
      </c>
      <c r="Q159">
        <f>IF(BA158&lt;=0,0,IF(ROUND(BA158*(1+'Calc base'!O159),2)-MAX('Calc base'!J$12,ROUND('Calc base'!J$13*BA158,2))&lt;1,ROUND(BA158*(1+'Calc base'!O159),2),MAX('Calc base'!J$12,ROUND('Calc base'!J$13*BA158,2))))</f>
        <v>0</v>
      </c>
      <c r="R159">
        <f>IF(BB158&lt;=0,0,IF(ROUND(BB158*(1+'Calc base'!P159),2)-MAX('Calc base'!K$12,ROUND('Calc base'!K$13*BB158,2))&lt;1,ROUND(BB158*(1+'Calc base'!P159),2),MAX('Calc base'!K$12,ROUND('Calc base'!K$13*BB158,2))))</f>
        <v>0</v>
      </c>
      <c r="S159">
        <f>IF(BC158&lt;=0,0,IF(ROUND(BC158*(1+'Calc base'!Q159),2)-MAX('Calc base'!L$12,ROUND('Calc base'!L$13*BC158,2))&lt;1,ROUND(BC158*(1+'Calc base'!Q159),2),MAX('Calc base'!L$12,ROUND('Calc base'!L$13*BC158,2))))</f>
        <v>0</v>
      </c>
      <c r="T159">
        <f>IF(BD158&lt;=0,0,IF(ROUND(BD158*(1+'Calc base'!R159),2)-MAX('Calc base'!M$12,ROUND('Calc base'!M$13*BD158,2))&lt;1,ROUND(BD158*(1+'Calc base'!R159),2),MAX('Calc base'!M$12,ROUND('Calc base'!M$13*BD158,2))))</f>
        <v>0</v>
      </c>
      <c r="U159">
        <f>IF(BE158&lt;=0,0,IF(ROUND(BE158*(1+'Calc base'!S159),2)-MAX('Calc base'!N$12,ROUND('Calc base'!N$13*BE158,2))&lt;1,ROUND(BE158*(1+'Calc base'!S159),2),MAX('Calc base'!N$12,ROUND('Calc base'!N$13*BE158,2))))</f>
        <v>0</v>
      </c>
      <c r="V159">
        <f>MAX(0,ROUND(AT158*(1+'Calc base'!H159),2)-J159-'Calc base'!T159)</f>
        <v>0</v>
      </c>
      <c r="W159">
        <f>MAX(0,ROUND(AU158*(1+'Calc base'!I159),2)-K159-'Calc base'!U159)</f>
        <v>0</v>
      </c>
      <c r="X159">
        <f>MAX(0,ROUND(AV158*(1+'Calc base'!J159),2)-L159-'Calc base'!V159)</f>
        <v>0</v>
      </c>
      <c r="Y159">
        <f>MAX(0,ROUND(AW158*(1+'Calc base'!K159),2)-M159-'Calc base'!W159)</f>
        <v>0</v>
      </c>
      <c r="Z159">
        <f>MAX(0,ROUND(AX158*(1+'Calc base'!L159),2)-N159-'Calc base'!X159)</f>
        <v>0</v>
      </c>
      <c r="AA159">
        <f>MAX(0,ROUND(AY158*(1+'Calc base'!M159),2)-O159-'Calc base'!Y159)</f>
        <v>0</v>
      </c>
      <c r="AB159">
        <f>MAX(0,ROUND(AZ158*(1+'Calc base'!N159),2)-P159-'Calc base'!Z159)</f>
        <v>0</v>
      </c>
      <c r="AC159">
        <f>MAX(0,ROUND(BA158*(1+'Calc base'!O159),2)-Q159-'Calc base'!AA159)</f>
        <v>0</v>
      </c>
      <c r="AD159">
        <f>MAX(0,ROUND(BB158*(1+'Calc base'!P159),2)-R159-'Calc base'!AB159)</f>
        <v>0</v>
      </c>
      <c r="AE159">
        <f>MAX(0,ROUND(BC158*(1+'Calc base'!Q159),2)-S159-'Calc base'!AC159)</f>
        <v>0</v>
      </c>
      <c r="AF159">
        <f>MAX(0,ROUND(BD158*(1+'Calc base'!R159),2)-T159-'Calc base'!AD159)</f>
        <v>0</v>
      </c>
      <c r="AG159">
        <f>MAX(0,ROUND(BE158*(1+'Calc base'!S159),2)-U159-'Calc base'!AE159)</f>
        <v>0</v>
      </c>
      <c r="AH159">
        <f>IF('Calc base'!C$14=0,0,MIN(V159,MAX(0,$E159-SUMPRODUCT($V159:$AG159,'Calc base'!$C$14:$N$14,('Calc base'!$H159:$S159&gt;'Calc base'!H159)+('Calc base'!$H159:$S159='Calc base'!H159)*('Calc base'!$C$17:$N$17&lt;'Calc base'!C$17)))))</f>
        <v>0</v>
      </c>
      <c r="AI159">
        <f>IF('Calc base'!D$14=0,0,MIN(W159,MAX(0,$E159-SUMPRODUCT($V159:$AG159,'Calc base'!$C$14:$N$14,('Calc base'!$H159:$S159&gt;'Calc base'!I159)+('Calc base'!$H159:$S159='Calc base'!I159)*('Calc base'!$C$17:$N$17&lt;'Calc base'!D$17)))))</f>
        <v>0</v>
      </c>
      <c r="AJ159">
        <f>IF('Calc base'!E$14=0,0,MIN(X159,MAX(0,$E159-SUMPRODUCT($V159:$AG159,'Calc base'!$C$14:$N$14,('Calc base'!$H159:$S159&gt;'Calc base'!J159)+('Calc base'!$H159:$S159='Calc base'!J159)*('Calc base'!$C$17:$N$17&lt;'Calc base'!E$17)))))</f>
        <v>0</v>
      </c>
      <c r="AK159">
        <f>IF('Calc base'!F$14=0,0,MIN(Y159,MAX(0,$E159-SUMPRODUCT($V159:$AG159,'Calc base'!$C$14:$N$14,('Calc base'!$H159:$S159&gt;'Calc base'!K159)+('Calc base'!$H159:$S159='Calc base'!K159)*('Calc base'!$C$17:$N$17&lt;'Calc base'!F$17)))))</f>
        <v>0</v>
      </c>
      <c r="AL159">
        <f>IF('Calc base'!G$14=0,0,MIN(Z159,MAX(0,$E159-SUMPRODUCT($V159:$AG159,'Calc base'!$C$14:$N$14,('Calc base'!$H159:$S159&gt;'Calc base'!L159)+('Calc base'!$H159:$S159='Calc base'!L159)*('Calc base'!$C$17:$N$17&lt;'Calc base'!G$17)))))</f>
        <v>0</v>
      </c>
      <c r="AM159">
        <f>IF('Calc base'!H$14=0,0,MIN(AA159,MAX(0,$E159-SUMPRODUCT($V159:$AG159,'Calc base'!$C$14:$N$14,('Calc base'!$H159:$S159&gt;'Calc base'!M159)+('Calc base'!$H159:$S159='Calc base'!M159)*('Calc base'!$C$17:$N$17&lt;'Calc base'!H$17)))))</f>
        <v>0</v>
      </c>
      <c r="AN159">
        <f>IF('Calc base'!I$14=0,0,MIN(AB159,MAX(0,$E159-SUMPRODUCT($V159:$AG159,'Calc base'!$C$14:$N$14,('Calc base'!$H159:$S159&gt;'Calc base'!N159)+('Calc base'!$H159:$S159='Calc base'!N159)*('Calc base'!$C$17:$N$17&lt;'Calc base'!I$17)))))</f>
        <v>0</v>
      </c>
      <c r="AO159">
        <f>IF('Calc base'!J$14=0,0,MIN(AC159,MAX(0,$E159-SUMPRODUCT($V159:$AG159,'Calc base'!$C$14:$N$14,('Calc base'!$H159:$S159&gt;'Calc base'!O159)+('Calc base'!$H159:$S159='Calc base'!O159)*('Calc base'!$C$17:$N$17&lt;'Calc base'!J$17)))))</f>
        <v>0</v>
      </c>
      <c r="AP159">
        <f>IF('Calc base'!K$14=0,0,MIN(AD159,MAX(0,$E159-SUMPRODUCT($V159:$AG159,'Calc base'!$C$14:$N$14,('Calc base'!$H159:$S159&gt;'Calc base'!P159)+('Calc base'!$H159:$S159='Calc base'!P159)*('Calc base'!$C$17:$N$17&lt;'Calc base'!K$17)))))</f>
        <v>0</v>
      </c>
      <c r="AQ159">
        <f>IF('Calc base'!L$14=0,0,MIN(AE159,MAX(0,$E159-SUMPRODUCT($V159:$AG159,'Calc base'!$C$14:$N$14,('Calc base'!$H159:$S159&gt;'Calc base'!Q159)+('Calc base'!$H159:$S159='Calc base'!Q159)*('Calc base'!$C$17:$N$17&lt;'Calc base'!L$17)))))</f>
        <v>0</v>
      </c>
      <c r="AR159">
        <f>IF('Calc base'!M$14=0,0,MIN(AF159,MAX(0,$E159-SUMPRODUCT($V159:$AG159,'Calc base'!$C$14:$N$14,('Calc base'!$H159:$S159&gt;'Calc base'!R159)+('Calc base'!$H159:$S159='Calc base'!R159)*('Calc base'!$C$17:$N$17&lt;'Calc base'!M$17)))))</f>
        <v>0</v>
      </c>
      <c r="AS159">
        <f>IF('Calc base'!N$14=0,0,MIN(AG159,MAX(0,$E159-SUMPRODUCT($V159:$AG159,'Calc base'!$C$14:$N$14,('Calc base'!$H159:$S159&gt;'Calc base'!S159)+('Calc base'!$H159:$S159='Calc base'!S159)*('Calc base'!$C$17:$N$17&lt;'Calc base'!N$17)))))</f>
        <v>0</v>
      </c>
      <c r="AT159">
        <f>V159-AH159</f>
        <v>0</v>
      </c>
      <c r="AU159">
        <f>W159-AI159</f>
        <v>0</v>
      </c>
      <c r="AV159">
        <f>X159-AJ159</f>
        <v>0</v>
      </c>
      <c r="AW159">
        <f>Y159-AK159</f>
        <v>0</v>
      </c>
      <c r="AX159">
        <f>Z159-AL159</f>
        <v>0</v>
      </c>
      <c r="AY159">
        <f>AA159-AM159</f>
        <v>0</v>
      </c>
      <c r="AZ159">
        <f>AB159-AN159</f>
        <v>0</v>
      </c>
      <c r="BA159">
        <f>AC159-AO159</f>
        <v>0</v>
      </c>
      <c r="BB159">
        <f>AD159-AP159</f>
        <v>0</v>
      </c>
      <c r="BC159">
        <f>AE159-AQ159</f>
        <v>0</v>
      </c>
      <c r="BD159">
        <f>AF159-AR159</f>
        <v>0</v>
      </c>
      <c r="BE159">
        <f>AG159-AS159</f>
        <v>0</v>
      </c>
    </row>
    <row r="160">
      <c r="A160" t="n">
        <v>130</v>
      </c>
      <c r="B160">
        <f>SUMPRODUCT(ROUND($AT159:$BE159*(1+'Calc base'!$H160:$S160),2))</f>
        <v>0</v>
      </c>
      <c r="C160">
        <f>SUM(J160:U160)</f>
        <v>0</v>
      </c>
      <c r="D160">
        <f>SUM(V160:AG160)</f>
        <v>0</v>
      </c>
      <c r="E160">
        <f>MAX(0,IF(Impostazioni!$B$7="No",'Calc base'!$C160-$C$31,'Calc base'!$C160-C160)+'Calc base'!$G160+'Calc base'!$F160-(B160-C160-D160))</f>
        <v>900</v>
      </c>
      <c r="F160">
        <f>SUM(AH160:AS160)</f>
        <v>0</v>
      </c>
      <c r="G160">
        <f>SUM(AT160:BE160)</f>
        <v>0</v>
      </c>
      <c r="H160">
        <f>B160-G159</f>
        <v>0</v>
      </c>
      <c r="I160">
        <f>B160-G160</f>
        <v>0</v>
      </c>
      <c r="J160">
        <f>IF(AT159&lt;=0,0,IF(ROUND(AT159*(1+'Calc base'!H160),2)-MAX('Calc base'!C$12,ROUND('Calc base'!C$13*AT159,2))&lt;1,ROUND(AT159*(1+'Calc base'!H160),2),MAX('Calc base'!C$12,ROUND('Calc base'!C$13*AT159,2))))</f>
        <v>0</v>
      </c>
      <c r="K160">
        <f>IF(AU159&lt;=0,0,IF(ROUND(AU159*(1+'Calc base'!I160),2)-MAX('Calc base'!D$12,ROUND('Calc base'!D$13*AU159,2))&lt;1,ROUND(AU159*(1+'Calc base'!I160),2),MAX('Calc base'!D$12,ROUND('Calc base'!D$13*AU159,2))))</f>
        <v>0</v>
      </c>
      <c r="L160">
        <f>IF(AV159&lt;=0,0,IF(ROUND(AV159*(1+'Calc base'!J160),2)-MAX('Calc base'!E$12,ROUND('Calc base'!E$13*AV159,2))&lt;1,ROUND(AV159*(1+'Calc base'!J160),2),MAX('Calc base'!E$12,ROUND('Calc base'!E$13*AV159,2))))</f>
        <v>0</v>
      </c>
      <c r="M160">
        <f>IF(AW159&lt;=0,0,IF(ROUND(AW159*(1+'Calc base'!K160),2)-MAX('Calc base'!F$12,ROUND('Calc base'!F$13*AW159,2))&lt;1,ROUND(AW159*(1+'Calc base'!K160),2),MAX('Calc base'!F$12,ROUND('Calc base'!F$13*AW159,2))))</f>
        <v>0</v>
      </c>
      <c r="N160">
        <f>IF(AX159&lt;=0,0,IF(ROUND(AX159*(1+'Calc base'!L160),2)-MAX('Calc base'!G$12,ROUND('Calc base'!G$13*AX159,2))&lt;1,ROUND(AX159*(1+'Calc base'!L160),2),MAX('Calc base'!G$12,ROUND('Calc base'!G$13*AX159,2))))</f>
        <v>0</v>
      </c>
      <c r="O160">
        <f>IF(AY159&lt;=0,0,IF(ROUND(AY159*(1+'Calc base'!M160),2)-MAX('Calc base'!H$12,ROUND('Calc base'!H$13*AY159,2))&lt;1,ROUND(AY159*(1+'Calc base'!M160),2),MAX('Calc base'!H$12,ROUND('Calc base'!H$13*AY159,2))))</f>
        <v>0</v>
      </c>
      <c r="P160">
        <f>IF(AZ159&lt;=0,0,IF(ROUND(AZ159*(1+'Calc base'!N160),2)-MAX('Calc base'!I$12,ROUND('Calc base'!I$13*AZ159,2))&lt;1,ROUND(AZ159*(1+'Calc base'!N160),2),MAX('Calc base'!I$12,ROUND('Calc base'!I$13*AZ159,2))))</f>
        <v>0</v>
      </c>
      <c r="Q160">
        <f>IF(BA159&lt;=0,0,IF(ROUND(BA159*(1+'Calc base'!O160),2)-MAX('Calc base'!J$12,ROUND('Calc base'!J$13*BA159,2))&lt;1,ROUND(BA159*(1+'Calc base'!O160),2),MAX('Calc base'!J$12,ROUND('Calc base'!J$13*BA159,2))))</f>
        <v>0</v>
      </c>
      <c r="R160">
        <f>IF(BB159&lt;=0,0,IF(ROUND(BB159*(1+'Calc base'!P160),2)-MAX('Calc base'!K$12,ROUND('Calc base'!K$13*BB159,2))&lt;1,ROUND(BB159*(1+'Calc base'!P160),2),MAX('Calc base'!K$12,ROUND('Calc base'!K$13*BB159,2))))</f>
        <v>0</v>
      </c>
      <c r="S160">
        <f>IF(BC159&lt;=0,0,IF(ROUND(BC159*(1+'Calc base'!Q160),2)-MAX('Calc base'!L$12,ROUND('Calc base'!L$13*BC159,2))&lt;1,ROUND(BC159*(1+'Calc base'!Q160),2),MAX('Calc base'!L$12,ROUND('Calc base'!L$13*BC159,2))))</f>
        <v>0</v>
      </c>
      <c r="T160">
        <f>IF(BD159&lt;=0,0,IF(ROUND(BD159*(1+'Calc base'!R160),2)-MAX('Calc base'!M$12,ROUND('Calc base'!M$13*BD159,2))&lt;1,ROUND(BD159*(1+'Calc base'!R160),2),MAX('Calc base'!M$12,ROUND('Calc base'!M$13*BD159,2))))</f>
        <v>0</v>
      </c>
      <c r="U160">
        <f>IF(BE159&lt;=0,0,IF(ROUND(BE159*(1+'Calc base'!S160),2)-MAX('Calc base'!N$12,ROUND('Calc base'!N$13*BE159,2))&lt;1,ROUND(BE159*(1+'Calc base'!S160),2),MAX('Calc base'!N$12,ROUND('Calc base'!N$13*BE159,2))))</f>
        <v>0</v>
      </c>
      <c r="V160">
        <f>MAX(0,ROUND(AT159*(1+'Calc base'!H160),2)-J160-'Calc base'!T160)</f>
        <v>0</v>
      </c>
      <c r="W160">
        <f>MAX(0,ROUND(AU159*(1+'Calc base'!I160),2)-K160-'Calc base'!U160)</f>
        <v>0</v>
      </c>
      <c r="X160">
        <f>MAX(0,ROUND(AV159*(1+'Calc base'!J160),2)-L160-'Calc base'!V160)</f>
        <v>0</v>
      </c>
      <c r="Y160">
        <f>MAX(0,ROUND(AW159*(1+'Calc base'!K160),2)-M160-'Calc base'!W160)</f>
        <v>0</v>
      </c>
      <c r="Z160">
        <f>MAX(0,ROUND(AX159*(1+'Calc base'!L160),2)-N160-'Calc base'!X160)</f>
        <v>0</v>
      </c>
      <c r="AA160">
        <f>MAX(0,ROUND(AY159*(1+'Calc base'!M160),2)-O160-'Calc base'!Y160)</f>
        <v>0</v>
      </c>
      <c r="AB160">
        <f>MAX(0,ROUND(AZ159*(1+'Calc base'!N160),2)-P160-'Calc base'!Z160)</f>
        <v>0</v>
      </c>
      <c r="AC160">
        <f>MAX(0,ROUND(BA159*(1+'Calc base'!O160),2)-Q160-'Calc base'!AA160)</f>
        <v>0</v>
      </c>
      <c r="AD160">
        <f>MAX(0,ROUND(BB159*(1+'Calc base'!P160),2)-R160-'Calc base'!AB160)</f>
        <v>0</v>
      </c>
      <c r="AE160">
        <f>MAX(0,ROUND(BC159*(1+'Calc base'!Q160),2)-S160-'Calc base'!AC160)</f>
        <v>0</v>
      </c>
      <c r="AF160">
        <f>MAX(0,ROUND(BD159*(1+'Calc base'!R160),2)-T160-'Calc base'!AD160)</f>
        <v>0</v>
      </c>
      <c r="AG160">
        <f>MAX(0,ROUND(BE159*(1+'Calc base'!S160),2)-U160-'Calc base'!AE160)</f>
        <v>0</v>
      </c>
      <c r="AH160">
        <f>IF('Calc base'!C$14=0,0,MIN(V160,MAX(0,$E160-SUMPRODUCT($V160:$AG160,'Calc base'!$C$14:$N$14,('Calc base'!$H160:$S160&gt;'Calc base'!H160)+('Calc base'!$H160:$S160='Calc base'!H160)*('Calc base'!$C$17:$N$17&lt;'Calc base'!C$17)))))</f>
        <v>0</v>
      </c>
      <c r="AI160">
        <f>IF('Calc base'!D$14=0,0,MIN(W160,MAX(0,$E160-SUMPRODUCT($V160:$AG160,'Calc base'!$C$14:$N$14,('Calc base'!$H160:$S160&gt;'Calc base'!I160)+('Calc base'!$H160:$S160='Calc base'!I160)*('Calc base'!$C$17:$N$17&lt;'Calc base'!D$17)))))</f>
        <v>0</v>
      </c>
      <c r="AJ160">
        <f>IF('Calc base'!E$14=0,0,MIN(X160,MAX(0,$E160-SUMPRODUCT($V160:$AG160,'Calc base'!$C$14:$N$14,('Calc base'!$H160:$S160&gt;'Calc base'!J160)+('Calc base'!$H160:$S160='Calc base'!J160)*('Calc base'!$C$17:$N$17&lt;'Calc base'!E$17)))))</f>
        <v>0</v>
      </c>
      <c r="AK160">
        <f>IF('Calc base'!F$14=0,0,MIN(Y160,MAX(0,$E160-SUMPRODUCT($V160:$AG160,'Calc base'!$C$14:$N$14,('Calc base'!$H160:$S160&gt;'Calc base'!K160)+('Calc base'!$H160:$S160='Calc base'!K160)*('Calc base'!$C$17:$N$17&lt;'Calc base'!F$17)))))</f>
        <v>0</v>
      </c>
      <c r="AL160">
        <f>IF('Calc base'!G$14=0,0,MIN(Z160,MAX(0,$E160-SUMPRODUCT($V160:$AG160,'Calc base'!$C$14:$N$14,('Calc base'!$H160:$S160&gt;'Calc base'!L160)+('Calc base'!$H160:$S160='Calc base'!L160)*('Calc base'!$C$17:$N$17&lt;'Calc base'!G$17)))))</f>
        <v>0</v>
      </c>
      <c r="AM160">
        <f>IF('Calc base'!H$14=0,0,MIN(AA160,MAX(0,$E160-SUMPRODUCT($V160:$AG160,'Calc base'!$C$14:$N$14,('Calc base'!$H160:$S160&gt;'Calc base'!M160)+('Calc base'!$H160:$S160='Calc base'!M160)*('Calc base'!$C$17:$N$17&lt;'Calc base'!H$17)))))</f>
        <v>0</v>
      </c>
      <c r="AN160">
        <f>IF('Calc base'!I$14=0,0,MIN(AB160,MAX(0,$E160-SUMPRODUCT($V160:$AG160,'Calc base'!$C$14:$N$14,('Calc base'!$H160:$S160&gt;'Calc base'!N160)+('Calc base'!$H160:$S160='Calc base'!N160)*('Calc base'!$C$17:$N$17&lt;'Calc base'!I$17)))))</f>
        <v>0</v>
      </c>
      <c r="AO160">
        <f>IF('Calc base'!J$14=0,0,MIN(AC160,MAX(0,$E160-SUMPRODUCT($V160:$AG160,'Calc base'!$C$14:$N$14,('Calc base'!$H160:$S160&gt;'Calc base'!O160)+('Calc base'!$H160:$S160='Calc base'!O160)*('Calc base'!$C$17:$N$17&lt;'Calc base'!J$17)))))</f>
        <v>0</v>
      </c>
      <c r="AP160">
        <f>IF('Calc base'!K$14=0,0,MIN(AD160,MAX(0,$E160-SUMPRODUCT($V160:$AG160,'Calc base'!$C$14:$N$14,('Calc base'!$H160:$S160&gt;'Calc base'!P160)+('Calc base'!$H160:$S160='Calc base'!P160)*('Calc base'!$C$17:$N$17&lt;'Calc base'!K$17)))))</f>
        <v>0</v>
      </c>
      <c r="AQ160">
        <f>IF('Calc base'!L$14=0,0,MIN(AE160,MAX(0,$E160-SUMPRODUCT($V160:$AG160,'Calc base'!$C$14:$N$14,('Calc base'!$H160:$S160&gt;'Calc base'!Q160)+('Calc base'!$H160:$S160='Calc base'!Q160)*('Calc base'!$C$17:$N$17&lt;'Calc base'!L$17)))))</f>
        <v>0</v>
      </c>
      <c r="AR160">
        <f>IF('Calc base'!M$14=0,0,MIN(AF160,MAX(0,$E160-SUMPRODUCT($V160:$AG160,'Calc base'!$C$14:$N$14,('Calc base'!$H160:$S160&gt;'Calc base'!R160)+('Calc base'!$H160:$S160='Calc base'!R160)*('Calc base'!$C$17:$N$17&lt;'Calc base'!M$17)))))</f>
        <v>0</v>
      </c>
      <c r="AS160">
        <f>IF('Calc base'!N$14=0,0,MIN(AG160,MAX(0,$E160-SUMPRODUCT($V160:$AG160,'Calc base'!$C$14:$N$14,('Calc base'!$H160:$S160&gt;'Calc base'!S160)+('Calc base'!$H160:$S160='Calc base'!S160)*('Calc base'!$C$17:$N$17&lt;'Calc base'!N$17)))))</f>
        <v>0</v>
      </c>
      <c r="AT160">
        <f>V160-AH160</f>
        <v>0</v>
      </c>
      <c r="AU160">
        <f>W160-AI160</f>
        <v>0</v>
      </c>
      <c r="AV160">
        <f>X160-AJ160</f>
        <v>0</v>
      </c>
      <c r="AW160">
        <f>Y160-AK160</f>
        <v>0</v>
      </c>
      <c r="AX160">
        <f>Z160-AL160</f>
        <v>0</v>
      </c>
      <c r="AY160">
        <f>AA160-AM160</f>
        <v>0</v>
      </c>
      <c r="AZ160">
        <f>AB160-AN160</f>
        <v>0</v>
      </c>
      <c r="BA160">
        <f>AC160-AO160</f>
        <v>0</v>
      </c>
      <c r="BB160">
        <f>AD160-AP160</f>
        <v>0</v>
      </c>
      <c r="BC160">
        <f>AE160-AQ160</f>
        <v>0</v>
      </c>
      <c r="BD160">
        <f>AF160-AR160</f>
        <v>0</v>
      </c>
      <c r="BE160">
        <f>AG160-AS160</f>
        <v>0</v>
      </c>
    </row>
    <row r="161">
      <c r="A161" t="n">
        <v>131</v>
      </c>
      <c r="B161">
        <f>SUMPRODUCT(ROUND($AT160:$BE160*(1+'Calc base'!$H161:$S161),2))</f>
        <v>0</v>
      </c>
      <c r="C161">
        <f>SUM(J161:U161)</f>
        <v>0</v>
      </c>
      <c r="D161">
        <f>SUM(V161:AG161)</f>
        <v>0</v>
      </c>
      <c r="E161">
        <f>MAX(0,IF(Impostazioni!$B$7="No",'Calc base'!$C161-$C$31,'Calc base'!$C161-C161)+'Calc base'!$G161+'Calc base'!$F161-(B161-C161-D161))</f>
        <v>900</v>
      </c>
      <c r="F161">
        <f>SUM(AH161:AS161)</f>
        <v>0</v>
      </c>
      <c r="G161">
        <f>SUM(AT161:BE161)</f>
        <v>0</v>
      </c>
      <c r="H161">
        <f>B161-G160</f>
        <v>0</v>
      </c>
      <c r="I161">
        <f>B161-G161</f>
        <v>0</v>
      </c>
      <c r="J161">
        <f>IF(AT160&lt;=0,0,IF(ROUND(AT160*(1+'Calc base'!H161),2)-MAX('Calc base'!C$12,ROUND('Calc base'!C$13*AT160,2))&lt;1,ROUND(AT160*(1+'Calc base'!H161),2),MAX('Calc base'!C$12,ROUND('Calc base'!C$13*AT160,2))))</f>
        <v>0</v>
      </c>
      <c r="K161">
        <f>IF(AU160&lt;=0,0,IF(ROUND(AU160*(1+'Calc base'!I161),2)-MAX('Calc base'!D$12,ROUND('Calc base'!D$13*AU160,2))&lt;1,ROUND(AU160*(1+'Calc base'!I161),2),MAX('Calc base'!D$12,ROUND('Calc base'!D$13*AU160,2))))</f>
        <v>0</v>
      </c>
      <c r="L161">
        <f>IF(AV160&lt;=0,0,IF(ROUND(AV160*(1+'Calc base'!J161),2)-MAX('Calc base'!E$12,ROUND('Calc base'!E$13*AV160,2))&lt;1,ROUND(AV160*(1+'Calc base'!J161),2),MAX('Calc base'!E$12,ROUND('Calc base'!E$13*AV160,2))))</f>
        <v>0</v>
      </c>
      <c r="M161">
        <f>IF(AW160&lt;=0,0,IF(ROUND(AW160*(1+'Calc base'!K161),2)-MAX('Calc base'!F$12,ROUND('Calc base'!F$13*AW160,2))&lt;1,ROUND(AW160*(1+'Calc base'!K161),2),MAX('Calc base'!F$12,ROUND('Calc base'!F$13*AW160,2))))</f>
        <v>0</v>
      </c>
      <c r="N161">
        <f>IF(AX160&lt;=0,0,IF(ROUND(AX160*(1+'Calc base'!L161),2)-MAX('Calc base'!G$12,ROUND('Calc base'!G$13*AX160,2))&lt;1,ROUND(AX160*(1+'Calc base'!L161),2),MAX('Calc base'!G$12,ROUND('Calc base'!G$13*AX160,2))))</f>
        <v>0</v>
      </c>
      <c r="O161">
        <f>IF(AY160&lt;=0,0,IF(ROUND(AY160*(1+'Calc base'!M161),2)-MAX('Calc base'!H$12,ROUND('Calc base'!H$13*AY160,2))&lt;1,ROUND(AY160*(1+'Calc base'!M161),2),MAX('Calc base'!H$12,ROUND('Calc base'!H$13*AY160,2))))</f>
        <v>0</v>
      </c>
      <c r="P161">
        <f>IF(AZ160&lt;=0,0,IF(ROUND(AZ160*(1+'Calc base'!N161),2)-MAX('Calc base'!I$12,ROUND('Calc base'!I$13*AZ160,2))&lt;1,ROUND(AZ160*(1+'Calc base'!N161),2),MAX('Calc base'!I$12,ROUND('Calc base'!I$13*AZ160,2))))</f>
        <v>0</v>
      </c>
      <c r="Q161">
        <f>IF(BA160&lt;=0,0,IF(ROUND(BA160*(1+'Calc base'!O161),2)-MAX('Calc base'!J$12,ROUND('Calc base'!J$13*BA160,2))&lt;1,ROUND(BA160*(1+'Calc base'!O161),2),MAX('Calc base'!J$12,ROUND('Calc base'!J$13*BA160,2))))</f>
        <v>0</v>
      </c>
      <c r="R161">
        <f>IF(BB160&lt;=0,0,IF(ROUND(BB160*(1+'Calc base'!P161),2)-MAX('Calc base'!K$12,ROUND('Calc base'!K$13*BB160,2))&lt;1,ROUND(BB160*(1+'Calc base'!P161),2),MAX('Calc base'!K$12,ROUND('Calc base'!K$13*BB160,2))))</f>
        <v>0</v>
      </c>
      <c r="S161">
        <f>IF(BC160&lt;=0,0,IF(ROUND(BC160*(1+'Calc base'!Q161),2)-MAX('Calc base'!L$12,ROUND('Calc base'!L$13*BC160,2))&lt;1,ROUND(BC160*(1+'Calc base'!Q161),2),MAX('Calc base'!L$12,ROUND('Calc base'!L$13*BC160,2))))</f>
        <v>0</v>
      </c>
      <c r="T161">
        <f>IF(BD160&lt;=0,0,IF(ROUND(BD160*(1+'Calc base'!R161),2)-MAX('Calc base'!M$12,ROUND('Calc base'!M$13*BD160,2))&lt;1,ROUND(BD160*(1+'Calc base'!R161),2),MAX('Calc base'!M$12,ROUND('Calc base'!M$13*BD160,2))))</f>
        <v>0</v>
      </c>
      <c r="U161">
        <f>IF(BE160&lt;=0,0,IF(ROUND(BE160*(1+'Calc base'!S161),2)-MAX('Calc base'!N$12,ROUND('Calc base'!N$13*BE160,2))&lt;1,ROUND(BE160*(1+'Calc base'!S161),2),MAX('Calc base'!N$12,ROUND('Calc base'!N$13*BE160,2))))</f>
        <v>0</v>
      </c>
      <c r="V161">
        <f>MAX(0,ROUND(AT160*(1+'Calc base'!H161),2)-J161-'Calc base'!T161)</f>
        <v>0</v>
      </c>
      <c r="W161">
        <f>MAX(0,ROUND(AU160*(1+'Calc base'!I161),2)-K161-'Calc base'!U161)</f>
        <v>0</v>
      </c>
      <c r="X161">
        <f>MAX(0,ROUND(AV160*(1+'Calc base'!J161),2)-L161-'Calc base'!V161)</f>
        <v>0</v>
      </c>
      <c r="Y161">
        <f>MAX(0,ROUND(AW160*(1+'Calc base'!K161),2)-M161-'Calc base'!W161)</f>
        <v>0</v>
      </c>
      <c r="Z161">
        <f>MAX(0,ROUND(AX160*(1+'Calc base'!L161),2)-N161-'Calc base'!X161)</f>
        <v>0</v>
      </c>
      <c r="AA161">
        <f>MAX(0,ROUND(AY160*(1+'Calc base'!M161),2)-O161-'Calc base'!Y161)</f>
        <v>0</v>
      </c>
      <c r="AB161">
        <f>MAX(0,ROUND(AZ160*(1+'Calc base'!N161),2)-P161-'Calc base'!Z161)</f>
        <v>0</v>
      </c>
      <c r="AC161">
        <f>MAX(0,ROUND(BA160*(1+'Calc base'!O161),2)-Q161-'Calc base'!AA161)</f>
        <v>0</v>
      </c>
      <c r="AD161">
        <f>MAX(0,ROUND(BB160*(1+'Calc base'!P161),2)-R161-'Calc base'!AB161)</f>
        <v>0</v>
      </c>
      <c r="AE161">
        <f>MAX(0,ROUND(BC160*(1+'Calc base'!Q161),2)-S161-'Calc base'!AC161)</f>
        <v>0</v>
      </c>
      <c r="AF161">
        <f>MAX(0,ROUND(BD160*(1+'Calc base'!R161),2)-T161-'Calc base'!AD161)</f>
        <v>0</v>
      </c>
      <c r="AG161">
        <f>MAX(0,ROUND(BE160*(1+'Calc base'!S161),2)-U161-'Calc base'!AE161)</f>
        <v>0</v>
      </c>
      <c r="AH161">
        <f>IF('Calc base'!C$14=0,0,MIN(V161,MAX(0,$E161-SUMPRODUCT($V161:$AG161,'Calc base'!$C$14:$N$14,('Calc base'!$H161:$S161&gt;'Calc base'!H161)+('Calc base'!$H161:$S161='Calc base'!H161)*('Calc base'!$C$17:$N$17&lt;'Calc base'!C$17)))))</f>
        <v>0</v>
      </c>
      <c r="AI161">
        <f>IF('Calc base'!D$14=0,0,MIN(W161,MAX(0,$E161-SUMPRODUCT($V161:$AG161,'Calc base'!$C$14:$N$14,('Calc base'!$H161:$S161&gt;'Calc base'!I161)+('Calc base'!$H161:$S161='Calc base'!I161)*('Calc base'!$C$17:$N$17&lt;'Calc base'!D$17)))))</f>
        <v>0</v>
      </c>
      <c r="AJ161">
        <f>IF('Calc base'!E$14=0,0,MIN(X161,MAX(0,$E161-SUMPRODUCT($V161:$AG161,'Calc base'!$C$14:$N$14,('Calc base'!$H161:$S161&gt;'Calc base'!J161)+('Calc base'!$H161:$S161='Calc base'!J161)*('Calc base'!$C$17:$N$17&lt;'Calc base'!E$17)))))</f>
        <v>0</v>
      </c>
      <c r="AK161">
        <f>IF('Calc base'!F$14=0,0,MIN(Y161,MAX(0,$E161-SUMPRODUCT($V161:$AG161,'Calc base'!$C$14:$N$14,('Calc base'!$H161:$S161&gt;'Calc base'!K161)+('Calc base'!$H161:$S161='Calc base'!K161)*('Calc base'!$C$17:$N$17&lt;'Calc base'!F$17)))))</f>
        <v>0</v>
      </c>
      <c r="AL161">
        <f>IF('Calc base'!G$14=0,0,MIN(Z161,MAX(0,$E161-SUMPRODUCT($V161:$AG161,'Calc base'!$C$14:$N$14,('Calc base'!$H161:$S161&gt;'Calc base'!L161)+('Calc base'!$H161:$S161='Calc base'!L161)*('Calc base'!$C$17:$N$17&lt;'Calc base'!G$17)))))</f>
        <v>0</v>
      </c>
      <c r="AM161">
        <f>IF('Calc base'!H$14=0,0,MIN(AA161,MAX(0,$E161-SUMPRODUCT($V161:$AG161,'Calc base'!$C$14:$N$14,('Calc base'!$H161:$S161&gt;'Calc base'!M161)+('Calc base'!$H161:$S161='Calc base'!M161)*('Calc base'!$C$17:$N$17&lt;'Calc base'!H$17)))))</f>
        <v>0</v>
      </c>
      <c r="AN161">
        <f>IF('Calc base'!I$14=0,0,MIN(AB161,MAX(0,$E161-SUMPRODUCT($V161:$AG161,'Calc base'!$C$14:$N$14,('Calc base'!$H161:$S161&gt;'Calc base'!N161)+('Calc base'!$H161:$S161='Calc base'!N161)*('Calc base'!$C$17:$N$17&lt;'Calc base'!I$17)))))</f>
        <v>0</v>
      </c>
      <c r="AO161">
        <f>IF('Calc base'!J$14=0,0,MIN(AC161,MAX(0,$E161-SUMPRODUCT($V161:$AG161,'Calc base'!$C$14:$N$14,('Calc base'!$H161:$S161&gt;'Calc base'!O161)+('Calc base'!$H161:$S161='Calc base'!O161)*('Calc base'!$C$17:$N$17&lt;'Calc base'!J$17)))))</f>
        <v>0</v>
      </c>
      <c r="AP161">
        <f>IF('Calc base'!K$14=0,0,MIN(AD161,MAX(0,$E161-SUMPRODUCT($V161:$AG161,'Calc base'!$C$14:$N$14,('Calc base'!$H161:$S161&gt;'Calc base'!P161)+('Calc base'!$H161:$S161='Calc base'!P161)*('Calc base'!$C$17:$N$17&lt;'Calc base'!K$17)))))</f>
        <v>0</v>
      </c>
      <c r="AQ161">
        <f>IF('Calc base'!L$14=0,0,MIN(AE161,MAX(0,$E161-SUMPRODUCT($V161:$AG161,'Calc base'!$C$14:$N$14,('Calc base'!$H161:$S161&gt;'Calc base'!Q161)+('Calc base'!$H161:$S161='Calc base'!Q161)*('Calc base'!$C$17:$N$17&lt;'Calc base'!L$17)))))</f>
        <v>0</v>
      </c>
      <c r="AR161">
        <f>IF('Calc base'!M$14=0,0,MIN(AF161,MAX(0,$E161-SUMPRODUCT($V161:$AG161,'Calc base'!$C$14:$N$14,('Calc base'!$H161:$S161&gt;'Calc base'!R161)+('Calc base'!$H161:$S161='Calc base'!R161)*('Calc base'!$C$17:$N$17&lt;'Calc base'!M$17)))))</f>
        <v>0</v>
      </c>
      <c r="AS161">
        <f>IF('Calc base'!N$14=0,0,MIN(AG161,MAX(0,$E161-SUMPRODUCT($V161:$AG161,'Calc base'!$C$14:$N$14,('Calc base'!$H161:$S161&gt;'Calc base'!S161)+('Calc base'!$H161:$S161='Calc base'!S161)*('Calc base'!$C$17:$N$17&lt;'Calc base'!N$17)))))</f>
        <v>0</v>
      </c>
      <c r="AT161">
        <f>V161-AH161</f>
        <v>0</v>
      </c>
      <c r="AU161">
        <f>W161-AI161</f>
        <v>0</v>
      </c>
      <c r="AV161">
        <f>X161-AJ161</f>
        <v>0</v>
      </c>
      <c r="AW161">
        <f>Y161-AK161</f>
        <v>0</v>
      </c>
      <c r="AX161">
        <f>Z161-AL161</f>
        <v>0</v>
      </c>
      <c r="AY161">
        <f>AA161-AM161</f>
        <v>0</v>
      </c>
      <c r="AZ161">
        <f>AB161-AN161</f>
        <v>0</v>
      </c>
      <c r="BA161">
        <f>AC161-AO161</f>
        <v>0</v>
      </c>
      <c r="BB161">
        <f>AD161-AP161</f>
        <v>0</v>
      </c>
      <c r="BC161">
        <f>AE161-AQ161</f>
        <v>0</v>
      </c>
      <c r="BD161">
        <f>AF161-AR161</f>
        <v>0</v>
      </c>
      <c r="BE161">
        <f>AG161-AS161</f>
        <v>0</v>
      </c>
    </row>
    <row r="162">
      <c r="A162" t="n">
        <v>132</v>
      </c>
      <c r="B162">
        <f>SUMPRODUCT(ROUND($AT161:$BE161*(1+'Calc base'!$H162:$S162),2))</f>
        <v>0</v>
      </c>
      <c r="C162">
        <f>SUM(J162:U162)</f>
        <v>0</v>
      </c>
      <c r="D162">
        <f>SUM(V162:AG162)</f>
        <v>0</v>
      </c>
      <c r="E162">
        <f>MAX(0,IF(Impostazioni!$B$7="No",'Calc base'!$C162-$C$31,'Calc base'!$C162-C162)+'Calc base'!$G162+'Calc base'!$F162-(B162-C162-D162))</f>
        <v>900</v>
      </c>
      <c r="F162">
        <f>SUM(AH162:AS162)</f>
        <v>0</v>
      </c>
      <c r="G162">
        <f>SUM(AT162:BE162)</f>
        <v>0</v>
      </c>
      <c r="H162">
        <f>B162-G161</f>
        <v>0</v>
      </c>
      <c r="I162">
        <f>B162-G162</f>
        <v>0</v>
      </c>
      <c r="J162">
        <f>IF(AT161&lt;=0,0,IF(ROUND(AT161*(1+'Calc base'!H162),2)-MAX('Calc base'!C$12,ROUND('Calc base'!C$13*AT161,2))&lt;1,ROUND(AT161*(1+'Calc base'!H162),2),MAX('Calc base'!C$12,ROUND('Calc base'!C$13*AT161,2))))</f>
        <v>0</v>
      </c>
      <c r="K162">
        <f>IF(AU161&lt;=0,0,IF(ROUND(AU161*(1+'Calc base'!I162),2)-MAX('Calc base'!D$12,ROUND('Calc base'!D$13*AU161,2))&lt;1,ROUND(AU161*(1+'Calc base'!I162),2),MAX('Calc base'!D$12,ROUND('Calc base'!D$13*AU161,2))))</f>
        <v>0</v>
      </c>
      <c r="L162">
        <f>IF(AV161&lt;=0,0,IF(ROUND(AV161*(1+'Calc base'!J162),2)-MAX('Calc base'!E$12,ROUND('Calc base'!E$13*AV161,2))&lt;1,ROUND(AV161*(1+'Calc base'!J162),2),MAX('Calc base'!E$12,ROUND('Calc base'!E$13*AV161,2))))</f>
        <v>0</v>
      </c>
      <c r="M162">
        <f>IF(AW161&lt;=0,0,IF(ROUND(AW161*(1+'Calc base'!K162),2)-MAX('Calc base'!F$12,ROUND('Calc base'!F$13*AW161,2))&lt;1,ROUND(AW161*(1+'Calc base'!K162),2),MAX('Calc base'!F$12,ROUND('Calc base'!F$13*AW161,2))))</f>
        <v>0</v>
      </c>
      <c r="N162">
        <f>IF(AX161&lt;=0,0,IF(ROUND(AX161*(1+'Calc base'!L162),2)-MAX('Calc base'!G$12,ROUND('Calc base'!G$13*AX161,2))&lt;1,ROUND(AX161*(1+'Calc base'!L162),2),MAX('Calc base'!G$12,ROUND('Calc base'!G$13*AX161,2))))</f>
        <v>0</v>
      </c>
      <c r="O162">
        <f>IF(AY161&lt;=0,0,IF(ROUND(AY161*(1+'Calc base'!M162),2)-MAX('Calc base'!H$12,ROUND('Calc base'!H$13*AY161,2))&lt;1,ROUND(AY161*(1+'Calc base'!M162),2),MAX('Calc base'!H$12,ROUND('Calc base'!H$13*AY161,2))))</f>
        <v>0</v>
      </c>
      <c r="P162">
        <f>IF(AZ161&lt;=0,0,IF(ROUND(AZ161*(1+'Calc base'!N162),2)-MAX('Calc base'!I$12,ROUND('Calc base'!I$13*AZ161,2))&lt;1,ROUND(AZ161*(1+'Calc base'!N162),2),MAX('Calc base'!I$12,ROUND('Calc base'!I$13*AZ161,2))))</f>
        <v>0</v>
      </c>
      <c r="Q162">
        <f>IF(BA161&lt;=0,0,IF(ROUND(BA161*(1+'Calc base'!O162),2)-MAX('Calc base'!J$12,ROUND('Calc base'!J$13*BA161,2))&lt;1,ROUND(BA161*(1+'Calc base'!O162),2),MAX('Calc base'!J$12,ROUND('Calc base'!J$13*BA161,2))))</f>
        <v>0</v>
      </c>
      <c r="R162">
        <f>IF(BB161&lt;=0,0,IF(ROUND(BB161*(1+'Calc base'!P162),2)-MAX('Calc base'!K$12,ROUND('Calc base'!K$13*BB161,2))&lt;1,ROUND(BB161*(1+'Calc base'!P162),2),MAX('Calc base'!K$12,ROUND('Calc base'!K$13*BB161,2))))</f>
        <v>0</v>
      </c>
      <c r="S162">
        <f>IF(BC161&lt;=0,0,IF(ROUND(BC161*(1+'Calc base'!Q162),2)-MAX('Calc base'!L$12,ROUND('Calc base'!L$13*BC161,2))&lt;1,ROUND(BC161*(1+'Calc base'!Q162),2),MAX('Calc base'!L$12,ROUND('Calc base'!L$13*BC161,2))))</f>
        <v>0</v>
      </c>
      <c r="T162">
        <f>IF(BD161&lt;=0,0,IF(ROUND(BD161*(1+'Calc base'!R162),2)-MAX('Calc base'!M$12,ROUND('Calc base'!M$13*BD161,2))&lt;1,ROUND(BD161*(1+'Calc base'!R162),2),MAX('Calc base'!M$12,ROUND('Calc base'!M$13*BD161,2))))</f>
        <v>0</v>
      </c>
      <c r="U162">
        <f>IF(BE161&lt;=0,0,IF(ROUND(BE161*(1+'Calc base'!S162),2)-MAX('Calc base'!N$12,ROUND('Calc base'!N$13*BE161,2))&lt;1,ROUND(BE161*(1+'Calc base'!S162),2),MAX('Calc base'!N$12,ROUND('Calc base'!N$13*BE161,2))))</f>
        <v>0</v>
      </c>
      <c r="V162">
        <f>MAX(0,ROUND(AT161*(1+'Calc base'!H162),2)-J162-'Calc base'!T162)</f>
        <v>0</v>
      </c>
      <c r="W162">
        <f>MAX(0,ROUND(AU161*(1+'Calc base'!I162),2)-K162-'Calc base'!U162)</f>
        <v>0</v>
      </c>
      <c r="X162">
        <f>MAX(0,ROUND(AV161*(1+'Calc base'!J162),2)-L162-'Calc base'!V162)</f>
        <v>0</v>
      </c>
      <c r="Y162">
        <f>MAX(0,ROUND(AW161*(1+'Calc base'!K162),2)-M162-'Calc base'!W162)</f>
        <v>0</v>
      </c>
      <c r="Z162">
        <f>MAX(0,ROUND(AX161*(1+'Calc base'!L162),2)-N162-'Calc base'!X162)</f>
        <v>0</v>
      </c>
      <c r="AA162">
        <f>MAX(0,ROUND(AY161*(1+'Calc base'!M162),2)-O162-'Calc base'!Y162)</f>
        <v>0</v>
      </c>
      <c r="AB162">
        <f>MAX(0,ROUND(AZ161*(1+'Calc base'!N162),2)-P162-'Calc base'!Z162)</f>
        <v>0</v>
      </c>
      <c r="AC162">
        <f>MAX(0,ROUND(BA161*(1+'Calc base'!O162),2)-Q162-'Calc base'!AA162)</f>
        <v>0</v>
      </c>
      <c r="AD162">
        <f>MAX(0,ROUND(BB161*(1+'Calc base'!P162),2)-R162-'Calc base'!AB162)</f>
        <v>0</v>
      </c>
      <c r="AE162">
        <f>MAX(0,ROUND(BC161*(1+'Calc base'!Q162),2)-S162-'Calc base'!AC162)</f>
        <v>0</v>
      </c>
      <c r="AF162">
        <f>MAX(0,ROUND(BD161*(1+'Calc base'!R162),2)-T162-'Calc base'!AD162)</f>
        <v>0</v>
      </c>
      <c r="AG162">
        <f>MAX(0,ROUND(BE161*(1+'Calc base'!S162),2)-U162-'Calc base'!AE162)</f>
        <v>0</v>
      </c>
      <c r="AH162">
        <f>IF('Calc base'!C$14=0,0,MIN(V162,MAX(0,$E162-SUMPRODUCT($V162:$AG162,'Calc base'!$C$14:$N$14,('Calc base'!$H162:$S162&gt;'Calc base'!H162)+('Calc base'!$H162:$S162='Calc base'!H162)*('Calc base'!$C$17:$N$17&lt;'Calc base'!C$17)))))</f>
        <v>0</v>
      </c>
      <c r="AI162">
        <f>IF('Calc base'!D$14=0,0,MIN(W162,MAX(0,$E162-SUMPRODUCT($V162:$AG162,'Calc base'!$C$14:$N$14,('Calc base'!$H162:$S162&gt;'Calc base'!I162)+('Calc base'!$H162:$S162='Calc base'!I162)*('Calc base'!$C$17:$N$17&lt;'Calc base'!D$17)))))</f>
        <v>0</v>
      </c>
      <c r="AJ162">
        <f>IF('Calc base'!E$14=0,0,MIN(X162,MAX(0,$E162-SUMPRODUCT($V162:$AG162,'Calc base'!$C$14:$N$14,('Calc base'!$H162:$S162&gt;'Calc base'!J162)+('Calc base'!$H162:$S162='Calc base'!J162)*('Calc base'!$C$17:$N$17&lt;'Calc base'!E$17)))))</f>
        <v>0</v>
      </c>
      <c r="AK162">
        <f>IF('Calc base'!F$14=0,0,MIN(Y162,MAX(0,$E162-SUMPRODUCT($V162:$AG162,'Calc base'!$C$14:$N$14,('Calc base'!$H162:$S162&gt;'Calc base'!K162)+('Calc base'!$H162:$S162='Calc base'!K162)*('Calc base'!$C$17:$N$17&lt;'Calc base'!F$17)))))</f>
        <v>0</v>
      </c>
      <c r="AL162">
        <f>IF('Calc base'!G$14=0,0,MIN(Z162,MAX(0,$E162-SUMPRODUCT($V162:$AG162,'Calc base'!$C$14:$N$14,('Calc base'!$H162:$S162&gt;'Calc base'!L162)+('Calc base'!$H162:$S162='Calc base'!L162)*('Calc base'!$C$17:$N$17&lt;'Calc base'!G$17)))))</f>
        <v>0</v>
      </c>
      <c r="AM162">
        <f>IF('Calc base'!H$14=0,0,MIN(AA162,MAX(0,$E162-SUMPRODUCT($V162:$AG162,'Calc base'!$C$14:$N$14,('Calc base'!$H162:$S162&gt;'Calc base'!M162)+('Calc base'!$H162:$S162='Calc base'!M162)*('Calc base'!$C$17:$N$17&lt;'Calc base'!H$17)))))</f>
        <v>0</v>
      </c>
      <c r="AN162">
        <f>IF('Calc base'!I$14=0,0,MIN(AB162,MAX(0,$E162-SUMPRODUCT($V162:$AG162,'Calc base'!$C$14:$N$14,('Calc base'!$H162:$S162&gt;'Calc base'!N162)+('Calc base'!$H162:$S162='Calc base'!N162)*('Calc base'!$C$17:$N$17&lt;'Calc base'!I$17)))))</f>
        <v>0</v>
      </c>
      <c r="AO162">
        <f>IF('Calc base'!J$14=0,0,MIN(AC162,MAX(0,$E162-SUMPRODUCT($V162:$AG162,'Calc base'!$C$14:$N$14,('Calc base'!$H162:$S162&gt;'Calc base'!O162)+('Calc base'!$H162:$S162='Calc base'!O162)*('Calc base'!$C$17:$N$17&lt;'Calc base'!J$17)))))</f>
        <v>0</v>
      </c>
      <c r="AP162">
        <f>IF('Calc base'!K$14=0,0,MIN(AD162,MAX(0,$E162-SUMPRODUCT($V162:$AG162,'Calc base'!$C$14:$N$14,('Calc base'!$H162:$S162&gt;'Calc base'!P162)+('Calc base'!$H162:$S162='Calc base'!P162)*('Calc base'!$C$17:$N$17&lt;'Calc base'!K$17)))))</f>
        <v>0</v>
      </c>
      <c r="AQ162">
        <f>IF('Calc base'!L$14=0,0,MIN(AE162,MAX(0,$E162-SUMPRODUCT($V162:$AG162,'Calc base'!$C$14:$N$14,('Calc base'!$H162:$S162&gt;'Calc base'!Q162)+('Calc base'!$H162:$S162='Calc base'!Q162)*('Calc base'!$C$17:$N$17&lt;'Calc base'!L$17)))))</f>
        <v>0</v>
      </c>
      <c r="AR162">
        <f>IF('Calc base'!M$14=0,0,MIN(AF162,MAX(0,$E162-SUMPRODUCT($V162:$AG162,'Calc base'!$C$14:$N$14,('Calc base'!$H162:$S162&gt;'Calc base'!R162)+('Calc base'!$H162:$S162='Calc base'!R162)*('Calc base'!$C$17:$N$17&lt;'Calc base'!M$17)))))</f>
        <v>0</v>
      </c>
      <c r="AS162">
        <f>IF('Calc base'!N$14=0,0,MIN(AG162,MAX(0,$E162-SUMPRODUCT($V162:$AG162,'Calc base'!$C$14:$N$14,('Calc base'!$H162:$S162&gt;'Calc base'!S162)+('Calc base'!$H162:$S162='Calc base'!S162)*('Calc base'!$C$17:$N$17&lt;'Calc base'!N$17)))))</f>
        <v>0</v>
      </c>
      <c r="AT162">
        <f>V162-AH162</f>
        <v>0</v>
      </c>
      <c r="AU162">
        <f>W162-AI162</f>
        <v>0</v>
      </c>
      <c r="AV162">
        <f>X162-AJ162</f>
        <v>0</v>
      </c>
      <c r="AW162">
        <f>Y162-AK162</f>
        <v>0</v>
      </c>
      <c r="AX162">
        <f>Z162-AL162</f>
        <v>0</v>
      </c>
      <c r="AY162">
        <f>AA162-AM162</f>
        <v>0</v>
      </c>
      <c r="AZ162">
        <f>AB162-AN162</f>
        <v>0</v>
      </c>
      <c r="BA162">
        <f>AC162-AO162</f>
        <v>0</v>
      </c>
      <c r="BB162">
        <f>AD162-AP162</f>
        <v>0</v>
      </c>
      <c r="BC162">
        <f>AE162-AQ162</f>
        <v>0</v>
      </c>
      <c r="BD162">
        <f>AF162-AR162</f>
        <v>0</v>
      </c>
      <c r="BE162">
        <f>AG162-AS162</f>
        <v>0</v>
      </c>
    </row>
    <row r="163">
      <c r="A163" t="n">
        <v>133</v>
      </c>
      <c r="B163">
        <f>SUMPRODUCT(ROUND($AT162:$BE162*(1+'Calc base'!$H163:$S163),2))</f>
        <v>0</v>
      </c>
      <c r="C163">
        <f>SUM(J163:U163)</f>
        <v>0</v>
      </c>
      <c r="D163">
        <f>SUM(V163:AG163)</f>
        <v>0</v>
      </c>
      <c r="E163">
        <f>MAX(0,IF(Impostazioni!$B$7="No",'Calc base'!$C163-$C$31,'Calc base'!$C163-C163)+'Calc base'!$G163+'Calc base'!$F163-(B163-C163-D163))</f>
        <v>900</v>
      </c>
      <c r="F163">
        <f>SUM(AH163:AS163)</f>
        <v>0</v>
      </c>
      <c r="G163">
        <f>SUM(AT163:BE163)</f>
        <v>0</v>
      </c>
      <c r="H163">
        <f>B163-G162</f>
        <v>0</v>
      </c>
      <c r="I163">
        <f>B163-G163</f>
        <v>0</v>
      </c>
      <c r="J163">
        <f>IF(AT162&lt;=0,0,IF(ROUND(AT162*(1+'Calc base'!H163),2)-MAX('Calc base'!C$12,ROUND('Calc base'!C$13*AT162,2))&lt;1,ROUND(AT162*(1+'Calc base'!H163),2),MAX('Calc base'!C$12,ROUND('Calc base'!C$13*AT162,2))))</f>
        <v>0</v>
      </c>
      <c r="K163">
        <f>IF(AU162&lt;=0,0,IF(ROUND(AU162*(1+'Calc base'!I163),2)-MAX('Calc base'!D$12,ROUND('Calc base'!D$13*AU162,2))&lt;1,ROUND(AU162*(1+'Calc base'!I163),2),MAX('Calc base'!D$12,ROUND('Calc base'!D$13*AU162,2))))</f>
        <v>0</v>
      </c>
      <c r="L163">
        <f>IF(AV162&lt;=0,0,IF(ROUND(AV162*(1+'Calc base'!J163),2)-MAX('Calc base'!E$12,ROUND('Calc base'!E$13*AV162,2))&lt;1,ROUND(AV162*(1+'Calc base'!J163),2),MAX('Calc base'!E$12,ROUND('Calc base'!E$13*AV162,2))))</f>
        <v>0</v>
      </c>
      <c r="M163">
        <f>IF(AW162&lt;=0,0,IF(ROUND(AW162*(1+'Calc base'!K163),2)-MAX('Calc base'!F$12,ROUND('Calc base'!F$13*AW162,2))&lt;1,ROUND(AW162*(1+'Calc base'!K163),2),MAX('Calc base'!F$12,ROUND('Calc base'!F$13*AW162,2))))</f>
        <v>0</v>
      </c>
      <c r="N163">
        <f>IF(AX162&lt;=0,0,IF(ROUND(AX162*(1+'Calc base'!L163),2)-MAX('Calc base'!G$12,ROUND('Calc base'!G$13*AX162,2))&lt;1,ROUND(AX162*(1+'Calc base'!L163),2),MAX('Calc base'!G$12,ROUND('Calc base'!G$13*AX162,2))))</f>
        <v>0</v>
      </c>
      <c r="O163">
        <f>IF(AY162&lt;=0,0,IF(ROUND(AY162*(1+'Calc base'!M163),2)-MAX('Calc base'!H$12,ROUND('Calc base'!H$13*AY162,2))&lt;1,ROUND(AY162*(1+'Calc base'!M163),2),MAX('Calc base'!H$12,ROUND('Calc base'!H$13*AY162,2))))</f>
        <v>0</v>
      </c>
      <c r="P163">
        <f>IF(AZ162&lt;=0,0,IF(ROUND(AZ162*(1+'Calc base'!N163),2)-MAX('Calc base'!I$12,ROUND('Calc base'!I$13*AZ162,2))&lt;1,ROUND(AZ162*(1+'Calc base'!N163),2),MAX('Calc base'!I$12,ROUND('Calc base'!I$13*AZ162,2))))</f>
        <v>0</v>
      </c>
      <c r="Q163">
        <f>IF(BA162&lt;=0,0,IF(ROUND(BA162*(1+'Calc base'!O163),2)-MAX('Calc base'!J$12,ROUND('Calc base'!J$13*BA162,2))&lt;1,ROUND(BA162*(1+'Calc base'!O163),2),MAX('Calc base'!J$12,ROUND('Calc base'!J$13*BA162,2))))</f>
        <v>0</v>
      </c>
      <c r="R163">
        <f>IF(BB162&lt;=0,0,IF(ROUND(BB162*(1+'Calc base'!P163),2)-MAX('Calc base'!K$12,ROUND('Calc base'!K$13*BB162,2))&lt;1,ROUND(BB162*(1+'Calc base'!P163),2),MAX('Calc base'!K$12,ROUND('Calc base'!K$13*BB162,2))))</f>
        <v>0</v>
      </c>
      <c r="S163">
        <f>IF(BC162&lt;=0,0,IF(ROUND(BC162*(1+'Calc base'!Q163),2)-MAX('Calc base'!L$12,ROUND('Calc base'!L$13*BC162,2))&lt;1,ROUND(BC162*(1+'Calc base'!Q163),2),MAX('Calc base'!L$12,ROUND('Calc base'!L$13*BC162,2))))</f>
        <v>0</v>
      </c>
      <c r="T163">
        <f>IF(BD162&lt;=0,0,IF(ROUND(BD162*(1+'Calc base'!R163),2)-MAX('Calc base'!M$12,ROUND('Calc base'!M$13*BD162,2))&lt;1,ROUND(BD162*(1+'Calc base'!R163),2),MAX('Calc base'!M$12,ROUND('Calc base'!M$13*BD162,2))))</f>
        <v>0</v>
      </c>
      <c r="U163">
        <f>IF(BE162&lt;=0,0,IF(ROUND(BE162*(1+'Calc base'!S163),2)-MAX('Calc base'!N$12,ROUND('Calc base'!N$13*BE162,2))&lt;1,ROUND(BE162*(1+'Calc base'!S163),2),MAX('Calc base'!N$12,ROUND('Calc base'!N$13*BE162,2))))</f>
        <v>0</v>
      </c>
      <c r="V163">
        <f>MAX(0,ROUND(AT162*(1+'Calc base'!H163),2)-J163-'Calc base'!T163)</f>
        <v>0</v>
      </c>
      <c r="W163">
        <f>MAX(0,ROUND(AU162*(1+'Calc base'!I163),2)-K163-'Calc base'!U163)</f>
        <v>0</v>
      </c>
      <c r="X163">
        <f>MAX(0,ROUND(AV162*(1+'Calc base'!J163),2)-L163-'Calc base'!V163)</f>
        <v>0</v>
      </c>
      <c r="Y163">
        <f>MAX(0,ROUND(AW162*(1+'Calc base'!K163),2)-M163-'Calc base'!W163)</f>
        <v>0</v>
      </c>
      <c r="Z163">
        <f>MAX(0,ROUND(AX162*(1+'Calc base'!L163),2)-N163-'Calc base'!X163)</f>
        <v>0</v>
      </c>
      <c r="AA163">
        <f>MAX(0,ROUND(AY162*(1+'Calc base'!M163),2)-O163-'Calc base'!Y163)</f>
        <v>0</v>
      </c>
      <c r="AB163">
        <f>MAX(0,ROUND(AZ162*(1+'Calc base'!N163),2)-P163-'Calc base'!Z163)</f>
        <v>0</v>
      </c>
      <c r="AC163">
        <f>MAX(0,ROUND(BA162*(1+'Calc base'!O163),2)-Q163-'Calc base'!AA163)</f>
        <v>0</v>
      </c>
      <c r="AD163">
        <f>MAX(0,ROUND(BB162*(1+'Calc base'!P163),2)-R163-'Calc base'!AB163)</f>
        <v>0</v>
      </c>
      <c r="AE163">
        <f>MAX(0,ROUND(BC162*(1+'Calc base'!Q163),2)-S163-'Calc base'!AC163)</f>
        <v>0</v>
      </c>
      <c r="AF163">
        <f>MAX(0,ROUND(BD162*(1+'Calc base'!R163),2)-T163-'Calc base'!AD163)</f>
        <v>0</v>
      </c>
      <c r="AG163">
        <f>MAX(0,ROUND(BE162*(1+'Calc base'!S163),2)-U163-'Calc base'!AE163)</f>
        <v>0</v>
      </c>
      <c r="AH163">
        <f>IF('Calc base'!C$14=0,0,MIN(V163,MAX(0,$E163-SUMPRODUCT($V163:$AG163,'Calc base'!$C$14:$N$14,('Calc base'!$H163:$S163&gt;'Calc base'!H163)+('Calc base'!$H163:$S163='Calc base'!H163)*('Calc base'!$C$17:$N$17&lt;'Calc base'!C$17)))))</f>
        <v>0</v>
      </c>
      <c r="AI163">
        <f>IF('Calc base'!D$14=0,0,MIN(W163,MAX(0,$E163-SUMPRODUCT($V163:$AG163,'Calc base'!$C$14:$N$14,('Calc base'!$H163:$S163&gt;'Calc base'!I163)+('Calc base'!$H163:$S163='Calc base'!I163)*('Calc base'!$C$17:$N$17&lt;'Calc base'!D$17)))))</f>
        <v>0</v>
      </c>
      <c r="AJ163">
        <f>IF('Calc base'!E$14=0,0,MIN(X163,MAX(0,$E163-SUMPRODUCT($V163:$AG163,'Calc base'!$C$14:$N$14,('Calc base'!$H163:$S163&gt;'Calc base'!J163)+('Calc base'!$H163:$S163='Calc base'!J163)*('Calc base'!$C$17:$N$17&lt;'Calc base'!E$17)))))</f>
        <v>0</v>
      </c>
      <c r="AK163">
        <f>IF('Calc base'!F$14=0,0,MIN(Y163,MAX(0,$E163-SUMPRODUCT($V163:$AG163,'Calc base'!$C$14:$N$14,('Calc base'!$H163:$S163&gt;'Calc base'!K163)+('Calc base'!$H163:$S163='Calc base'!K163)*('Calc base'!$C$17:$N$17&lt;'Calc base'!F$17)))))</f>
        <v>0</v>
      </c>
      <c r="AL163">
        <f>IF('Calc base'!G$14=0,0,MIN(Z163,MAX(0,$E163-SUMPRODUCT($V163:$AG163,'Calc base'!$C$14:$N$14,('Calc base'!$H163:$S163&gt;'Calc base'!L163)+('Calc base'!$H163:$S163='Calc base'!L163)*('Calc base'!$C$17:$N$17&lt;'Calc base'!G$17)))))</f>
        <v>0</v>
      </c>
      <c r="AM163">
        <f>IF('Calc base'!H$14=0,0,MIN(AA163,MAX(0,$E163-SUMPRODUCT($V163:$AG163,'Calc base'!$C$14:$N$14,('Calc base'!$H163:$S163&gt;'Calc base'!M163)+('Calc base'!$H163:$S163='Calc base'!M163)*('Calc base'!$C$17:$N$17&lt;'Calc base'!H$17)))))</f>
        <v>0</v>
      </c>
      <c r="AN163">
        <f>IF('Calc base'!I$14=0,0,MIN(AB163,MAX(0,$E163-SUMPRODUCT($V163:$AG163,'Calc base'!$C$14:$N$14,('Calc base'!$H163:$S163&gt;'Calc base'!N163)+('Calc base'!$H163:$S163='Calc base'!N163)*('Calc base'!$C$17:$N$17&lt;'Calc base'!I$17)))))</f>
        <v>0</v>
      </c>
      <c r="AO163">
        <f>IF('Calc base'!J$14=0,0,MIN(AC163,MAX(0,$E163-SUMPRODUCT($V163:$AG163,'Calc base'!$C$14:$N$14,('Calc base'!$H163:$S163&gt;'Calc base'!O163)+('Calc base'!$H163:$S163='Calc base'!O163)*('Calc base'!$C$17:$N$17&lt;'Calc base'!J$17)))))</f>
        <v>0</v>
      </c>
      <c r="AP163">
        <f>IF('Calc base'!K$14=0,0,MIN(AD163,MAX(0,$E163-SUMPRODUCT($V163:$AG163,'Calc base'!$C$14:$N$14,('Calc base'!$H163:$S163&gt;'Calc base'!P163)+('Calc base'!$H163:$S163='Calc base'!P163)*('Calc base'!$C$17:$N$17&lt;'Calc base'!K$17)))))</f>
        <v>0</v>
      </c>
      <c r="AQ163">
        <f>IF('Calc base'!L$14=0,0,MIN(AE163,MAX(0,$E163-SUMPRODUCT($V163:$AG163,'Calc base'!$C$14:$N$14,('Calc base'!$H163:$S163&gt;'Calc base'!Q163)+('Calc base'!$H163:$S163='Calc base'!Q163)*('Calc base'!$C$17:$N$17&lt;'Calc base'!L$17)))))</f>
        <v>0</v>
      </c>
      <c r="AR163">
        <f>IF('Calc base'!M$14=0,0,MIN(AF163,MAX(0,$E163-SUMPRODUCT($V163:$AG163,'Calc base'!$C$14:$N$14,('Calc base'!$H163:$S163&gt;'Calc base'!R163)+('Calc base'!$H163:$S163='Calc base'!R163)*('Calc base'!$C$17:$N$17&lt;'Calc base'!M$17)))))</f>
        <v>0</v>
      </c>
      <c r="AS163">
        <f>IF('Calc base'!N$14=0,0,MIN(AG163,MAX(0,$E163-SUMPRODUCT($V163:$AG163,'Calc base'!$C$14:$N$14,('Calc base'!$H163:$S163&gt;'Calc base'!S163)+('Calc base'!$H163:$S163='Calc base'!S163)*('Calc base'!$C$17:$N$17&lt;'Calc base'!N$17)))))</f>
        <v>0</v>
      </c>
      <c r="AT163">
        <f>V163-AH163</f>
        <v>0</v>
      </c>
      <c r="AU163">
        <f>W163-AI163</f>
        <v>0</v>
      </c>
      <c r="AV163">
        <f>X163-AJ163</f>
        <v>0</v>
      </c>
      <c r="AW163">
        <f>Y163-AK163</f>
        <v>0</v>
      </c>
      <c r="AX163">
        <f>Z163-AL163</f>
        <v>0</v>
      </c>
      <c r="AY163">
        <f>AA163-AM163</f>
        <v>0</v>
      </c>
      <c r="AZ163">
        <f>AB163-AN163</f>
        <v>0</v>
      </c>
      <c r="BA163">
        <f>AC163-AO163</f>
        <v>0</v>
      </c>
      <c r="BB163">
        <f>AD163-AP163</f>
        <v>0</v>
      </c>
      <c r="BC163">
        <f>AE163-AQ163</f>
        <v>0</v>
      </c>
      <c r="BD163">
        <f>AF163-AR163</f>
        <v>0</v>
      </c>
      <c r="BE163">
        <f>AG163-AS163</f>
        <v>0</v>
      </c>
    </row>
    <row r="164">
      <c r="A164" t="n">
        <v>134</v>
      </c>
      <c r="B164">
        <f>SUMPRODUCT(ROUND($AT163:$BE163*(1+'Calc base'!$H164:$S164),2))</f>
        <v>0</v>
      </c>
      <c r="C164">
        <f>SUM(J164:U164)</f>
        <v>0</v>
      </c>
      <c r="D164">
        <f>SUM(V164:AG164)</f>
        <v>0</v>
      </c>
      <c r="E164">
        <f>MAX(0,IF(Impostazioni!$B$7="No",'Calc base'!$C164-$C$31,'Calc base'!$C164-C164)+'Calc base'!$G164+'Calc base'!$F164-(B164-C164-D164))</f>
        <v>900</v>
      </c>
      <c r="F164">
        <f>SUM(AH164:AS164)</f>
        <v>0</v>
      </c>
      <c r="G164">
        <f>SUM(AT164:BE164)</f>
        <v>0</v>
      </c>
      <c r="H164">
        <f>B164-G163</f>
        <v>0</v>
      </c>
      <c r="I164">
        <f>B164-G164</f>
        <v>0</v>
      </c>
      <c r="J164">
        <f>IF(AT163&lt;=0,0,IF(ROUND(AT163*(1+'Calc base'!H164),2)-MAX('Calc base'!C$12,ROUND('Calc base'!C$13*AT163,2))&lt;1,ROUND(AT163*(1+'Calc base'!H164),2),MAX('Calc base'!C$12,ROUND('Calc base'!C$13*AT163,2))))</f>
        <v>0</v>
      </c>
      <c r="K164">
        <f>IF(AU163&lt;=0,0,IF(ROUND(AU163*(1+'Calc base'!I164),2)-MAX('Calc base'!D$12,ROUND('Calc base'!D$13*AU163,2))&lt;1,ROUND(AU163*(1+'Calc base'!I164),2),MAX('Calc base'!D$12,ROUND('Calc base'!D$13*AU163,2))))</f>
        <v>0</v>
      </c>
      <c r="L164">
        <f>IF(AV163&lt;=0,0,IF(ROUND(AV163*(1+'Calc base'!J164),2)-MAX('Calc base'!E$12,ROUND('Calc base'!E$13*AV163,2))&lt;1,ROUND(AV163*(1+'Calc base'!J164),2),MAX('Calc base'!E$12,ROUND('Calc base'!E$13*AV163,2))))</f>
        <v>0</v>
      </c>
      <c r="M164">
        <f>IF(AW163&lt;=0,0,IF(ROUND(AW163*(1+'Calc base'!K164),2)-MAX('Calc base'!F$12,ROUND('Calc base'!F$13*AW163,2))&lt;1,ROUND(AW163*(1+'Calc base'!K164),2),MAX('Calc base'!F$12,ROUND('Calc base'!F$13*AW163,2))))</f>
        <v>0</v>
      </c>
      <c r="N164">
        <f>IF(AX163&lt;=0,0,IF(ROUND(AX163*(1+'Calc base'!L164),2)-MAX('Calc base'!G$12,ROUND('Calc base'!G$13*AX163,2))&lt;1,ROUND(AX163*(1+'Calc base'!L164),2),MAX('Calc base'!G$12,ROUND('Calc base'!G$13*AX163,2))))</f>
        <v>0</v>
      </c>
      <c r="O164">
        <f>IF(AY163&lt;=0,0,IF(ROUND(AY163*(1+'Calc base'!M164),2)-MAX('Calc base'!H$12,ROUND('Calc base'!H$13*AY163,2))&lt;1,ROUND(AY163*(1+'Calc base'!M164),2),MAX('Calc base'!H$12,ROUND('Calc base'!H$13*AY163,2))))</f>
        <v>0</v>
      </c>
      <c r="P164">
        <f>IF(AZ163&lt;=0,0,IF(ROUND(AZ163*(1+'Calc base'!N164),2)-MAX('Calc base'!I$12,ROUND('Calc base'!I$13*AZ163,2))&lt;1,ROUND(AZ163*(1+'Calc base'!N164),2),MAX('Calc base'!I$12,ROUND('Calc base'!I$13*AZ163,2))))</f>
        <v>0</v>
      </c>
      <c r="Q164">
        <f>IF(BA163&lt;=0,0,IF(ROUND(BA163*(1+'Calc base'!O164),2)-MAX('Calc base'!J$12,ROUND('Calc base'!J$13*BA163,2))&lt;1,ROUND(BA163*(1+'Calc base'!O164),2),MAX('Calc base'!J$12,ROUND('Calc base'!J$13*BA163,2))))</f>
        <v>0</v>
      </c>
      <c r="R164">
        <f>IF(BB163&lt;=0,0,IF(ROUND(BB163*(1+'Calc base'!P164),2)-MAX('Calc base'!K$12,ROUND('Calc base'!K$13*BB163,2))&lt;1,ROUND(BB163*(1+'Calc base'!P164),2),MAX('Calc base'!K$12,ROUND('Calc base'!K$13*BB163,2))))</f>
        <v>0</v>
      </c>
      <c r="S164">
        <f>IF(BC163&lt;=0,0,IF(ROUND(BC163*(1+'Calc base'!Q164),2)-MAX('Calc base'!L$12,ROUND('Calc base'!L$13*BC163,2))&lt;1,ROUND(BC163*(1+'Calc base'!Q164),2),MAX('Calc base'!L$12,ROUND('Calc base'!L$13*BC163,2))))</f>
        <v>0</v>
      </c>
      <c r="T164">
        <f>IF(BD163&lt;=0,0,IF(ROUND(BD163*(1+'Calc base'!R164),2)-MAX('Calc base'!M$12,ROUND('Calc base'!M$13*BD163,2))&lt;1,ROUND(BD163*(1+'Calc base'!R164),2),MAX('Calc base'!M$12,ROUND('Calc base'!M$13*BD163,2))))</f>
        <v>0</v>
      </c>
      <c r="U164">
        <f>IF(BE163&lt;=0,0,IF(ROUND(BE163*(1+'Calc base'!S164),2)-MAX('Calc base'!N$12,ROUND('Calc base'!N$13*BE163,2))&lt;1,ROUND(BE163*(1+'Calc base'!S164),2),MAX('Calc base'!N$12,ROUND('Calc base'!N$13*BE163,2))))</f>
        <v>0</v>
      </c>
      <c r="V164">
        <f>MAX(0,ROUND(AT163*(1+'Calc base'!H164),2)-J164-'Calc base'!T164)</f>
        <v>0</v>
      </c>
      <c r="W164">
        <f>MAX(0,ROUND(AU163*(1+'Calc base'!I164),2)-K164-'Calc base'!U164)</f>
        <v>0</v>
      </c>
      <c r="X164">
        <f>MAX(0,ROUND(AV163*(1+'Calc base'!J164),2)-L164-'Calc base'!V164)</f>
        <v>0</v>
      </c>
      <c r="Y164">
        <f>MAX(0,ROUND(AW163*(1+'Calc base'!K164),2)-M164-'Calc base'!W164)</f>
        <v>0</v>
      </c>
      <c r="Z164">
        <f>MAX(0,ROUND(AX163*(1+'Calc base'!L164),2)-N164-'Calc base'!X164)</f>
        <v>0</v>
      </c>
      <c r="AA164">
        <f>MAX(0,ROUND(AY163*(1+'Calc base'!M164),2)-O164-'Calc base'!Y164)</f>
        <v>0</v>
      </c>
      <c r="AB164">
        <f>MAX(0,ROUND(AZ163*(1+'Calc base'!N164),2)-P164-'Calc base'!Z164)</f>
        <v>0</v>
      </c>
      <c r="AC164">
        <f>MAX(0,ROUND(BA163*(1+'Calc base'!O164),2)-Q164-'Calc base'!AA164)</f>
        <v>0</v>
      </c>
      <c r="AD164">
        <f>MAX(0,ROUND(BB163*(1+'Calc base'!P164),2)-R164-'Calc base'!AB164)</f>
        <v>0</v>
      </c>
      <c r="AE164">
        <f>MAX(0,ROUND(BC163*(1+'Calc base'!Q164),2)-S164-'Calc base'!AC164)</f>
        <v>0</v>
      </c>
      <c r="AF164">
        <f>MAX(0,ROUND(BD163*(1+'Calc base'!R164),2)-T164-'Calc base'!AD164)</f>
        <v>0</v>
      </c>
      <c r="AG164">
        <f>MAX(0,ROUND(BE163*(1+'Calc base'!S164),2)-U164-'Calc base'!AE164)</f>
        <v>0</v>
      </c>
      <c r="AH164">
        <f>IF('Calc base'!C$14=0,0,MIN(V164,MAX(0,$E164-SUMPRODUCT($V164:$AG164,'Calc base'!$C$14:$N$14,('Calc base'!$H164:$S164&gt;'Calc base'!H164)+('Calc base'!$H164:$S164='Calc base'!H164)*('Calc base'!$C$17:$N$17&lt;'Calc base'!C$17)))))</f>
        <v>0</v>
      </c>
      <c r="AI164">
        <f>IF('Calc base'!D$14=0,0,MIN(W164,MAX(0,$E164-SUMPRODUCT($V164:$AG164,'Calc base'!$C$14:$N$14,('Calc base'!$H164:$S164&gt;'Calc base'!I164)+('Calc base'!$H164:$S164='Calc base'!I164)*('Calc base'!$C$17:$N$17&lt;'Calc base'!D$17)))))</f>
        <v>0</v>
      </c>
      <c r="AJ164">
        <f>IF('Calc base'!E$14=0,0,MIN(X164,MAX(0,$E164-SUMPRODUCT($V164:$AG164,'Calc base'!$C$14:$N$14,('Calc base'!$H164:$S164&gt;'Calc base'!J164)+('Calc base'!$H164:$S164='Calc base'!J164)*('Calc base'!$C$17:$N$17&lt;'Calc base'!E$17)))))</f>
        <v>0</v>
      </c>
      <c r="AK164">
        <f>IF('Calc base'!F$14=0,0,MIN(Y164,MAX(0,$E164-SUMPRODUCT($V164:$AG164,'Calc base'!$C$14:$N$14,('Calc base'!$H164:$S164&gt;'Calc base'!K164)+('Calc base'!$H164:$S164='Calc base'!K164)*('Calc base'!$C$17:$N$17&lt;'Calc base'!F$17)))))</f>
        <v>0</v>
      </c>
      <c r="AL164">
        <f>IF('Calc base'!G$14=0,0,MIN(Z164,MAX(0,$E164-SUMPRODUCT($V164:$AG164,'Calc base'!$C$14:$N$14,('Calc base'!$H164:$S164&gt;'Calc base'!L164)+('Calc base'!$H164:$S164='Calc base'!L164)*('Calc base'!$C$17:$N$17&lt;'Calc base'!G$17)))))</f>
        <v>0</v>
      </c>
      <c r="AM164">
        <f>IF('Calc base'!H$14=0,0,MIN(AA164,MAX(0,$E164-SUMPRODUCT($V164:$AG164,'Calc base'!$C$14:$N$14,('Calc base'!$H164:$S164&gt;'Calc base'!M164)+('Calc base'!$H164:$S164='Calc base'!M164)*('Calc base'!$C$17:$N$17&lt;'Calc base'!H$17)))))</f>
        <v>0</v>
      </c>
      <c r="AN164">
        <f>IF('Calc base'!I$14=0,0,MIN(AB164,MAX(0,$E164-SUMPRODUCT($V164:$AG164,'Calc base'!$C$14:$N$14,('Calc base'!$H164:$S164&gt;'Calc base'!N164)+('Calc base'!$H164:$S164='Calc base'!N164)*('Calc base'!$C$17:$N$17&lt;'Calc base'!I$17)))))</f>
        <v>0</v>
      </c>
      <c r="AO164">
        <f>IF('Calc base'!J$14=0,0,MIN(AC164,MAX(0,$E164-SUMPRODUCT($V164:$AG164,'Calc base'!$C$14:$N$14,('Calc base'!$H164:$S164&gt;'Calc base'!O164)+('Calc base'!$H164:$S164='Calc base'!O164)*('Calc base'!$C$17:$N$17&lt;'Calc base'!J$17)))))</f>
        <v>0</v>
      </c>
      <c r="AP164">
        <f>IF('Calc base'!K$14=0,0,MIN(AD164,MAX(0,$E164-SUMPRODUCT($V164:$AG164,'Calc base'!$C$14:$N$14,('Calc base'!$H164:$S164&gt;'Calc base'!P164)+('Calc base'!$H164:$S164='Calc base'!P164)*('Calc base'!$C$17:$N$17&lt;'Calc base'!K$17)))))</f>
        <v>0</v>
      </c>
      <c r="AQ164">
        <f>IF('Calc base'!L$14=0,0,MIN(AE164,MAX(0,$E164-SUMPRODUCT($V164:$AG164,'Calc base'!$C$14:$N$14,('Calc base'!$H164:$S164&gt;'Calc base'!Q164)+('Calc base'!$H164:$S164='Calc base'!Q164)*('Calc base'!$C$17:$N$17&lt;'Calc base'!L$17)))))</f>
        <v>0</v>
      </c>
      <c r="AR164">
        <f>IF('Calc base'!M$14=0,0,MIN(AF164,MAX(0,$E164-SUMPRODUCT($V164:$AG164,'Calc base'!$C$14:$N$14,('Calc base'!$H164:$S164&gt;'Calc base'!R164)+('Calc base'!$H164:$S164='Calc base'!R164)*('Calc base'!$C$17:$N$17&lt;'Calc base'!M$17)))))</f>
        <v>0</v>
      </c>
      <c r="AS164">
        <f>IF('Calc base'!N$14=0,0,MIN(AG164,MAX(0,$E164-SUMPRODUCT($V164:$AG164,'Calc base'!$C$14:$N$14,('Calc base'!$H164:$S164&gt;'Calc base'!S164)+('Calc base'!$H164:$S164='Calc base'!S164)*('Calc base'!$C$17:$N$17&lt;'Calc base'!N$17)))))</f>
        <v>0</v>
      </c>
      <c r="AT164">
        <f>V164-AH164</f>
        <v>0</v>
      </c>
      <c r="AU164">
        <f>W164-AI164</f>
        <v>0</v>
      </c>
      <c r="AV164">
        <f>X164-AJ164</f>
        <v>0</v>
      </c>
      <c r="AW164">
        <f>Y164-AK164</f>
        <v>0</v>
      </c>
      <c r="AX164">
        <f>Z164-AL164</f>
        <v>0</v>
      </c>
      <c r="AY164">
        <f>AA164-AM164</f>
        <v>0</v>
      </c>
      <c r="AZ164">
        <f>AB164-AN164</f>
        <v>0</v>
      </c>
      <c r="BA164">
        <f>AC164-AO164</f>
        <v>0</v>
      </c>
      <c r="BB164">
        <f>AD164-AP164</f>
        <v>0</v>
      </c>
      <c r="BC164">
        <f>AE164-AQ164</f>
        <v>0</v>
      </c>
      <c r="BD164">
        <f>AF164-AR164</f>
        <v>0</v>
      </c>
      <c r="BE164">
        <f>AG164-AS164</f>
        <v>0</v>
      </c>
    </row>
    <row r="165">
      <c r="A165" t="n">
        <v>135</v>
      </c>
      <c r="B165">
        <f>SUMPRODUCT(ROUND($AT164:$BE164*(1+'Calc base'!$H165:$S165),2))</f>
        <v>0</v>
      </c>
      <c r="C165">
        <f>SUM(J165:U165)</f>
        <v>0</v>
      </c>
      <c r="D165">
        <f>SUM(V165:AG165)</f>
        <v>0</v>
      </c>
      <c r="E165">
        <f>MAX(0,IF(Impostazioni!$B$7="No",'Calc base'!$C165-$C$31,'Calc base'!$C165-C165)+'Calc base'!$G165+'Calc base'!$F165-(B165-C165-D165))</f>
        <v>900</v>
      </c>
      <c r="F165">
        <f>SUM(AH165:AS165)</f>
        <v>0</v>
      </c>
      <c r="G165">
        <f>SUM(AT165:BE165)</f>
        <v>0</v>
      </c>
      <c r="H165">
        <f>B165-G164</f>
        <v>0</v>
      </c>
      <c r="I165">
        <f>B165-G165</f>
        <v>0</v>
      </c>
      <c r="J165">
        <f>IF(AT164&lt;=0,0,IF(ROUND(AT164*(1+'Calc base'!H165),2)-MAX('Calc base'!C$12,ROUND('Calc base'!C$13*AT164,2))&lt;1,ROUND(AT164*(1+'Calc base'!H165),2),MAX('Calc base'!C$12,ROUND('Calc base'!C$13*AT164,2))))</f>
        <v>0</v>
      </c>
      <c r="K165">
        <f>IF(AU164&lt;=0,0,IF(ROUND(AU164*(1+'Calc base'!I165),2)-MAX('Calc base'!D$12,ROUND('Calc base'!D$13*AU164,2))&lt;1,ROUND(AU164*(1+'Calc base'!I165),2),MAX('Calc base'!D$12,ROUND('Calc base'!D$13*AU164,2))))</f>
        <v>0</v>
      </c>
      <c r="L165">
        <f>IF(AV164&lt;=0,0,IF(ROUND(AV164*(1+'Calc base'!J165),2)-MAX('Calc base'!E$12,ROUND('Calc base'!E$13*AV164,2))&lt;1,ROUND(AV164*(1+'Calc base'!J165),2),MAX('Calc base'!E$12,ROUND('Calc base'!E$13*AV164,2))))</f>
        <v>0</v>
      </c>
      <c r="M165">
        <f>IF(AW164&lt;=0,0,IF(ROUND(AW164*(1+'Calc base'!K165),2)-MAX('Calc base'!F$12,ROUND('Calc base'!F$13*AW164,2))&lt;1,ROUND(AW164*(1+'Calc base'!K165),2),MAX('Calc base'!F$12,ROUND('Calc base'!F$13*AW164,2))))</f>
        <v>0</v>
      </c>
      <c r="N165">
        <f>IF(AX164&lt;=0,0,IF(ROUND(AX164*(1+'Calc base'!L165),2)-MAX('Calc base'!G$12,ROUND('Calc base'!G$13*AX164,2))&lt;1,ROUND(AX164*(1+'Calc base'!L165),2),MAX('Calc base'!G$12,ROUND('Calc base'!G$13*AX164,2))))</f>
        <v>0</v>
      </c>
      <c r="O165">
        <f>IF(AY164&lt;=0,0,IF(ROUND(AY164*(1+'Calc base'!M165),2)-MAX('Calc base'!H$12,ROUND('Calc base'!H$13*AY164,2))&lt;1,ROUND(AY164*(1+'Calc base'!M165),2),MAX('Calc base'!H$12,ROUND('Calc base'!H$13*AY164,2))))</f>
        <v>0</v>
      </c>
      <c r="P165">
        <f>IF(AZ164&lt;=0,0,IF(ROUND(AZ164*(1+'Calc base'!N165),2)-MAX('Calc base'!I$12,ROUND('Calc base'!I$13*AZ164,2))&lt;1,ROUND(AZ164*(1+'Calc base'!N165),2),MAX('Calc base'!I$12,ROUND('Calc base'!I$13*AZ164,2))))</f>
        <v>0</v>
      </c>
      <c r="Q165">
        <f>IF(BA164&lt;=0,0,IF(ROUND(BA164*(1+'Calc base'!O165),2)-MAX('Calc base'!J$12,ROUND('Calc base'!J$13*BA164,2))&lt;1,ROUND(BA164*(1+'Calc base'!O165),2),MAX('Calc base'!J$12,ROUND('Calc base'!J$13*BA164,2))))</f>
        <v>0</v>
      </c>
      <c r="R165">
        <f>IF(BB164&lt;=0,0,IF(ROUND(BB164*(1+'Calc base'!P165),2)-MAX('Calc base'!K$12,ROUND('Calc base'!K$13*BB164,2))&lt;1,ROUND(BB164*(1+'Calc base'!P165),2),MAX('Calc base'!K$12,ROUND('Calc base'!K$13*BB164,2))))</f>
        <v>0</v>
      </c>
      <c r="S165">
        <f>IF(BC164&lt;=0,0,IF(ROUND(BC164*(1+'Calc base'!Q165),2)-MAX('Calc base'!L$12,ROUND('Calc base'!L$13*BC164,2))&lt;1,ROUND(BC164*(1+'Calc base'!Q165),2),MAX('Calc base'!L$12,ROUND('Calc base'!L$13*BC164,2))))</f>
        <v>0</v>
      </c>
      <c r="T165">
        <f>IF(BD164&lt;=0,0,IF(ROUND(BD164*(1+'Calc base'!R165),2)-MAX('Calc base'!M$12,ROUND('Calc base'!M$13*BD164,2))&lt;1,ROUND(BD164*(1+'Calc base'!R165),2),MAX('Calc base'!M$12,ROUND('Calc base'!M$13*BD164,2))))</f>
        <v>0</v>
      </c>
      <c r="U165">
        <f>IF(BE164&lt;=0,0,IF(ROUND(BE164*(1+'Calc base'!S165),2)-MAX('Calc base'!N$12,ROUND('Calc base'!N$13*BE164,2))&lt;1,ROUND(BE164*(1+'Calc base'!S165),2),MAX('Calc base'!N$12,ROUND('Calc base'!N$13*BE164,2))))</f>
        <v>0</v>
      </c>
      <c r="V165">
        <f>MAX(0,ROUND(AT164*(1+'Calc base'!H165),2)-J165-'Calc base'!T165)</f>
        <v>0</v>
      </c>
      <c r="W165">
        <f>MAX(0,ROUND(AU164*(1+'Calc base'!I165),2)-K165-'Calc base'!U165)</f>
        <v>0</v>
      </c>
      <c r="X165">
        <f>MAX(0,ROUND(AV164*(1+'Calc base'!J165),2)-L165-'Calc base'!V165)</f>
        <v>0</v>
      </c>
      <c r="Y165">
        <f>MAX(0,ROUND(AW164*(1+'Calc base'!K165),2)-M165-'Calc base'!W165)</f>
        <v>0</v>
      </c>
      <c r="Z165">
        <f>MAX(0,ROUND(AX164*(1+'Calc base'!L165),2)-N165-'Calc base'!X165)</f>
        <v>0</v>
      </c>
      <c r="AA165">
        <f>MAX(0,ROUND(AY164*(1+'Calc base'!M165),2)-O165-'Calc base'!Y165)</f>
        <v>0</v>
      </c>
      <c r="AB165">
        <f>MAX(0,ROUND(AZ164*(1+'Calc base'!N165),2)-P165-'Calc base'!Z165)</f>
        <v>0</v>
      </c>
      <c r="AC165">
        <f>MAX(0,ROUND(BA164*(1+'Calc base'!O165),2)-Q165-'Calc base'!AA165)</f>
        <v>0</v>
      </c>
      <c r="AD165">
        <f>MAX(0,ROUND(BB164*(1+'Calc base'!P165),2)-R165-'Calc base'!AB165)</f>
        <v>0</v>
      </c>
      <c r="AE165">
        <f>MAX(0,ROUND(BC164*(1+'Calc base'!Q165),2)-S165-'Calc base'!AC165)</f>
        <v>0</v>
      </c>
      <c r="AF165">
        <f>MAX(0,ROUND(BD164*(1+'Calc base'!R165),2)-T165-'Calc base'!AD165)</f>
        <v>0</v>
      </c>
      <c r="AG165">
        <f>MAX(0,ROUND(BE164*(1+'Calc base'!S165),2)-U165-'Calc base'!AE165)</f>
        <v>0</v>
      </c>
      <c r="AH165">
        <f>IF('Calc base'!C$14=0,0,MIN(V165,MAX(0,$E165-SUMPRODUCT($V165:$AG165,'Calc base'!$C$14:$N$14,('Calc base'!$H165:$S165&gt;'Calc base'!H165)+('Calc base'!$H165:$S165='Calc base'!H165)*('Calc base'!$C$17:$N$17&lt;'Calc base'!C$17)))))</f>
        <v>0</v>
      </c>
      <c r="AI165">
        <f>IF('Calc base'!D$14=0,0,MIN(W165,MAX(0,$E165-SUMPRODUCT($V165:$AG165,'Calc base'!$C$14:$N$14,('Calc base'!$H165:$S165&gt;'Calc base'!I165)+('Calc base'!$H165:$S165='Calc base'!I165)*('Calc base'!$C$17:$N$17&lt;'Calc base'!D$17)))))</f>
        <v>0</v>
      </c>
      <c r="AJ165">
        <f>IF('Calc base'!E$14=0,0,MIN(X165,MAX(0,$E165-SUMPRODUCT($V165:$AG165,'Calc base'!$C$14:$N$14,('Calc base'!$H165:$S165&gt;'Calc base'!J165)+('Calc base'!$H165:$S165='Calc base'!J165)*('Calc base'!$C$17:$N$17&lt;'Calc base'!E$17)))))</f>
        <v>0</v>
      </c>
      <c r="AK165">
        <f>IF('Calc base'!F$14=0,0,MIN(Y165,MAX(0,$E165-SUMPRODUCT($V165:$AG165,'Calc base'!$C$14:$N$14,('Calc base'!$H165:$S165&gt;'Calc base'!K165)+('Calc base'!$H165:$S165='Calc base'!K165)*('Calc base'!$C$17:$N$17&lt;'Calc base'!F$17)))))</f>
        <v>0</v>
      </c>
      <c r="AL165">
        <f>IF('Calc base'!G$14=0,0,MIN(Z165,MAX(0,$E165-SUMPRODUCT($V165:$AG165,'Calc base'!$C$14:$N$14,('Calc base'!$H165:$S165&gt;'Calc base'!L165)+('Calc base'!$H165:$S165='Calc base'!L165)*('Calc base'!$C$17:$N$17&lt;'Calc base'!G$17)))))</f>
        <v>0</v>
      </c>
      <c r="AM165">
        <f>IF('Calc base'!H$14=0,0,MIN(AA165,MAX(0,$E165-SUMPRODUCT($V165:$AG165,'Calc base'!$C$14:$N$14,('Calc base'!$H165:$S165&gt;'Calc base'!M165)+('Calc base'!$H165:$S165='Calc base'!M165)*('Calc base'!$C$17:$N$17&lt;'Calc base'!H$17)))))</f>
        <v>0</v>
      </c>
      <c r="AN165">
        <f>IF('Calc base'!I$14=0,0,MIN(AB165,MAX(0,$E165-SUMPRODUCT($V165:$AG165,'Calc base'!$C$14:$N$14,('Calc base'!$H165:$S165&gt;'Calc base'!N165)+('Calc base'!$H165:$S165='Calc base'!N165)*('Calc base'!$C$17:$N$17&lt;'Calc base'!I$17)))))</f>
        <v>0</v>
      </c>
      <c r="AO165">
        <f>IF('Calc base'!J$14=0,0,MIN(AC165,MAX(0,$E165-SUMPRODUCT($V165:$AG165,'Calc base'!$C$14:$N$14,('Calc base'!$H165:$S165&gt;'Calc base'!O165)+('Calc base'!$H165:$S165='Calc base'!O165)*('Calc base'!$C$17:$N$17&lt;'Calc base'!J$17)))))</f>
        <v>0</v>
      </c>
      <c r="AP165">
        <f>IF('Calc base'!K$14=0,0,MIN(AD165,MAX(0,$E165-SUMPRODUCT($V165:$AG165,'Calc base'!$C$14:$N$14,('Calc base'!$H165:$S165&gt;'Calc base'!P165)+('Calc base'!$H165:$S165='Calc base'!P165)*('Calc base'!$C$17:$N$17&lt;'Calc base'!K$17)))))</f>
        <v>0</v>
      </c>
      <c r="AQ165">
        <f>IF('Calc base'!L$14=0,0,MIN(AE165,MAX(0,$E165-SUMPRODUCT($V165:$AG165,'Calc base'!$C$14:$N$14,('Calc base'!$H165:$S165&gt;'Calc base'!Q165)+('Calc base'!$H165:$S165='Calc base'!Q165)*('Calc base'!$C$17:$N$17&lt;'Calc base'!L$17)))))</f>
        <v>0</v>
      </c>
      <c r="AR165">
        <f>IF('Calc base'!M$14=0,0,MIN(AF165,MAX(0,$E165-SUMPRODUCT($V165:$AG165,'Calc base'!$C$14:$N$14,('Calc base'!$H165:$S165&gt;'Calc base'!R165)+('Calc base'!$H165:$S165='Calc base'!R165)*('Calc base'!$C$17:$N$17&lt;'Calc base'!M$17)))))</f>
        <v>0</v>
      </c>
      <c r="AS165">
        <f>IF('Calc base'!N$14=0,0,MIN(AG165,MAX(0,$E165-SUMPRODUCT($V165:$AG165,'Calc base'!$C$14:$N$14,('Calc base'!$H165:$S165&gt;'Calc base'!S165)+('Calc base'!$H165:$S165='Calc base'!S165)*('Calc base'!$C$17:$N$17&lt;'Calc base'!N$17)))))</f>
        <v>0</v>
      </c>
      <c r="AT165">
        <f>V165-AH165</f>
        <v>0</v>
      </c>
      <c r="AU165">
        <f>W165-AI165</f>
        <v>0</v>
      </c>
      <c r="AV165">
        <f>X165-AJ165</f>
        <v>0</v>
      </c>
      <c r="AW165">
        <f>Y165-AK165</f>
        <v>0</v>
      </c>
      <c r="AX165">
        <f>Z165-AL165</f>
        <v>0</v>
      </c>
      <c r="AY165">
        <f>AA165-AM165</f>
        <v>0</v>
      </c>
      <c r="AZ165">
        <f>AB165-AN165</f>
        <v>0</v>
      </c>
      <c r="BA165">
        <f>AC165-AO165</f>
        <v>0</v>
      </c>
      <c r="BB165">
        <f>AD165-AP165</f>
        <v>0</v>
      </c>
      <c r="BC165">
        <f>AE165-AQ165</f>
        <v>0</v>
      </c>
      <c r="BD165">
        <f>AF165-AR165</f>
        <v>0</v>
      </c>
      <c r="BE165">
        <f>AG165-AS165</f>
        <v>0</v>
      </c>
    </row>
    <row r="166">
      <c r="A166" t="n">
        <v>136</v>
      </c>
      <c r="B166">
        <f>SUMPRODUCT(ROUND($AT165:$BE165*(1+'Calc base'!$H166:$S166),2))</f>
        <v>0</v>
      </c>
      <c r="C166">
        <f>SUM(J166:U166)</f>
        <v>0</v>
      </c>
      <c r="D166">
        <f>SUM(V166:AG166)</f>
        <v>0</v>
      </c>
      <c r="E166">
        <f>MAX(0,IF(Impostazioni!$B$7="No",'Calc base'!$C166-$C$31,'Calc base'!$C166-C166)+'Calc base'!$G166+'Calc base'!$F166-(B166-C166-D166))</f>
        <v>900</v>
      </c>
      <c r="F166">
        <f>SUM(AH166:AS166)</f>
        <v>0</v>
      </c>
      <c r="G166">
        <f>SUM(AT166:BE166)</f>
        <v>0</v>
      </c>
      <c r="H166">
        <f>B166-G165</f>
        <v>0</v>
      </c>
      <c r="I166">
        <f>B166-G166</f>
        <v>0</v>
      </c>
      <c r="J166">
        <f>IF(AT165&lt;=0,0,IF(ROUND(AT165*(1+'Calc base'!H166),2)-MAX('Calc base'!C$12,ROUND('Calc base'!C$13*AT165,2))&lt;1,ROUND(AT165*(1+'Calc base'!H166),2),MAX('Calc base'!C$12,ROUND('Calc base'!C$13*AT165,2))))</f>
        <v>0</v>
      </c>
      <c r="K166">
        <f>IF(AU165&lt;=0,0,IF(ROUND(AU165*(1+'Calc base'!I166),2)-MAX('Calc base'!D$12,ROUND('Calc base'!D$13*AU165,2))&lt;1,ROUND(AU165*(1+'Calc base'!I166),2),MAX('Calc base'!D$12,ROUND('Calc base'!D$13*AU165,2))))</f>
        <v>0</v>
      </c>
      <c r="L166">
        <f>IF(AV165&lt;=0,0,IF(ROUND(AV165*(1+'Calc base'!J166),2)-MAX('Calc base'!E$12,ROUND('Calc base'!E$13*AV165,2))&lt;1,ROUND(AV165*(1+'Calc base'!J166),2),MAX('Calc base'!E$12,ROUND('Calc base'!E$13*AV165,2))))</f>
        <v>0</v>
      </c>
      <c r="M166">
        <f>IF(AW165&lt;=0,0,IF(ROUND(AW165*(1+'Calc base'!K166),2)-MAX('Calc base'!F$12,ROUND('Calc base'!F$13*AW165,2))&lt;1,ROUND(AW165*(1+'Calc base'!K166),2),MAX('Calc base'!F$12,ROUND('Calc base'!F$13*AW165,2))))</f>
        <v>0</v>
      </c>
      <c r="N166">
        <f>IF(AX165&lt;=0,0,IF(ROUND(AX165*(1+'Calc base'!L166),2)-MAX('Calc base'!G$12,ROUND('Calc base'!G$13*AX165,2))&lt;1,ROUND(AX165*(1+'Calc base'!L166),2),MAX('Calc base'!G$12,ROUND('Calc base'!G$13*AX165,2))))</f>
        <v>0</v>
      </c>
      <c r="O166">
        <f>IF(AY165&lt;=0,0,IF(ROUND(AY165*(1+'Calc base'!M166),2)-MAX('Calc base'!H$12,ROUND('Calc base'!H$13*AY165,2))&lt;1,ROUND(AY165*(1+'Calc base'!M166),2),MAX('Calc base'!H$12,ROUND('Calc base'!H$13*AY165,2))))</f>
        <v>0</v>
      </c>
      <c r="P166">
        <f>IF(AZ165&lt;=0,0,IF(ROUND(AZ165*(1+'Calc base'!N166),2)-MAX('Calc base'!I$12,ROUND('Calc base'!I$13*AZ165,2))&lt;1,ROUND(AZ165*(1+'Calc base'!N166),2),MAX('Calc base'!I$12,ROUND('Calc base'!I$13*AZ165,2))))</f>
        <v>0</v>
      </c>
      <c r="Q166">
        <f>IF(BA165&lt;=0,0,IF(ROUND(BA165*(1+'Calc base'!O166),2)-MAX('Calc base'!J$12,ROUND('Calc base'!J$13*BA165,2))&lt;1,ROUND(BA165*(1+'Calc base'!O166),2),MAX('Calc base'!J$12,ROUND('Calc base'!J$13*BA165,2))))</f>
        <v>0</v>
      </c>
      <c r="R166">
        <f>IF(BB165&lt;=0,0,IF(ROUND(BB165*(1+'Calc base'!P166),2)-MAX('Calc base'!K$12,ROUND('Calc base'!K$13*BB165,2))&lt;1,ROUND(BB165*(1+'Calc base'!P166),2),MAX('Calc base'!K$12,ROUND('Calc base'!K$13*BB165,2))))</f>
        <v>0</v>
      </c>
      <c r="S166">
        <f>IF(BC165&lt;=0,0,IF(ROUND(BC165*(1+'Calc base'!Q166),2)-MAX('Calc base'!L$12,ROUND('Calc base'!L$13*BC165,2))&lt;1,ROUND(BC165*(1+'Calc base'!Q166),2),MAX('Calc base'!L$12,ROUND('Calc base'!L$13*BC165,2))))</f>
        <v>0</v>
      </c>
      <c r="T166">
        <f>IF(BD165&lt;=0,0,IF(ROUND(BD165*(1+'Calc base'!R166),2)-MAX('Calc base'!M$12,ROUND('Calc base'!M$13*BD165,2))&lt;1,ROUND(BD165*(1+'Calc base'!R166),2),MAX('Calc base'!M$12,ROUND('Calc base'!M$13*BD165,2))))</f>
        <v>0</v>
      </c>
      <c r="U166">
        <f>IF(BE165&lt;=0,0,IF(ROUND(BE165*(1+'Calc base'!S166),2)-MAX('Calc base'!N$12,ROUND('Calc base'!N$13*BE165,2))&lt;1,ROUND(BE165*(1+'Calc base'!S166),2),MAX('Calc base'!N$12,ROUND('Calc base'!N$13*BE165,2))))</f>
        <v>0</v>
      </c>
      <c r="V166">
        <f>MAX(0,ROUND(AT165*(1+'Calc base'!H166),2)-J166-'Calc base'!T166)</f>
        <v>0</v>
      </c>
      <c r="W166">
        <f>MAX(0,ROUND(AU165*(1+'Calc base'!I166),2)-K166-'Calc base'!U166)</f>
        <v>0</v>
      </c>
      <c r="X166">
        <f>MAX(0,ROUND(AV165*(1+'Calc base'!J166),2)-L166-'Calc base'!V166)</f>
        <v>0</v>
      </c>
      <c r="Y166">
        <f>MAX(0,ROUND(AW165*(1+'Calc base'!K166),2)-M166-'Calc base'!W166)</f>
        <v>0</v>
      </c>
      <c r="Z166">
        <f>MAX(0,ROUND(AX165*(1+'Calc base'!L166),2)-N166-'Calc base'!X166)</f>
        <v>0</v>
      </c>
      <c r="AA166">
        <f>MAX(0,ROUND(AY165*(1+'Calc base'!M166),2)-O166-'Calc base'!Y166)</f>
        <v>0</v>
      </c>
      <c r="AB166">
        <f>MAX(0,ROUND(AZ165*(1+'Calc base'!N166),2)-P166-'Calc base'!Z166)</f>
        <v>0</v>
      </c>
      <c r="AC166">
        <f>MAX(0,ROUND(BA165*(1+'Calc base'!O166),2)-Q166-'Calc base'!AA166)</f>
        <v>0</v>
      </c>
      <c r="AD166">
        <f>MAX(0,ROUND(BB165*(1+'Calc base'!P166),2)-R166-'Calc base'!AB166)</f>
        <v>0</v>
      </c>
      <c r="AE166">
        <f>MAX(0,ROUND(BC165*(1+'Calc base'!Q166),2)-S166-'Calc base'!AC166)</f>
        <v>0</v>
      </c>
      <c r="AF166">
        <f>MAX(0,ROUND(BD165*(1+'Calc base'!R166),2)-T166-'Calc base'!AD166)</f>
        <v>0</v>
      </c>
      <c r="AG166">
        <f>MAX(0,ROUND(BE165*(1+'Calc base'!S166),2)-U166-'Calc base'!AE166)</f>
        <v>0</v>
      </c>
      <c r="AH166">
        <f>IF('Calc base'!C$14=0,0,MIN(V166,MAX(0,$E166-SUMPRODUCT($V166:$AG166,'Calc base'!$C$14:$N$14,('Calc base'!$H166:$S166&gt;'Calc base'!H166)+('Calc base'!$H166:$S166='Calc base'!H166)*('Calc base'!$C$17:$N$17&lt;'Calc base'!C$17)))))</f>
        <v>0</v>
      </c>
      <c r="AI166">
        <f>IF('Calc base'!D$14=0,0,MIN(W166,MAX(0,$E166-SUMPRODUCT($V166:$AG166,'Calc base'!$C$14:$N$14,('Calc base'!$H166:$S166&gt;'Calc base'!I166)+('Calc base'!$H166:$S166='Calc base'!I166)*('Calc base'!$C$17:$N$17&lt;'Calc base'!D$17)))))</f>
        <v>0</v>
      </c>
      <c r="AJ166">
        <f>IF('Calc base'!E$14=0,0,MIN(X166,MAX(0,$E166-SUMPRODUCT($V166:$AG166,'Calc base'!$C$14:$N$14,('Calc base'!$H166:$S166&gt;'Calc base'!J166)+('Calc base'!$H166:$S166='Calc base'!J166)*('Calc base'!$C$17:$N$17&lt;'Calc base'!E$17)))))</f>
        <v>0</v>
      </c>
      <c r="AK166">
        <f>IF('Calc base'!F$14=0,0,MIN(Y166,MAX(0,$E166-SUMPRODUCT($V166:$AG166,'Calc base'!$C$14:$N$14,('Calc base'!$H166:$S166&gt;'Calc base'!K166)+('Calc base'!$H166:$S166='Calc base'!K166)*('Calc base'!$C$17:$N$17&lt;'Calc base'!F$17)))))</f>
        <v>0</v>
      </c>
      <c r="AL166">
        <f>IF('Calc base'!G$14=0,0,MIN(Z166,MAX(0,$E166-SUMPRODUCT($V166:$AG166,'Calc base'!$C$14:$N$14,('Calc base'!$H166:$S166&gt;'Calc base'!L166)+('Calc base'!$H166:$S166='Calc base'!L166)*('Calc base'!$C$17:$N$17&lt;'Calc base'!G$17)))))</f>
        <v>0</v>
      </c>
      <c r="AM166">
        <f>IF('Calc base'!H$14=0,0,MIN(AA166,MAX(0,$E166-SUMPRODUCT($V166:$AG166,'Calc base'!$C$14:$N$14,('Calc base'!$H166:$S166&gt;'Calc base'!M166)+('Calc base'!$H166:$S166='Calc base'!M166)*('Calc base'!$C$17:$N$17&lt;'Calc base'!H$17)))))</f>
        <v>0</v>
      </c>
      <c r="AN166">
        <f>IF('Calc base'!I$14=0,0,MIN(AB166,MAX(0,$E166-SUMPRODUCT($V166:$AG166,'Calc base'!$C$14:$N$14,('Calc base'!$H166:$S166&gt;'Calc base'!N166)+('Calc base'!$H166:$S166='Calc base'!N166)*('Calc base'!$C$17:$N$17&lt;'Calc base'!I$17)))))</f>
        <v>0</v>
      </c>
      <c r="AO166">
        <f>IF('Calc base'!J$14=0,0,MIN(AC166,MAX(0,$E166-SUMPRODUCT($V166:$AG166,'Calc base'!$C$14:$N$14,('Calc base'!$H166:$S166&gt;'Calc base'!O166)+('Calc base'!$H166:$S166='Calc base'!O166)*('Calc base'!$C$17:$N$17&lt;'Calc base'!J$17)))))</f>
        <v>0</v>
      </c>
      <c r="AP166">
        <f>IF('Calc base'!K$14=0,0,MIN(AD166,MAX(0,$E166-SUMPRODUCT($V166:$AG166,'Calc base'!$C$14:$N$14,('Calc base'!$H166:$S166&gt;'Calc base'!P166)+('Calc base'!$H166:$S166='Calc base'!P166)*('Calc base'!$C$17:$N$17&lt;'Calc base'!K$17)))))</f>
        <v>0</v>
      </c>
      <c r="AQ166">
        <f>IF('Calc base'!L$14=0,0,MIN(AE166,MAX(0,$E166-SUMPRODUCT($V166:$AG166,'Calc base'!$C$14:$N$14,('Calc base'!$H166:$S166&gt;'Calc base'!Q166)+('Calc base'!$H166:$S166='Calc base'!Q166)*('Calc base'!$C$17:$N$17&lt;'Calc base'!L$17)))))</f>
        <v>0</v>
      </c>
      <c r="AR166">
        <f>IF('Calc base'!M$14=0,0,MIN(AF166,MAX(0,$E166-SUMPRODUCT($V166:$AG166,'Calc base'!$C$14:$N$14,('Calc base'!$H166:$S166&gt;'Calc base'!R166)+('Calc base'!$H166:$S166='Calc base'!R166)*('Calc base'!$C$17:$N$17&lt;'Calc base'!M$17)))))</f>
        <v>0</v>
      </c>
      <c r="AS166">
        <f>IF('Calc base'!N$14=0,0,MIN(AG166,MAX(0,$E166-SUMPRODUCT($V166:$AG166,'Calc base'!$C$14:$N$14,('Calc base'!$H166:$S166&gt;'Calc base'!S166)+('Calc base'!$H166:$S166='Calc base'!S166)*('Calc base'!$C$17:$N$17&lt;'Calc base'!N$17)))))</f>
        <v>0</v>
      </c>
      <c r="AT166">
        <f>V166-AH166</f>
        <v>0</v>
      </c>
      <c r="AU166">
        <f>W166-AI166</f>
        <v>0</v>
      </c>
      <c r="AV166">
        <f>X166-AJ166</f>
        <v>0</v>
      </c>
      <c r="AW166">
        <f>Y166-AK166</f>
        <v>0</v>
      </c>
      <c r="AX166">
        <f>Z166-AL166</f>
        <v>0</v>
      </c>
      <c r="AY166">
        <f>AA166-AM166</f>
        <v>0</v>
      </c>
      <c r="AZ166">
        <f>AB166-AN166</f>
        <v>0</v>
      </c>
      <c r="BA166">
        <f>AC166-AO166</f>
        <v>0</v>
      </c>
      <c r="BB166">
        <f>AD166-AP166</f>
        <v>0</v>
      </c>
      <c r="BC166">
        <f>AE166-AQ166</f>
        <v>0</v>
      </c>
      <c r="BD166">
        <f>AF166-AR166</f>
        <v>0</v>
      </c>
      <c r="BE166">
        <f>AG166-AS166</f>
        <v>0</v>
      </c>
    </row>
    <row r="167">
      <c r="A167" t="n">
        <v>137</v>
      </c>
      <c r="B167">
        <f>SUMPRODUCT(ROUND($AT166:$BE166*(1+'Calc base'!$H167:$S167),2))</f>
        <v>0</v>
      </c>
      <c r="C167">
        <f>SUM(J167:U167)</f>
        <v>0</v>
      </c>
      <c r="D167">
        <f>SUM(V167:AG167)</f>
        <v>0</v>
      </c>
      <c r="E167">
        <f>MAX(0,IF(Impostazioni!$B$7="No",'Calc base'!$C167-$C$31,'Calc base'!$C167-C167)+'Calc base'!$G167+'Calc base'!$F167-(B167-C167-D167))</f>
        <v>900</v>
      </c>
      <c r="F167">
        <f>SUM(AH167:AS167)</f>
        <v>0</v>
      </c>
      <c r="G167">
        <f>SUM(AT167:BE167)</f>
        <v>0</v>
      </c>
      <c r="H167">
        <f>B167-G166</f>
        <v>0</v>
      </c>
      <c r="I167">
        <f>B167-G167</f>
        <v>0</v>
      </c>
      <c r="J167">
        <f>IF(AT166&lt;=0,0,IF(ROUND(AT166*(1+'Calc base'!H167),2)-MAX('Calc base'!C$12,ROUND('Calc base'!C$13*AT166,2))&lt;1,ROUND(AT166*(1+'Calc base'!H167),2),MAX('Calc base'!C$12,ROUND('Calc base'!C$13*AT166,2))))</f>
        <v>0</v>
      </c>
      <c r="K167">
        <f>IF(AU166&lt;=0,0,IF(ROUND(AU166*(1+'Calc base'!I167),2)-MAX('Calc base'!D$12,ROUND('Calc base'!D$13*AU166,2))&lt;1,ROUND(AU166*(1+'Calc base'!I167),2),MAX('Calc base'!D$12,ROUND('Calc base'!D$13*AU166,2))))</f>
        <v>0</v>
      </c>
      <c r="L167">
        <f>IF(AV166&lt;=0,0,IF(ROUND(AV166*(1+'Calc base'!J167),2)-MAX('Calc base'!E$12,ROUND('Calc base'!E$13*AV166,2))&lt;1,ROUND(AV166*(1+'Calc base'!J167),2),MAX('Calc base'!E$12,ROUND('Calc base'!E$13*AV166,2))))</f>
        <v>0</v>
      </c>
      <c r="M167">
        <f>IF(AW166&lt;=0,0,IF(ROUND(AW166*(1+'Calc base'!K167),2)-MAX('Calc base'!F$12,ROUND('Calc base'!F$13*AW166,2))&lt;1,ROUND(AW166*(1+'Calc base'!K167),2),MAX('Calc base'!F$12,ROUND('Calc base'!F$13*AW166,2))))</f>
        <v>0</v>
      </c>
      <c r="N167">
        <f>IF(AX166&lt;=0,0,IF(ROUND(AX166*(1+'Calc base'!L167),2)-MAX('Calc base'!G$12,ROUND('Calc base'!G$13*AX166,2))&lt;1,ROUND(AX166*(1+'Calc base'!L167),2),MAX('Calc base'!G$12,ROUND('Calc base'!G$13*AX166,2))))</f>
        <v>0</v>
      </c>
      <c r="O167">
        <f>IF(AY166&lt;=0,0,IF(ROUND(AY166*(1+'Calc base'!M167),2)-MAX('Calc base'!H$12,ROUND('Calc base'!H$13*AY166,2))&lt;1,ROUND(AY166*(1+'Calc base'!M167),2),MAX('Calc base'!H$12,ROUND('Calc base'!H$13*AY166,2))))</f>
        <v>0</v>
      </c>
      <c r="P167">
        <f>IF(AZ166&lt;=0,0,IF(ROUND(AZ166*(1+'Calc base'!N167),2)-MAX('Calc base'!I$12,ROUND('Calc base'!I$13*AZ166,2))&lt;1,ROUND(AZ166*(1+'Calc base'!N167),2),MAX('Calc base'!I$12,ROUND('Calc base'!I$13*AZ166,2))))</f>
        <v>0</v>
      </c>
      <c r="Q167">
        <f>IF(BA166&lt;=0,0,IF(ROUND(BA166*(1+'Calc base'!O167),2)-MAX('Calc base'!J$12,ROUND('Calc base'!J$13*BA166,2))&lt;1,ROUND(BA166*(1+'Calc base'!O167),2),MAX('Calc base'!J$12,ROUND('Calc base'!J$13*BA166,2))))</f>
        <v>0</v>
      </c>
      <c r="R167">
        <f>IF(BB166&lt;=0,0,IF(ROUND(BB166*(1+'Calc base'!P167),2)-MAX('Calc base'!K$12,ROUND('Calc base'!K$13*BB166,2))&lt;1,ROUND(BB166*(1+'Calc base'!P167),2),MAX('Calc base'!K$12,ROUND('Calc base'!K$13*BB166,2))))</f>
        <v>0</v>
      </c>
      <c r="S167">
        <f>IF(BC166&lt;=0,0,IF(ROUND(BC166*(1+'Calc base'!Q167),2)-MAX('Calc base'!L$12,ROUND('Calc base'!L$13*BC166,2))&lt;1,ROUND(BC166*(1+'Calc base'!Q167),2),MAX('Calc base'!L$12,ROUND('Calc base'!L$13*BC166,2))))</f>
        <v>0</v>
      </c>
      <c r="T167">
        <f>IF(BD166&lt;=0,0,IF(ROUND(BD166*(1+'Calc base'!R167),2)-MAX('Calc base'!M$12,ROUND('Calc base'!M$13*BD166,2))&lt;1,ROUND(BD166*(1+'Calc base'!R167),2),MAX('Calc base'!M$12,ROUND('Calc base'!M$13*BD166,2))))</f>
        <v>0</v>
      </c>
      <c r="U167">
        <f>IF(BE166&lt;=0,0,IF(ROUND(BE166*(1+'Calc base'!S167),2)-MAX('Calc base'!N$12,ROUND('Calc base'!N$13*BE166,2))&lt;1,ROUND(BE166*(1+'Calc base'!S167),2),MAX('Calc base'!N$12,ROUND('Calc base'!N$13*BE166,2))))</f>
        <v>0</v>
      </c>
      <c r="V167">
        <f>MAX(0,ROUND(AT166*(1+'Calc base'!H167),2)-J167-'Calc base'!T167)</f>
        <v>0</v>
      </c>
      <c r="W167">
        <f>MAX(0,ROUND(AU166*(1+'Calc base'!I167),2)-K167-'Calc base'!U167)</f>
        <v>0</v>
      </c>
      <c r="X167">
        <f>MAX(0,ROUND(AV166*(1+'Calc base'!J167),2)-L167-'Calc base'!V167)</f>
        <v>0</v>
      </c>
      <c r="Y167">
        <f>MAX(0,ROUND(AW166*(1+'Calc base'!K167),2)-M167-'Calc base'!W167)</f>
        <v>0</v>
      </c>
      <c r="Z167">
        <f>MAX(0,ROUND(AX166*(1+'Calc base'!L167),2)-N167-'Calc base'!X167)</f>
        <v>0</v>
      </c>
      <c r="AA167">
        <f>MAX(0,ROUND(AY166*(1+'Calc base'!M167),2)-O167-'Calc base'!Y167)</f>
        <v>0</v>
      </c>
      <c r="AB167">
        <f>MAX(0,ROUND(AZ166*(1+'Calc base'!N167),2)-P167-'Calc base'!Z167)</f>
        <v>0</v>
      </c>
      <c r="AC167">
        <f>MAX(0,ROUND(BA166*(1+'Calc base'!O167),2)-Q167-'Calc base'!AA167)</f>
        <v>0</v>
      </c>
      <c r="AD167">
        <f>MAX(0,ROUND(BB166*(1+'Calc base'!P167),2)-R167-'Calc base'!AB167)</f>
        <v>0</v>
      </c>
      <c r="AE167">
        <f>MAX(0,ROUND(BC166*(1+'Calc base'!Q167),2)-S167-'Calc base'!AC167)</f>
        <v>0</v>
      </c>
      <c r="AF167">
        <f>MAX(0,ROUND(BD166*(1+'Calc base'!R167),2)-T167-'Calc base'!AD167)</f>
        <v>0</v>
      </c>
      <c r="AG167">
        <f>MAX(0,ROUND(BE166*(1+'Calc base'!S167),2)-U167-'Calc base'!AE167)</f>
        <v>0</v>
      </c>
      <c r="AH167">
        <f>IF('Calc base'!C$14=0,0,MIN(V167,MAX(0,$E167-SUMPRODUCT($V167:$AG167,'Calc base'!$C$14:$N$14,('Calc base'!$H167:$S167&gt;'Calc base'!H167)+('Calc base'!$H167:$S167='Calc base'!H167)*('Calc base'!$C$17:$N$17&lt;'Calc base'!C$17)))))</f>
        <v>0</v>
      </c>
      <c r="AI167">
        <f>IF('Calc base'!D$14=0,0,MIN(W167,MAX(0,$E167-SUMPRODUCT($V167:$AG167,'Calc base'!$C$14:$N$14,('Calc base'!$H167:$S167&gt;'Calc base'!I167)+('Calc base'!$H167:$S167='Calc base'!I167)*('Calc base'!$C$17:$N$17&lt;'Calc base'!D$17)))))</f>
        <v>0</v>
      </c>
      <c r="AJ167">
        <f>IF('Calc base'!E$14=0,0,MIN(X167,MAX(0,$E167-SUMPRODUCT($V167:$AG167,'Calc base'!$C$14:$N$14,('Calc base'!$H167:$S167&gt;'Calc base'!J167)+('Calc base'!$H167:$S167='Calc base'!J167)*('Calc base'!$C$17:$N$17&lt;'Calc base'!E$17)))))</f>
        <v>0</v>
      </c>
      <c r="AK167">
        <f>IF('Calc base'!F$14=0,0,MIN(Y167,MAX(0,$E167-SUMPRODUCT($V167:$AG167,'Calc base'!$C$14:$N$14,('Calc base'!$H167:$S167&gt;'Calc base'!K167)+('Calc base'!$H167:$S167='Calc base'!K167)*('Calc base'!$C$17:$N$17&lt;'Calc base'!F$17)))))</f>
        <v>0</v>
      </c>
      <c r="AL167">
        <f>IF('Calc base'!G$14=0,0,MIN(Z167,MAX(0,$E167-SUMPRODUCT($V167:$AG167,'Calc base'!$C$14:$N$14,('Calc base'!$H167:$S167&gt;'Calc base'!L167)+('Calc base'!$H167:$S167='Calc base'!L167)*('Calc base'!$C$17:$N$17&lt;'Calc base'!G$17)))))</f>
        <v>0</v>
      </c>
      <c r="AM167">
        <f>IF('Calc base'!H$14=0,0,MIN(AA167,MAX(0,$E167-SUMPRODUCT($V167:$AG167,'Calc base'!$C$14:$N$14,('Calc base'!$H167:$S167&gt;'Calc base'!M167)+('Calc base'!$H167:$S167='Calc base'!M167)*('Calc base'!$C$17:$N$17&lt;'Calc base'!H$17)))))</f>
        <v>0</v>
      </c>
      <c r="AN167">
        <f>IF('Calc base'!I$14=0,0,MIN(AB167,MAX(0,$E167-SUMPRODUCT($V167:$AG167,'Calc base'!$C$14:$N$14,('Calc base'!$H167:$S167&gt;'Calc base'!N167)+('Calc base'!$H167:$S167='Calc base'!N167)*('Calc base'!$C$17:$N$17&lt;'Calc base'!I$17)))))</f>
        <v>0</v>
      </c>
      <c r="AO167">
        <f>IF('Calc base'!J$14=0,0,MIN(AC167,MAX(0,$E167-SUMPRODUCT($V167:$AG167,'Calc base'!$C$14:$N$14,('Calc base'!$H167:$S167&gt;'Calc base'!O167)+('Calc base'!$H167:$S167='Calc base'!O167)*('Calc base'!$C$17:$N$17&lt;'Calc base'!J$17)))))</f>
        <v>0</v>
      </c>
      <c r="AP167">
        <f>IF('Calc base'!K$14=0,0,MIN(AD167,MAX(0,$E167-SUMPRODUCT($V167:$AG167,'Calc base'!$C$14:$N$14,('Calc base'!$H167:$S167&gt;'Calc base'!P167)+('Calc base'!$H167:$S167='Calc base'!P167)*('Calc base'!$C$17:$N$17&lt;'Calc base'!K$17)))))</f>
        <v>0</v>
      </c>
      <c r="AQ167">
        <f>IF('Calc base'!L$14=0,0,MIN(AE167,MAX(0,$E167-SUMPRODUCT($V167:$AG167,'Calc base'!$C$14:$N$14,('Calc base'!$H167:$S167&gt;'Calc base'!Q167)+('Calc base'!$H167:$S167='Calc base'!Q167)*('Calc base'!$C$17:$N$17&lt;'Calc base'!L$17)))))</f>
        <v>0</v>
      </c>
      <c r="AR167">
        <f>IF('Calc base'!M$14=0,0,MIN(AF167,MAX(0,$E167-SUMPRODUCT($V167:$AG167,'Calc base'!$C$14:$N$14,('Calc base'!$H167:$S167&gt;'Calc base'!R167)+('Calc base'!$H167:$S167='Calc base'!R167)*('Calc base'!$C$17:$N$17&lt;'Calc base'!M$17)))))</f>
        <v>0</v>
      </c>
      <c r="AS167">
        <f>IF('Calc base'!N$14=0,0,MIN(AG167,MAX(0,$E167-SUMPRODUCT($V167:$AG167,'Calc base'!$C$14:$N$14,('Calc base'!$H167:$S167&gt;'Calc base'!S167)+('Calc base'!$H167:$S167='Calc base'!S167)*('Calc base'!$C$17:$N$17&lt;'Calc base'!N$17)))))</f>
        <v>0</v>
      </c>
      <c r="AT167">
        <f>V167-AH167</f>
        <v>0</v>
      </c>
      <c r="AU167">
        <f>W167-AI167</f>
        <v>0</v>
      </c>
      <c r="AV167">
        <f>X167-AJ167</f>
        <v>0</v>
      </c>
      <c r="AW167">
        <f>Y167-AK167</f>
        <v>0</v>
      </c>
      <c r="AX167">
        <f>Z167-AL167</f>
        <v>0</v>
      </c>
      <c r="AY167">
        <f>AA167-AM167</f>
        <v>0</v>
      </c>
      <c r="AZ167">
        <f>AB167-AN167</f>
        <v>0</v>
      </c>
      <c r="BA167">
        <f>AC167-AO167</f>
        <v>0</v>
      </c>
      <c r="BB167">
        <f>AD167-AP167</f>
        <v>0</v>
      </c>
      <c r="BC167">
        <f>AE167-AQ167</f>
        <v>0</v>
      </c>
      <c r="BD167">
        <f>AF167-AR167</f>
        <v>0</v>
      </c>
      <c r="BE167">
        <f>AG167-AS167</f>
        <v>0</v>
      </c>
    </row>
    <row r="168">
      <c r="A168" t="n">
        <v>138</v>
      </c>
      <c r="B168">
        <f>SUMPRODUCT(ROUND($AT167:$BE167*(1+'Calc base'!$H168:$S168),2))</f>
        <v>0</v>
      </c>
      <c r="C168">
        <f>SUM(J168:U168)</f>
        <v>0</v>
      </c>
      <c r="D168">
        <f>SUM(V168:AG168)</f>
        <v>0</v>
      </c>
      <c r="E168">
        <f>MAX(0,IF(Impostazioni!$B$7="No",'Calc base'!$C168-$C$31,'Calc base'!$C168-C168)+'Calc base'!$G168+'Calc base'!$F168-(B168-C168-D168))</f>
        <v>900</v>
      </c>
      <c r="F168">
        <f>SUM(AH168:AS168)</f>
        <v>0</v>
      </c>
      <c r="G168">
        <f>SUM(AT168:BE168)</f>
        <v>0</v>
      </c>
      <c r="H168">
        <f>B168-G167</f>
        <v>0</v>
      </c>
      <c r="I168">
        <f>B168-G168</f>
        <v>0</v>
      </c>
      <c r="J168">
        <f>IF(AT167&lt;=0,0,IF(ROUND(AT167*(1+'Calc base'!H168),2)-MAX('Calc base'!C$12,ROUND('Calc base'!C$13*AT167,2))&lt;1,ROUND(AT167*(1+'Calc base'!H168),2),MAX('Calc base'!C$12,ROUND('Calc base'!C$13*AT167,2))))</f>
        <v>0</v>
      </c>
      <c r="K168">
        <f>IF(AU167&lt;=0,0,IF(ROUND(AU167*(1+'Calc base'!I168),2)-MAX('Calc base'!D$12,ROUND('Calc base'!D$13*AU167,2))&lt;1,ROUND(AU167*(1+'Calc base'!I168),2),MAX('Calc base'!D$12,ROUND('Calc base'!D$13*AU167,2))))</f>
        <v>0</v>
      </c>
      <c r="L168">
        <f>IF(AV167&lt;=0,0,IF(ROUND(AV167*(1+'Calc base'!J168),2)-MAX('Calc base'!E$12,ROUND('Calc base'!E$13*AV167,2))&lt;1,ROUND(AV167*(1+'Calc base'!J168),2),MAX('Calc base'!E$12,ROUND('Calc base'!E$13*AV167,2))))</f>
        <v>0</v>
      </c>
      <c r="M168">
        <f>IF(AW167&lt;=0,0,IF(ROUND(AW167*(1+'Calc base'!K168),2)-MAX('Calc base'!F$12,ROUND('Calc base'!F$13*AW167,2))&lt;1,ROUND(AW167*(1+'Calc base'!K168),2),MAX('Calc base'!F$12,ROUND('Calc base'!F$13*AW167,2))))</f>
        <v>0</v>
      </c>
      <c r="N168">
        <f>IF(AX167&lt;=0,0,IF(ROUND(AX167*(1+'Calc base'!L168),2)-MAX('Calc base'!G$12,ROUND('Calc base'!G$13*AX167,2))&lt;1,ROUND(AX167*(1+'Calc base'!L168),2),MAX('Calc base'!G$12,ROUND('Calc base'!G$13*AX167,2))))</f>
        <v>0</v>
      </c>
      <c r="O168">
        <f>IF(AY167&lt;=0,0,IF(ROUND(AY167*(1+'Calc base'!M168),2)-MAX('Calc base'!H$12,ROUND('Calc base'!H$13*AY167,2))&lt;1,ROUND(AY167*(1+'Calc base'!M168),2),MAX('Calc base'!H$12,ROUND('Calc base'!H$13*AY167,2))))</f>
        <v>0</v>
      </c>
      <c r="P168">
        <f>IF(AZ167&lt;=0,0,IF(ROUND(AZ167*(1+'Calc base'!N168),2)-MAX('Calc base'!I$12,ROUND('Calc base'!I$13*AZ167,2))&lt;1,ROUND(AZ167*(1+'Calc base'!N168),2),MAX('Calc base'!I$12,ROUND('Calc base'!I$13*AZ167,2))))</f>
        <v>0</v>
      </c>
      <c r="Q168">
        <f>IF(BA167&lt;=0,0,IF(ROUND(BA167*(1+'Calc base'!O168),2)-MAX('Calc base'!J$12,ROUND('Calc base'!J$13*BA167,2))&lt;1,ROUND(BA167*(1+'Calc base'!O168),2),MAX('Calc base'!J$12,ROUND('Calc base'!J$13*BA167,2))))</f>
        <v>0</v>
      </c>
      <c r="R168">
        <f>IF(BB167&lt;=0,0,IF(ROUND(BB167*(1+'Calc base'!P168),2)-MAX('Calc base'!K$12,ROUND('Calc base'!K$13*BB167,2))&lt;1,ROUND(BB167*(1+'Calc base'!P168),2),MAX('Calc base'!K$12,ROUND('Calc base'!K$13*BB167,2))))</f>
        <v>0</v>
      </c>
      <c r="S168">
        <f>IF(BC167&lt;=0,0,IF(ROUND(BC167*(1+'Calc base'!Q168),2)-MAX('Calc base'!L$12,ROUND('Calc base'!L$13*BC167,2))&lt;1,ROUND(BC167*(1+'Calc base'!Q168),2),MAX('Calc base'!L$12,ROUND('Calc base'!L$13*BC167,2))))</f>
        <v>0</v>
      </c>
      <c r="T168">
        <f>IF(BD167&lt;=0,0,IF(ROUND(BD167*(1+'Calc base'!R168),2)-MAX('Calc base'!M$12,ROUND('Calc base'!M$13*BD167,2))&lt;1,ROUND(BD167*(1+'Calc base'!R168),2),MAX('Calc base'!M$12,ROUND('Calc base'!M$13*BD167,2))))</f>
        <v>0</v>
      </c>
      <c r="U168">
        <f>IF(BE167&lt;=0,0,IF(ROUND(BE167*(1+'Calc base'!S168),2)-MAX('Calc base'!N$12,ROUND('Calc base'!N$13*BE167,2))&lt;1,ROUND(BE167*(1+'Calc base'!S168),2),MAX('Calc base'!N$12,ROUND('Calc base'!N$13*BE167,2))))</f>
        <v>0</v>
      </c>
      <c r="V168">
        <f>MAX(0,ROUND(AT167*(1+'Calc base'!H168),2)-J168-'Calc base'!T168)</f>
        <v>0</v>
      </c>
      <c r="W168">
        <f>MAX(0,ROUND(AU167*(1+'Calc base'!I168),2)-K168-'Calc base'!U168)</f>
        <v>0</v>
      </c>
      <c r="X168">
        <f>MAX(0,ROUND(AV167*(1+'Calc base'!J168),2)-L168-'Calc base'!V168)</f>
        <v>0</v>
      </c>
      <c r="Y168">
        <f>MAX(0,ROUND(AW167*(1+'Calc base'!K168),2)-M168-'Calc base'!W168)</f>
        <v>0</v>
      </c>
      <c r="Z168">
        <f>MAX(0,ROUND(AX167*(1+'Calc base'!L168),2)-N168-'Calc base'!X168)</f>
        <v>0</v>
      </c>
      <c r="AA168">
        <f>MAX(0,ROUND(AY167*(1+'Calc base'!M168),2)-O168-'Calc base'!Y168)</f>
        <v>0</v>
      </c>
      <c r="AB168">
        <f>MAX(0,ROUND(AZ167*(1+'Calc base'!N168),2)-P168-'Calc base'!Z168)</f>
        <v>0</v>
      </c>
      <c r="AC168">
        <f>MAX(0,ROUND(BA167*(1+'Calc base'!O168),2)-Q168-'Calc base'!AA168)</f>
        <v>0</v>
      </c>
      <c r="AD168">
        <f>MAX(0,ROUND(BB167*(1+'Calc base'!P168),2)-R168-'Calc base'!AB168)</f>
        <v>0</v>
      </c>
      <c r="AE168">
        <f>MAX(0,ROUND(BC167*(1+'Calc base'!Q168),2)-S168-'Calc base'!AC168)</f>
        <v>0</v>
      </c>
      <c r="AF168">
        <f>MAX(0,ROUND(BD167*(1+'Calc base'!R168),2)-T168-'Calc base'!AD168)</f>
        <v>0</v>
      </c>
      <c r="AG168">
        <f>MAX(0,ROUND(BE167*(1+'Calc base'!S168),2)-U168-'Calc base'!AE168)</f>
        <v>0</v>
      </c>
      <c r="AH168">
        <f>IF('Calc base'!C$14=0,0,MIN(V168,MAX(0,$E168-SUMPRODUCT($V168:$AG168,'Calc base'!$C$14:$N$14,('Calc base'!$H168:$S168&gt;'Calc base'!H168)+('Calc base'!$H168:$S168='Calc base'!H168)*('Calc base'!$C$17:$N$17&lt;'Calc base'!C$17)))))</f>
        <v>0</v>
      </c>
      <c r="AI168">
        <f>IF('Calc base'!D$14=0,0,MIN(W168,MAX(0,$E168-SUMPRODUCT($V168:$AG168,'Calc base'!$C$14:$N$14,('Calc base'!$H168:$S168&gt;'Calc base'!I168)+('Calc base'!$H168:$S168='Calc base'!I168)*('Calc base'!$C$17:$N$17&lt;'Calc base'!D$17)))))</f>
        <v>0</v>
      </c>
      <c r="AJ168">
        <f>IF('Calc base'!E$14=0,0,MIN(X168,MAX(0,$E168-SUMPRODUCT($V168:$AG168,'Calc base'!$C$14:$N$14,('Calc base'!$H168:$S168&gt;'Calc base'!J168)+('Calc base'!$H168:$S168='Calc base'!J168)*('Calc base'!$C$17:$N$17&lt;'Calc base'!E$17)))))</f>
        <v>0</v>
      </c>
      <c r="AK168">
        <f>IF('Calc base'!F$14=0,0,MIN(Y168,MAX(0,$E168-SUMPRODUCT($V168:$AG168,'Calc base'!$C$14:$N$14,('Calc base'!$H168:$S168&gt;'Calc base'!K168)+('Calc base'!$H168:$S168='Calc base'!K168)*('Calc base'!$C$17:$N$17&lt;'Calc base'!F$17)))))</f>
        <v>0</v>
      </c>
      <c r="AL168">
        <f>IF('Calc base'!G$14=0,0,MIN(Z168,MAX(0,$E168-SUMPRODUCT($V168:$AG168,'Calc base'!$C$14:$N$14,('Calc base'!$H168:$S168&gt;'Calc base'!L168)+('Calc base'!$H168:$S168='Calc base'!L168)*('Calc base'!$C$17:$N$17&lt;'Calc base'!G$17)))))</f>
        <v>0</v>
      </c>
      <c r="AM168">
        <f>IF('Calc base'!H$14=0,0,MIN(AA168,MAX(0,$E168-SUMPRODUCT($V168:$AG168,'Calc base'!$C$14:$N$14,('Calc base'!$H168:$S168&gt;'Calc base'!M168)+('Calc base'!$H168:$S168='Calc base'!M168)*('Calc base'!$C$17:$N$17&lt;'Calc base'!H$17)))))</f>
        <v>0</v>
      </c>
      <c r="AN168">
        <f>IF('Calc base'!I$14=0,0,MIN(AB168,MAX(0,$E168-SUMPRODUCT($V168:$AG168,'Calc base'!$C$14:$N$14,('Calc base'!$H168:$S168&gt;'Calc base'!N168)+('Calc base'!$H168:$S168='Calc base'!N168)*('Calc base'!$C$17:$N$17&lt;'Calc base'!I$17)))))</f>
        <v>0</v>
      </c>
      <c r="AO168">
        <f>IF('Calc base'!J$14=0,0,MIN(AC168,MAX(0,$E168-SUMPRODUCT($V168:$AG168,'Calc base'!$C$14:$N$14,('Calc base'!$H168:$S168&gt;'Calc base'!O168)+('Calc base'!$H168:$S168='Calc base'!O168)*('Calc base'!$C$17:$N$17&lt;'Calc base'!J$17)))))</f>
        <v>0</v>
      </c>
      <c r="AP168">
        <f>IF('Calc base'!K$14=0,0,MIN(AD168,MAX(0,$E168-SUMPRODUCT($V168:$AG168,'Calc base'!$C$14:$N$14,('Calc base'!$H168:$S168&gt;'Calc base'!P168)+('Calc base'!$H168:$S168='Calc base'!P168)*('Calc base'!$C$17:$N$17&lt;'Calc base'!K$17)))))</f>
        <v>0</v>
      </c>
      <c r="AQ168">
        <f>IF('Calc base'!L$14=0,0,MIN(AE168,MAX(0,$E168-SUMPRODUCT($V168:$AG168,'Calc base'!$C$14:$N$14,('Calc base'!$H168:$S168&gt;'Calc base'!Q168)+('Calc base'!$H168:$S168='Calc base'!Q168)*('Calc base'!$C$17:$N$17&lt;'Calc base'!L$17)))))</f>
        <v>0</v>
      </c>
      <c r="AR168">
        <f>IF('Calc base'!M$14=0,0,MIN(AF168,MAX(0,$E168-SUMPRODUCT($V168:$AG168,'Calc base'!$C$14:$N$14,('Calc base'!$H168:$S168&gt;'Calc base'!R168)+('Calc base'!$H168:$S168='Calc base'!R168)*('Calc base'!$C$17:$N$17&lt;'Calc base'!M$17)))))</f>
        <v>0</v>
      </c>
      <c r="AS168">
        <f>IF('Calc base'!N$14=0,0,MIN(AG168,MAX(0,$E168-SUMPRODUCT($V168:$AG168,'Calc base'!$C$14:$N$14,('Calc base'!$H168:$S168&gt;'Calc base'!S168)+('Calc base'!$H168:$S168='Calc base'!S168)*('Calc base'!$C$17:$N$17&lt;'Calc base'!N$17)))))</f>
        <v>0</v>
      </c>
      <c r="AT168">
        <f>V168-AH168</f>
        <v>0</v>
      </c>
      <c r="AU168">
        <f>W168-AI168</f>
        <v>0</v>
      </c>
      <c r="AV168">
        <f>X168-AJ168</f>
        <v>0</v>
      </c>
      <c r="AW168">
        <f>Y168-AK168</f>
        <v>0</v>
      </c>
      <c r="AX168">
        <f>Z168-AL168</f>
        <v>0</v>
      </c>
      <c r="AY168">
        <f>AA168-AM168</f>
        <v>0</v>
      </c>
      <c r="AZ168">
        <f>AB168-AN168</f>
        <v>0</v>
      </c>
      <c r="BA168">
        <f>AC168-AO168</f>
        <v>0</v>
      </c>
      <c r="BB168">
        <f>AD168-AP168</f>
        <v>0</v>
      </c>
      <c r="BC168">
        <f>AE168-AQ168</f>
        <v>0</v>
      </c>
      <c r="BD168">
        <f>AF168-AR168</f>
        <v>0</v>
      </c>
      <c r="BE168">
        <f>AG168-AS168</f>
        <v>0</v>
      </c>
    </row>
    <row r="169">
      <c r="A169" t="n">
        <v>139</v>
      </c>
      <c r="B169">
        <f>SUMPRODUCT(ROUND($AT168:$BE168*(1+'Calc base'!$H169:$S169),2))</f>
        <v>0</v>
      </c>
      <c r="C169">
        <f>SUM(J169:U169)</f>
        <v>0</v>
      </c>
      <c r="D169">
        <f>SUM(V169:AG169)</f>
        <v>0</v>
      </c>
      <c r="E169">
        <f>MAX(0,IF(Impostazioni!$B$7="No",'Calc base'!$C169-$C$31,'Calc base'!$C169-C169)+'Calc base'!$G169+'Calc base'!$F169-(B169-C169-D169))</f>
        <v>900</v>
      </c>
      <c r="F169">
        <f>SUM(AH169:AS169)</f>
        <v>0</v>
      </c>
      <c r="G169">
        <f>SUM(AT169:BE169)</f>
        <v>0</v>
      </c>
      <c r="H169">
        <f>B169-G168</f>
        <v>0</v>
      </c>
      <c r="I169">
        <f>B169-G169</f>
        <v>0</v>
      </c>
      <c r="J169">
        <f>IF(AT168&lt;=0,0,IF(ROUND(AT168*(1+'Calc base'!H169),2)-MAX('Calc base'!C$12,ROUND('Calc base'!C$13*AT168,2))&lt;1,ROUND(AT168*(1+'Calc base'!H169),2),MAX('Calc base'!C$12,ROUND('Calc base'!C$13*AT168,2))))</f>
        <v>0</v>
      </c>
      <c r="K169">
        <f>IF(AU168&lt;=0,0,IF(ROUND(AU168*(1+'Calc base'!I169),2)-MAX('Calc base'!D$12,ROUND('Calc base'!D$13*AU168,2))&lt;1,ROUND(AU168*(1+'Calc base'!I169),2),MAX('Calc base'!D$12,ROUND('Calc base'!D$13*AU168,2))))</f>
        <v>0</v>
      </c>
      <c r="L169">
        <f>IF(AV168&lt;=0,0,IF(ROUND(AV168*(1+'Calc base'!J169),2)-MAX('Calc base'!E$12,ROUND('Calc base'!E$13*AV168,2))&lt;1,ROUND(AV168*(1+'Calc base'!J169),2),MAX('Calc base'!E$12,ROUND('Calc base'!E$13*AV168,2))))</f>
        <v>0</v>
      </c>
      <c r="M169">
        <f>IF(AW168&lt;=0,0,IF(ROUND(AW168*(1+'Calc base'!K169),2)-MAX('Calc base'!F$12,ROUND('Calc base'!F$13*AW168,2))&lt;1,ROUND(AW168*(1+'Calc base'!K169),2),MAX('Calc base'!F$12,ROUND('Calc base'!F$13*AW168,2))))</f>
        <v>0</v>
      </c>
      <c r="N169">
        <f>IF(AX168&lt;=0,0,IF(ROUND(AX168*(1+'Calc base'!L169),2)-MAX('Calc base'!G$12,ROUND('Calc base'!G$13*AX168,2))&lt;1,ROUND(AX168*(1+'Calc base'!L169),2),MAX('Calc base'!G$12,ROUND('Calc base'!G$13*AX168,2))))</f>
        <v>0</v>
      </c>
      <c r="O169">
        <f>IF(AY168&lt;=0,0,IF(ROUND(AY168*(1+'Calc base'!M169),2)-MAX('Calc base'!H$12,ROUND('Calc base'!H$13*AY168,2))&lt;1,ROUND(AY168*(1+'Calc base'!M169),2),MAX('Calc base'!H$12,ROUND('Calc base'!H$13*AY168,2))))</f>
        <v>0</v>
      </c>
      <c r="P169">
        <f>IF(AZ168&lt;=0,0,IF(ROUND(AZ168*(1+'Calc base'!N169),2)-MAX('Calc base'!I$12,ROUND('Calc base'!I$13*AZ168,2))&lt;1,ROUND(AZ168*(1+'Calc base'!N169),2),MAX('Calc base'!I$12,ROUND('Calc base'!I$13*AZ168,2))))</f>
        <v>0</v>
      </c>
      <c r="Q169">
        <f>IF(BA168&lt;=0,0,IF(ROUND(BA168*(1+'Calc base'!O169),2)-MAX('Calc base'!J$12,ROUND('Calc base'!J$13*BA168,2))&lt;1,ROUND(BA168*(1+'Calc base'!O169),2),MAX('Calc base'!J$12,ROUND('Calc base'!J$13*BA168,2))))</f>
        <v>0</v>
      </c>
      <c r="R169">
        <f>IF(BB168&lt;=0,0,IF(ROUND(BB168*(1+'Calc base'!P169),2)-MAX('Calc base'!K$12,ROUND('Calc base'!K$13*BB168,2))&lt;1,ROUND(BB168*(1+'Calc base'!P169),2),MAX('Calc base'!K$12,ROUND('Calc base'!K$13*BB168,2))))</f>
        <v>0</v>
      </c>
      <c r="S169">
        <f>IF(BC168&lt;=0,0,IF(ROUND(BC168*(1+'Calc base'!Q169),2)-MAX('Calc base'!L$12,ROUND('Calc base'!L$13*BC168,2))&lt;1,ROUND(BC168*(1+'Calc base'!Q169),2),MAX('Calc base'!L$12,ROUND('Calc base'!L$13*BC168,2))))</f>
        <v>0</v>
      </c>
      <c r="T169">
        <f>IF(BD168&lt;=0,0,IF(ROUND(BD168*(1+'Calc base'!R169),2)-MAX('Calc base'!M$12,ROUND('Calc base'!M$13*BD168,2))&lt;1,ROUND(BD168*(1+'Calc base'!R169),2),MAX('Calc base'!M$12,ROUND('Calc base'!M$13*BD168,2))))</f>
        <v>0</v>
      </c>
      <c r="U169">
        <f>IF(BE168&lt;=0,0,IF(ROUND(BE168*(1+'Calc base'!S169),2)-MAX('Calc base'!N$12,ROUND('Calc base'!N$13*BE168,2))&lt;1,ROUND(BE168*(1+'Calc base'!S169),2),MAX('Calc base'!N$12,ROUND('Calc base'!N$13*BE168,2))))</f>
        <v>0</v>
      </c>
      <c r="V169">
        <f>MAX(0,ROUND(AT168*(1+'Calc base'!H169),2)-J169-'Calc base'!T169)</f>
        <v>0</v>
      </c>
      <c r="W169">
        <f>MAX(0,ROUND(AU168*(1+'Calc base'!I169),2)-K169-'Calc base'!U169)</f>
        <v>0</v>
      </c>
      <c r="X169">
        <f>MAX(0,ROUND(AV168*(1+'Calc base'!J169),2)-L169-'Calc base'!V169)</f>
        <v>0</v>
      </c>
      <c r="Y169">
        <f>MAX(0,ROUND(AW168*(1+'Calc base'!K169),2)-M169-'Calc base'!W169)</f>
        <v>0</v>
      </c>
      <c r="Z169">
        <f>MAX(0,ROUND(AX168*(1+'Calc base'!L169),2)-N169-'Calc base'!X169)</f>
        <v>0</v>
      </c>
      <c r="AA169">
        <f>MAX(0,ROUND(AY168*(1+'Calc base'!M169),2)-O169-'Calc base'!Y169)</f>
        <v>0</v>
      </c>
      <c r="AB169">
        <f>MAX(0,ROUND(AZ168*(1+'Calc base'!N169),2)-P169-'Calc base'!Z169)</f>
        <v>0</v>
      </c>
      <c r="AC169">
        <f>MAX(0,ROUND(BA168*(1+'Calc base'!O169),2)-Q169-'Calc base'!AA169)</f>
        <v>0</v>
      </c>
      <c r="AD169">
        <f>MAX(0,ROUND(BB168*(1+'Calc base'!P169),2)-R169-'Calc base'!AB169)</f>
        <v>0</v>
      </c>
      <c r="AE169">
        <f>MAX(0,ROUND(BC168*(1+'Calc base'!Q169),2)-S169-'Calc base'!AC169)</f>
        <v>0</v>
      </c>
      <c r="AF169">
        <f>MAX(0,ROUND(BD168*(1+'Calc base'!R169),2)-T169-'Calc base'!AD169)</f>
        <v>0</v>
      </c>
      <c r="AG169">
        <f>MAX(0,ROUND(BE168*(1+'Calc base'!S169),2)-U169-'Calc base'!AE169)</f>
        <v>0</v>
      </c>
      <c r="AH169">
        <f>IF('Calc base'!C$14=0,0,MIN(V169,MAX(0,$E169-SUMPRODUCT($V169:$AG169,'Calc base'!$C$14:$N$14,('Calc base'!$H169:$S169&gt;'Calc base'!H169)+('Calc base'!$H169:$S169='Calc base'!H169)*('Calc base'!$C$17:$N$17&lt;'Calc base'!C$17)))))</f>
        <v>0</v>
      </c>
      <c r="AI169">
        <f>IF('Calc base'!D$14=0,0,MIN(W169,MAX(0,$E169-SUMPRODUCT($V169:$AG169,'Calc base'!$C$14:$N$14,('Calc base'!$H169:$S169&gt;'Calc base'!I169)+('Calc base'!$H169:$S169='Calc base'!I169)*('Calc base'!$C$17:$N$17&lt;'Calc base'!D$17)))))</f>
        <v>0</v>
      </c>
      <c r="AJ169">
        <f>IF('Calc base'!E$14=0,0,MIN(X169,MAX(0,$E169-SUMPRODUCT($V169:$AG169,'Calc base'!$C$14:$N$14,('Calc base'!$H169:$S169&gt;'Calc base'!J169)+('Calc base'!$H169:$S169='Calc base'!J169)*('Calc base'!$C$17:$N$17&lt;'Calc base'!E$17)))))</f>
        <v>0</v>
      </c>
      <c r="AK169">
        <f>IF('Calc base'!F$14=0,0,MIN(Y169,MAX(0,$E169-SUMPRODUCT($V169:$AG169,'Calc base'!$C$14:$N$14,('Calc base'!$H169:$S169&gt;'Calc base'!K169)+('Calc base'!$H169:$S169='Calc base'!K169)*('Calc base'!$C$17:$N$17&lt;'Calc base'!F$17)))))</f>
        <v>0</v>
      </c>
      <c r="AL169">
        <f>IF('Calc base'!G$14=0,0,MIN(Z169,MAX(0,$E169-SUMPRODUCT($V169:$AG169,'Calc base'!$C$14:$N$14,('Calc base'!$H169:$S169&gt;'Calc base'!L169)+('Calc base'!$H169:$S169='Calc base'!L169)*('Calc base'!$C$17:$N$17&lt;'Calc base'!G$17)))))</f>
        <v>0</v>
      </c>
      <c r="AM169">
        <f>IF('Calc base'!H$14=0,0,MIN(AA169,MAX(0,$E169-SUMPRODUCT($V169:$AG169,'Calc base'!$C$14:$N$14,('Calc base'!$H169:$S169&gt;'Calc base'!M169)+('Calc base'!$H169:$S169='Calc base'!M169)*('Calc base'!$C$17:$N$17&lt;'Calc base'!H$17)))))</f>
        <v>0</v>
      </c>
      <c r="AN169">
        <f>IF('Calc base'!I$14=0,0,MIN(AB169,MAX(0,$E169-SUMPRODUCT($V169:$AG169,'Calc base'!$C$14:$N$14,('Calc base'!$H169:$S169&gt;'Calc base'!N169)+('Calc base'!$H169:$S169='Calc base'!N169)*('Calc base'!$C$17:$N$17&lt;'Calc base'!I$17)))))</f>
        <v>0</v>
      </c>
      <c r="AO169">
        <f>IF('Calc base'!J$14=0,0,MIN(AC169,MAX(0,$E169-SUMPRODUCT($V169:$AG169,'Calc base'!$C$14:$N$14,('Calc base'!$H169:$S169&gt;'Calc base'!O169)+('Calc base'!$H169:$S169='Calc base'!O169)*('Calc base'!$C$17:$N$17&lt;'Calc base'!J$17)))))</f>
        <v>0</v>
      </c>
      <c r="AP169">
        <f>IF('Calc base'!K$14=0,0,MIN(AD169,MAX(0,$E169-SUMPRODUCT($V169:$AG169,'Calc base'!$C$14:$N$14,('Calc base'!$H169:$S169&gt;'Calc base'!P169)+('Calc base'!$H169:$S169='Calc base'!P169)*('Calc base'!$C$17:$N$17&lt;'Calc base'!K$17)))))</f>
        <v>0</v>
      </c>
      <c r="AQ169">
        <f>IF('Calc base'!L$14=0,0,MIN(AE169,MAX(0,$E169-SUMPRODUCT($V169:$AG169,'Calc base'!$C$14:$N$14,('Calc base'!$H169:$S169&gt;'Calc base'!Q169)+('Calc base'!$H169:$S169='Calc base'!Q169)*('Calc base'!$C$17:$N$17&lt;'Calc base'!L$17)))))</f>
        <v>0</v>
      </c>
      <c r="AR169">
        <f>IF('Calc base'!M$14=0,0,MIN(AF169,MAX(0,$E169-SUMPRODUCT($V169:$AG169,'Calc base'!$C$14:$N$14,('Calc base'!$H169:$S169&gt;'Calc base'!R169)+('Calc base'!$H169:$S169='Calc base'!R169)*('Calc base'!$C$17:$N$17&lt;'Calc base'!M$17)))))</f>
        <v>0</v>
      </c>
      <c r="AS169">
        <f>IF('Calc base'!N$14=0,0,MIN(AG169,MAX(0,$E169-SUMPRODUCT($V169:$AG169,'Calc base'!$C$14:$N$14,('Calc base'!$H169:$S169&gt;'Calc base'!S169)+('Calc base'!$H169:$S169='Calc base'!S169)*('Calc base'!$C$17:$N$17&lt;'Calc base'!N$17)))))</f>
        <v>0</v>
      </c>
      <c r="AT169">
        <f>V169-AH169</f>
        <v>0</v>
      </c>
      <c r="AU169">
        <f>W169-AI169</f>
        <v>0</v>
      </c>
      <c r="AV169">
        <f>X169-AJ169</f>
        <v>0</v>
      </c>
      <c r="AW169">
        <f>Y169-AK169</f>
        <v>0</v>
      </c>
      <c r="AX169">
        <f>Z169-AL169</f>
        <v>0</v>
      </c>
      <c r="AY169">
        <f>AA169-AM169</f>
        <v>0</v>
      </c>
      <c r="AZ169">
        <f>AB169-AN169</f>
        <v>0</v>
      </c>
      <c r="BA169">
        <f>AC169-AO169</f>
        <v>0</v>
      </c>
      <c r="BB169">
        <f>AD169-AP169</f>
        <v>0</v>
      </c>
      <c r="BC169">
        <f>AE169-AQ169</f>
        <v>0</v>
      </c>
      <c r="BD169">
        <f>AF169-AR169</f>
        <v>0</v>
      </c>
      <c r="BE169">
        <f>AG169-AS169</f>
        <v>0</v>
      </c>
    </row>
    <row r="170">
      <c r="A170" t="n">
        <v>140</v>
      </c>
      <c r="B170">
        <f>SUMPRODUCT(ROUND($AT169:$BE169*(1+'Calc base'!$H170:$S170),2))</f>
        <v>0</v>
      </c>
      <c r="C170">
        <f>SUM(J170:U170)</f>
        <v>0</v>
      </c>
      <c r="D170">
        <f>SUM(V170:AG170)</f>
        <v>0</v>
      </c>
      <c r="E170">
        <f>MAX(0,IF(Impostazioni!$B$7="No",'Calc base'!$C170-$C$31,'Calc base'!$C170-C170)+'Calc base'!$G170+'Calc base'!$F170-(B170-C170-D170))</f>
        <v>900</v>
      </c>
      <c r="F170">
        <f>SUM(AH170:AS170)</f>
        <v>0</v>
      </c>
      <c r="G170">
        <f>SUM(AT170:BE170)</f>
        <v>0</v>
      </c>
      <c r="H170">
        <f>B170-G169</f>
        <v>0</v>
      </c>
      <c r="I170">
        <f>B170-G170</f>
        <v>0</v>
      </c>
      <c r="J170">
        <f>IF(AT169&lt;=0,0,IF(ROUND(AT169*(1+'Calc base'!H170),2)-MAX('Calc base'!C$12,ROUND('Calc base'!C$13*AT169,2))&lt;1,ROUND(AT169*(1+'Calc base'!H170),2),MAX('Calc base'!C$12,ROUND('Calc base'!C$13*AT169,2))))</f>
        <v>0</v>
      </c>
      <c r="K170">
        <f>IF(AU169&lt;=0,0,IF(ROUND(AU169*(1+'Calc base'!I170),2)-MAX('Calc base'!D$12,ROUND('Calc base'!D$13*AU169,2))&lt;1,ROUND(AU169*(1+'Calc base'!I170),2),MAX('Calc base'!D$12,ROUND('Calc base'!D$13*AU169,2))))</f>
        <v>0</v>
      </c>
      <c r="L170">
        <f>IF(AV169&lt;=0,0,IF(ROUND(AV169*(1+'Calc base'!J170),2)-MAX('Calc base'!E$12,ROUND('Calc base'!E$13*AV169,2))&lt;1,ROUND(AV169*(1+'Calc base'!J170),2),MAX('Calc base'!E$12,ROUND('Calc base'!E$13*AV169,2))))</f>
        <v>0</v>
      </c>
      <c r="M170">
        <f>IF(AW169&lt;=0,0,IF(ROUND(AW169*(1+'Calc base'!K170),2)-MAX('Calc base'!F$12,ROUND('Calc base'!F$13*AW169,2))&lt;1,ROUND(AW169*(1+'Calc base'!K170),2),MAX('Calc base'!F$12,ROUND('Calc base'!F$13*AW169,2))))</f>
        <v>0</v>
      </c>
      <c r="N170">
        <f>IF(AX169&lt;=0,0,IF(ROUND(AX169*(1+'Calc base'!L170),2)-MAX('Calc base'!G$12,ROUND('Calc base'!G$13*AX169,2))&lt;1,ROUND(AX169*(1+'Calc base'!L170),2),MAX('Calc base'!G$12,ROUND('Calc base'!G$13*AX169,2))))</f>
        <v>0</v>
      </c>
      <c r="O170">
        <f>IF(AY169&lt;=0,0,IF(ROUND(AY169*(1+'Calc base'!M170),2)-MAX('Calc base'!H$12,ROUND('Calc base'!H$13*AY169,2))&lt;1,ROUND(AY169*(1+'Calc base'!M170),2),MAX('Calc base'!H$12,ROUND('Calc base'!H$13*AY169,2))))</f>
        <v>0</v>
      </c>
      <c r="P170">
        <f>IF(AZ169&lt;=0,0,IF(ROUND(AZ169*(1+'Calc base'!N170),2)-MAX('Calc base'!I$12,ROUND('Calc base'!I$13*AZ169,2))&lt;1,ROUND(AZ169*(1+'Calc base'!N170),2),MAX('Calc base'!I$12,ROUND('Calc base'!I$13*AZ169,2))))</f>
        <v>0</v>
      </c>
      <c r="Q170">
        <f>IF(BA169&lt;=0,0,IF(ROUND(BA169*(1+'Calc base'!O170),2)-MAX('Calc base'!J$12,ROUND('Calc base'!J$13*BA169,2))&lt;1,ROUND(BA169*(1+'Calc base'!O170),2),MAX('Calc base'!J$12,ROUND('Calc base'!J$13*BA169,2))))</f>
        <v>0</v>
      </c>
      <c r="R170">
        <f>IF(BB169&lt;=0,0,IF(ROUND(BB169*(1+'Calc base'!P170),2)-MAX('Calc base'!K$12,ROUND('Calc base'!K$13*BB169,2))&lt;1,ROUND(BB169*(1+'Calc base'!P170),2),MAX('Calc base'!K$12,ROUND('Calc base'!K$13*BB169,2))))</f>
        <v>0</v>
      </c>
      <c r="S170">
        <f>IF(BC169&lt;=0,0,IF(ROUND(BC169*(1+'Calc base'!Q170),2)-MAX('Calc base'!L$12,ROUND('Calc base'!L$13*BC169,2))&lt;1,ROUND(BC169*(1+'Calc base'!Q170),2),MAX('Calc base'!L$12,ROUND('Calc base'!L$13*BC169,2))))</f>
        <v>0</v>
      </c>
      <c r="T170">
        <f>IF(BD169&lt;=0,0,IF(ROUND(BD169*(1+'Calc base'!R170),2)-MAX('Calc base'!M$12,ROUND('Calc base'!M$13*BD169,2))&lt;1,ROUND(BD169*(1+'Calc base'!R170),2),MAX('Calc base'!M$12,ROUND('Calc base'!M$13*BD169,2))))</f>
        <v>0</v>
      </c>
      <c r="U170">
        <f>IF(BE169&lt;=0,0,IF(ROUND(BE169*(1+'Calc base'!S170),2)-MAX('Calc base'!N$12,ROUND('Calc base'!N$13*BE169,2))&lt;1,ROUND(BE169*(1+'Calc base'!S170),2),MAX('Calc base'!N$12,ROUND('Calc base'!N$13*BE169,2))))</f>
        <v>0</v>
      </c>
      <c r="V170">
        <f>MAX(0,ROUND(AT169*(1+'Calc base'!H170),2)-J170-'Calc base'!T170)</f>
        <v>0</v>
      </c>
      <c r="W170">
        <f>MAX(0,ROUND(AU169*(1+'Calc base'!I170),2)-K170-'Calc base'!U170)</f>
        <v>0</v>
      </c>
      <c r="X170">
        <f>MAX(0,ROUND(AV169*(1+'Calc base'!J170),2)-L170-'Calc base'!V170)</f>
        <v>0</v>
      </c>
      <c r="Y170">
        <f>MAX(0,ROUND(AW169*(1+'Calc base'!K170),2)-M170-'Calc base'!W170)</f>
        <v>0</v>
      </c>
      <c r="Z170">
        <f>MAX(0,ROUND(AX169*(1+'Calc base'!L170),2)-N170-'Calc base'!X170)</f>
        <v>0</v>
      </c>
      <c r="AA170">
        <f>MAX(0,ROUND(AY169*(1+'Calc base'!M170),2)-O170-'Calc base'!Y170)</f>
        <v>0</v>
      </c>
      <c r="AB170">
        <f>MAX(0,ROUND(AZ169*(1+'Calc base'!N170),2)-P170-'Calc base'!Z170)</f>
        <v>0</v>
      </c>
      <c r="AC170">
        <f>MAX(0,ROUND(BA169*(1+'Calc base'!O170),2)-Q170-'Calc base'!AA170)</f>
        <v>0</v>
      </c>
      <c r="AD170">
        <f>MAX(0,ROUND(BB169*(1+'Calc base'!P170),2)-R170-'Calc base'!AB170)</f>
        <v>0</v>
      </c>
      <c r="AE170">
        <f>MAX(0,ROUND(BC169*(1+'Calc base'!Q170),2)-S170-'Calc base'!AC170)</f>
        <v>0</v>
      </c>
      <c r="AF170">
        <f>MAX(0,ROUND(BD169*(1+'Calc base'!R170),2)-T170-'Calc base'!AD170)</f>
        <v>0</v>
      </c>
      <c r="AG170">
        <f>MAX(0,ROUND(BE169*(1+'Calc base'!S170),2)-U170-'Calc base'!AE170)</f>
        <v>0</v>
      </c>
      <c r="AH170">
        <f>IF('Calc base'!C$14=0,0,MIN(V170,MAX(0,$E170-SUMPRODUCT($V170:$AG170,'Calc base'!$C$14:$N$14,('Calc base'!$H170:$S170&gt;'Calc base'!H170)+('Calc base'!$H170:$S170='Calc base'!H170)*('Calc base'!$C$17:$N$17&lt;'Calc base'!C$17)))))</f>
        <v>0</v>
      </c>
      <c r="AI170">
        <f>IF('Calc base'!D$14=0,0,MIN(W170,MAX(0,$E170-SUMPRODUCT($V170:$AG170,'Calc base'!$C$14:$N$14,('Calc base'!$H170:$S170&gt;'Calc base'!I170)+('Calc base'!$H170:$S170='Calc base'!I170)*('Calc base'!$C$17:$N$17&lt;'Calc base'!D$17)))))</f>
        <v>0</v>
      </c>
      <c r="AJ170">
        <f>IF('Calc base'!E$14=0,0,MIN(X170,MAX(0,$E170-SUMPRODUCT($V170:$AG170,'Calc base'!$C$14:$N$14,('Calc base'!$H170:$S170&gt;'Calc base'!J170)+('Calc base'!$H170:$S170='Calc base'!J170)*('Calc base'!$C$17:$N$17&lt;'Calc base'!E$17)))))</f>
        <v>0</v>
      </c>
      <c r="AK170">
        <f>IF('Calc base'!F$14=0,0,MIN(Y170,MAX(0,$E170-SUMPRODUCT($V170:$AG170,'Calc base'!$C$14:$N$14,('Calc base'!$H170:$S170&gt;'Calc base'!K170)+('Calc base'!$H170:$S170='Calc base'!K170)*('Calc base'!$C$17:$N$17&lt;'Calc base'!F$17)))))</f>
        <v>0</v>
      </c>
      <c r="AL170">
        <f>IF('Calc base'!G$14=0,0,MIN(Z170,MAX(0,$E170-SUMPRODUCT($V170:$AG170,'Calc base'!$C$14:$N$14,('Calc base'!$H170:$S170&gt;'Calc base'!L170)+('Calc base'!$H170:$S170='Calc base'!L170)*('Calc base'!$C$17:$N$17&lt;'Calc base'!G$17)))))</f>
        <v>0</v>
      </c>
      <c r="AM170">
        <f>IF('Calc base'!H$14=0,0,MIN(AA170,MAX(0,$E170-SUMPRODUCT($V170:$AG170,'Calc base'!$C$14:$N$14,('Calc base'!$H170:$S170&gt;'Calc base'!M170)+('Calc base'!$H170:$S170='Calc base'!M170)*('Calc base'!$C$17:$N$17&lt;'Calc base'!H$17)))))</f>
        <v>0</v>
      </c>
      <c r="AN170">
        <f>IF('Calc base'!I$14=0,0,MIN(AB170,MAX(0,$E170-SUMPRODUCT($V170:$AG170,'Calc base'!$C$14:$N$14,('Calc base'!$H170:$S170&gt;'Calc base'!N170)+('Calc base'!$H170:$S170='Calc base'!N170)*('Calc base'!$C$17:$N$17&lt;'Calc base'!I$17)))))</f>
        <v>0</v>
      </c>
      <c r="AO170">
        <f>IF('Calc base'!J$14=0,0,MIN(AC170,MAX(0,$E170-SUMPRODUCT($V170:$AG170,'Calc base'!$C$14:$N$14,('Calc base'!$H170:$S170&gt;'Calc base'!O170)+('Calc base'!$H170:$S170='Calc base'!O170)*('Calc base'!$C$17:$N$17&lt;'Calc base'!J$17)))))</f>
        <v>0</v>
      </c>
      <c r="AP170">
        <f>IF('Calc base'!K$14=0,0,MIN(AD170,MAX(0,$E170-SUMPRODUCT($V170:$AG170,'Calc base'!$C$14:$N$14,('Calc base'!$H170:$S170&gt;'Calc base'!P170)+('Calc base'!$H170:$S170='Calc base'!P170)*('Calc base'!$C$17:$N$17&lt;'Calc base'!K$17)))))</f>
        <v>0</v>
      </c>
      <c r="AQ170">
        <f>IF('Calc base'!L$14=0,0,MIN(AE170,MAX(0,$E170-SUMPRODUCT($V170:$AG170,'Calc base'!$C$14:$N$14,('Calc base'!$H170:$S170&gt;'Calc base'!Q170)+('Calc base'!$H170:$S170='Calc base'!Q170)*('Calc base'!$C$17:$N$17&lt;'Calc base'!L$17)))))</f>
        <v>0</v>
      </c>
      <c r="AR170">
        <f>IF('Calc base'!M$14=0,0,MIN(AF170,MAX(0,$E170-SUMPRODUCT($V170:$AG170,'Calc base'!$C$14:$N$14,('Calc base'!$H170:$S170&gt;'Calc base'!R170)+('Calc base'!$H170:$S170='Calc base'!R170)*('Calc base'!$C$17:$N$17&lt;'Calc base'!M$17)))))</f>
        <v>0</v>
      </c>
      <c r="AS170">
        <f>IF('Calc base'!N$14=0,0,MIN(AG170,MAX(0,$E170-SUMPRODUCT($V170:$AG170,'Calc base'!$C$14:$N$14,('Calc base'!$H170:$S170&gt;'Calc base'!S170)+('Calc base'!$H170:$S170='Calc base'!S170)*('Calc base'!$C$17:$N$17&lt;'Calc base'!N$17)))))</f>
        <v>0</v>
      </c>
      <c r="AT170">
        <f>V170-AH170</f>
        <v>0</v>
      </c>
      <c r="AU170">
        <f>W170-AI170</f>
        <v>0</v>
      </c>
      <c r="AV170">
        <f>X170-AJ170</f>
        <v>0</v>
      </c>
      <c r="AW170">
        <f>Y170-AK170</f>
        <v>0</v>
      </c>
      <c r="AX170">
        <f>Z170-AL170</f>
        <v>0</v>
      </c>
      <c r="AY170">
        <f>AA170-AM170</f>
        <v>0</v>
      </c>
      <c r="AZ170">
        <f>AB170-AN170</f>
        <v>0</v>
      </c>
      <c r="BA170">
        <f>AC170-AO170</f>
        <v>0</v>
      </c>
      <c r="BB170">
        <f>AD170-AP170</f>
        <v>0</v>
      </c>
      <c r="BC170">
        <f>AE170-AQ170</f>
        <v>0</v>
      </c>
      <c r="BD170">
        <f>AF170-AR170</f>
        <v>0</v>
      </c>
      <c r="BE170">
        <f>AG170-AS170</f>
        <v>0</v>
      </c>
    </row>
    <row r="171">
      <c r="A171" t="n">
        <v>141</v>
      </c>
      <c r="B171">
        <f>SUMPRODUCT(ROUND($AT170:$BE170*(1+'Calc base'!$H171:$S171),2))</f>
        <v>0</v>
      </c>
      <c r="C171">
        <f>SUM(J171:U171)</f>
        <v>0</v>
      </c>
      <c r="D171">
        <f>SUM(V171:AG171)</f>
        <v>0</v>
      </c>
      <c r="E171">
        <f>MAX(0,IF(Impostazioni!$B$7="No",'Calc base'!$C171-$C$31,'Calc base'!$C171-C171)+'Calc base'!$G171+'Calc base'!$F171-(B171-C171-D171))</f>
        <v>900</v>
      </c>
      <c r="F171">
        <f>SUM(AH171:AS171)</f>
        <v>0</v>
      </c>
      <c r="G171">
        <f>SUM(AT171:BE171)</f>
        <v>0</v>
      </c>
      <c r="H171">
        <f>B171-G170</f>
        <v>0</v>
      </c>
      <c r="I171">
        <f>B171-G171</f>
        <v>0</v>
      </c>
      <c r="J171">
        <f>IF(AT170&lt;=0,0,IF(ROUND(AT170*(1+'Calc base'!H171),2)-MAX('Calc base'!C$12,ROUND('Calc base'!C$13*AT170,2))&lt;1,ROUND(AT170*(1+'Calc base'!H171),2),MAX('Calc base'!C$12,ROUND('Calc base'!C$13*AT170,2))))</f>
        <v>0</v>
      </c>
      <c r="K171">
        <f>IF(AU170&lt;=0,0,IF(ROUND(AU170*(1+'Calc base'!I171),2)-MAX('Calc base'!D$12,ROUND('Calc base'!D$13*AU170,2))&lt;1,ROUND(AU170*(1+'Calc base'!I171),2),MAX('Calc base'!D$12,ROUND('Calc base'!D$13*AU170,2))))</f>
        <v>0</v>
      </c>
      <c r="L171">
        <f>IF(AV170&lt;=0,0,IF(ROUND(AV170*(1+'Calc base'!J171),2)-MAX('Calc base'!E$12,ROUND('Calc base'!E$13*AV170,2))&lt;1,ROUND(AV170*(1+'Calc base'!J171),2),MAX('Calc base'!E$12,ROUND('Calc base'!E$13*AV170,2))))</f>
        <v>0</v>
      </c>
      <c r="M171">
        <f>IF(AW170&lt;=0,0,IF(ROUND(AW170*(1+'Calc base'!K171),2)-MAX('Calc base'!F$12,ROUND('Calc base'!F$13*AW170,2))&lt;1,ROUND(AW170*(1+'Calc base'!K171),2),MAX('Calc base'!F$12,ROUND('Calc base'!F$13*AW170,2))))</f>
        <v>0</v>
      </c>
      <c r="N171">
        <f>IF(AX170&lt;=0,0,IF(ROUND(AX170*(1+'Calc base'!L171),2)-MAX('Calc base'!G$12,ROUND('Calc base'!G$13*AX170,2))&lt;1,ROUND(AX170*(1+'Calc base'!L171),2),MAX('Calc base'!G$12,ROUND('Calc base'!G$13*AX170,2))))</f>
        <v>0</v>
      </c>
      <c r="O171">
        <f>IF(AY170&lt;=0,0,IF(ROUND(AY170*(1+'Calc base'!M171),2)-MAX('Calc base'!H$12,ROUND('Calc base'!H$13*AY170,2))&lt;1,ROUND(AY170*(1+'Calc base'!M171),2),MAX('Calc base'!H$12,ROUND('Calc base'!H$13*AY170,2))))</f>
        <v>0</v>
      </c>
      <c r="P171">
        <f>IF(AZ170&lt;=0,0,IF(ROUND(AZ170*(1+'Calc base'!N171),2)-MAX('Calc base'!I$12,ROUND('Calc base'!I$13*AZ170,2))&lt;1,ROUND(AZ170*(1+'Calc base'!N171),2),MAX('Calc base'!I$12,ROUND('Calc base'!I$13*AZ170,2))))</f>
        <v>0</v>
      </c>
      <c r="Q171">
        <f>IF(BA170&lt;=0,0,IF(ROUND(BA170*(1+'Calc base'!O171),2)-MAX('Calc base'!J$12,ROUND('Calc base'!J$13*BA170,2))&lt;1,ROUND(BA170*(1+'Calc base'!O171),2),MAX('Calc base'!J$12,ROUND('Calc base'!J$13*BA170,2))))</f>
        <v>0</v>
      </c>
      <c r="R171">
        <f>IF(BB170&lt;=0,0,IF(ROUND(BB170*(1+'Calc base'!P171),2)-MAX('Calc base'!K$12,ROUND('Calc base'!K$13*BB170,2))&lt;1,ROUND(BB170*(1+'Calc base'!P171),2),MAX('Calc base'!K$12,ROUND('Calc base'!K$13*BB170,2))))</f>
        <v>0</v>
      </c>
      <c r="S171">
        <f>IF(BC170&lt;=0,0,IF(ROUND(BC170*(1+'Calc base'!Q171),2)-MAX('Calc base'!L$12,ROUND('Calc base'!L$13*BC170,2))&lt;1,ROUND(BC170*(1+'Calc base'!Q171),2),MAX('Calc base'!L$12,ROUND('Calc base'!L$13*BC170,2))))</f>
        <v>0</v>
      </c>
      <c r="T171">
        <f>IF(BD170&lt;=0,0,IF(ROUND(BD170*(1+'Calc base'!R171),2)-MAX('Calc base'!M$12,ROUND('Calc base'!M$13*BD170,2))&lt;1,ROUND(BD170*(1+'Calc base'!R171),2),MAX('Calc base'!M$12,ROUND('Calc base'!M$13*BD170,2))))</f>
        <v>0</v>
      </c>
      <c r="U171">
        <f>IF(BE170&lt;=0,0,IF(ROUND(BE170*(1+'Calc base'!S171),2)-MAX('Calc base'!N$12,ROUND('Calc base'!N$13*BE170,2))&lt;1,ROUND(BE170*(1+'Calc base'!S171),2),MAX('Calc base'!N$12,ROUND('Calc base'!N$13*BE170,2))))</f>
        <v>0</v>
      </c>
      <c r="V171">
        <f>MAX(0,ROUND(AT170*(1+'Calc base'!H171),2)-J171-'Calc base'!T171)</f>
        <v>0</v>
      </c>
      <c r="W171">
        <f>MAX(0,ROUND(AU170*(1+'Calc base'!I171),2)-K171-'Calc base'!U171)</f>
        <v>0</v>
      </c>
      <c r="X171">
        <f>MAX(0,ROUND(AV170*(1+'Calc base'!J171),2)-L171-'Calc base'!V171)</f>
        <v>0</v>
      </c>
      <c r="Y171">
        <f>MAX(0,ROUND(AW170*(1+'Calc base'!K171),2)-M171-'Calc base'!W171)</f>
        <v>0</v>
      </c>
      <c r="Z171">
        <f>MAX(0,ROUND(AX170*(1+'Calc base'!L171),2)-N171-'Calc base'!X171)</f>
        <v>0</v>
      </c>
      <c r="AA171">
        <f>MAX(0,ROUND(AY170*(1+'Calc base'!M171),2)-O171-'Calc base'!Y171)</f>
        <v>0</v>
      </c>
      <c r="AB171">
        <f>MAX(0,ROUND(AZ170*(1+'Calc base'!N171),2)-P171-'Calc base'!Z171)</f>
        <v>0</v>
      </c>
      <c r="AC171">
        <f>MAX(0,ROUND(BA170*(1+'Calc base'!O171),2)-Q171-'Calc base'!AA171)</f>
        <v>0</v>
      </c>
      <c r="AD171">
        <f>MAX(0,ROUND(BB170*(1+'Calc base'!P171),2)-R171-'Calc base'!AB171)</f>
        <v>0</v>
      </c>
      <c r="AE171">
        <f>MAX(0,ROUND(BC170*(1+'Calc base'!Q171),2)-S171-'Calc base'!AC171)</f>
        <v>0</v>
      </c>
      <c r="AF171">
        <f>MAX(0,ROUND(BD170*(1+'Calc base'!R171),2)-T171-'Calc base'!AD171)</f>
        <v>0</v>
      </c>
      <c r="AG171">
        <f>MAX(0,ROUND(BE170*(1+'Calc base'!S171),2)-U171-'Calc base'!AE171)</f>
        <v>0</v>
      </c>
      <c r="AH171">
        <f>IF('Calc base'!C$14=0,0,MIN(V171,MAX(0,$E171-SUMPRODUCT($V171:$AG171,'Calc base'!$C$14:$N$14,('Calc base'!$H171:$S171&gt;'Calc base'!H171)+('Calc base'!$H171:$S171='Calc base'!H171)*('Calc base'!$C$17:$N$17&lt;'Calc base'!C$17)))))</f>
        <v>0</v>
      </c>
      <c r="AI171">
        <f>IF('Calc base'!D$14=0,0,MIN(W171,MAX(0,$E171-SUMPRODUCT($V171:$AG171,'Calc base'!$C$14:$N$14,('Calc base'!$H171:$S171&gt;'Calc base'!I171)+('Calc base'!$H171:$S171='Calc base'!I171)*('Calc base'!$C$17:$N$17&lt;'Calc base'!D$17)))))</f>
        <v>0</v>
      </c>
      <c r="AJ171">
        <f>IF('Calc base'!E$14=0,0,MIN(X171,MAX(0,$E171-SUMPRODUCT($V171:$AG171,'Calc base'!$C$14:$N$14,('Calc base'!$H171:$S171&gt;'Calc base'!J171)+('Calc base'!$H171:$S171='Calc base'!J171)*('Calc base'!$C$17:$N$17&lt;'Calc base'!E$17)))))</f>
        <v>0</v>
      </c>
      <c r="AK171">
        <f>IF('Calc base'!F$14=0,0,MIN(Y171,MAX(0,$E171-SUMPRODUCT($V171:$AG171,'Calc base'!$C$14:$N$14,('Calc base'!$H171:$S171&gt;'Calc base'!K171)+('Calc base'!$H171:$S171='Calc base'!K171)*('Calc base'!$C$17:$N$17&lt;'Calc base'!F$17)))))</f>
        <v>0</v>
      </c>
      <c r="AL171">
        <f>IF('Calc base'!G$14=0,0,MIN(Z171,MAX(0,$E171-SUMPRODUCT($V171:$AG171,'Calc base'!$C$14:$N$14,('Calc base'!$H171:$S171&gt;'Calc base'!L171)+('Calc base'!$H171:$S171='Calc base'!L171)*('Calc base'!$C$17:$N$17&lt;'Calc base'!G$17)))))</f>
        <v>0</v>
      </c>
      <c r="AM171">
        <f>IF('Calc base'!H$14=0,0,MIN(AA171,MAX(0,$E171-SUMPRODUCT($V171:$AG171,'Calc base'!$C$14:$N$14,('Calc base'!$H171:$S171&gt;'Calc base'!M171)+('Calc base'!$H171:$S171='Calc base'!M171)*('Calc base'!$C$17:$N$17&lt;'Calc base'!H$17)))))</f>
        <v>0</v>
      </c>
      <c r="AN171">
        <f>IF('Calc base'!I$14=0,0,MIN(AB171,MAX(0,$E171-SUMPRODUCT($V171:$AG171,'Calc base'!$C$14:$N$14,('Calc base'!$H171:$S171&gt;'Calc base'!N171)+('Calc base'!$H171:$S171='Calc base'!N171)*('Calc base'!$C$17:$N$17&lt;'Calc base'!I$17)))))</f>
        <v>0</v>
      </c>
      <c r="AO171">
        <f>IF('Calc base'!J$14=0,0,MIN(AC171,MAX(0,$E171-SUMPRODUCT($V171:$AG171,'Calc base'!$C$14:$N$14,('Calc base'!$H171:$S171&gt;'Calc base'!O171)+('Calc base'!$H171:$S171='Calc base'!O171)*('Calc base'!$C$17:$N$17&lt;'Calc base'!J$17)))))</f>
        <v>0</v>
      </c>
      <c r="AP171">
        <f>IF('Calc base'!K$14=0,0,MIN(AD171,MAX(0,$E171-SUMPRODUCT($V171:$AG171,'Calc base'!$C$14:$N$14,('Calc base'!$H171:$S171&gt;'Calc base'!P171)+('Calc base'!$H171:$S171='Calc base'!P171)*('Calc base'!$C$17:$N$17&lt;'Calc base'!K$17)))))</f>
        <v>0</v>
      </c>
      <c r="AQ171">
        <f>IF('Calc base'!L$14=0,0,MIN(AE171,MAX(0,$E171-SUMPRODUCT($V171:$AG171,'Calc base'!$C$14:$N$14,('Calc base'!$H171:$S171&gt;'Calc base'!Q171)+('Calc base'!$H171:$S171='Calc base'!Q171)*('Calc base'!$C$17:$N$17&lt;'Calc base'!L$17)))))</f>
        <v>0</v>
      </c>
      <c r="AR171">
        <f>IF('Calc base'!M$14=0,0,MIN(AF171,MAX(0,$E171-SUMPRODUCT($V171:$AG171,'Calc base'!$C$14:$N$14,('Calc base'!$H171:$S171&gt;'Calc base'!R171)+('Calc base'!$H171:$S171='Calc base'!R171)*('Calc base'!$C$17:$N$17&lt;'Calc base'!M$17)))))</f>
        <v>0</v>
      </c>
      <c r="AS171">
        <f>IF('Calc base'!N$14=0,0,MIN(AG171,MAX(0,$E171-SUMPRODUCT($V171:$AG171,'Calc base'!$C$14:$N$14,('Calc base'!$H171:$S171&gt;'Calc base'!S171)+('Calc base'!$H171:$S171='Calc base'!S171)*('Calc base'!$C$17:$N$17&lt;'Calc base'!N$17)))))</f>
        <v>0</v>
      </c>
      <c r="AT171">
        <f>V171-AH171</f>
        <v>0</v>
      </c>
      <c r="AU171">
        <f>W171-AI171</f>
        <v>0</v>
      </c>
      <c r="AV171">
        <f>X171-AJ171</f>
        <v>0</v>
      </c>
      <c r="AW171">
        <f>Y171-AK171</f>
        <v>0</v>
      </c>
      <c r="AX171">
        <f>Z171-AL171</f>
        <v>0</v>
      </c>
      <c r="AY171">
        <f>AA171-AM171</f>
        <v>0</v>
      </c>
      <c r="AZ171">
        <f>AB171-AN171</f>
        <v>0</v>
      </c>
      <c r="BA171">
        <f>AC171-AO171</f>
        <v>0</v>
      </c>
      <c r="BB171">
        <f>AD171-AP171</f>
        <v>0</v>
      </c>
      <c r="BC171">
        <f>AE171-AQ171</f>
        <v>0</v>
      </c>
      <c r="BD171">
        <f>AF171-AR171</f>
        <v>0</v>
      </c>
      <c r="BE171">
        <f>AG171-AS171</f>
        <v>0</v>
      </c>
    </row>
    <row r="172">
      <c r="A172" t="n">
        <v>142</v>
      </c>
      <c r="B172">
        <f>SUMPRODUCT(ROUND($AT171:$BE171*(1+'Calc base'!$H172:$S172),2))</f>
        <v>0</v>
      </c>
      <c r="C172">
        <f>SUM(J172:U172)</f>
        <v>0</v>
      </c>
      <c r="D172">
        <f>SUM(V172:AG172)</f>
        <v>0</v>
      </c>
      <c r="E172">
        <f>MAX(0,IF(Impostazioni!$B$7="No",'Calc base'!$C172-$C$31,'Calc base'!$C172-C172)+'Calc base'!$G172+'Calc base'!$F172-(B172-C172-D172))</f>
        <v>900</v>
      </c>
      <c r="F172">
        <f>SUM(AH172:AS172)</f>
        <v>0</v>
      </c>
      <c r="G172">
        <f>SUM(AT172:BE172)</f>
        <v>0</v>
      </c>
      <c r="H172">
        <f>B172-G171</f>
        <v>0</v>
      </c>
      <c r="I172">
        <f>B172-G172</f>
        <v>0</v>
      </c>
      <c r="J172">
        <f>IF(AT171&lt;=0,0,IF(ROUND(AT171*(1+'Calc base'!H172),2)-MAX('Calc base'!C$12,ROUND('Calc base'!C$13*AT171,2))&lt;1,ROUND(AT171*(1+'Calc base'!H172),2),MAX('Calc base'!C$12,ROUND('Calc base'!C$13*AT171,2))))</f>
        <v>0</v>
      </c>
      <c r="K172">
        <f>IF(AU171&lt;=0,0,IF(ROUND(AU171*(1+'Calc base'!I172),2)-MAX('Calc base'!D$12,ROUND('Calc base'!D$13*AU171,2))&lt;1,ROUND(AU171*(1+'Calc base'!I172),2),MAX('Calc base'!D$12,ROUND('Calc base'!D$13*AU171,2))))</f>
        <v>0</v>
      </c>
      <c r="L172">
        <f>IF(AV171&lt;=0,0,IF(ROUND(AV171*(1+'Calc base'!J172),2)-MAX('Calc base'!E$12,ROUND('Calc base'!E$13*AV171,2))&lt;1,ROUND(AV171*(1+'Calc base'!J172),2),MAX('Calc base'!E$12,ROUND('Calc base'!E$13*AV171,2))))</f>
        <v>0</v>
      </c>
      <c r="M172">
        <f>IF(AW171&lt;=0,0,IF(ROUND(AW171*(1+'Calc base'!K172),2)-MAX('Calc base'!F$12,ROUND('Calc base'!F$13*AW171,2))&lt;1,ROUND(AW171*(1+'Calc base'!K172),2),MAX('Calc base'!F$12,ROUND('Calc base'!F$13*AW171,2))))</f>
        <v>0</v>
      </c>
      <c r="N172">
        <f>IF(AX171&lt;=0,0,IF(ROUND(AX171*(1+'Calc base'!L172),2)-MAX('Calc base'!G$12,ROUND('Calc base'!G$13*AX171,2))&lt;1,ROUND(AX171*(1+'Calc base'!L172),2),MAX('Calc base'!G$12,ROUND('Calc base'!G$13*AX171,2))))</f>
        <v>0</v>
      </c>
      <c r="O172">
        <f>IF(AY171&lt;=0,0,IF(ROUND(AY171*(1+'Calc base'!M172),2)-MAX('Calc base'!H$12,ROUND('Calc base'!H$13*AY171,2))&lt;1,ROUND(AY171*(1+'Calc base'!M172),2),MAX('Calc base'!H$12,ROUND('Calc base'!H$13*AY171,2))))</f>
        <v>0</v>
      </c>
      <c r="P172">
        <f>IF(AZ171&lt;=0,0,IF(ROUND(AZ171*(1+'Calc base'!N172),2)-MAX('Calc base'!I$12,ROUND('Calc base'!I$13*AZ171,2))&lt;1,ROUND(AZ171*(1+'Calc base'!N172),2),MAX('Calc base'!I$12,ROUND('Calc base'!I$13*AZ171,2))))</f>
        <v>0</v>
      </c>
      <c r="Q172">
        <f>IF(BA171&lt;=0,0,IF(ROUND(BA171*(1+'Calc base'!O172),2)-MAX('Calc base'!J$12,ROUND('Calc base'!J$13*BA171,2))&lt;1,ROUND(BA171*(1+'Calc base'!O172),2),MAX('Calc base'!J$12,ROUND('Calc base'!J$13*BA171,2))))</f>
        <v>0</v>
      </c>
      <c r="R172">
        <f>IF(BB171&lt;=0,0,IF(ROUND(BB171*(1+'Calc base'!P172),2)-MAX('Calc base'!K$12,ROUND('Calc base'!K$13*BB171,2))&lt;1,ROUND(BB171*(1+'Calc base'!P172),2),MAX('Calc base'!K$12,ROUND('Calc base'!K$13*BB171,2))))</f>
        <v>0</v>
      </c>
      <c r="S172">
        <f>IF(BC171&lt;=0,0,IF(ROUND(BC171*(1+'Calc base'!Q172),2)-MAX('Calc base'!L$12,ROUND('Calc base'!L$13*BC171,2))&lt;1,ROUND(BC171*(1+'Calc base'!Q172),2),MAX('Calc base'!L$12,ROUND('Calc base'!L$13*BC171,2))))</f>
        <v>0</v>
      </c>
      <c r="T172">
        <f>IF(BD171&lt;=0,0,IF(ROUND(BD171*(1+'Calc base'!R172),2)-MAX('Calc base'!M$12,ROUND('Calc base'!M$13*BD171,2))&lt;1,ROUND(BD171*(1+'Calc base'!R172),2),MAX('Calc base'!M$12,ROUND('Calc base'!M$13*BD171,2))))</f>
        <v>0</v>
      </c>
      <c r="U172">
        <f>IF(BE171&lt;=0,0,IF(ROUND(BE171*(1+'Calc base'!S172),2)-MAX('Calc base'!N$12,ROUND('Calc base'!N$13*BE171,2))&lt;1,ROUND(BE171*(1+'Calc base'!S172),2),MAX('Calc base'!N$12,ROUND('Calc base'!N$13*BE171,2))))</f>
        <v>0</v>
      </c>
      <c r="V172">
        <f>MAX(0,ROUND(AT171*(1+'Calc base'!H172),2)-J172-'Calc base'!T172)</f>
        <v>0</v>
      </c>
      <c r="W172">
        <f>MAX(0,ROUND(AU171*(1+'Calc base'!I172),2)-K172-'Calc base'!U172)</f>
        <v>0</v>
      </c>
      <c r="X172">
        <f>MAX(0,ROUND(AV171*(1+'Calc base'!J172),2)-L172-'Calc base'!V172)</f>
        <v>0</v>
      </c>
      <c r="Y172">
        <f>MAX(0,ROUND(AW171*(1+'Calc base'!K172),2)-M172-'Calc base'!W172)</f>
        <v>0</v>
      </c>
      <c r="Z172">
        <f>MAX(0,ROUND(AX171*(1+'Calc base'!L172),2)-N172-'Calc base'!X172)</f>
        <v>0</v>
      </c>
      <c r="AA172">
        <f>MAX(0,ROUND(AY171*(1+'Calc base'!M172),2)-O172-'Calc base'!Y172)</f>
        <v>0</v>
      </c>
      <c r="AB172">
        <f>MAX(0,ROUND(AZ171*(1+'Calc base'!N172),2)-P172-'Calc base'!Z172)</f>
        <v>0</v>
      </c>
      <c r="AC172">
        <f>MAX(0,ROUND(BA171*(1+'Calc base'!O172),2)-Q172-'Calc base'!AA172)</f>
        <v>0</v>
      </c>
      <c r="AD172">
        <f>MAX(0,ROUND(BB171*(1+'Calc base'!P172),2)-R172-'Calc base'!AB172)</f>
        <v>0</v>
      </c>
      <c r="AE172">
        <f>MAX(0,ROUND(BC171*(1+'Calc base'!Q172),2)-S172-'Calc base'!AC172)</f>
        <v>0</v>
      </c>
      <c r="AF172">
        <f>MAX(0,ROUND(BD171*(1+'Calc base'!R172),2)-T172-'Calc base'!AD172)</f>
        <v>0</v>
      </c>
      <c r="AG172">
        <f>MAX(0,ROUND(BE171*(1+'Calc base'!S172),2)-U172-'Calc base'!AE172)</f>
        <v>0</v>
      </c>
      <c r="AH172">
        <f>IF('Calc base'!C$14=0,0,MIN(V172,MAX(0,$E172-SUMPRODUCT($V172:$AG172,'Calc base'!$C$14:$N$14,('Calc base'!$H172:$S172&gt;'Calc base'!H172)+('Calc base'!$H172:$S172='Calc base'!H172)*('Calc base'!$C$17:$N$17&lt;'Calc base'!C$17)))))</f>
        <v>0</v>
      </c>
      <c r="AI172">
        <f>IF('Calc base'!D$14=0,0,MIN(W172,MAX(0,$E172-SUMPRODUCT($V172:$AG172,'Calc base'!$C$14:$N$14,('Calc base'!$H172:$S172&gt;'Calc base'!I172)+('Calc base'!$H172:$S172='Calc base'!I172)*('Calc base'!$C$17:$N$17&lt;'Calc base'!D$17)))))</f>
        <v>0</v>
      </c>
      <c r="AJ172">
        <f>IF('Calc base'!E$14=0,0,MIN(X172,MAX(0,$E172-SUMPRODUCT($V172:$AG172,'Calc base'!$C$14:$N$14,('Calc base'!$H172:$S172&gt;'Calc base'!J172)+('Calc base'!$H172:$S172='Calc base'!J172)*('Calc base'!$C$17:$N$17&lt;'Calc base'!E$17)))))</f>
        <v>0</v>
      </c>
      <c r="AK172">
        <f>IF('Calc base'!F$14=0,0,MIN(Y172,MAX(0,$E172-SUMPRODUCT($V172:$AG172,'Calc base'!$C$14:$N$14,('Calc base'!$H172:$S172&gt;'Calc base'!K172)+('Calc base'!$H172:$S172='Calc base'!K172)*('Calc base'!$C$17:$N$17&lt;'Calc base'!F$17)))))</f>
        <v>0</v>
      </c>
      <c r="AL172">
        <f>IF('Calc base'!G$14=0,0,MIN(Z172,MAX(0,$E172-SUMPRODUCT($V172:$AG172,'Calc base'!$C$14:$N$14,('Calc base'!$H172:$S172&gt;'Calc base'!L172)+('Calc base'!$H172:$S172='Calc base'!L172)*('Calc base'!$C$17:$N$17&lt;'Calc base'!G$17)))))</f>
        <v>0</v>
      </c>
      <c r="AM172">
        <f>IF('Calc base'!H$14=0,0,MIN(AA172,MAX(0,$E172-SUMPRODUCT($V172:$AG172,'Calc base'!$C$14:$N$14,('Calc base'!$H172:$S172&gt;'Calc base'!M172)+('Calc base'!$H172:$S172='Calc base'!M172)*('Calc base'!$C$17:$N$17&lt;'Calc base'!H$17)))))</f>
        <v>0</v>
      </c>
      <c r="AN172">
        <f>IF('Calc base'!I$14=0,0,MIN(AB172,MAX(0,$E172-SUMPRODUCT($V172:$AG172,'Calc base'!$C$14:$N$14,('Calc base'!$H172:$S172&gt;'Calc base'!N172)+('Calc base'!$H172:$S172='Calc base'!N172)*('Calc base'!$C$17:$N$17&lt;'Calc base'!I$17)))))</f>
        <v>0</v>
      </c>
      <c r="AO172">
        <f>IF('Calc base'!J$14=0,0,MIN(AC172,MAX(0,$E172-SUMPRODUCT($V172:$AG172,'Calc base'!$C$14:$N$14,('Calc base'!$H172:$S172&gt;'Calc base'!O172)+('Calc base'!$H172:$S172='Calc base'!O172)*('Calc base'!$C$17:$N$17&lt;'Calc base'!J$17)))))</f>
        <v>0</v>
      </c>
      <c r="AP172">
        <f>IF('Calc base'!K$14=0,0,MIN(AD172,MAX(0,$E172-SUMPRODUCT($V172:$AG172,'Calc base'!$C$14:$N$14,('Calc base'!$H172:$S172&gt;'Calc base'!P172)+('Calc base'!$H172:$S172='Calc base'!P172)*('Calc base'!$C$17:$N$17&lt;'Calc base'!K$17)))))</f>
        <v>0</v>
      </c>
      <c r="AQ172">
        <f>IF('Calc base'!L$14=0,0,MIN(AE172,MAX(0,$E172-SUMPRODUCT($V172:$AG172,'Calc base'!$C$14:$N$14,('Calc base'!$H172:$S172&gt;'Calc base'!Q172)+('Calc base'!$H172:$S172='Calc base'!Q172)*('Calc base'!$C$17:$N$17&lt;'Calc base'!L$17)))))</f>
        <v>0</v>
      </c>
      <c r="AR172">
        <f>IF('Calc base'!M$14=0,0,MIN(AF172,MAX(0,$E172-SUMPRODUCT($V172:$AG172,'Calc base'!$C$14:$N$14,('Calc base'!$H172:$S172&gt;'Calc base'!R172)+('Calc base'!$H172:$S172='Calc base'!R172)*('Calc base'!$C$17:$N$17&lt;'Calc base'!M$17)))))</f>
        <v>0</v>
      </c>
      <c r="AS172">
        <f>IF('Calc base'!N$14=0,0,MIN(AG172,MAX(0,$E172-SUMPRODUCT($V172:$AG172,'Calc base'!$C$14:$N$14,('Calc base'!$H172:$S172&gt;'Calc base'!S172)+('Calc base'!$H172:$S172='Calc base'!S172)*('Calc base'!$C$17:$N$17&lt;'Calc base'!N$17)))))</f>
        <v>0</v>
      </c>
      <c r="AT172">
        <f>V172-AH172</f>
        <v>0</v>
      </c>
      <c r="AU172">
        <f>W172-AI172</f>
        <v>0</v>
      </c>
      <c r="AV172">
        <f>X172-AJ172</f>
        <v>0</v>
      </c>
      <c r="AW172">
        <f>Y172-AK172</f>
        <v>0</v>
      </c>
      <c r="AX172">
        <f>Z172-AL172</f>
        <v>0</v>
      </c>
      <c r="AY172">
        <f>AA172-AM172</f>
        <v>0</v>
      </c>
      <c r="AZ172">
        <f>AB172-AN172</f>
        <v>0</v>
      </c>
      <c r="BA172">
        <f>AC172-AO172</f>
        <v>0</v>
      </c>
      <c r="BB172">
        <f>AD172-AP172</f>
        <v>0</v>
      </c>
      <c r="BC172">
        <f>AE172-AQ172</f>
        <v>0</v>
      </c>
      <c r="BD172">
        <f>AF172-AR172</f>
        <v>0</v>
      </c>
      <c r="BE172">
        <f>AG172-AS172</f>
        <v>0</v>
      </c>
    </row>
    <row r="173">
      <c r="A173" t="n">
        <v>143</v>
      </c>
      <c r="B173">
        <f>SUMPRODUCT(ROUND($AT172:$BE172*(1+'Calc base'!$H173:$S173),2))</f>
        <v>0</v>
      </c>
      <c r="C173">
        <f>SUM(J173:U173)</f>
        <v>0</v>
      </c>
      <c r="D173">
        <f>SUM(V173:AG173)</f>
        <v>0</v>
      </c>
      <c r="E173">
        <f>MAX(0,IF(Impostazioni!$B$7="No",'Calc base'!$C173-$C$31,'Calc base'!$C173-C173)+'Calc base'!$G173+'Calc base'!$F173-(B173-C173-D173))</f>
        <v>900</v>
      </c>
      <c r="F173">
        <f>SUM(AH173:AS173)</f>
        <v>0</v>
      </c>
      <c r="G173">
        <f>SUM(AT173:BE173)</f>
        <v>0</v>
      </c>
      <c r="H173">
        <f>B173-G172</f>
        <v>0</v>
      </c>
      <c r="I173">
        <f>B173-G173</f>
        <v>0</v>
      </c>
      <c r="J173">
        <f>IF(AT172&lt;=0,0,IF(ROUND(AT172*(1+'Calc base'!H173),2)-MAX('Calc base'!C$12,ROUND('Calc base'!C$13*AT172,2))&lt;1,ROUND(AT172*(1+'Calc base'!H173),2),MAX('Calc base'!C$12,ROUND('Calc base'!C$13*AT172,2))))</f>
        <v>0</v>
      </c>
      <c r="K173">
        <f>IF(AU172&lt;=0,0,IF(ROUND(AU172*(1+'Calc base'!I173),2)-MAX('Calc base'!D$12,ROUND('Calc base'!D$13*AU172,2))&lt;1,ROUND(AU172*(1+'Calc base'!I173),2),MAX('Calc base'!D$12,ROUND('Calc base'!D$13*AU172,2))))</f>
        <v>0</v>
      </c>
      <c r="L173">
        <f>IF(AV172&lt;=0,0,IF(ROUND(AV172*(1+'Calc base'!J173),2)-MAX('Calc base'!E$12,ROUND('Calc base'!E$13*AV172,2))&lt;1,ROUND(AV172*(1+'Calc base'!J173),2),MAX('Calc base'!E$12,ROUND('Calc base'!E$13*AV172,2))))</f>
        <v>0</v>
      </c>
      <c r="M173">
        <f>IF(AW172&lt;=0,0,IF(ROUND(AW172*(1+'Calc base'!K173),2)-MAX('Calc base'!F$12,ROUND('Calc base'!F$13*AW172,2))&lt;1,ROUND(AW172*(1+'Calc base'!K173),2),MAX('Calc base'!F$12,ROUND('Calc base'!F$13*AW172,2))))</f>
        <v>0</v>
      </c>
      <c r="N173">
        <f>IF(AX172&lt;=0,0,IF(ROUND(AX172*(1+'Calc base'!L173),2)-MAX('Calc base'!G$12,ROUND('Calc base'!G$13*AX172,2))&lt;1,ROUND(AX172*(1+'Calc base'!L173),2),MAX('Calc base'!G$12,ROUND('Calc base'!G$13*AX172,2))))</f>
        <v>0</v>
      </c>
      <c r="O173">
        <f>IF(AY172&lt;=0,0,IF(ROUND(AY172*(1+'Calc base'!M173),2)-MAX('Calc base'!H$12,ROUND('Calc base'!H$13*AY172,2))&lt;1,ROUND(AY172*(1+'Calc base'!M173),2),MAX('Calc base'!H$12,ROUND('Calc base'!H$13*AY172,2))))</f>
        <v>0</v>
      </c>
      <c r="P173">
        <f>IF(AZ172&lt;=0,0,IF(ROUND(AZ172*(1+'Calc base'!N173),2)-MAX('Calc base'!I$12,ROUND('Calc base'!I$13*AZ172,2))&lt;1,ROUND(AZ172*(1+'Calc base'!N173),2),MAX('Calc base'!I$12,ROUND('Calc base'!I$13*AZ172,2))))</f>
        <v>0</v>
      </c>
      <c r="Q173">
        <f>IF(BA172&lt;=0,0,IF(ROUND(BA172*(1+'Calc base'!O173),2)-MAX('Calc base'!J$12,ROUND('Calc base'!J$13*BA172,2))&lt;1,ROUND(BA172*(1+'Calc base'!O173),2),MAX('Calc base'!J$12,ROUND('Calc base'!J$13*BA172,2))))</f>
        <v>0</v>
      </c>
      <c r="R173">
        <f>IF(BB172&lt;=0,0,IF(ROUND(BB172*(1+'Calc base'!P173),2)-MAX('Calc base'!K$12,ROUND('Calc base'!K$13*BB172,2))&lt;1,ROUND(BB172*(1+'Calc base'!P173),2),MAX('Calc base'!K$12,ROUND('Calc base'!K$13*BB172,2))))</f>
        <v>0</v>
      </c>
      <c r="S173">
        <f>IF(BC172&lt;=0,0,IF(ROUND(BC172*(1+'Calc base'!Q173),2)-MAX('Calc base'!L$12,ROUND('Calc base'!L$13*BC172,2))&lt;1,ROUND(BC172*(1+'Calc base'!Q173),2),MAX('Calc base'!L$12,ROUND('Calc base'!L$13*BC172,2))))</f>
        <v>0</v>
      </c>
      <c r="T173">
        <f>IF(BD172&lt;=0,0,IF(ROUND(BD172*(1+'Calc base'!R173),2)-MAX('Calc base'!M$12,ROUND('Calc base'!M$13*BD172,2))&lt;1,ROUND(BD172*(1+'Calc base'!R173),2),MAX('Calc base'!M$12,ROUND('Calc base'!M$13*BD172,2))))</f>
        <v>0</v>
      </c>
      <c r="U173">
        <f>IF(BE172&lt;=0,0,IF(ROUND(BE172*(1+'Calc base'!S173),2)-MAX('Calc base'!N$12,ROUND('Calc base'!N$13*BE172,2))&lt;1,ROUND(BE172*(1+'Calc base'!S173),2),MAX('Calc base'!N$12,ROUND('Calc base'!N$13*BE172,2))))</f>
        <v>0</v>
      </c>
      <c r="V173">
        <f>MAX(0,ROUND(AT172*(1+'Calc base'!H173),2)-J173-'Calc base'!T173)</f>
        <v>0</v>
      </c>
      <c r="W173">
        <f>MAX(0,ROUND(AU172*(1+'Calc base'!I173),2)-K173-'Calc base'!U173)</f>
        <v>0</v>
      </c>
      <c r="X173">
        <f>MAX(0,ROUND(AV172*(1+'Calc base'!J173),2)-L173-'Calc base'!V173)</f>
        <v>0</v>
      </c>
      <c r="Y173">
        <f>MAX(0,ROUND(AW172*(1+'Calc base'!K173),2)-M173-'Calc base'!W173)</f>
        <v>0</v>
      </c>
      <c r="Z173">
        <f>MAX(0,ROUND(AX172*(1+'Calc base'!L173),2)-N173-'Calc base'!X173)</f>
        <v>0</v>
      </c>
      <c r="AA173">
        <f>MAX(0,ROUND(AY172*(1+'Calc base'!M173),2)-O173-'Calc base'!Y173)</f>
        <v>0</v>
      </c>
      <c r="AB173">
        <f>MAX(0,ROUND(AZ172*(1+'Calc base'!N173),2)-P173-'Calc base'!Z173)</f>
        <v>0</v>
      </c>
      <c r="AC173">
        <f>MAX(0,ROUND(BA172*(1+'Calc base'!O173),2)-Q173-'Calc base'!AA173)</f>
        <v>0</v>
      </c>
      <c r="AD173">
        <f>MAX(0,ROUND(BB172*(1+'Calc base'!P173),2)-R173-'Calc base'!AB173)</f>
        <v>0</v>
      </c>
      <c r="AE173">
        <f>MAX(0,ROUND(BC172*(1+'Calc base'!Q173),2)-S173-'Calc base'!AC173)</f>
        <v>0</v>
      </c>
      <c r="AF173">
        <f>MAX(0,ROUND(BD172*(1+'Calc base'!R173),2)-T173-'Calc base'!AD173)</f>
        <v>0</v>
      </c>
      <c r="AG173">
        <f>MAX(0,ROUND(BE172*(1+'Calc base'!S173),2)-U173-'Calc base'!AE173)</f>
        <v>0</v>
      </c>
      <c r="AH173">
        <f>IF('Calc base'!C$14=0,0,MIN(V173,MAX(0,$E173-SUMPRODUCT($V173:$AG173,'Calc base'!$C$14:$N$14,('Calc base'!$H173:$S173&gt;'Calc base'!H173)+('Calc base'!$H173:$S173='Calc base'!H173)*('Calc base'!$C$17:$N$17&lt;'Calc base'!C$17)))))</f>
        <v>0</v>
      </c>
      <c r="AI173">
        <f>IF('Calc base'!D$14=0,0,MIN(W173,MAX(0,$E173-SUMPRODUCT($V173:$AG173,'Calc base'!$C$14:$N$14,('Calc base'!$H173:$S173&gt;'Calc base'!I173)+('Calc base'!$H173:$S173='Calc base'!I173)*('Calc base'!$C$17:$N$17&lt;'Calc base'!D$17)))))</f>
        <v>0</v>
      </c>
      <c r="AJ173">
        <f>IF('Calc base'!E$14=0,0,MIN(X173,MAX(0,$E173-SUMPRODUCT($V173:$AG173,'Calc base'!$C$14:$N$14,('Calc base'!$H173:$S173&gt;'Calc base'!J173)+('Calc base'!$H173:$S173='Calc base'!J173)*('Calc base'!$C$17:$N$17&lt;'Calc base'!E$17)))))</f>
        <v>0</v>
      </c>
      <c r="AK173">
        <f>IF('Calc base'!F$14=0,0,MIN(Y173,MAX(0,$E173-SUMPRODUCT($V173:$AG173,'Calc base'!$C$14:$N$14,('Calc base'!$H173:$S173&gt;'Calc base'!K173)+('Calc base'!$H173:$S173='Calc base'!K173)*('Calc base'!$C$17:$N$17&lt;'Calc base'!F$17)))))</f>
        <v>0</v>
      </c>
      <c r="AL173">
        <f>IF('Calc base'!G$14=0,0,MIN(Z173,MAX(0,$E173-SUMPRODUCT($V173:$AG173,'Calc base'!$C$14:$N$14,('Calc base'!$H173:$S173&gt;'Calc base'!L173)+('Calc base'!$H173:$S173='Calc base'!L173)*('Calc base'!$C$17:$N$17&lt;'Calc base'!G$17)))))</f>
        <v>0</v>
      </c>
      <c r="AM173">
        <f>IF('Calc base'!H$14=0,0,MIN(AA173,MAX(0,$E173-SUMPRODUCT($V173:$AG173,'Calc base'!$C$14:$N$14,('Calc base'!$H173:$S173&gt;'Calc base'!M173)+('Calc base'!$H173:$S173='Calc base'!M173)*('Calc base'!$C$17:$N$17&lt;'Calc base'!H$17)))))</f>
        <v>0</v>
      </c>
      <c r="AN173">
        <f>IF('Calc base'!I$14=0,0,MIN(AB173,MAX(0,$E173-SUMPRODUCT($V173:$AG173,'Calc base'!$C$14:$N$14,('Calc base'!$H173:$S173&gt;'Calc base'!N173)+('Calc base'!$H173:$S173='Calc base'!N173)*('Calc base'!$C$17:$N$17&lt;'Calc base'!I$17)))))</f>
        <v>0</v>
      </c>
      <c r="AO173">
        <f>IF('Calc base'!J$14=0,0,MIN(AC173,MAX(0,$E173-SUMPRODUCT($V173:$AG173,'Calc base'!$C$14:$N$14,('Calc base'!$H173:$S173&gt;'Calc base'!O173)+('Calc base'!$H173:$S173='Calc base'!O173)*('Calc base'!$C$17:$N$17&lt;'Calc base'!J$17)))))</f>
        <v>0</v>
      </c>
      <c r="AP173">
        <f>IF('Calc base'!K$14=0,0,MIN(AD173,MAX(0,$E173-SUMPRODUCT($V173:$AG173,'Calc base'!$C$14:$N$14,('Calc base'!$H173:$S173&gt;'Calc base'!P173)+('Calc base'!$H173:$S173='Calc base'!P173)*('Calc base'!$C$17:$N$17&lt;'Calc base'!K$17)))))</f>
        <v>0</v>
      </c>
      <c r="AQ173">
        <f>IF('Calc base'!L$14=0,0,MIN(AE173,MAX(0,$E173-SUMPRODUCT($V173:$AG173,'Calc base'!$C$14:$N$14,('Calc base'!$H173:$S173&gt;'Calc base'!Q173)+('Calc base'!$H173:$S173='Calc base'!Q173)*('Calc base'!$C$17:$N$17&lt;'Calc base'!L$17)))))</f>
        <v>0</v>
      </c>
      <c r="AR173">
        <f>IF('Calc base'!M$14=0,0,MIN(AF173,MAX(0,$E173-SUMPRODUCT($V173:$AG173,'Calc base'!$C$14:$N$14,('Calc base'!$H173:$S173&gt;'Calc base'!R173)+('Calc base'!$H173:$S173='Calc base'!R173)*('Calc base'!$C$17:$N$17&lt;'Calc base'!M$17)))))</f>
        <v>0</v>
      </c>
      <c r="AS173">
        <f>IF('Calc base'!N$14=0,0,MIN(AG173,MAX(0,$E173-SUMPRODUCT($V173:$AG173,'Calc base'!$C$14:$N$14,('Calc base'!$H173:$S173&gt;'Calc base'!S173)+('Calc base'!$H173:$S173='Calc base'!S173)*('Calc base'!$C$17:$N$17&lt;'Calc base'!N$17)))))</f>
        <v>0</v>
      </c>
      <c r="AT173">
        <f>V173-AH173</f>
        <v>0</v>
      </c>
      <c r="AU173">
        <f>W173-AI173</f>
        <v>0</v>
      </c>
      <c r="AV173">
        <f>X173-AJ173</f>
        <v>0</v>
      </c>
      <c r="AW173">
        <f>Y173-AK173</f>
        <v>0</v>
      </c>
      <c r="AX173">
        <f>Z173-AL173</f>
        <v>0</v>
      </c>
      <c r="AY173">
        <f>AA173-AM173</f>
        <v>0</v>
      </c>
      <c r="AZ173">
        <f>AB173-AN173</f>
        <v>0</v>
      </c>
      <c r="BA173">
        <f>AC173-AO173</f>
        <v>0</v>
      </c>
      <c r="BB173">
        <f>AD173-AP173</f>
        <v>0</v>
      </c>
      <c r="BC173">
        <f>AE173-AQ173</f>
        <v>0</v>
      </c>
      <c r="BD173">
        <f>AF173-AR173</f>
        <v>0</v>
      </c>
      <c r="BE173">
        <f>AG173-AS173</f>
        <v>0</v>
      </c>
    </row>
    <row r="174">
      <c r="A174" t="n">
        <v>144</v>
      </c>
      <c r="B174">
        <f>SUMPRODUCT(ROUND($AT173:$BE173*(1+'Calc base'!$H174:$S174),2))</f>
        <v>0</v>
      </c>
      <c r="C174">
        <f>SUM(J174:U174)</f>
        <v>0</v>
      </c>
      <c r="D174">
        <f>SUM(V174:AG174)</f>
        <v>0</v>
      </c>
      <c r="E174">
        <f>MAX(0,IF(Impostazioni!$B$7="No",'Calc base'!$C174-$C$31,'Calc base'!$C174-C174)+'Calc base'!$G174+'Calc base'!$F174-(B174-C174-D174))</f>
        <v>900</v>
      </c>
      <c r="F174">
        <f>SUM(AH174:AS174)</f>
        <v>0</v>
      </c>
      <c r="G174">
        <f>SUM(AT174:BE174)</f>
        <v>0</v>
      </c>
      <c r="H174">
        <f>B174-G173</f>
        <v>0</v>
      </c>
      <c r="I174">
        <f>B174-G174</f>
        <v>0</v>
      </c>
      <c r="J174">
        <f>IF(AT173&lt;=0,0,IF(ROUND(AT173*(1+'Calc base'!H174),2)-MAX('Calc base'!C$12,ROUND('Calc base'!C$13*AT173,2))&lt;1,ROUND(AT173*(1+'Calc base'!H174),2),MAX('Calc base'!C$12,ROUND('Calc base'!C$13*AT173,2))))</f>
        <v>0</v>
      </c>
      <c r="K174">
        <f>IF(AU173&lt;=0,0,IF(ROUND(AU173*(1+'Calc base'!I174),2)-MAX('Calc base'!D$12,ROUND('Calc base'!D$13*AU173,2))&lt;1,ROUND(AU173*(1+'Calc base'!I174),2),MAX('Calc base'!D$12,ROUND('Calc base'!D$13*AU173,2))))</f>
        <v>0</v>
      </c>
      <c r="L174">
        <f>IF(AV173&lt;=0,0,IF(ROUND(AV173*(1+'Calc base'!J174),2)-MAX('Calc base'!E$12,ROUND('Calc base'!E$13*AV173,2))&lt;1,ROUND(AV173*(1+'Calc base'!J174),2),MAX('Calc base'!E$12,ROUND('Calc base'!E$13*AV173,2))))</f>
        <v>0</v>
      </c>
      <c r="M174">
        <f>IF(AW173&lt;=0,0,IF(ROUND(AW173*(1+'Calc base'!K174),2)-MAX('Calc base'!F$12,ROUND('Calc base'!F$13*AW173,2))&lt;1,ROUND(AW173*(1+'Calc base'!K174),2),MAX('Calc base'!F$12,ROUND('Calc base'!F$13*AW173,2))))</f>
        <v>0</v>
      </c>
      <c r="N174">
        <f>IF(AX173&lt;=0,0,IF(ROUND(AX173*(1+'Calc base'!L174),2)-MAX('Calc base'!G$12,ROUND('Calc base'!G$13*AX173,2))&lt;1,ROUND(AX173*(1+'Calc base'!L174),2),MAX('Calc base'!G$12,ROUND('Calc base'!G$13*AX173,2))))</f>
        <v>0</v>
      </c>
      <c r="O174">
        <f>IF(AY173&lt;=0,0,IF(ROUND(AY173*(1+'Calc base'!M174),2)-MAX('Calc base'!H$12,ROUND('Calc base'!H$13*AY173,2))&lt;1,ROUND(AY173*(1+'Calc base'!M174),2),MAX('Calc base'!H$12,ROUND('Calc base'!H$13*AY173,2))))</f>
        <v>0</v>
      </c>
      <c r="P174">
        <f>IF(AZ173&lt;=0,0,IF(ROUND(AZ173*(1+'Calc base'!N174),2)-MAX('Calc base'!I$12,ROUND('Calc base'!I$13*AZ173,2))&lt;1,ROUND(AZ173*(1+'Calc base'!N174),2),MAX('Calc base'!I$12,ROUND('Calc base'!I$13*AZ173,2))))</f>
        <v>0</v>
      </c>
      <c r="Q174">
        <f>IF(BA173&lt;=0,0,IF(ROUND(BA173*(1+'Calc base'!O174),2)-MAX('Calc base'!J$12,ROUND('Calc base'!J$13*BA173,2))&lt;1,ROUND(BA173*(1+'Calc base'!O174),2),MAX('Calc base'!J$12,ROUND('Calc base'!J$13*BA173,2))))</f>
        <v>0</v>
      </c>
      <c r="R174">
        <f>IF(BB173&lt;=0,0,IF(ROUND(BB173*(1+'Calc base'!P174),2)-MAX('Calc base'!K$12,ROUND('Calc base'!K$13*BB173,2))&lt;1,ROUND(BB173*(1+'Calc base'!P174),2),MAX('Calc base'!K$12,ROUND('Calc base'!K$13*BB173,2))))</f>
        <v>0</v>
      </c>
      <c r="S174">
        <f>IF(BC173&lt;=0,0,IF(ROUND(BC173*(1+'Calc base'!Q174),2)-MAX('Calc base'!L$12,ROUND('Calc base'!L$13*BC173,2))&lt;1,ROUND(BC173*(1+'Calc base'!Q174),2),MAX('Calc base'!L$12,ROUND('Calc base'!L$13*BC173,2))))</f>
        <v>0</v>
      </c>
      <c r="T174">
        <f>IF(BD173&lt;=0,0,IF(ROUND(BD173*(1+'Calc base'!R174),2)-MAX('Calc base'!M$12,ROUND('Calc base'!M$13*BD173,2))&lt;1,ROUND(BD173*(1+'Calc base'!R174),2),MAX('Calc base'!M$12,ROUND('Calc base'!M$13*BD173,2))))</f>
        <v>0</v>
      </c>
      <c r="U174">
        <f>IF(BE173&lt;=0,0,IF(ROUND(BE173*(1+'Calc base'!S174),2)-MAX('Calc base'!N$12,ROUND('Calc base'!N$13*BE173,2))&lt;1,ROUND(BE173*(1+'Calc base'!S174),2),MAX('Calc base'!N$12,ROUND('Calc base'!N$13*BE173,2))))</f>
        <v>0</v>
      </c>
      <c r="V174">
        <f>MAX(0,ROUND(AT173*(1+'Calc base'!H174),2)-J174-'Calc base'!T174)</f>
        <v>0</v>
      </c>
      <c r="W174">
        <f>MAX(0,ROUND(AU173*(1+'Calc base'!I174),2)-K174-'Calc base'!U174)</f>
        <v>0</v>
      </c>
      <c r="X174">
        <f>MAX(0,ROUND(AV173*(1+'Calc base'!J174),2)-L174-'Calc base'!V174)</f>
        <v>0</v>
      </c>
      <c r="Y174">
        <f>MAX(0,ROUND(AW173*(1+'Calc base'!K174),2)-M174-'Calc base'!W174)</f>
        <v>0</v>
      </c>
      <c r="Z174">
        <f>MAX(0,ROUND(AX173*(1+'Calc base'!L174),2)-N174-'Calc base'!X174)</f>
        <v>0</v>
      </c>
      <c r="AA174">
        <f>MAX(0,ROUND(AY173*(1+'Calc base'!M174),2)-O174-'Calc base'!Y174)</f>
        <v>0</v>
      </c>
      <c r="AB174">
        <f>MAX(0,ROUND(AZ173*(1+'Calc base'!N174),2)-P174-'Calc base'!Z174)</f>
        <v>0</v>
      </c>
      <c r="AC174">
        <f>MAX(0,ROUND(BA173*(1+'Calc base'!O174),2)-Q174-'Calc base'!AA174)</f>
        <v>0</v>
      </c>
      <c r="AD174">
        <f>MAX(0,ROUND(BB173*(1+'Calc base'!P174),2)-R174-'Calc base'!AB174)</f>
        <v>0</v>
      </c>
      <c r="AE174">
        <f>MAX(0,ROUND(BC173*(1+'Calc base'!Q174),2)-S174-'Calc base'!AC174)</f>
        <v>0</v>
      </c>
      <c r="AF174">
        <f>MAX(0,ROUND(BD173*(1+'Calc base'!R174),2)-T174-'Calc base'!AD174)</f>
        <v>0</v>
      </c>
      <c r="AG174">
        <f>MAX(0,ROUND(BE173*(1+'Calc base'!S174),2)-U174-'Calc base'!AE174)</f>
        <v>0</v>
      </c>
      <c r="AH174">
        <f>IF('Calc base'!C$14=0,0,MIN(V174,MAX(0,$E174-SUMPRODUCT($V174:$AG174,'Calc base'!$C$14:$N$14,('Calc base'!$H174:$S174&gt;'Calc base'!H174)+('Calc base'!$H174:$S174='Calc base'!H174)*('Calc base'!$C$17:$N$17&lt;'Calc base'!C$17)))))</f>
        <v>0</v>
      </c>
      <c r="AI174">
        <f>IF('Calc base'!D$14=0,0,MIN(W174,MAX(0,$E174-SUMPRODUCT($V174:$AG174,'Calc base'!$C$14:$N$14,('Calc base'!$H174:$S174&gt;'Calc base'!I174)+('Calc base'!$H174:$S174='Calc base'!I174)*('Calc base'!$C$17:$N$17&lt;'Calc base'!D$17)))))</f>
        <v>0</v>
      </c>
      <c r="AJ174">
        <f>IF('Calc base'!E$14=0,0,MIN(X174,MAX(0,$E174-SUMPRODUCT($V174:$AG174,'Calc base'!$C$14:$N$14,('Calc base'!$H174:$S174&gt;'Calc base'!J174)+('Calc base'!$H174:$S174='Calc base'!J174)*('Calc base'!$C$17:$N$17&lt;'Calc base'!E$17)))))</f>
        <v>0</v>
      </c>
      <c r="AK174">
        <f>IF('Calc base'!F$14=0,0,MIN(Y174,MAX(0,$E174-SUMPRODUCT($V174:$AG174,'Calc base'!$C$14:$N$14,('Calc base'!$H174:$S174&gt;'Calc base'!K174)+('Calc base'!$H174:$S174='Calc base'!K174)*('Calc base'!$C$17:$N$17&lt;'Calc base'!F$17)))))</f>
        <v>0</v>
      </c>
      <c r="AL174">
        <f>IF('Calc base'!G$14=0,0,MIN(Z174,MAX(0,$E174-SUMPRODUCT($V174:$AG174,'Calc base'!$C$14:$N$14,('Calc base'!$H174:$S174&gt;'Calc base'!L174)+('Calc base'!$H174:$S174='Calc base'!L174)*('Calc base'!$C$17:$N$17&lt;'Calc base'!G$17)))))</f>
        <v>0</v>
      </c>
      <c r="AM174">
        <f>IF('Calc base'!H$14=0,0,MIN(AA174,MAX(0,$E174-SUMPRODUCT($V174:$AG174,'Calc base'!$C$14:$N$14,('Calc base'!$H174:$S174&gt;'Calc base'!M174)+('Calc base'!$H174:$S174='Calc base'!M174)*('Calc base'!$C$17:$N$17&lt;'Calc base'!H$17)))))</f>
        <v>0</v>
      </c>
      <c r="AN174">
        <f>IF('Calc base'!I$14=0,0,MIN(AB174,MAX(0,$E174-SUMPRODUCT($V174:$AG174,'Calc base'!$C$14:$N$14,('Calc base'!$H174:$S174&gt;'Calc base'!N174)+('Calc base'!$H174:$S174='Calc base'!N174)*('Calc base'!$C$17:$N$17&lt;'Calc base'!I$17)))))</f>
        <v>0</v>
      </c>
      <c r="AO174">
        <f>IF('Calc base'!J$14=0,0,MIN(AC174,MAX(0,$E174-SUMPRODUCT($V174:$AG174,'Calc base'!$C$14:$N$14,('Calc base'!$H174:$S174&gt;'Calc base'!O174)+('Calc base'!$H174:$S174='Calc base'!O174)*('Calc base'!$C$17:$N$17&lt;'Calc base'!J$17)))))</f>
        <v>0</v>
      </c>
      <c r="AP174">
        <f>IF('Calc base'!K$14=0,0,MIN(AD174,MAX(0,$E174-SUMPRODUCT($V174:$AG174,'Calc base'!$C$14:$N$14,('Calc base'!$H174:$S174&gt;'Calc base'!P174)+('Calc base'!$H174:$S174='Calc base'!P174)*('Calc base'!$C$17:$N$17&lt;'Calc base'!K$17)))))</f>
        <v>0</v>
      </c>
      <c r="AQ174">
        <f>IF('Calc base'!L$14=0,0,MIN(AE174,MAX(0,$E174-SUMPRODUCT($V174:$AG174,'Calc base'!$C$14:$N$14,('Calc base'!$H174:$S174&gt;'Calc base'!Q174)+('Calc base'!$H174:$S174='Calc base'!Q174)*('Calc base'!$C$17:$N$17&lt;'Calc base'!L$17)))))</f>
        <v>0</v>
      </c>
      <c r="AR174">
        <f>IF('Calc base'!M$14=0,0,MIN(AF174,MAX(0,$E174-SUMPRODUCT($V174:$AG174,'Calc base'!$C$14:$N$14,('Calc base'!$H174:$S174&gt;'Calc base'!R174)+('Calc base'!$H174:$S174='Calc base'!R174)*('Calc base'!$C$17:$N$17&lt;'Calc base'!M$17)))))</f>
        <v>0</v>
      </c>
      <c r="AS174">
        <f>IF('Calc base'!N$14=0,0,MIN(AG174,MAX(0,$E174-SUMPRODUCT($V174:$AG174,'Calc base'!$C$14:$N$14,('Calc base'!$H174:$S174&gt;'Calc base'!S174)+('Calc base'!$H174:$S174='Calc base'!S174)*('Calc base'!$C$17:$N$17&lt;'Calc base'!N$17)))))</f>
        <v>0</v>
      </c>
      <c r="AT174">
        <f>V174-AH174</f>
        <v>0</v>
      </c>
      <c r="AU174">
        <f>W174-AI174</f>
        <v>0</v>
      </c>
      <c r="AV174">
        <f>X174-AJ174</f>
        <v>0</v>
      </c>
      <c r="AW174">
        <f>Y174-AK174</f>
        <v>0</v>
      </c>
      <c r="AX174">
        <f>Z174-AL174</f>
        <v>0</v>
      </c>
      <c r="AY174">
        <f>AA174-AM174</f>
        <v>0</v>
      </c>
      <c r="AZ174">
        <f>AB174-AN174</f>
        <v>0</v>
      </c>
      <c r="BA174">
        <f>AC174-AO174</f>
        <v>0</v>
      </c>
      <c r="BB174">
        <f>AD174-AP174</f>
        <v>0</v>
      </c>
      <c r="BC174">
        <f>AE174-AQ174</f>
        <v>0</v>
      </c>
      <c r="BD174">
        <f>AF174-AR174</f>
        <v>0</v>
      </c>
      <c r="BE174">
        <f>AG174-AS174</f>
        <v>0</v>
      </c>
    </row>
    <row r="175">
      <c r="A175" t="n">
        <v>145</v>
      </c>
      <c r="B175">
        <f>SUMPRODUCT(ROUND($AT174:$BE174*(1+'Calc base'!$H175:$S175),2))</f>
        <v>0</v>
      </c>
      <c r="C175">
        <f>SUM(J175:U175)</f>
        <v>0</v>
      </c>
      <c r="D175">
        <f>SUM(V175:AG175)</f>
        <v>0</v>
      </c>
      <c r="E175">
        <f>MAX(0,IF(Impostazioni!$B$7="No",'Calc base'!$C175-$C$31,'Calc base'!$C175-C175)+'Calc base'!$G175+'Calc base'!$F175-(B175-C175-D175))</f>
        <v>900</v>
      </c>
      <c r="F175">
        <f>SUM(AH175:AS175)</f>
        <v>0</v>
      </c>
      <c r="G175">
        <f>SUM(AT175:BE175)</f>
        <v>0</v>
      </c>
      <c r="H175">
        <f>B175-G174</f>
        <v>0</v>
      </c>
      <c r="I175">
        <f>B175-G175</f>
        <v>0</v>
      </c>
      <c r="J175">
        <f>IF(AT174&lt;=0,0,IF(ROUND(AT174*(1+'Calc base'!H175),2)-MAX('Calc base'!C$12,ROUND('Calc base'!C$13*AT174,2))&lt;1,ROUND(AT174*(1+'Calc base'!H175),2),MAX('Calc base'!C$12,ROUND('Calc base'!C$13*AT174,2))))</f>
        <v>0</v>
      </c>
      <c r="K175">
        <f>IF(AU174&lt;=0,0,IF(ROUND(AU174*(1+'Calc base'!I175),2)-MAX('Calc base'!D$12,ROUND('Calc base'!D$13*AU174,2))&lt;1,ROUND(AU174*(1+'Calc base'!I175),2),MAX('Calc base'!D$12,ROUND('Calc base'!D$13*AU174,2))))</f>
        <v>0</v>
      </c>
      <c r="L175">
        <f>IF(AV174&lt;=0,0,IF(ROUND(AV174*(1+'Calc base'!J175),2)-MAX('Calc base'!E$12,ROUND('Calc base'!E$13*AV174,2))&lt;1,ROUND(AV174*(1+'Calc base'!J175),2),MAX('Calc base'!E$12,ROUND('Calc base'!E$13*AV174,2))))</f>
        <v>0</v>
      </c>
      <c r="M175">
        <f>IF(AW174&lt;=0,0,IF(ROUND(AW174*(1+'Calc base'!K175),2)-MAX('Calc base'!F$12,ROUND('Calc base'!F$13*AW174,2))&lt;1,ROUND(AW174*(1+'Calc base'!K175),2),MAX('Calc base'!F$12,ROUND('Calc base'!F$13*AW174,2))))</f>
        <v>0</v>
      </c>
      <c r="N175">
        <f>IF(AX174&lt;=0,0,IF(ROUND(AX174*(1+'Calc base'!L175),2)-MAX('Calc base'!G$12,ROUND('Calc base'!G$13*AX174,2))&lt;1,ROUND(AX174*(1+'Calc base'!L175),2),MAX('Calc base'!G$12,ROUND('Calc base'!G$13*AX174,2))))</f>
        <v>0</v>
      </c>
      <c r="O175">
        <f>IF(AY174&lt;=0,0,IF(ROUND(AY174*(1+'Calc base'!M175),2)-MAX('Calc base'!H$12,ROUND('Calc base'!H$13*AY174,2))&lt;1,ROUND(AY174*(1+'Calc base'!M175),2),MAX('Calc base'!H$12,ROUND('Calc base'!H$13*AY174,2))))</f>
        <v>0</v>
      </c>
      <c r="P175">
        <f>IF(AZ174&lt;=0,0,IF(ROUND(AZ174*(1+'Calc base'!N175),2)-MAX('Calc base'!I$12,ROUND('Calc base'!I$13*AZ174,2))&lt;1,ROUND(AZ174*(1+'Calc base'!N175),2),MAX('Calc base'!I$12,ROUND('Calc base'!I$13*AZ174,2))))</f>
        <v>0</v>
      </c>
      <c r="Q175">
        <f>IF(BA174&lt;=0,0,IF(ROUND(BA174*(1+'Calc base'!O175),2)-MAX('Calc base'!J$12,ROUND('Calc base'!J$13*BA174,2))&lt;1,ROUND(BA174*(1+'Calc base'!O175),2),MAX('Calc base'!J$12,ROUND('Calc base'!J$13*BA174,2))))</f>
        <v>0</v>
      </c>
      <c r="R175">
        <f>IF(BB174&lt;=0,0,IF(ROUND(BB174*(1+'Calc base'!P175),2)-MAX('Calc base'!K$12,ROUND('Calc base'!K$13*BB174,2))&lt;1,ROUND(BB174*(1+'Calc base'!P175),2),MAX('Calc base'!K$12,ROUND('Calc base'!K$13*BB174,2))))</f>
        <v>0</v>
      </c>
      <c r="S175">
        <f>IF(BC174&lt;=0,0,IF(ROUND(BC174*(1+'Calc base'!Q175),2)-MAX('Calc base'!L$12,ROUND('Calc base'!L$13*BC174,2))&lt;1,ROUND(BC174*(1+'Calc base'!Q175),2),MAX('Calc base'!L$12,ROUND('Calc base'!L$13*BC174,2))))</f>
        <v>0</v>
      </c>
      <c r="T175">
        <f>IF(BD174&lt;=0,0,IF(ROUND(BD174*(1+'Calc base'!R175),2)-MAX('Calc base'!M$12,ROUND('Calc base'!M$13*BD174,2))&lt;1,ROUND(BD174*(1+'Calc base'!R175),2),MAX('Calc base'!M$12,ROUND('Calc base'!M$13*BD174,2))))</f>
        <v>0</v>
      </c>
      <c r="U175">
        <f>IF(BE174&lt;=0,0,IF(ROUND(BE174*(1+'Calc base'!S175),2)-MAX('Calc base'!N$12,ROUND('Calc base'!N$13*BE174,2))&lt;1,ROUND(BE174*(1+'Calc base'!S175),2),MAX('Calc base'!N$12,ROUND('Calc base'!N$13*BE174,2))))</f>
        <v>0</v>
      </c>
      <c r="V175">
        <f>MAX(0,ROUND(AT174*(1+'Calc base'!H175),2)-J175-'Calc base'!T175)</f>
        <v>0</v>
      </c>
      <c r="W175">
        <f>MAX(0,ROUND(AU174*(1+'Calc base'!I175),2)-K175-'Calc base'!U175)</f>
        <v>0</v>
      </c>
      <c r="X175">
        <f>MAX(0,ROUND(AV174*(1+'Calc base'!J175),2)-L175-'Calc base'!V175)</f>
        <v>0</v>
      </c>
      <c r="Y175">
        <f>MAX(0,ROUND(AW174*(1+'Calc base'!K175),2)-M175-'Calc base'!W175)</f>
        <v>0</v>
      </c>
      <c r="Z175">
        <f>MAX(0,ROUND(AX174*(1+'Calc base'!L175),2)-N175-'Calc base'!X175)</f>
        <v>0</v>
      </c>
      <c r="AA175">
        <f>MAX(0,ROUND(AY174*(1+'Calc base'!M175),2)-O175-'Calc base'!Y175)</f>
        <v>0</v>
      </c>
      <c r="AB175">
        <f>MAX(0,ROUND(AZ174*(1+'Calc base'!N175),2)-P175-'Calc base'!Z175)</f>
        <v>0</v>
      </c>
      <c r="AC175">
        <f>MAX(0,ROUND(BA174*(1+'Calc base'!O175),2)-Q175-'Calc base'!AA175)</f>
        <v>0</v>
      </c>
      <c r="AD175">
        <f>MAX(0,ROUND(BB174*(1+'Calc base'!P175),2)-R175-'Calc base'!AB175)</f>
        <v>0</v>
      </c>
      <c r="AE175">
        <f>MAX(0,ROUND(BC174*(1+'Calc base'!Q175),2)-S175-'Calc base'!AC175)</f>
        <v>0</v>
      </c>
      <c r="AF175">
        <f>MAX(0,ROUND(BD174*(1+'Calc base'!R175),2)-T175-'Calc base'!AD175)</f>
        <v>0</v>
      </c>
      <c r="AG175">
        <f>MAX(0,ROUND(BE174*(1+'Calc base'!S175),2)-U175-'Calc base'!AE175)</f>
        <v>0</v>
      </c>
      <c r="AH175">
        <f>IF('Calc base'!C$14=0,0,MIN(V175,MAX(0,$E175-SUMPRODUCT($V175:$AG175,'Calc base'!$C$14:$N$14,('Calc base'!$H175:$S175&gt;'Calc base'!H175)+('Calc base'!$H175:$S175='Calc base'!H175)*('Calc base'!$C$17:$N$17&lt;'Calc base'!C$17)))))</f>
        <v>0</v>
      </c>
      <c r="AI175">
        <f>IF('Calc base'!D$14=0,0,MIN(W175,MAX(0,$E175-SUMPRODUCT($V175:$AG175,'Calc base'!$C$14:$N$14,('Calc base'!$H175:$S175&gt;'Calc base'!I175)+('Calc base'!$H175:$S175='Calc base'!I175)*('Calc base'!$C$17:$N$17&lt;'Calc base'!D$17)))))</f>
        <v>0</v>
      </c>
      <c r="AJ175">
        <f>IF('Calc base'!E$14=0,0,MIN(X175,MAX(0,$E175-SUMPRODUCT($V175:$AG175,'Calc base'!$C$14:$N$14,('Calc base'!$H175:$S175&gt;'Calc base'!J175)+('Calc base'!$H175:$S175='Calc base'!J175)*('Calc base'!$C$17:$N$17&lt;'Calc base'!E$17)))))</f>
        <v>0</v>
      </c>
      <c r="AK175">
        <f>IF('Calc base'!F$14=0,0,MIN(Y175,MAX(0,$E175-SUMPRODUCT($V175:$AG175,'Calc base'!$C$14:$N$14,('Calc base'!$H175:$S175&gt;'Calc base'!K175)+('Calc base'!$H175:$S175='Calc base'!K175)*('Calc base'!$C$17:$N$17&lt;'Calc base'!F$17)))))</f>
        <v>0</v>
      </c>
      <c r="AL175">
        <f>IF('Calc base'!G$14=0,0,MIN(Z175,MAX(0,$E175-SUMPRODUCT($V175:$AG175,'Calc base'!$C$14:$N$14,('Calc base'!$H175:$S175&gt;'Calc base'!L175)+('Calc base'!$H175:$S175='Calc base'!L175)*('Calc base'!$C$17:$N$17&lt;'Calc base'!G$17)))))</f>
        <v>0</v>
      </c>
      <c r="AM175">
        <f>IF('Calc base'!H$14=0,0,MIN(AA175,MAX(0,$E175-SUMPRODUCT($V175:$AG175,'Calc base'!$C$14:$N$14,('Calc base'!$H175:$S175&gt;'Calc base'!M175)+('Calc base'!$H175:$S175='Calc base'!M175)*('Calc base'!$C$17:$N$17&lt;'Calc base'!H$17)))))</f>
        <v>0</v>
      </c>
      <c r="AN175">
        <f>IF('Calc base'!I$14=0,0,MIN(AB175,MAX(0,$E175-SUMPRODUCT($V175:$AG175,'Calc base'!$C$14:$N$14,('Calc base'!$H175:$S175&gt;'Calc base'!N175)+('Calc base'!$H175:$S175='Calc base'!N175)*('Calc base'!$C$17:$N$17&lt;'Calc base'!I$17)))))</f>
        <v>0</v>
      </c>
      <c r="AO175">
        <f>IF('Calc base'!J$14=0,0,MIN(AC175,MAX(0,$E175-SUMPRODUCT($V175:$AG175,'Calc base'!$C$14:$N$14,('Calc base'!$H175:$S175&gt;'Calc base'!O175)+('Calc base'!$H175:$S175='Calc base'!O175)*('Calc base'!$C$17:$N$17&lt;'Calc base'!J$17)))))</f>
        <v>0</v>
      </c>
      <c r="AP175">
        <f>IF('Calc base'!K$14=0,0,MIN(AD175,MAX(0,$E175-SUMPRODUCT($V175:$AG175,'Calc base'!$C$14:$N$14,('Calc base'!$H175:$S175&gt;'Calc base'!P175)+('Calc base'!$H175:$S175='Calc base'!P175)*('Calc base'!$C$17:$N$17&lt;'Calc base'!K$17)))))</f>
        <v>0</v>
      </c>
      <c r="AQ175">
        <f>IF('Calc base'!L$14=0,0,MIN(AE175,MAX(0,$E175-SUMPRODUCT($V175:$AG175,'Calc base'!$C$14:$N$14,('Calc base'!$H175:$S175&gt;'Calc base'!Q175)+('Calc base'!$H175:$S175='Calc base'!Q175)*('Calc base'!$C$17:$N$17&lt;'Calc base'!L$17)))))</f>
        <v>0</v>
      </c>
      <c r="AR175">
        <f>IF('Calc base'!M$14=0,0,MIN(AF175,MAX(0,$E175-SUMPRODUCT($V175:$AG175,'Calc base'!$C$14:$N$14,('Calc base'!$H175:$S175&gt;'Calc base'!R175)+('Calc base'!$H175:$S175='Calc base'!R175)*('Calc base'!$C$17:$N$17&lt;'Calc base'!M$17)))))</f>
        <v>0</v>
      </c>
      <c r="AS175">
        <f>IF('Calc base'!N$14=0,0,MIN(AG175,MAX(0,$E175-SUMPRODUCT($V175:$AG175,'Calc base'!$C$14:$N$14,('Calc base'!$H175:$S175&gt;'Calc base'!S175)+('Calc base'!$H175:$S175='Calc base'!S175)*('Calc base'!$C$17:$N$17&lt;'Calc base'!N$17)))))</f>
        <v>0</v>
      </c>
      <c r="AT175">
        <f>V175-AH175</f>
        <v>0</v>
      </c>
      <c r="AU175">
        <f>W175-AI175</f>
        <v>0</v>
      </c>
      <c r="AV175">
        <f>X175-AJ175</f>
        <v>0</v>
      </c>
      <c r="AW175">
        <f>Y175-AK175</f>
        <v>0</v>
      </c>
      <c r="AX175">
        <f>Z175-AL175</f>
        <v>0</v>
      </c>
      <c r="AY175">
        <f>AA175-AM175</f>
        <v>0</v>
      </c>
      <c r="AZ175">
        <f>AB175-AN175</f>
        <v>0</v>
      </c>
      <c r="BA175">
        <f>AC175-AO175</f>
        <v>0</v>
      </c>
      <c r="BB175">
        <f>AD175-AP175</f>
        <v>0</v>
      </c>
      <c r="BC175">
        <f>AE175-AQ175</f>
        <v>0</v>
      </c>
      <c r="BD175">
        <f>AF175-AR175</f>
        <v>0</v>
      </c>
      <c r="BE175">
        <f>AG175-AS175</f>
        <v>0</v>
      </c>
    </row>
    <row r="176">
      <c r="A176" t="n">
        <v>146</v>
      </c>
      <c r="B176">
        <f>SUMPRODUCT(ROUND($AT175:$BE175*(1+'Calc base'!$H176:$S176),2))</f>
        <v>0</v>
      </c>
      <c r="C176">
        <f>SUM(J176:U176)</f>
        <v>0</v>
      </c>
      <c r="D176">
        <f>SUM(V176:AG176)</f>
        <v>0</v>
      </c>
      <c r="E176">
        <f>MAX(0,IF(Impostazioni!$B$7="No",'Calc base'!$C176-$C$31,'Calc base'!$C176-C176)+'Calc base'!$G176+'Calc base'!$F176-(B176-C176-D176))</f>
        <v>900</v>
      </c>
      <c r="F176">
        <f>SUM(AH176:AS176)</f>
        <v>0</v>
      </c>
      <c r="G176">
        <f>SUM(AT176:BE176)</f>
        <v>0</v>
      </c>
      <c r="H176">
        <f>B176-G175</f>
        <v>0</v>
      </c>
      <c r="I176">
        <f>B176-G176</f>
        <v>0</v>
      </c>
      <c r="J176">
        <f>IF(AT175&lt;=0,0,IF(ROUND(AT175*(1+'Calc base'!H176),2)-MAX('Calc base'!C$12,ROUND('Calc base'!C$13*AT175,2))&lt;1,ROUND(AT175*(1+'Calc base'!H176),2),MAX('Calc base'!C$12,ROUND('Calc base'!C$13*AT175,2))))</f>
        <v>0</v>
      </c>
      <c r="K176">
        <f>IF(AU175&lt;=0,0,IF(ROUND(AU175*(1+'Calc base'!I176),2)-MAX('Calc base'!D$12,ROUND('Calc base'!D$13*AU175,2))&lt;1,ROUND(AU175*(1+'Calc base'!I176),2),MAX('Calc base'!D$12,ROUND('Calc base'!D$13*AU175,2))))</f>
        <v>0</v>
      </c>
      <c r="L176">
        <f>IF(AV175&lt;=0,0,IF(ROUND(AV175*(1+'Calc base'!J176),2)-MAX('Calc base'!E$12,ROUND('Calc base'!E$13*AV175,2))&lt;1,ROUND(AV175*(1+'Calc base'!J176),2),MAX('Calc base'!E$12,ROUND('Calc base'!E$13*AV175,2))))</f>
        <v>0</v>
      </c>
      <c r="M176">
        <f>IF(AW175&lt;=0,0,IF(ROUND(AW175*(1+'Calc base'!K176),2)-MAX('Calc base'!F$12,ROUND('Calc base'!F$13*AW175,2))&lt;1,ROUND(AW175*(1+'Calc base'!K176),2),MAX('Calc base'!F$12,ROUND('Calc base'!F$13*AW175,2))))</f>
        <v>0</v>
      </c>
      <c r="N176">
        <f>IF(AX175&lt;=0,0,IF(ROUND(AX175*(1+'Calc base'!L176),2)-MAX('Calc base'!G$12,ROUND('Calc base'!G$13*AX175,2))&lt;1,ROUND(AX175*(1+'Calc base'!L176),2),MAX('Calc base'!G$12,ROUND('Calc base'!G$13*AX175,2))))</f>
        <v>0</v>
      </c>
      <c r="O176">
        <f>IF(AY175&lt;=0,0,IF(ROUND(AY175*(1+'Calc base'!M176),2)-MAX('Calc base'!H$12,ROUND('Calc base'!H$13*AY175,2))&lt;1,ROUND(AY175*(1+'Calc base'!M176),2),MAX('Calc base'!H$12,ROUND('Calc base'!H$13*AY175,2))))</f>
        <v>0</v>
      </c>
      <c r="P176">
        <f>IF(AZ175&lt;=0,0,IF(ROUND(AZ175*(1+'Calc base'!N176),2)-MAX('Calc base'!I$12,ROUND('Calc base'!I$13*AZ175,2))&lt;1,ROUND(AZ175*(1+'Calc base'!N176),2),MAX('Calc base'!I$12,ROUND('Calc base'!I$13*AZ175,2))))</f>
        <v>0</v>
      </c>
      <c r="Q176">
        <f>IF(BA175&lt;=0,0,IF(ROUND(BA175*(1+'Calc base'!O176),2)-MAX('Calc base'!J$12,ROUND('Calc base'!J$13*BA175,2))&lt;1,ROUND(BA175*(1+'Calc base'!O176),2),MAX('Calc base'!J$12,ROUND('Calc base'!J$13*BA175,2))))</f>
        <v>0</v>
      </c>
      <c r="R176">
        <f>IF(BB175&lt;=0,0,IF(ROUND(BB175*(1+'Calc base'!P176),2)-MAX('Calc base'!K$12,ROUND('Calc base'!K$13*BB175,2))&lt;1,ROUND(BB175*(1+'Calc base'!P176),2),MAX('Calc base'!K$12,ROUND('Calc base'!K$13*BB175,2))))</f>
        <v>0</v>
      </c>
      <c r="S176">
        <f>IF(BC175&lt;=0,0,IF(ROUND(BC175*(1+'Calc base'!Q176),2)-MAX('Calc base'!L$12,ROUND('Calc base'!L$13*BC175,2))&lt;1,ROUND(BC175*(1+'Calc base'!Q176),2),MAX('Calc base'!L$12,ROUND('Calc base'!L$13*BC175,2))))</f>
        <v>0</v>
      </c>
      <c r="T176">
        <f>IF(BD175&lt;=0,0,IF(ROUND(BD175*(1+'Calc base'!R176),2)-MAX('Calc base'!M$12,ROUND('Calc base'!M$13*BD175,2))&lt;1,ROUND(BD175*(1+'Calc base'!R176),2),MAX('Calc base'!M$12,ROUND('Calc base'!M$13*BD175,2))))</f>
        <v>0</v>
      </c>
      <c r="U176">
        <f>IF(BE175&lt;=0,0,IF(ROUND(BE175*(1+'Calc base'!S176),2)-MAX('Calc base'!N$12,ROUND('Calc base'!N$13*BE175,2))&lt;1,ROUND(BE175*(1+'Calc base'!S176),2),MAX('Calc base'!N$12,ROUND('Calc base'!N$13*BE175,2))))</f>
        <v>0</v>
      </c>
      <c r="V176">
        <f>MAX(0,ROUND(AT175*(1+'Calc base'!H176),2)-J176-'Calc base'!T176)</f>
        <v>0</v>
      </c>
      <c r="W176">
        <f>MAX(0,ROUND(AU175*(1+'Calc base'!I176),2)-K176-'Calc base'!U176)</f>
        <v>0</v>
      </c>
      <c r="X176">
        <f>MAX(0,ROUND(AV175*(1+'Calc base'!J176),2)-L176-'Calc base'!V176)</f>
        <v>0</v>
      </c>
      <c r="Y176">
        <f>MAX(0,ROUND(AW175*(1+'Calc base'!K176),2)-M176-'Calc base'!W176)</f>
        <v>0</v>
      </c>
      <c r="Z176">
        <f>MAX(0,ROUND(AX175*(1+'Calc base'!L176),2)-N176-'Calc base'!X176)</f>
        <v>0</v>
      </c>
      <c r="AA176">
        <f>MAX(0,ROUND(AY175*(1+'Calc base'!M176),2)-O176-'Calc base'!Y176)</f>
        <v>0</v>
      </c>
      <c r="AB176">
        <f>MAX(0,ROUND(AZ175*(1+'Calc base'!N176),2)-P176-'Calc base'!Z176)</f>
        <v>0</v>
      </c>
      <c r="AC176">
        <f>MAX(0,ROUND(BA175*(1+'Calc base'!O176),2)-Q176-'Calc base'!AA176)</f>
        <v>0</v>
      </c>
      <c r="AD176">
        <f>MAX(0,ROUND(BB175*(1+'Calc base'!P176),2)-R176-'Calc base'!AB176)</f>
        <v>0</v>
      </c>
      <c r="AE176">
        <f>MAX(0,ROUND(BC175*(1+'Calc base'!Q176),2)-S176-'Calc base'!AC176)</f>
        <v>0</v>
      </c>
      <c r="AF176">
        <f>MAX(0,ROUND(BD175*(1+'Calc base'!R176),2)-T176-'Calc base'!AD176)</f>
        <v>0</v>
      </c>
      <c r="AG176">
        <f>MAX(0,ROUND(BE175*(1+'Calc base'!S176),2)-U176-'Calc base'!AE176)</f>
        <v>0</v>
      </c>
      <c r="AH176">
        <f>IF('Calc base'!C$14=0,0,MIN(V176,MAX(0,$E176-SUMPRODUCT($V176:$AG176,'Calc base'!$C$14:$N$14,('Calc base'!$H176:$S176&gt;'Calc base'!H176)+('Calc base'!$H176:$S176='Calc base'!H176)*('Calc base'!$C$17:$N$17&lt;'Calc base'!C$17)))))</f>
        <v>0</v>
      </c>
      <c r="AI176">
        <f>IF('Calc base'!D$14=0,0,MIN(W176,MAX(0,$E176-SUMPRODUCT($V176:$AG176,'Calc base'!$C$14:$N$14,('Calc base'!$H176:$S176&gt;'Calc base'!I176)+('Calc base'!$H176:$S176='Calc base'!I176)*('Calc base'!$C$17:$N$17&lt;'Calc base'!D$17)))))</f>
        <v>0</v>
      </c>
      <c r="AJ176">
        <f>IF('Calc base'!E$14=0,0,MIN(X176,MAX(0,$E176-SUMPRODUCT($V176:$AG176,'Calc base'!$C$14:$N$14,('Calc base'!$H176:$S176&gt;'Calc base'!J176)+('Calc base'!$H176:$S176='Calc base'!J176)*('Calc base'!$C$17:$N$17&lt;'Calc base'!E$17)))))</f>
        <v>0</v>
      </c>
      <c r="AK176">
        <f>IF('Calc base'!F$14=0,0,MIN(Y176,MAX(0,$E176-SUMPRODUCT($V176:$AG176,'Calc base'!$C$14:$N$14,('Calc base'!$H176:$S176&gt;'Calc base'!K176)+('Calc base'!$H176:$S176='Calc base'!K176)*('Calc base'!$C$17:$N$17&lt;'Calc base'!F$17)))))</f>
        <v>0</v>
      </c>
      <c r="AL176">
        <f>IF('Calc base'!G$14=0,0,MIN(Z176,MAX(0,$E176-SUMPRODUCT($V176:$AG176,'Calc base'!$C$14:$N$14,('Calc base'!$H176:$S176&gt;'Calc base'!L176)+('Calc base'!$H176:$S176='Calc base'!L176)*('Calc base'!$C$17:$N$17&lt;'Calc base'!G$17)))))</f>
        <v>0</v>
      </c>
      <c r="AM176">
        <f>IF('Calc base'!H$14=0,0,MIN(AA176,MAX(0,$E176-SUMPRODUCT($V176:$AG176,'Calc base'!$C$14:$N$14,('Calc base'!$H176:$S176&gt;'Calc base'!M176)+('Calc base'!$H176:$S176='Calc base'!M176)*('Calc base'!$C$17:$N$17&lt;'Calc base'!H$17)))))</f>
        <v>0</v>
      </c>
      <c r="AN176">
        <f>IF('Calc base'!I$14=0,0,MIN(AB176,MAX(0,$E176-SUMPRODUCT($V176:$AG176,'Calc base'!$C$14:$N$14,('Calc base'!$H176:$S176&gt;'Calc base'!N176)+('Calc base'!$H176:$S176='Calc base'!N176)*('Calc base'!$C$17:$N$17&lt;'Calc base'!I$17)))))</f>
        <v>0</v>
      </c>
      <c r="AO176">
        <f>IF('Calc base'!J$14=0,0,MIN(AC176,MAX(0,$E176-SUMPRODUCT($V176:$AG176,'Calc base'!$C$14:$N$14,('Calc base'!$H176:$S176&gt;'Calc base'!O176)+('Calc base'!$H176:$S176='Calc base'!O176)*('Calc base'!$C$17:$N$17&lt;'Calc base'!J$17)))))</f>
        <v>0</v>
      </c>
      <c r="AP176">
        <f>IF('Calc base'!K$14=0,0,MIN(AD176,MAX(0,$E176-SUMPRODUCT($V176:$AG176,'Calc base'!$C$14:$N$14,('Calc base'!$H176:$S176&gt;'Calc base'!P176)+('Calc base'!$H176:$S176='Calc base'!P176)*('Calc base'!$C$17:$N$17&lt;'Calc base'!K$17)))))</f>
        <v>0</v>
      </c>
      <c r="AQ176">
        <f>IF('Calc base'!L$14=0,0,MIN(AE176,MAX(0,$E176-SUMPRODUCT($V176:$AG176,'Calc base'!$C$14:$N$14,('Calc base'!$H176:$S176&gt;'Calc base'!Q176)+('Calc base'!$H176:$S176='Calc base'!Q176)*('Calc base'!$C$17:$N$17&lt;'Calc base'!L$17)))))</f>
        <v>0</v>
      </c>
      <c r="AR176">
        <f>IF('Calc base'!M$14=0,0,MIN(AF176,MAX(0,$E176-SUMPRODUCT($V176:$AG176,'Calc base'!$C$14:$N$14,('Calc base'!$H176:$S176&gt;'Calc base'!R176)+('Calc base'!$H176:$S176='Calc base'!R176)*('Calc base'!$C$17:$N$17&lt;'Calc base'!M$17)))))</f>
        <v>0</v>
      </c>
      <c r="AS176">
        <f>IF('Calc base'!N$14=0,0,MIN(AG176,MAX(0,$E176-SUMPRODUCT($V176:$AG176,'Calc base'!$C$14:$N$14,('Calc base'!$H176:$S176&gt;'Calc base'!S176)+('Calc base'!$H176:$S176='Calc base'!S176)*('Calc base'!$C$17:$N$17&lt;'Calc base'!N$17)))))</f>
        <v>0</v>
      </c>
      <c r="AT176">
        <f>V176-AH176</f>
        <v>0</v>
      </c>
      <c r="AU176">
        <f>W176-AI176</f>
        <v>0</v>
      </c>
      <c r="AV176">
        <f>X176-AJ176</f>
        <v>0</v>
      </c>
      <c r="AW176">
        <f>Y176-AK176</f>
        <v>0</v>
      </c>
      <c r="AX176">
        <f>Z176-AL176</f>
        <v>0</v>
      </c>
      <c r="AY176">
        <f>AA176-AM176</f>
        <v>0</v>
      </c>
      <c r="AZ176">
        <f>AB176-AN176</f>
        <v>0</v>
      </c>
      <c r="BA176">
        <f>AC176-AO176</f>
        <v>0</v>
      </c>
      <c r="BB176">
        <f>AD176-AP176</f>
        <v>0</v>
      </c>
      <c r="BC176">
        <f>AE176-AQ176</f>
        <v>0</v>
      </c>
      <c r="BD176">
        <f>AF176-AR176</f>
        <v>0</v>
      </c>
      <c r="BE176">
        <f>AG176-AS176</f>
        <v>0</v>
      </c>
    </row>
    <row r="177">
      <c r="A177" t="n">
        <v>147</v>
      </c>
      <c r="B177">
        <f>SUMPRODUCT(ROUND($AT176:$BE176*(1+'Calc base'!$H177:$S177),2))</f>
        <v>0</v>
      </c>
      <c r="C177">
        <f>SUM(J177:U177)</f>
        <v>0</v>
      </c>
      <c r="D177">
        <f>SUM(V177:AG177)</f>
        <v>0</v>
      </c>
      <c r="E177">
        <f>MAX(0,IF(Impostazioni!$B$7="No",'Calc base'!$C177-$C$31,'Calc base'!$C177-C177)+'Calc base'!$G177+'Calc base'!$F177-(B177-C177-D177))</f>
        <v>900</v>
      </c>
      <c r="F177">
        <f>SUM(AH177:AS177)</f>
        <v>0</v>
      </c>
      <c r="G177">
        <f>SUM(AT177:BE177)</f>
        <v>0</v>
      </c>
      <c r="H177">
        <f>B177-G176</f>
        <v>0</v>
      </c>
      <c r="I177">
        <f>B177-G177</f>
        <v>0</v>
      </c>
      <c r="J177">
        <f>IF(AT176&lt;=0,0,IF(ROUND(AT176*(1+'Calc base'!H177),2)-MAX('Calc base'!C$12,ROUND('Calc base'!C$13*AT176,2))&lt;1,ROUND(AT176*(1+'Calc base'!H177),2),MAX('Calc base'!C$12,ROUND('Calc base'!C$13*AT176,2))))</f>
        <v>0</v>
      </c>
      <c r="K177">
        <f>IF(AU176&lt;=0,0,IF(ROUND(AU176*(1+'Calc base'!I177),2)-MAX('Calc base'!D$12,ROUND('Calc base'!D$13*AU176,2))&lt;1,ROUND(AU176*(1+'Calc base'!I177),2),MAX('Calc base'!D$12,ROUND('Calc base'!D$13*AU176,2))))</f>
        <v>0</v>
      </c>
      <c r="L177">
        <f>IF(AV176&lt;=0,0,IF(ROUND(AV176*(1+'Calc base'!J177),2)-MAX('Calc base'!E$12,ROUND('Calc base'!E$13*AV176,2))&lt;1,ROUND(AV176*(1+'Calc base'!J177),2),MAX('Calc base'!E$12,ROUND('Calc base'!E$13*AV176,2))))</f>
        <v>0</v>
      </c>
      <c r="M177">
        <f>IF(AW176&lt;=0,0,IF(ROUND(AW176*(1+'Calc base'!K177),2)-MAX('Calc base'!F$12,ROUND('Calc base'!F$13*AW176,2))&lt;1,ROUND(AW176*(1+'Calc base'!K177),2),MAX('Calc base'!F$12,ROUND('Calc base'!F$13*AW176,2))))</f>
        <v>0</v>
      </c>
      <c r="N177">
        <f>IF(AX176&lt;=0,0,IF(ROUND(AX176*(1+'Calc base'!L177),2)-MAX('Calc base'!G$12,ROUND('Calc base'!G$13*AX176,2))&lt;1,ROUND(AX176*(1+'Calc base'!L177),2),MAX('Calc base'!G$12,ROUND('Calc base'!G$13*AX176,2))))</f>
        <v>0</v>
      </c>
      <c r="O177">
        <f>IF(AY176&lt;=0,0,IF(ROUND(AY176*(1+'Calc base'!M177),2)-MAX('Calc base'!H$12,ROUND('Calc base'!H$13*AY176,2))&lt;1,ROUND(AY176*(1+'Calc base'!M177),2),MAX('Calc base'!H$12,ROUND('Calc base'!H$13*AY176,2))))</f>
        <v>0</v>
      </c>
      <c r="P177">
        <f>IF(AZ176&lt;=0,0,IF(ROUND(AZ176*(1+'Calc base'!N177),2)-MAX('Calc base'!I$12,ROUND('Calc base'!I$13*AZ176,2))&lt;1,ROUND(AZ176*(1+'Calc base'!N177),2),MAX('Calc base'!I$12,ROUND('Calc base'!I$13*AZ176,2))))</f>
        <v>0</v>
      </c>
      <c r="Q177">
        <f>IF(BA176&lt;=0,0,IF(ROUND(BA176*(1+'Calc base'!O177),2)-MAX('Calc base'!J$12,ROUND('Calc base'!J$13*BA176,2))&lt;1,ROUND(BA176*(1+'Calc base'!O177),2),MAX('Calc base'!J$12,ROUND('Calc base'!J$13*BA176,2))))</f>
        <v>0</v>
      </c>
      <c r="R177">
        <f>IF(BB176&lt;=0,0,IF(ROUND(BB176*(1+'Calc base'!P177),2)-MAX('Calc base'!K$12,ROUND('Calc base'!K$13*BB176,2))&lt;1,ROUND(BB176*(1+'Calc base'!P177),2),MAX('Calc base'!K$12,ROUND('Calc base'!K$13*BB176,2))))</f>
        <v>0</v>
      </c>
      <c r="S177">
        <f>IF(BC176&lt;=0,0,IF(ROUND(BC176*(1+'Calc base'!Q177),2)-MAX('Calc base'!L$12,ROUND('Calc base'!L$13*BC176,2))&lt;1,ROUND(BC176*(1+'Calc base'!Q177),2),MAX('Calc base'!L$12,ROUND('Calc base'!L$13*BC176,2))))</f>
        <v>0</v>
      </c>
      <c r="T177">
        <f>IF(BD176&lt;=0,0,IF(ROUND(BD176*(1+'Calc base'!R177),2)-MAX('Calc base'!M$12,ROUND('Calc base'!M$13*BD176,2))&lt;1,ROUND(BD176*(1+'Calc base'!R177),2),MAX('Calc base'!M$12,ROUND('Calc base'!M$13*BD176,2))))</f>
        <v>0</v>
      </c>
      <c r="U177">
        <f>IF(BE176&lt;=0,0,IF(ROUND(BE176*(1+'Calc base'!S177),2)-MAX('Calc base'!N$12,ROUND('Calc base'!N$13*BE176,2))&lt;1,ROUND(BE176*(1+'Calc base'!S177),2),MAX('Calc base'!N$12,ROUND('Calc base'!N$13*BE176,2))))</f>
        <v>0</v>
      </c>
      <c r="V177">
        <f>MAX(0,ROUND(AT176*(1+'Calc base'!H177),2)-J177-'Calc base'!T177)</f>
        <v>0</v>
      </c>
      <c r="W177">
        <f>MAX(0,ROUND(AU176*(1+'Calc base'!I177),2)-K177-'Calc base'!U177)</f>
        <v>0</v>
      </c>
      <c r="X177">
        <f>MAX(0,ROUND(AV176*(1+'Calc base'!J177),2)-L177-'Calc base'!V177)</f>
        <v>0</v>
      </c>
      <c r="Y177">
        <f>MAX(0,ROUND(AW176*(1+'Calc base'!K177),2)-M177-'Calc base'!W177)</f>
        <v>0</v>
      </c>
      <c r="Z177">
        <f>MAX(0,ROUND(AX176*(1+'Calc base'!L177),2)-N177-'Calc base'!X177)</f>
        <v>0</v>
      </c>
      <c r="AA177">
        <f>MAX(0,ROUND(AY176*(1+'Calc base'!M177),2)-O177-'Calc base'!Y177)</f>
        <v>0</v>
      </c>
      <c r="AB177">
        <f>MAX(0,ROUND(AZ176*(1+'Calc base'!N177),2)-P177-'Calc base'!Z177)</f>
        <v>0</v>
      </c>
      <c r="AC177">
        <f>MAX(0,ROUND(BA176*(1+'Calc base'!O177),2)-Q177-'Calc base'!AA177)</f>
        <v>0</v>
      </c>
      <c r="AD177">
        <f>MAX(0,ROUND(BB176*(1+'Calc base'!P177),2)-R177-'Calc base'!AB177)</f>
        <v>0</v>
      </c>
      <c r="AE177">
        <f>MAX(0,ROUND(BC176*(1+'Calc base'!Q177),2)-S177-'Calc base'!AC177)</f>
        <v>0</v>
      </c>
      <c r="AF177">
        <f>MAX(0,ROUND(BD176*(1+'Calc base'!R177),2)-T177-'Calc base'!AD177)</f>
        <v>0</v>
      </c>
      <c r="AG177">
        <f>MAX(0,ROUND(BE176*(1+'Calc base'!S177),2)-U177-'Calc base'!AE177)</f>
        <v>0</v>
      </c>
      <c r="AH177">
        <f>IF('Calc base'!C$14=0,0,MIN(V177,MAX(0,$E177-SUMPRODUCT($V177:$AG177,'Calc base'!$C$14:$N$14,('Calc base'!$H177:$S177&gt;'Calc base'!H177)+('Calc base'!$H177:$S177='Calc base'!H177)*('Calc base'!$C$17:$N$17&lt;'Calc base'!C$17)))))</f>
        <v>0</v>
      </c>
      <c r="AI177">
        <f>IF('Calc base'!D$14=0,0,MIN(W177,MAX(0,$E177-SUMPRODUCT($V177:$AG177,'Calc base'!$C$14:$N$14,('Calc base'!$H177:$S177&gt;'Calc base'!I177)+('Calc base'!$H177:$S177='Calc base'!I177)*('Calc base'!$C$17:$N$17&lt;'Calc base'!D$17)))))</f>
        <v>0</v>
      </c>
      <c r="AJ177">
        <f>IF('Calc base'!E$14=0,0,MIN(X177,MAX(0,$E177-SUMPRODUCT($V177:$AG177,'Calc base'!$C$14:$N$14,('Calc base'!$H177:$S177&gt;'Calc base'!J177)+('Calc base'!$H177:$S177='Calc base'!J177)*('Calc base'!$C$17:$N$17&lt;'Calc base'!E$17)))))</f>
        <v>0</v>
      </c>
      <c r="AK177">
        <f>IF('Calc base'!F$14=0,0,MIN(Y177,MAX(0,$E177-SUMPRODUCT($V177:$AG177,'Calc base'!$C$14:$N$14,('Calc base'!$H177:$S177&gt;'Calc base'!K177)+('Calc base'!$H177:$S177='Calc base'!K177)*('Calc base'!$C$17:$N$17&lt;'Calc base'!F$17)))))</f>
        <v>0</v>
      </c>
      <c r="AL177">
        <f>IF('Calc base'!G$14=0,0,MIN(Z177,MAX(0,$E177-SUMPRODUCT($V177:$AG177,'Calc base'!$C$14:$N$14,('Calc base'!$H177:$S177&gt;'Calc base'!L177)+('Calc base'!$H177:$S177='Calc base'!L177)*('Calc base'!$C$17:$N$17&lt;'Calc base'!G$17)))))</f>
        <v>0</v>
      </c>
      <c r="AM177">
        <f>IF('Calc base'!H$14=0,0,MIN(AA177,MAX(0,$E177-SUMPRODUCT($V177:$AG177,'Calc base'!$C$14:$N$14,('Calc base'!$H177:$S177&gt;'Calc base'!M177)+('Calc base'!$H177:$S177='Calc base'!M177)*('Calc base'!$C$17:$N$17&lt;'Calc base'!H$17)))))</f>
        <v>0</v>
      </c>
      <c r="AN177">
        <f>IF('Calc base'!I$14=0,0,MIN(AB177,MAX(0,$E177-SUMPRODUCT($V177:$AG177,'Calc base'!$C$14:$N$14,('Calc base'!$H177:$S177&gt;'Calc base'!N177)+('Calc base'!$H177:$S177='Calc base'!N177)*('Calc base'!$C$17:$N$17&lt;'Calc base'!I$17)))))</f>
        <v>0</v>
      </c>
      <c r="AO177">
        <f>IF('Calc base'!J$14=0,0,MIN(AC177,MAX(0,$E177-SUMPRODUCT($V177:$AG177,'Calc base'!$C$14:$N$14,('Calc base'!$H177:$S177&gt;'Calc base'!O177)+('Calc base'!$H177:$S177='Calc base'!O177)*('Calc base'!$C$17:$N$17&lt;'Calc base'!J$17)))))</f>
        <v>0</v>
      </c>
      <c r="AP177">
        <f>IF('Calc base'!K$14=0,0,MIN(AD177,MAX(0,$E177-SUMPRODUCT($V177:$AG177,'Calc base'!$C$14:$N$14,('Calc base'!$H177:$S177&gt;'Calc base'!P177)+('Calc base'!$H177:$S177='Calc base'!P177)*('Calc base'!$C$17:$N$17&lt;'Calc base'!K$17)))))</f>
        <v>0</v>
      </c>
      <c r="AQ177">
        <f>IF('Calc base'!L$14=0,0,MIN(AE177,MAX(0,$E177-SUMPRODUCT($V177:$AG177,'Calc base'!$C$14:$N$14,('Calc base'!$H177:$S177&gt;'Calc base'!Q177)+('Calc base'!$H177:$S177='Calc base'!Q177)*('Calc base'!$C$17:$N$17&lt;'Calc base'!L$17)))))</f>
        <v>0</v>
      </c>
      <c r="AR177">
        <f>IF('Calc base'!M$14=0,0,MIN(AF177,MAX(0,$E177-SUMPRODUCT($V177:$AG177,'Calc base'!$C$14:$N$14,('Calc base'!$H177:$S177&gt;'Calc base'!R177)+('Calc base'!$H177:$S177='Calc base'!R177)*('Calc base'!$C$17:$N$17&lt;'Calc base'!M$17)))))</f>
        <v>0</v>
      </c>
      <c r="AS177">
        <f>IF('Calc base'!N$14=0,0,MIN(AG177,MAX(0,$E177-SUMPRODUCT($V177:$AG177,'Calc base'!$C$14:$N$14,('Calc base'!$H177:$S177&gt;'Calc base'!S177)+('Calc base'!$H177:$S177='Calc base'!S177)*('Calc base'!$C$17:$N$17&lt;'Calc base'!N$17)))))</f>
        <v>0</v>
      </c>
      <c r="AT177">
        <f>V177-AH177</f>
        <v>0</v>
      </c>
      <c r="AU177">
        <f>W177-AI177</f>
        <v>0</v>
      </c>
      <c r="AV177">
        <f>X177-AJ177</f>
        <v>0</v>
      </c>
      <c r="AW177">
        <f>Y177-AK177</f>
        <v>0</v>
      </c>
      <c r="AX177">
        <f>Z177-AL177</f>
        <v>0</v>
      </c>
      <c r="AY177">
        <f>AA177-AM177</f>
        <v>0</v>
      </c>
      <c r="AZ177">
        <f>AB177-AN177</f>
        <v>0</v>
      </c>
      <c r="BA177">
        <f>AC177-AO177</f>
        <v>0</v>
      </c>
      <c r="BB177">
        <f>AD177-AP177</f>
        <v>0</v>
      </c>
      <c r="BC177">
        <f>AE177-AQ177</f>
        <v>0</v>
      </c>
      <c r="BD177">
        <f>AF177-AR177</f>
        <v>0</v>
      </c>
      <c r="BE177">
        <f>AG177-AS177</f>
        <v>0</v>
      </c>
    </row>
    <row r="178">
      <c r="A178" t="n">
        <v>148</v>
      </c>
      <c r="B178">
        <f>SUMPRODUCT(ROUND($AT177:$BE177*(1+'Calc base'!$H178:$S178),2))</f>
        <v>0</v>
      </c>
      <c r="C178">
        <f>SUM(J178:U178)</f>
        <v>0</v>
      </c>
      <c r="D178">
        <f>SUM(V178:AG178)</f>
        <v>0</v>
      </c>
      <c r="E178">
        <f>MAX(0,IF(Impostazioni!$B$7="No",'Calc base'!$C178-$C$31,'Calc base'!$C178-C178)+'Calc base'!$G178+'Calc base'!$F178-(B178-C178-D178))</f>
        <v>900</v>
      </c>
      <c r="F178">
        <f>SUM(AH178:AS178)</f>
        <v>0</v>
      </c>
      <c r="G178">
        <f>SUM(AT178:BE178)</f>
        <v>0</v>
      </c>
      <c r="H178">
        <f>B178-G177</f>
        <v>0</v>
      </c>
      <c r="I178">
        <f>B178-G178</f>
        <v>0</v>
      </c>
      <c r="J178">
        <f>IF(AT177&lt;=0,0,IF(ROUND(AT177*(1+'Calc base'!H178),2)-MAX('Calc base'!C$12,ROUND('Calc base'!C$13*AT177,2))&lt;1,ROUND(AT177*(1+'Calc base'!H178),2),MAX('Calc base'!C$12,ROUND('Calc base'!C$13*AT177,2))))</f>
        <v>0</v>
      </c>
      <c r="K178">
        <f>IF(AU177&lt;=0,0,IF(ROUND(AU177*(1+'Calc base'!I178),2)-MAX('Calc base'!D$12,ROUND('Calc base'!D$13*AU177,2))&lt;1,ROUND(AU177*(1+'Calc base'!I178),2),MAX('Calc base'!D$12,ROUND('Calc base'!D$13*AU177,2))))</f>
        <v>0</v>
      </c>
      <c r="L178">
        <f>IF(AV177&lt;=0,0,IF(ROUND(AV177*(1+'Calc base'!J178),2)-MAX('Calc base'!E$12,ROUND('Calc base'!E$13*AV177,2))&lt;1,ROUND(AV177*(1+'Calc base'!J178),2),MAX('Calc base'!E$12,ROUND('Calc base'!E$13*AV177,2))))</f>
        <v>0</v>
      </c>
      <c r="M178">
        <f>IF(AW177&lt;=0,0,IF(ROUND(AW177*(1+'Calc base'!K178),2)-MAX('Calc base'!F$12,ROUND('Calc base'!F$13*AW177,2))&lt;1,ROUND(AW177*(1+'Calc base'!K178),2),MAX('Calc base'!F$12,ROUND('Calc base'!F$13*AW177,2))))</f>
        <v>0</v>
      </c>
      <c r="N178">
        <f>IF(AX177&lt;=0,0,IF(ROUND(AX177*(1+'Calc base'!L178),2)-MAX('Calc base'!G$12,ROUND('Calc base'!G$13*AX177,2))&lt;1,ROUND(AX177*(1+'Calc base'!L178),2),MAX('Calc base'!G$12,ROUND('Calc base'!G$13*AX177,2))))</f>
        <v>0</v>
      </c>
      <c r="O178">
        <f>IF(AY177&lt;=0,0,IF(ROUND(AY177*(1+'Calc base'!M178),2)-MAX('Calc base'!H$12,ROUND('Calc base'!H$13*AY177,2))&lt;1,ROUND(AY177*(1+'Calc base'!M178),2),MAX('Calc base'!H$12,ROUND('Calc base'!H$13*AY177,2))))</f>
        <v>0</v>
      </c>
      <c r="P178">
        <f>IF(AZ177&lt;=0,0,IF(ROUND(AZ177*(1+'Calc base'!N178),2)-MAX('Calc base'!I$12,ROUND('Calc base'!I$13*AZ177,2))&lt;1,ROUND(AZ177*(1+'Calc base'!N178),2),MAX('Calc base'!I$12,ROUND('Calc base'!I$13*AZ177,2))))</f>
        <v>0</v>
      </c>
      <c r="Q178">
        <f>IF(BA177&lt;=0,0,IF(ROUND(BA177*(1+'Calc base'!O178),2)-MAX('Calc base'!J$12,ROUND('Calc base'!J$13*BA177,2))&lt;1,ROUND(BA177*(1+'Calc base'!O178),2),MAX('Calc base'!J$12,ROUND('Calc base'!J$13*BA177,2))))</f>
        <v>0</v>
      </c>
      <c r="R178">
        <f>IF(BB177&lt;=0,0,IF(ROUND(BB177*(1+'Calc base'!P178),2)-MAX('Calc base'!K$12,ROUND('Calc base'!K$13*BB177,2))&lt;1,ROUND(BB177*(1+'Calc base'!P178),2),MAX('Calc base'!K$12,ROUND('Calc base'!K$13*BB177,2))))</f>
        <v>0</v>
      </c>
      <c r="S178">
        <f>IF(BC177&lt;=0,0,IF(ROUND(BC177*(1+'Calc base'!Q178),2)-MAX('Calc base'!L$12,ROUND('Calc base'!L$13*BC177,2))&lt;1,ROUND(BC177*(1+'Calc base'!Q178),2),MAX('Calc base'!L$12,ROUND('Calc base'!L$13*BC177,2))))</f>
        <v>0</v>
      </c>
      <c r="T178">
        <f>IF(BD177&lt;=0,0,IF(ROUND(BD177*(1+'Calc base'!R178),2)-MAX('Calc base'!M$12,ROUND('Calc base'!M$13*BD177,2))&lt;1,ROUND(BD177*(1+'Calc base'!R178),2),MAX('Calc base'!M$12,ROUND('Calc base'!M$13*BD177,2))))</f>
        <v>0</v>
      </c>
      <c r="U178">
        <f>IF(BE177&lt;=0,0,IF(ROUND(BE177*(1+'Calc base'!S178),2)-MAX('Calc base'!N$12,ROUND('Calc base'!N$13*BE177,2))&lt;1,ROUND(BE177*(1+'Calc base'!S178),2),MAX('Calc base'!N$12,ROUND('Calc base'!N$13*BE177,2))))</f>
        <v>0</v>
      </c>
      <c r="V178">
        <f>MAX(0,ROUND(AT177*(1+'Calc base'!H178),2)-J178-'Calc base'!T178)</f>
        <v>0</v>
      </c>
      <c r="W178">
        <f>MAX(0,ROUND(AU177*(1+'Calc base'!I178),2)-K178-'Calc base'!U178)</f>
        <v>0</v>
      </c>
      <c r="X178">
        <f>MAX(0,ROUND(AV177*(1+'Calc base'!J178),2)-L178-'Calc base'!V178)</f>
        <v>0</v>
      </c>
      <c r="Y178">
        <f>MAX(0,ROUND(AW177*(1+'Calc base'!K178),2)-M178-'Calc base'!W178)</f>
        <v>0</v>
      </c>
      <c r="Z178">
        <f>MAX(0,ROUND(AX177*(1+'Calc base'!L178),2)-N178-'Calc base'!X178)</f>
        <v>0</v>
      </c>
      <c r="AA178">
        <f>MAX(0,ROUND(AY177*(1+'Calc base'!M178),2)-O178-'Calc base'!Y178)</f>
        <v>0</v>
      </c>
      <c r="AB178">
        <f>MAX(0,ROUND(AZ177*(1+'Calc base'!N178),2)-P178-'Calc base'!Z178)</f>
        <v>0</v>
      </c>
      <c r="AC178">
        <f>MAX(0,ROUND(BA177*(1+'Calc base'!O178),2)-Q178-'Calc base'!AA178)</f>
        <v>0</v>
      </c>
      <c r="AD178">
        <f>MAX(0,ROUND(BB177*(1+'Calc base'!P178),2)-R178-'Calc base'!AB178)</f>
        <v>0</v>
      </c>
      <c r="AE178">
        <f>MAX(0,ROUND(BC177*(1+'Calc base'!Q178),2)-S178-'Calc base'!AC178)</f>
        <v>0</v>
      </c>
      <c r="AF178">
        <f>MAX(0,ROUND(BD177*(1+'Calc base'!R178),2)-T178-'Calc base'!AD178)</f>
        <v>0</v>
      </c>
      <c r="AG178">
        <f>MAX(0,ROUND(BE177*(1+'Calc base'!S178),2)-U178-'Calc base'!AE178)</f>
        <v>0</v>
      </c>
      <c r="AH178">
        <f>IF('Calc base'!C$14=0,0,MIN(V178,MAX(0,$E178-SUMPRODUCT($V178:$AG178,'Calc base'!$C$14:$N$14,('Calc base'!$H178:$S178&gt;'Calc base'!H178)+('Calc base'!$H178:$S178='Calc base'!H178)*('Calc base'!$C$17:$N$17&lt;'Calc base'!C$17)))))</f>
        <v>0</v>
      </c>
      <c r="AI178">
        <f>IF('Calc base'!D$14=0,0,MIN(W178,MAX(0,$E178-SUMPRODUCT($V178:$AG178,'Calc base'!$C$14:$N$14,('Calc base'!$H178:$S178&gt;'Calc base'!I178)+('Calc base'!$H178:$S178='Calc base'!I178)*('Calc base'!$C$17:$N$17&lt;'Calc base'!D$17)))))</f>
        <v>0</v>
      </c>
      <c r="AJ178">
        <f>IF('Calc base'!E$14=0,0,MIN(X178,MAX(0,$E178-SUMPRODUCT($V178:$AG178,'Calc base'!$C$14:$N$14,('Calc base'!$H178:$S178&gt;'Calc base'!J178)+('Calc base'!$H178:$S178='Calc base'!J178)*('Calc base'!$C$17:$N$17&lt;'Calc base'!E$17)))))</f>
        <v>0</v>
      </c>
      <c r="AK178">
        <f>IF('Calc base'!F$14=0,0,MIN(Y178,MAX(0,$E178-SUMPRODUCT($V178:$AG178,'Calc base'!$C$14:$N$14,('Calc base'!$H178:$S178&gt;'Calc base'!K178)+('Calc base'!$H178:$S178='Calc base'!K178)*('Calc base'!$C$17:$N$17&lt;'Calc base'!F$17)))))</f>
        <v>0</v>
      </c>
      <c r="AL178">
        <f>IF('Calc base'!G$14=0,0,MIN(Z178,MAX(0,$E178-SUMPRODUCT($V178:$AG178,'Calc base'!$C$14:$N$14,('Calc base'!$H178:$S178&gt;'Calc base'!L178)+('Calc base'!$H178:$S178='Calc base'!L178)*('Calc base'!$C$17:$N$17&lt;'Calc base'!G$17)))))</f>
        <v>0</v>
      </c>
      <c r="AM178">
        <f>IF('Calc base'!H$14=0,0,MIN(AA178,MAX(0,$E178-SUMPRODUCT($V178:$AG178,'Calc base'!$C$14:$N$14,('Calc base'!$H178:$S178&gt;'Calc base'!M178)+('Calc base'!$H178:$S178='Calc base'!M178)*('Calc base'!$C$17:$N$17&lt;'Calc base'!H$17)))))</f>
        <v>0</v>
      </c>
      <c r="AN178">
        <f>IF('Calc base'!I$14=0,0,MIN(AB178,MAX(0,$E178-SUMPRODUCT($V178:$AG178,'Calc base'!$C$14:$N$14,('Calc base'!$H178:$S178&gt;'Calc base'!N178)+('Calc base'!$H178:$S178='Calc base'!N178)*('Calc base'!$C$17:$N$17&lt;'Calc base'!I$17)))))</f>
        <v>0</v>
      </c>
      <c r="AO178">
        <f>IF('Calc base'!J$14=0,0,MIN(AC178,MAX(0,$E178-SUMPRODUCT($V178:$AG178,'Calc base'!$C$14:$N$14,('Calc base'!$H178:$S178&gt;'Calc base'!O178)+('Calc base'!$H178:$S178='Calc base'!O178)*('Calc base'!$C$17:$N$17&lt;'Calc base'!J$17)))))</f>
        <v>0</v>
      </c>
      <c r="AP178">
        <f>IF('Calc base'!K$14=0,0,MIN(AD178,MAX(0,$E178-SUMPRODUCT($V178:$AG178,'Calc base'!$C$14:$N$14,('Calc base'!$H178:$S178&gt;'Calc base'!P178)+('Calc base'!$H178:$S178='Calc base'!P178)*('Calc base'!$C$17:$N$17&lt;'Calc base'!K$17)))))</f>
        <v>0</v>
      </c>
      <c r="AQ178">
        <f>IF('Calc base'!L$14=0,0,MIN(AE178,MAX(0,$E178-SUMPRODUCT($V178:$AG178,'Calc base'!$C$14:$N$14,('Calc base'!$H178:$S178&gt;'Calc base'!Q178)+('Calc base'!$H178:$S178='Calc base'!Q178)*('Calc base'!$C$17:$N$17&lt;'Calc base'!L$17)))))</f>
        <v>0</v>
      </c>
      <c r="AR178">
        <f>IF('Calc base'!M$14=0,0,MIN(AF178,MAX(0,$E178-SUMPRODUCT($V178:$AG178,'Calc base'!$C$14:$N$14,('Calc base'!$H178:$S178&gt;'Calc base'!R178)+('Calc base'!$H178:$S178='Calc base'!R178)*('Calc base'!$C$17:$N$17&lt;'Calc base'!M$17)))))</f>
        <v>0</v>
      </c>
      <c r="AS178">
        <f>IF('Calc base'!N$14=0,0,MIN(AG178,MAX(0,$E178-SUMPRODUCT($V178:$AG178,'Calc base'!$C$14:$N$14,('Calc base'!$H178:$S178&gt;'Calc base'!S178)+('Calc base'!$H178:$S178='Calc base'!S178)*('Calc base'!$C$17:$N$17&lt;'Calc base'!N$17)))))</f>
        <v>0</v>
      </c>
      <c r="AT178">
        <f>V178-AH178</f>
        <v>0</v>
      </c>
      <c r="AU178">
        <f>W178-AI178</f>
        <v>0</v>
      </c>
      <c r="AV178">
        <f>X178-AJ178</f>
        <v>0</v>
      </c>
      <c r="AW178">
        <f>Y178-AK178</f>
        <v>0</v>
      </c>
      <c r="AX178">
        <f>Z178-AL178</f>
        <v>0</v>
      </c>
      <c r="AY178">
        <f>AA178-AM178</f>
        <v>0</v>
      </c>
      <c r="AZ178">
        <f>AB178-AN178</f>
        <v>0</v>
      </c>
      <c r="BA178">
        <f>AC178-AO178</f>
        <v>0</v>
      </c>
      <c r="BB178">
        <f>AD178-AP178</f>
        <v>0</v>
      </c>
      <c r="BC178">
        <f>AE178-AQ178</f>
        <v>0</v>
      </c>
      <c r="BD178">
        <f>AF178-AR178</f>
        <v>0</v>
      </c>
      <c r="BE178">
        <f>AG178-AS178</f>
        <v>0</v>
      </c>
    </row>
    <row r="179">
      <c r="A179" t="n">
        <v>149</v>
      </c>
      <c r="B179">
        <f>SUMPRODUCT(ROUND($AT178:$BE178*(1+'Calc base'!$H179:$S179),2))</f>
        <v>0</v>
      </c>
      <c r="C179">
        <f>SUM(J179:U179)</f>
        <v>0</v>
      </c>
      <c r="D179">
        <f>SUM(V179:AG179)</f>
        <v>0</v>
      </c>
      <c r="E179">
        <f>MAX(0,IF(Impostazioni!$B$7="No",'Calc base'!$C179-$C$31,'Calc base'!$C179-C179)+'Calc base'!$G179+'Calc base'!$F179-(B179-C179-D179))</f>
        <v>900</v>
      </c>
      <c r="F179">
        <f>SUM(AH179:AS179)</f>
        <v>0</v>
      </c>
      <c r="G179">
        <f>SUM(AT179:BE179)</f>
        <v>0</v>
      </c>
      <c r="H179">
        <f>B179-G178</f>
        <v>0</v>
      </c>
      <c r="I179">
        <f>B179-G179</f>
        <v>0</v>
      </c>
      <c r="J179">
        <f>IF(AT178&lt;=0,0,IF(ROUND(AT178*(1+'Calc base'!H179),2)-MAX('Calc base'!C$12,ROUND('Calc base'!C$13*AT178,2))&lt;1,ROUND(AT178*(1+'Calc base'!H179),2),MAX('Calc base'!C$12,ROUND('Calc base'!C$13*AT178,2))))</f>
        <v>0</v>
      </c>
      <c r="K179">
        <f>IF(AU178&lt;=0,0,IF(ROUND(AU178*(1+'Calc base'!I179),2)-MAX('Calc base'!D$12,ROUND('Calc base'!D$13*AU178,2))&lt;1,ROUND(AU178*(1+'Calc base'!I179),2),MAX('Calc base'!D$12,ROUND('Calc base'!D$13*AU178,2))))</f>
        <v>0</v>
      </c>
      <c r="L179">
        <f>IF(AV178&lt;=0,0,IF(ROUND(AV178*(1+'Calc base'!J179),2)-MAX('Calc base'!E$12,ROUND('Calc base'!E$13*AV178,2))&lt;1,ROUND(AV178*(1+'Calc base'!J179),2),MAX('Calc base'!E$12,ROUND('Calc base'!E$13*AV178,2))))</f>
        <v>0</v>
      </c>
      <c r="M179">
        <f>IF(AW178&lt;=0,0,IF(ROUND(AW178*(1+'Calc base'!K179),2)-MAX('Calc base'!F$12,ROUND('Calc base'!F$13*AW178,2))&lt;1,ROUND(AW178*(1+'Calc base'!K179),2),MAX('Calc base'!F$12,ROUND('Calc base'!F$13*AW178,2))))</f>
        <v>0</v>
      </c>
      <c r="N179">
        <f>IF(AX178&lt;=0,0,IF(ROUND(AX178*(1+'Calc base'!L179),2)-MAX('Calc base'!G$12,ROUND('Calc base'!G$13*AX178,2))&lt;1,ROUND(AX178*(1+'Calc base'!L179),2),MAX('Calc base'!G$12,ROUND('Calc base'!G$13*AX178,2))))</f>
        <v>0</v>
      </c>
      <c r="O179">
        <f>IF(AY178&lt;=0,0,IF(ROUND(AY178*(1+'Calc base'!M179),2)-MAX('Calc base'!H$12,ROUND('Calc base'!H$13*AY178,2))&lt;1,ROUND(AY178*(1+'Calc base'!M179),2),MAX('Calc base'!H$12,ROUND('Calc base'!H$13*AY178,2))))</f>
        <v>0</v>
      </c>
      <c r="P179">
        <f>IF(AZ178&lt;=0,0,IF(ROUND(AZ178*(1+'Calc base'!N179),2)-MAX('Calc base'!I$12,ROUND('Calc base'!I$13*AZ178,2))&lt;1,ROUND(AZ178*(1+'Calc base'!N179),2),MAX('Calc base'!I$12,ROUND('Calc base'!I$13*AZ178,2))))</f>
        <v>0</v>
      </c>
      <c r="Q179">
        <f>IF(BA178&lt;=0,0,IF(ROUND(BA178*(1+'Calc base'!O179),2)-MAX('Calc base'!J$12,ROUND('Calc base'!J$13*BA178,2))&lt;1,ROUND(BA178*(1+'Calc base'!O179),2),MAX('Calc base'!J$12,ROUND('Calc base'!J$13*BA178,2))))</f>
        <v>0</v>
      </c>
      <c r="R179">
        <f>IF(BB178&lt;=0,0,IF(ROUND(BB178*(1+'Calc base'!P179),2)-MAX('Calc base'!K$12,ROUND('Calc base'!K$13*BB178,2))&lt;1,ROUND(BB178*(1+'Calc base'!P179),2),MAX('Calc base'!K$12,ROUND('Calc base'!K$13*BB178,2))))</f>
        <v>0</v>
      </c>
      <c r="S179">
        <f>IF(BC178&lt;=0,0,IF(ROUND(BC178*(1+'Calc base'!Q179),2)-MAX('Calc base'!L$12,ROUND('Calc base'!L$13*BC178,2))&lt;1,ROUND(BC178*(1+'Calc base'!Q179),2),MAX('Calc base'!L$12,ROUND('Calc base'!L$13*BC178,2))))</f>
        <v>0</v>
      </c>
      <c r="T179">
        <f>IF(BD178&lt;=0,0,IF(ROUND(BD178*(1+'Calc base'!R179),2)-MAX('Calc base'!M$12,ROUND('Calc base'!M$13*BD178,2))&lt;1,ROUND(BD178*(1+'Calc base'!R179),2),MAX('Calc base'!M$12,ROUND('Calc base'!M$13*BD178,2))))</f>
        <v>0</v>
      </c>
      <c r="U179">
        <f>IF(BE178&lt;=0,0,IF(ROUND(BE178*(1+'Calc base'!S179),2)-MAX('Calc base'!N$12,ROUND('Calc base'!N$13*BE178,2))&lt;1,ROUND(BE178*(1+'Calc base'!S179),2),MAX('Calc base'!N$12,ROUND('Calc base'!N$13*BE178,2))))</f>
        <v>0</v>
      </c>
      <c r="V179">
        <f>MAX(0,ROUND(AT178*(1+'Calc base'!H179),2)-J179-'Calc base'!T179)</f>
        <v>0</v>
      </c>
      <c r="W179">
        <f>MAX(0,ROUND(AU178*(1+'Calc base'!I179),2)-K179-'Calc base'!U179)</f>
        <v>0</v>
      </c>
      <c r="X179">
        <f>MAX(0,ROUND(AV178*(1+'Calc base'!J179),2)-L179-'Calc base'!V179)</f>
        <v>0</v>
      </c>
      <c r="Y179">
        <f>MAX(0,ROUND(AW178*(1+'Calc base'!K179),2)-M179-'Calc base'!W179)</f>
        <v>0</v>
      </c>
      <c r="Z179">
        <f>MAX(0,ROUND(AX178*(1+'Calc base'!L179),2)-N179-'Calc base'!X179)</f>
        <v>0</v>
      </c>
      <c r="AA179">
        <f>MAX(0,ROUND(AY178*(1+'Calc base'!M179),2)-O179-'Calc base'!Y179)</f>
        <v>0</v>
      </c>
      <c r="AB179">
        <f>MAX(0,ROUND(AZ178*(1+'Calc base'!N179),2)-P179-'Calc base'!Z179)</f>
        <v>0</v>
      </c>
      <c r="AC179">
        <f>MAX(0,ROUND(BA178*(1+'Calc base'!O179),2)-Q179-'Calc base'!AA179)</f>
        <v>0</v>
      </c>
      <c r="AD179">
        <f>MAX(0,ROUND(BB178*(1+'Calc base'!P179),2)-R179-'Calc base'!AB179)</f>
        <v>0</v>
      </c>
      <c r="AE179">
        <f>MAX(0,ROUND(BC178*(1+'Calc base'!Q179),2)-S179-'Calc base'!AC179)</f>
        <v>0</v>
      </c>
      <c r="AF179">
        <f>MAX(0,ROUND(BD178*(1+'Calc base'!R179),2)-T179-'Calc base'!AD179)</f>
        <v>0</v>
      </c>
      <c r="AG179">
        <f>MAX(0,ROUND(BE178*(1+'Calc base'!S179),2)-U179-'Calc base'!AE179)</f>
        <v>0</v>
      </c>
      <c r="AH179">
        <f>IF('Calc base'!C$14=0,0,MIN(V179,MAX(0,$E179-SUMPRODUCT($V179:$AG179,'Calc base'!$C$14:$N$14,('Calc base'!$H179:$S179&gt;'Calc base'!H179)+('Calc base'!$H179:$S179='Calc base'!H179)*('Calc base'!$C$17:$N$17&lt;'Calc base'!C$17)))))</f>
        <v>0</v>
      </c>
      <c r="AI179">
        <f>IF('Calc base'!D$14=0,0,MIN(W179,MAX(0,$E179-SUMPRODUCT($V179:$AG179,'Calc base'!$C$14:$N$14,('Calc base'!$H179:$S179&gt;'Calc base'!I179)+('Calc base'!$H179:$S179='Calc base'!I179)*('Calc base'!$C$17:$N$17&lt;'Calc base'!D$17)))))</f>
        <v>0</v>
      </c>
      <c r="AJ179">
        <f>IF('Calc base'!E$14=0,0,MIN(X179,MAX(0,$E179-SUMPRODUCT($V179:$AG179,'Calc base'!$C$14:$N$14,('Calc base'!$H179:$S179&gt;'Calc base'!J179)+('Calc base'!$H179:$S179='Calc base'!J179)*('Calc base'!$C$17:$N$17&lt;'Calc base'!E$17)))))</f>
        <v>0</v>
      </c>
      <c r="AK179">
        <f>IF('Calc base'!F$14=0,0,MIN(Y179,MAX(0,$E179-SUMPRODUCT($V179:$AG179,'Calc base'!$C$14:$N$14,('Calc base'!$H179:$S179&gt;'Calc base'!K179)+('Calc base'!$H179:$S179='Calc base'!K179)*('Calc base'!$C$17:$N$17&lt;'Calc base'!F$17)))))</f>
        <v>0</v>
      </c>
      <c r="AL179">
        <f>IF('Calc base'!G$14=0,0,MIN(Z179,MAX(0,$E179-SUMPRODUCT($V179:$AG179,'Calc base'!$C$14:$N$14,('Calc base'!$H179:$S179&gt;'Calc base'!L179)+('Calc base'!$H179:$S179='Calc base'!L179)*('Calc base'!$C$17:$N$17&lt;'Calc base'!G$17)))))</f>
        <v>0</v>
      </c>
      <c r="AM179">
        <f>IF('Calc base'!H$14=0,0,MIN(AA179,MAX(0,$E179-SUMPRODUCT($V179:$AG179,'Calc base'!$C$14:$N$14,('Calc base'!$H179:$S179&gt;'Calc base'!M179)+('Calc base'!$H179:$S179='Calc base'!M179)*('Calc base'!$C$17:$N$17&lt;'Calc base'!H$17)))))</f>
        <v>0</v>
      </c>
      <c r="AN179">
        <f>IF('Calc base'!I$14=0,0,MIN(AB179,MAX(0,$E179-SUMPRODUCT($V179:$AG179,'Calc base'!$C$14:$N$14,('Calc base'!$H179:$S179&gt;'Calc base'!N179)+('Calc base'!$H179:$S179='Calc base'!N179)*('Calc base'!$C$17:$N$17&lt;'Calc base'!I$17)))))</f>
        <v>0</v>
      </c>
      <c r="AO179">
        <f>IF('Calc base'!J$14=0,0,MIN(AC179,MAX(0,$E179-SUMPRODUCT($V179:$AG179,'Calc base'!$C$14:$N$14,('Calc base'!$H179:$S179&gt;'Calc base'!O179)+('Calc base'!$H179:$S179='Calc base'!O179)*('Calc base'!$C$17:$N$17&lt;'Calc base'!J$17)))))</f>
        <v>0</v>
      </c>
      <c r="AP179">
        <f>IF('Calc base'!K$14=0,0,MIN(AD179,MAX(0,$E179-SUMPRODUCT($V179:$AG179,'Calc base'!$C$14:$N$14,('Calc base'!$H179:$S179&gt;'Calc base'!P179)+('Calc base'!$H179:$S179='Calc base'!P179)*('Calc base'!$C$17:$N$17&lt;'Calc base'!K$17)))))</f>
        <v>0</v>
      </c>
      <c r="AQ179">
        <f>IF('Calc base'!L$14=0,0,MIN(AE179,MAX(0,$E179-SUMPRODUCT($V179:$AG179,'Calc base'!$C$14:$N$14,('Calc base'!$H179:$S179&gt;'Calc base'!Q179)+('Calc base'!$H179:$S179='Calc base'!Q179)*('Calc base'!$C$17:$N$17&lt;'Calc base'!L$17)))))</f>
        <v>0</v>
      </c>
      <c r="AR179">
        <f>IF('Calc base'!M$14=0,0,MIN(AF179,MAX(0,$E179-SUMPRODUCT($V179:$AG179,'Calc base'!$C$14:$N$14,('Calc base'!$H179:$S179&gt;'Calc base'!R179)+('Calc base'!$H179:$S179='Calc base'!R179)*('Calc base'!$C$17:$N$17&lt;'Calc base'!M$17)))))</f>
        <v>0</v>
      </c>
      <c r="AS179">
        <f>IF('Calc base'!N$14=0,0,MIN(AG179,MAX(0,$E179-SUMPRODUCT($V179:$AG179,'Calc base'!$C$14:$N$14,('Calc base'!$H179:$S179&gt;'Calc base'!S179)+('Calc base'!$H179:$S179='Calc base'!S179)*('Calc base'!$C$17:$N$17&lt;'Calc base'!N$17)))))</f>
        <v>0</v>
      </c>
      <c r="AT179">
        <f>V179-AH179</f>
        <v>0</v>
      </c>
      <c r="AU179">
        <f>W179-AI179</f>
        <v>0</v>
      </c>
      <c r="AV179">
        <f>X179-AJ179</f>
        <v>0</v>
      </c>
      <c r="AW179">
        <f>Y179-AK179</f>
        <v>0</v>
      </c>
      <c r="AX179">
        <f>Z179-AL179</f>
        <v>0</v>
      </c>
      <c r="AY179">
        <f>AA179-AM179</f>
        <v>0</v>
      </c>
      <c r="AZ179">
        <f>AB179-AN179</f>
        <v>0</v>
      </c>
      <c r="BA179">
        <f>AC179-AO179</f>
        <v>0</v>
      </c>
      <c r="BB179">
        <f>AD179-AP179</f>
        <v>0</v>
      </c>
      <c r="BC179">
        <f>AE179-AQ179</f>
        <v>0</v>
      </c>
      <c r="BD179">
        <f>AF179-AR179</f>
        <v>0</v>
      </c>
      <c r="BE179">
        <f>AG179-AS179</f>
        <v>0</v>
      </c>
    </row>
    <row r="180">
      <c r="A180" t="n">
        <v>150</v>
      </c>
      <c r="B180">
        <f>SUMPRODUCT(ROUND($AT179:$BE179*(1+'Calc base'!$H180:$S180),2))</f>
        <v>0</v>
      </c>
      <c r="C180">
        <f>SUM(J180:U180)</f>
        <v>0</v>
      </c>
      <c r="D180">
        <f>SUM(V180:AG180)</f>
        <v>0</v>
      </c>
      <c r="E180">
        <f>MAX(0,IF(Impostazioni!$B$7="No",'Calc base'!$C180-$C$31,'Calc base'!$C180-C180)+'Calc base'!$G180+'Calc base'!$F180-(B180-C180-D180))</f>
        <v>900</v>
      </c>
      <c r="F180">
        <f>SUM(AH180:AS180)</f>
        <v>0</v>
      </c>
      <c r="G180">
        <f>SUM(AT180:BE180)</f>
        <v>0</v>
      </c>
      <c r="H180">
        <f>B180-G179</f>
        <v>0</v>
      </c>
      <c r="I180">
        <f>B180-G180</f>
        <v>0</v>
      </c>
      <c r="J180">
        <f>IF(AT179&lt;=0,0,IF(ROUND(AT179*(1+'Calc base'!H180),2)-MAX('Calc base'!C$12,ROUND('Calc base'!C$13*AT179,2))&lt;1,ROUND(AT179*(1+'Calc base'!H180),2),MAX('Calc base'!C$12,ROUND('Calc base'!C$13*AT179,2))))</f>
        <v>0</v>
      </c>
      <c r="K180">
        <f>IF(AU179&lt;=0,0,IF(ROUND(AU179*(1+'Calc base'!I180),2)-MAX('Calc base'!D$12,ROUND('Calc base'!D$13*AU179,2))&lt;1,ROUND(AU179*(1+'Calc base'!I180),2),MAX('Calc base'!D$12,ROUND('Calc base'!D$13*AU179,2))))</f>
        <v>0</v>
      </c>
      <c r="L180">
        <f>IF(AV179&lt;=0,0,IF(ROUND(AV179*(1+'Calc base'!J180),2)-MAX('Calc base'!E$12,ROUND('Calc base'!E$13*AV179,2))&lt;1,ROUND(AV179*(1+'Calc base'!J180),2),MAX('Calc base'!E$12,ROUND('Calc base'!E$13*AV179,2))))</f>
        <v>0</v>
      </c>
      <c r="M180">
        <f>IF(AW179&lt;=0,0,IF(ROUND(AW179*(1+'Calc base'!K180),2)-MAX('Calc base'!F$12,ROUND('Calc base'!F$13*AW179,2))&lt;1,ROUND(AW179*(1+'Calc base'!K180),2),MAX('Calc base'!F$12,ROUND('Calc base'!F$13*AW179,2))))</f>
        <v>0</v>
      </c>
      <c r="N180">
        <f>IF(AX179&lt;=0,0,IF(ROUND(AX179*(1+'Calc base'!L180),2)-MAX('Calc base'!G$12,ROUND('Calc base'!G$13*AX179,2))&lt;1,ROUND(AX179*(1+'Calc base'!L180),2),MAX('Calc base'!G$12,ROUND('Calc base'!G$13*AX179,2))))</f>
        <v>0</v>
      </c>
      <c r="O180">
        <f>IF(AY179&lt;=0,0,IF(ROUND(AY179*(1+'Calc base'!M180),2)-MAX('Calc base'!H$12,ROUND('Calc base'!H$13*AY179,2))&lt;1,ROUND(AY179*(1+'Calc base'!M180),2),MAX('Calc base'!H$12,ROUND('Calc base'!H$13*AY179,2))))</f>
        <v>0</v>
      </c>
      <c r="P180">
        <f>IF(AZ179&lt;=0,0,IF(ROUND(AZ179*(1+'Calc base'!N180),2)-MAX('Calc base'!I$12,ROUND('Calc base'!I$13*AZ179,2))&lt;1,ROUND(AZ179*(1+'Calc base'!N180),2),MAX('Calc base'!I$12,ROUND('Calc base'!I$13*AZ179,2))))</f>
        <v>0</v>
      </c>
      <c r="Q180">
        <f>IF(BA179&lt;=0,0,IF(ROUND(BA179*(1+'Calc base'!O180),2)-MAX('Calc base'!J$12,ROUND('Calc base'!J$13*BA179,2))&lt;1,ROUND(BA179*(1+'Calc base'!O180),2),MAX('Calc base'!J$12,ROUND('Calc base'!J$13*BA179,2))))</f>
        <v>0</v>
      </c>
      <c r="R180">
        <f>IF(BB179&lt;=0,0,IF(ROUND(BB179*(1+'Calc base'!P180),2)-MAX('Calc base'!K$12,ROUND('Calc base'!K$13*BB179,2))&lt;1,ROUND(BB179*(1+'Calc base'!P180),2),MAX('Calc base'!K$12,ROUND('Calc base'!K$13*BB179,2))))</f>
        <v>0</v>
      </c>
      <c r="S180">
        <f>IF(BC179&lt;=0,0,IF(ROUND(BC179*(1+'Calc base'!Q180),2)-MAX('Calc base'!L$12,ROUND('Calc base'!L$13*BC179,2))&lt;1,ROUND(BC179*(1+'Calc base'!Q180),2),MAX('Calc base'!L$12,ROUND('Calc base'!L$13*BC179,2))))</f>
        <v>0</v>
      </c>
      <c r="T180">
        <f>IF(BD179&lt;=0,0,IF(ROUND(BD179*(1+'Calc base'!R180),2)-MAX('Calc base'!M$12,ROUND('Calc base'!M$13*BD179,2))&lt;1,ROUND(BD179*(1+'Calc base'!R180),2),MAX('Calc base'!M$12,ROUND('Calc base'!M$13*BD179,2))))</f>
        <v>0</v>
      </c>
      <c r="U180">
        <f>IF(BE179&lt;=0,0,IF(ROUND(BE179*(1+'Calc base'!S180),2)-MAX('Calc base'!N$12,ROUND('Calc base'!N$13*BE179,2))&lt;1,ROUND(BE179*(1+'Calc base'!S180),2),MAX('Calc base'!N$12,ROUND('Calc base'!N$13*BE179,2))))</f>
        <v>0</v>
      </c>
      <c r="V180">
        <f>MAX(0,ROUND(AT179*(1+'Calc base'!H180),2)-J180-'Calc base'!T180)</f>
        <v>0</v>
      </c>
      <c r="W180">
        <f>MAX(0,ROUND(AU179*(1+'Calc base'!I180),2)-K180-'Calc base'!U180)</f>
        <v>0</v>
      </c>
      <c r="X180">
        <f>MAX(0,ROUND(AV179*(1+'Calc base'!J180),2)-L180-'Calc base'!V180)</f>
        <v>0</v>
      </c>
      <c r="Y180">
        <f>MAX(0,ROUND(AW179*(1+'Calc base'!K180),2)-M180-'Calc base'!W180)</f>
        <v>0</v>
      </c>
      <c r="Z180">
        <f>MAX(0,ROUND(AX179*(1+'Calc base'!L180),2)-N180-'Calc base'!X180)</f>
        <v>0</v>
      </c>
      <c r="AA180">
        <f>MAX(0,ROUND(AY179*(1+'Calc base'!M180),2)-O180-'Calc base'!Y180)</f>
        <v>0</v>
      </c>
      <c r="AB180">
        <f>MAX(0,ROUND(AZ179*(1+'Calc base'!N180),2)-P180-'Calc base'!Z180)</f>
        <v>0</v>
      </c>
      <c r="AC180">
        <f>MAX(0,ROUND(BA179*(1+'Calc base'!O180),2)-Q180-'Calc base'!AA180)</f>
        <v>0</v>
      </c>
      <c r="AD180">
        <f>MAX(0,ROUND(BB179*(1+'Calc base'!P180),2)-R180-'Calc base'!AB180)</f>
        <v>0</v>
      </c>
      <c r="AE180">
        <f>MAX(0,ROUND(BC179*(1+'Calc base'!Q180),2)-S180-'Calc base'!AC180)</f>
        <v>0</v>
      </c>
      <c r="AF180">
        <f>MAX(0,ROUND(BD179*(1+'Calc base'!R180),2)-T180-'Calc base'!AD180)</f>
        <v>0</v>
      </c>
      <c r="AG180">
        <f>MAX(0,ROUND(BE179*(1+'Calc base'!S180),2)-U180-'Calc base'!AE180)</f>
        <v>0</v>
      </c>
      <c r="AH180">
        <f>IF('Calc base'!C$14=0,0,MIN(V180,MAX(0,$E180-SUMPRODUCT($V180:$AG180,'Calc base'!$C$14:$N$14,('Calc base'!$H180:$S180&gt;'Calc base'!H180)+('Calc base'!$H180:$S180='Calc base'!H180)*('Calc base'!$C$17:$N$17&lt;'Calc base'!C$17)))))</f>
        <v>0</v>
      </c>
      <c r="AI180">
        <f>IF('Calc base'!D$14=0,0,MIN(W180,MAX(0,$E180-SUMPRODUCT($V180:$AG180,'Calc base'!$C$14:$N$14,('Calc base'!$H180:$S180&gt;'Calc base'!I180)+('Calc base'!$H180:$S180='Calc base'!I180)*('Calc base'!$C$17:$N$17&lt;'Calc base'!D$17)))))</f>
        <v>0</v>
      </c>
      <c r="AJ180">
        <f>IF('Calc base'!E$14=0,0,MIN(X180,MAX(0,$E180-SUMPRODUCT($V180:$AG180,'Calc base'!$C$14:$N$14,('Calc base'!$H180:$S180&gt;'Calc base'!J180)+('Calc base'!$H180:$S180='Calc base'!J180)*('Calc base'!$C$17:$N$17&lt;'Calc base'!E$17)))))</f>
        <v>0</v>
      </c>
      <c r="AK180">
        <f>IF('Calc base'!F$14=0,0,MIN(Y180,MAX(0,$E180-SUMPRODUCT($V180:$AG180,'Calc base'!$C$14:$N$14,('Calc base'!$H180:$S180&gt;'Calc base'!K180)+('Calc base'!$H180:$S180='Calc base'!K180)*('Calc base'!$C$17:$N$17&lt;'Calc base'!F$17)))))</f>
        <v>0</v>
      </c>
      <c r="AL180">
        <f>IF('Calc base'!G$14=0,0,MIN(Z180,MAX(0,$E180-SUMPRODUCT($V180:$AG180,'Calc base'!$C$14:$N$14,('Calc base'!$H180:$S180&gt;'Calc base'!L180)+('Calc base'!$H180:$S180='Calc base'!L180)*('Calc base'!$C$17:$N$17&lt;'Calc base'!G$17)))))</f>
        <v>0</v>
      </c>
      <c r="AM180">
        <f>IF('Calc base'!H$14=0,0,MIN(AA180,MAX(0,$E180-SUMPRODUCT($V180:$AG180,'Calc base'!$C$14:$N$14,('Calc base'!$H180:$S180&gt;'Calc base'!M180)+('Calc base'!$H180:$S180='Calc base'!M180)*('Calc base'!$C$17:$N$17&lt;'Calc base'!H$17)))))</f>
        <v>0</v>
      </c>
      <c r="AN180">
        <f>IF('Calc base'!I$14=0,0,MIN(AB180,MAX(0,$E180-SUMPRODUCT($V180:$AG180,'Calc base'!$C$14:$N$14,('Calc base'!$H180:$S180&gt;'Calc base'!N180)+('Calc base'!$H180:$S180='Calc base'!N180)*('Calc base'!$C$17:$N$17&lt;'Calc base'!I$17)))))</f>
        <v>0</v>
      </c>
      <c r="AO180">
        <f>IF('Calc base'!J$14=0,0,MIN(AC180,MAX(0,$E180-SUMPRODUCT($V180:$AG180,'Calc base'!$C$14:$N$14,('Calc base'!$H180:$S180&gt;'Calc base'!O180)+('Calc base'!$H180:$S180='Calc base'!O180)*('Calc base'!$C$17:$N$17&lt;'Calc base'!J$17)))))</f>
        <v>0</v>
      </c>
      <c r="AP180">
        <f>IF('Calc base'!K$14=0,0,MIN(AD180,MAX(0,$E180-SUMPRODUCT($V180:$AG180,'Calc base'!$C$14:$N$14,('Calc base'!$H180:$S180&gt;'Calc base'!P180)+('Calc base'!$H180:$S180='Calc base'!P180)*('Calc base'!$C$17:$N$17&lt;'Calc base'!K$17)))))</f>
        <v>0</v>
      </c>
      <c r="AQ180">
        <f>IF('Calc base'!L$14=0,0,MIN(AE180,MAX(0,$E180-SUMPRODUCT($V180:$AG180,'Calc base'!$C$14:$N$14,('Calc base'!$H180:$S180&gt;'Calc base'!Q180)+('Calc base'!$H180:$S180='Calc base'!Q180)*('Calc base'!$C$17:$N$17&lt;'Calc base'!L$17)))))</f>
        <v>0</v>
      </c>
      <c r="AR180">
        <f>IF('Calc base'!M$14=0,0,MIN(AF180,MAX(0,$E180-SUMPRODUCT($V180:$AG180,'Calc base'!$C$14:$N$14,('Calc base'!$H180:$S180&gt;'Calc base'!R180)+('Calc base'!$H180:$S180='Calc base'!R180)*('Calc base'!$C$17:$N$17&lt;'Calc base'!M$17)))))</f>
        <v>0</v>
      </c>
      <c r="AS180">
        <f>IF('Calc base'!N$14=0,0,MIN(AG180,MAX(0,$E180-SUMPRODUCT($V180:$AG180,'Calc base'!$C$14:$N$14,('Calc base'!$H180:$S180&gt;'Calc base'!S180)+('Calc base'!$H180:$S180='Calc base'!S180)*('Calc base'!$C$17:$N$17&lt;'Calc base'!N$17)))))</f>
        <v>0</v>
      </c>
      <c r="AT180">
        <f>V180-AH180</f>
        <v>0</v>
      </c>
      <c r="AU180">
        <f>W180-AI180</f>
        <v>0</v>
      </c>
      <c r="AV180">
        <f>X180-AJ180</f>
        <v>0</v>
      </c>
      <c r="AW180">
        <f>Y180-AK180</f>
        <v>0</v>
      </c>
      <c r="AX180">
        <f>Z180-AL180</f>
        <v>0</v>
      </c>
      <c r="AY180">
        <f>AA180-AM180</f>
        <v>0</v>
      </c>
      <c r="AZ180">
        <f>AB180-AN180</f>
        <v>0</v>
      </c>
      <c r="BA180">
        <f>AC180-AO180</f>
        <v>0</v>
      </c>
      <c r="BB180">
        <f>AD180-AP180</f>
        <v>0</v>
      </c>
      <c r="BC180">
        <f>AE180-AQ180</f>
        <v>0</v>
      </c>
      <c r="BD180">
        <f>AF180-AR180</f>
        <v>0</v>
      </c>
      <c r="BE180">
        <f>AG180-AS180</f>
        <v>0</v>
      </c>
    </row>
    <row r="181">
      <c r="A181" t="n">
        <v>151</v>
      </c>
      <c r="B181">
        <f>SUMPRODUCT(ROUND($AT180:$BE180*(1+'Calc base'!$H181:$S181),2))</f>
        <v>0</v>
      </c>
      <c r="C181">
        <f>SUM(J181:U181)</f>
        <v>0</v>
      </c>
      <c r="D181">
        <f>SUM(V181:AG181)</f>
        <v>0</v>
      </c>
      <c r="E181">
        <f>MAX(0,IF(Impostazioni!$B$7="No",'Calc base'!$C181-$C$31,'Calc base'!$C181-C181)+'Calc base'!$G181+'Calc base'!$F181-(B181-C181-D181))</f>
        <v>900</v>
      </c>
      <c r="F181">
        <f>SUM(AH181:AS181)</f>
        <v>0</v>
      </c>
      <c r="G181">
        <f>SUM(AT181:BE181)</f>
        <v>0</v>
      </c>
      <c r="H181">
        <f>B181-G180</f>
        <v>0</v>
      </c>
      <c r="I181">
        <f>B181-G181</f>
        <v>0</v>
      </c>
      <c r="J181">
        <f>IF(AT180&lt;=0,0,IF(ROUND(AT180*(1+'Calc base'!H181),2)-MAX('Calc base'!C$12,ROUND('Calc base'!C$13*AT180,2))&lt;1,ROUND(AT180*(1+'Calc base'!H181),2),MAX('Calc base'!C$12,ROUND('Calc base'!C$13*AT180,2))))</f>
        <v>0</v>
      </c>
      <c r="K181">
        <f>IF(AU180&lt;=0,0,IF(ROUND(AU180*(1+'Calc base'!I181),2)-MAX('Calc base'!D$12,ROUND('Calc base'!D$13*AU180,2))&lt;1,ROUND(AU180*(1+'Calc base'!I181),2),MAX('Calc base'!D$12,ROUND('Calc base'!D$13*AU180,2))))</f>
        <v>0</v>
      </c>
      <c r="L181">
        <f>IF(AV180&lt;=0,0,IF(ROUND(AV180*(1+'Calc base'!J181),2)-MAX('Calc base'!E$12,ROUND('Calc base'!E$13*AV180,2))&lt;1,ROUND(AV180*(1+'Calc base'!J181),2),MAX('Calc base'!E$12,ROUND('Calc base'!E$13*AV180,2))))</f>
        <v>0</v>
      </c>
      <c r="M181">
        <f>IF(AW180&lt;=0,0,IF(ROUND(AW180*(1+'Calc base'!K181),2)-MAX('Calc base'!F$12,ROUND('Calc base'!F$13*AW180,2))&lt;1,ROUND(AW180*(1+'Calc base'!K181),2),MAX('Calc base'!F$12,ROUND('Calc base'!F$13*AW180,2))))</f>
        <v>0</v>
      </c>
      <c r="N181">
        <f>IF(AX180&lt;=0,0,IF(ROUND(AX180*(1+'Calc base'!L181),2)-MAX('Calc base'!G$12,ROUND('Calc base'!G$13*AX180,2))&lt;1,ROUND(AX180*(1+'Calc base'!L181),2),MAX('Calc base'!G$12,ROUND('Calc base'!G$13*AX180,2))))</f>
        <v>0</v>
      </c>
      <c r="O181">
        <f>IF(AY180&lt;=0,0,IF(ROUND(AY180*(1+'Calc base'!M181),2)-MAX('Calc base'!H$12,ROUND('Calc base'!H$13*AY180,2))&lt;1,ROUND(AY180*(1+'Calc base'!M181),2),MAX('Calc base'!H$12,ROUND('Calc base'!H$13*AY180,2))))</f>
        <v>0</v>
      </c>
      <c r="P181">
        <f>IF(AZ180&lt;=0,0,IF(ROUND(AZ180*(1+'Calc base'!N181),2)-MAX('Calc base'!I$12,ROUND('Calc base'!I$13*AZ180,2))&lt;1,ROUND(AZ180*(1+'Calc base'!N181),2),MAX('Calc base'!I$12,ROUND('Calc base'!I$13*AZ180,2))))</f>
        <v>0</v>
      </c>
      <c r="Q181">
        <f>IF(BA180&lt;=0,0,IF(ROUND(BA180*(1+'Calc base'!O181),2)-MAX('Calc base'!J$12,ROUND('Calc base'!J$13*BA180,2))&lt;1,ROUND(BA180*(1+'Calc base'!O181),2),MAX('Calc base'!J$12,ROUND('Calc base'!J$13*BA180,2))))</f>
        <v>0</v>
      </c>
      <c r="R181">
        <f>IF(BB180&lt;=0,0,IF(ROUND(BB180*(1+'Calc base'!P181),2)-MAX('Calc base'!K$12,ROUND('Calc base'!K$13*BB180,2))&lt;1,ROUND(BB180*(1+'Calc base'!P181),2),MAX('Calc base'!K$12,ROUND('Calc base'!K$13*BB180,2))))</f>
        <v>0</v>
      </c>
      <c r="S181">
        <f>IF(BC180&lt;=0,0,IF(ROUND(BC180*(1+'Calc base'!Q181),2)-MAX('Calc base'!L$12,ROUND('Calc base'!L$13*BC180,2))&lt;1,ROUND(BC180*(1+'Calc base'!Q181),2),MAX('Calc base'!L$12,ROUND('Calc base'!L$13*BC180,2))))</f>
        <v>0</v>
      </c>
      <c r="T181">
        <f>IF(BD180&lt;=0,0,IF(ROUND(BD180*(1+'Calc base'!R181),2)-MAX('Calc base'!M$12,ROUND('Calc base'!M$13*BD180,2))&lt;1,ROUND(BD180*(1+'Calc base'!R181),2),MAX('Calc base'!M$12,ROUND('Calc base'!M$13*BD180,2))))</f>
        <v>0</v>
      </c>
      <c r="U181">
        <f>IF(BE180&lt;=0,0,IF(ROUND(BE180*(1+'Calc base'!S181),2)-MAX('Calc base'!N$12,ROUND('Calc base'!N$13*BE180,2))&lt;1,ROUND(BE180*(1+'Calc base'!S181),2),MAX('Calc base'!N$12,ROUND('Calc base'!N$13*BE180,2))))</f>
        <v>0</v>
      </c>
      <c r="V181">
        <f>MAX(0,ROUND(AT180*(1+'Calc base'!H181),2)-J181-'Calc base'!T181)</f>
        <v>0</v>
      </c>
      <c r="W181">
        <f>MAX(0,ROUND(AU180*(1+'Calc base'!I181),2)-K181-'Calc base'!U181)</f>
        <v>0</v>
      </c>
      <c r="X181">
        <f>MAX(0,ROUND(AV180*(1+'Calc base'!J181),2)-L181-'Calc base'!V181)</f>
        <v>0</v>
      </c>
      <c r="Y181">
        <f>MAX(0,ROUND(AW180*(1+'Calc base'!K181),2)-M181-'Calc base'!W181)</f>
        <v>0</v>
      </c>
      <c r="Z181">
        <f>MAX(0,ROUND(AX180*(1+'Calc base'!L181),2)-N181-'Calc base'!X181)</f>
        <v>0</v>
      </c>
      <c r="AA181">
        <f>MAX(0,ROUND(AY180*(1+'Calc base'!M181),2)-O181-'Calc base'!Y181)</f>
        <v>0</v>
      </c>
      <c r="AB181">
        <f>MAX(0,ROUND(AZ180*(1+'Calc base'!N181),2)-P181-'Calc base'!Z181)</f>
        <v>0</v>
      </c>
      <c r="AC181">
        <f>MAX(0,ROUND(BA180*(1+'Calc base'!O181),2)-Q181-'Calc base'!AA181)</f>
        <v>0</v>
      </c>
      <c r="AD181">
        <f>MAX(0,ROUND(BB180*(1+'Calc base'!P181),2)-R181-'Calc base'!AB181)</f>
        <v>0</v>
      </c>
      <c r="AE181">
        <f>MAX(0,ROUND(BC180*(1+'Calc base'!Q181),2)-S181-'Calc base'!AC181)</f>
        <v>0</v>
      </c>
      <c r="AF181">
        <f>MAX(0,ROUND(BD180*(1+'Calc base'!R181),2)-T181-'Calc base'!AD181)</f>
        <v>0</v>
      </c>
      <c r="AG181">
        <f>MAX(0,ROUND(BE180*(1+'Calc base'!S181),2)-U181-'Calc base'!AE181)</f>
        <v>0</v>
      </c>
      <c r="AH181">
        <f>IF('Calc base'!C$14=0,0,MIN(V181,MAX(0,$E181-SUMPRODUCT($V181:$AG181,'Calc base'!$C$14:$N$14,('Calc base'!$H181:$S181&gt;'Calc base'!H181)+('Calc base'!$H181:$S181='Calc base'!H181)*('Calc base'!$C$17:$N$17&lt;'Calc base'!C$17)))))</f>
        <v>0</v>
      </c>
      <c r="AI181">
        <f>IF('Calc base'!D$14=0,0,MIN(W181,MAX(0,$E181-SUMPRODUCT($V181:$AG181,'Calc base'!$C$14:$N$14,('Calc base'!$H181:$S181&gt;'Calc base'!I181)+('Calc base'!$H181:$S181='Calc base'!I181)*('Calc base'!$C$17:$N$17&lt;'Calc base'!D$17)))))</f>
        <v>0</v>
      </c>
      <c r="AJ181">
        <f>IF('Calc base'!E$14=0,0,MIN(X181,MAX(0,$E181-SUMPRODUCT($V181:$AG181,'Calc base'!$C$14:$N$14,('Calc base'!$H181:$S181&gt;'Calc base'!J181)+('Calc base'!$H181:$S181='Calc base'!J181)*('Calc base'!$C$17:$N$17&lt;'Calc base'!E$17)))))</f>
        <v>0</v>
      </c>
      <c r="AK181">
        <f>IF('Calc base'!F$14=0,0,MIN(Y181,MAX(0,$E181-SUMPRODUCT($V181:$AG181,'Calc base'!$C$14:$N$14,('Calc base'!$H181:$S181&gt;'Calc base'!K181)+('Calc base'!$H181:$S181='Calc base'!K181)*('Calc base'!$C$17:$N$17&lt;'Calc base'!F$17)))))</f>
        <v>0</v>
      </c>
      <c r="AL181">
        <f>IF('Calc base'!G$14=0,0,MIN(Z181,MAX(0,$E181-SUMPRODUCT($V181:$AG181,'Calc base'!$C$14:$N$14,('Calc base'!$H181:$S181&gt;'Calc base'!L181)+('Calc base'!$H181:$S181='Calc base'!L181)*('Calc base'!$C$17:$N$17&lt;'Calc base'!G$17)))))</f>
        <v>0</v>
      </c>
      <c r="AM181">
        <f>IF('Calc base'!H$14=0,0,MIN(AA181,MAX(0,$E181-SUMPRODUCT($V181:$AG181,'Calc base'!$C$14:$N$14,('Calc base'!$H181:$S181&gt;'Calc base'!M181)+('Calc base'!$H181:$S181='Calc base'!M181)*('Calc base'!$C$17:$N$17&lt;'Calc base'!H$17)))))</f>
        <v>0</v>
      </c>
      <c r="AN181">
        <f>IF('Calc base'!I$14=0,0,MIN(AB181,MAX(0,$E181-SUMPRODUCT($V181:$AG181,'Calc base'!$C$14:$N$14,('Calc base'!$H181:$S181&gt;'Calc base'!N181)+('Calc base'!$H181:$S181='Calc base'!N181)*('Calc base'!$C$17:$N$17&lt;'Calc base'!I$17)))))</f>
        <v>0</v>
      </c>
      <c r="AO181">
        <f>IF('Calc base'!J$14=0,0,MIN(AC181,MAX(0,$E181-SUMPRODUCT($V181:$AG181,'Calc base'!$C$14:$N$14,('Calc base'!$H181:$S181&gt;'Calc base'!O181)+('Calc base'!$H181:$S181='Calc base'!O181)*('Calc base'!$C$17:$N$17&lt;'Calc base'!J$17)))))</f>
        <v>0</v>
      </c>
      <c r="AP181">
        <f>IF('Calc base'!K$14=0,0,MIN(AD181,MAX(0,$E181-SUMPRODUCT($V181:$AG181,'Calc base'!$C$14:$N$14,('Calc base'!$H181:$S181&gt;'Calc base'!P181)+('Calc base'!$H181:$S181='Calc base'!P181)*('Calc base'!$C$17:$N$17&lt;'Calc base'!K$17)))))</f>
        <v>0</v>
      </c>
      <c r="AQ181">
        <f>IF('Calc base'!L$14=0,0,MIN(AE181,MAX(0,$E181-SUMPRODUCT($V181:$AG181,'Calc base'!$C$14:$N$14,('Calc base'!$H181:$S181&gt;'Calc base'!Q181)+('Calc base'!$H181:$S181='Calc base'!Q181)*('Calc base'!$C$17:$N$17&lt;'Calc base'!L$17)))))</f>
        <v>0</v>
      </c>
      <c r="AR181">
        <f>IF('Calc base'!M$14=0,0,MIN(AF181,MAX(0,$E181-SUMPRODUCT($V181:$AG181,'Calc base'!$C$14:$N$14,('Calc base'!$H181:$S181&gt;'Calc base'!R181)+('Calc base'!$H181:$S181='Calc base'!R181)*('Calc base'!$C$17:$N$17&lt;'Calc base'!M$17)))))</f>
        <v>0</v>
      </c>
      <c r="AS181">
        <f>IF('Calc base'!N$14=0,0,MIN(AG181,MAX(0,$E181-SUMPRODUCT($V181:$AG181,'Calc base'!$C$14:$N$14,('Calc base'!$H181:$S181&gt;'Calc base'!S181)+('Calc base'!$H181:$S181='Calc base'!S181)*('Calc base'!$C$17:$N$17&lt;'Calc base'!N$17)))))</f>
        <v>0</v>
      </c>
      <c r="AT181">
        <f>V181-AH181</f>
        <v>0</v>
      </c>
      <c r="AU181">
        <f>W181-AI181</f>
        <v>0</v>
      </c>
      <c r="AV181">
        <f>X181-AJ181</f>
        <v>0</v>
      </c>
      <c r="AW181">
        <f>Y181-AK181</f>
        <v>0</v>
      </c>
      <c r="AX181">
        <f>Z181-AL181</f>
        <v>0</v>
      </c>
      <c r="AY181">
        <f>AA181-AM181</f>
        <v>0</v>
      </c>
      <c r="AZ181">
        <f>AB181-AN181</f>
        <v>0</v>
      </c>
      <c r="BA181">
        <f>AC181-AO181</f>
        <v>0</v>
      </c>
      <c r="BB181">
        <f>AD181-AP181</f>
        <v>0</v>
      </c>
      <c r="BC181">
        <f>AE181-AQ181</f>
        <v>0</v>
      </c>
      <c r="BD181">
        <f>AF181-AR181</f>
        <v>0</v>
      </c>
      <c r="BE181">
        <f>AG181-AS181</f>
        <v>0</v>
      </c>
    </row>
    <row r="182">
      <c r="A182" t="n">
        <v>152</v>
      </c>
      <c r="B182">
        <f>SUMPRODUCT(ROUND($AT181:$BE181*(1+'Calc base'!$H182:$S182),2))</f>
        <v>0</v>
      </c>
      <c r="C182">
        <f>SUM(J182:U182)</f>
        <v>0</v>
      </c>
      <c r="D182">
        <f>SUM(V182:AG182)</f>
        <v>0</v>
      </c>
      <c r="E182">
        <f>MAX(0,IF(Impostazioni!$B$7="No",'Calc base'!$C182-$C$31,'Calc base'!$C182-C182)+'Calc base'!$G182+'Calc base'!$F182-(B182-C182-D182))</f>
        <v>900</v>
      </c>
      <c r="F182">
        <f>SUM(AH182:AS182)</f>
        <v>0</v>
      </c>
      <c r="G182">
        <f>SUM(AT182:BE182)</f>
        <v>0</v>
      </c>
      <c r="H182">
        <f>B182-G181</f>
        <v>0</v>
      </c>
      <c r="I182">
        <f>B182-G182</f>
        <v>0</v>
      </c>
      <c r="J182">
        <f>IF(AT181&lt;=0,0,IF(ROUND(AT181*(1+'Calc base'!H182),2)-MAX('Calc base'!C$12,ROUND('Calc base'!C$13*AT181,2))&lt;1,ROUND(AT181*(1+'Calc base'!H182),2),MAX('Calc base'!C$12,ROUND('Calc base'!C$13*AT181,2))))</f>
        <v>0</v>
      </c>
      <c r="K182">
        <f>IF(AU181&lt;=0,0,IF(ROUND(AU181*(1+'Calc base'!I182),2)-MAX('Calc base'!D$12,ROUND('Calc base'!D$13*AU181,2))&lt;1,ROUND(AU181*(1+'Calc base'!I182),2),MAX('Calc base'!D$12,ROUND('Calc base'!D$13*AU181,2))))</f>
        <v>0</v>
      </c>
      <c r="L182">
        <f>IF(AV181&lt;=0,0,IF(ROUND(AV181*(1+'Calc base'!J182),2)-MAX('Calc base'!E$12,ROUND('Calc base'!E$13*AV181,2))&lt;1,ROUND(AV181*(1+'Calc base'!J182),2),MAX('Calc base'!E$12,ROUND('Calc base'!E$13*AV181,2))))</f>
        <v>0</v>
      </c>
      <c r="M182">
        <f>IF(AW181&lt;=0,0,IF(ROUND(AW181*(1+'Calc base'!K182),2)-MAX('Calc base'!F$12,ROUND('Calc base'!F$13*AW181,2))&lt;1,ROUND(AW181*(1+'Calc base'!K182),2),MAX('Calc base'!F$12,ROUND('Calc base'!F$13*AW181,2))))</f>
        <v>0</v>
      </c>
      <c r="N182">
        <f>IF(AX181&lt;=0,0,IF(ROUND(AX181*(1+'Calc base'!L182),2)-MAX('Calc base'!G$12,ROUND('Calc base'!G$13*AX181,2))&lt;1,ROUND(AX181*(1+'Calc base'!L182),2),MAX('Calc base'!G$12,ROUND('Calc base'!G$13*AX181,2))))</f>
        <v>0</v>
      </c>
      <c r="O182">
        <f>IF(AY181&lt;=0,0,IF(ROUND(AY181*(1+'Calc base'!M182),2)-MAX('Calc base'!H$12,ROUND('Calc base'!H$13*AY181,2))&lt;1,ROUND(AY181*(1+'Calc base'!M182),2),MAX('Calc base'!H$12,ROUND('Calc base'!H$13*AY181,2))))</f>
        <v>0</v>
      </c>
      <c r="P182">
        <f>IF(AZ181&lt;=0,0,IF(ROUND(AZ181*(1+'Calc base'!N182),2)-MAX('Calc base'!I$12,ROUND('Calc base'!I$13*AZ181,2))&lt;1,ROUND(AZ181*(1+'Calc base'!N182),2),MAX('Calc base'!I$12,ROUND('Calc base'!I$13*AZ181,2))))</f>
        <v>0</v>
      </c>
      <c r="Q182">
        <f>IF(BA181&lt;=0,0,IF(ROUND(BA181*(1+'Calc base'!O182),2)-MAX('Calc base'!J$12,ROUND('Calc base'!J$13*BA181,2))&lt;1,ROUND(BA181*(1+'Calc base'!O182),2),MAX('Calc base'!J$12,ROUND('Calc base'!J$13*BA181,2))))</f>
        <v>0</v>
      </c>
      <c r="R182">
        <f>IF(BB181&lt;=0,0,IF(ROUND(BB181*(1+'Calc base'!P182),2)-MAX('Calc base'!K$12,ROUND('Calc base'!K$13*BB181,2))&lt;1,ROUND(BB181*(1+'Calc base'!P182),2),MAX('Calc base'!K$12,ROUND('Calc base'!K$13*BB181,2))))</f>
        <v>0</v>
      </c>
      <c r="S182">
        <f>IF(BC181&lt;=0,0,IF(ROUND(BC181*(1+'Calc base'!Q182),2)-MAX('Calc base'!L$12,ROUND('Calc base'!L$13*BC181,2))&lt;1,ROUND(BC181*(1+'Calc base'!Q182),2),MAX('Calc base'!L$12,ROUND('Calc base'!L$13*BC181,2))))</f>
        <v>0</v>
      </c>
      <c r="T182">
        <f>IF(BD181&lt;=0,0,IF(ROUND(BD181*(1+'Calc base'!R182),2)-MAX('Calc base'!M$12,ROUND('Calc base'!M$13*BD181,2))&lt;1,ROUND(BD181*(1+'Calc base'!R182),2),MAX('Calc base'!M$12,ROUND('Calc base'!M$13*BD181,2))))</f>
        <v>0</v>
      </c>
      <c r="U182">
        <f>IF(BE181&lt;=0,0,IF(ROUND(BE181*(1+'Calc base'!S182),2)-MAX('Calc base'!N$12,ROUND('Calc base'!N$13*BE181,2))&lt;1,ROUND(BE181*(1+'Calc base'!S182),2),MAX('Calc base'!N$12,ROUND('Calc base'!N$13*BE181,2))))</f>
        <v>0</v>
      </c>
      <c r="V182">
        <f>MAX(0,ROUND(AT181*(1+'Calc base'!H182),2)-J182-'Calc base'!T182)</f>
        <v>0</v>
      </c>
      <c r="W182">
        <f>MAX(0,ROUND(AU181*(1+'Calc base'!I182),2)-K182-'Calc base'!U182)</f>
        <v>0</v>
      </c>
      <c r="X182">
        <f>MAX(0,ROUND(AV181*(1+'Calc base'!J182),2)-L182-'Calc base'!V182)</f>
        <v>0</v>
      </c>
      <c r="Y182">
        <f>MAX(0,ROUND(AW181*(1+'Calc base'!K182),2)-M182-'Calc base'!W182)</f>
        <v>0</v>
      </c>
      <c r="Z182">
        <f>MAX(0,ROUND(AX181*(1+'Calc base'!L182),2)-N182-'Calc base'!X182)</f>
        <v>0</v>
      </c>
      <c r="AA182">
        <f>MAX(0,ROUND(AY181*(1+'Calc base'!M182),2)-O182-'Calc base'!Y182)</f>
        <v>0</v>
      </c>
      <c r="AB182">
        <f>MAX(0,ROUND(AZ181*(1+'Calc base'!N182),2)-P182-'Calc base'!Z182)</f>
        <v>0</v>
      </c>
      <c r="AC182">
        <f>MAX(0,ROUND(BA181*(1+'Calc base'!O182),2)-Q182-'Calc base'!AA182)</f>
        <v>0</v>
      </c>
      <c r="AD182">
        <f>MAX(0,ROUND(BB181*(1+'Calc base'!P182),2)-R182-'Calc base'!AB182)</f>
        <v>0</v>
      </c>
      <c r="AE182">
        <f>MAX(0,ROUND(BC181*(1+'Calc base'!Q182),2)-S182-'Calc base'!AC182)</f>
        <v>0</v>
      </c>
      <c r="AF182">
        <f>MAX(0,ROUND(BD181*(1+'Calc base'!R182),2)-T182-'Calc base'!AD182)</f>
        <v>0</v>
      </c>
      <c r="AG182">
        <f>MAX(0,ROUND(BE181*(1+'Calc base'!S182),2)-U182-'Calc base'!AE182)</f>
        <v>0</v>
      </c>
      <c r="AH182">
        <f>IF('Calc base'!C$14=0,0,MIN(V182,MAX(0,$E182-SUMPRODUCT($V182:$AG182,'Calc base'!$C$14:$N$14,('Calc base'!$H182:$S182&gt;'Calc base'!H182)+('Calc base'!$H182:$S182='Calc base'!H182)*('Calc base'!$C$17:$N$17&lt;'Calc base'!C$17)))))</f>
        <v>0</v>
      </c>
      <c r="AI182">
        <f>IF('Calc base'!D$14=0,0,MIN(W182,MAX(0,$E182-SUMPRODUCT($V182:$AG182,'Calc base'!$C$14:$N$14,('Calc base'!$H182:$S182&gt;'Calc base'!I182)+('Calc base'!$H182:$S182='Calc base'!I182)*('Calc base'!$C$17:$N$17&lt;'Calc base'!D$17)))))</f>
        <v>0</v>
      </c>
      <c r="AJ182">
        <f>IF('Calc base'!E$14=0,0,MIN(X182,MAX(0,$E182-SUMPRODUCT($V182:$AG182,'Calc base'!$C$14:$N$14,('Calc base'!$H182:$S182&gt;'Calc base'!J182)+('Calc base'!$H182:$S182='Calc base'!J182)*('Calc base'!$C$17:$N$17&lt;'Calc base'!E$17)))))</f>
        <v>0</v>
      </c>
      <c r="AK182">
        <f>IF('Calc base'!F$14=0,0,MIN(Y182,MAX(0,$E182-SUMPRODUCT($V182:$AG182,'Calc base'!$C$14:$N$14,('Calc base'!$H182:$S182&gt;'Calc base'!K182)+('Calc base'!$H182:$S182='Calc base'!K182)*('Calc base'!$C$17:$N$17&lt;'Calc base'!F$17)))))</f>
        <v>0</v>
      </c>
      <c r="AL182">
        <f>IF('Calc base'!G$14=0,0,MIN(Z182,MAX(0,$E182-SUMPRODUCT($V182:$AG182,'Calc base'!$C$14:$N$14,('Calc base'!$H182:$S182&gt;'Calc base'!L182)+('Calc base'!$H182:$S182='Calc base'!L182)*('Calc base'!$C$17:$N$17&lt;'Calc base'!G$17)))))</f>
        <v>0</v>
      </c>
      <c r="AM182">
        <f>IF('Calc base'!H$14=0,0,MIN(AA182,MAX(0,$E182-SUMPRODUCT($V182:$AG182,'Calc base'!$C$14:$N$14,('Calc base'!$H182:$S182&gt;'Calc base'!M182)+('Calc base'!$H182:$S182='Calc base'!M182)*('Calc base'!$C$17:$N$17&lt;'Calc base'!H$17)))))</f>
        <v>0</v>
      </c>
      <c r="AN182">
        <f>IF('Calc base'!I$14=0,0,MIN(AB182,MAX(0,$E182-SUMPRODUCT($V182:$AG182,'Calc base'!$C$14:$N$14,('Calc base'!$H182:$S182&gt;'Calc base'!N182)+('Calc base'!$H182:$S182='Calc base'!N182)*('Calc base'!$C$17:$N$17&lt;'Calc base'!I$17)))))</f>
        <v>0</v>
      </c>
      <c r="AO182">
        <f>IF('Calc base'!J$14=0,0,MIN(AC182,MAX(0,$E182-SUMPRODUCT($V182:$AG182,'Calc base'!$C$14:$N$14,('Calc base'!$H182:$S182&gt;'Calc base'!O182)+('Calc base'!$H182:$S182='Calc base'!O182)*('Calc base'!$C$17:$N$17&lt;'Calc base'!J$17)))))</f>
        <v>0</v>
      </c>
      <c r="AP182">
        <f>IF('Calc base'!K$14=0,0,MIN(AD182,MAX(0,$E182-SUMPRODUCT($V182:$AG182,'Calc base'!$C$14:$N$14,('Calc base'!$H182:$S182&gt;'Calc base'!P182)+('Calc base'!$H182:$S182='Calc base'!P182)*('Calc base'!$C$17:$N$17&lt;'Calc base'!K$17)))))</f>
        <v>0</v>
      </c>
      <c r="AQ182">
        <f>IF('Calc base'!L$14=0,0,MIN(AE182,MAX(0,$E182-SUMPRODUCT($V182:$AG182,'Calc base'!$C$14:$N$14,('Calc base'!$H182:$S182&gt;'Calc base'!Q182)+('Calc base'!$H182:$S182='Calc base'!Q182)*('Calc base'!$C$17:$N$17&lt;'Calc base'!L$17)))))</f>
        <v>0</v>
      </c>
      <c r="AR182">
        <f>IF('Calc base'!M$14=0,0,MIN(AF182,MAX(0,$E182-SUMPRODUCT($V182:$AG182,'Calc base'!$C$14:$N$14,('Calc base'!$H182:$S182&gt;'Calc base'!R182)+('Calc base'!$H182:$S182='Calc base'!R182)*('Calc base'!$C$17:$N$17&lt;'Calc base'!M$17)))))</f>
        <v>0</v>
      </c>
      <c r="AS182">
        <f>IF('Calc base'!N$14=0,0,MIN(AG182,MAX(0,$E182-SUMPRODUCT($V182:$AG182,'Calc base'!$C$14:$N$14,('Calc base'!$H182:$S182&gt;'Calc base'!S182)+('Calc base'!$H182:$S182='Calc base'!S182)*('Calc base'!$C$17:$N$17&lt;'Calc base'!N$17)))))</f>
        <v>0</v>
      </c>
      <c r="AT182">
        <f>V182-AH182</f>
        <v>0</v>
      </c>
      <c r="AU182">
        <f>W182-AI182</f>
        <v>0</v>
      </c>
      <c r="AV182">
        <f>X182-AJ182</f>
        <v>0</v>
      </c>
      <c r="AW182">
        <f>Y182-AK182</f>
        <v>0</v>
      </c>
      <c r="AX182">
        <f>Z182-AL182</f>
        <v>0</v>
      </c>
      <c r="AY182">
        <f>AA182-AM182</f>
        <v>0</v>
      </c>
      <c r="AZ182">
        <f>AB182-AN182</f>
        <v>0</v>
      </c>
      <c r="BA182">
        <f>AC182-AO182</f>
        <v>0</v>
      </c>
      <c r="BB182">
        <f>AD182-AP182</f>
        <v>0</v>
      </c>
      <c r="BC182">
        <f>AE182-AQ182</f>
        <v>0</v>
      </c>
      <c r="BD182">
        <f>AF182-AR182</f>
        <v>0</v>
      </c>
      <c r="BE182">
        <f>AG182-AS182</f>
        <v>0</v>
      </c>
    </row>
    <row r="183">
      <c r="A183" t="n">
        <v>153</v>
      </c>
      <c r="B183">
        <f>SUMPRODUCT(ROUND($AT182:$BE182*(1+'Calc base'!$H183:$S183),2))</f>
        <v>0</v>
      </c>
      <c r="C183">
        <f>SUM(J183:U183)</f>
        <v>0</v>
      </c>
      <c r="D183">
        <f>SUM(V183:AG183)</f>
        <v>0</v>
      </c>
      <c r="E183">
        <f>MAX(0,IF(Impostazioni!$B$7="No",'Calc base'!$C183-$C$31,'Calc base'!$C183-C183)+'Calc base'!$G183+'Calc base'!$F183-(B183-C183-D183))</f>
        <v>900</v>
      </c>
      <c r="F183">
        <f>SUM(AH183:AS183)</f>
        <v>0</v>
      </c>
      <c r="G183">
        <f>SUM(AT183:BE183)</f>
        <v>0</v>
      </c>
      <c r="H183">
        <f>B183-G182</f>
        <v>0</v>
      </c>
      <c r="I183">
        <f>B183-G183</f>
        <v>0</v>
      </c>
      <c r="J183">
        <f>IF(AT182&lt;=0,0,IF(ROUND(AT182*(1+'Calc base'!H183),2)-MAX('Calc base'!C$12,ROUND('Calc base'!C$13*AT182,2))&lt;1,ROUND(AT182*(1+'Calc base'!H183),2),MAX('Calc base'!C$12,ROUND('Calc base'!C$13*AT182,2))))</f>
        <v>0</v>
      </c>
      <c r="K183">
        <f>IF(AU182&lt;=0,0,IF(ROUND(AU182*(1+'Calc base'!I183),2)-MAX('Calc base'!D$12,ROUND('Calc base'!D$13*AU182,2))&lt;1,ROUND(AU182*(1+'Calc base'!I183),2),MAX('Calc base'!D$12,ROUND('Calc base'!D$13*AU182,2))))</f>
        <v>0</v>
      </c>
      <c r="L183">
        <f>IF(AV182&lt;=0,0,IF(ROUND(AV182*(1+'Calc base'!J183),2)-MAX('Calc base'!E$12,ROUND('Calc base'!E$13*AV182,2))&lt;1,ROUND(AV182*(1+'Calc base'!J183),2),MAX('Calc base'!E$12,ROUND('Calc base'!E$13*AV182,2))))</f>
        <v>0</v>
      </c>
      <c r="M183">
        <f>IF(AW182&lt;=0,0,IF(ROUND(AW182*(1+'Calc base'!K183),2)-MAX('Calc base'!F$12,ROUND('Calc base'!F$13*AW182,2))&lt;1,ROUND(AW182*(1+'Calc base'!K183),2),MAX('Calc base'!F$12,ROUND('Calc base'!F$13*AW182,2))))</f>
        <v>0</v>
      </c>
      <c r="N183">
        <f>IF(AX182&lt;=0,0,IF(ROUND(AX182*(1+'Calc base'!L183),2)-MAX('Calc base'!G$12,ROUND('Calc base'!G$13*AX182,2))&lt;1,ROUND(AX182*(1+'Calc base'!L183),2),MAX('Calc base'!G$12,ROUND('Calc base'!G$13*AX182,2))))</f>
        <v>0</v>
      </c>
      <c r="O183">
        <f>IF(AY182&lt;=0,0,IF(ROUND(AY182*(1+'Calc base'!M183),2)-MAX('Calc base'!H$12,ROUND('Calc base'!H$13*AY182,2))&lt;1,ROUND(AY182*(1+'Calc base'!M183),2),MAX('Calc base'!H$12,ROUND('Calc base'!H$13*AY182,2))))</f>
        <v>0</v>
      </c>
      <c r="P183">
        <f>IF(AZ182&lt;=0,0,IF(ROUND(AZ182*(1+'Calc base'!N183),2)-MAX('Calc base'!I$12,ROUND('Calc base'!I$13*AZ182,2))&lt;1,ROUND(AZ182*(1+'Calc base'!N183),2),MAX('Calc base'!I$12,ROUND('Calc base'!I$13*AZ182,2))))</f>
        <v>0</v>
      </c>
      <c r="Q183">
        <f>IF(BA182&lt;=0,0,IF(ROUND(BA182*(1+'Calc base'!O183),2)-MAX('Calc base'!J$12,ROUND('Calc base'!J$13*BA182,2))&lt;1,ROUND(BA182*(1+'Calc base'!O183),2),MAX('Calc base'!J$12,ROUND('Calc base'!J$13*BA182,2))))</f>
        <v>0</v>
      </c>
      <c r="R183">
        <f>IF(BB182&lt;=0,0,IF(ROUND(BB182*(1+'Calc base'!P183),2)-MAX('Calc base'!K$12,ROUND('Calc base'!K$13*BB182,2))&lt;1,ROUND(BB182*(1+'Calc base'!P183),2),MAX('Calc base'!K$12,ROUND('Calc base'!K$13*BB182,2))))</f>
        <v>0</v>
      </c>
      <c r="S183">
        <f>IF(BC182&lt;=0,0,IF(ROUND(BC182*(1+'Calc base'!Q183),2)-MAX('Calc base'!L$12,ROUND('Calc base'!L$13*BC182,2))&lt;1,ROUND(BC182*(1+'Calc base'!Q183),2),MAX('Calc base'!L$12,ROUND('Calc base'!L$13*BC182,2))))</f>
        <v>0</v>
      </c>
      <c r="T183">
        <f>IF(BD182&lt;=0,0,IF(ROUND(BD182*(1+'Calc base'!R183),2)-MAX('Calc base'!M$12,ROUND('Calc base'!M$13*BD182,2))&lt;1,ROUND(BD182*(1+'Calc base'!R183),2),MAX('Calc base'!M$12,ROUND('Calc base'!M$13*BD182,2))))</f>
        <v>0</v>
      </c>
      <c r="U183">
        <f>IF(BE182&lt;=0,0,IF(ROUND(BE182*(1+'Calc base'!S183),2)-MAX('Calc base'!N$12,ROUND('Calc base'!N$13*BE182,2))&lt;1,ROUND(BE182*(1+'Calc base'!S183),2),MAX('Calc base'!N$12,ROUND('Calc base'!N$13*BE182,2))))</f>
        <v>0</v>
      </c>
      <c r="V183">
        <f>MAX(0,ROUND(AT182*(1+'Calc base'!H183),2)-J183-'Calc base'!T183)</f>
        <v>0</v>
      </c>
      <c r="W183">
        <f>MAX(0,ROUND(AU182*(1+'Calc base'!I183),2)-K183-'Calc base'!U183)</f>
        <v>0</v>
      </c>
      <c r="X183">
        <f>MAX(0,ROUND(AV182*(1+'Calc base'!J183),2)-L183-'Calc base'!V183)</f>
        <v>0</v>
      </c>
      <c r="Y183">
        <f>MAX(0,ROUND(AW182*(1+'Calc base'!K183),2)-M183-'Calc base'!W183)</f>
        <v>0</v>
      </c>
      <c r="Z183">
        <f>MAX(0,ROUND(AX182*(1+'Calc base'!L183),2)-N183-'Calc base'!X183)</f>
        <v>0</v>
      </c>
      <c r="AA183">
        <f>MAX(0,ROUND(AY182*(1+'Calc base'!M183),2)-O183-'Calc base'!Y183)</f>
        <v>0</v>
      </c>
      <c r="AB183">
        <f>MAX(0,ROUND(AZ182*(1+'Calc base'!N183),2)-P183-'Calc base'!Z183)</f>
        <v>0</v>
      </c>
      <c r="AC183">
        <f>MAX(0,ROUND(BA182*(1+'Calc base'!O183),2)-Q183-'Calc base'!AA183)</f>
        <v>0</v>
      </c>
      <c r="AD183">
        <f>MAX(0,ROUND(BB182*(1+'Calc base'!P183),2)-R183-'Calc base'!AB183)</f>
        <v>0</v>
      </c>
      <c r="AE183">
        <f>MAX(0,ROUND(BC182*(1+'Calc base'!Q183),2)-S183-'Calc base'!AC183)</f>
        <v>0</v>
      </c>
      <c r="AF183">
        <f>MAX(0,ROUND(BD182*(1+'Calc base'!R183),2)-T183-'Calc base'!AD183)</f>
        <v>0</v>
      </c>
      <c r="AG183">
        <f>MAX(0,ROUND(BE182*(1+'Calc base'!S183),2)-U183-'Calc base'!AE183)</f>
        <v>0</v>
      </c>
      <c r="AH183">
        <f>IF('Calc base'!C$14=0,0,MIN(V183,MAX(0,$E183-SUMPRODUCT($V183:$AG183,'Calc base'!$C$14:$N$14,('Calc base'!$H183:$S183&gt;'Calc base'!H183)+('Calc base'!$H183:$S183='Calc base'!H183)*('Calc base'!$C$17:$N$17&lt;'Calc base'!C$17)))))</f>
        <v>0</v>
      </c>
      <c r="AI183">
        <f>IF('Calc base'!D$14=0,0,MIN(W183,MAX(0,$E183-SUMPRODUCT($V183:$AG183,'Calc base'!$C$14:$N$14,('Calc base'!$H183:$S183&gt;'Calc base'!I183)+('Calc base'!$H183:$S183='Calc base'!I183)*('Calc base'!$C$17:$N$17&lt;'Calc base'!D$17)))))</f>
        <v>0</v>
      </c>
      <c r="AJ183">
        <f>IF('Calc base'!E$14=0,0,MIN(X183,MAX(0,$E183-SUMPRODUCT($V183:$AG183,'Calc base'!$C$14:$N$14,('Calc base'!$H183:$S183&gt;'Calc base'!J183)+('Calc base'!$H183:$S183='Calc base'!J183)*('Calc base'!$C$17:$N$17&lt;'Calc base'!E$17)))))</f>
        <v>0</v>
      </c>
      <c r="AK183">
        <f>IF('Calc base'!F$14=0,0,MIN(Y183,MAX(0,$E183-SUMPRODUCT($V183:$AG183,'Calc base'!$C$14:$N$14,('Calc base'!$H183:$S183&gt;'Calc base'!K183)+('Calc base'!$H183:$S183='Calc base'!K183)*('Calc base'!$C$17:$N$17&lt;'Calc base'!F$17)))))</f>
        <v>0</v>
      </c>
      <c r="AL183">
        <f>IF('Calc base'!G$14=0,0,MIN(Z183,MAX(0,$E183-SUMPRODUCT($V183:$AG183,'Calc base'!$C$14:$N$14,('Calc base'!$H183:$S183&gt;'Calc base'!L183)+('Calc base'!$H183:$S183='Calc base'!L183)*('Calc base'!$C$17:$N$17&lt;'Calc base'!G$17)))))</f>
        <v>0</v>
      </c>
      <c r="AM183">
        <f>IF('Calc base'!H$14=0,0,MIN(AA183,MAX(0,$E183-SUMPRODUCT($V183:$AG183,'Calc base'!$C$14:$N$14,('Calc base'!$H183:$S183&gt;'Calc base'!M183)+('Calc base'!$H183:$S183='Calc base'!M183)*('Calc base'!$C$17:$N$17&lt;'Calc base'!H$17)))))</f>
        <v>0</v>
      </c>
      <c r="AN183">
        <f>IF('Calc base'!I$14=0,0,MIN(AB183,MAX(0,$E183-SUMPRODUCT($V183:$AG183,'Calc base'!$C$14:$N$14,('Calc base'!$H183:$S183&gt;'Calc base'!N183)+('Calc base'!$H183:$S183='Calc base'!N183)*('Calc base'!$C$17:$N$17&lt;'Calc base'!I$17)))))</f>
        <v>0</v>
      </c>
      <c r="AO183">
        <f>IF('Calc base'!J$14=0,0,MIN(AC183,MAX(0,$E183-SUMPRODUCT($V183:$AG183,'Calc base'!$C$14:$N$14,('Calc base'!$H183:$S183&gt;'Calc base'!O183)+('Calc base'!$H183:$S183='Calc base'!O183)*('Calc base'!$C$17:$N$17&lt;'Calc base'!J$17)))))</f>
        <v>0</v>
      </c>
      <c r="AP183">
        <f>IF('Calc base'!K$14=0,0,MIN(AD183,MAX(0,$E183-SUMPRODUCT($V183:$AG183,'Calc base'!$C$14:$N$14,('Calc base'!$H183:$S183&gt;'Calc base'!P183)+('Calc base'!$H183:$S183='Calc base'!P183)*('Calc base'!$C$17:$N$17&lt;'Calc base'!K$17)))))</f>
        <v>0</v>
      </c>
      <c r="AQ183">
        <f>IF('Calc base'!L$14=0,0,MIN(AE183,MAX(0,$E183-SUMPRODUCT($V183:$AG183,'Calc base'!$C$14:$N$14,('Calc base'!$H183:$S183&gt;'Calc base'!Q183)+('Calc base'!$H183:$S183='Calc base'!Q183)*('Calc base'!$C$17:$N$17&lt;'Calc base'!L$17)))))</f>
        <v>0</v>
      </c>
      <c r="AR183">
        <f>IF('Calc base'!M$14=0,0,MIN(AF183,MAX(0,$E183-SUMPRODUCT($V183:$AG183,'Calc base'!$C$14:$N$14,('Calc base'!$H183:$S183&gt;'Calc base'!R183)+('Calc base'!$H183:$S183='Calc base'!R183)*('Calc base'!$C$17:$N$17&lt;'Calc base'!M$17)))))</f>
        <v>0</v>
      </c>
      <c r="AS183">
        <f>IF('Calc base'!N$14=0,0,MIN(AG183,MAX(0,$E183-SUMPRODUCT($V183:$AG183,'Calc base'!$C$14:$N$14,('Calc base'!$H183:$S183&gt;'Calc base'!S183)+('Calc base'!$H183:$S183='Calc base'!S183)*('Calc base'!$C$17:$N$17&lt;'Calc base'!N$17)))))</f>
        <v>0</v>
      </c>
      <c r="AT183">
        <f>V183-AH183</f>
        <v>0</v>
      </c>
      <c r="AU183">
        <f>W183-AI183</f>
        <v>0</v>
      </c>
      <c r="AV183">
        <f>X183-AJ183</f>
        <v>0</v>
      </c>
      <c r="AW183">
        <f>Y183-AK183</f>
        <v>0</v>
      </c>
      <c r="AX183">
        <f>Z183-AL183</f>
        <v>0</v>
      </c>
      <c r="AY183">
        <f>AA183-AM183</f>
        <v>0</v>
      </c>
      <c r="AZ183">
        <f>AB183-AN183</f>
        <v>0</v>
      </c>
      <c r="BA183">
        <f>AC183-AO183</f>
        <v>0</v>
      </c>
      <c r="BB183">
        <f>AD183-AP183</f>
        <v>0</v>
      </c>
      <c r="BC183">
        <f>AE183-AQ183</f>
        <v>0</v>
      </c>
      <c r="BD183">
        <f>AF183-AR183</f>
        <v>0</v>
      </c>
      <c r="BE183">
        <f>AG183-AS183</f>
        <v>0</v>
      </c>
    </row>
    <row r="184">
      <c r="A184" t="n">
        <v>154</v>
      </c>
      <c r="B184">
        <f>SUMPRODUCT(ROUND($AT183:$BE183*(1+'Calc base'!$H184:$S184),2))</f>
        <v>0</v>
      </c>
      <c r="C184">
        <f>SUM(J184:U184)</f>
        <v>0</v>
      </c>
      <c r="D184">
        <f>SUM(V184:AG184)</f>
        <v>0</v>
      </c>
      <c r="E184">
        <f>MAX(0,IF(Impostazioni!$B$7="No",'Calc base'!$C184-$C$31,'Calc base'!$C184-C184)+'Calc base'!$G184+'Calc base'!$F184-(B184-C184-D184))</f>
        <v>900</v>
      </c>
      <c r="F184">
        <f>SUM(AH184:AS184)</f>
        <v>0</v>
      </c>
      <c r="G184">
        <f>SUM(AT184:BE184)</f>
        <v>0</v>
      </c>
      <c r="H184">
        <f>B184-G183</f>
        <v>0</v>
      </c>
      <c r="I184">
        <f>B184-G184</f>
        <v>0</v>
      </c>
      <c r="J184">
        <f>IF(AT183&lt;=0,0,IF(ROUND(AT183*(1+'Calc base'!H184),2)-MAX('Calc base'!C$12,ROUND('Calc base'!C$13*AT183,2))&lt;1,ROUND(AT183*(1+'Calc base'!H184),2),MAX('Calc base'!C$12,ROUND('Calc base'!C$13*AT183,2))))</f>
        <v>0</v>
      </c>
      <c r="K184">
        <f>IF(AU183&lt;=0,0,IF(ROUND(AU183*(1+'Calc base'!I184),2)-MAX('Calc base'!D$12,ROUND('Calc base'!D$13*AU183,2))&lt;1,ROUND(AU183*(1+'Calc base'!I184),2),MAX('Calc base'!D$12,ROUND('Calc base'!D$13*AU183,2))))</f>
        <v>0</v>
      </c>
      <c r="L184">
        <f>IF(AV183&lt;=0,0,IF(ROUND(AV183*(1+'Calc base'!J184),2)-MAX('Calc base'!E$12,ROUND('Calc base'!E$13*AV183,2))&lt;1,ROUND(AV183*(1+'Calc base'!J184),2),MAX('Calc base'!E$12,ROUND('Calc base'!E$13*AV183,2))))</f>
        <v>0</v>
      </c>
      <c r="M184">
        <f>IF(AW183&lt;=0,0,IF(ROUND(AW183*(1+'Calc base'!K184),2)-MAX('Calc base'!F$12,ROUND('Calc base'!F$13*AW183,2))&lt;1,ROUND(AW183*(1+'Calc base'!K184),2),MAX('Calc base'!F$12,ROUND('Calc base'!F$13*AW183,2))))</f>
        <v>0</v>
      </c>
      <c r="N184">
        <f>IF(AX183&lt;=0,0,IF(ROUND(AX183*(1+'Calc base'!L184),2)-MAX('Calc base'!G$12,ROUND('Calc base'!G$13*AX183,2))&lt;1,ROUND(AX183*(1+'Calc base'!L184),2),MAX('Calc base'!G$12,ROUND('Calc base'!G$13*AX183,2))))</f>
        <v>0</v>
      </c>
      <c r="O184">
        <f>IF(AY183&lt;=0,0,IF(ROUND(AY183*(1+'Calc base'!M184),2)-MAX('Calc base'!H$12,ROUND('Calc base'!H$13*AY183,2))&lt;1,ROUND(AY183*(1+'Calc base'!M184),2),MAX('Calc base'!H$12,ROUND('Calc base'!H$13*AY183,2))))</f>
        <v>0</v>
      </c>
      <c r="P184">
        <f>IF(AZ183&lt;=0,0,IF(ROUND(AZ183*(1+'Calc base'!N184),2)-MAX('Calc base'!I$12,ROUND('Calc base'!I$13*AZ183,2))&lt;1,ROUND(AZ183*(1+'Calc base'!N184),2),MAX('Calc base'!I$12,ROUND('Calc base'!I$13*AZ183,2))))</f>
        <v>0</v>
      </c>
      <c r="Q184">
        <f>IF(BA183&lt;=0,0,IF(ROUND(BA183*(1+'Calc base'!O184),2)-MAX('Calc base'!J$12,ROUND('Calc base'!J$13*BA183,2))&lt;1,ROUND(BA183*(1+'Calc base'!O184),2),MAX('Calc base'!J$12,ROUND('Calc base'!J$13*BA183,2))))</f>
        <v>0</v>
      </c>
      <c r="R184">
        <f>IF(BB183&lt;=0,0,IF(ROUND(BB183*(1+'Calc base'!P184),2)-MAX('Calc base'!K$12,ROUND('Calc base'!K$13*BB183,2))&lt;1,ROUND(BB183*(1+'Calc base'!P184),2),MAX('Calc base'!K$12,ROUND('Calc base'!K$13*BB183,2))))</f>
        <v>0</v>
      </c>
      <c r="S184">
        <f>IF(BC183&lt;=0,0,IF(ROUND(BC183*(1+'Calc base'!Q184),2)-MAX('Calc base'!L$12,ROUND('Calc base'!L$13*BC183,2))&lt;1,ROUND(BC183*(1+'Calc base'!Q184),2),MAX('Calc base'!L$12,ROUND('Calc base'!L$13*BC183,2))))</f>
        <v>0</v>
      </c>
      <c r="T184">
        <f>IF(BD183&lt;=0,0,IF(ROUND(BD183*(1+'Calc base'!R184),2)-MAX('Calc base'!M$12,ROUND('Calc base'!M$13*BD183,2))&lt;1,ROUND(BD183*(1+'Calc base'!R184),2),MAX('Calc base'!M$12,ROUND('Calc base'!M$13*BD183,2))))</f>
        <v>0</v>
      </c>
      <c r="U184">
        <f>IF(BE183&lt;=0,0,IF(ROUND(BE183*(1+'Calc base'!S184),2)-MAX('Calc base'!N$12,ROUND('Calc base'!N$13*BE183,2))&lt;1,ROUND(BE183*(1+'Calc base'!S184),2),MAX('Calc base'!N$12,ROUND('Calc base'!N$13*BE183,2))))</f>
        <v>0</v>
      </c>
      <c r="V184">
        <f>MAX(0,ROUND(AT183*(1+'Calc base'!H184),2)-J184-'Calc base'!T184)</f>
        <v>0</v>
      </c>
      <c r="W184">
        <f>MAX(0,ROUND(AU183*(1+'Calc base'!I184),2)-K184-'Calc base'!U184)</f>
        <v>0</v>
      </c>
      <c r="X184">
        <f>MAX(0,ROUND(AV183*(1+'Calc base'!J184),2)-L184-'Calc base'!V184)</f>
        <v>0</v>
      </c>
      <c r="Y184">
        <f>MAX(0,ROUND(AW183*(1+'Calc base'!K184),2)-M184-'Calc base'!W184)</f>
        <v>0</v>
      </c>
      <c r="Z184">
        <f>MAX(0,ROUND(AX183*(1+'Calc base'!L184),2)-N184-'Calc base'!X184)</f>
        <v>0</v>
      </c>
      <c r="AA184">
        <f>MAX(0,ROUND(AY183*(1+'Calc base'!M184),2)-O184-'Calc base'!Y184)</f>
        <v>0</v>
      </c>
      <c r="AB184">
        <f>MAX(0,ROUND(AZ183*(1+'Calc base'!N184),2)-P184-'Calc base'!Z184)</f>
        <v>0</v>
      </c>
      <c r="AC184">
        <f>MAX(0,ROUND(BA183*(1+'Calc base'!O184),2)-Q184-'Calc base'!AA184)</f>
        <v>0</v>
      </c>
      <c r="AD184">
        <f>MAX(0,ROUND(BB183*(1+'Calc base'!P184),2)-R184-'Calc base'!AB184)</f>
        <v>0</v>
      </c>
      <c r="AE184">
        <f>MAX(0,ROUND(BC183*(1+'Calc base'!Q184),2)-S184-'Calc base'!AC184)</f>
        <v>0</v>
      </c>
      <c r="AF184">
        <f>MAX(0,ROUND(BD183*(1+'Calc base'!R184),2)-T184-'Calc base'!AD184)</f>
        <v>0</v>
      </c>
      <c r="AG184">
        <f>MAX(0,ROUND(BE183*(1+'Calc base'!S184),2)-U184-'Calc base'!AE184)</f>
        <v>0</v>
      </c>
      <c r="AH184">
        <f>IF('Calc base'!C$14=0,0,MIN(V184,MAX(0,$E184-SUMPRODUCT($V184:$AG184,'Calc base'!$C$14:$N$14,('Calc base'!$H184:$S184&gt;'Calc base'!H184)+('Calc base'!$H184:$S184='Calc base'!H184)*('Calc base'!$C$17:$N$17&lt;'Calc base'!C$17)))))</f>
        <v>0</v>
      </c>
      <c r="AI184">
        <f>IF('Calc base'!D$14=0,0,MIN(W184,MAX(0,$E184-SUMPRODUCT($V184:$AG184,'Calc base'!$C$14:$N$14,('Calc base'!$H184:$S184&gt;'Calc base'!I184)+('Calc base'!$H184:$S184='Calc base'!I184)*('Calc base'!$C$17:$N$17&lt;'Calc base'!D$17)))))</f>
        <v>0</v>
      </c>
      <c r="AJ184">
        <f>IF('Calc base'!E$14=0,0,MIN(X184,MAX(0,$E184-SUMPRODUCT($V184:$AG184,'Calc base'!$C$14:$N$14,('Calc base'!$H184:$S184&gt;'Calc base'!J184)+('Calc base'!$H184:$S184='Calc base'!J184)*('Calc base'!$C$17:$N$17&lt;'Calc base'!E$17)))))</f>
        <v>0</v>
      </c>
      <c r="AK184">
        <f>IF('Calc base'!F$14=0,0,MIN(Y184,MAX(0,$E184-SUMPRODUCT($V184:$AG184,'Calc base'!$C$14:$N$14,('Calc base'!$H184:$S184&gt;'Calc base'!K184)+('Calc base'!$H184:$S184='Calc base'!K184)*('Calc base'!$C$17:$N$17&lt;'Calc base'!F$17)))))</f>
        <v>0</v>
      </c>
      <c r="AL184">
        <f>IF('Calc base'!G$14=0,0,MIN(Z184,MAX(0,$E184-SUMPRODUCT($V184:$AG184,'Calc base'!$C$14:$N$14,('Calc base'!$H184:$S184&gt;'Calc base'!L184)+('Calc base'!$H184:$S184='Calc base'!L184)*('Calc base'!$C$17:$N$17&lt;'Calc base'!G$17)))))</f>
        <v>0</v>
      </c>
      <c r="AM184">
        <f>IF('Calc base'!H$14=0,0,MIN(AA184,MAX(0,$E184-SUMPRODUCT($V184:$AG184,'Calc base'!$C$14:$N$14,('Calc base'!$H184:$S184&gt;'Calc base'!M184)+('Calc base'!$H184:$S184='Calc base'!M184)*('Calc base'!$C$17:$N$17&lt;'Calc base'!H$17)))))</f>
        <v>0</v>
      </c>
      <c r="AN184">
        <f>IF('Calc base'!I$14=0,0,MIN(AB184,MAX(0,$E184-SUMPRODUCT($V184:$AG184,'Calc base'!$C$14:$N$14,('Calc base'!$H184:$S184&gt;'Calc base'!N184)+('Calc base'!$H184:$S184='Calc base'!N184)*('Calc base'!$C$17:$N$17&lt;'Calc base'!I$17)))))</f>
        <v>0</v>
      </c>
      <c r="AO184">
        <f>IF('Calc base'!J$14=0,0,MIN(AC184,MAX(0,$E184-SUMPRODUCT($V184:$AG184,'Calc base'!$C$14:$N$14,('Calc base'!$H184:$S184&gt;'Calc base'!O184)+('Calc base'!$H184:$S184='Calc base'!O184)*('Calc base'!$C$17:$N$17&lt;'Calc base'!J$17)))))</f>
        <v>0</v>
      </c>
      <c r="AP184">
        <f>IF('Calc base'!K$14=0,0,MIN(AD184,MAX(0,$E184-SUMPRODUCT($V184:$AG184,'Calc base'!$C$14:$N$14,('Calc base'!$H184:$S184&gt;'Calc base'!P184)+('Calc base'!$H184:$S184='Calc base'!P184)*('Calc base'!$C$17:$N$17&lt;'Calc base'!K$17)))))</f>
        <v>0</v>
      </c>
      <c r="AQ184">
        <f>IF('Calc base'!L$14=0,0,MIN(AE184,MAX(0,$E184-SUMPRODUCT($V184:$AG184,'Calc base'!$C$14:$N$14,('Calc base'!$H184:$S184&gt;'Calc base'!Q184)+('Calc base'!$H184:$S184='Calc base'!Q184)*('Calc base'!$C$17:$N$17&lt;'Calc base'!L$17)))))</f>
        <v>0</v>
      </c>
      <c r="AR184">
        <f>IF('Calc base'!M$14=0,0,MIN(AF184,MAX(0,$E184-SUMPRODUCT($V184:$AG184,'Calc base'!$C$14:$N$14,('Calc base'!$H184:$S184&gt;'Calc base'!R184)+('Calc base'!$H184:$S184='Calc base'!R184)*('Calc base'!$C$17:$N$17&lt;'Calc base'!M$17)))))</f>
        <v>0</v>
      </c>
      <c r="AS184">
        <f>IF('Calc base'!N$14=0,0,MIN(AG184,MAX(0,$E184-SUMPRODUCT($V184:$AG184,'Calc base'!$C$14:$N$14,('Calc base'!$H184:$S184&gt;'Calc base'!S184)+('Calc base'!$H184:$S184='Calc base'!S184)*('Calc base'!$C$17:$N$17&lt;'Calc base'!N$17)))))</f>
        <v>0</v>
      </c>
      <c r="AT184">
        <f>V184-AH184</f>
        <v>0</v>
      </c>
      <c r="AU184">
        <f>W184-AI184</f>
        <v>0</v>
      </c>
      <c r="AV184">
        <f>X184-AJ184</f>
        <v>0</v>
      </c>
      <c r="AW184">
        <f>Y184-AK184</f>
        <v>0</v>
      </c>
      <c r="AX184">
        <f>Z184-AL184</f>
        <v>0</v>
      </c>
      <c r="AY184">
        <f>AA184-AM184</f>
        <v>0</v>
      </c>
      <c r="AZ184">
        <f>AB184-AN184</f>
        <v>0</v>
      </c>
      <c r="BA184">
        <f>AC184-AO184</f>
        <v>0</v>
      </c>
      <c r="BB184">
        <f>AD184-AP184</f>
        <v>0</v>
      </c>
      <c r="BC184">
        <f>AE184-AQ184</f>
        <v>0</v>
      </c>
      <c r="BD184">
        <f>AF184-AR184</f>
        <v>0</v>
      </c>
      <c r="BE184">
        <f>AG184-AS184</f>
        <v>0</v>
      </c>
    </row>
    <row r="185">
      <c r="A185" t="n">
        <v>155</v>
      </c>
      <c r="B185">
        <f>SUMPRODUCT(ROUND($AT184:$BE184*(1+'Calc base'!$H185:$S185),2))</f>
        <v>0</v>
      </c>
      <c r="C185">
        <f>SUM(J185:U185)</f>
        <v>0</v>
      </c>
      <c r="D185">
        <f>SUM(V185:AG185)</f>
        <v>0</v>
      </c>
      <c r="E185">
        <f>MAX(0,IF(Impostazioni!$B$7="No",'Calc base'!$C185-$C$31,'Calc base'!$C185-C185)+'Calc base'!$G185+'Calc base'!$F185-(B185-C185-D185))</f>
        <v>900</v>
      </c>
      <c r="F185">
        <f>SUM(AH185:AS185)</f>
        <v>0</v>
      </c>
      <c r="G185">
        <f>SUM(AT185:BE185)</f>
        <v>0</v>
      </c>
      <c r="H185">
        <f>B185-G184</f>
        <v>0</v>
      </c>
      <c r="I185">
        <f>B185-G185</f>
        <v>0</v>
      </c>
      <c r="J185">
        <f>IF(AT184&lt;=0,0,IF(ROUND(AT184*(1+'Calc base'!H185),2)-MAX('Calc base'!C$12,ROUND('Calc base'!C$13*AT184,2))&lt;1,ROUND(AT184*(1+'Calc base'!H185),2),MAX('Calc base'!C$12,ROUND('Calc base'!C$13*AT184,2))))</f>
        <v>0</v>
      </c>
      <c r="K185">
        <f>IF(AU184&lt;=0,0,IF(ROUND(AU184*(1+'Calc base'!I185),2)-MAX('Calc base'!D$12,ROUND('Calc base'!D$13*AU184,2))&lt;1,ROUND(AU184*(1+'Calc base'!I185),2),MAX('Calc base'!D$12,ROUND('Calc base'!D$13*AU184,2))))</f>
        <v>0</v>
      </c>
      <c r="L185">
        <f>IF(AV184&lt;=0,0,IF(ROUND(AV184*(1+'Calc base'!J185),2)-MAX('Calc base'!E$12,ROUND('Calc base'!E$13*AV184,2))&lt;1,ROUND(AV184*(1+'Calc base'!J185),2),MAX('Calc base'!E$12,ROUND('Calc base'!E$13*AV184,2))))</f>
        <v>0</v>
      </c>
      <c r="M185">
        <f>IF(AW184&lt;=0,0,IF(ROUND(AW184*(1+'Calc base'!K185),2)-MAX('Calc base'!F$12,ROUND('Calc base'!F$13*AW184,2))&lt;1,ROUND(AW184*(1+'Calc base'!K185),2),MAX('Calc base'!F$12,ROUND('Calc base'!F$13*AW184,2))))</f>
        <v>0</v>
      </c>
      <c r="N185">
        <f>IF(AX184&lt;=0,0,IF(ROUND(AX184*(1+'Calc base'!L185),2)-MAX('Calc base'!G$12,ROUND('Calc base'!G$13*AX184,2))&lt;1,ROUND(AX184*(1+'Calc base'!L185),2),MAX('Calc base'!G$12,ROUND('Calc base'!G$13*AX184,2))))</f>
        <v>0</v>
      </c>
      <c r="O185">
        <f>IF(AY184&lt;=0,0,IF(ROUND(AY184*(1+'Calc base'!M185),2)-MAX('Calc base'!H$12,ROUND('Calc base'!H$13*AY184,2))&lt;1,ROUND(AY184*(1+'Calc base'!M185),2),MAX('Calc base'!H$12,ROUND('Calc base'!H$13*AY184,2))))</f>
        <v>0</v>
      </c>
      <c r="P185">
        <f>IF(AZ184&lt;=0,0,IF(ROUND(AZ184*(1+'Calc base'!N185),2)-MAX('Calc base'!I$12,ROUND('Calc base'!I$13*AZ184,2))&lt;1,ROUND(AZ184*(1+'Calc base'!N185),2),MAX('Calc base'!I$12,ROUND('Calc base'!I$13*AZ184,2))))</f>
        <v>0</v>
      </c>
      <c r="Q185">
        <f>IF(BA184&lt;=0,0,IF(ROUND(BA184*(1+'Calc base'!O185),2)-MAX('Calc base'!J$12,ROUND('Calc base'!J$13*BA184,2))&lt;1,ROUND(BA184*(1+'Calc base'!O185),2),MAX('Calc base'!J$12,ROUND('Calc base'!J$13*BA184,2))))</f>
        <v>0</v>
      </c>
      <c r="R185">
        <f>IF(BB184&lt;=0,0,IF(ROUND(BB184*(1+'Calc base'!P185),2)-MAX('Calc base'!K$12,ROUND('Calc base'!K$13*BB184,2))&lt;1,ROUND(BB184*(1+'Calc base'!P185),2),MAX('Calc base'!K$12,ROUND('Calc base'!K$13*BB184,2))))</f>
        <v>0</v>
      </c>
      <c r="S185">
        <f>IF(BC184&lt;=0,0,IF(ROUND(BC184*(1+'Calc base'!Q185),2)-MAX('Calc base'!L$12,ROUND('Calc base'!L$13*BC184,2))&lt;1,ROUND(BC184*(1+'Calc base'!Q185),2),MAX('Calc base'!L$12,ROUND('Calc base'!L$13*BC184,2))))</f>
        <v>0</v>
      </c>
      <c r="T185">
        <f>IF(BD184&lt;=0,0,IF(ROUND(BD184*(1+'Calc base'!R185),2)-MAX('Calc base'!M$12,ROUND('Calc base'!M$13*BD184,2))&lt;1,ROUND(BD184*(1+'Calc base'!R185),2),MAX('Calc base'!M$12,ROUND('Calc base'!M$13*BD184,2))))</f>
        <v>0</v>
      </c>
      <c r="U185">
        <f>IF(BE184&lt;=0,0,IF(ROUND(BE184*(1+'Calc base'!S185),2)-MAX('Calc base'!N$12,ROUND('Calc base'!N$13*BE184,2))&lt;1,ROUND(BE184*(1+'Calc base'!S185),2),MAX('Calc base'!N$12,ROUND('Calc base'!N$13*BE184,2))))</f>
        <v>0</v>
      </c>
      <c r="V185">
        <f>MAX(0,ROUND(AT184*(1+'Calc base'!H185),2)-J185-'Calc base'!T185)</f>
        <v>0</v>
      </c>
      <c r="W185">
        <f>MAX(0,ROUND(AU184*(1+'Calc base'!I185),2)-K185-'Calc base'!U185)</f>
        <v>0</v>
      </c>
      <c r="X185">
        <f>MAX(0,ROUND(AV184*(1+'Calc base'!J185),2)-L185-'Calc base'!V185)</f>
        <v>0</v>
      </c>
      <c r="Y185">
        <f>MAX(0,ROUND(AW184*(1+'Calc base'!K185),2)-M185-'Calc base'!W185)</f>
        <v>0</v>
      </c>
      <c r="Z185">
        <f>MAX(0,ROUND(AX184*(1+'Calc base'!L185),2)-N185-'Calc base'!X185)</f>
        <v>0</v>
      </c>
      <c r="AA185">
        <f>MAX(0,ROUND(AY184*(1+'Calc base'!M185),2)-O185-'Calc base'!Y185)</f>
        <v>0</v>
      </c>
      <c r="AB185">
        <f>MAX(0,ROUND(AZ184*(1+'Calc base'!N185),2)-P185-'Calc base'!Z185)</f>
        <v>0</v>
      </c>
      <c r="AC185">
        <f>MAX(0,ROUND(BA184*(1+'Calc base'!O185),2)-Q185-'Calc base'!AA185)</f>
        <v>0</v>
      </c>
      <c r="AD185">
        <f>MAX(0,ROUND(BB184*(1+'Calc base'!P185),2)-R185-'Calc base'!AB185)</f>
        <v>0</v>
      </c>
      <c r="AE185">
        <f>MAX(0,ROUND(BC184*(1+'Calc base'!Q185),2)-S185-'Calc base'!AC185)</f>
        <v>0</v>
      </c>
      <c r="AF185">
        <f>MAX(0,ROUND(BD184*(1+'Calc base'!R185),2)-T185-'Calc base'!AD185)</f>
        <v>0</v>
      </c>
      <c r="AG185">
        <f>MAX(0,ROUND(BE184*(1+'Calc base'!S185),2)-U185-'Calc base'!AE185)</f>
        <v>0</v>
      </c>
      <c r="AH185">
        <f>IF('Calc base'!C$14=0,0,MIN(V185,MAX(0,$E185-SUMPRODUCT($V185:$AG185,'Calc base'!$C$14:$N$14,('Calc base'!$H185:$S185&gt;'Calc base'!H185)+('Calc base'!$H185:$S185='Calc base'!H185)*('Calc base'!$C$17:$N$17&lt;'Calc base'!C$17)))))</f>
        <v>0</v>
      </c>
      <c r="AI185">
        <f>IF('Calc base'!D$14=0,0,MIN(W185,MAX(0,$E185-SUMPRODUCT($V185:$AG185,'Calc base'!$C$14:$N$14,('Calc base'!$H185:$S185&gt;'Calc base'!I185)+('Calc base'!$H185:$S185='Calc base'!I185)*('Calc base'!$C$17:$N$17&lt;'Calc base'!D$17)))))</f>
        <v>0</v>
      </c>
      <c r="AJ185">
        <f>IF('Calc base'!E$14=0,0,MIN(X185,MAX(0,$E185-SUMPRODUCT($V185:$AG185,'Calc base'!$C$14:$N$14,('Calc base'!$H185:$S185&gt;'Calc base'!J185)+('Calc base'!$H185:$S185='Calc base'!J185)*('Calc base'!$C$17:$N$17&lt;'Calc base'!E$17)))))</f>
        <v>0</v>
      </c>
      <c r="AK185">
        <f>IF('Calc base'!F$14=0,0,MIN(Y185,MAX(0,$E185-SUMPRODUCT($V185:$AG185,'Calc base'!$C$14:$N$14,('Calc base'!$H185:$S185&gt;'Calc base'!K185)+('Calc base'!$H185:$S185='Calc base'!K185)*('Calc base'!$C$17:$N$17&lt;'Calc base'!F$17)))))</f>
        <v>0</v>
      </c>
      <c r="AL185">
        <f>IF('Calc base'!G$14=0,0,MIN(Z185,MAX(0,$E185-SUMPRODUCT($V185:$AG185,'Calc base'!$C$14:$N$14,('Calc base'!$H185:$S185&gt;'Calc base'!L185)+('Calc base'!$H185:$S185='Calc base'!L185)*('Calc base'!$C$17:$N$17&lt;'Calc base'!G$17)))))</f>
        <v>0</v>
      </c>
      <c r="AM185">
        <f>IF('Calc base'!H$14=0,0,MIN(AA185,MAX(0,$E185-SUMPRODUCT($V185:$AG185,'Calc base'!$C$14:$N$14,('Calc base'!$H185:$S185&gt;'Calc base'!M185)+('Calc base'!$H185:$S185='Calc base'!M185)*('Calc base'!$C$17:$N$17&lt;'Calc base'!H$17)))))</f>
        <v>0</v>
      </c>
      <c r="AN185">
        <f>IF('Calc base'!I$14=0,0,MIN(AB185,MAX(0,$E185-SUMPRODUCT($V185:$AG185,'Calc base'!$C$14:$N$14,('Calc base'!$H185:$S185&gt;'Calc base'!N185)+('Calc base'!$H185:$S185='Calc base'!N185)*('Calc base'!$C$17:$N$17&lt;'Calc base'!I$17)))))</f>
        <v>0</v>
      </c>
      <c r="AO185">
        <f>IF('Calc base'!J$14=0,0,MIN(AC185,MAX(0,$E185-SUMPRODUCT($V185:$AG185,'Calc base'!$C$14:$N$14,('Calc base'!$H185:$S185&gt;'Calc base'!O185)+('Calc base'!$H185:$S185='Calc base'!O185)*('Calc base'!$C$17:$N$17&lt;'Calc base'!J$17)))))</f>
        <v>0</v>
      </c>
      <c r="AP185">
        <f>IF('Calc base'!K$14=0,0,MIN(AD185,MAX(0,$E185-SUMPRODUCT($V185:$AG185,'Calc base'!$C$14:$N$14,('Calc base'!$H185:$S185&gt;'Calc base'!P185)+('Calc base'!$H185:$S185='Calc base'!P185)*('Calc base'!$C$17:$N$17&lt;'Calc base'!K$17)))))</f>
        <v>0</v>
      </c>
      <c r="AQ185">
        <f>IF('Calc base'!L$14=0,0,MIN(AE185,MAX(0,$E185-SUMPRODUCT($V185:$AG185,'Calc base'!$C$14:$N$14,('Calc base'!$H185:$S185&gt;'Calc base'!Q185)+('Calc base'!$H185:$S185='Calc base'!Q185)*('Calc base'!$C$17:$N$17&lt;'Calc base'!L$17)))))</f>
        <v>0</v>
      </c>
      <c r="AR185">
        <f>IF('Calc base'!M$14=0,0,MIN(AF185,MAX(0,$E185-SUMPRODUCT($V185:$AG185,'Calc base'!$C$14:$N$14,('Calc base'!$H185:$S185&gt;'Calc base'!R185)+('Calc base'!$H185:$S185='Calc base'!R185)*('Calc base'!$C$17:$N$17&lt;'Calc base'!M$17)))))</f>
        <v>0</v>
      </c>
      <c r="AS185">
        <f>IF('Calc base'!N$14=0,0,MIN(AG185,MAX(0,$E185-SUMPRODUCT($V185:$AG185,'Calc base'!$C$14:$N$14,('Calc base'!$H185:$S185&gt;'Calc base'!S185)+('Calc base'!$H185:$S185='Calc base'!S185)*('Calc base'!$C$17:$N$17&lt;'Calc base'!N$17)))))</f>
        <v>0</v>
      </c>
      <c r="AT185">
        <f>V185-AH185</f>
        <v>0</v>
      </c>
      <c r="AU185">
        <f>W185-AI185</f>
        <v>0</v>
      </c>
      <c r="AV185">
        <f>X185-AJ185</f>
        <v>0</v>
      </c>
      <c r="AW185">
        <f>Y185-AK185</f>
        <v>0</v>
      </c>
      <c r="AX185">
        <f>Z185-AL185</f>
        <v>0</v>
      </c>
      <c r="AY185">
        <f>AA185-AM185</f>
        <v>0</v>
      </c>
      <c r="AZ185">
        <f>AB185-AN185</f>
        <v>0</v>
      </c>
      <c r="BA185">
        <f>AC185-AO185</f>
        <v>0</v>
      </c>
      <c r="BB185">
        <f>AD185-AP185</f>
        <v>0</v>
      </c>
      <c r="BC185">
        <f>AE185-AQ185</f>
        <v>0</v>
      </c>
      <c r="BD185">
        <f>AF185-AR185</f>
        <v>0</v>
      </c>
      <c r="BE185">
        <f>AG185-AS185</f>
        <v>0</v>
      </c>
    </row>
    <row r="186">
      <c r="A186" t="n">
        <v>156</v>
      </c>
      <c r="B186">
        <f>SUMPRODUCT(ROUND($AT185:$BE185*(1+'Calc base'!$H186:$S186),2))</f>
        <v>0</v>
      </c>
      <c r="C186">
        <f>SUM(J186:U186)</f>
        <v>0</v>
      </c>
      <c r="D186">
        <f>SUM(V186:AG186)</f>
        <v>0</v>
      </c>
      <c r="E186">
        <f>MAX(0,IF(Impostazioni!$B$7="No",'Calc base'!$C186-$C$31,'Calc base'!$C186-C186)+'Calc base'!$G186+'Calc base'!$F186-(B186-C186-D186))</f>
        <v>900</v>
      </c>
      <c r="F186">
        <f>SUM(AH186:AS186)</f>
        <v>0</v>
      </c>
      <c r="G186">
        <f>SUM(AT186:BE186)</f>
        <v>0</v>
      </c>
      <c r="H186">
        <f>B186-G185</f>
        <v>0</v>
      </c>
      <c r="I186">
        <f>B186-G186</f>
        <v>0</v>
      </c>
      <c r="J186">
        <f>IF(AT185&lt;=0,0,IF(ROUND(AT185*(1+'Calc base'!H186),2)-MAX('Calc base'!C$12,ROUND('Calc base'!C$13*AT185,2))&lt;1,ROUND(AT185*(1+'Calc base'!H186),2),MAX('Calc base'!C$12,ROUND('Calc base'!C$13*AT185,2))))</f>
        <v>0</v>
      </c>
      <c r="K186">
        <f>IF(AU185&lt;=0,0,IF(ROUND(AU185*(1+'Calc base'!I186),2)-MAX('Calc base'!D$12,ROUND('Calc base'!D$13*AU185,2))&lt;1,ROUND(AU185*(1+'Calc base'!I186),2),MAX('Calc base'!D$12,ROUND('Calc base'!D$13*AU185,2))))</f>
        <v>0</v>
      </c>
      <c r="L186">
        <f>IF(AV185&lt;=0,0,IF(ROUND(AV185*(1+'Calc base'!J186),2)-MAX('Calc base'!E$12,ROUND('Calc base'!E$13*AV185,2))&lt;1,ROUND(AV185*(1+'Calc base'!J186),2),MAX('Calc base'!E$12,ROUND('Calc base'!E$13*AV185,2))))</f>
        <v>0</v>
      </c>
      <c r="M186">
        <f>IF(AW185&lt;=0,0,IF(ROUND(AW185*(1+'Calc base'!K186),2)-MAX('Calc base'!F$12,ROUND('Calc base'!F$13*AW185,2))&lt;1,ROUND(AW185*(1+'Calc base'!K186),2),MAX('Calc base'!F$12,ROUND('Calc base'!F$13*AW185,2))))</f>
        <v>0</v>
      </c>
      <c r="N186">
        <f>IF(AX185&lt;=0,0,IF(ROUND(AX185*(1+'Calc base'!L186),2)-MAX('Calc base'!G$12,ROUND('Calc base'!G$13*AX185,2))&lt;1,ROUND(AX185*(1+'Calc base'!L186),2),MAX('Calc base'!G$12,ROUND('Calc base'!G$13*AX185,2))))</f>
        <v>0</v>
      </c>
      <c r="O186">
        <f>IF(AY185&lt;=0,0,IF(ROUND(AY185*(1+'Calc base'!M186),2)-MAX('Calc base'!H$12,ROUND('Calc base'!H$13*AY185,2))&lt;1,ROUND(AY185*(1+'Calc base'!M186),2),MAX('Calc base'!H$12,ROUND('Calc base'!H$13*AY185,2))))</f>
        <v>0</v>
      </c>
      <c r="P186">
        <f>IF(AZ185&lt;=0,0,IF(ROUND(AZ185*(1+'Calc base'!N186),2)-MAX('Calc base'!I$12,ROUND('Calc base'!I$13*AZ185,2))&lt;1,ROUND(AZ185*(1+'Calc base'!N186),2),MAX('Calc base'!I$12,ROUND('Calc base'!I$13*AZ185,2))))</f>
        <v>0</v>
      </c>
      <c r="Q186">
        <f>IF(BA185&lt;=0,0,IF(ROUND(BA185*(1+'Calc base'!O186),2)-MAX('Calc base'!J$12,ROUND('Calc base'!J$13*BA185,2))&lt;1,ROUND(BA185*(1+'Calc base'!O186),2),MAX('Calc base'!J$12,ROUND('Calc base'!J$13*BA185,2))))</f>
        <v>0</v>
      </c>
      <c r="R186">
        <f>IF(BB185&lt;=0,0,IF(ROUND(BB185*(1+'Calc base'!P186),2)-MAX('Calc base'!K$12,ROUND('Calc base'!K$13*BB185,2))&lt;1,ROUND(BB185*(1+'Calc base'!P186),2),MAX('Calc base'!K$12,ROUND('Calc base'!K$13*BB185,2))))</f>
        <v>0</v>
      </c>
      <c r="S186">
        <f>IF(BC185&lt;=0,0,IF(ROUND(BC185*(1+'Calc base'!Q186),2)-MAX('Calc base'!L$12,ROUND('Calc base'!L$13*BC185,2))&lt;1,ROUND(BC185*(1+'Calc base'!Q186),2),MAX('Calc base'!L$12,ROUND('Calc base'!L$13*BC185,2))))</f>
        <v>0</v>
      </c>
      <c r="T186">
        <f>IF(BD185&lt;=0,0,IF(ROUND(BD185*(1+'Calc base'!R186),2)-MAX('Calc base'!M$12,ROUND('Calc base'!M$13*BD185,2))&lt;1,ROUND(BD185*(1+'Calc base'!R186),2),MAX('Calc base'!M$12,ROUND('Calc base'!M$13*BD185,2))))</f>
        <v>0</v>
      </c>
      <c r="U186">
        <f>IF(BE185&lt;=0,0,IF(ROUND(BE185*(1+'Calc base'!S186),2)-MAX('Calc base'!N$12,ROUND('Calc base'!N$13*BE185,2))&lt;1,ROUND(BE185*(1+'Calc base'!S186),2),MAX('Calc base'!N$12,ROUND('Calc base'!N$13*BE185,2))))</f>
        <v>0</v>
      </c>
      <c r="V186">
        <f>MAX(0,ROUND(AT185*(1+'Calc base'!H186),2)-J186-'Calc base'!T186)</f>
        <v>0</v>
      </c>
      <c r="W186">
        <f>MAX(0,ROUND(AU185*(1+'Calc base'!I186),2)-K186-'Calc base'!U186)</f>
        <v>0</v>
      </c>
      <c r="X186">
        <f>MAX(0,ROUND(AV185*(1+'Calc base'!J186),2)-L186-'Calc base'!V186)</f>
        <v>0</v>
      </c>
      <c r="Y186">
        <f>MAX(0,ROUND(AW185*(1+'Calc base'!K186),2)-M186-'Calc base'!W186)</f>
        <v>0</v>
      </c>
      <c r="Z186">
        <f>MAX(0,ROUND(AX185*(1+'Calc base'!L186),2)-N186-'Calc base'!X186)</f>
        <v>0</v>
      </c>
      <c r="AA186">
        <f>MAX(0,ROUND(AY185*(1+'Calc base'!M186),2)-O186-'Calc base'!Y186)</f>
        <v>0</v>
      </c>
      <c r="AB186">
        <f>MAX(0,ROUND(AZ185*(1+'Calc base'!N186),2)-P186-'Calc base'!Z186)</f>
        <v>0</v>
      </c>
      <c r="AC186">
        <f>MAX(0,ROUND(BA185*(1+'Calc base'!O186),2)-Q186-'Calc base'!AA186)</f>
        <v>0</v>
      </c>
      <c r="AD186">
        <f>MAX(0,ROUND(BB185*(1+'Calc base'!P186),2)-R186-'Calc base'!AB186)</f>
        <v>0</v>
      </c>
      <c r="AE186">
        <f>MAX(0,ROUND(BC185*(1+'Calc base'!Q186),2)-S186-'Calc base'!AC186)</f>
        <v>0</v>
      </c>
      <c r="AF186">
        <f>MAX(0,ROUND(BD185*(1+'Calc base'!R186),2)-T186-'Calc base'!AD186)</f>
        <v>0</v>
      </c>
      <c r="AG186">
        <f>MAX(0,ROUND(BE185*(1+'Calc base'!S186),2)-U186-'Calc base'!AE186)</f>
        <v>0</v>
      </c>
      <c r="AH186">
        <f>IF('Calc base'!C$14=0,0,MIN(V186,MAX(0,$E186-SUMPRODUCT($V186:$AG186,'Calc base'!$C$14:$N$14,('Calc base'!$H186:$S186&gt;'Calc base'!H186)+('Calc base'!$H186:$S186='Calc base'!H186)*('Calc base'!$C$17:$N$17&lt;'Calc base'!C$17)))))</f>
        <v>0</v>
      </c>
      <c r="AI186">
        <f>IF('Calc base'!D$14=0,0,MIN(W186,MAX(0,$E186-SUMPRODUCT($V186:$AG186,'Calc base'!$C$14:$N$14,('Calc base'!$H186:$S186&gt;'Calc base'!I186)+('Calc base'!$H186:$S186='Calc base'!I186)*('Calc base'!$C$17:$N$17&lt;'Calc base'!D$17)))))</f>
        <v>0</v>
      </c>
      <c r="AJ186">
        <f>IF('Calc base'!E$14=0,0,MIN(X186,MAX(0,$E186-SUMPRODUCT($V186:$AG186,'Calc base'!$C$14:$N$14,('Calc base'!$H186:$S186&gt;'Calc base'!J186)+('Calc base'!$H186:$S186='Calc base'!J186)*('Calc base'!$C$17:$N$17&lt;'Calc base'!E$17)))))</f>
        <v>0</v>
      </c>
      <c r="AK186">
        <f>IF('Calc base'!F$14=0,0,MIN(Y186,MAX(0,$E186-SUMPRODUCT($V186:$AG186,'Calc base'!$C$14:$N$14,('Calc base'!$H186:$S186&gt;'Calc base'!K186)+('Calc base'!$H186:$S186='Calc base'!K186)*('Calc base'!$C$17:$N$17&lt;'Calc base'!F$17)))))</f>
        <v>0</v>
      </c>
      <c r="AL186">
        <f>IF('Calc base'!G$14=0,0,MIN(Z186,MAX(0,$E186-SUMPRODUCT($V186:$AG186,'Calc base'!$C$14:$N$14,('Calc base'!$H186:$S186&gt;'Calc base'!L186)+('Calc base'!$H186:$S186='Calc base'!L186)*('Calc base'!$C$17:$N$17&lt;'Calc base'!G$17)))))</f>
        <v>0</v>
      </c>
      <c r="AM186">
        <f>IF('Calc base'!H$14=0,0,MIN(AA186,MAX(0,$E186-SUMPRODUCT($V186:$AG186,'Calc base'!$C$14:$N$14,('Calc base'!$H186:$S186&gt;'Calc base'!M186)+('Calc base'!$H186:$S186='Calc base'!M186)*('Calc base'!$C$17:$N$17&lt;'Calc base'!H$17)))))</f>
        <v>0</v>
      </c>
      <c r="AN186">
        <f>IF('Calc base'!I$14=0,0,MIN(AB186,MAX(0,$E186-SUMPRODUCT($V186:$AG186,'Calc base'!$C$14:$N$14,('Calc base'!$H186:$S186&gt;'Calc base'!N186)+('Calc base'!$H186:$S186='Calc base'!N186)*('Calc base'!$C$17:$N$17&lt;'Calc base'!I$17)))))</f>
        <v>0</v>
      </c>
      <c r="AO186">
        <f>IF('Calc base'!J$14=0,0,MIN(AC186,MAX(0,$E186-SUMPRODUCT($V186:$AG186,'Calc base'!$C$14:$N$14,('Calc base'!$H186:$S186&gt;'Calc base'!O186)+('Calc base'!$H186:$S186='Calc base'!O186)*('Calc base'!$C$17:$N$17&lt;'Calc base'!J$17)))))</f>
        <v>0</v>
      </c>
      <c r="AP186">
        <f>IF('Calc base'!K$14=0,0,MIN(AD186,MAX(0,$E186-SUMPRODUCT($V186:$AG186,'Calc base'!$C$14:$N$14,('Calc base'!$H186:$S186&gt;'Calc base'!P186)+('Calc base'!$H186:$S186='Calc base'!P186)*('Calc base'!$C$17:$N$17&lt;'Calc base'!K$17)))))</f>
        <v>0</v>
      </c>
      <c r="AQ186">
        <f>IF('Calc base'!L$14=0,0,MIN(AE186,MAX(0,$E186-SUMPRODUCT($V186:$AG186,'Calc base'!$C$14:$N$14,('Calc base'!$H186:$S186&gt;'Calc base'!Q186)+('Calc base'!$H186:$S186='Calc base'!Q186)*('Calc base'!$C$17:$N$17&lt;'Calc base'!L$17)))))</f>
        <v>0</v>
      </c>
      <c r="AR186">
        <f>IF('Calc base'!M$14=0,0,MIN(AF186,MAX(0,$E186-SUMPRODUCT($V186:$AG186,'Calc base'!$C$14:$N$14,('Calc base'!$H186:$S186&gt;'Calc base'!R186)+('Calc base'!$H186:$S186='Calc base'!R186)*('Calc base'!$C$17:$N$17&lt;'Calc base'!M$17)))))</f>
        <v>0</v>
      </c>
      <c r="AS186">
        <f>IF('Calc base'!N$14=0,0,MIN(AG186,MAX(0,$E186-SUMPRODUCT($V186:$AG186,'Calc base'!$C$14:$N$14,('Calc base'!$H186:$S186&gt;'Calc base'!S186)+('Calc base'!$H186:$S186='Calc base'!S186)*('Calc base'!$C$17:$N$17&lt;'Calc base'!N$17)))))</f>
        <v>0</v>
      </c>
      <c r="AT186">
        <f>V186-AH186</f>
        <v>0</v>
      </c>
      <c r="AU186">
        <f>W186-AI186</f>
        <v>0</v>
      </c>
      <c r="AV186">
        <f>X186-AJ186</f>
        <v>0</v>
      </c>
      <c r="AW186">
        <f>Y186-AK186</f>
        <v>0</v>
      </c>
      <c r="AX186">
        <f>Z186-AL186</f>
        <v>0</v>
      </c>
      <c r="AY186">
        <f>AA186-AM186</f>
        <v>0</v>
      </c>
      <c r="AZ186">
        <f>AB186-AN186</f>
        <v>0</v>
      </c>
      <c r="BA186">
        <f>AC186-AO186</f>
        <v>0</v>
      </c>
      <c r="BB186">
        <f>AD186-AP186</f>
        <v>0</v>
      </c>
      <c r="BC186">
        <f>AE186-AQ186</f>
        <v>0</v>
      </c>
      <c r="BD186">
        <f>AF186-AR186</f>
        <v>0</v>
      </c>
      <c r="BE186">
        <f>AG186-AS186</f>
        <v>0</v>
      </c>
    </row>
    <row r="187">
      <c r="A187" t="n">
        <v>157</v>
      </c>
      <c r="B187">
        <f>SUMPRODUCT(ROUND($AT186:$BE186*(1+'Calc base'!$H187:$S187),2))</f>
        <v>0</v>
      </c>
      <c r="C187">
        <f>SUM(J187:U187)</f>
        <v>0</v>
      </c>
      <c r="D187">
        <f>SUM(V187:AG187)</f>
        <v>0</v>
      </c>
      <c r="E187">
        <f>MAX(0,IF(Impostazioni!$B$7="No",'Calc base'!$C187-$C$31,'Calc base'!$C187-C187)+'Calc base'!$G187+'Calc base'!$F187-(B187-C187-D187))</f>
        <v>900</v>
      </c>
      <c r="F187">
        <f>SUM(AH187:AS187)</f>
        <v>0</v>
      </c>
      <c r="G187">
        <f>SUM(AT187:BE187)</f>
        <v>0</v>
      </c>
      <c r="H187">
        <f>B187-G186</f>
        <v>0</v>
      </c>
      <c r="I187">
        <f>B187-G187</f>
        <v>0</v>
      </c>
      <c r="J187">
        <f>IF(AT186&lt;=0,0,IF(ROUND(AT186*(1+'Calc base'!H187),2)-MAX('Calc base'!C$12,ROUND('Calc base'!C$13*AT186,2))&lt;1,ROUND(AT186*(1+'Calc base'!H187),2),MAX('Calc base'!C$12,ROUND('Calc base'!C$13*AT186,2))))</f>
        <v>0</v>
      </c>
      <c r="K187">
        <f>IF(AU186&lt;=0,0,IF(ROUND(AU186*(1+'Calc base'!I187),2)-MAX('Calc base'!D$12,ROUND('Calc base'!D$13*AU186,2))&lt;1,ROUND(AU186*(1+'Calc base'!I187),2),MAX('Calc base'!D$12,ROUND('Calc base'!D$13*AU186,2))))</f>
        <v>0</v>
      </c>
      <c r="L187">
        <f>IF(AV186&lt;=0,0,IF(ROUND(AV186*(1+'Calc base'!J187),2)-MAX('Calc base'!E$12,ROUND('Calc base'!E$13*AV186,2))&lt;1,ROUND(AV186*(1+'Calc base'!J187),2),MAX('Calc base'!E$12,ROUND('Calc base'!E$13*AV186,2))))</f>
        <v>0</v>
      </c>
      <c r="M187">
        <f>IF(AW186&lt;=0,0,IF(ROUND(AW186*(1+'Calc base'!K187),2)-MAX('Calc base'!F$12,ROUND('Calc base'!F$13*AW186,2))&lt;1,ROUND(AW186*(1+'Calc base'!K187),2),MAX('Calc base'!F$12,ROUND('Calc base'!F$13*AW186,2))))</f>
        <v>0</v>
      </c>
      <c r="N187">
        <f>IF(AX186&lt;=0,0,IF(ROUND(AX186*(1+'Calc base'!L187),2)-MAX('Calc base'!G$12,ROUND('Calc base'!G$13*AX186,2))&lt;1,ROUND(AX186*(1+'Calc base'!L187),2),MAX('Calc base'!G$12,ROUND('Calc base'!G$13*AX186,2))))</f>
        <v>0</v>
      </c>
      <c r="O187">
        <f>IF(AY186&lt;=0,0,IF(ROUND(AY186*(1+'Calc base'!M187),2)-MAX('Calc base'!H$12,ROUND('Calc base'!H$13*AY186,2))&lt;1,ROUND(AY186*(1+'Calc base'!M187),2),MAX('Calc base'!H$12,ROUND('Calc base'!H$13*AY186,2))))</f>
        <v>0</v>
      </c>
      <c r="P187">
        <f>IF(AZ186&lt;=0,0,IF(ROUND(AZ186*(1+'Calc base'!N187),2)-MAX('Calc base'!I$12,ROUND('Calc base'!I$13*AZ186,2))&lt;1,ROUND(AZ186*(1+'Calc base'!N187),2),MAX('Calc base'!I$12,ROUND('Calc base'!I$13*AZ186,2))))</f>
        <v>0</v>
      </c>
      <c r="Q187">
        <f>IF(BA186&lt;=0,0,IF(ROUND(BA186*(1+'Calc base'!O187),2)-MAX('Calc base'!J$12,ROUND('Calc base'!J$13*BA186,2))&lt;1,ROUND(BA186*(1+'Calc base'!O187),2),MAX('Calc base'!J$12,ROUND('Calc base'!J$13*BA186,2))))</f>
        <v>0</v>
      </c>
      <c r="R187">
        <f>IF(BB186&lt;=0,0,IF(ROUND(BB186*(1+'Calc base'!P187),2)-MAX('Calc base'!K$12,ROUND('Calc base'!K$13*BB186,2))&lt;1,ROUND(BB186*(1+'Calc base'!P187),2),MAX('Calc base'!K$12,ROUND('Calc base'!K$13*BB186,2))))</f>
        <v>0</v>
      </c>
      <c r="S187">
        <f>IF(BC186&lt;=0,0,IF(ROUND(BC186*(1+'Calc base'!Q187),2)-MAX('Calc base'!L$12,ROUND('Calc base'!L$13*BC186,2))&lt;1,ROUND(BC186*(1+'Calc base'!Q187),2),MAX('Calc base'!L$12,ROUND('Calc base'!L$13*BC186,2))))</f>
        <v>0</v>
      </c>
      <c r="T187">
        <f>IF(BD186&lt;=0,0,IF(ROUND(BD186*(1+'Calc base'!R187),2)-MAX('Calc base'!M$12,ROUND('Calc base'!M$13*BD186,2))&lt;1,ROUND(BD186*(1+'Calc base'!R187),2),MAX('Calc base'!M$12,ROUND('Calc base'!M$13*BD186,2))))</f>
        <v>0</v>
      </c>
      <c r="U187">
        <f>IF(BE186&lt;=0,0,IF(ROUND(BE186*(1+'Calc base'!S187),2)-MAX('Calc base'!N$12,ROUND('Calc base'!N$13*BE186,2))&lt;1,ROUND(BE186*(1+'Calc base'!S187),2),MAX('Calc base'!N$12,ROUND('Calc base'!N$13*BE186,2))))</f>
        <v>0</v>
      </c>
      <c r="V187">
        <f>MAX(0,ROUND(AT186*(1+'Calc base'!H187),2)-J187-'Calc base'!T187)</f>
        <v>0</v>
      </c>
      <c r="W187">
        <f>MAX(0,ROUND(AU186*(1+'Calc base'!I187),2)-K187-'Calc base'!U187)</f>
        <v>0</v>
      </c>
      <c r="X187">
        <f>MAX(0,ROUND(AV186*(1+'Calc base'!J187),2)-L187-'Calc base'!V187)</f>
        <v>0</v>
      </c>
      <c r="Y187">
        <f>MAX(0,ROUND(AW186*(1+'Calc base'!K187),2)-M187-'Calc base'!W187)</f>
        <v>0</v>
      </c>
      <c r="Z187">
        <f>MAX(0,ROUND(AX186*(1+'Calc base'!L187),2)-N187-'Calc base'!X187)</f>
        <v>0</v>
      </c>
      <c r="AA187">
        <f>MAX(0,ROUND(AY186*(1+'Calc base'!M187),2)-O187-'Calc base'!Y187)</f>
        <v>0</v>
      </c>
      <c r="AB187">
        <f>MAX(0,ROUND(AZ186*(1+'Calc base'!N187),2)-P187-'Calc base'!Z187)</f>
        <v>0</v>
      </c>
      <c r="AC187">
        <f>MAX(0,ROUND(BA186*(1+'Calc base'!O187),2)-Q187-'Calc base'!AA187)</f>
        <v>0</v>
      </c>
      <c r="AD187">
        <f>MAX(0,ROUND(BB186*(1+'Calc base'!P187),2)-R187-'Calc base'!AB187)</f>
        <v>0</v>
      </c>
      <c r="AE187">
        <f>MAX(0,ROUND(BC186*(1+'Calc base'!Q187),2)-S187-'Calc base'!AC187)</f>
        <v>0</v>
      </c>
      <c r="AF187">
        <f>MAX(0,ROUND(BD186*(1+'Calc base'!R187),2)-T187-'Calc base'!AD187)</f>
        <v>0</v>
      </c>
      <c r="AG187">
        <f>MAX(0,ROUND(BE186*(1+'Calc base'!S187),2)-U187-'Calc base'!AE187)</f>
        <v>0</v>
      </c>
      <c r="AH187">
        <f>IF('Calc base'!C$14=0,0,MIN(V187,MAX(0,$E187-SUMPRODUCT($V187:$AG187,'Calc base'!$C$14:$N$14,('Calc base'!$H187:$S187&gt;'Calc base'!H187)+('Calc base'!$H187:$S187='Calc base'!H187)*('Calc base'!$C$17:$N$17&lt;'Calc base'!C$17)))))</f>
        <v>0</v>
      </c>
      <c r="AI187">
        <f>IF('Calc base'!D$14=0,0,MIN(W187,MAX(0,$E187-SUMPRODUCT($V187:$AG187,'Calc base'!$C$14:$N$14,('Calc base'!$H187:$S187&gt;'Calc base'!I187)+('Calc base'!$H187:$S187='Calc base'!I187)*('Calc base'!$C$17:$N$17&lt;'Calc base'!D$17)))))</f>
        <v>0</v>
      </c>
      <c r="AJ187">
        <f>IF('Calc base'!E$14=0,0,MIN(X187,MAX(0,$E187-SUMPRODUCT($V187:$AG187,'Calc base'!$C$14:$N$14,('Calc base'!$H187:$S187&gt;'Calc base'!J187)+('Calc base'!$H187:$S187='Calc base'!J187)*('Calc base'!$C$17:$N$17&lt;'Calc base'!E$17)))))</f>
        <v>0</v>
      </c>
      <c r="AK187">
        <f>IF('Calc base'!F$14=0,0,MIN(Y187,MAX(0,$E187-SUMPRODUCT($V187:$AG187,'Calc base'!$C$14:$N$14,('Calc base'!$H187:$S187&gt;'Calc base'!K187)+('Calc base'!$H187:$S187='Calc base'!K187)*('Calc base'!$C$17:$N$17&lt;'Calc base'!F$17)))))</f>
        <v>0</v>
      </c>
      <c r="AL187">
        <f>IF('Calc base'!G$14=0,0,MIN(Z187,MAX(0,$E187-SUMPRODUCT($V187:$AG187,'Calc base'!$C$14:$N$14,('Calc base'!$H187:$S187&gt;'Calc base'!L187)+('Calc base'!$H187:$S187='Calc base'!L187)*('Calc base'!$C$17:$N$17&lt;'Calc base'!G$17)))))</f>
        <v>0</v>
      </c>
      <c r="AM187">
        <f>IF('Calc base'!H$14=0,0,MIN(AA187,MAX(0,$E187-SUMPRODUCT($V187:$AG187,'Calc base'!$C$14:$N$14,('Calc base'!$H187:$S187&gt;'Calc base'!M187)+('Calc base'!$H187:$S187='Calc base'!M187)*('Calc base'!$C$17:$N$17&lt;'Calc base'!H$17)))))</f>
        <v>0</v>
      </c>
      <c r="AN187">
        <f>IF('Calc base'!I$14=0,0,MIN(AB187,MAX(0,$E187-SUMPRODUCT($V187:$AG187,'Calc base'!$C$14:$N$14,('Calc base'!$H187:$S187&gt;'Calc base'!N187)+('Calc base'!$H187:$S187='Calc base'!N187)*('Calc base'!$C$17:$N$17&lt;'Calc base'!I$17)))))</f>
        <v>0</v>
      </c>
      <c r="AO187">
        <f>IF('Calc base'!J$14=0,0,MIN(AC187,MAX(0,$E187-SUMPRODUCT($V187:$AG187,'Calc base'!$C$14:$N$14,('Calc base'!$H187:$S187&gt;'Calc base'!O187)+('Calc base'!$H187:$S187='Calc base'!O187)*('Calc base'!$C$17:$N$17&lt;'Calc base'!J$17)))))</f>
        <v>0</v>
      </c>
      <c r="AP187">
        <f>IF('Calc base'!K$14=0,0,MIN(AD187,MAX(0,$E187-SUMPRODUCT($V187:$AG187,'Calc base'!$C$14:$N$14,('Calc base'!$H187:$S187&gt;'Calc base'!P187)+('Calc base'!$H187:$S187='Calc base'!P187)*('Calc base'!$C$17:$N$17&lt;'Calc base'!K$17)))))</f>
        <v>0</v>
      </c>
      <c r="AQ187">
        <f>IF('Calc base'!L$14=0,0,MIN(AE187,MAX(0,$E187-SUMPRODUCT($V187:$AG187,'Calc base'!$C$14:$N$14,('Calc base'!$H187:$S187&gt;'Calc base'!Q187)+('Calc base'!$H187:$S187='Calc base'!Q187)*('Calc base'!$C$17:$N$17&lt;'Calc base'!L$17)))))</f>
        <v>0</v>
      </c>
      <c r="AR187">
        <f>IF('Calc base'!M$14=0,0,MIN(AF187,MAX(0,$E187-SUMPRODUCT($V187:$AG187,'Calc base'!$C$14:$N$14,('Calc base'!$H187:$S187&gt;'Calc base'!R187)+('Calc base'!$H187:$S187='Calc base'!R187)*('Calc base'!$C$17:$N$17&lt;'Calc base'!M$17)))))</f>
        <v>0</v>
      </c>
      <c r="AS187">
        <f>IF('Calc base'!N$14=0,0,MIN(AG187,MAX(0,$E187-SUMPRODUCT($V187:$AG187,'Calc base'!$C$14:$N$14,('Calc base'!$H187:$S187&gt;'Calc base'!S187)+('Calc base'!$H187:$S187='Calc base'!S187)*('Calc base'!$C$17:$N$17&lt;'Calc base'!N$17)))))</f>
        <v>0</v>
      </c>
      <c r="AT187">
        <f>V187-AH187</f>
        <v>0</v>
      </c>
      <c r="AU187">
        <f>W187-AI187</f>
        <v>0</v>
      </c>
      <c r="AV187">
        <f>X187-AJ187</f>
        <v>0</v>
      </c>
      <c r="AW187">
        <f>Y187-AK187</f>
        <v>0</v>
      </c>
      <c r="AX187">
        <f>Z187-AL187</f>
        <v>0</v>
      </c>
      <c r="AY187">
        <f>AA187-AM187</f>
        <v>0</v>
      </c>
      <c r="AZ187">
        <f>AB187-AN187</f>
        <v>0</v>
      </c>
      <c r="BA187">
        <f>AC187-AO187</f>
        <v>0</v>
      </c>
      <c r="BB187">
        <f>AD187-AP187</f>
        <v>0</v>
      </c>
      <c r="BC187">
        <f>AE187-AQ187</f>
        <v>0</v>
      </c>
      <c r="BD187">
        <f>AF187-AR187</f>
        <v>0</v>
      </c>
      <c r="BE187">
        <f>AG187-AS187</f>
        <v>0</v>
      </c>
    </row>
    <row r="188">
      <c r="A188" t="n">
        <v>158</v>
      </c>
      <c r="B188">
        <f>SUMPRODUCT(ROUND($AT187:$BE187*(1+'Calc base'!$H188:$S188),2))</f>
        <v>0</v>
      </c>
      <c r="C188">
        <f>SUM(J188:U188)</f>
        <v>0</v>
      </c>
      <c r="D188">
        <f>SUM(V188:AG188)</f>
        <v>0</v>
      </c>
      <c r="E188">
        <f>MAX(0,IF(Impostazioni!$B$7="No",'Calc base'!$C188-$C$31,'Calc base'!$C188-C188)+'Calc base'!$G188+'Calc base'!$F188-(B188-C188-D188))</f>
        <v>900</v>
      </c>
      <c r="F188">
        <f>SUM(AH188:AS188)</f>
        <v>0</v>
      </c>
      <c r="G188">
        <f>SUM(AT188:BE188)</f>
        <v>0</v>
      </c>
      <c r="H188">
        <f>B188-G187</f>
        <v>0</v>
      </c>
      <c r="I188">
        <f>B188-G188</f>
        <v>0</v>
      </c>
      <c r="J188">
        <f>IF(AT187&lt;=0,0,IF(ROUND(AT187*(1+'Calc base'!H188),2)-MAX('Calc base'!C$12,ROUND('Calc base'!C$13*AT187,2))&lt;1,ROUND(AT187*(1+'Calc base'!H188),2),MAX('Calc base'!C$12,ROUND('Calc base'!C$13*AT187,2))))</f>
        <v>0</v>
      </c>
      <c r="K188">
        <f>IF(AU187&lt;=0,0,IF(ROUND(AU187*(1+'Calc base'!I188),2)-MAX('Calc base'!D$12,ROUND('Calc base'!D$13*AU187,2))&lt;1,ROUND(AU187*(1+'Calc base'!I188),2),MAX('Calc base'!D$12,ROUND('Calc base'!D$13*AU187,2))))</f>
        <v>0</v>
      </c>
      <c r="L188">
        <f>IF(AV187&lt;=0,0,IF(ROUND(AV187*(1+'Calc base'!J188),2)-MAX('Calc base'!E$12,ROUND('Calc base'!E$13*AV187,2))&lt;1,ROUND(AV187*(1+'Calc base'!J188),2),MAX('Calc base'!E$12,ROUND('Calc base'!E$13*AV187,2))))</f>
        <v>0</v>
      </c>
      <c r="M188">
        <f>IF(AW187&lt;=0,0,IF(ROUND(AW187*(1+'Calc base'!K188),2)-MAX('Calc base'!F$12,ROUND('Calc base'!F$13*AW187,2))&lt;1,ROUND(AW187*(1+'Calc base'!K188),2),MAX('Calc base'!F$12,ROUND('Calc base'!F$13*AW187,2))))</f>
        <v>0</v>
      </c>
      <c r="N188">
        <f>IF(AX187&lt;=0,0,IF(ROUND(AX187*(1+'Calc base'!L188),2)-MAX('Calc base'!G$12,ROUND('Calc base'!G$13*AX187,2))&lt;1,ROUND(AX187*(1+'Calc base'!L188),2),MAX('Calc base'!G$12,ROUND('Calc base'!G$13*AX187,2))))</f>
        <v>0</v>
      </c>
      <c r="O188">
        <f>IF(AY187&lt;=0,0,IF(ROUND(AY187*(1+'Calc base'!M188),2)-MAX('Calc base'!H$12,ROUND('Calc base'!H$13*AY187,2))&lt;1,ROUND(AY187*(1+'Calc base'!M188),2),MAX('Calc base'!H$12,ROUND('Calc base'!H$13*AY187,2))))</f>
        <v>0</v>
      </c>
      <c r="P188">
        <f>IF(AZ187&lt;=0,0,IF(ROUND(AZ187*(1+'Calc base'!N188),2)-MAX('Calc base'!I$12,ROUND('Calc base'!I$13*AZ187,2))&lt;1,ROUND(AZ187*(1+'Calc base'!N188),2),MAX('Calc base'!I$12,ROUND('Calc base'!I$13*AZ187,2))))</f>
        <v>0</v>
      </c>
      <c r="Q188">
        <f>IF(BA187&lt;=0,0,IF(ROUND(BA187*(1+'Calc base'!O188),2)-MAX('Calc base'!J$12,ROUND('Calc base'!J$13*BA187,2))&lt;1,ROUND(BA187*(1+'Calc base'!O188),2),MAX('Calc base'!J$12,ROUND('Calc base'!J$13*BA187,2))))</f>
        <v>0</v>
      </c>
      <c r="R188">
        <f>IF(BB187&lt;=0,0,IF(ROUND(BB187*(1+'Calc base'!P188),2)-MAX('Calc base'!K$12,ROUND('Calc base'!K$13*BB187,2))&lt;1,ROUND(BB187*(1+'Calc base'!P188),2),MAX('Calc base'!K$12,ROUND('Calc base'!K$13*BB187,2))))</f>
        <v>0</v>
      </c>
      <c r="S188">
        <f>IF(BC187&lt;=0,0,IF(ROUND(BC187*(1+'Calc base'!Q188),2)-MAX('Calc base'!L$12,ROUND('Calc base'!L$13*BC187,2))&lt;1,ROUND(BC187*(1+'Calc base'!Q188),2),MAX('Calc base'!L$12,ROUND('Calc base'!L$13*BC187,2))))</f>
        <v>0</v>
      </c>
      <c r="T188">
        <f>IF(BD187&lt;=0,0,IF(ROUND(BD187*(1+'Calc base'!R188),2)-MAX('Calc base'!M$12,ROUND('Calc base'!M$13*BD187,2))&lt;1,ROUND(BD187*(1+'Calc base'!R188),2),MAX('Calc base'!M$12,ROUND('Calc base'!M$13*BD187,2))))</f>
        <v>0</v>
      </c>
      <c r="U188">
        <f>IF(BE187&lt;=0,0,IF(ROUND(BE187*(1+'Calc base'!S188),2)-MAX('Calc base'!N$12,ROUND('Calc base'!N$13*BE187,2))&lt;1,ROUND(BE187*(1+'Calc base'!S188),2),MAX('Calc base'!N$12,ROUND('Calc base'!N$13*BE187,2))))</f>
        <v>0</v>
      </c>
      <c r="V188">
        <f>MAX(0,ROUND(AT187*(1+'Calc base'!H188),2)-J188-'Calc base'!T188)</f>
        <v>0</v>
      </c>
      <c r="W188">
        <f>MAX(0,ROUND(AU187*(1+'Calc base'!I188),2)-K188-'Calc base'!U188)</f>
        <v>0</v>
      </c>
      <c r="X188">
        <f>MAX(0,ROUND(AV187*(1+'Calc base'!J188),2)-L188-'Calc base'!V188)</f>
        <v>0</v>
      </c>
      <c r="Y188">
        <f>MAX(0,ROUND(AW187*(1+'Calc base'!K188),2)-M188-'Calc base'!W188)</f>
        <v>0</v>
      </c>
      <c r="Z188">
        <f>MAX(0,ROUND(AX187*(1+'Calc base'!L188),2)-N188-'Calc base'!X188)</f>
        <v>0</v>
      </c>
      <c r="AA188">
        <f>MAX(0,ROUND(AY187*(1+'Calc base'!M188),2)-O188-'Calc base'!Y188)</f>
        <v>0</v>
      </c>
      <c r="AB188">
        <f>MAX(0,ROUND(AZ187*(1+'Calc base'!N188),2)-P188-'Calc base'!Z188)</f>
        <v>0</v>
      </c>
      <c r="AC188">
        <f>MAX(0,ROUND(BA187*(1+'Calc base'!O188),2)-Q188-'Calc base'!AA188)</f>
        <v>0</v>
      </c>
      <c r="AD188">
        <f>MAX(0,ROUND(BB187*(1+'Calc base'!P188),2)-R188-'Calc base'!AB188)</f>
        <v>0</v>
      </c>
      <c r="AE188">
        <f>MAX(0,ROUND(BC187*(1+'Calc base'!Q188),2)-S188-'Calc base'!AC188)</f>
        <v>0</v>
      </c>
      <c r="AF188">
        <f>MAX(0,ROUND(BD187*(1+'Calc base'!R188),2)-T188-'Calc base'!AD188)</f>
        <v>0</v>
      </c>
      <c r="AG188">
        <f>MAX(0,ROUND(BE187*(1+'Calc base'!S188),2)-U188-'Calc base'!AE188)</f>
        <v>0</v>
      </c>
      <c r="AH188">
        <f>IF('Calc base'!C$14=0,0,MIN(V188,MAX(0,$E188-SUMPRODUCT($V188:$AG188,'Calc base'!$C$14:$N$14,('Calc base'!$H188:$S188&gt;'Calc base'!H188)+('Calc base'!$H188:$S188='Calc base'!H188)*('Calc base'!$C$17:$N$17&lt;'Calc base'!C$17)))))</f>
        <v>0</v>
      </c>
      <c r="AI188">
        <f>IF('Calc base'!D$14=0,0,MIN(W188,MAX(0,$E188-SUMPRODUCT($V188:$AG188,'Calc base'!$C$14:$N$14,('Calc base'!$H188:$S188&gt;'Calc base'!I188)+('Calc base'!$H188:$S188='Calc base'!I188)*('Calc base'!$C$17:$N$17&lt;'Calc base'!D$17)))))</f>
        <v>0</v>
      </c>
      <c r="AJ188">
        <f>IF('Calc base'!E$14=0,0,MIN(X188,MAX(0,$E188-SUMPRODUCT($V188:$AG188,'Calc base'!$C$14:$N$14,('Calc base'!$H188:$S188&gt;'Calc base'!J188)+('Calc base'!$H188:$S188='Calc base'!J188)*('Calc base'!$C$17:$N$17&lt;'Calc base'!E$17)))))</f>
        <v>0</v>
      </c>
      <c r="AK188">
        <f>IF('Calc base'!F$14=0,0,MIN(Y188,MAX(0,$E188-SUMPRODUCT($V188:$AG188,'Calc base'!$C$14:$N$14,('Calc base'!$H188:$S188&gt;'Calc base'!K188)+('Calc base'!$H188:$S188='Calc base'!K188)*('Calc base'!$C$17:$N$17&lt;'Calc base'!F$17)))))</f>
        <v>0</v>
      </c>
      <c r="AL188">
        <f>IF('Calc base'!G$14=0,0,MIN(Z188,MAX(0,$E188-SUMPRODUCT($V188:$AG188,'Calc base'!$C$14:$N$14,('Calc base'!$H188:$S188&gt;'Calc base'!L188)+('Calc base'!$H188:$S188='Calc base'!L188)*('Calc base'!$C$17:$N$17&lt;'Calc base'!G$17)))))</f>
        <v>0</v>
      </c>
      <c r="AM188">
        <f>IF('Calc base'!H$14=0,0,MIN(AA188,MAX(0,$E188-SUMPRODUCT($V188:$AG188,'Calc base'!$C$14:$N$14,('Calc base'!$H188:$S188&gt;'Calc base'!M188)+('Calc base'!$H188:$S188='Calc base'!M188)*('Calc base'!$C$17:$N$17&lt;'Calc base'!H$17)))))</f>
        <v>0</v>
      </c>
      <c r="AN188">
        <f>IF('Calc base'!I$14=0,0,MIN(AB188,MAX(0,$E188-SUMPRODUCT($V188:$AG188,'Calc base'!$C$14:$N$14,('Calc base'!$H188:$S188&gt;'Calc base'!N188)+('Calc base'!$H188:$S188='Calc base'!N188)*('Calc base'!$C$17:$N$17&lt;'Calc base'!I$17)))))</f>
        <v>0</v>
      </c>
      <c r="AO188">
        <f>IF('Calc base'!J$14=0,0,MIN(AC188,MAX(0,$E188-SUMPRODUCT($V188:$AG188,'Calc base'!$C$14:$N$14,('Calc base'!$H188:$S188&gt;'Calc base'!O188)+('Calc base'!$H188:$S188='Calc base'!O188)*('Calc base'!$C$17:$N$17&lt;'Calc base'!J$17)))))</f>
        <v>0</v>
      </c>
      <c r="AP188">
        <f>IF('Calc base'!K$14=0,0,MIN(AD188,MAX(0,$E188-SUMPRODUCT($V188:$AG188,'Calc base'!$C$14:$N$14,('Calc base'!$H188:$S188&gt;'Calc base'!P188)+('Calc base'!$H188:$S188='Calc base'!P188)*('Calc base'!$C$17:$N$17&lt;'Calc base'!K$17)))))</f>
        <v>0</v>
      </c>
      <c r="AQ188">
        <f>IF('Calc base'!L$14=0,0,MIN(AE188,MAX(0,$E188-SUMPRODUCT($V188:$AG188,'Calc base'!$C$14:$N$14,('Calc base'!$H188:$S188&gt;'Calc base'!Q188)+('Calc base'!$H188:$S188='Calc base'!Q188)*('Calc base'!$C$17:$N$17&lt;'Calc base'!L$17)))))</f>
        <v>0</v>
      </c>
      <c r="AR188">
        <f>IF('Calc base'!M$14=0,0,MIN(AF188,MAX(0,$E188-SUMPRODUCT($V188:$AG188,'Calc base'!$C$14:$N$14,('Calc base'!$H188:$S188&gt;'Calc base'!R188)+('Calc base'!$H188:$S188='Calc base'!R188)*('Calc base'!$C$17:$N$17&lt;'Calc base'!M$17)))))</f>
        <v>0</v>
      </c>
      <c r="AS188">
        <f>IF('Calc base'!N$14=0,0,MIN(AG188,MAX(0,$E188-SUMPRODUCT($V188:$AG188,'Calc base'!$C$14:$N$14,('Calc base'!$H188:$S188&gt;'Calc base'!S188)+('Calc base'!$H188:$S188='Calc base'!S188)*('Calc base'!$C$17:$N$17&lt;'Calc base'!N$17)))))</f>
        <v>0</v>
      </c>
      <c r="AT188">
        <f>V188-AH188</f>
        <v>0</v>
      </c>
      <c r="AU188">
        <f>W188-AI188</f>
        <v>0</v>
      </c>
      <c r="AV188">
        <f>X188-AJ188</f>
        <v>0</v>
      </c>
      <c r="AW188">
        <f>Y188-AK188</f>
        <v>0</v>
      </c>
      <c r="AX188">
        <f>Z188-AL188</f>
        <v>0</v>
      </c>
      <c r="AY188">
        <f>AA188-AM188</f>
        <v>0</v>
      </c>
      <c r="AZ188">
        <f>AB188-AN188</f>
        <v>0</v>
      </c>
      <c r="BA188">
        <f>AC188-AO188</f>
        <v>0</v>
      </c>
      <c r="BB188">
        <f>AD188-AP188</f>
        <v>0</v>
      </c>
      <c r="BC188">
        <f>AE188-AQ188</f>
        <v>0</v>
      </c>
      <c r="BD188">
        <f>AF188-AR188</f>
        <v>0</v>
      </c>
      <c r="BE188">
        <f>AG188-AS188</f>
        <v>0</v>
      </c>
    </row>
    <row r="189">
      <c r="A189" t="n">
        <v>159</v>
      </c>
      <c r="B189">
        <f>SUMPRODUCT(ROUND($AT188:$BE188*(1+'Calc base'!$H189:$S189),2))</f>
        <v>0</v>
      </c>
      <c r="C189">
        <f>SUM(J189:U189)</f>
        <v>0</v>
      </c>
      <c r="D189">
        <f>SUM(V189:AG189)</f>
        <v>0</v>
      </c>
      <c r="E189">
        <f>MAX(0,IF(Impostazioni!$B$7="No",'Calc base'!$C189-$C$31,'Calc base'!$C189-C189)+'Calc base'!$G189+'Calc base'!$F189-(B189-C189-D189))</f>
        <v>900</v>
      </c>
      <c r="F189">
        <f>SUM(AH189:AS189)</f>
        <v>0</v>
      </c>
      <c r="G189">
        <f>SUM(AT189:BE189)</f>
        <v>0</v>
      </c>
      <c r="H189">
        <f>B189-G188</f>
        <v>0</v>
      </c>
      <c r="I189">
        <f>B189-G189</f>
        <v>0</v>
      </c>
      <c r="J189">
        <f>IF(AT188&lt;=0,0,IF(ROUND(AT188*(1+'Calc base'!H189),2)-MAX('Calc base'!C$12,ROUND('Calc base'!C$13*AT188,2))&lt;1,ROUND(AT188*(1+'Calc base'!H189),2),MAX('Calc base'!C$12,ROUND('Calc base'!C$13*AT188,2))))</f>
        <v>0</v>
      </c>
      <c r="K189">
        <f>IF(AU188&lt;=0,0,IF(ROUND(AU188*(1+'Calc base'!I189),2)-MAX('Calc base'!D$12,ROUND('Calc base'!D$13*AU188,2))&lt;1,ROUND(AU188*(1+'Calc base'!I189),2),MAX('Calc base'!D$12,ROUND('Calc base'!D$13*AU188,2))))</f>
        <v>0</v>
      </c>
      <c r="L189">
        <f>IF(AV188&lt;=0,0,IF(ROUND(AV188*(1+'Calc base'!J189),2)-MAX('Calc base'!E$12,ROUND('Calc base'!E$13*AV188,2))&lt;1,ROUND(AV188*(1+'Calc base'!J189),2),MAX('Calc base'!E$12,ROUND('Calc base'!E$13*AV188,2))))</f>
        <v>0</v>
      </c>
      <c r="M189">
        <f>IF(AW188&lt;=0,0,IF(ROUND(AW188*(1+'Calc base'!K189),2)-MAX('Calc base'!F$12,ROUND('Calc base'!F$13*AW188,2))&lt;1,ROUND(AW188*(1+'Calc base'!K189),2),MAX('Calc base'!F$12,ROUND('Calc base'!F$13*AW188,2))))</f>
        <v>0</v>
      </c>
      <c r="N189">
        <f>IF(AX188&lt;=0,0,IF(ROUND(AX188*(1+'Calc base'!L189),2)-MAX('Calc base'!G$12,ROUND('Calc base'!G$13*AX188,2))&lt;1,ROUND(AX188*(1+'Calc base'!L189),2),MAX('Calc base'!G$12,ROUND('Calc base'!G$13*AX188,2))))</f>
        <v>0</v>
      </c>
      <c r="O189">
        <f>IF(AY188&lt;=0,0,IF(ROUND(AY188*(1+'Calc base'!M189),2)-MAX('Calc base'!H$12,ROUND('Calc base'!H$13*AY188,2))&lt;1,ROUND(AY188*(1+'Calc base'!M189),2),MAX('Calc base'!H$12,ROUND('Calc base'!H$13*AY188,2))))</f>
        <v>0</v>
      </c>
      <c r="P189">
        <f>IF(AZ188&lt;=0,0,IF(ROUND(AZ188*(1+'Calc base'!N189),2)-MAX('Calc base'!I$12,ROUND('Calc base'!I$13*AZ188,2))&lt;1,ROUND(AZ188*(1+'Calc base'!N189),2),MAX('Calc base'!I$12,ROUND('Calc base'!I$13*AZ188,2))))</f>
        <v>0</v>
      </c>
      <c r="Q189">
        <f>IF(BA188&lt;=0,0,IF(ROUND(BA188*(1+'Calc base'!O189),2)-MAX('Calc base'!J$12,ROUND('Calc base'!J$13*BA188,2))&lt;1,ROUND(BA188*(1+'Calc base'!O189),2),MAX('Calc base'!J$12,ROUND('Calc base'!J$13*BA188,2))))</f>
        <v>0</v>
      </c>
      <c r="R189">
        <f>IF(BB188&lt;=0,0,IF(ROUND(BB188*(1+'Calc base'!P189),2)-MAX('Calc base'!K$12,ROUND('Calc base'!K$13*BB188,2))&lt;1,ROUND(BB188*(1+'Calc base'!P189),2),MAX('Calc base'!K$12,ROUND('Calc base'!K$13*BB188,2))))</f>
        <v>0</v>
      </c>
      <c r="S189">
        <f>IF(BC188&lt;=0,0,IF(ROUND(BC188*(1+'Calc base'!Q189),2)-MAX('Calc base'!L$12,ROUND('Calc base'!L$13*BC188,2))&lt;1,ROUND(BC188*(1+'Calc base'!Q189),2),MAX('Calc base'!L$12,ROUND('Calc base'!L$13*BC188,2))))</f>
        <v>0</v>
      </c>
      <c r="T189">
        <f>IF(BD188&lt;=0,0,IF(ROUND(BD188*(1+'Calc base'!R189),2)-MAX('Calc base'!M$12,ROUND('Calc base'!M$13*BD188,2))&lt;1,ROUND(BD188*(1+'Calc base'!R189),2),MAX('Calc base'!M$12,ROUND('Calc base'!M$13*BD188,2))))</f>
        <v>0</v>
      </c>
      <c r="U189">
        <f>IF(BE188&lt;=0,0,IF(ROUND(BE188*(1+'Calc base'!S189),2)-MAX('Calc base'!N$12,ROUND('Calc base'!N$13*BE188,2))&lt;1,ROUND(BE188*(1+'Calc base'!S189),2),MAX('Calc base'!N$12,ROUND('Calc base'!N$13*BE188,2))))</f>
        <v>0</v>
      </c>
      <c r="V189">
        <f>MAX(0,ROUND(AT188*(1+'Calc base'!H189),2)-J189-'Calc base'!T189)</f>
        <v>0</v>
      </c>
      <c r="W189">
        <f>MAX(0,ROUND(AU188*(1+'Calc base'!I189),2)-K189-'Calc base'!U189)</f>
        <v>0</v>
      </c>
      <c r="X189">
        <f>MAX(0,ROUND(AV188*(1+'Calc base'!J189),2)-L189-'Calc base'!V189)</f>
        <v>0</v>
      </c>
      <c r="Y189">
        <f>MAX(0,ROUND(AW188*(1+'Calc base'!K189),2)-M189-'Calc base'!W189)</f>
        <v>0</v>
      </c>
      <c r="Z189">
        <f>MAX(0,ROUND(AX188*(1+'Calc base'!L189),2)-N189-'Calc base'!X189)</f>
        <v>0</v>
      </c>
      <c r="AA189">
        <f>MAX(0,ROUND(AY188*(1+'Calc base'!M189),2)-O189-'Calc base'!Y189)</f>
        <v>0</v>
      </c>
      <c r="AB189">
        <f>MAX(0,ROUND(AZ188*(1+'Calc base'!N189),2)-P189-'Calc base'!Z189)</f>
        <v>0</v>
      </c>
      <c r="AC189">
        <f>MAX(0,ROUND(BA188*(1+'Calc base'!O189),2)-Q189-'Calc base'!AA189)</f>
        <v>0</v>
      </c>
      <c r="AD189">
        <f>MAX(0,ROUND(BB188*(1+'Calc base'!P189),2)-R189-'Calc base'!AB189)</f>
        <v>0</v>
      </c>
      <c r="AE189">
        <f>MAX(0,ROUND(BC188*(1+'Calc base'!Q189),2)-S189-'Calc base'!AC189)</f>
        <v>0</v>
      </c>
      <c r="AF189">
        <f>MAX(0,ROUND(BD188*(1+'Calc base'!R189),2)-T189-'Calc base'!AD189)</f>
        <v>0</v>
      </c>
      <c r="AG189">
        <f>MAX(0,ROUND(BE188*(1+'Calc base'!S189),2)-U189-'Calc base'!AE189)</f>
        <v>0</v>
      </c>
      <c r="AH189">
        <f>IF('Calc base'!C$14=0,0,MIN(V189,MAX(0,$E189-SUMPRODUCT($V189:$AG189,'Calc base'!$C$14:$N$14,('Calc base'!$H189:$S189&gt;'Calc base'!H189)+('Calc base'!$H189:$S189='Calc base'!H189)*('Calc base'!$C$17:$N$17&lt;'Calc base'!C$17)))))</f>
        <v>0</v>
      </c>
      <c r="AI189">
        <f>IF('Calc base'!D$14=0,0,MIN(W189,MAX(0,$E189-SUMPRODUCT($V189:$AG189,'Calc base'!$C$14:$N$14,('Calc base'!$H189:$S189&gt;'Calc base'!I189)+('Calc base'!$H189:$S189='Calc base'!I189)*('Calc base'!$C$17:$N$17&lt;'Calc base'!D$17)))))</f>
        <v>0</v>
      </c>
      <c r="AJ189">
        <f>IF('Calc base'!E$14=0,0,MIN(X189,MAX(0,$E189-SUMPRODUCT($V189:$AG189,'Calc base'!$C$14:$N$14,('Calc base'!$H189:$S189&gt;'Calc base'!J189)+('Calc base'!$H189:$S189='Calc base'!J189)*('Calc base'!$C$17:$N$17&lt;'Calc base'!E$17)))))</f>
        <v>0</v>
      </c>
      <c r="AK189">
        <f>IF('Calc base'!F$14=0,0,MIN(Y189,MAX(0,$E189-SUMPRODUCT($V189:$AG189,'Calc base'!$C$14:$N$14,('Calc base'!$H189:$S189&gt;'Calc base'!K189)+('Calc base'!$H189:$S189='Calc base'!K189)*('Calc base'!$C$17:$N$17&lt;'Calc base'!F$17)))))</f>
        <v>0</v>
      </c>
      <c r="AL189">
        <f>IF('Calc base'!G$14=0,0,MIN(Z189,MAX(0,$E189-SUMPRODUCT($V189:$AG189,'Calc base'!$C$14:$N$14,('Calc base'!$H189:$S189&gt;'Calc base'!L189)+('Calc base'!$H189:$S189='Calc base'!L189)*('Calc base'!$C$17:$N$17&lt;'Calc base'!G$17)))))</f>
        <v>0</v>
      </c>
      <c r="AM189">
        <f>IF('Calc base'!H$14=0,0,MIN(AA189,MAX(0,$E189-SUMPRODUCT($V189:$AG189,'Calc base'!$C$14:$N$14,('Calc base'!$H189:$S189&gt;'Calc base'!M189)+('Calc base'!$H189:$S189='Calc base'!M189)*('Calc base'!$C$17:$N$17&lt;'Calc base'!H$17)))))</f>
        <v>0</v>
      </c>
      <c r="AN189">
        <f>IF('Calc base'!I$14=0,0,MIN(AB189,MAX(0,$E189-SUMPRODUCT($V189:$AG189,'Calc base'!$C$14:$N$14,('Calc base'!$H189:$S189&gt;'Calc base'!N189)+('Calc base'!$H189:$S189='Calc base'!N189)*('Calc base'!$C$17:$N$17&lt;'Calc base'!I$17)))))</f>
        <v>0</v>
      </c>
      <c r="AO189">
        <f>IF('Calc base'!J$14=0,0,MIN(AC189,MAX(0,$E189-SUMPRODUCT($V189:$AG189,'Calc base'!$C$14:$N$14,('Calc base'!$H189:$S189&gt;'Calc base'!O189)+('Calc base'!$H189:$S189='Calc base'!O189)*('Calc base'!$C$17:$N$17&lt;'Calc base'!J$17)))))</f>
        <v>0</v>
      </c>
      <c r="AP189">
        <f>IF('Calc base'!K$14=0,0,MIN(AD189,MAX(0,$E189-SUMPRODUCT($V189:$AG189,'Calc base'!$C$14:$N$14,('Calc base'!$H189:$S189&gt;'Calc base'!P189)+('Calc base'!$H189:$S189='Calc base'!P189)*('Calc base'!$C$17:$N$17&lt;'Calc base'!K$17)))))</f>
        <v>0</v>
      </c>
      <c r="AQ189">
        <f>IF('Calc base'!L$14=0,0,MIN(AE189,MAX(0,$E189-SUMPRODUCT($V189:$AG189,'Calc base'!$C$14:$N$14,('Calc base'!$H189:$S189&gt;'Calc base'!Q189)+('Calc base'!$H189:$S189='Calc base'!Q189)*('Calc base'!$C$17:$N$17&lt;'Calc base'!L$17)))))</f>
        <v>0</v>
      </c>
      <c r="AR189">
        <f>IF('Calc base'!M$14=0,0,MIN(AF189,MAX(0,$E189-SUMPRODUCT($V189:$AG189,'Calc base'!$C$14:$N$14,('Calc base'!$H189:$S189&gt;'Calc base'!R189)+('Calc base'!$H189:$S189='Calc base'!R189)*('Calc base'!$C$17:$N$17&lt;'Calc base'!M$17)))))</f>
        <v>0</v>
      </c>
      <c r="AS189">
        <f>IF('Calc base'!N$14=0,0,MIN(AG189,MAX(0,$E189-SUMPRODUCT($V189:$AG189,'Calc base'!$C$14:$N$14,('Calc base'!$H189:$S189&gt;'Calc base'!S189)+('Calc base'!$H189:$S189='Calc base'!S189)*('Calc base'!$C$17:$N$17&lt;'Calc base'!N$17)))))</f>
        <v>0</v>
      </c>
      <c r="AT189">
        <f>V189-AH189</f>
        <v>0</v>
      </c>
      <c r="AU189">
        <f>W189-AI189</f>
        <v>0</v>
      </c>
      <c r="AV189">
        <f>X189-AJ189</f>
        <v>0</v>
      </c>
      <c r="AW189">
        <f>Y189-AK189</f>
        <v>0</v>
      </c>
      <c r="AX189">
        <f>Z189-AL189</f>
        <v>0</v>
      </c>
      <c r="AY189">
        <f>AA189-AM189</f>
        <v>0</v>
      </c>
      <c r="AZ189">
        <f>AB189-AN189</f>
        <v>0</v>
      </c>
      <c r="BA189">
        <f>AC189-AO189</f>
        <v>0</v>
      </c>
      <c r="BB189">
        <f>AD189-AP189</f>
        <v>0</v>
      </c>
      <c r="BC189">
        <f>AE189-AQ189</f>
        <v>0</v>
      </c>
      <c r="BD189">
        <f>AF189-AR189</f>
        <v>0</v>
      </c>
      <c r="BE189">
        <f>AG189-AS189</f>
        <v>0</v>
      </c>
    </row>
    <row r="190">
      <c r="A190" t="n">
        <v>160</v>
      </c>
      <c r="B190">
        <f>SUMPRODUCT(ROUND($AT189:$BE189*(1+'Calc base'!$H190:$S190),2))</f>
        <v>0</v>
      </c>
      <c r="C190">
        <f>SUM(J190:U190)</f>
        <v>0</v>
      </c>
      <c r="D190">
        <f>SUM(V190:AG190)</f>
        <v>0</v>
      </c>
      <c r="E190">
        <f>MAX(0,IF(Impostazioni!$B$7="No",'Calc base'!$C190-$C$31,'Calc base'!$C190-C190)+'Calc base'!$G190+'Calc base'!$F190-(B190-C190-D190))</f>
        <v>900</v>
      </c>
      <c r="F190">
        <f>SUM(AH190:AS190)</f>
        <v>0</v>
      </c>
      <c r="G190">
        <f>SUM(AT190:BE190)</f>
        <v>0</v>
      </c>
      <c r="H190">
        <f>B190-G189</f>
        <v>0</v>
      </c>
      <c r="I190">
        <f>B190-G190</f>
        <v>0</v>
      </c>
      <c r="J190">
        <f>IF(AT189&lt;=0,0,IF(ROUND(AT189*(1+'Calc base'!H190),2)-MAX('Calc base'!C$12,ROUND('Calc base'!C$13*AT189,2))&lt;1,ROUND(AT189*(1+'Calc base'!H190),2),MAX('Calc base'!C$12,ROUND('Calc base'!C$13*AT189,2))))</f>
        <v>0</v>
      </c>
      <c r="K190">
        <f>IF(AU189&lt;=0,0,IF(ROUND(AU189*(1+'Calc base'!I190),2)-MAX('Calc base'!D$12,ROUND('Calc base'!D$13*AU189,2))&lt;1,ROUND(AU189*(1+'Calc base'!I190),2),MAX('Calc base'!D$12,ROUND('Calc base'!D$13*AU189,2))))</f>
        <v>0</v>
      </c>
      <c r="L190">
        <f>IF(AV189&lt;=0,0,IF(ROUND(AV189*(1+'Calc base'!J190),2)-MAX('Calc base'!E$12,ROUND('Calc base'!E$13*AV189,2))&lt;1,ROUND(AV189*(1+'Calc base'!J190),2),MAX('Calc base'!E$12,ROUND('Calc base'!E$13*AV189,2))))</f>
        <v>0</v>
      </c>
      <c r="M190">
        <f>IF(AW189&lt;=0,0,IF(ROUND(AW189*(1+'Calc base'!K190),2)-MAX('Calc base'!F$12,ROUND('Calc base'!F$13*AW189,2))&lt;1,ROUND(AW189*(1+'Calc base'!K190),2),MAX('Calc base'!F$12,ROUND('Calc base'!F$13*AW189,2))))</f>
        <v>0</v>
      </c>
      <c r="N190">
        <f>IF(AX189&lt;=0,0,IF(ROUND(AX189*(1+'Calc base'!L190),2)-MAX('Calc base'!G$12,ROUND('Calc base'!G$13*AX189,2))&lt;1,ROUND(AX189*(1+'Calc base'!L190),2),MAX('Calc base'!G$12,ROUND('Calc base'!G$13*AX189,2))))</f>
        <v>0</v>
      </c>
      <c r="O190">
        <f>IF(AY189&lt;=0,0,IF(ROUND(AY189*(1+'Calc base'!M190),2)-MAX('Calc base'!H$12,ROUND('Calc base'!H$13*AY189,2))&lt;1,ROUND(AY189*(1+'Calc base'!M190),2),MAX('Calc base'!H$12,ROUND('Calc base'!H$13*AY189,2))))</f>
        <v>0</v>
      </c>
      <c r="P190">
        <f>IF(AZ189&lt;=0,0,IF(ROUND(AZ189*(1+'Calc base'!N190),2)-MAX('Calc base'!I$12,ROUND('Calc base'!I$13*AZ189,2))&lt;1,ROUND(AZ189*(1+'Calc base'!N190),2),MAX('Calc base'!I$12,ROUND('Calc base'!I$13*AZ189,2))))</f>
        <v>0</v>
      </c>
      <c r="Q190">
        <f>IF(BA189&lt;=0,0,IF(ROUND(BA189*(1+'Calc base'!O190),2)-MAX('Calc base'!J$12,ROUND('Calc base'!J$13*BA189,2))&lt;1,ROUND(BA189*(1+'Calc base'!O190),2),MAX('Calc base'!J$12,ROUND('Calc base'!J$13*BA189,2))))</f>
        <v>0</v>
      </c>
      <c r="R190">
        <f>IF(BB189&lt;=0,0,IF(ROUND(BB189*(1+'Calc base'!P190),2)-MAX('Calc base'!K$12,ROUND('Calc base'!K$13*BB189,2))&lt;1,ROUND(BB189*(1+'Calc base'!P190),2),MAX('Calc base'!K$12,ROUND('Calc base'!K$13*BB189,2))))</f>
        <v>0</v>
      </c>
      <c r="S190">
        <f>IF(BC189&lt;=0,0,IF(ROUND(BC189*(1+'Calc base'!Q190),2)-MAX('Calc base'!L$12,ROUND('Calc base'!L$13*BC189,2))&lt;1,ROUND(BC189*(1+'Calc base'!Q190),2),MAX('Calc base'!L$12,ROUND('Calc base'!L$13*BC189,2))))</f>
        <v>0</v>
      </c>
      <c r="T190">
        <f>IF(BD189&lt;=0,0,IF(ROUND(BD189*(1+'Calc base'!R190),2)-MAX('Calc base'!M$12,ROUND('Calc base'!M$13*BD189,2))&lt;1,ROUND(BD189*(1+'Calc base'!R190),2),MAX('Calc base'!M$12,ROUND('Calc base'!M$13*BD189,2))))</f>
        <v>0</v>
      </c>
      <c r="U190">
        <f>IF(BE189&lt;=0,0,IF(ROUND(BE189*(1+'Calc base'!S190),2)-MAX('Calc base'!N$12,ROUND('Calc base'!N$13*BE189,2))&lt;1,ROUND(BE189*(1+'Calc base'!S190),2),MAX('Calc base'!N$12,ROUND('Calc base'!N$13*BE189,2))))</f>
        <v>0</v>
      </c>
      <c r="V190">
        <f>MAX(0,ROUND(AT189*(1+'Calc base'!H190),2)-J190-'Calc base'!T190)</f>
        <v>0</v>
      </c>
      <c r="W190">
        <f>MAX(0,ROUND(AU189*(1+'Calc base'!I190),2)-K190-'Calc base'!U190)</f>
        <v>0</v>
      </c>
      <c r="X190">
        <f>MAX(0,ROUND(AV189*(1+'Calc base'!J190),2)-L190-'Calc base'!V190)</f>
        <v>0</v>
      </c>
      <c r="Y190">
        <f>MAX(0,ROUND(AW189*(1+'Calc base'!K190),2)-M190-'Calc base'!W190)</f>
        <v>0</v>
      </c>
      <c r="Z190">
        <f>MAX(0,ROUND(AX189*(1+'Calc base'!L190),2)-N190-'Calc base'!X190)</f>
        <v>0</v>
      </c>
      <c r="AA190">
        <f>MAX(0,ROUND(AY189*(1+'Calc base'!M190),2)-O190-'Calc base'!Y190)</f>
        <v>0</v>
      </c>
      <c r="AB190">
        <f>MAX(0,ROUND(AZ189*(1+'Calc base'!N190),2)-P190-'Calc base'!Z190)</f>
        <v>0</v>
      </c>
      <c r="AC190">
        <f>MAX(0,ROUND(BA189*(1+'Calc base'!O190),2)-Q190-'Calc base'!AA190)</f>
        <v>0</v>
      </c>
      <c r="AD190">
        <f>MAX(0,ROUND(BB189*(1+'Calc base'!P190),2)-R190-'Calc base'!AB190)</f>
        <v>0</v>
      </c>
      <c r="AE190">
        <f>MAX(0,ROUND(BC189*(1+'Calc base'!Q190),2)-S190-'Calc base'!AC190)</f>
        <v>0</v>
      </c>
      <c r="AF190">
        <f>MAX(0,ROUND(BD189*(1+'Calc base'!R190),2)-T190-'Calc base'!AD190)</f>
        <v>0</v>
      </c>
      <c r="AG190">
        <f>MAX(0,ROUND(BE189*(1+'Calc base'!S190),2)-U190-'Calc base'!AE190)</f>
        <v>0</v>
      </c>
      <c r="AH190">
        <f>IF('Calc base'!C$14=0,0,MIN(V190,MAX(0,$E190-SUMPRODUCT($V190:$AG190,'Calc base'!$C$14:$N$14,('Calc base'!$H190:$S190&gt;'Calc base'!H190)+('Calc base'!$H190:$S190='Calc base'!H190)*('Calc base'!$C$17:$N$17&lt;'Calc base'!C$17)))))</f>
        <v>0</v>
      </c>
      <c r="AI190">
        <f>IF('Calc base'!D$14=0,0,MIN(W190,MAX(0,$E190-SUMPRODUCT($V190:$AG190,'Calc base'!$C$14:$N$14,('Calc base'!$H190:$S190&gt;'Calc base'!I190)+('Calc base'!$H190:$S190='Calc base'!I190)*('Calc base'!$C$17:$N$17&lt;'Calc base'!D$17)))))</f>
        <v>0</v>
      </c>
      <c r="AJ190">
        <f>IF('Calc base'!E$14=0,0,MIN(X190,MAX(0,$E190-SUMPRODUCT($V190:$AG190,'Calc base'!$C$14:$N$14,('Calc base'!$H190:$S190&gt;'Calc base'!J190)+('Calc base'!$H190:$S190='Calc base'!J190)*('Calc base'!$C$17:$N$17&lt;'Calc base'!E$17)))))</f>
        <v>0</v>
      </c>
      <c r="AK190">
        <f>IF('Calc base'!F$14=0,0,MIN(Y190,MAX(0,$E190-SUMPRODUCT($V190:$AG190,'Calc base'!$C$14:$N$14,('Calc base'!$H190:$S190&gt;'Calc base'!K190)+('Calc base'!$H190:$S190='Calc base'!K190)*('Calc base'!$C$17:$N$17&lt;'Calc base'!F$17)))))</f>
        <v>0</v>
      </c>
      <c r="AL190">
        <f>IF('Calc base'!G$14=0,0,MIN(Z190,MAX(0,$E190-SUMPRODUCT($V190:$AG190,'Calc base'!$C$14:$N$14,('Calc base'!$H190:$S190&gt;'Calc base'!L190)+('Calc base'!$H190:$S190='Calc base'!L190)*('Calc base'!$C$17:$N$17&lt;'Calc base'!G$17)))))</f>
        <v>0</v>
      </c>
      <c r="AM190">
        <f>IF('Calc base'!H$14=0,0,MIN(AA190,MAX(0,$E190-SUMPRODUCT($V190:$AG190,'Calc base'!$C$14:$N$14,('Calc base'!$H190:$S190&gt;'Calc base'!M190)+('Calc base'!$H190:$S190='Calc base'!M190)*('Calc base'!$C$17:$N$17&lt;'Calc base'!H$17)))))</f>
        <v>0</v>
      </c>
      <c r="AN190">
        <f>IF('Calc base'!I$14=0,0,MIN(AB190,MAX(0,$E190-SUMPRODUCT($V190:$AG190,'Calc base'!$C$14:$N$14,('Calc base'!$H190:$S190&gt;'Calc base'!N190)+('Calc base'!$H190:$S190='Calc base'!N190)*('Calc base'!$C$17:$N$17&lt;'Calc base'!I$17)))))</f>
        <v>0</v>
      </c>
      <c r="AO190">
        <f>IF('Calc base'!J$14=0,0,MIN(AC190,MAX(0,$E190-SUMPRODUCT($V190:$AG190,'Calc base'!$C$14:$N$14,('Calc base'!$H190:$S190&gt;'Calc base'!O190)+('Calc base'!$H190:$S190='Calc base'!O190)*('Calc base'!$C$17:$N$17&lt;'Calc base'!J$17)))))</f>
        <v>0</v>
      </c>
      <c r="AP190">
        <f>IF('Calc base'!K$14=0,0,MIN(AD190,MAX(0,$E190-SUMPRODUCT($V190:$AG190,'Calc base'!$C$14:$N$14,('Calc base'!$H190:$S190&gt;'Calc base'!P190)+('Calc base'!$H190:$S190='Calc base'!P190)*('Calc base'!$C$17:$N$17&lt;'Calc base'!K$17)))))</f>
        <v>0</v>
      </c>
      <c r="AQ190">
        <f>IF('Calc base'!L$14=0,0,MIN(AE190,MAX(0,$E190-SUMPRODUCT($V190:$AG190,'Calc base'!$C$14:$N$14,('Calc base'!$H190:$S190&gt;'Calc base'!Q190)+('Calc base'!$H190:$S190='Calc base'!Q190)*('Calc base'!$C$17:$N$17&lt;'Calc base'!L$17)))))</f>
        <v>0</v>
      </c>
      <c r="AR190">
        <f>IF('Calc base'!M$14=0,0,MIN(AF190,MAX(0,$E190-SUMPRODUCT($V190:$AG190,'Calc base'!$C$14:$N$14,('Calc base'!$H190:$S190&gt;'Calc base'!R190)+('Calc base'!$H190:$S190='Calc base'!R190)*('Calc base'!$C$17:$N$17&lt;'Calc base'!M$17)))))</f>
        <v>0</v>
      </c>
      <c r="AS190">
        <f>IF('Calc base'!N$14=0,0,MIN(AG190,MAX(0,$E190-SUMPRODUCT($V190:$AG190,'Calc base'!$C$14:$N$14,('Calc base'!$H190:$S190&gt;'Calc base'!S190)+('Calc base'!$H190:$S190='Calc base'!S190)*('Calc base'!$C$17:$N$17&lt;'Calc base'!N$17)))))</f>
        <v>0</v>
      </c>
      <c r="AT190">
        <f>V190-AH190</f>
        <v>0</v>
      </c>
      <c r="AU190">
        <f>W190-AI190</f>
        <v>0</v>
      </c>
      <c r="AV190">
        <f>X190-AJ190</f>
        <v>0</v>
      </c>
      <c r="AW190">
        <f>Y190-AK190</f>
        <v>0</v>
      </c>
      <c r="AX190">
        <f>Z190-AL190</f>
        <v>0</v>
      </c>
      <c r="AY190">
        <f>AA190-AM190</f>
        <v>0</v>
      </c>
      <c r="AZ190">
        <f>AB190-AN190</f>
        <v>0</v>
      </c>
      <c r="BA190">
        <f>AC190-AO190</f>
        <v>0</v>
      </c>
      <c r="BB190">
        <f>AD190-AP190</f>
        <v>0</v>
      </c>
      <c r="BC190">
        <f>AE190-AQ190</f>
        <v>0</v>
      </c>
      <c r="BD190">
        <f>AF190-AR190</f>
        <v>0</v>
      </c>
      <c r="BE190">
        <f>AG190-AS190</f>
        <v>0</v>
      </c>
    </row>
    <row r="191">
      <c r="A191" t="n">
        <v>161</v>
      </c>
      <c r="B191">
        <f>SUMPRODUCT(ROUND($AT190:$BE190*(1+'Calc base'!$H191:$S191),2))</f>
        <v>0</v>
      </c>
      <c r="C191">
        <f>SUM(J191:U191)</f>
        <v>0</v>
      </c>
      <c r="D191">
        <f>SUM(V191:AG191)</f>
        <v>0</v>
      </c>
      <c r="E191">
        <f>MAX(0,IF(Impostazioni!$B$7="No",'Calc base'!$C191-$C$31,'Calc base'!$C191-C191)+'Calc base'!$G191+'Calc base'!$F191-(B191-C191-D191))</f>
        <v>900</v>
      </c>
      <c r="F191">
        <f>SUM(AH191:AS191)</f>
        <v>0</v>
      </c>
      <c r="G191">
        <f>SUM(AT191:BE191)</f>
        <v>0</v>
      </c>
      <c r="H191">
        <f>B191-G190</f>
        <v>0</v>
      </c>
      <c r="I191">
        <f>B191-G191</f>
        <v>0</v>
      </c>
      <c r="J191">
        <f>IF(AT190&lt;=0,0,IF(ROUND(AT190*(1+'Calc base'!H191),2)-MAX('Calc base'!C$12,ROUND('Calc base'!C$13*AT190,2))&lt;1,ROUND(AT190*(1+'Calc base'!H191),2),MAX('Calc base'!C$12,ROUND('Calc base'!C$13*AT190,2))))</f>
        <v>0</v>
      </c>
      <c r="K191">
        <f>IF(AU190&lt;=0,0,IF(ROUND(AU190*(1+'Calc base'!I191),2)-MAX('Calc base'!D$12,ROUND('Calc base'!D$13*AU190,2))&lt;1,ROUND(AU190*(1+'Calc base'!I191),2),MAX('Calc base'!D$12,ROUND('Calc base'!D$13*AU190,2))))</f>
        <v>0</v>
      </c>
      <c r="L191">
        <f>IF(AV190&lt;=0,0,IF(ROUND(AV190*(1+'Calc base'!J191),2)-MAX('Calc base'!E$12,ROUND('Calc base'!E$13*AV190,2))&lt;1,ROUND(AV190*(1+'Calc base'!J191),2),MAX('Calc base'!E$12,ROUND('Calc base'!E$13*AV190,2))))</f>
        <v>0</v>
      </c>
      <c r="M191">
        <f>IF(AW190&lt;=0,0,IF(ROUND(AW190*(1+'Calc base'!K191),2)-MAX('Calc base'!F$12,ROUND('Calc base'!F$13*AW190,2))&lt;1,ROUND(AW190*(1+'Calc base'!K191),2),MAX('Calc base'!F$12,ROUND('Calc base'!F$13*AW190,2))))</f>
        <v>0</v>
      </c>
      <c r="N191">
        <f>IF(AX190&lt;=0,0,IF(ROUND(AX190*(1+'Calc base'!L191),2)-MAX('Calc base'!G$12,ROUND('Calc base'!G$13*AX190,2))&lt;1,ROUND(AX190*(1+'Calc base'!L191),2),MAX('Calc base'!G$12,ROUND('Calc base'!G$13*AX190,2))))</f>
        <v>0</v>
      </c>
      <c r="O191">
        <f>IF(AY190&lt;=0,0,IF(ROUND(AY190*(1+'Calc base'!M191),2)-MAX('Calc base'!H$12,ROUND('Calc base'!H$13*AY190,2))&lt;1,ROUND(AY190*(1+'Calc base'!M191),2),MAX('Calc base'!H$12,ROUND('Calc base'!H$13*AY190,2))))</f>
        <v>0</v>
      </c>
      <c r="P191">
        <f>IF(AZ190&lt;=0,0,IF(ROUND(AZ190*(1+'Calc base'!N191),2)-MAX('Calc base'!I$12,ROUND('Calc base'!I$13*AZ190,2))&lt;1,ROUND(AZ190*(1+'Calc base'!N191),2),MAX('Calc base'!I$12,ROUND('Calc base'!I$13*AZ190,2))))</f>
        <v>0</v>
      </c>
      <c r="Q191">
        <f>IF(BA190&lt;=0,0,IF(ROUND(BA190*(1+'Calc base'!O191),2)-MAX('Calc base'!J$12,ROUND('Calc base'!J$13*BA190,2))&lt;1,ROUND(BA190*(1+'Calc base'!O191),2),MAX('Calc base'!J$12,ROUND('Calc base'!J$13*BA190,2))))</f>
        <v>0</v>
      </c>
      <c r="R191">
        <f>IF(BB190&lt;=0,0,IF(ROUND(BB190*(1+'Calc base'!P191),2)-MAX('Calc base'!K$12,ROUND('Calc base'!K$13*BB190,2))&lt;1,ROUND(BB190*(1+'Calc base'!P191),2),MAX('Calc base'!K$12,ROUND('Calc base'!K$13*BB190,2))))</f>
        <v>0</v>
      </c>
      <c r="S191">
        <f>IF(BC190&lt;=0,0,IF(ROUND(BC190*(1+'Calc base'!Q191),2)-MAX('Calc base'!L$12,ROUND('Calc base'!L$13*BC190,2))&lt;1,ROUND(BC190*(1+'Calc base'!Q191),2),MAX('Calc base'!L$12,ROUND('Calc base'!L$13*BC190,2))))</f>
        <v>0</v>
      </c>
      <c r="T191">
        <f>IF(BD190&lt;=0,0,IF(ROUND(BD190*(1+'Calc base'!R191),2)-MAX('Calc base'!M$12,ROUND('Calc base'!M$13*BD190,2))&lt;1,ROUND(BD190*(1+'Calc base'!R191),2),MAX('Calc base'!M$12,ROUND('Calc base'!M$13*BD190,2))))</f>
        <v>0</v>
      </c>
      <c r="U191">
        <f>IF(BE190&lt;=0,0,IF(ROUND(BE190*(1+'Calc base'!S191),2)-MAX('Calc base'!N$12,ROUND('Calc base'!N$13*BE190,2))&lt;1,ROUND(BE190*(1+'Calc base'!S191),2),MAX('Calc base'!N$12,ROUND('Calc base'!N$13*BE190,2))))</f>
        <v>0</v>
      </c>
      <c r="V191">
        <f>MAX(0,ROUND(AT190*(1+'Calc base'!H191),2)-J191-'Calc base'!T191)</f>
        <v>0</v>
      </c>
      <c r="W191">
        <f>MAX(0,ROUND(AU190*(1+'Calc base'!I191),2)-K191-'Calc base'!U191)</f>
        <v>0</v>
      </c>
      <c r="X191">
        <f>MAX(0,ROUND(AV190*(1+'Calc base'!J191),2)-L191-'Calc base'!V191)</f>
        <v>0</v>
      </c>
      <c r="Y191">
        <f>MAX(0,ROUND(AW190*(1+'Calc base'!K191),2)-M191-'Calc base'!W191)</f>
        <v>0</v>
      </c>
      <c r="Z191">
        <f>MAX(0,ROUND(AX190*(1+'Calc base'!L191),2)-N191-'Calc base'!X191)</f>
        <v>0</v>
      </c>
      <c r="AA191">
        <f>MAX(0,ROUND(AY190*(1+'Calc base'!M191),2)-O191-'Calc base'!Y191)</f>
        <v>0</v>
      </c>
      <c r="AB191">
        <f>MAX(0,ROUND(AZ190*(1+'Calc base'!N191),2)-P191-'Calc base'!Z191)</f>
        <v>0</v>
      </c>
      <c r="AC191">
        <f>MAX(0,ROUND(BA190*(1+'Calc base'!O191),2)-Q191-'Calc base'!AA191)</f>
        <v>0</v>
      </c>
      <c r="AD191">
        <f>MAX(0,ROUND(BB190*(1+'Calc base'!P191),2)-R191-'Calc base'!AB191)</f>
        <v>0</v>
      </c>
      <c r="AE191">
        <f>MAX(0,ROUND(BC190*(1+'Calc base'!Q191),2)-S191-'Calc base'!AC191)</f>
        <v>0</v>
      </c>
      <c r="AF191">
        <f>MAX(0,ROUND(BD190*(1+'Calc base'!R191),2)-T191-'Calc base'!AD191)</f>
        <v>0</v>
      </c>
      <c r="AG191">
        <f>MAX(0,ROUND(BE190*(1+'Calc base'!S191),2)-U191-'Calc base'!AE191)</f>
        <v>0</v>
      </c>
      <c r="AH191">
        <f>IF('Calc base'!C$14=0,0,MIN(V191,MAX(0,$E191-SUMPRODUCT($V191:$AG191,'Calc base'!$C$14:$N$14,('Calc base'!$H191:$S191&gt;'Calc base'!H191)+('Calc base'!$H191:$S191='Calc base'!H191)*('Calc base'!$C$17:$N$17&lt;'Calc base'!C$17)))))</f>
        <v>0</v>
      </c>
      <c r="AI191">
        <f>IF('Calc base'!D$14=0,0,MIN(W191,MAX(0,$E191-SUMPRODUCT($V191:$AG191,'Calc base'!$C$14:$N$14,('Calc base'!$H191:$S191&gt;'Calc base'!I191)+('Calc base'!$H191:$S191='Calc base'!I191)*('Calc base'!$C$17:$N$17&lt;'Calc base'!D$17)))))</f>
        <v>0</v>
      </c>
      <c r="AJ191">
        <f>IF('Calc base'!E$14=0,0,MIN(X191,MAX(0,$E191-SUMPRODUCT($V191:$AG191,'Calc base'!$C$14:$N$14,('Calc base'!$H191:$S191&gt;'Calc base'!J191)+('Calc base'!$H191:$S191='Calc base'!J191)*('Calc base'!$C$17:$N$17&lt;'Calc base'!E$17)))))</f>
        <v>0</v>
      </c>
      <c r="AK191">
        <f>IF('Calc base'!F$14=0,0,MIN(Y191,MAX(0,$E191-SUMPRODUCT($V191:$AG191,'Calc base'!$C$14:$N$14,('Calc base'!$H191:$S191&gt;'Calc base'!K191)+('Calc base'!$H191:$S191='Calc base'!K191)*('Calc base'!$C$17:$N$17&lt;'Calc base'!F$17)))))</f>
        <v>0</v>
      </c>
      <c r="AL191">
        <f>IF('Calc base'!G$14=0,0,MIN(Z191,MAX(0,$E191-SUMPRODUCT($V191:$AG191,'Calc base'!$C$14:$N$14,('Calc base'!$H191:$S191&gt;'Calc base'!L191)+('Calc base'!$H191:$S191='Calc base'!L191)*('Calc base'!$C$17:$N$17&lt;'Calc base'!G$17)))))</f>
        <v>0</v>
      </c>
      <c r="AM191">
        <f>IF('Calc base'!H$14=0,0,MIN(AA191,MAX(0,$E191-SUMPRODUCT($V191:$AG191,'Calc base'!$C$14:$N$14,('Calc base'!$H191:$S191&gt;'Calc base'!M191)+('Calc base'!$H191:$S191='Calc base'!M191)*('Calc base'!$C$17:$N$17&lt;'Calc base'!H$17)))))</f>
        <v>0</v>
      </c>
      <c r="AN191">
        <f>IF('Calc base'!I$14=0,0,MIN(AB191,MAX(0,$E191-SUMPRODUCT($V191:$AG191,'Calc base'!$C$14:$N$14,('Calc base'!$H191:$S191&gt;'Calc base'!N191)+('Calc base'!$H191:$S191='Calc base'!N191)*('Calc base'!$C$17:$N$17&lt;'Calc base'!I$17)))))</f>
        <v>0</v>
      </c>
      <c r="AO191">
        <f>IF('Calc base'!J$14=0,0,MIN(AC191,MAX(0,$E191-SUMPRODUCT($V191:$AG191,'Calc base'!$C$14:$N$14,('Calc base'!$H191:$S191&gt;'Calc base'!O191)+('Calc base'!$H191:$S191='Calc base'!O191)*('Calc base'!$C$17:$N$17&lt;'Calc base'!J$17)))))</f>
        <v>0</v>
      </c>
      <c r="AP191">
        <f>IF('Calc base'!K$14=0,0,MIN(AD191,MAX(0,$E191-SUMPRODUCT($V191:$AG191,'Calc base'!$C$14:$N$14,('Calc base'!$H191:$S191&gt;'Calc base'!P191)+('Calc base'!$H191:$S191='Calc base'!P191)*('Calc base'!$C$17:$N$17&lt;'Calc base'!K$17)))))</f>
        <v>0</v>
      </c>
      <c r="AQ191">
        <f>IF('Calc base'!L$14=0,0,MIN(AE191,MAX(0,$E191-SUMPRODUCT($V191:$AG191,'Calc base'!$C$14:$N$14,('Calc base'!$H191:$S191&gt;'Calc base'!Q191)+('Calc base'!$H191:$S191='Calc base'!Q191)*('Calc base'!$C$17:$N$17&lt;'Calc base'!L$17)))))</f>
        <v>0</v>
      </c>
      <c r="AR191">
        <f>IF('Calc base'!M$14=0,0,MIN(AF191,MAX(0,$E191-SUMPRODUCT($V191:$AG191,'Calc base'!$C$14:$N$14,('Calc base'!$H191:$S191&gt;'Calc base'!R191)+('Calc base'!$H191:$S191='Calc base'!R191)*('Calc base'!$C$17:$N$17&lt;'Calc base'!M$17)))))</f>
        <v>0</v>
      </c>
      <c r="AS191">
        <f>IF('Calc base'!N$14=0,0,MIN(AG191,MAX(0,$E191-SUMPRODUCT($V191:$AG191,'Calc base'!$C$14:$N$14,('Calc base'!$H191:$S191&gt;'Calc base'!S191)+('Calc base'!$H191:$S191='Calc base'!S191)*('Calc base'!$C$17:$N$17&lt;'Calc base'!N$17)))))</f>
        <v>0</v>
      </c>
      <c r="AT191">
        <f>V191-AH191</f>
        <v>0</v>
      </c>
      <c r="AU191">
        <f>W191-AI191</f>
        <v>0</v>
      </c>
      <c r="AV191">
        <f>X191-AJ191</f>
        <v>0</v>
      </c>
      <c r="AW191">
        <f>Y191-AK191</f>
        <v>0</v>
      </c>
      <c r="AX191">
        <f>Z191-AL191</f>
        <v>0</v>
      </c>
      <c r="AY191">
        <f>AA191-AM191</f>
        <v>0</v>
      </c>
      <c r="AZ191">
        <f>AB191-AN191</f>
        <v>0</v>
      </c>
      <c r="BA191">
        <f>AC191-AO191</f>
        <v>0</v>
      </c>
      <c r="BB191">
        <f>AD191-AP191</f>
        <v>0</v>
      </c>
      <c r="BC191">
        <f>AE191-AQ191</f>
        <v>0</v>
      </c>
      <c r="BD191">
        <f>AF191-AR191</f>
        <v>0</v>
      </c>
      <c r="BE191">
        <f>AG191-AS191</f>
        <v>0</v>
      </c>
    </row>
    <row r="192">
      <c r="A192" t="n">
        <v>162</v>
      </c>
      <c r="B192">
        <f>SUMPRODUCT(ROUND($AT191:$BE191*(1+'Calc base'!$H192:$S192),2))</f>
        <v>0</v>
      </c>
      <c r="C192">
        <f>SUM(J192:U192)</f>
        <v>0</v>
      </c>
      <c r="D192">
        <f>SUM(V192:AG192)</f>
        <v>0</v>
      </c>
      <c r="E192">
        <f>MAX(0,IF(Impostazioni!$B$7="No",'Calc base'!$C192-$C$31,'Calc base'!$C192-C192)+'Calc base'!$G192+'Calc base'!$F192-(B192-C192-D192))</f>
        <v>900</v>
      </c>
      <c r="F192">
        <f>SUM(AH192:AS192)</f>
        <v>0</v>
      </c>
      <c r="G192">
        <f>SUM(AT192:BE192)</f>
        <v>0</v>
      </c>
      <c r="H192">
        <f>B192-G191</f>
        <v>0</v>
      </c>
      <c r="I192">
        <f>B192-G192</f>
        <v>0</v>
      </c>
      <c r="J192">
        <f>IF(AT191&lt;=0,0,IF(ROUND(AT191*(1+'Calc base'!H192),2)-MAX('Calc base'!C$12,ROUND('Calc base'!C$13*AT191,2))&lt;1,ROUND(AT191*(1+'Calc base'!H192),2),MAX('Calc base'!C$12,ROUND('Calc base'!C$13*AT191,2))))</f>
        <v>0</v>
      </c>
      <c r="K192">
        <f>IF(AU191&lt;=0,0,IF(ROUND(AU191*(1+'Calc base'!I192),2)-MAX('Calc base'!D$12,ROUND('Calc base'!D$13*AU191,2))&lt;1,ROUND(AU191*(1+'Calc base'!I192),2),MAX('Calc base'!D$12,ROUND('Calc base'!D$13*AU191,2))))</f>
        <v>0</v>
      </c>
      <c r="L192">
        <f>IF(AV191&lt;=0,0,IF(ROUND(AV191*(1+'Calc base'!J192),2)-MAX('Calc base'!E$12,ROUND('Calc base'!E$13*AV191,2))&lt;1,ROUND(AV191*(1+'Calc base'!J192),2),MAX('Calc base'!E$12,ROUND('Calc base'!E$13*AV191,2))))</f>
        <v>0</v>
      </c>
      <c r="M192">
        <f>IF(AW191&lt;=0,0,IF(ROUND(AW191*(1+'Calc base'!K192),2)-MAX('Calc base'!F$12,ROUND('Calc base'!F$13*AW191,2))&lt;1,ROUND(AW191*(1+'Calc base'!K192),2),MAX('Calc base'!F$12,ROUND('Calc base'!F$13*AW191,2))))</f>
        <v>0</v>
      </c>
      <c r="N192">
        <f>IF(AX191&lt;=0,0,IF(ROUND(AX191*(1+'Calc base'!L192),2)-MAX('Calc base'!G$12,ROUND('Calc base'!G$13*AX191,2))&lt;1,ROUND(AX191*(1+'Calc base'!L192),2),MAX('Calc base'!G$12,ROUND('Calc base'!G$13*AX191,2))))</f>
        <v>0</v>
      </c>
      <c r="O192">
        <f>IF(AY191&lt;=0,0,IF(ROUND(AY191*(1+'Calc base'!M192),2)-MAX('Calc base'!H$12,ROUND('Calc base'!H$13*AY191,2))&lt;1,ROUND(AY191*(1+'Calc base'!M192),2),MAX('Calc base'!H$12,ROUND('Calc base'!H$13*AY191,2))))</f>
        <v>0</v>
      </c>
      <c r="P192">
        <f>IF(AZ191&lt;=0,0,IF(ROUND(AZ191*(1+'Calc base'!N192),2)-MAX('Calc base'!I$12,ROUND('Calc base'!I$13*AZ191,2))&lt;1,ROUND(AZ191*(1+'Calc base'!N192),2),MAX('Calc base'!I$12,ROUND('Calc base'!I$13*AZ191,2))))</f>
        <v>0</v>
      </c>
      <c r="Q192">
        <f>IF(BA191&lt;=0,0,IF(ROUND(BA191*(1+'Calc base'!O192),2)-MAX('Calc base'!J$12,ROUND('Calc base'!J$13*BA191,2))&lt;1,ROUND(BA191*(1+'Calc base'!O192),2),MAX('Calc base'!J$12,ROUND('Calc base'!J$13*BA191,2))))</f>
        <v>0</v>
      </c>
      <c r="R192">
        <f>IF(BB191&lt;=0,0,IF(ROUND(BB191*(1+'Calc base'!P192),2)-MAX('Calc base'!K$12,ROUND('Calc base'!K$13*BB191,2))&lt;1,ROUND(BB191*(1+'Calc base'!P192),2),MAX('Calc base'!K$12,ROUND('Calc base'!K$13*BB191,2))))</f>
        <v>0</v>
      </c>
      <c r="S192">
        <f>IF(BC191&lt;=0,0,IF(ROUND(BC191*(1+'Calc base'!Q192),2)-MAX('Calc base'!L$12,ROUND('Calc base'!L$13*BC191,2))&lt;1,ROUND(BC191*(1+'Calc base'!Q192),2),MAX('Calc base'!L$12,ROUND('Calc base'!L$13*BC191,2))))</f>
        <v>0</v>
      </c>
      <c r="T192">
        <f>IF(BD191&lt;=0,0,IF(ROUND(BD191*(1+'Calc base'!R192),2)-MAX('Calc base'!M$12,ROUND('Calc base'!M$13*BD191,2))&lt;1,ROUND(BD191*(1+'Calc base'!R192),2),MAX('Calc base'!M$12,ROUND('Calc base'!M$13*BD191,2))))</f>
        <v>0</v>
      </c>
      <c r="U192">
        <f>IF(BE191&lt;=0,0,IF(ROUND(BE191*(1+'Calc base'!S192),2)-MAX('Calc base'!N$12,ROUND('Calc base'!N$13*BE191,2))&lt;1,ROUND(BE191*(1+'Calc base'!S192),2),MAX('Calc base'!N$12,ROUND('Calc base'!N$13*BE191,2))))</f>
        <v>0</v>
      </c>
      <c r="V192">
        <f>MAX(0,ROUND(AT191*(1+'Calc base'!H192),2)-J192-'Calc base'!T192)</f>
        <v>0</v>
      </c>
      <c r="W192">
        <f>MAX(0,ROUND(AU191*(1+'Calc base'!I192),2)-K192-'Calc base'!U192)</f>
        <v>0</v>
      </c>
      <c r="X192">
        <f>MAX(0,ROUND(AV191*(1+'Calc base'!J192),2)-L192-'Calc base'!V192)</f>
        <v>0</v>
      </c>
      <c r="Y192">
        <f>MAX(0,ROUND(AW191*(1+'Calc base'!K192),2)-M192-'Calc base'!W192)</f>
        <v>0</v>
      </c>
      <c r="Z192">
        <f>MAX(0,ROUND(AX191*(1+'Calc base'!L192),2)-N192-'Calc base'!X192)</f>
        <v>0</v>
      </c>
      <c r="AA192">
        <f>MAX(0,ROUND(AY191*(1+'Calc base'!M192),2)-O192-'Calc base'!Y192)</f>
        <v>0</v>
      </c>
      <c r="AB192">
        <f>MAX(0,ROUND(AZ191*(1+'Calc base'!N192),2)-P192-'Calc base'!Z192)</f>
        <v>0</v>
      </c>
      <c r="AC192">
        <f>MAX(0,ROUND(BA191*(1+'Calc base'!O192),2)-Q192-'Calc base'!AA192)</f>
        <v>0</v>
      </c>
      <c r="AD192">
        <f>MAX(0,ROUND(BB191*(1+'Calc base'!P192),2)-R192-'Calc base'!AB192)</f>
        <v>0</v>
      </c>
      <c r="AE192">
        <f>MAX(0,ROUND(BC191*(1+'Calc base'!Q192),2)-S192-'Calc base'!AC192)</f>
        <v>0</v>
      </c>
      <c r="AF192">
        <f>MAX(0,ROUND(BD191*(1+'Calc base'!R192),2)-T192-'Calc base'!AD192)</f>
        <v>0</v>
      </c>
      <c r="AG192">
        <f>MAX(0,ROUND(BE191*(1+'Calc base'!S192),2)-U192-'Calc base'!AE192)</f>
        <v>0</v>
      </c>
      <c r="AH192">
        <f>IF('Calc base'!C$14=0,0,MIN(V192,MAX(0,$E192-SUMPRODUCT($V192:$AG192,'Calc base'!$C$14:$N$14,('Calc base'!$H192:$S192&gt;'Calc base'!H192)+('Calc base'!$H192:$S192='Calc base'!H192)*('Calc base'!$C$17:$N$17&lt;'Calc base'!C$17)))))</f>
        <v>0</v>
      </c>
      <c r="AI192">
        <f>IF('Calc base'!D$14=0,0,MIN(W192,MAX(0,$E192-SUMPRODUCT($V192:$AG192,'Calc base'!$C$14:$N$14,('Calc base'!$H192:$S192&gt;'Calc base'!I192)+('Calc base'!$H192:$S192='Calc base'!I192)*('Calc base'!$C$17:$N$17&lt;'Calc base'!D$17)))))</f>
        <v>0</v>
      </c>
      <c r="AJ192">
        <f>IF('Calc base'!E$14=0,0,MIN(X192,MAX(0,$E192-SUMPRODUCT($V192:$AG192,'Calc base'!$C$14:$N$14,('Calc base'!$H192:$S192&gt;'Calc base'!J192)+('Calc base'!$H192:$S192='Calc base'!J192)*('Calc base'!$C$17:$N$17&lt;'Calc base'!E$17)))))</f>
        <v>0</v>
      </c>
      <c r="AK192">
        <f>IF('Calc base'!F$14=0,0,MIN(Y192,MAX(0,$E192-SUMPRODUCT($V192:$AG192,'Calc base'!$C$14:$N$14,('Calc base'!$H192:$S192&gt;'Calc base'!K192)+('Calc base'!$H192:$S192='Calc base'!K192)*('Calc base'!$C$17:$N$17&lt;'Calc base'!F$17)))))</f>
        <v>0</v>
      </c>
      <c r="AL192">
        <f>IF('Calc base'!G$14=0,0,MIN(Z192,MAX(0,$E192-SUMPRODUCT($V192:$AG192,'Calc base'!$C$14:$N$14,('Calc base'!$H192:$S192&gt;'Calc base'!L192)+('Calc base'!$H192:$S192='Calc base'!L192)*('Calc base'!$C$17:$N$17&lt;'Calc base'!G$17)))))</f>
        <v>0</v>
      </c>
      <c r="AM192">
        <f>IF('Calc base'!H$14=0,0,MIN(AA192,MAX(0,$E192-SUMPRODUCT($V192:$AG192,'Calc base'!$C$14:$N$14,('Calc base'!$H192:$S192&gt;'Calc base'!M192)+('Calc base'!$H192:$S192='Calc base'!M192)*('Calc base'!$C$17:$N$17&lt;'Calc base'!H$17)))))</f>
        <v>0</v>
      </c>
      <c r="AN192">
        <f>IF('Calc base'!I$14=0,0,MIN(AB192,MAX(0,$E192-SUMPRODUCT($V192:$AG192,'Calc base'!$C$14:$N$14,('Calc base'!$H192:$S192&gt;'Calc base'!N192)+('Calc base'!$H192:$S192='Calc base'!N192)*('Calc base'!$C$17:$N$17&lt;'Calc base'!I$17)))))</f>
        <v>0</v>
      </c>
      <c r="AO192">
        <f>IF('Calc base'!J$14=0,0,MIN(AC192,MAX(0,$E192-SUMPRODUCT($V192:$AG192,'Calc base'!$C$14:$N$14,('Calc base'!$H192:$S192&gt;'Calc base'!O192)+('Calc base'!$H192:$S192='Calc base'!O192)*('Calc base'!$C$17:$N$17&lt;'Calc base'!J$17)))))</f>
        <v>0</v>
      </c>
      <c r="AP192">
        <f>IF('Calc base'!K$14=0,0,MIN(AD192,MAX(0,$E192-SUMPRODUCT($V192:$AG192,'Calc base'!$C$14:$N$14,('Calc base'!$H192:$S192&gt;'Calc base'!P192)+('Calc base'!$H192:$S192='Calc base'!P192)*('Calc base'!$C$17:$N$17&lt;'Calc base'!K$17)))))</f>
        <v>0</v>
      </c>
      <c r="AQ192">
        <f>IF('Calc base'!L$14=0,0,MIN(AE192,MAX(0,$E192-SUMPRODUCT($V192:$AG192,'Calc base'!$C$14:$N$14,('Calc base'!$H192:$S192&gt;'Calc base'!Q192)+('Calc base'!$H192:$S192='Calc base'!Q192)*('Calc base'!$C$17:$N$17&lt;'Calc base'!L$17)))))</f>
        <v>0</v>
      </c>
      <c r="AR192">
        <f>IF('Calc base'!M$14=0,0,MIN(AF192,MAX(0,$E192-SUMPRODUCT($V192:$AG192,'Calc base'!$C$14:$N$14,('Calc base'!$H192:$S192&gt;'Calc base'!R192)+('Calc base'!$H192:$S192='Calc base'!R192)*('Calc base'!$C$17:$N$17&lt;'Calc base'!M$17)))))</f>
        <v>0</v>
      </c>
      <c r="AS192">
        <f>IF('Calc base'!N$14=0,0,MIN(AG192,MAX(0,$E192-SUMPRODUCT($V192:$AG192,'Calc base'!$C$14:$N$14,('Calc base'!$H192:$S192&gt;'Calc base'!S192)+('Calc base'!$H192:$S192='Calc base'!S192)*('Calc base'!$C$17:$N$17&lt;'Calc base'!N$17)))))</f>
        <v>0</v>
      </c>
      <c r="AT192">
        <f>V192-AH192</f>
        <v>0</v>
      </c>
      <c r="AU192">
        <f>W192-AI192</f>
        <v>0</v>
      </c>
      <c r="AV192">
        <f>X192-AJ192</f>
        <v>0</v>
      </c>
      <c r="AW192">
        <f>Y192-AK192</f>
        <v>0</v>
      </c>
      <c r="AX192">
        <f>Z192-AL192</f>
        <v>0</v>
      </c>
      <c r="AY192">
        <f>AA192-AM192</f>
        <v>0</v>
      </c>
      <c r="AZ192">
        <f>AB192-AN192</f>
        <v>0</v>
      </c>
      <c r="BA192">
        <f>AC192-AO192</f>
        <v>0</v>
      </c>
      <c r="BB192">
        <f>AD192-AP192</f>
        <v>0</v>
      </c>
      <c r="BC192">
        <f>AE192-AQ192</f>
        <v>0</v>
      </c>
      <c r="BD192">
        <f>AF192-AR192</f>
        <v>0</v>
      </c>
      <c r="BE192">
        <f>AG192-AS192</f>
        <v>0</v>
      </c>
    </row>
    <row r="193">
      <c r="A193" t="n">
        <v>163</v>
      </c>
      <c r="B193">
        <f>SUMPRODUCT(ROUND($AT192:$BE192*(1+'Calc base'!$H193:$S193),2))</f>
        <v>0</v>
      </c>
      <c r="C193">
        <f>SUM(J193:U193)</f>
        <v>0</v>
      </c>
      <c r="D193">
        <f>SUM(V193:AG193)</f>
        <v>0</v>
      </c>
      <c r="E193">
        <f>MAX(0,IF(Impostazioni!$B$7="No",'Calc base'!$C193-$C$31,'Calc base'!$C193-C193)+'Calc base'!$G193+'Calc base'!$F193-(B193-C193-D193))</f>
        <v>900</v>
      </c>
      <c r="F193">
        <f>SUM(AH193:AS193)</f>
        <v>0</v>
      </c>
      <c r="G193">
        <f>SUM(AT193:BE193)</f>
        <v>0</v>
      </c>
      <c r="H193">
        <f>B193-G192</f>
        <v>0</v>
      </c>
      <c r="I193">
        <f>B193-G193</f>
        <v>0</v>
      </c>
      <c r="J193">
        <f>IF(AT192&lt;=0,0,IF(ROUND(AT192*(1+'Calc base'!H193),2)-MAX('Calc base'!C$12,ROUND('Calc base'!C$13*AT192,2))&lt;1,ROUND(AT192*(1+'Calc base'!H193),2),MAX('Calc base'!C$12,ROUND('Calc base'!C$13*AT192,2))))</f>
        <v>0</v>
      </c>
      <c r="K193">
        <f>IF(AU192&lt;=0,0,IF(ROUND(AU192*(1+'Calc base'!I193),2)-MAX('Calc base'!D$12,ROUND('Calc base'!D$13*AU192,2))&lt;1,ROUND(AU192*(1+'Calc base'!I193),2),MAX('Calc base'!D$12,ROUND('Calc base'!D$13*AU192,2))))</f>
        <v>0</v>
      </c>
      <c r="L193">
        <f>IF(AV192&lt;=0,0,IF(ROUND(AV192*(1+'Calc base'!J193),2)-MAX('Calc base'!E$12,ROUND('Calc base'!E$13*AV192,2))&lt;1,ROUND(AV192*(1+'Calc base'!J193),2),MAX('Calc base'!E$12,ROUND('Calc base'!E$13*AV192,2))))</f>
        <v>0</v>
      </c>
      <c r="M193">
        <f>IF(AW192&lt;=0,0,IF(ROUND(AW192*(1+'Calc base'!K193),2)-MAX('Calc base'!F$12,ROUND('Calc base'!F$13*AW192,2))&lt;1,ROUND(AW192*(1+'Calc base'!K193),2),MAX('Calc base'!F$12,ROUND('Calc base'!F$13*AW192,2))))</f>
        <v>0</v>
      </c>
      <c r="N193">
        <f>IF(AX192&lt;=0,0,IF(ROUND(AX192*(1+'Calc base'!L193),2)-MAX('Calc base'!G$12,ROUND('Calc base'!G$13*AX192,2))&lt;1,ROUND(AX192*(1+'Calc base'!L193),2),MAX('Calc base'!G$12,ROUND('Calc base'!G$13*AX192,2))))</f>
        <v>0</v>
      </c>
      <c r="O193">
        <f>IF(AY192&lt;=0,0,IF(ROUND(AY192*(1+'Calc base'!M193),2)-MAX('Calc base'!H$12,ROUND('Calc base'!H$13*AY192,2))&lt;1,ROUND(AY192*(1+'Calc base'!M193),2),MAX('Calc base'!H$12,ROUND('Calc base'!H$13*AY192,2))))</f>
        <v>0</v>
      </c>
      <c r="P193">
        <f>IF(AZ192&lt;=0,0,IF(ROUND(AZ192*(1+'Calc base'!N193),2)-MAX('Calc base'!I$12,ROUND('Calc base'!I$13*AZ192,2))&lt;1,ROUND(AZ192*(1+'Calc base'!N193),2),MAX('Calc base'!I$12,ROUND('Calc base'!I$13*AZ192,2))))</f>
        <v>0</v>
      </c>
      <c r="Q193">
        <f>IF(BA192&lt;=0,0,IF(ROUND(BA192*(1+'Calc base'!O193),2)-MAX('Calc base'!J$12,ROUND('Calc base'!J$13*BA192,2))&lt;1,ROUND(BA192*(1+'Calc base'!O193),2),MAX('Calc base'!J$12,ROUND('Calc base'!J$13*BA192,2))))</f>
        <v>0</v>
      </c>
      <c r="R193">
        <f>IF(BB192&lt;=0,0,IF(ROUND(BB192*(1+'Calc base'!P193),2)-MAX('Calc base'!K$12,ROUND('Calc base'!K$13*BB192,2))&lt;1,ROUND(BB192*(1+'Calc base'!P193),2),MAX('Calc base'!K$12,ROUND('Calc base'!K$13*BB192,2))))</f>
        <v>0</v>
      </c>
      <c r="S193">
        <f>IF(BC192&lt;=0,0,IF(ROUND(BC192*(1+'Calc base'!Q193),2)-MAX('Calc base'!L$12,ROUND('Calc base'!L$13*BC192,2))&lt;1,ROUND(BC192*(1+'Calc base'!Q193),2),MAX('Calc base'!L$12,ROUND('Calc base'!L$13*BC192,2))))</f>
        <v>0</v>
      </c>
      <c r="T193">
        <f>IF(BD192&lt;=0,0,IF(ROUND(BD192*(1+'Calc base'!R193),2)-MAX('Calc base'!M$12,ROUND('Calc base'!M$13*BD192,2))&lt;1,ROUND(BD192*(1+'Calc base'!R193),2),MAX('Calc base'!M$12,ROUND('Calc base'!M$13*BD192,2))))</f>
        <v>0</v>
      </c>
      <c r="U193">
        <f>IF(BE192&lt;=0,0,IF(ROUND(BE192*(1+'Calc base'!S193),2)-MAX('Calc base'!N$12,ROUND('Calc base'!N$13*BE192,2))&lt;1,ROUND(BE192*(1+'Calc base'!S193),2),MAX('Calc base'!N$12,ROUND('Calc base'!N$13*BE192,2))))</f>
        <v>0</v>
      </c>
      <c r="V193">
        <f>MAX(0,ROUND(AT192*(1+'Calc base'!H193),2)-J193-'Calc base'!T193)</f>
        <v>0</v>
      </c>
      <c r="W193">
        <f>MAX(0,ROUND(AU192*(1+'Calc base'!I193),2)-K193-'Calc base'!U193)</f>
        <v>0</v>
      </c>
      <c r="X193">
        <f>MAX(0,ROUND(AV192*(1+'Calc base'!J193),2)-L193-'Calc base'!V193)</f>
        <v>0</v>
      </c>
      <c r="Y193">
        <f>MAX(0,ROUND(AW192*(1+'Calc base'!K193),2)-M193-'Calc base'!W193)</f>
        <v>0</v>
      </c>
      <c r="Z193">
        <f>MAX(0,ROUND(AX192*(1+'Calc base'!L193),2)-N193-'Calc base'!X193)</f>
        <v>0</v>
      </c>
      <c r="AA193">
        <f>MAX(0,ROUND(AY192*(1+'Calc base'!M193),2)-O193-'Calc base'!Y193)</f>
        <v>0</v>
      </c>
      <c r="AB193">
        <f>MAX(0,ROUND(AZ192*(1+'Calc base'!N193),2)-P193-'Calc base'!Z193)</f>
        <v>0</v>
      </c>
      <c r="AC193">
        <f>MAX(0,ROUND(BA192*(1+'Calc base'!O193),2)-Q193-'Calc base'!AA193)</f>
        <v>0</v>
      </c>
      <c r="AD193">
        <f>MAX(0,ROUND(BB192*(1+'Calc base'!P193),2)-R193-'Calc base'!AB193)</f>
        <v>0</v>
      </c>
      <c r="AE193">
        <f>MAX(0,ROUND(BC192*(1+'Calc base'!Q193),2)-S193-'Calc base'!AC193)</f>
        <v>0</v>
      </c>
      <c r="AF193">
        <f>MAX(0,ROUND(BD192*(1+'Calc base'!R193),2)-T193-'Calc base'!AD193)</f>
        <v>0</v>
      </c>
      <c r="AG193">
        <f>MAX(0,ROUND(BE192*(1+'Calc base'!S193),2)-U193-'Calc base'!AE193)</f>
        <v>0</v>
      </c>
      <c r="AH193">
        <f>IF('Calc base'!C$14=0,0,MIN(V193,MAX(0,$E193-SUMPRODUCT($V193:$AG193,'Calc base'!$C$14:$N$14,('Calc base'!$H193:$S193&gt;'Calc base'!H193)+('Calc base'!$H193:$S193='Calc base'!H193)*('Calc base'!$C$17:$N$17&lt;'Calc base'!C$17)))))</f>
        <v>0</v>
      </c>
      <c r="AI193">
        <f>IF('Calc base'!D$14=0,0,MIN(W193,MAX(0,$E193-SUMPRODUCT($V193:$AG193,'Calc base'!$C$14:$N$14,('Calc base'!$H193:$S193&gt;'Calc base'!I193)+('Calc base'!$H193:$S193='Calc base'!I193)*('Calc base'!$C$17:$N$17&lt;'Calc base'!D$17)))))</f>
        <v>0</v>
      </c>
      <c r="AJ193">
        <f>IF('Calc base'!E$14=0,0,MIN(X193,MAX(0,$E193-SUMPRODUCT($V193:$AG193,'Calc base'!$C$14:$N$14,('Calc base'!$H193:$S193&gt;'Calc base'!J193)+('Calc base'!$H193:$S193='Calc base'!J193)*('Calc base'!$C$17:$N$17&lt;'Calc base'!E$17)))))</f>
        <v>0</v>
      </c>
      <c r="AK193">
        <f>IF('Calc base'!F$14=0,0,MIN(Y193,MAX(0,$E193-SUMPRODUCT($V193:$AG193,'Calc base'!$C$14:$N$14,('Calc base'!$H193:$S193&gt;'Calc base'!K193)+('Calc base'!$H193:$S193='Calc base'!K193)*('Calc base'!$C$17:$N$17&lt;'Calc base'!F$17)))))</f>
        <v>0</v>
      </c>
      <c r="AL193">
        <f>IF('Calc base'!G$14=0,0,MIN(Z193,MAX(0,$E193-SUMPRODUCT($V193:$AG193,'Calc base'!$C$14:$N$14,('Calc base'!$H193:$S193&gt;'Calc base'!L193)+('Calc base'!$H193:$S193='Calc base'!L193)*('Calc base'!$C$17:$N$17&lt;'Calc base'!G$17)))))</f>
        <v>0</v>
      </c>
      <c r="AM193">
        <f>IF('Calc base'!H$14=0,0,MIN(AA193,MAX(0,$E193-SUMPRODUCT($V193:$AG193,'Calc base'!$C$14:$N$14,('Calc base'!$H193:$S193&gt;'Calc base'!M193)+('Calc base'!$H193:$S193='Calc base'!M193)*('Calc base'!$C$17:$N$17&lt;'Calc base'!H$17)))))</f>
        <v>0</v>
      </c>
      <c r="AN193">
        <f>IF('Calc base'!I$14=0,0,MIN(AB193,MAX(0,$E193-SUMPRODUCT($V193:$AG193,'Calc base'!$C$14:$N$14,('Calc base'!$H193:$S193&gt;'Calc base'!N193)+('Calc base'!$H193:$S193='Calc base'!N193)*('Calc base'!$C$17:$N$17&lt;'Calc base'!I$17)))))</f>
        <v>0</v>
      </c>
      <c r="AO193">
        <f>IF('Calc base'!J$14=0,0,MIN(AC193,MAX(0,$E193-SUMPRODUCT($V193:$AG193,'Calc base'!$C$14:$N$14,('Calc base'!$H193:$S193&gt;'Calc base'!O193)+('Calc base'!$H193:$S193='Calc base'!O193)*('Calc base'!$C$17:$N$17&lt;'Calc base'!J$17)))))</f>
        <v>0</v>
      </c>
      <c r="AP193">
        <f>IF('Calc base'!K$14=0,0,MIN(AD193,MAX(0,$E193-SUMPRODUCT($V193:$AG193,'Calc base'!$C$14:$N$14,('Calc base'!$H193:$S193&gt;'Calc base'!P193)+('Calc base'!$H193:$S193='Calc base'!P193)*('Calc base'!$C$17:$N$17&lt;'Calc base'!K$17)))))</f>
        <v>0</v>
      </c>
      <c r="AQ193">
        <f>IF('Calc base'!L$14=0,0,MIN(AE193,MAX(0,$E193-SUMPRODUCT($V193:$AG193,'Calc base'!$C$14:$N$14,('Calc base'!$H193:$S193&gt;'Calc base'!Q193)+('Calc base'!$H193:$S193='Calc base'!Q193)*('Calc base'!$C$17:$N$17&lt;'Calc base'!L$17)))))</f>
        <v>0</v>
      </c>
      <c r="AR193">
        <f>IF('Calc base'!M$14=0,0,MIN(AF193,MAX(0,$E193-SUMPRODUCT($V193:$AG193,'Calc base'!$C$14:$N$14,('Calc base'!$H193:$S193&gt;'Calc base'!R193)+('Calc base'!$H193:$S193='Calc base'!R193)*('Calc base'!$C$17:$N$17&lt;'Calc base'!M$17)))))</f>
        <v>0</v>
      </c>
      <c r="AS193">
        <f>IF('Calc base'!N$14=0,0,MIN(AG193,MAX(0,$E193-SUMPRODUCT($V193:$AG193,'Calc base'!$C$14:$N$14,('Calc base'!$H193:$S193&gt;'Calc base'!S193)+('Calc base'!$H193:$S193='Calc base'!S193)*('Calc base'!$C$17:$N$17&lt;'Calc base'!N$17)))))</f>
        <v>0</v>
      </c>
      <c r="AT193">
        <f>V193-AH193</f>
        <v>0</v>
      </c>
      <c r="AU193">
        <f>W193-AI193</f>
        <v>0</v>
      </c>
      <c r="AV193">
        <f>X193-AJ193</f>
        <v>0</v>
      </c>
      <c r="AW193">
        <f>Y193-AK193</f>
        <v>0</v>
      </c>
      <c r="AX193">
        <f>Z193-AL193</f>
        <v>0</v>
      </c>
      <c r="AY193">
        <f>AA193-AM193</f>
        <v>0</v>
      </c>
      <c r="AZ193">
        <f>AB193-AN193</f>
        <v>0</v>
      </c>
      <c r="BA193">
        <f>AC193-AO193</f>
        <v>0</v>
      </c>
      <c r="BB193">
        <f>AD193-AP193</f>
        <v>0</v>
      </c>
      <c r="BC193">
        <f>AE193-AQ193</f>
        <v>0</v>
      </c>
      <c r="BD193">
        <f>AF193-AR193</f>
        <v>0</v>
      </c>
      <c r="BE193">
        <f>AG193-AS193</f>
        <v>0</v>
      </c>
    </row>
    <row r="194">
      <c r="A194" t="n">
        <v>164</v>
      </c>
      <c r="B194">
        <f>SUMPRODUCT(ROUND($AT193:$BE193*(1+'Calc base'!$H194:$S194),2))</f>
        <v>0</v>
      </c>
      <c r="C194">
        <f>SUM(J194:U194)</f>
        <v>0</v>
      </c>
      <c r="D194">
        <f>SUM(V194:AG194)</f>
        <v>0</v>
      </c>
      <c r="E194">
        <f>MAX(0,IF(Impostazioni!$B$7="No",'Calc base'!$C194-$C$31,'Calc base'!$C194-C194)+'Calc base'!$G194+'Calc base'!$F194-(B194-C194-D194))</f>
        <v>900</v>
      </c>
      <c r="F194">
        <f>SUM(AH194:AS194)</f>
        <v>0</v>
      </c>
      <c r="G194">
        <f>SUM(AT194:BE194)</f>
        <v>0</v>
      </c>
      <c r="H194">
        <f>B194-G193</f>
        <v>0</v>
      </c>
      <c r="I194">
        <f>B194-G194</f>
        <v>0</v>
      </c>
      <c r="J194">
        <f>IF(AT193&lt;=0,0,IF(ROUND(AT193*(1+'Calc base'!H194),2)-MAX('Calc base'!C$12,ROUND('Calc base'!C$13*AT193,2))&lt;1,ROUND(AT193*(1+'Calc base'!H194),2),MAX('Calc base'!C$12,ROUND('Calc base'!C$13*AT193,2))))</f>
        <v>0</v>
      </c>
      <c r="K194">
        <f>IF(AU193&lt;=0,0,IF(ROUND(AU193*(1+'Calc base'!I194),2)-MAX('Calc base'!D$12,ROUND('Calc base'!D$13*AU193,2))&lt;1,ROUND(AU193*(1+'Calc base'!I194),2),MAX('Calc base'!D$12,ROUND('Calc base'!D$13*AU193,2))))</f>
        <v>0</v>
      </c>
      <c r="L194">
        <f>IF(AV193&lt;=0,0,IF(ROUND(AV193*(1+'Calc base'!J194),2)-MAX('Calc base'!E$12,ROUND('Calc base'!E$13*AV193,2))&lt;1,ROUND(AV193*(1+'Calc base'!J194),2),MAX('Calc base'!E$12,ROUND('Calc base'!E$13*AV193,2))))</f>
        <v>0</v>
      </c>
      <c r="M194">
        <f>IF(AW193&lt;=0,0,IF(ROUND(AW193*(1+'Calc base'!K194),2)-MAX('Calc base'!F$12,ROUND('Calc base'!F$13*AW193,2))&lt;1,ROUND(AW193*(1+'Calc base'!K194),2),MAX('Calc base'!F$12,ROUND('Calc base'!F$13*AW193,2))))</f>
        <v>0</v>
      </c>
      <c r="N194">
        <f>IF(AX193&lt;=0,0,IF(ROUND(AX193*(1+'Calc base'!L194),2)-MAX('Calc base'!G$12,ROUND('Calc base'!G$13*AX193,2))&lt;1,ROUND(AX193*(1+'Calc base'!L194),2),MAX('Calc base'!G$12,ROUND('Calc base'!G$13*AX193,2))))</f>
        <v>0</v>
      </c>
      <c r="O194">
        <f>IF(AY193&lt;=0,0,IF(ROUND(AY193*(1+'Calc base'!M194),2)-MAX('Calc base'!H$12,ROUND('Calc base'!H$13*AY193,2))&lt;1,ROUND(AY193*(1+'Calc base'!M194),2),MAX('Calc base'!H$12,ROUND('Calc base'!H$13*AY193,2))))</f>
        <v>0</v>
      </c>
      <c r="P194">
        <f>IF(AZ193&lt;=0,0,IF(ROUND(AZ193*(1+'Calc base'!N194),2)-MAX('Calc base'!I$12,ROUND('Calc base'!I$13*AZ193,2))&lt;1,ROUND(AZ193*(1+'Calc base'!N194),2),MAX('Calc base'!I$12,ROUND('Calc base'!I$13*AZ193,2))))</f>
        <v>0</v>
      </c>
      <c r="Q194">
        <f>IF(BA193&lt;=0,0,IF(ROUND(BA193*(1+'Calc base'!O194),2)-MAX('Calc base'!J$12,ROUND('Calc base'!J$13*BA193,2))&lt;1,ROUND(BA193*(1+'Calc base'!O194),2),MAX('Calc base'!J$12,ROUND('Calc base'!J$13*BA193,2))))</f>
        <v>0</v>
      </c>
      <c r="R194">
        <f>IF(BB193&lt;=0,0,IF(ROUND(BB193*(1+'Calc base'!P194),2)-MAX('Calc base'!K$12,ROUND('Calc base'!K$13*BB193,2))&lt;1,ROUND(BB193*(1+'Calc base'!P194),2),MAX('Calc base'!K$12,ROUND('Calc base'!K$13*BB193,2))))</f>
        <v>0</v>
      </c>
      <c r="S194">
        <f>IF(BC193&lt;=0,0,IF(ROUND(BC193*(1+'Calc base'!Q194),2)-MAX('Calc base'!L$12,ROUND('Calc base'!L$13*BC193,2))&lt;1,ROUND(BC193*(1+'Calc base'!Q194),2),MAX('Calc base'!L$12,ROUND('Calc base'!L$13*BC193,2))))</f>
        <v>0</v>
      </c>
      <c r="T194">
        <f>IF(BD193&lt;=0,0,IF(ROUND(BD193*(1+'Calc base'!R194),2)-MAX('Calc base'!M$12,ROUND('Calc base'!M$13*BD193,2))&lt;1,ROUND(BD193*(1+'Calc base'!R194),2),MAX('Calc base'!M$12,ROUND('Calc base'!M$13*BD193,2))))</f>
        <v>0</v>
      </c>
      <c r="U194">
        <f>IF(BE193&lt;=0,0,IF(ROUND(BE193*(1+'Calc base'!S194),2)-MAX('Calc base'!N$12,ROUND('Calc base'!N$13*BE193,2))&lt;1,ROUND(BE193*(1+'Calc base'!S194),2),MAX('Calc base'!N$12,ROUND('Calc base'!N$13*BE193,2))))</f>
        <v>0</v>
      </c>
      <c r="V194">
        <f>MAX(0,ROUND(AT193*(1+'Calc base'!H194),2)-J194-'Calc base'!T194)</f>
        <v>0</v>
      </c>
      <c r="W194">
        <f>MAX(0,ROUND(AU193*(1+'Calc base'!I194),2)-K194-'Calc base'!U194)</f>
        <v>0</v>
      </c>
      <c r="X194">
        <f>MAX(0,ROUND(AV193*(1+'Calc base'!J194),2)-L194-'Calc base'!V194)</f>
        <v>0</v>
      </c>
      <c r="Y194">
        <f>MAX(0,ROUND(AW193*(1+'Calc base'!K194),2)-M194-'Calc base'!W194)</f>
        <v>0</v>
      </c>
      <c r="Z194">
        <f>MAX(0,ROUND(AX193*(1+'Calc base'!L194),2)-N194-'Calc base'!X194)</f>
        <v>0</v>
      </c>
      <c r="AA194">
        <f>MAX(0,ROUND(AY193*(1+'Calc base'!M194),2)-O194-'Calc base'!Y194)</f>
        <v>0</v>
      </c>
      <c r="AB194">
        <f>MAX(0,ROUND(AZ193*(1+'Calc base'!N194),2)-P194-'Calc base'!Z194)</f>
        <v>0</v>
      </c>
      <c r="AC194">
        <f>MAX(0,ROUND(BA193*(1+'Calc base'!O194),2)-Q194-'Calc base'!AA194)</f>
        <v>0</v>
      </c>
      <c r="AD194">
        <f>MAX(0,ROUND(BB193*(1+'Calc base'!P194),2)-R194-'Calc base'!AB194)</f>
        <v>0</v>
      </c>
      <c r="AE194">
        <f>MAX(0,ROUND(BC193*(1+'Calc base'!Q194),2)-S194-'Calc base'!AC194)</f>
        <v>0</v>
      </c>
      <c r="AF194">
        <f>MAX(0,ROUND(BD193*(1+'Calc base'!R194),2)-T194-'Calc base'!AD194)</f>
        <v>0</v>
      </c>
      <c r="AG194">
        <f>MAX(0,ROUND(BE193*(1+'Calc base'!S194),2)-U194-'Calc base'!AE194)</f>
        <v>0</v>
      </c>
      <c r="AH194">
        <f>IF('Calc base'!C$14=0,0,MIN(V194,MAX(0,$E194-SUMPRODUCT($V194:$AG194,'Calc base'!$C$14:$N$14,('Calc base'!$H194:$S194&gt;'Calc base'!H194)+('Calc base'!$H194:$S194='Calc base'!H194)*('Calc base'!$C$17:$N$17&lt;'Calc base'!C$17)))))</f>
        <v>0</v>
      </c>
      <c r="AI194">
        <f>IF('Calc base'!D$14=0,0,MIN(W194,MAX(0,$E194-SUMPRODUCT($V194:$AG194,'Calc base'!$C$14:$N$14,('Calc base'!$H194:$S194&gt;'Calc base'!I194)+('Calc base'!$H194:$S194='Calc base'!I194)*('Calc base'!$C$17:$N$17&lt;'Calc base'!D$17)))))</f>
        <v>0</v>
      </c>
      <c r="AJ194">
        <f>IF('Calc base'!E$14=0,0,MIN(X194,MAX(0,$E194-SUMPRODUCT($V194:$AG194,'Calc base'!$C$14:$N$14,('Calc base'!$H194:$S194&gt;'Calc base'!J194)+('Calc base'!$H194:$S194='Calc base'!J194)*('Calc base'!$C$17:$N$17&lt;'Calc base'!E$17)))))</f>
        <v>0</v>
      </c>
      <c r="AK194">
        <f>IF('Calc base'!F$14=0,0,MIN(Y194,MAX(0,$E194-SUMPRODUCT($V194:$AG194,'Calc base'!$C$14:$N$14,('Calc base'!$H194:$S194&gt;'Calc base'!K194)+('Calc base'!$H194:$S194='Calc base'!K194)*('Calc base'!$C$17:$N$17&lt;'Calc base'!F$17)))))</f>
        <v>0</v>
      </c>
      <c r="AL194">
        <f>IF('Calc base'!G$14=0,0,MIN(Z194,MAX(0,$E194-SUMPRODUCT($V194:$AG194,'Calc base'!$C$14:$N$14,('Calc base'!$H194:$S194&gt;'Calc base'!L194)+('Calc base'!$H194:$S194='Calc base'!L194)*('Calc base'!$C$17:$N$17&lt;'Calc base'!G$17)))))</f>
        <v>0</v>
      </c>
      <c r="AM194">
        <f>IF('Calc base'!H$14=0,0,MIN(AA194,MAX(0,$E194-SUMPRODUCT($V194:$AG194,'Calc base'!$C$14:$N$14,('Calc base'!$H194:$S194&gt;'Calc base'!M194)+('Calc base'!$H194:$S194='Calc base'!M194)*('Calc base'!$C$17:$N$17&lt;'Calc base'!H$17)))))</f>
        <v>0</v>
      </c>
      <c r="AN194">
        <f>IF('Calc base'!I$14=0,0,MIN(AB194,MAX(0,$E194-SUMPRODUCT($V194:$AG194,'Calc base'!$C$14:$N$14,('Calc base'!$H194:$S194&gt;'Calc base'!N194)+('Calc base'!$H194:$S194='Calc base'!N194)*('Calc base'!$C$17:$N$17&lt;'Calc base'!I$17)))))</f>
        <v>0</v>
      </c>
      <c r="AO194">
        <f>IF('Calc base'!J$14=0,0,MIN(AC194,MAX(0,$E194-SUMPRODUCT($V194:$AG194,'Calc base'!$C$14:$N$14,('Calc base'!$H194:$S194&gt;'Calc base'!O194)+('Calc base'!$H194:$S194='Calc base'!O194)*('Calc base'!$C$17:$N$17&lt;'Calc base'!J$17)))))</f>
        <v>0</v>
      </c>
      <c r="AP194">
        <f>IF('Calc base'!K$14=0,0,MIN(AD194,MAX(0,$E194-SUMPRODUCT($V194:$AG194,'Calc base'!$C$14:$N$14,('Calc base'!$H194:$S194&gt;'Calc base'!P194)+('Calc base'!$H194:$S194='Calc base'!P194)*('Calc base'!$C$17:$N$17&lt;'Calc base'!K$17)))))</f>
        <v>0</v>
      </c>
      <c r="AQ194">
        <f>IF('Calc base'!L$14=0,0,MIN(AE194,MAX(0,$E194-SUMPRODUCT($V194:$AG194,'Calc base'!$C$14:$N$14,('Calc base'!$H194:$S194&gt;'Calc base'!Q194)+('Calc base'!$H194:$S194='Calc base'!Q194)*('Calc base'!$C$17:$N$17&lt;'Calc base'!L$17)))))</f>
        <v>0</v>
      </c>
      <c r="AR194">
        <f>IF('Calc base'!M$14=0,0,MIN(AF194,MAX(0,$E194-SUMPRODUCT($V194:$AG194,'Calc base'!$C$14:$N$14,('Calc base'!$H194:$S194&gt;'Calc base'!R194)+('Calc base'!$H194:$S194='Calc base'!R194)*('Calc base'!$C$17:$N$17&lt;'Calc base'!M$17)))))</f>
        <v>0</v>
      </c>
      <c r="AS194">
        <f>IF('Calc base'!N$14=0,0,MIN(AG194,MAX(0,$E194-SUMPRODUCT($V194:$AG194,'Calc base'!$C$14:$N$14,('Calc base'!$H194:$S194&gt;'Calc base'!S194)+('Calc base'!$H194:$S194='Calc base'!S194)*('Calc base'!$C$17:$N$17&lt;'Calc base'!N$17)))))</f>
        <v>0</v>
      </c>
      <c r="AT194">
        <f>V194-AH194</f>
        <v>0</v>
      </c>
      <c r="AU194">
        <f>W194-AI194</f>
        <v>0</v>
      </c>
      <c r="AV194">
        <f>X194-AJ194</f>
        <v>0</v>
      </c>
      <c r="AW194">
        <f>Y194-AK194</f>
        <v>0</v>
      </c>
      <c r="AX194">
        <f>Z194-AL194</f>
        <v>0</v>
      </c>
      <c r="AY194">
        <f>AA194-AM194</f>
        <v>0</v>
      </c>
      <c r="AZ194">
        <f>AB194-AN194</f>
        <v>0</v>
      </c>
      <c r="BA194">
        <f>AC194-AO194</f>
        <v>0</v>
      </c>
      <c r="BB194">
        <f>AD194-AP194</f>
        <v>0</v>
      </c>
      <c r="BC194">
        <f>AE194-AQ194</f>
        <v>0</v>
      </c>
      <c r="BD194">
        <f>AF194-AR194</f>
        <v>0</v>
      </c>
      <c r="BE194">
        <f>AG194-AS194</f>
        <v>0</v>
      </c>
    </row>
    <row r="195">
      <c r="A195" t="n">
        <v>165</v>
      </c>
      <c r="B195">
        <f>SUMPRODUCT(ROUND($AT194:$BE194*(1+'Calc base'!$H195:$S195),2))</f>
        <v>0</v>
      </c>
      <c r="C195">
        <f>SUM(J195:U195)</f>
        <v>0</v>
      </c>
      <c r="D195">
        <f>SUM(V195:AG195)</f>
        <v>0</v>
      </c>
      <c r="E195">
        <f>MAX(0,IF(Impostazioni!$B$7="No",'Calc base'!$C195-$C$31,'Calc base'!$C195-C195)+'Calc base'!$G195+'Calc base'!$F195-(B195-C195-D195))</f>
        <v>900</v>
      </c>
      <c r="F195">
        <f>SUM(AH195:AS195)</f>
        <v>0</v>
      </c>
      <c r="G195">
        <f>SUM(AT195:BE195)</f>
        <v>0</v>
      </c>
      <c r="H195">
        <f>B195-G194</f>
        <v>0</v>
      </c>
      <c r="I195">
        <f>B195-G195</f>
        <v>0</v>
      </c>
      <c r="J195">
        <f>IF(AT194&lt;=0,0,IF(ROUND(AT194*(1+'Calc base'!H195),2)-MAX('Calc base'!C$12,ROUND('Calc base'!C$13*AT194,2))&lt;1,ROUND(AT194*(1+'Calc base'!H195),2),MAX('Calc base'!C$12,ROUND('Calc base'!C$13*AT194,2))))</f>
        <v>0</v>
      </c>
      <c r="K195">
        <f>IF(AU194&lt;=0,0,IF(ROUND(AU194*(1+'Calc base'!I195),2)-MAX('Calc base'!D$12,ROUND('Calc base'!D$13*AU194,2))&lt;1,ROUND(AU194*(1+'Calc base'!I195),2),MAX('Calc base'!D$12,ROUND('Calc base'!D$13*AU194,2))))</f>
        <v>0</v>
      </c>
      <c r="L195">
        <f>IF(AV194&lt;=0,0,IF(ROUND(AV194*(1+'Calc base'!J195),2)-MAX('Calc base'!E$12,ROUND('Calc base'!E$13*AV194,2))&lt;1,ROUND(AV194*(1+'Calc base'!J195),2),MAX('Calc base'!E$12,ROUND('Calc base'!E$13*AV194,2))))</f>
        <v>0</v>
      </c>
      <c r="M195">
        <f>IF(AW194&lt;=0,0,IF(ROUND(AW194*(1+'Calc base'!K195),2)-MAX('Calc base'!F$12,ROUND('Calc base'!F$13*AW194,2))&lt;1,ROUND(AW194*(1+'Calc base'!K195),2),MAX('Calc base'!F$12,ROUND('Calc base'!F$13*AW194,2))))</f>
        <v>0</v>
      </c>
      <c r="N195">
        <f>IF(AX194&lt;=0,0,IF(ROUND(AX194*(1+'Calc base'!L195),2)-MAX('Calc base'!G$12,ROUND('Calc base'!G$13*AX194,2))&lt;1,ROUND(AX194*(1+'Calc base'!L195),2),MAX('Calc base'!G$12,ROUND('Calc base'!G$13*AX194,2))))</f>
        <v>0</v>
      </c>
      <c r="O195">
        <f>IF(AY194&lt;=0,0,IF(ROUND(AY194*(1+'Calc base'!M195),2)-MAX('Calc base'!H$12,ROUND('Calc base'!H$13*AY194,2))&lt;1,ROUND(AY194*(1+'Calc base'!M195),2),MAX('Calc base'!H$12,ROUND('Calc base'!H$13*AY194,2))))</f>
        <v>0</v>
      </c>
      <c r="P195">
        <f>IF(AZ194&lt;=0,0,IF(ROUND(AZ194*(1+'Calc base'!N195),2)-MAX('Calc base'!I$12,ROUND('Calc base'!I$13*AZ194,2))&lt;1,ROUND(AZ194*(1+'Calc base'!N195),2),MAX('Calc base'!I$12,ROUND('Calc base'!I$13*AZ194,2))))</f>
        <v>0</v>
      </c>
      <c r="Q195">
        <f>IF(BA194&lt;=0,0,IF(ROUND(BA194*(1+'Calc base'!O195),2)-MAX('Calc base'!J$12,ROUND('Calc base'!J$13*BA194,2))&lt;1,ROUND(BA194*(1+'Calc base'!O195),2),MAX('Calc base'!J$12,ROUND('Calc base'!J$13*BA194,2))))</f>
        <v>0</v>
      </c>
      <c r="R195">
        <f>IF(BB194&lt;=0,0,IF(ROUND(BB194*(1+'Calc base'!P195),2)-MAX('Calc base'!K$12,ROUND('Calc base'!K$13*BB194,2))&lt;1,ROUND(BB194*(1+'Calc base'!P195),2),MAX('Calc base'!K$12,ROUND('Calc base'!K$13*BB194,2))))</f>
        <v>0</v>
      </c>
      <c r="S195">
        <f>IF(BC194&lt;=0,0,IF(ROUND(BC194*(1+'Calc base'!Q195),2)-MAX('Calc base'!L$12,ROUND('Calc base'!L$13*BC194,2))&lt;1,ROUND(BC194*(1+'Calc base'!Q195),2),MAX('Calc base'!L$12,ROUND('Calc base'!L$13*BC194,2))))</f>
        <v>0</v>
      </c>
      <c r="T195">
        <f>IF(BD194&lt;=0,0,IF(ROUND(BD194*(1+'Calc base'!R195),2)-MAX('Calc base'!M$12,ROUND('Calc base'!M$13*BD194,2))&lt;1,ROUND(BD194*(1+'Calc base'!R195),2),MAX('Calc base'!M$12,ROUND('Calc base'!M$13*BD194,2))))</f>
        <v>0</v>
      </c>
      <c r="U195">
        <f>IF(BE194&lt;=0,0,IF(ROUND(BE194*(1+'Calc base'!S195),2)-MAX('Calc base'!N$12,ROUND('Calc base'!N$13*BE194,2))&lt;1,ROUND(BE194*(1+'Calc base'!S195),2),MAX('Calc base'!N$12,ROUND('Calc base'!N$13*BE194,2))))</f>
        <v>0</v>
      </c>
      <c r="V195">
        <f>MAX(0,ROUND(AT194*(1+'Calc base'!H195),2)-J195-'Calc base'!T195)</f>
        <v>0</v>
      </c>
      <c r="W195">
        <f>MAX(0,ROUND(AU194*(1+'Calc base'!I195),2)-K195-'Calc base'!U195)</f>
        <v>0</v>
      </c>
      <c r="X195">
        <f>MAX(0,ROUND(AV194*(1+'Calc base'!J195),2)-L195-'Calc base'!V195)</f>
        <v>0</v>
      </c>
      <c r="Y195">
        <f>MAX(0,ROUND(AW194*(1+'Calc base'!K195),2)-M195-'Calc base'!W195)</f>
        <v>0</v>
      </c>
      <c r="Z195">
        <f>MAX(0,ROUND(AX194*(1+'Calc base'!L195),2)-N195-'Calc base'!X195)</f>
        <v>0</v>
      </c>
      <c r="AA195">
        <f>MAX(0,ROUND(AY194*(1+'Calc base'!M195),2)-O195-'Calc base'!Y195)</f>
        <v>0</v>
      </c>
      <c r="AB195">
        <f>MAX(0,ROUND(AZ194*(1+'Calc base'!N195),2)-P195-'Calc base'!Z195)</f>
        <v>0</v>
      </c>
      <c r="AC195">
        <f>MAX(0,ROUND(BA194*(1+'Calc base'!O195),2)-Q195-'Calc base'!AA195)</f>
        <v>0</v>
      </c>
      <c r="AD195">
        <f>MAX(0,ROUND(BB194*(1+'Calc base'!P195),2)-R195-'Calc base'!AB195)</f>
        <v>0</v>
      </c>
      <c r="AE195">
        <f>MAX(0,ROUND(BC194*(1+'Calc base'!Q195),2)-S195-'Calc base'!AC195)</f>
        <v>0</v>
      </c>
      <c r="AF195">
        <f>MAX(0,ROUND(BD194*(1+'Calc base'!R195),2)-T195-'Calc base'!AD195)</f>
        <v>0</v>
      </c>
      <c r="AG195">
        <f>MAX(0,ROUND(BE194*(1+'Calc base'!S195),2)-U195-'Calc base'!AE195)</f>
        <v>0</v>
      </c>
      <c r="AH195">
        <f>IF('Calc base'!C$14=0,0,MIN(V195,MAX(0,$E195-SUMPRODUCT($V195:$AG195,'Calc base'!$C$14:$N$14,('Calc base'!$H195:$S195&gt;'Calc base'!H195)+('Calc base'!$H195:$S195='Calc base'!H195)*('Calc base'!$C$17:$N$17&lt;'Calc base'!C$17)))))</f>
        <v>0</v>
      </c>
      <c r="AI195">
        <f>IF('Calc base'!D$14=0,0,MIN(W195,MAX(0,$E195-SUMPRODUCT($V195:$AG195,'Calc base'!$C$14:$N$14,('Calc base'!$H195:$S195&gt;'Calc base'!I195)+('Calc base'!$H195:$S195='Calc base'!I195)*('Calc base'!$C$17:$N$17&lt;'Calc base'!D$17)))))</f>
        <v>0</v>
      </c>
      <c r="AJ195">
        <f>IF('Calc base'!E$14=0,0,MIN(X195,MAX(0,$E195-SUMPRODUCT($V195:$AG195,'Calc base'!$C$14:$N$14,('Calc base'!$H195:$S195&gt;'Calc base'!J195)+('Calc base'!$H195:$S195='Calc base'!J195)*('Calc base'!$C$17:$N$17&lt;'Calc base'!E$17)))))</f>
        <v>0</v>
      </c>
      <c r="AK195">
        <f>IF('Calc base'!F$14=0,0,MIN(Y195,MAX(0,$E195-SUMPRODUCT($V195:$AG195,'Calc base'!$C$14:$N$14,('Calc base'!$H195:$S195&gt;'Calc base'!K195)+('Calc base'!$H195:$S195='Calc base'!K195)*('Calc base'!$C$17:$N$17&lt;'Calc base'!F$17)))))</f>
        <v>0</v>
      </c>
      <c r="AL195">
        <f>IF('Calc base'!G$14=0,0,MIN(Z195,MAX(0,$E195-SUMPRODUCT($V195:$AG195,'Calc base'!$C$14:$N$14,('Calc base'!$H195:$S195&gt;'Calc base'!L195)+('Calc base'!$H195:$S195='Calc base'!L195)*('Calc base'!$C$17:$N$17&lt;'Calc base'!G$17)))))</f>
        <v>0</v>
      </c>
      <c r="AM195">
        <f>IF('Calc base'!H$14=0,0,MIN(AA195,MAX(0,$E195-SUMPRODUCT($V195:$AG195,'Calc base'!$C$14:$N$14,('Calc base'!$H195:$S195&gt;'Calc base'!M195)+('Calc base'!$H195:$S195='Calc base'!M195)*('Calc base'!$C$17:$N$17&lt;'Calc base'!H$17)))))</f>
        <v>0</v>
      </c>
      <c r="AN195">
        <f>IF('Calc base'!I$14=0,0,MIN(AB195,MAX(0,$E195-SUMPRODUCT($V195:$AG195,'Calc base'!$C$14:$N$14,('Calc base'!$H195:$S195&gt;'Calc base'!N195)+('Calc base'!$H195:$S195='Calc base'!N195)*('Calc base'!$C$17:$N$17&lt;'Calc base'!I$17)))))</f>
        <v>0</v>
      </c>
      <c r="AO195">
        <f>IF('Calc base'!J$14=0,0,MIN(AC195,MAX(0,$E195-SUMPRODUCT($V195:$AG195,'Calc base'!$C$14:$N$14,('Calc base'!$H195:$S195&gt;'Calc base'!O195)+('Calc base'!$H195:$S195='Calc base'!O195)*('Calc base'!$C$17:$N$17&lt;'Calc base'!J$17)))))</f>
        <v>0</v>
      </c>
      <c r="AP195">
        <f>IF('Calc base'!K$14=0,0,MIN(AD195,MAX(0,$E195-SUMPRODUCT($V195:$AG195,'Calc base'!$C$14:$N$14,('Calc base'!$H195:$S195&gt;'Calc base'!P195)+('Calc base'!$H195:$S195='Calc base'!P195)*('Calc base'!$C$17:$N$17&lt;'Calc base'!K$17)))))</f>
        <v>0</v>
      </c>
      <c r="AQ195">
        <f>IF('Calc base'!L$14=0,0,MIN(AE195,MAX(0,$E195-SUMPRODUCT($V195:$AG195,'Calc base'!$C$14:$N$14,('Calc base'!$H195:$S195&gt;'Calc base'!Q195)+('Calc base'!$H195:$S195='Calc base'!Q195)*('Calc base'!$C$17:$N$17&lt;'Calc base'!L$17)))))</f>
        <v>0</v>
      </c>
      <c r="AR195">
        <f>IF('Calc base'!M$14=0,0,MIN(AF195,MAX(0,$E195-SUMPRODUCT($V195:$AG195,'Calc base'!$C$14:$N$14,('Calc base'!$H195:$S195&gt;'Calc base'!R195)+('Calc base'!$H195:$S195='Calc base'!R195)*('Calc base'!$C$17:$N$17&lt;'Calc base'!M$17)))))</f>
        <v>0</v>
      </c>
      <c r="AS195">
        <f>IF('Calc base'!N$14=0,0,MIN(AG195,MAX(0,$E195-SUMPRODUCT($V195:$AG195,'Calc base'!$C$14:$N$14,('Calc base'!$H195:$S195&gt;'Calc base'!S195)+('Calc base'!$H195:$S195='Calc base'!S195)*('Calc base'!$C$17:$N$17&lt;'Calc base'!N$17)))))</f>
        <v>0</v>
      </c>
      <c r="AT195">
        <f>V195-AH195</f>
        <v>0</v>
      </c>
      <c r="AU195">
        <f>W195-AI195</f>
        <v>0</v>
      </c>
      <c r="AV195">
        <f>X195-AJ195</f>
        <v>0</v>
      </c>
      <c r="AW195">
        <f>Y195-AK195</f>
        <v>0</v>
      </c>
      <c r="AX195">
        <f>Z195-AL195</f>
        <v>0</v>
      </c>
      <c r="AY195">
        <f>AA195-AM195</f>
        <v>0</v>
      </c>
      <c r="AZ195">
        <f>AB195-AN195</f>
        <v>0</v>
      </c>
      <c r="BA195">
        <f>AC195-AO195</f>
        <v>0</v>
      </c>
      <c r="BB195">
        <f>AD195-AP195</f>
        <v>0</v>
      </c>
      <c r="BC195">
        <f>AE195-AQ195</f>
        <v>0</v>
      </c>
      <c r="BD195">
        <f>AF195-AR195</f>
        <v>0</v>
      </c>
      <c r="BE195">
        <f>AG195-AS195</f>
        <v>0</v>
      </c>
    </row>
    <row r="196">
      <c r="A196" t="n">
        <v>166</v>
      </c>
      <c r="B196">
        <f>SUMPRODUCT(ROUND($AT195:$BE195*(1+'Calc base'!$H196:$S196),2))</f>
        <v>0</v>
      </c>
      <c r="C196">
        <f>SUM(J196:U196)</f>
        <v>0</v>
      </c>
      <c r="D196">
        <f>SUM(V196:AG196)</f>
        <v>0</v>
      </c>
      <c r="E196">
        <f>MAX(0,IF(Impostazioni!$B$7="No",'Calc base'!$C196-$C$31,'Calc base'!$C196-C196)+'Calc base'!$G196+'Calc base'!$F196-(B196-C196-D196))</f>
        <v>900</v>
      </c>
      <c r="F196">
        <f>SUM(AH196:AS196)</f>
        <v>0</v>
      </c>
      <c r="G196">
        <f>SUM(AT196:BE196)</f>
        <v>0</v>
      </c>
      <c r="H196">
        <f>B196-G195</f>
        <v>0</v>
      </c>
      <c r="I196">
        <f>B196-G196</f>
        <v>0</v>
      </c>
      <c r="J196">
        <f>IF(AT195&lt;=0,0,IF(ROUND(AT195*(1+'Calc base'!H196),2)-MAX('Calc base'!C$12,ROUND('Calc base'!C$13*AT195,2))&lt;1,ROUND(AT195*(1+'Calc base'!H196),2),MAX('Calc base'!C$12,ROUND('Calc base'!C$13*AT195,2))))</f>
        <v>0</v>
      </c>
      <c r="K196">
        <f>IF(AU195&lt;=0,0,IF(ROUND(AU195*(1+'Calc base'!I196),2)-MAX('Calc base'!D$12,ROUND('Calc base'!D$13*AU195,2))&lt;1,ROUND(AU195*(1+'Calc base'!I196),2),MAX('Calc base'!D$12,ROUND('Calc base'!D$13*AU195,2))))</f>
        <v>0</v>
      </c>
      <c r="L196">
        <f>IF(AV195&lt;=0,0,IF(ROUND(AV195*(1+'Calc base'!J196),2)-MAX('Calc base'!E$12,ROUND('Calc base'!E$13*AV195,2))&lt;1,ROUND(AV195*(1+'Calc base'!J196),2),MAX('Calc base'!E$12,ROUND('Calc base'!E$13*AV195,2))))</f>
        <v>0</v>
      </c>
      <c r="M196">
        <f>IF(AW195&lt;=0,0,IF(ROUND(AW195*(1+'Calc base'!K196),2)-MAX('Calc base'!F$12,ROUND('Calc base'!F$13*AW195,2))&lt;1,ROUND(AW195*(1+'Calc base'!K196),2),MAX('Calc base'!F$12,ROUND('Calc base'!F$13*AW195,2))))</f>
        <v>0</v>
      </c>
      <c r="N196">
        <f>IF(AX195&lt;=0,0,IF(ROUND(AX195*(1+'Calc base'!L196),2)-MAX('Calc base'!G$12,ROUND('Calc base'!G$13*AX195,2))&lt;1,ROUND(AX195*(1+'Calc base'!L196),2),MAX('Calc base'!G$12,ROUND('Calc base'!G$13*AX195,2))))</f>
        <v>0</v>
      </c>
      <c r="O196">
        <f>IF(AY195&lt;=0,0,IF(ROUND(AY195*(1+'Calc base'!M196),2)-MAX('Calc base'!H$12,ROUND('Calc base'!H$13*AY195,2))&lt;1,ROUND(AY195*(1+'Calc base'!M196),2),MAX('Calc base'!H$12,ROUND('Calc base'!H$13*AY195,2))))</f>
        <v>0</v>
      </c>
      <c r="P196">
        <f>IF(AZ195&lt;=0,0,IF(ROUND(AZ195*(1+'Calc base'!N196),2)-MAX('Calc base'!I$12,ROUND('Calc base'!I$13*AZ195,2))&lt;1,ROUND(AZ195*(1+'Calc base'!N196),2),MAX('Calc base'!I$12,ROUND('Calc base'!I$13*AZ195,2))))</f>
        <v>0</v>
      </c>
      <c r="Q196">
        <f>IF(BA195&lt;=0,0,IF(ROUND(BA195*(1+'Calc base'!O196),2)-MAX('Calc base'!J$12,ROUND('Calc base'!J$13*BA195,2))&lt;1,ROUND(BA195*(1+'Calc base'!O196),2),MAX('Calc base'!J$12,ROUND('Calc base'!J$13*BA195,2))))</f>
        <v>0</v>
      </c>
      <c r="R196">
        <f>IF(BB195&lt;=0,0,IF(ROUND(BB195*(1+'Calc base'!P196),2)-MAX('Calc base'!K$12,ROUND('Calc base'!K$13*BB195,2))&lt;1,ROUND(BB195*(1+'Calc base'!P196),2),MAX('Calc base'!K$12,ROUND('Calc base'!K$13*BB195,2))))</f>
        <v>0</v>
      </c>
      <c r="S196">
        <f>IF(BC195&lt;=0,0,IF(ROUND(BC195*(1+'Calc base'!Q196),2)-MAX('Calc base'!L$12,ROUND('Calc base'!L$13*BC195,2))&lt;1,ROUND(BC195*(1+'Calc base'!Q196),2),MAX('Calc base'!L$12,ROUND('Calc base'!L$13*BC195,2))))</f>
        <v>0</v>
      </c>
      <c r="T196">
        <f>IF(BD195&lt;=0,0,IF(ROUND(BD195*(1+'Calc base'!R196),2)-MAX('Calc base'!M$12,ROUND('Calc base'!M$13*BD195,2))&lt;1,ROUND(BD195*(1+'Calc base'!R196),2),MAX('Calc base'!M$12,ROUND('Calc base'!M$13*BD195,2))))</f>
        <v>0</v>
      </c>
      <c r="U196">
        <f>IF(BE195&lt;=0,0,IF(ROUND(BE195*(1+'Calc base'!S196),2)-MAX('Calc base'!N$12,ROUND('Calc base'!N$13*BE195,2))&lt;1,ROUND(BE195*(1+'Calc base'!S196),2),MAX('Calc base'!N$12,ROUND('Calc base'!N$13*BE195,2))))</f>
        <v>0</v>
      </c>
      <c r="V196">
        <f>MAX(0,ROUND(AT195*(1+'Calc base'!H196),2)-J196-'Calc base'!T196)</f>
        <v>0</v>
      </c>
      <c r="W196">
        <f>MAX(0,ROUND(AU195*(1+'Calc base'!I196),2)-K196-'Calc base'!U196)</f>
        <v>0</v>
      </c>
      <c r="X196">
        <f>MAX(0,ROUND(AV195*(1+'Calc base'!J196),2)-L196-'Calc base'!V196)</f>
        <v>0</v>
      </c>
      <c r="Y196">
        <f>MAX(0,ROUND(AW195*(1+'Calc base'!K196),2)-M196-'Calc base'!W196)</f>
        <v>0</v>
      </c>
      <c r="Z196">
        <f>MAX(0,ROUND(AX195*(1+'Calc base'!L196),2)-N196-'Calc base'!X196)</f>
        <v>0</v>
      </c>
      <c r="AA196">
        <f>MAX(0,ROUND(AY195*(1+'Calc base'!M196),2)-O196-'Calc base'!Y196)</f>
        <v>0</v>
      </c>
      <c r="AB196">
        <f>MAX(0,ROUND(AZ195*(1+'Calc base'!N196),2)-P196-'Calc base'!Z196)</f>
        <v>0</v>
      </c>
      <c r="AC196">
        <f>MAX(0,ROUND(BA195*(1+'Calc base'!O196),2)-Q196-'Calc base'!AA196)</f>
        <v>0</v>
      </c>
      <c r="AD196">
        <f>MAX(0,ROUND(BB195*(1+'Calc base'!P196),2)-R196-'Calc base'!AB196)</f>
        <v>0</v>
      </c>
      <c r="AE196">
        <f>MAX(0,ROUND(BC195*(1+'Calc base'!Q196),2)-S196-'Calc base'!AC196)</f>
        <v>0</v>
      </c>
      <c r="AF196">
        <f>MAX(0,ROUND(BD195*(1+'Calc base'!R196),2)-T196-'Calc base'!AD196)</f>
        <v>0</v>
      </c>
      <c r="AG196">
        <f>MAX(0,ROUND(BE195*(1+'Calc base'!S196),2)-U196-'Calc base'!AE196)</f>
        <v>0</v>
      </c>
      <c r="AH196">
        <f>IF('Calc base'!C$14=0,0,MIN(V196,MAX(0,$E196-SUMPRODUCT($V196:$AG196,'Calc base'!$C$14:$N$14,('Calc base'!$H196:$S196&gt;'Calc base'!H196)+('Calc base'!$H196:$S196='Calc base'!H196)*('Calc base'!$C$17:$N$17&lt;'Calc base'!C$17)))))</f>
        <v>0</v>
      </c>
      <c r="AI196">
        <f>IF('Calc base'!D$14=0,0,MIN(W196,MAX(0,$E196-SUMPRODUCT($V196:$AG196,'Calc base'!$C$14:$N$14,('Calc base'!$H196:$S196&gt;'Calc base'!I196)+('Calc base'!$H196:$S196='Calc base'!I196)*('Calc base'!$C$17:$N$17&lt;'Calc base'!D$17)))))</f>
        <v>0</v>
      </c>
      <c r="AJ196">
        <f>IF('Calc base'!E$14=0,0,MIN(X196,MAX(0,$E196-SUMPRODUCT($V196:$AG196,'Calc base'!$C$14:$N$14,('Calc base'!$H196:$S196&gt;'Calc base'!J196)+('Calc base'!$H196:$S196='Calc base'!J196)*('Calc base'!$C$17:$N$17&lt;'Calc base'!E$17)))))</f>
        <v>0</v>
      </c>
      <c r="AK196">
        <f>IF('Calc base'!F$14=0,0,MIN(Y196,MAX(0,$E196-SUMPRODUCT($V196:$AG196,'Calc base'!$C$14:$N$14,('Calc base'!$H196:$S196&gt;'Calc base'!K196)+('Calc base'!$H196:$S196='Calc base'!K196)*('Calc base'!$C$17:$N$17&lt;'Calc base'!F$17)))))</f>
        <v>0</v>
      </c>
      <c r="AL196">
        <f>IF('Calc base'!G$14=0,0,MIN(Z196,MAX(0,$E196-SUMPRODUCT($V196:$AG196,'Calc base'!$C$14:$N$14,('Calc base'!$H196:$S196&gt;'Calc base'!L196)+('Calc base'!$H196:$S196='Calc base'!L196)*('Calc base'!$C$17:$N$17&lt;'Calc base'!G$17)))))</f>
        <v>0</v>
      </c>
      <c r="AM196">
        <f>IF('Calc base'!H$14=0,0,MIN(AA196,MAX(0,$E196-SUMPRODUCT($V196:$AG196,'Calc base'!$C$14:$N$14,('Calc base'!$H196:$S196&gt;'Calc base'!M196)+('Calc base'!$H196:$S196='Calc base'!M196)*('Calc base'!$C$17:$N$17&lt;'Calc base'!H$17)))))</f>
        <v>0</v>
      </c>
      <c r="AN196">
        <f>IF('Calc base'!I$14=0,0,MIN(AB196,MAX(0,$E196-SUMPRODUCT($V196:$AG196,'Calc base'!$C$14:$N$14,('Calc base'!$H196:$S196&gt;'Calc base'!N196)+('Calc base'!$H196:$S196='Calc base'!N196)*('Calc base'!$C$17:$N$17&lt;'Calc base'!I$17)))))</f>
        <v>0</v>
      </c>
      <c r="AO196">
        <f>IF('Calc base'!J$14=0,0,MIN(AC196,MAX(0,$E196-SUMPRODUCT($V196:$AG196,'Calc base'!$C$14:$N$14,('Calc base'!$H196:$S196&gt;'Calc base'!O196)+('Calc base'!$H196:$S196='Calc base'!O196)*('Calc base'!$C$17:$N$17&lt;'Calc base'!J$17)))))</f>
        <v>0</v>
      </c>
      <c r="AP196">
        <f>IF('Calc base'!K$14=0,0,MIN(AD196,MAX(0,$E196-SUMPRODUCT($V196:$AG196,'Calc base'!$C$14:$N$14,('Calc base'!$H196:$S196&gt;'Calc base'!P196)+('Calc base'!$H196:$S196='Calc base'!P196)*('Calc base'!$C$17:$N$17&lt;'Calc base'!K$17)))))</f>
        <v>0</v>
      </c>
      <c r="AQ196">
        <f>IF('Calc base'!L$14=0,0,MIN(AE196,MAX(0,$E196-SUMPRODUCT($V196:$AG196,'Calc base'!$C$14:$N$14,('Calc base'!$H196:$S196&gt;'Calc base'!Q196)+('Calc base'!$H196:$S196='Calc base'!Q196)*('Calc base'!$C$17:$N$17&lt;'Calc base'!L$17)))))</f>
        <v>0</v>
      </c>
      <c r="AR196">
        <f>IF('Calc base'!M$14=0,0,MIN(AF196,MAX(0,$E196-SUMPRODUCT($V196:$AG196,'Calc base'!$C$14:$N$14,('Calc base'!$H196:$S196&gt;'Calc base'!R196)+('Calc base'!$H196:$S196='Calc base'!R196)*('Calc base'!$C$17:$N$17&lt;'Calc base'!M$17)))))</f>
        <v>0</v>
      </c>
      <c r="AS196">
        <f>IF('Calc base'!N$14=0,0,MIN(AG196,MAX(0,$E196-SUMPRODUCT($V196:$AG196,'Calc base'!$C$14:$N$14,('Calc base'!$H196:$S196&gt;'Calc base'!S196)+('Calc base'!$H196:$S196='Calc base'!S196)*('Calc base'!$C$17:$N$17&lt;'Calc base'!N$17)))))</f>
        <v>0</v>
      </c>
      <c r="AT196">
        <f>V196-AH196</f>
        <v>0</v>
      </c>
      <c r="AU196">
        <f>W196-AI196</f>
        <v>0</v>
      </c>
      <c r="AV196">
        <f>X196-AJ196</f>
        <v>0</v>
      </c>
      <c r="AW196">
        <f>Y196-AK196</f>
        <v>0</v>
      </c>
      <c r="AX196">
        <f>Z196-AL196</f>
        <v>0</v>
      </c>
      <c r="AY196">
        <f>AA196-AM196</f>
        <v>0</v>
      </c>
      <c r="AZ196">
        <f>AB196-AN196</f>
        <v>0</v>
      </c>
      <c r="BA196">
        <f>AC196-AO196</f>
        <v>0</v>
      </c>
      <c r="BB196">
        <f>AD196-AP196</f>
        <v>0</v>
      </c>
      <c r="BC196">
        <f>AE196-AQ196</f>
        <v>0</v>
      </c>
      <c r="BD196">
        <f>AF196-AR196</f>
        <v>0</v>
      </c>
      <c r="BE196">
        <f>AG196-AS196</f>
        <v>0</v>
      </c>
    </row>
    <row r="197">
      <c r="A197" t="n">
        <v>167</v>
      </c>
      <c r="B197">
        <f>SUMPRODUCT(ROUND($AT196:$BE196*(1+'Calc base'!$H197:$S197),2))</f>
        <v>0</v>
      </c>
      <c r="C197">
        <f>SUM(J197:U197)</f>
        <v>0</v>
      </c>
      <c r="D197">
        <f>SUM(V197:AG197)</f>
        <v>0</v>
      </c>
      <c r="E197">
        <f>MAX(0,IF(Impostazioni!$B$7="No",'Calc base'!$C197-$C$31,'Calc base'!$C197-C197)+'Calc base'!$G197+'Calc base'!$F197-(B197-C197-D197))</f>
        <v>900</v>
      </c>
      <c r="F197">
        <f>SUM(AH197:AS197)</f>
        <v>0</v>
      </c>
      <c r="G197">
        <f>SUM(AT197:BE197)</f>
        <v>0</v>
      </c>
      <c r="H197">
        <f>B197-G196</f>
        <v>0</v>
      </c>
      <c r="I197">
        <f>B197-G197</f>
        <v>0</v>
      </c>
      <c r="J197">
        <f>IF(AT196&lt;=0,0,IF(ROUND(AT196*(1+'Calc base'!H197),2)-MAX('Calc base'!C$12,ROUND('Calc base'!C$13*AT196,2))&lt;1,ROUND(AT196*(1+'Calc base'!H197),2),MAX('Calc base'!C$12,ROUND('Calc base'!C$13*AT196,2))))</f>
        <v>0</v>
      </c>
      <c r="K197">
        <f>IF(AU196&lt;=0,0,IF(ROUND(AU196*(1+'Calc base'!I197),2)-MAX('Calc base'!D$12,ROUND('Calc base'!D$13*AU196,2))&lt;1,ROUND(AU196*(1+'Calc base'!I197),2),MAX('Calc base'!D$12,ROUND('Calc base'!D$13*AU196,2))))</f>
        <v>0</v>
      </c>
      <c r="L197">
        <f>IF(AV196&lt;=0,0,IF(ROUND(AV196*(1+'Calc base'!J197),2)-MAX('Calc base'!E$12,ROUND('Calc base'!E$13*AV196,2))&lt;1,ROUND(AV196*(1+'Calc base'!J197),2),MAX('Calc base'!E$12,ROUND('Calc base'!E$13*AV196,2))))</f>
        <v>0</v>
      </c>
      <c r="M197">
        <f>IF(AW196&lt;=0,0,IF(ROUND(AW196*(1+'Calc base'!K197),2)-MAX('Calc base'!F$12,ROUND('Calc base'!F$13*AW196,2))&lt;1,ROUND(AW196*(1+'Calc base'!K197),2),MAX('Calc base'!F$12,ROUND('Calc base'!F$13*AW196,2))))</f>
        <v>0</v>
      </c>
      <c r="N197">
        <f>IF(AX196&lt;=0,0,IF(ROUND(AX196*(1+'Calc base'!L197),2)-MAX('Calc base'!G$12,ROUND('Calc base'!G$13*AX196,2))&lt;1,ROUND(AX196*(1+'Calc base'!L197),2),MAX('Calc base'!G$12,ROUND('Calc base'!G$13*AX196,2))))</f>
        <v>0</v>
      </c>
      <c r="O197">
        <f>IF(AY196&lt;=0,0,IF(ROUND(AY196*(1+'Calc base'!M197),2)-MAX('Calc base'!H$12,ROUND('Calc base'!H$13*AY196,2))&lt;1,ROUND(AY196*(1+'Calc base'!M197),2),MAX('Calc base'!H$12,ROUND('Calc base'!H$13*AY196,2))))</f>
        <v>0</v>
      </c>
      <c r="P197">
        <f>IF(AZ196&lt;=0,0,IF(ROUND(AZ196*(1+'Calc base'!N197),2)-MAX('Calc base'!I$12,ROUND('Calc base'!I$13*AZ196,2))&lt;1,ROUND(AZ196*(1+'Calc base'!N197),2),MAX('Calc base'!I$12,ROUND('Calc base'!I$13*AZ196,2))))</f>
        <v>0</v>
      </c>
      <c r="Q197">
        <f>IF(BA196&lt;=0,0,IF(ROUND(BA196*(1+'Calc base'!O197),2)-MAX('Calc base'!J$12,ROUND('Calc base'!J$13*BA196,2))&lt;1,ROUND(BA196*(1+'Calc base'!O197),2),MAX('Calc base'!J$12,ROUND('Calc base'!J$13*BA196,2))))</f>
        <v>0</v>
      </c>
      <c r="R197">
        <f>IF(BB196&lt;=0,0,IF(ROUND(BB196*(1+'Calc base'!P197),2)-MAX('Calc base'!K$12,ROUND('Calc base'!K$13*BB196,2))&lt;1,ROUND(BB196*(1+'Calc base'!P197),2),MAX('Calc base'!K$12,ROUND('Calc base'!K$13*BB196,2))))</f>
        <v>0</v>
      </c>
      <c r="S197">
        <f>IF(BC196&lt;=0,0,IF(ROUND(BC196*(1+'Calc base'!Q197),2)-MAX('Calc base'!L$12,ROUND('Calc base'!L$13*BC196,2))&lt;1,ROUND(BC196*(1+'Calc base'!Q197),2),MAX('Calc base'!L$12,ROUND('Calc base'!L$13*BC196,2))))</f>
        <v>0</v>
      </c>
      <c r="T197">
        <f>IF(BD196&lt;=0,0,IF(ROUND(BD196*(1+'Calc base'!R197),2)-MAX('Calc base'!M$12,ROUND('Calc base'!M$13*BD196,2))&lt;1,ROUND(BD196*(1+'Calc base'!R197),2),MAX('Calc base'!M$12,ROUND('Calc base'!M$13*BD196,2))))</f>
        <v>0</v>
      </c>
      <c r="U197">
        <f>IF(BE196&lt;=0,0,IF(ROUND(BE196*(1+'Calc base'!S197),2)-MAX('Calc base'!N$12,ROUND('Calc base'!N$13*BE196,2))&lt;1,ROUND(BE196*(1+'Calc base'!S197),2),MAX('Calc base'!N$12,ROUND('Calc base'!N$13*BE196,2))))</f>
        <v>0</v>
      </c>
      <c r="V197">
        <f>MAX(0,ROUND(AT196*(1+'Calc base'!H197),2)-J197-'Calc base'!T197)</f>
        <v>0</v>
      </c>
      <c r="W197">
        <f>MAX(0,ROUND(AU196*(1+'Calc base'!I197),2)-K197-'Calc base'!U197)</f>
        <v>0</v>
      </c>
      <c r="X197">
        <f>MAX(0,ROUND(AV196*(1+'Calc base'!J197),2)-L197-'Calc base'!V197)</f>
        <v>0</v>
      </c>
      <c r="Y197">
        <f>MAX(0,ROUND(AW196*(1+'Calc base'!K197),2)-M197-'Calc base'!W197)</f>
        <v>0</v>
      </c>
      <c r="Z197">
        <f>MAX(0,ROUND(AX196*(1+'Calc base'!L197),2)-N197-'Calc base'!X197)</f>
        <v>0</v>
      </c>
      <c r="AA197">
        <f>MAX(0,ROUND(AY196*(1+'Calc base'!M197),2)-O197-'Calc base'!Y197)</f>
        <v>0</v>
      </c>
      <c r="AB197">
        <f>MAX(0,ROUND(AZ196*(1+'Calc base'!N197),2)-P197-'Calc base'!Z197)</f>
        <v>0</v>
      </c>
      <c r="AC197">
        <f>MAX(0,ROUND(BA196*(1+'Calc base'!O197),2)-Q197-'Calc base'!AA197)</f>
        <v>0</v>
      </c>
      <c r="AD197">
        <f>MAX(0,ROUND(BB196*(1+'Calc base'!P197),2)-R197-'Calc base'!AB197)</f>
        <v>0</v>
      </c>
      <c r="AE197">
        <f>MAX(0,ROUND(BC196*(1+'Calc base'!Q197),2)-S197-'Calc base'!AC197)</f>
        <v>0</v>
      </c>
      <c r="AF197">
        <f>MAX(0,ROUND(BD196*(1+'Calc base'!R197),2)-T197-'Calc base'!AD197)</f>
        <v>0</v>
      </c>
      <c r="AG197">
        <f>MAX(0,ROUND(BE196*(1+'Calc base'!S197),2)-U197-'Calc base'!AE197)</f>
        <v>0</v>
      </c>
      <c r="AH197">
        <f>IF('Calc base'!C$14=0,0,MIN(V197,MAX(0,$E197-SUMPRODUCT($V197:$AG197,'Calc base'!$C$14:$N$14,('Calc base'!$H197:$S197&gt;'Calc base'!H197)+('Calc base'!$H197:$S197='Calc base'!H197)*('Calc base'!$C$17:$N$17&lt;'Calc base'!C$17)))))</f>
        <v>0</v>
      </c>
      <c r="AI197">
        <f>IF('Calc base'!D$14=0,0,MIN(W197,MAX(0,$E197-SUMPRODUCT($V197:$AG197,'Calc base'!$C$14:$N$14,('Calc base'!$H197:$S197&gt;'Calc base'!I197)+('Calc base'!$H197:$S197='Calc base'!I197)*('Calc base'!$C$17:$N$17&lt;'Calc base'!D$17)))))</f>
        <v>0</v>
      </c>
      <c r="AJ197">
        <f>IF('Calc base'!E$14=0,0,MIN(X197,MAX(0,$E197-SUMPRODUCT($V197:$AG197,'Calc base'!$C$14:$N$14,('Calc base'!$H197:$S197&gt;'Calc base'!J197)+('Calc base'!$H197:$S197='Calc base'!J197)*('Calc base'!$C$17:$N$17&lt;'Calc base'!E$17)))))</f>
        <v>0</v>
      </c>
      <c r="AK197">
        <f>IF('Calc base'!F$14=0,0,MIN(Y197,MAX(0,$E197-SUMPRODUCT($V197:$AG197,'Calc base'!$C$14:$N$14,('Calc base'!$H197:$S197&gt;'Calc base'!K197)+('Calc base'!$H197:$S197='Calc base'!K197)*('Calc base'!$C$17:$N$17&lt;'Calc base'!F$17)))))</f>
        <v>0</v>
      </c>
      <c r="AL197">
        <f>IF('Calc base'!G$14=0,0,MIN(Z197,MAX(0,$E197-SUMPRODUCT($V197:$AG197,'Calc base'!$C$14:$N$14,('Calc base'!$H197:$S197&gt;'Calc base'!L197)+('Calc base'!$H197:$S197='Calc base'!L197)*('Calc base'!$C$17:$N$17&lt;'Calc base'!G$17)))))</f>
        <v>0</v>
      </c>
      <c r="AM197">
        <f>IF('Calc base'!H$14=0,0,MIN(AA197,MAX(0,$E197-SUMPRODUCT($V197:$AG197,'Calc base'!$C$14:$N$14,('Calc base'!$H197:$S197&gt;'Calc base'!M197)+('Calc base'!$H197:$S197='Calc base'!M197)*('Calc base'!$C$17:$N$17&lt;'Calc base'!H$17)))))</f>
        <v>0</v>
      </c>
      <c r="AN197">
        <f>IF('Calc base'!I$14=0,0,MIN(AB197,MAX(0,$E197-SUMPRODUCT($V197:$AG197,'Calc base'!$C$14:$N$14,('Calc base'!$H197:$S197&gt;'Calc base'!N197)+('Calc base'!$H197:$S197='Calc base'!N197)*('Calc base'!$C$17:$N$17&lt;'Calc base'!I$17)))))</f>
        <v>0</v>
      </c>
      <c r="AO197">
        <f>IF('Calc base'!J$14=0,0,MIN(AC197,MAX(0,$E197-SUMPRODUCT($V197:$AG197,'Calc base'!$C$14:$N$14,('Calc base'!$H197:$S197&gt;'Calc base'!O197)+('Calc base'!$H197:$S197='Calc base'!O197)*('Calc base'!$C$17:$N$17&lt;'Calc base'!J$17)))))</f>
        <v>0</v>
      </c>
      <c r="AP197">
        <f>IF('Calc base'!K$14=0,0,MIN(AD197,MAX(0,$E197-SUMPRODUCT($V197:$AG197,'Calc base'!$C$14:$N$14,('Calc base'!$H197:$S197&gt;'Calc base'!P197)+('Calc base'!$H197:$S197='Calc base'!P197)*('Calc base'!$C$17:$N$17&lt;'Calc base'!K$17)))))</f>
        <v>0</v>
      </c>
      <c r="AQ197">
        <f>IF('Calc base'!L$14=0,0,MIN(AE197,MAX(0,$E197-SUMPRODUCT($V197:$AG197,'Calc base'!$C$14:$N$14,('Calc base'!$H197:$S197&gt;'Calc base'!Q197)+('Calc base'!$H197:$S197='Calc base'!Q197)*('Calc base'!$C$17:$N$17&lt;'Calc base'!L$17)))))</f>
        <v>0</v>
      </c>
      <c r="AR197">
        <f>IF('Calc base'!M$14=0,0,MIN(AF197,MAX(0,$E197-SUMPRODUCT($V197:$AG197,'Calc base'!$C$14:$N$14,('Calc base'!$H197:$S197&gt;'Calc base'!R197)+('Calc base'!$H197:$S197='Calc base'!R197)*('Calc base'!$C$17:$N$17&lt;'Calc base'!M$17)))))</f>
        <v>0</v>
      </c>
      <c r="AS197">
        <f>IF('Calc base'!N$14=0,0,MIN(AG197,MAX(0,$E197-SUMPRODUCT($V197:$AG197,'Calc base'!$C$14:$N$14,('Calc base'!$H197:$S197&gt;'Calc base'!S197)+('Calc base'!$H197:$S197='Calc base'!S197)*('Calc base'!$C$17:$N$17&lt;'Calc base'!N$17)))))</f>
        <v>0</v>
      </c>
      <c r="AT197">
        <f>V197-AH197</f>
        <v>0</v>
      </c>
      <c r="AU197">
        <f>W197-AI197</f>
        <v>0</v>
      </c>
      <c r="AV197">
        <f>X197-AJ197</f>
        <v>0</v>
      </c>
      <c r="AW197">
        <f>Y197-AK197</f>
        <v>0</v>
      </c>
      <c r="AX197">
        <f>Z197-AL197</f>
        <v>0</v>
      </c>
      <c r="AY197">
        <f>AA197-AM197</f>
        <v>0</v>
      </c>
      <c r="AZ197">
        <f>AB197-AN197</f>
        <v>0</v>
      </c>
      <c r="BA197">
        <f>AC197-AO197</f>
        <v>0</v>
      </c>
      <c r="BB197">
        <f>AD197-AP197</f>
        <v>0</v>
      </c>
      <c r="BC197">
        <f>AE197-AQ197</f>
        <v>0</v>
      </c>
      <c r="BD197">
        <f>AF197-AR197</f>
        <v>0</v>
      </c>
      <c r="BE197">
        <f>AG197-AS197</f>
        <v>0</v>
      </c>
    </row>
    <row r="198">
      <c r="A198" t="n">
        <v>168</v>
      </c>
      <c r="B198">
        <f>SUMPRODUCT(ROUND($AT197:$BE197*(1+'Calc base'!$H198:$S198),2))</f>
        <v>0</v>
      </c>
      <c r="C198">
        <f>SUM(J198:U198)</f>
        <v>0</v>
      </c>
      <c r="D198">
        <f>SUM(V198:AG198)</f>
        <v>0</v>
      </c>
      <c r="E198">
        <f>MAX(0,IF(Impostazioni!$B$7="No",'Calc base'!$C198-$C$31,'Calc base'!$C198-C198)+'Calc base'!$G198+'Calc base'!$F198-(B198-C198-D198))</f>
        <v>900</v>
      </c>
      <c r="F198">
        <f>SUM(AH198:AS198)</f>
        <v>0</v>
      </c>
      <c r="G198">
        <f>SUM(AT198:BE198)</f>
        <v>0</v>
      </c>
      <c r="H198">
        <f>B198-G197</f>
        <v>0</v>
      </c>
      <c r="I198">
        <f>B198-G198</f>
        <v>0</v>
      </c>
      <c r="J198">
        <f>IF(AT197&lt;=0,0,IF(ROUND(AT197*(1+'Calc base'!H198),2)-MAX('Calc base'!C$12,ROUND('Calc base'!C$13*AT197,2))&lt;1,ROUND(AT197*(1+'Calc base'!H198),2),MAX('Calc base'!C$12,ROUND('Calc base'!C$13*AT197,2))))</f>
        <v>0</v>
      </c>
      <c r="K198">
        <f>IF(AU197&lt;=0,0,IF(ROUND(AU197*(1+'Calc base'!I198),2)-MAX('Calc base'!D$12,ROUND('Calc base'!D$13*AU197,2))&lt;1,ROUND(AU197*(1+'Calc base'!I198),2),MAX('Calc base'!D$12,ROUND('Calc base'!D$13*AU197,2))))</f>
        <v>0</v>
      </c>
      <c r="L198">
        <f>IF(AV197&lt;=0,0,IF(ROUND(AV197*(1+'Calc base'!J198),2)-MAX('Calc base'!E$12,ROUND('Calc base'!E$13*AV197,2))&lt;1,ROUND(AV197*(1+'Calc base'!J198),2),MAX('Calc base'!E$12,ROUND('Calc base'!E$13*AV197,2))))</f>
        <v>0</v>
      </c>
      <c r="M198">
        <f>IF(AW197&lt;=0,0,IF(ROUND(AW197*(1+'Calc base'!K198),2)-MAX('Calc base'!F$12,ROUND('Calc base'!F$13*AW197,2))&lt;1,ROUND(AW197*(1+'Calc base'!K198),2),MAX('Calc base'!F$12,ROUND('Calc base'!F$13*AW197,2))))</f>
        <v>0</v>
      </c>
      <c r="N198">
        <f>IF(AX197&lt;=0,0,IF(ROUND(AX197*(1+'Calc base'!L198),2)-MAX('Calc base'!G$12,ROUND('Calc base'!G$13*AX197,2))&lt;1,ROUND(AX197*(1+'Calc base'!L198),2),MAX('Calc base'!G$12,ROUND('Calc base'!G$13*AX197,2))))</f>
        <v>0</v>
      </c>
      <c r="O198">
        <f>IF(AY197&lt;=0,0,IF(ROUND(AY197*(1+'Calc base'!M198),2)-MAX('Calc base'!H$12,ROUND('Calc base'!H$13*AY197,2))&lt;1,ROUND(AY197*(1+'Calc base'!M198),2),MAX('Calc base'!H$12,ROUND('Calc base'!H$13*AY197,2))))</f>
        <v>0</v>
      </c>
      <c r="P198">
        <f>IF(AZ197&lt;=0,0,IF(ROUND(AZ197*(1+'Calc base'!N198),2)-MAX('Calc base'!I$12,ROUND('Calc base'!I$13*AZ197,2))&lt;1,ROUND(AZ197*(1+'Calc base'!N198),2),MAX('Calc base'!I$12,ROUND('Calc base'!I$13*AZ197,2))))</f>
        <v>0</v>
      </c>
      <c r="Q198">
        <f>IF(BA197&lt;=0,0,IF(ROUND(BA197*(1+'Calc base'!O198),2)-MAX('Calc base'!J$12,ROUND('Calc base'!J$13*BA197,2))&lt;1,ROUND(BA197*(1+'Calc base'!O198),2),MAX('Calc base'!J$12,ROUND('Calc base'!J$13*BA197,2))))</f>
        <v>0</v>
      </c>
      <c r="R198">
        <f>IF(BB197&lt;=0,0,IF(ROUND(BB197*(1+'Calc base'!P198),2)-MAX('Calc base'!K$12,ROUND('Calc base'!K$13*BB197,2))&lt;1,ROUND(BB197*(1+'Calc base'!P198),2),MAX('Calc base'!K$12,ROUND('Calc base'!K$13*BB197,2))))</f>
        <v>0</v>
      </c>
      <c r="S198">
        <f>IF(BC197&lt;=0,0,IF(ROUND(BC197*(1+'Calc base'!Q198),2)-MAX('Calc base'!L$12,ROUND('Calc base'!L$13*BC197,2))&lt;1,ROUND(BC197*(1+'Calc base'!Q198),2),MAX('Calc base'!L$12,ROUND('Calc base'!L$13*BC197,2))))</f>
        <v>0</v>
      </c>
      <c r="T198">
        <f>IF(BD197&lt;=0,0,IF(ROUND(BD197*(1+'Calc base'!R198),2)-MAX('Calc base'!M$12,ROUND('Calc base'!M$13*BD197,2))&lt;1,ROUND(BD197*(1+'Calc base'!R198),2),MAX('Calc base'!M$12,ROUND('Calc base'!M$13*BD197,2))))</f>
        <v>0</v>
      </c>
      <c r="U198">
        <f>IF(BE197&lt;=0,0,IF(ROUND(BE197*(1+'Calc base'!S198),2)-MAX('Calc base'!N$12,ROUND('Calc base'!N$13*BE197,2))&lt;1,ROUND(BE197*(1+'Calc base'!S198),2),MAX('Calc base'!N$12,ROUND('Calc base'!N$13*BE197,2))))</f>
        <v>0</v>
      </c>
      <c r="V198">
        <f>MAX(0,ROUND(AT197*(1+'Calc base'!H198),2)-J198-'Calc base'!T198)</f>
        <v>0</v>
      </c>
      <c r="W198">
        <f>MAX(0,ROUND(AU197*(1+'Calc base'!I198),2)-K198-'Calc base'!U198)</f>
        <v>0</v>
      </c>
      <c r="X198">
        <f>MAX(0,ROUND(AV197*(1+'Calc base'!J198),2)-L198-'Calc base'!V198)</f>
        <v>0</v>
      </c>
      <c r="Y198">
        <f>MAX(0,ROUND(AW197*(1+'Calc base'!K198),2)-M198-'Calc base'!W198)</f>
        <v>0</v>
      </c>
      <c r="Z198">
        <f>MAX(0,ROUND(AX197*(1+'Calc base'!L198),2)-N198-'Calc base'!X198)</f>
        <v>0</v>
      </c>
      <c r="AA198">
        <f>MAX(0,ROUND(AY197*(1+'Calc base'!M198),2)-O198-'Calc base'!Y198)</f>
        <v>0</v>
      </c>
      <c r="AB198">
        <f>MAX(0,ROUND(AZ197*(1+'Calc base'!N198),2)-P198-'Calc base'!Z198)</f>
        <v>0</v>
      </c>
      <c r="AC198">
        <f>MAX(0,ROUND(BA197*(1+'Calc base'!O198),2)-Q198-'Calc base'!AA198)</f>
        <v>0</v>
      </c>
      <c r="AD198">
        <f>MAX(0,ROUND(BB197*(1+'Calc base'!P198),2)-R198-'Calc base'!AB198)</f>
        <v>0</v>
      </c>
      <c r="AE198">
        <f>MAX(0,ROUND(BC197*(1+'Calc base'!Q198),2)-S198-'Calc base'!AC198)</f>
        <v>0</v>
      </c>
      <c r="AF198">
        <f>MAX(0,ROUND(BD197*(1+'Calc base'!R198),2)-T198-'Calc base'!AD198)</f>
        <v>0</v>
      </c>
      <c r="AG198">
        <f>MAX(0,ROUND(BE197*(1+'Calc base'!S198),2)-U198-'Calc base'!AE198)</f>
        <v>0</v>
      </c>
      <c r="AH198">
        <f>IF('Calc base'!C$14=0,0,MIN(V198,MAX(0,$E198-SUMPRODUCT($V198:$AG198,'Calc base'!$C$14:$N$14,('Calc base'!$H198:$S198&gt;'Calc base'!H198)+('Calc base'!$H198:$S198='Calc base'!H198)*('Calc base'!$C$17:$N$17&lt;'Calc base'!C$17)))))</f>
        <v>0</v>
      </c>
      <c r="AI198">
        <f>IF('Calc base'!D$14=0,0,MIN(W198,MAX(0,$E198-SUMPRODUCT($V198:$AG198,'Calc base'!$C$14:$N$14,('Calc base'!$H198:$S198&gt;'Calc base'!I198)+('Calc base'!$H198:$S198='Calc base'!I198)*('Calc base'!$C$17:$N$17&lt;'Calc base'!D$17)))))</f>
        <v>0</v>
      </c>
      <c r="AJ198">
        <f>IF('Calc base'!E$14=0,0,MIN(X198,MAX(0,$E198-SUMPRODUCT($V198:$AG198,'Calc base'!$C$14:$N$14,('Calc base'!$H198:$S198&gt;'Calc base'!J198)+('Calc base'!$H198:$S198='Calc base'!J198)*('Calc base'!$C$17:$N$17&lt;'Calc base'!E$17)))))</f>
        <v>0</v>
      </c>
      <c r="AK198">
        <f>IF('Calc base'!F$14=0,0,MIN(Y198,MAX(0,$E198-SUMPRODUCT($V198:$AG198,'Calc base'!$C$14:$N$14,('Calc base'!$H198:$S198&gt;'Calc base'!K198)+('Calc base'!$H198:$S198='Calc base'!K198)*('Calc base'!$C$17:$N$17&lt;'Calc base'!F$17)))))</f>
        <v>0</v>
      </c>
      <c r="AL198">
        <f>IF('Calc base'!G$14=0,0,MIN(Z198,MAX(0,$E198-SUMPRODUCT($V198:$AG198,'Calc base'!$C$14:$N$14,('Calc base'!$H198:$S198&gt;'Calc base'!L198)+('Calc base'!$H198:$S198='Calc base'!L198)*('Calc base'!$C$17:$N$17&lt;'Calc base'!G$17)))))</f>
        <v>0</v>
      </c>
      <c r="AM198">
        <f>IF('Calc base'!H$14=0,0,MIN(AA198,MAX(0,$E198-SUMPRODUCT($V198:$AG198,'Calc base'!$C$14:$N$14,('Calc base'!$H198:$S198&gt;'Calc base'!M198)+('Calc base'!$H198:$S198='Calc base'!M198)*('Calc base'!$C$17:$N$17&lt;'Calc base'!H$17)))))</f>
        <v>0</v>
      </c>
      <c r="AN198">
        <f>IF('Calc base'!I$14=0,0,MIN(AB198,MAX(0,$E198-SUMPRODUCT($V198:$AG198,'Calc base'!$C$14:$N$14,('Calc base'!$H198:$S198&gt;'Calc base'!N198)+('Calc base'!$H198:$S198='Calc base'!N198)*('Calc base'!$C$17:$N$17&lt;'Calc base'!I$17)))))</f>
        <v>0</v>
      </c>
      <c r="AO198">
        <f>IF('Calc base'!J$14=0,0,MIN(AC198,MAX(0,$E198-SUMPRODUCT($V198:$AG198,'Calc base'!$C$14:$N$14,('Calc base'!$H198:$S198&gt;'Calc base'!O198)+('Calc base'!$H198:$S198='Calc base'!O198)*('Calc base'!$C$17:$N$17&lt;'Calc base'!J$17)))))</f>
        <v>0</v>
      </c>
      <c r="AP198">
        <f>IF('Calc base'!K$14=0,0,MIN(AD198,MAX(0,$E198-SUMPRODUCT($V198:$AG198,'Calc base'!$C$14:$N$14,('Calc base'!$H198:$S198&gt;'Calc base'!P198)+('Calc base'!$H198:$S198='Calc base'!P198)*('Calc base'!$C$17:$N$17&lt;'Calc base'!K$17)))))</f>
        <v>0</v>
      </c>
      <c r="AQ198">
        <f>IF('Calc base'!L$14=0,0,MIN(AE198,MAX(0,$E198-SUMPRODUCT($V198:$AG198,'Calc base'!$C$14:$N$14,('Calc base'!$H198:$S198&gt;'Calc base'!Q198)+('Calc base'!$H198:$S198='Calc base'!Q198)*('Calc base'!$C$17:$N$17&lt;'Calc base'!L$17)))))</f>
        <v>0</v>
      </c>
      <c r="AR198">
        <f>IF('Calc base'!M$14=0,0,MIN(AF198,MAX(0,$E198-SUMPRODUCT($V198:$AG198,'Calc base'!$C$14:$N$14,('Calc base'!$H198:$S198&gt;'Calc base'!R198)+('Calc base'!$H198:$S198='Calc base'!R198)*('Calc base'!$C$17:$N$17&lt;'Calc base'!M$17)))))</f>
        <v>0</v>
      </c>
      <c r="AS198">
        <f>IF('Calc base'!N$14=0,0,MIN(AG198,MAX(0,$E198-SUMPRODUCT($V198:$AG198,'Calc base'!$C$14:$N$14,('Calc base'!$H198:$S198&gt;'Calc base'!S198)+('Calc base'!$H198:$S198='Calc base'!S198)*('Calc base'!$C$17:$N$17&lt;'Calc base'!N$17)))))</f>
        <v>0</v>
      </c>
      <c r="AT198">
        <f>V198-AH198</f>
        <v>0</v>
      </c>
      <c r="AU198">
        <f>W198-AI198</f>
        <v>0</v>
      </c>
      <c r="AV198">
        <f>X198-AJ198</f>
        <v>0</v>
      </c>
      <c r="AW198">
        <f>Y198-AK198</f>
        <v>0</v>
      </c>
      <c r="AX198">
        <f>Z198-AL198</f>
        <v>0</v>
      </c>
      <c r="AY198">
        <f>AA198-AM198</f>
        <v>0</v>
      </c>
      <c r="AZ198">
        <f>AB198-AN198</f>
        <v>0</v>
      </c>
      <c r="BA198">
        <f>AC198-AO198</f>
        <v>0</v>
      </c>
      <c r="BB198">
        <f>AD198-AP198</f>
        <v>0</v>
      </c>
      <c r="BC198">
        <f>AE198-AQ198</f>
        <v>0</v>
      </c>
      <c r="BD198">
        <f>AF198-AR198</f>
        <v>0</v>
      </c>
      <c r="BE198">
        <f>AG198-AS198</f>
        <v>0</v>
      </c>
    </row>
    <row r="199">
      <c r="A199" t="n">
        <v>169</v>
      </c>
      <c r="B199">
        <f>SUMPRODUCT(ROUND($AT198:$BE198*(1+'Calc base'!$H199:$S199),2))</f>
        <v>0</v>
      </c>
      <c r="C199">
        <f>SUM(J199:U199)</f>
        <v>0</v>
      </c>
      <c r="D199">
        <f>SUM(V199:AG199)</f>
        <v>0</v>
      </c>
      <c r="E199">
        <f>MAX(0,IF(Impostazioni!$B$7="No",'Calc base'!$C199-$C$31,'Calc base'!$C199-C199)+'Calc base'!$G199+'Calc base'!$F199-(B199-C199-D199))</f>
        <v>900</v>
      </c>
      <c r="F199">
        <f>SUM(AH199:AS199)</f>
        <v>0</v>
      </c>
      <c r="G199">
        <f>SUM(AT199:BE199)</f>
        <v>0</v>
      </c>
      <c r="H199">
        <f>B199-G198</f>
        <v>0</v>
      </c>
      <c r="I199">
        <f>B199-G199</f>
        <v>0</v>
      </c>
      <c r="J199">
        <f>IF(AT198&lt;=0,0,IF(ROUND(AT198*(1+'Calc base'!H199),2)-MAX('Calc base'!C$12,ROUND('Calc base'!C$13*AT198,2))&lt;1,ROUND(AT198*(1+'Calc base'!H199),2),MAX('Calc base'!C$12,ROUND('Calc base'!C$13*AT198,2))))</f>
        <v>0</v>
      </c>
      <c r="K199">
        <f>IF(AU198&lt;=0,0,IF(ROUND(AU198*(1+'Calc base'!I199),2)-MAX('Calc base'!D$12,ROUND('Calc base'!D$13*AU198,2))&lt;1,ROUND(AU198*(1+'Calc base'!I199),2),MAX('Calc base'!D$12,ROUND('Calc base'!D$13*AU198,2))))</f>
        <v>0</v>
      </c>
      <c r="L199">
        <f>IF(AV198&lt;=0,0,IF(ROUND(AV198*(1+'Calc base'!J199),2)-MAX('Calc base'!E$12,ROUND('Calc base'!E$13*AV198,2))&lt;1,ROUND(AV198*(1+'Calc base'!J199),2),MAX('Calc base'!E$12,ROUND('Calc base'!E$13*AV198,2))))</f>
        <v>0</v>
      </c>
      <c r="M199">
        <f>IF(AW198&lt;=0,0,IF(ROUND(AW198*(1+'Calc base'!K199),2)-MAX('Calc base'!F$12,ROUND('Calc base'!F$13*AW198,2))&lt;1,ROUND(AW198*(1+'Calc base'!K199),2),MAX('Calc base'!F$12,ROUND('Calc base'!F$13*AW198,2))))</f>
        <v>0</v>
      </c>
      <c r="N199">
        <f>IF(AX198&lt;=0,0,IF(ROUND(AX198*(1+'Calc base'!L199),2)-MAX('Calc base'!G$12,ROUND('Calc base'!G$13*AX198,2))&lt;1,ROUND(AX198*(1+'Calc base'!L199),2),MAX('Calc base'!G$12,ROUND('Calc base'!G$13*AX198,2))))</f>
        <v>0</v>
      </c>
      <c r="O199">
        <f>IF(AY198&lt;=0,0,IF(ROUND(AY198*(1+'Calc base'!M199),2)-MAX('Calc base'!H$12,ROUND('Calc base'!H$13*AY198,2))&lt;1,ROUND(AY198*(1+'Calc base'!M199),2),MAX('Calc base'!H$12,ROUND('Calc base'!H$13*AY198,2))))</f>
        <v>0</v>
      </c>
      <c r="P199">
        <f>IF(AZ198&lt;=0,0,IF(ROUND(AZ198*(1+'Calc base'!N199),2)-MAX('Calc base'!I$12,ROUND('Calc base'!I$13*AZ198,2))&lt;1,ROUND(AZ198*(1+'Calc base'!N199),2),MAX('Calc base'!I$12,ROUND('Calc base'!I$13*AZ198,2))))</f>
        <v>0</v>
      </c>
      <c r="Q199">
        <f>IF(BA198&lt;=0,0,IF(ROUND(BA198*(1+'Calc base'!O199),2)-MAX('Calc base'!J$12,ROUND('Calc base'!J$13*BA198,2))&lt;1,ROUND(BA198*(1+'Calc base'!O199),2),MAX('Calc base'!J$12,ROUND('Calc base'!J$13*BA198,2))))</f>
        <v>0</v>
      </c>
      <c r="R199">
        <f>IF(BB198&lt;=0,0,IF(ROUND(BB198*(1+'Calc base'!P199),2)-MAX('Calc base'!K$12,ROUND('Calc base'!K$13*BB198,2))&lt;1,ROUND(BB198*(1+'Calc base'!P199),2),MAX('Calc base'!K$12,ROUND('Calc base'!K$13*BB198,2))))</f>
        <v>0</v>
      </c>
      <c r="S199">
        <f>IF(BC198&lt;=0,0,IF(ROUND(BC198*(1+'Calc base'!Q199),2)-MAX('Calc base'!L$12,ROUND('Calc base'!L$13*BC198,2))&lt;1,ROUND(BC198*(1+'Calc base'!Q199),2),MAX('Calc base'!L$12,ROUND('Calc base'!L$13*BC198,2))))</f>
        <v>0</v>
      </c>
      <c r="T199">
        <f>IF(BD198&lt;=0,0,IF(ROUND(BD198*(1+'Calc base'!R199),2)-MAX('Calc base'!M$12,ROUND('Calc base'!M$13*BD198,2))&lt;1,ROUND(BD198*(1+'Calc base'!R199),2),MAX('Calc base'!M$12,ROUND('Calc base'!M$13*BD198,2))))</f>
        <v>0</v>
      </c>
      <c r="U199">
        <f>IF(BE198&lt;=0,0,IF(ROUND(BE198*(1+'Calc base'!S199),2)-MAX('Calc base'!N$12,ROUND('Calc base'!N$13*BE198,2))&lt;1,ROUND(BE198*(1+'Calc base'!S199),2),MAX('Calc base'!N$12,ROUND('Calc base'!N$13*BE198,2))))</f>
        <v>0</v>
      </c>
      <c r="V199">
        <f>MAX(0,ROUND(AT198*(1+'Calc base'!H199),2)-J199-'Calc base'!T199)</f>
        <v>0</v>
      </c>
      <c r="W199">
        <f>MAX(0,ROUND(AU198*(1+'Calc base'!I199),2)-K199-'Calc base'!U199)</f>
        <v>0</v>
      </c>
      <c r="X199">
        <f>MAX(0,ROUND(AV198*(1+'Calc base'!J199),2)-L199-'Calc base'!V199)</f>
        <v>0</v>
      </c>
      <c r="Y199">
        <f>MAX(0,ROUND(AW198*(1+'Calc base'!K199),2)-M199-'Calc base'!W199)</f>
        <v>0</v>
      </c>
      <c r="Z199">
        <f>MAX(0,ROUND(AX198*(1+'Calc base'!L199),2)-N199-'Calc base'!X199)</f>
        <v>0</v>
      </c>
      <c r="AA199">
        <f>MAX(0,ROUND(AY198*(1+'Calc base'!M199),2)-O199-'Calc base'!Y199)</f>
        <v>0</v>
      </c>
      <c r="AB199">
        <f>MAX(0,ROUND(AZ198*(1+'Calc base'!N199),2)-P199-'Calc base'!Z199)</f>
        <v>0</v>
      </c>
      <c r="AC199">
        <f>MAX(0,ROUND(BA198*(1+'Calc base'!O199),2)-Q199-'Calc base'!AA199)</f>
        <v>0</v>
      </c>
      <c r="AD199">
        <f>MAX(0,ROUND(BB198*(1+'Calc base'!P199),2)-R199-'Calc base'!AB199)</f>
        <v>0</v>
      </c>
      <c r="AE199">
        <f>MAX(0,ROUND(BC198*(1+'Calc base'!Q199),2)-S199-'Calc base'!AC199)</f>
        <v>0</v>
      </c>
      <c r="AF199">
        <f>MAX(0,ROUND(BD198*(1+'Calc base'!R199),2)-T199-'Calc base'!AD199)</f>
        <v>0</v>
      </c>
      <c r="AG199">
        <f>MAX(0,ROUND(BE198*(1+'Calc base'!S199),2)-U199-'Calc base'!AE199)</f>
        <v>0</v>
      </c>
      <c r="AH199">
        <f>IF('Calc base'!C$14=0,0,MIN(V199,MAX(0,$E199-SUMPRODUCT($V199:$AG199,'Calc base'!$C$14:$N$14,('Calc base'!$H199:$S199&gt;'Calc base'!H199)+('Calc base'!$H199:$S199='Calc base'!H199)*('Calc base'!$C$17:$N$17&lt;'Calc base'!C$17)))))</f>
        <v>0</v>
      </c>
      <c r="AI199">
        <f>IF('Calc base'!D$14=0,0,MIN(W199,MAX(0,$E199-SUMPRODUCT($V199:$AG199,'Calc base'!$C$14:$N$14,('Calc base'!$H199:$S199&gt;'Calc base'!I199)+('Calc base'!$H199:$S199='Calc base'!I199)*('Calc base'!$C$17:$N$17&lt;'Calc base'!D$17)))))</f>
        <v>0</v>
      </c>
      <c r="AJ199">
        <f>IF('Calc base'!E$14=0,0,MIN(X199,MAX(0,$E199-SUMPRODUCT($V199:$AG199,'Calc base'!$C$14:$N$14,('Calc base'!$H199:$S199&gt;'Calc base'!J199)+('Calc base'!$H199:$S199='Calc base'!J199)*('Calc base'!$C$17:$N$17&lt;'Calc base'!E$17)))))</f>
        <v>0</v>
      </c>
      <c r="AK199">
        <f>IF('Calc base'!F$14=0,0,MIN(Y199,MAX(0,$E199-SUMPRODUCT($V199:$AG199,'Calc base'!$C$14:$N$14,('Calc base'!$H199:$S199&gt;'Calc base'!K199)+('Calc base'!$H199:$S199='Calc base'!K199)*('Calc base'!$C$17:$N$17&lt;'Calc base'!F$17)))))</f>
        <v>0</v>
      </c>
      <c r="AL199">
        <f>IF('Calc base'!G$14=0,0,MIN(Z199,MAX(0,$E199-SUMPRODUCT($V199:$AG199,'Calc base'!$C$14:$N$14,('Calc base'!$H199:$S199&gt;'Calc base'!L199)+('Calc base'!$H199:$S199='Calc base'!L199)*('Calc base'!$C$17:$N$17&lt;'Calc base'!G$17)))))</f>
        <v>0</v>
      </c>
      <c r="AM199">
        <f>IF('Calc base'!H$14=0,0,MIN(AA199,MAX(0,$E199-SUMPRODUCT($V199:$AG199,'Calc base'!$C$14:$N$14,('Calc base'!$H199:$S199&gt;'Calc base'!M199)+('Calc base'!$H199:$S199='Calc base'!M199)*('Calc base'!$C$17:$N$17&lt;'Calc base'!H$17)))))</f>
        <v>0</v>
      </c>
      <c r="AN199">
        <f>IF('Calc base'!I$14=0,0,MIN(AB199,MAX(0,$E199-SUMPRODUCT($V199:$AG199,'Calc base'!$C$14:$N$14,('Calc base'!$H199:$S199&gt;'Calc base'!N199)+('Calc base'!$H199:$S199='Calc base'!N199)*('Calc base'!$C$17:$N$17&lt;'Calc base'!I$17)))))</f>
        <v>0</v>
      </c>
      <c r="AO199">
        <f>IF('Calc base'!J$14=0,0,MIN(AC199,MAX(0,$E199-SUMPRODUCT($V199:$AG199,'Calc base'!$C$14:$N$14,('Calc base'!$H199:$S199&gt;'Calc base'!O199)+('Calc base'!$H199:$S199='Calc base'!O199)*('Calc base'!$C$17:$N$17&lt;'Calc base'!J$17)))))</f>
        <v>0</v>
      </c>
      <c r="AP199">
        <f>IF('Calc base'!K$14=0,0,MIN(AD199,MAX(0,$E199-SUMPRODUCT($V199:$AG199,'Calc base'!$C$14:$N$14,('Calc base'!$H199:$S199&gt;'Calc base'!P199)+('Calc base'!$H199:$S199='Calc base'!P199)*('Calc base'!$C$17:$N$17&lt;'Calc base'!K$17)))))</f>
        <v>0</v>
      </c>
      <c r="AQ199">
        <f>IF('Calc base'!L$14=0,0,MIN(AE199,MAX(0,$E199-SUMPRODUCT($V199:$AG199,'Calc base'!$C$14:$N$14,('Calc base'!$H199:$S199&gt;'Calc base'!Q199)+('Calc base'!$H199:$S199='Calc base'!Q199)*('Calc base'!$C$17:$N$17&lt;'Calc base'!L$17)))))</f>
        <v>0</v>
      </c>
      <c r="AR199">
        <f>IF('Calc base'!M$14=0,0,MIN(AF199,MAX(0,$E199-SUMPRODUCT($V199:$AG199,'Calc base'!$C$14:$N$14,('Calc base'!$H199:$S199&gt;'Calc base'!R199)+('Calc base'!$H199:$S199='Calc base'!R199)*('Calc base'!$C$17:$N$17&lt;'Calc base'!M$17)))))</f>
        <v>0</v>
      </c>
      <c r="AS199">
        <f>IF('Calc base'!N$14=0,0,MIN(AG199,MAX(0,$E199-SUMPRODUCT($V199:$AG199,'Calc base'!$C$14:$N$14,('Calc base'!$H199:$S199&gt;'Calc base'!S199)+('Calc base'!$H199:$S199='Calc base'!S199)*('Calc base'!$C$17:$N$17&lt;'Calc base'!N$17)))))</f>
        <v>0</v>
      </c>
      <c r="AT199">
        <f>V199-AH199</f>
        <v>0</v>
      </c>
      <c r="AU199">
        <f>W199-AI199</f>
        <v>0</v>
      </c>
      <c r="AV199">
        <f>X199-AJ199</f>
        <v>0</v>
      </c>
      <c r="AW199">
        <f>Y199-AK199</f>
        <v>0</v>
      </c>
      <c r="AX199">
        <f>Z199-AL199</f>
        <v>0</v>
      </c>
      <c r="AY199">
        <f>AA199-AM199</f>
        <v>0</v>
      </c>
      <c r="AZ199">
        <f>AB199-AN199</f>
        <v>0</v>
      </c>
      <c r="BA199">
        <f>AC199-AO199</f>
        <v>0</v>
      </c>
      <c r="BB199">
        <f>AD199-AP199</f>
        <v>0</v>
      </c>
      <c r="BC199">
        <f>AE199-AQ199</f>
        <v>0</v>
      </c>
      <c r="BD199">
        <f>AF199-AR199</f>
        <v>0</v>
      </c>
      <c r="BE199">
        <f>AG199-AS199</f>
        <v>0</v>
      </c>
    </row>
    <row r="200">
      <c r="A200" t="n">
        <v>170</v>
      </c>
      <c r="B200">
        <f>SUMPRODUCT(ROUND($AT199:$BE199*(1+'Calc base'!$H200:$S200),2))</f>
        <v>0</v>
      </c>
      <c r="C200">
        <f>SUM(J200:U200)</f>
        <v>0</v>
      </c>
      <c r="D200">
        <f>SUM(V200:AG200)</f>
        <v>0</v>
      </c>
      <c r="E200">
        <f>MAX(0,IF(Impostazioni!$B$7="No",'Calc base'!$C200-$C$31,'Calc base'!$C200-C200)+'Calc base'!$G200+'Calc base'!$F200-(B200-C200-D200))</f>
        <v>900</v>
      </c>
      <c r="F200">
        <f>SUM(AH200:AS200)</f>
        <v>0</v>
      </c>
      <c r="G200">
        <f>SUM(AT200:BE200)</f>
        <v>0</v>
      </c>
      <c r="H200">
        <f>B200-G199</f>
        <v>0</v>
      </c>
      <c r="I200">
        <f>B200-G200</f>
        <v>0</v>
      </c>
      <c r="J200">
        <f>IF(AT199&lt;=0,0,IF(ROUND(AT199*(1+'Calc base'!H200),2)-MAX('Calc base'!C$12,ROUND('Calc base'!C$13*AT199,2))&lt;1,ROUND(AT199*(1+'Calc base'!H200),2),MAX('Calc base'!C$12,ROUND('Calc base'!C$13*AT199,2))))</f>
        <v>0</v>
      </c>
      <c r="K200">
        <f>IF(AU199&lt;=0,0,IF(ROUND(AU199*(1+'Calc base'!I200),2)-MAX('Calc base'!D$12,ROUND('Calc base'!D$13*AU199,2))&lt;1,ROUND(AU199*(1+'Calc base'!I200),2),MAX('Calc base'!D$12,ROUND('Calc base'!D$13*AU199,2))))</f>
        <v>0</v>
      </c>
      <c r="L200">
        <f>IF(AV199&lt;=0,0,IF(ROUND(AV199*(1+'Calc base'!J200),2)-MAX('Calc base'!E$12,ROUND('Calc base'!E$13*AV199,2))&lt;1,ROUND(AV199*(1+'Calc base'!J200),2),MAX('Calc base'!E$12,ROUND('Calc base'!E$13*AV199,2))))</f>
        <v>0</v>
      </c>
      <c r="M200">
        <f>IF(AW199&lt;=0,0,IF(ROUND(AW199*(1+'Calc base'!K200),2)-MAX('Calc base'!F$12,ROUND('Calc base'!F$13*AW199,2))&lt;1,ROUND(AW199*(1+'Calc base'!K200),2),MAX('Calc base'!F$12,ROUND('Calc base'!F$13*AW199,2))))</f>
        <v>0</v>
      </c>
      <c r="N200">
        <f>IF(AX199&lt;=0,0,IF(ROUND(AX199*(1+'Calc base'!L200),2)-MAX('Calc base'!G$12,ROUND('Calc base'!G$13*AX199,2))&lt;1,ROUND(AX199*(1+'Calc base'!L200),2),MAX('Calc base'!G$12,ROUND('Calc base'!G$13*AX199,2))))</f>
        <v>0</v>
      </c>
      <c r="O200">
        <f>IF(AY199&lt;=0,0,IF(ROUND(AY199*(1+'Calc base'!M200),2)-MAX('Calc base'!H$12,ROUND('Calc base'!H$13*AY199,2))&lt;1,ROUND(AY199*(1+'Calc base'!M200),2),MAX('Calc base'!H$12,ROUND('Calc base'!H$13*AY199,2))))</f>
        <v>0</v>
      </c>
      <c r="P200">
        <f>IF(AZ199&lt;=0,0,IF(ROUND(AZ199*(1+'Calc base'!N200),2)-MAX('Calc base'!I$12,ROUND('Calc base'!I$13*AZ199,2))&lt;1,ROUND(AZ199*(1+'Calc base'!N200),2),MAX('Calc base'!I$12,ROUND('Calc base'!I$13*AZ199,2))))</f>
        <v>0</v>
      </c>
      <c r="Q200">
        <f>IF(BA199&lt;=0,0,IF(ROUND(BA199*(1+'Calc base'!O200),2)-MAX('Calc base'!J$12,ROUND('Calc base'!J$13*BA199,2))&lt;1,ROUND(BA199*(1+'Calc base'!O200),2),MAX('Calc base'!J$12,ROUND('Calc base'!J$13*BA199,2))))</f>
        <v>0</v>
      </c>
      <c r="R200">
        <f>IF(BB199&lt;=0,0,IF(ROUND(BB199*(1+'Calc base'!P200),2)-MAX('Calc base'!K$12,ROUND('Calc base'!K$13*BB199,2))&lt;1,ROUND(BB199*(1+'Calc base'!P200),2),MAX('Calc base'!K$12,ROUND('Calc base'!K$13*BB199,2))))</f>
        <v>0</v>
      </c>
      <c r="S200">
        <f>IF(BC199&lt;=0,0,IF(ROUND(BC199*(1+'Calc base'!Q200),2)-MAX('Calc base'!L$12,ROUND('Calc base'!L$13*BC199,2))&lt;1,ROUND(BC199*(1+'Calc base'!Q200),2),MAX('Calc base'!L$12,ROUND('Calc base'!L$13*BC199,2))))</f>
        <v>0</v>
      </c>
      <c r="T200">
        <f>IF(BD199&lt;=0,0,IF(ROUND(BD199*(1+'Calc base'!R200),2)-MAX('Calc base'!M$12,ROUND('Calc base'!M$13*BD199,2))&lt;1,ROUND(BD199*(1+'Calc base'!R200),2),MAX('Calc base'!M$12,ROUND('Calc base'!M$13*BD199,2))))</f>
        <v>0</v>
      </c>
      <c r="U200">
        <f>IF(BE199&lt;=0,0,IF(ROUND(BE199*(1+'Calc base'!S200),2)-MAX('Calc base'!N$12,ROUND('Calc base'!N$13*BE199,2))&lt;1,ROUND(BE199*(1+'Calc base'!S200),2),MAX('Calc base'!N$12,ROUND('Calc base'!N$13*BE199,2))))</f>
        <v>0</v>
      </c>
      <c r="V200">
        <f>MAX(0,ROUND(AT199*(1+'Calc base'!H200),2)-J200-'Calc base'!T200)</f>
        <v>0</v>
      </c>
      <c r="W200">
        <f>MAX(0,ROUND(AU199*(1+'Calc base'!I200),2)-K200-'Calc base'!U200)</f>
        <v>0</v>
      </c>
      <c r="X200">
        <f>MAX(0,ROUND(AV199*(1+'Calc base'!J200),2)-L200-'Calc base'!V200)</f>
        <v>0</v>
      </c>
      <c r="Y200">
        <f>MAX(0,ROUND(AW199*(1+'Calc base'!K200),2)-M200-'Calc base'!W200)</f>
        <v>0</v>
      </c>
      <c r="Z200">
        <f>MAX(0,ROUND(AX199*(1+'Calc base'!L200),2)-N200-'Calc base'!X200)</f>
        <v>0</v>
      </c>
      <c r="AA200">
        <f>MAX(0,ROUND(AY199*(1+'Calc base'!M200),2)-O200-'Calc base'!Y200)</f>
        <v>0</v>
      </c>
      <c r="AB200">
        <f>MAX(0,ROUND(AZ199*(1+'Calc base'!N200),2)-P200-'Calc base'!Z200)</f>
        <v>0</v>
      </c>
      <c r="AC200">
        <f>MAX(0,ROUND(BA199*(1+'Calc base'!O200),2)-Q200-'Calc base'!AA200)</f>
        <v>0</v>
      </c>
      <c r="AD200">
        <f>MAX(0,ROUND(BB199*(1+'Calc base'!P200),2)-R200-'Calc base'!AB200)</f>
        <v>0</v>
      </c>
      <c r="AE200">
        <f>MAX(0,ROUND(BC199*(1+'Calc base'!Q200),2)-S200-'Calc base'!AC200)</f>
        <v>0</v>
      </c>
      <c r="AF200">
        <f>MAX(0,ROUND(BD199*(1+'Calc base'!R200),2)-T200-'Calc base'!AD200)</f>
        <v>0</v>
      </c>
      <c r="AG200">
        <f>MAX(0,ROUND(BE199*(1+'Calc base'!S200),2)-U200-'Calc base'!AE200)</f>
        <v>0</v>
      </c>
      <c r="AH200">
        <f>IF('Calc base'!C$14=0,0,MIN(V200,MAX(0,$E200-SUMPRODUCT($V200:$AG200,'Calc base'!$C$14:$N$14,('Calc base'!$H200:$S200&gt;'Calc base'!H200)+('Calc base'!$H200:$S200='Calc base'!H200)*('Calc base'!$C$17:$N$17&lt;'Calc base'!C$17)))))</f>
        <v>0</v>
      </c>
      <c r="AI200">
        <f>IF('Calc base'!D$14=0,0,MIN(W200,MAX(0,$E200-SUMPRODUCT($V200:$AG200,'Calc base'!$C$14:$N$14,('Calc base'!$H200:$S200&gt;'Calc base'!I200)+('Calc base'!$H200:$S200='Calc base'!I200)*('Calc base'!$C$17:$N$17&lt;'Calc base'!D$17)))))</f>
        <v>0</v>
      </c>
      <c r="AJ200">
        <f>IF('Calc base'!E$14=0,0,MIN(X200,MAX(0,$E200-SUMPRODUCT($V200:$AG200,'Calc base'!$C$14:$N$14,('Calc base'!$H200:$S200&gt;'Calc base'!J200)+('Calc base'!$H200:$S200='Calc base'!J200)*('Calc base'!$C$17:$N$17&lt;'Calc base'!E$17)))))</f>
        <v>0</v>
      </c>
      <c r="AK200">
        <f>IF('Calc base'!F$14=0,0,MIN(Y200,MAX(0,$E200-SUMPRODUCT($V200:$AG200,'Calc base'!$C$14:$N$14,('Calc base'!$H200:$S200&gt;'Calc base'!K200)+('Calc base'!$H200:$S200='Calc base'!K200)*('Calc base'!$C$17:$N$17&lt;'Calc base'!F$17)))))</f>
        <v>0</v>
      </c>
      <c r="AL200">
        <f>IF('Calc base'!G$14=0,0,MIN(Z200,MAX(0,$E200-SUMPRODUCT($V200:$AG200,'Calc base'!$C$14:$N$14,('Calc base'!$H200:$S200&gt;'Calc base'!L200)+('Calc base'!$H200:$S200='Calc base'!L200)*('Calc base'!$C$17:$N$17&lt;'Calc base'!G$17)))))</f>
        <v>0</v>
      </c>
      <c r="AM200">
        <f>IF('Calc base'!H$14=0,0,MIN(AA200,MAX(0,$E200-SUMPRODUCT($V200:$AG200,'Calc base'!$C$14:$N$14,('Calc base'!$H200:$S200&gt;'Calc base'!M200)+('Calc base'!$H200:$S200='Calc base'!M200)*('Calc base'!$C$17:$N$17&lt;'Calc base'!H$17)))))</f>
        <v>0</v>
      </c>
      <c r="AN200">
        <f>IF('Calc base'!I$14=0,0,MIN(AB200,MAX(0,$E200-SUMPRODUCT($V200:$AG200,'Calc base'!$C$14:$N$14,('Calc base'!$H200:$S200&gt;'Calc base'!N200)+('Calc base'!$H200:$S200='Calc base'!N200)*('Calc base'!$C$17:$N$17&lt;'Calc base'!I$17)))))</f>
        <v>0</v>
      </c>
      <c r="AO200">
        <f>IF('Calc base'!J$14=0,0,MIN(AC200,MAX(0,$E200-SUMPRODUCT($V200:$AG200,'Calc base'!$C$14:$N$14,('Calc base'!$H200:$S200&gt;'Calc base'!O200)+('Calc base'!$H200:$S200='Calc base'!O200)*('Calc base'!$C$17:$N$17&lt;'Calc base'!J$17)))))</f>
        <v>0</v>
      </c>
      <c r="AP200">
        <f>IF('Calc base'!K$14=0,0,MIN(AD200,MAX(0,$E200-SUMPRODUCT($V200:$AG200,'Calc base'!$C$14:$N$14,('Calc base'!$H200:$S200&gt;'Calc base'!P200)+('Calc base'!$H200:$S200='Calc base'!P200)*('Calc base'!$C$17:$N$17&lt;'Calc base'!K$17)))))</f>
        <v>0</v>
      </c>
      <c r="AQ200">
        <f>IF('Calc base'!L$14=0,0,MIN(AE200,MAX(0,$E200-SUMPRODUCT($V200:$AG200,'Calc base'!$C$14:$N$14,('Calc base'!$H200:$S200&gt;'Calc base'!Q200)+('Calc base'!$H200:$S200='Calc base'!Q200)*('Calc base'!$C$17:$N$17&lt;'Calc base'!L$17)))))</f>
        <v>0</v>
      </c>
      <c r="AR200">
        <f>IF('Calc base'!M$14=0,0,MIN(AF200,MAX(0,$E200-SUMPRODUCT($V200:$AG200,'Calc base'!$C$14:$N$14,('Calc base'!$H200:$S200&gt;'Calc base'!R200)+('Calc base'!$H200:$S200='Calc base'!R200)*('Calc base'!$C$17:$N$17&lt;'Calc base'!M$17)))))</f>
        <v>0</v>
      </c>
      <c r="AS200">
        <f>IF('Calc base'!N$14=0,0,MIN(AG200,MAX(0,$E200-SUMPRODUCT($V200:$AG200,'Calc base'!$C$14:$N$14,('Calc base'!$H200:$S200&gt;'Calc base'!S200)+('Calc base'!$H200:$S200='Calc base'!S200)*('Calc base'!$C$17:$N$17&lt;'Calc base'!N$17)))))</f>
        <v>0</v>
      </c>
      <c r="AT200">
        <f>V200-AH200</f>
        <v>0</v>
      </c>
      <c r="AU200">
        <f>W200-AI200</f>
        <v>0</v>
      </c>
      <c r="AV200">
        <f>X200-AJ200</f>
        <v>0</v>
      </c>
      <c r="AW200">
        <f>Y200-AK200</f>
        <v>0</v>
      </c>
      <c r="AX200">
        <f>Z200-AL200</f>
        <v>0</v>
      </c>
      <c r="AY200">
        <f>AA200-AM200</f>
        <v>0</v>
      </c>
      <c r="AZ200">
        <f>AB200-AN200</f>
        <v>0</v>
      </c>
      <c r="BA200">
        <f>AC200-AO200</f>
        <v>0</v>
      </c>
      <c r="BB200">
        <f>AD200-AP200</f>
        <v>0</v>
      </c>
      <c r="BC200">
        <f>AE200-AQ200</f>
        <v>0</v>
      </c>
      <c r="BD200">
        <f>AF200-AR200</f>
        <v>0</v>
      </c>
      <c r="BE200">
        <f>AG200-AS200</f>
        <v>0</v>
      </c>
    </row>
    <row r="201">
      <c r="A201" t="n">
        <v>171</v>
      </c>
      <c r="B201">
        <f>SUMPRODUCT(ROUND($AT200:$BE200*(1+'Calc base'!$H201:$S201),2))</f>
        <v>0</v>
      </c>
      <c r="C201">
        <f>SUM(J201:U201)</f>
        <v>0</v>
      </c>
      <c r="D201">
        <f>SUM(V201:AG201)</f>
        <v>0</v>
      </c>
      <c r="E201">
        <f>MAX(0,IF(Impostazioni!$B$7="No",'Calc base'!$C201-$C$31,'Calc base'!$C201-C201)+'Calc base'!$G201+'Calc base'!$F201-(B201-C201-D201))</f>
        <v>900</v>
      </c>
      <c r="F201">
        <f>SUM(AH201:AS201)</f>
        <v>0</v>
      </c>
      <c r="G201">
        <f>SUM(AT201:BE201)</f>
        <v>0</v>
      </c>
      <c r="H201">
        <f>B201-G200</f>
        <v>0</v>
      </c>
      <c r="I201">
        <f>B201-G201</f>
        <v>0</v>
      </c>
      <c r="J201">
        <f>IF(AT200&lt;=0,0,IF(ROUND(AT200*(1+'Calc base'!H201),2)-MAX('Calc base'!C$12,ROUND('Calc base'!C$13*AT200,2))&lt;1,ROUND(AT200*(1+'Calc base'!H201),2),MAX('Calc base'!C$12,ROUND('Calc base'!C$13*AT200,2))))</f>
        <v>0</v>
      </c>
      <c r="K201">
        <f>IF(AU200&lt;=0,0,IF(ROUND(AU200*(1+'Calc base'!I201),2)-MAX('Calc base'!D$12,ROUND('Calc base'!D$13*AU200,2))&lt;1,ROUND(AU200*(1+'Calc base'!I201),2),MAX('Calc base'!D$12,ROUND('Calc base'!D$13*AU200,2))))</f>
        <v>0</v>
      </c>
      <c r="L201">
        <f>IF(AV200&lt;=0,0,IF(ROUND(AV200*(1+'Calc base'!J201),2)-MAX('Calc base'!E$12,ROUND('Calc base'!E$13*AV200,2))&lt;1,ROUND(AV200*(1+'Calc base'!J201),2),MAX('Calc base'!E$12,ROUND('Calc base'!E$13*AV200,2))))</f>
        <v>0</v>
      </c>
      <c r="M201">
        <f>IF(AW200&lt;=0,0,IF(ROUND(AW200*(1+'Calc base'!K201),2)-MAX('Calc base'!F$12,ROUND('Calc base'!F$13*AW200,2))&lt;1,ROUND(AW200*(1+'Calc base'!K201),2),MAX('Calc base'!F$12,ROUND('Calc base'!F$13*AW200,2))))</f>
        <v>0</v>
      </c>
      <c r="N201">
        <f>IF(AX200&lt;=0,0,IF(ROUND(AX200*(1+'Calc base'!L201),2)-MAX('Calc base'!G$12,ROUND('Calc base'!G$13*AX200,2))&lt;1,ROUND(AX200*(1+'Calc base'!L201),2),MAX('Calc base'!G$12,ROUND('Calc base'!G$13*AX200,2))))</f>
        <v>0</v>
      </c>
      <c r="O201">
        <f>IF(AY200&lt;=0,0,IF(ROUND(AY200*(1+'Calc base'!M201),2)-MAX('Calc base'!H$12,ROUND('Calc base'!H$13*AY200,2))&lt;1,ROUND(AY200*(1+'Calc base'!M201),2),MAX('Calc base'!H$12,ROUND('Calc base'!H$13*AY200,2))))</f>
        <v>0</v>
      </c>
      <c r="P201">
        <f>IF(AZ200&lt;=0,0,IF(ROUND(AZ200*(1+'Calc base'!N201),2)-MAX('Calc base'!I$12,ROUND('Calc base'!I$13*AZ200,2))&lt;1,ROUND(AZ200*(1+'Calc base'!N201),2),MAX('Calc base'!I$12,ROUND('Calc base'!I$13*AZ200,2))))</f>
        <v>0</v>
      </c>
      <c r="Q201">
        <f>IF(BA200&lt;=0,0,IF(ROUND(BA200*(1+'Calc base'!O201),2)-MAX('Calc base'!J$12,ROUND('Calc base'!J$13*BA200,2))&lt;1,ROUND(BA200*(1+'Calc base'!O201),2),MAX('Calc base'!J$12,ROUND('Calc base'!J$13*BA200,2))))</f>
        <v>0</v>
      </c>
      <c r="R201">
        <f>IF(BB200&lt;=0,0,IF(ROUND(BB200*(1+'Calc base'!P201),2)-MAX('Calc base'!K$12,ROUND('Calc base'!K$13*BB200,2))&lt;1,ROUND(BB200*(1+'Calc base'!P201),2),MAX('Calc base'!K$12,ROUND('Calc base'!K$13*BB200,2))))</f>
        <v>0</v>
      </c>
      <c r="S201">
        <f>IF(BC200&lt;=0,0,IF(ROUND(BC200*(1+'Calc base'!Q201),2)-MAX('Calc base'!L$12,ROUND('Calc base'!L$13*BC200,2))&lt;1,ROUND(BC200*(1+'Calc base'!Q201),2),MAX('Calc base'!L$12,ROUND('Calc base'!L$13*BC200,2))))</f>
        <v>0</v>
      </c>
      <c r="T201">
        <f>IF(BD200&lt;=0,0,IF(ROUND(BD200*(1+'Calc base'!R201),2)-MAX('Calc base'!M$12,ROUND('Calc base'!M$13*BD200,2))&lt;1,ROUND(BD200*(1+'Calc base'!R201),2),MAX('Calc base'!M$12,ROUND('Calc base'!M$13*BD200,2))))</f>
        <v>0</v>
      </c>
      <c r="U201">
        <f>IF(BE200&lt;=0,0,IF(ROUND(BE200*(1+'Calc base'!S201),2)-MAX('Calc base'!N$12,ROUND('Calc base'!N$13*BE200,2))&lt;1,ROUND(BE200*(1+'Calc base'!S201),2),MAX('Calc base'!N$12,ROUND('Calc base'!N$13*BE200,2))))</f>
        <v>0</v>
      </c>
      <c r="V201">
        <f>MAX(0,ROUND(AT200*(1+'Calc base'!H201),2)-J201-'Calc base'!T201)</f>
        <v>0</v>
      </c>
      <c r="W201">
        <f>MAX(0,ROUND(AU200*(1+'Calc base'!I201),2)-K201-'Calc base'!U201)</f>
        <v>0</v>
      </c>
      <c r="X201">
        <f>MAX(0,ROUND(AV200*(1+'Calc base'!J201),2)-L201-'Calc base'!V201)</f>
        <v>0</v>
      </c>
      <c r="Y201">
        <f>MAX(0,ROUND(AW200*(1+'Calc base'!K201),2)-M201-'Calc base'!W201)</f>
        <v>0</v>
      </c>
      <c r="Z201">
        <f>MAX(0,ROUND(AX200*(1+'Calc base'!L201),2)-N201-'Calc base'!X201)</f>
        <v>0</v>
      </c>
      <c r="AA201">
        <f>MAX(0,ROUND(AY200*(1+'Calc base'!M201),2)-O201-'Calc base'!Y201)</f>
        <v>0</v>
      </c>
      <c r="AB201">
        <f>MAX(0,ROUND(AZ200*(1+'Calc base'!N201),2)-P201-'Calc base'!Z201)</f>
        <v>0</v>
      </c>
      <c r="AC201">
        <f>MAX(0,ROUND(BA200*(1+'Calc base'!O201),2)-Q201-'Calc base'!AA201)</f>
        <v>0</v>
      </c>
      <c r="AD201">
        <f>MAX(0,ROUND(BB200*(1+'Calc base'!P201),2)-R201-'Calc base'!AB201)</f>
        <v>0</v>
      </c>
      <c r="AE201">
        <f>MAX(0,ROUND(BC200*(1+'Calc base'!Q201),2)-S201-'Calc base'!AC201)</f>
        <v>0</v>
      </c>
      <c r="AF201">
        <f>MAX(0,ROUND(BD200*(1+'Calc base'!R201),2)-T201-'Calc base'!AD201)</f>
        <v>0</v>
      </c>
      <c r="AG201">
        <f>MAX(0,ROUND(BE200*(1+'Calc base'!S201),2)-U201-'Calc base'!AE201)</f>
        <v>0</v>
      </c>
      <c r="AH201">
        <f>IF('Calc base'!C$14=0,0,MIN(V201,MAX(0,$E201-SUMPRODUCT($V201:$AG201,'Calc base'!$C$14:$N$14,('Calc base'!$H201:$S201&gt;'Calc base'!H201)+('Calc base'!$H201:$S201='Calc base'!H201)*('Calc base'!$C$17:$N$17&lt;'Calc base'!C$17)))))</f>
        <v>0</v>
      </c>
      <c r="AI201">
        <f>IF('Calc base'!D$14=0,0,MIN(W201,MAX(0,$E201-SUMPRODUCT($V201:$AG201,'Calc base'!$C$14:$N$14,('Calc base'!$H201:$S201&gt;'Calc base'!I201)+('Calc base'!$H201:$S201='Calc base'!I201)*('Calc base'!$C$17:$N$17&lt;'Calc base'!D$17)))))</f>
        <v>0</v>
      </c>
      <c r="AJ201">
        <f>IF('Calc base'!E$14=0,0,MIN(X201,MAX(0,$E201-SUMPRODUCT($V201:$AG201,'Calc base'!$C$14:$N$14,('Calc base'!$H201:$S201&gt;'Calc base'!J201)+('Calc base'!$H201:$S201='Calc base'!J201)*('Calc base'!$C$17:$N$17&lt;'Calc base'!E$17)))))</f>
        <v>0</v>
      </c>
      <c r="AK201">
        <f>IF('Calc base'!F$14=0,0,MIN(Y201,MAX(0,$E201-SUMPRODUCT($V201:$AG201,'Calc base'!$C$14:$N$14,('Calc base'!$H201:$S201&gt;'Calc base'!K201)+('Calc base'!$H201:$S201='Calc base'!K201)*('Calc base'!$C$17:$N$17&lt;'Calc base'!F$17)))))</f>
        <v>0</v>
      </c>
      <c r="AL201">
        <f>IF('Calc base'!G$14=0,0,MIN(Z201,MAX(0,$E201-SUMPRODUCT($V201:$AG201,'Calc base'!$C$14:$N$14,('Calc base'!$H201:$S201&gt;'Calc base'!L201)+('Calc base'!$H201:$S201='Calc base'!L201)*('Calc base'!$C$17:$N$17&lt;'Calc base'!G$17)))))</f>
        <v>0</v>
      </c>
      <c r="AM201">
        <f>IF('Calc base'!H$14=0,0,MIN(AA201,MAX(0,$E201-SUMPRODUCT($V201:$AG201,'Calc base'!$C$14:$N$14,('Calc base'!$H201:$S201&gt;'Calc base'!M201)+('Calc base'!$H201:$S201='Calc base'!M201)*('Calc base'!$C$17:$N$17&lt;'Calc base'!H$17)))))</f>
        <v>0</v>
      </c>
      <c r="AN201">
        <f>IF('Calc base'!I$14=0,0,MIN(AB201,MAX(0,$E201-SUMPRODUCT($V201:$AG201,'Calc base'!$C$14:$N$14,('Calc base'!$H201:$S201&gt;'Calc base'!N201)+('Calc base'!$H201:$S201='Calc base'!N201)*('Calc base'!$C$17:$N$17&lt;'Calc base'!I$17)))))</f>
        <v>0</v>
      </c>
      <c r="AO201">
        <f>IF('Calc base'!J$14=0,0,MIN(AC201,MAX(0,$E201-SUMPRODUCT($V201:$AG201,'Calc base'!$C$14:$N$14,('Calc base'!$H201:$S201&gt;'Calc base'!O201)+('Calc base'!$H201:$S201='Calc base'!O201)*('Calc base'!$C$17:$N$17&lt;'Calc base'!J$17)))))</f>
        <v>0</v>
      </c>
      <c r="AP201">
        <f>IF('Calc base'!K$14=0,0,MIN(AD201,MAX(0,$E201-SUMPRODUCT($V201:$AG201,'Calc base'!$C$14:$N$14,('Calc base'!$H201:$S201&gt;'Calc base'!P201)+('Calc base'!$H201:$S201='Calc base'!P201)*('Calc base'!$C$17:$N$17&lt;'Calc base'!K$17)))))</f>
        <v>0</v>
      </c>
      <c r="AQ201">
        <f>IF('Calc base'!L$14=0,0,MIN(AE201,MAX(0,$E201-SUMPRODUCT($V201:$AG201,'Calc base'!$C$14:$N$14,('Calc base'!$H201:$S201&gt;'Calc base'!Q201)+('Calc base'!$H201:$S201='Calc base'!Q201)*('Calc base'!$C$17:$N$17&lt;'Calc base'!L$17)))))</f>
        <v>0</v>
      </c>
      <c r="AR201">
        <f>IF('Calc base'!M$14=0,0,MIN(AF201,MAX(0,$E201-SUMPRODUCT($V201:$AG201,'Calc base'!$C$14:$N$14,('Calc base'!$H201:$S201&gt;'Calc base'!R201)+('Calc base'!$H201:$S201='Calc base'!R201)*('Calc base'!$C$17:$N$17&lt;'Calc base'!M$17)))))</f>
        <v>0</v>
      </c>
      <c r="AS201">
        <f>IF('Calc base'!N$14=0,0,MIN(AG201,MAX(0,$E201-SUMPRODUCT($V201:$AG201,'Calc base'!$C$14:$N$14,('Calc base'!$H201:$S201&gt;'Calc base'!S201)+('Calc base'!$H201:$S201='Calc base'!S201)*('Calc base'!$C$17:$N$17&lt;'Calc base'!N$17)))))</f>
        <v>0</v>
      </c>
      <c r="AT201">
        <f>V201-AH201</f>
        <v>0</v>
      </c>
      <c r="AU201">
        <f>W201-AI201</f>
        <v>0</v>
      </c>
      <c r="AV201">
        <f>X201-AJ201</f>
        <v>0</v>
      </c>
      <c r="AW201">
        <f>Y201-AK201</f>
        <v>0</v>
      </c>
      <c r="AX201">
        <f>Z201-AL201</f>
        <v>0</v>
      </c>
      <c r="AY201">
        <f>AA201-AM201</f>
        <v>0</v>
      </c>
      <c r="AZ201">
        <f>AB201-AN201</f>
        <v>0</v>
      </c>
      <c r="BA201">
        <f>AC201-AO201</f>
        <v>0</v>
      </c>
      <c r="BB201">
        <f>AD201-AP201</f>
        <v>0</v>
      </c>
      <c r="BC201">
        <f>AE201-AQ201</f>
        <v>0</v>
      </c>
      <c r="BD201">
        <f>AF201-AR201</f>
        <v>0</v>
      </c>
      <c r="BE201">
        <f>AG201-AS201</f>
        <v>0</v>
      </c>
    </row>
    <row r="202">
      <c r="A202" t="n">
        <v>172</v>
      </c>
      <c r="B202">
        <f>SUMPRODUCT(ROUND($AT201:$BE201*(1+'Calc base'!$H202:$S202),2))</f>
        <v>0</v>
      </c>
      <c r="C202">
        <f>SUM(J202:U202)</f>
        <v>0</v>
      </c>
      <c r="D202">
        <f>SUM(V202:AG202)</f>
        <v>0</v>
      </c>
      <c r="E202">
        <f>MAX(0,IF(Impostazioni!$B$7="No",'Calc base'!$C202-$C$31,'Calc base'!$C202-C202)+'Calc base'!$G202+'Calc base'!$F202-(B202-C202-D202))</f>
        <v>900</v>
      </c>
      <c r="F202">
        <f>SUM(AH202:AS202)</f>
        <v>0</v>
      </c>
      <c r="G202">
        <f>SUM(AT202:BE202)</f>
        <v>0</v>
      </c>
      <c r="H202">
        <f>B202-G201</f>
        <v>0</v>
      </c>
      <c r="I202">
        <f>B202-G202</f>
        <v>0</v>
      </c>
      <c r="J202">
        <f>IF(AT201&lt;=0,0,IF(ROUND(AT201*(1+'Calc base'!H202),2)-MAX('Calc base'!C$12,ROUND('Calc base'!C$13*AT201,2))&lt;1,ROUND(AT201*(1+'Calc base'!H202),2),MAX('Calc base'!C$12,ROUND('Calc base'!C$13*AT201,2))))</f>
        <v>0</v>
      </c>
      <c r="K202">
        <f>IF(AU201&lt;=0,0,IF(ROUND(AU201*(1+'Calc base'!I202),2)-MAX('Calc base'!D$12,ROUND('Calc base'!D$13*AU201,2))&lt;1,ROUND(AU201*(1+'Calc base'!I202),2),MAX('Calc base'!D$12,ROUND('Calc base'!D$13*AU201,2))))</f>
        <v>0</v>
      </c>
      <c r="L202">
        <f>IF(AV201&lt;=0,0,IF(ROUND(AV201*(1+'Calc base'!J202),2)-MAX('Calc base'!E$12,ROUND('Calc base'!E$13*AV201,2))&lt;1,ROUND(AV201*(1+'Calc base'!J202),2),MAX('Calc base'!E$12,ROUND('Calc base'!E$13*AV201,2))))</f>
        <v>0</v>
      </c>
      <c r="M202">
        <f>IF(AW201&lt;=0,0,IF(ROUND(AW201*(1+'Calc base'!K202),2)-MAX('Calc base'!F$12,ROUND('Calc base'!F$13*AW201,2))&lt;1,ROUND(AW201*(1+'Calc base'!K202),2),MAX('Calc base'!F$12,ROUND('Calc base'!F$13*AW201,2))))</f>
        <v>0</v>
      </c>
      <c r="N202">
        <f>IF(AX201&lt;=0,0,IF(ROUND(AX201*(1+'Calc base'!L202),2)-MAX('Calc base'!G$12,ROUND('Calc base'!G$13*AX201,2))&lt;1,ROUND(AX201*(1+'Calc base'!L202),2),MAX('Calc base'!G$12,ROUND('Calc base'!G$13*AX201,2))))</f>
        <v>0</v>
      </c>
      <c r="O202">
        <f>IF(AY201&lt;=0,0,IF(ROUND(AY201*(1+'Calc base'!M202),2)-MAX('Calc base'!H$12,ROUND('Calc base'!H$13*AY201,2))&lt;1,ROUND(AY201*(1+'Calc base'!M202),2),MAX('Calc base'!H$12,ROUND('Calc base'!H$13*AY201,2))))</f>
        <v>0</v>
      </c>
      <c r="P202">
        <f>IF(AZ201&lt;=0,0,IF(ROUND(AZ201*(1+'Calc base'!N202),2)-MAX('Calc base'!I$12,ROUND('Calc base'!I$13*AZ201,2))&lt;1,ROUND(AZ201*(1+'Calc base'!N202),2),MAX('Calc base'!I$12,ROUND('Calc base'!I$13*AZ201,2))))</f>
        <v>0</v>
      </c>
      <c r="Q202">
        <f>IF(BA201&lt;=0,0,IF(ROUND(BA201*(1+'Calc base'!O202),2)-MAX('Calc base'!J$12,ROUND('Calc base'!J$13*BA201,2))&lt;1,ROUND(BA201*(1+'Calc base'!O202),2),MAX('Calc base'!J$12,ROUND('Calc base'!J$13*BA201,2))))</f>
        <v>0</v>
      </c>
      <c r="R202">
        <f>IF(BB201&lt;=0,0,IF(ROUND(BB201*(1+'Calc base'!P202),2)-MAX('Calc base'!K$12,ROUND('Calc base'!K$13*BB201,2))&lt;1,ROUND(BB201*(1+'Calc base'!P202),2),MAX('Calc base'!K$12,ROUND('Calc base'!K$13*BB201,2))))</f>
        <v>0</v>
      </c>
      <c r="S202">
        <f>IF(BC201&lt;=0,0,IF(ROUND(BC201*(1+'Calc base'!Q202),2)-MAX('Calc base'!L$12,ROUND('Calc base'!L$13*BC201,2))&lt;1,ROUND(BC201*(1+'Calc base'!Q202),2),MAX('Calc base'!L$12,ROUND('Calc base'!L$13*BC201,2))))</f>
        <v>0</v>
      </c>
      <c r="T202">
        <f>IF(BD201&lt;=0,0,IF(ROUND(BD201*(1+'Calc base'!R202),2)-MAX('Calc base'!M$12,ROUND('Calc base'!M$13*BD201,2))&lt;1,ROUND(BD201*(1+'Calc base'!R202),2),MAX('Calc base'!M$12,ROUND('Calc base'!M$13*BD201,2))))</f>
        <v>0</v>
      </c>
      <c r="U202">
        <f>IF(BE201&lt;=0,0,IF(ROUND(BE201*(1+'Calc base'!S202),2)-MAX('Calc base'!N$12,ROUND('Calc base'!N$13*BE201,2))&lt;1,ROUND(BE201*(1+'Calc base'!S202),2),MAX('Calc base'!N$12,ROUND('Calc base'!N$13*BE201,2))))</f>
        <v>0</v>
      </c>
      <c r="V202">
        <f>MAX(0,ROUND(AT201*(1+'Calc base'!H202),2)-J202-'Calc base'!T202)</f>
        <v>0</v>
      </c>
      <c r="W202">
        <f>MAX(0,ROUND(AU201*(1+'Calc base'!I202),2)-K202-'Calc base'!U202)</f>
        <v>0</v>
      </c>
      <c r="X202">
        <f>MAX(0,ROUND(AV201*(1+'Calc base'!J202),2)-L202-'Calc base'!V202)</f>
        <v>0</v>
      </c>
      <c r="Y202">
        <f>MAX(0,ROUND(AW201*(1+'Calc base'!K202),2)-M202-'Calc base'!W202)</f>
        <v>0</v>
      </c>
      <c r="Z202">
        <f>MAX(0,ROUND(AX201*(1+'Calc base'!L202),2)-N202-'Calc base'!X202)</f>
        <v>0</v>
      </c>
      <c r="AA202">
        <f>MAX(0,ROUND(AY201*(1+'Calc base'!M202),2)-O202-'Calc base'!Y202)</f>
        <v>0</v>
      </c>
      <c r="AB202">
        <f>MAX(0,ROUND(AZ201*(1+'Calc base'!N202),2)-P202-'Calc base'!Z202)</f>
        <v>0</v>
      </c>
      <c r="AC202">
        <f>MAX(0,ROUND(BA201*(1+'Calc base'!O202),2)-Q202-'Calc base'!AA202)</f>
        <v>0</v>
      </c>
      <c r="AD202">
        <f>MAX(0,ROUND(BB201*(1+'Calc base'!P202),2)-R202-'Calc base'!AB202)</f>
        <v>0</v>
      </c>
      <c r="AE202">
        <f>MAX(0,ROUND(BC201*(1+'Calc base'!Q202),2)-S202-'Calc base'!AC202)</f>
        <v>0</v>
      </c>
      <c r="AF202">
        <f>MAX(0,ROUND(BD201*(1+'Calc base'!R202),2)-T202-'Calc base'!AD202)</f>
        <v>0</v>
      </c>
      <c r="AG202">
        <f>MAX(0,ROUND(BE201*(1+'Calc base'!S202),2)-U202-'Calc base'!AE202)</f>
        <v>0</v>
      </c>
      <c r="AH202">
        <f>IF('Calc base'!C$14=0,0,MIN(V202,MAX(0,$E202-SUMPRODUCT($V202:$AG202,'Calc base'!$C$14:$N$14,('Calc base'!$H202:$S202&gt;'Calc base'!H202)+('Calc base'!$H202:$S202='Calc base'!H202)*('Calc base'!$C$17:$N$17&lt;'Calc base'!C$17)))))</f>
        <v>0</v>
      </c>
      <c r="AI202">
        <f>IF('Calc base'!D$14=0,0,MIN(W202,MAX(0,$E202-SUMPRODUCT($V202:$AG202,'Calc base'!$C$14:$N$14,('Calc base'!$H202:$S202&gt;'Calc base'!I202)+('Calc base'!$H202:$S202='Calc base'!I202)*('Calc base'!$C$17:$N$17&lt;'Calc base'!D$17)))))</f>
        <v>0</v>
      </c>
      <c r="AJ202">
        <f>IF('Calc base'!E$14=0,0,MIN(X202,MAX(0,$E202-SUMPRODUCT($V202:$AG202,'Calc base'!$C$14:$N$14,('Calc base'!$H202:$S202&gt;'Calc base'!J202)+('Calc base'!$H202:$S202='Calc base'!J202)*('Calc base'!$C$17:$N$17&lt;'Calc base'!E$17)))))</f>
        <v>0</v>
      </c>
      <c r="AK202">
        <f>IF('Calc base'!F$14=0,0,MIN(Y202,MAX(0,$E202-SUMPRODUCT($V202:$AG202,'Calc base'!$C$14:$N$14,('Calc base'!$H202:$S202&gt;'Calc base'!K202)+('Calc base'!$H202:$S202='Calc base'!K202)*('Calc base'!$C$17:$N$17&lt;'Calc base'!F$17)))))</f>
        <v>0</v>
      </c>
      <c r="AL202">
        <f>IF('Calc base'!G$14=0,0,MIN(Z202,MAX(0,$E202-SUMPRODUCT($V202:$AG202,'Calc base'!$C$14:$N$14,('Calc base'!$H202:$S202&gt;'Calc base'!L202)+('Calc base'!$H202:$S202='Calc base'!L202)*('Calc base'!$C$17:$N$17&lt;'Calc base'!G$17)))))</f>
        <v>0</v>
      </c>
      <c r="AM202">
        <f>IF('Calc base'!H$14=0,0,MIN(AA202,MAX(0,$E202-SUMPRODUCT($V202:$AG202,'Calc base'!$C$14:$N$14,('Calc base'!$H202:$S202&gt;'Calc base'!M202)+('Calc base'!$H202:$S202='Calc base'!M202)*('Calc base'!$C$17:$N$17&lt;'Calc base'!H$17)))))</f>
        <v>0</v>
      </c>
      <c r="AN202">
        <f>IF('Calc base'!I$14=0,0,MIN(AB202,MAX(0,$E202-SUMPRODUCT($V202:$AG202,'Calc base'!$C$14:$N$14,('Calc base'!$H202:$S202&gt;'Calc base'!N202)+('Calc base'!$H202:$S202='Calc base'!N202)*('Calc base'!$C$17:$N$17&lt;'Calc base'!I$17)))))</f>
        <v>0</v>
      </c>
      <c r="AO202">
        <f>IF('Calc base'!J$14=0,0,MIN(AC202,MAX(0,$E202-SUMPRODUCT($V202:$AG202,'Calc base'!$C$14:$N$14,('Calc base'!$H202:$S202&gt;'Calc base'!O202)+('Calc base'!$H202:$S202='Calc base'!O202)*('Calc base'!$C$17:$N$17&lt;'Calc base'!J$17)))))</f>
        <v>0</v>
      </c>
      <c r="AP202">
        <f>IF('Calc base'!K$14=0,0,MIN(AD202,MAX(0,$E202-SUMPRODUCT($V202:$AG202,'Calc base'!$C$14:$N$14,('Calc base'!$H202:$S202&gt;'Calc base'!P202)+('Calc base'!$H202:$S202='Calc base'!P202)*('Calc base'!$C$17:$N$17&lt;'Calc base'!K$17)))))</f>
        <v>0</v>
      </c>
      <c r="AQ202">
        <f>IF('Calc base'!L$14=0,0,MIN(AE202,MAX(0,$E202-SUMPRODUCT($V202:$AG202,'Calc base'!$C$14:$N$14,('Calc base'!$H202:$S202&gt;'Calc base'!Q202)+('Calc base'!$H202:$S202='Calc base'!Q202)*('Calc base'!$C$17:$N$17&lt;'Calc base'!L$17)))))</f>
        <v>0</v>
      </c>
      <c r="AR202">
        <f>IF('Calc base'!M$14=0,0,MIN(AF202,MAX(0,$E202-SUMPRODUCT($V202:$AG202,'Calc base'!$C$14:$N$14,('Calc base'!$H202:$S202&gt;'Calc base'!R202)+('Calc base'!$H202:$S202='Calc base'!R202)*('Calc base'!$C$17:$N$17&lt;'Calc base'!M$17)))))</f>
        <v>0</v>
      </c>
      <c r="AS202">
        <f>IF('Calc base'!N$14=0,0,MIN(AG202,MAX(0,$E202-SUMPRODUCT($V202:$AG202,'Calc base'!$C$14:$N$14,('Calc base'!$H202:$S202&gt;'Calc base'!S202)+('Calc base'!$H202:$S202='Calc base'!S202)*('Calc base'!$C$17:$N$17&lt;'Calc base'!N$17)))))</f>
        <v>0</v>
      </c>
      <c r="AT202">
        <f>V202-AH202</f>
        <v>0</v>
      </c>
      <c r="AU202">
        <f>W202-AI202</f>
        <v>0</v>
      </c>
      <c r="AV202">
        <f>X202-AJ202</f>
        <v>0</v>
      </c>
      <c r="AW202">
        <f>Y202-AK202</f>
        <v>0</v>
      </c>
      <c r="AX202">
        <f>Z202-AL202</f>
        <v>0</v>
      </c>
      <c r="AY202">
        <f>AA202-AM202</f>
        <v>0</v>
      </c>
      <c r="AZ202">
        <f>AB202-AN202</f>
        <v>0</v>
      </c>
      <c r="BA202">
        <f>AC202-AO202</f>
        <v>0</v>
      </c>
      <c r="BB202">
        <f>AD202-AP202</f>
        <v>0</v>
      </c>
      <c r="BC202">
        <f>AE202-AQ202</f>
        <v>0</v>
      </c>
      <c r="BD202">
        <f>AF202-AR202</f>
        <v>0</v>
      </c>
      <c r="BE202">
        <f>AG202-AS202</f>
        <v>0</v>
      </c>
    </row>
    <row r="203">
      <c r="A203" t="n">
        <v>173</v>
      </c>
      <c r="B203">
        <f>SUMPRODUCT(ROUND($AT202:$BE202*(1+'Calc base'!$H203:$S203),2))</f>
        <v>0</v>
      </c>
      <c r="C203">
        <f>SUM(J203:U203)</f>
        <v>0</v>
      </c>
      <c r="D203">
        <f>SUM(V203:AG203)</f>
        <v>0</v>
      </c>
      <c r="E203">
        <f>MAX(0,IF(Impostazioni!$B$7="No",'Calc base'!$C203-$C$31,'Calc base'!$C203-C203)+'Calc base'!$G203+'Calc base'!$F203-(B203-C203-D203))</f>
        <v>900</v>
      </c>
      <c r="F203">
        <f>SUM(AH203:AS203)</f>
        <v>0</v>
      </c>
      <c r="G203">
        <f>SUM(AT203:BE203)</f>
        <v>0</v>
      </c>
      <c r="H203">
        <f>B203-G202</f>
        <v>0</v>
      </c>
      <c r="I203">
        <f>B203-G203</f>
        <v>0</v>
      </c>
      <c r="J203">
        <f>IF(AT202&lt;=0,0,IF(ROUND(AT202*(1+'Calc base'!H203),2)-MAX('Calc base'!C$12,ROUND('Calc base'!C$13*AT202,2))&lt;1,ROUND(AT202*(1+'Calc base'!H203),2),MAX('Calc base'!C$12,ROUND('Calc base'!C$13*AT202,2))))</f>
        <v>0</v>
      </c>
      <c r="K203">
        <f>IF(AU202&lt;=0,0,IF(ROUND(AU202*(1+'Calc base'!I203),2)-MAX('Calc base'!D$12,ROUND('Calc base'!D$13*AU202,2))&lt;1,ROUND(AU202*(1+'Calc base'!I203),2),MAX('Calc base'!D$12,ROUND('Calc base'!D$13*AU202,2))))</f>
        <v>0</v>
      </c>
      <c r="L203">
        <f>IF(AV202&lt;=0,0,IF(ROUND(AV202*(1+'Calc base'!J203),2)-MAX('Calc base'!E$12,ROUND('Calc base'!E$13*AV202,2))&lt;1,ROUND(AV202*(1+'Calc base'!J203),2),MAX('Calc base'!E$12,ROUND('Calc base'!E$13*AV202,2))))</f>
        <v>0</v>
      </c>
      <c r="M203">
        <f>IF(AW202&lt;=0,0,IF(ROUND(AW202*(1+'Calc base'!K203),2)-MAX('Calc base'!F$12,ROUND('Calc base'!F$13*AW202,2))&lt;1,ROUND(AW202*(1+'Calc base'!K203),2),MAX('Calc base'!F$12,ROUND('Calc base'!F$13*AW202,2))))</f>
        <v>0</v>
      </c>
      <c r="N203">
        <f>IF(AX202&lt;=0,0,IF(ROUND(AX202*(1+'Calc base'!L203),2)-MAX('Calc base'!G$12,ROUND('Calc base'!G$13*AX202,2))&lt;1,ROUND(AX202*(1+'Calc base'!L203),2),MAX('Calc base'!G$12,ROUND('Calc base'!G$13*AX202,2))))</f>
        <v>0</v>
      </c>
      <c r="O203">
        <f>IF(AY202&lt;=0,0,IF(ROUND(AY202*(1+'Calc base'!M203),2)-MAX('Calc base'!H$12,ROUND('Calc base'!H$13*AY202,2))&lt;1,ROUND(AY202*(1+'Calc base'!M203),2),MAX('Calc base'!H$12,ROUND('Calc base'!H$13*AY202,2))))</f>
        <v>0</v>
      </c>
      <c r="P203">
        <f>IF(AZ202&lt;=0,0,IF(ROUND(AZ202*(1+'Calc base'!N203),2)-MAX('Calc base'!I$12,ROUND('Calc base'!I$13*AZ202,2))&lt;1,ROUND(AZ202*(1+'Calc base'!N203),2),MAX('Calc base'!I$12,ROUND('Calc base'!I$13*AZ202,2))))</f>
        <v>0</v>
      </c>
      <c r="Q203">
        <f>IF(BA202&lt;=0,0,IF(ROUND(BA202*(1+'Calc base'!O203),2)-MAX('Calc base'!J$12,ROUND('Calc base'!J$13*BA202,2))&lt;1,ROUND(BA202*(1+'Calc base'!O203),2),MAX('Calc base'!J$12,ROUND('Calc base'!J$13*BA202,2))))</f>
        <v>0</v>
      </c>
      <c r="R203">
        <f>IF(BB202&lt;=0,0,IF(ROUND(BB202*(1+'Calc base'!P203),2)-MAX('Calc base'!K$12,ROUND('Calc base'!K$13*BB202,2))&lt;1,ROUND(BB202*(1+'Calc base'!P203),2),MAX('Calc base'!K$12,ROUND('Calc base'!K$13*BB202,2))))</f>
        <v>0</v>
      </c>
      <c r="S203">
        <f>IF(BC202&lt;=0,0,IF(ROUND(BC202*(1+'Calc base'!Q203),2)-MAX('Calc base'!L$12,ROUND('Calc base'!L$13*BC202,2))&lt;1,ROUND(BC202*(1+'Calc base'!Q203),2),MAX('Calc base'!L$12,ROUND('Calc base'!L$13*BC202,2))))</f>
        <v>0</v>
      </c>
      <c r="T203">
        <f>IF(BD202&lt;=0,0,IF(ROUND(BD202*(1+'Calc base'!R203),2)-MAX('Calc base'!M$12,ROUND('Calc base'!M$13*BD202,2))&lt;1,ROUND(BD202*(1+'Calc base'!R203),2),MAX('Calc base'!M$12,ROUND('Calc base'!M$13*BD202,2))))</f>
        <v>0</v>
      </c>
      <c r="U203">
        <f>IF(BE202&lt;=0,0,IF(ROUND(BE202*(1+'Calc base'!S203),2)-MAX('Calc base'!N$12,ROUND('Calc base'!N$13*BE202,2))&lt;1,ROUND(BE202*(1+'Calc base'!S203),2),MAX('Calc base'!N$12,ROUND('Calc base'!N$13*BE202,2))))</f>
        <v>0</v>
      </c>
      <c r="V203">
        <f>MAX(0,ROUND(AT202*(1+'Calc base'!H203),2)-J203-'Calc base'!T203)</f>
        <v>0</v>
      </c>
      <c r="W203">
        <f>MAX(0,ROUND(AU202*(1+'Calc base'!I203),2)-K203-'Calc base'!U203)</f>
        <v>0</v>
      </c>
      <c r="X203">
        <f>MAX(0,ROUND(AV202*(1+'Calc base'!J203),2)-L203-'Calc base'!V203)</f>
        <v>0</v>
      </c>
      <c r="Y203">
        <f>MAX(0,ROUND(AW202*(1+'Calc base'!K203),2)-M203-'Calc base'!W203)</f>
        <v>0</v>
      </c>
      <c r="Z203">
        <f>MAX(0,ROUND(AX202*(1+'Calc base'!L203),2)-N203-'Calc base'!X203)</f>
        <v>0</v>
      </c>
      <c r="AA203">
        <f>MAX(0,ROUND(AY202*(1+'Calc base'!M203),2)-O203-'Calc base'!Y203)</f>
        <v>0</v>
      </c>
      <c r="AB203">
        <f>MAX(0,ROUND(AZ202*(1+'Calc base'!N203),2)-P203-'Calc base'!Z203)</f>
        <v>0</v>
      </c>
      <c r="AC203">
        <f>MAX(0,ROUND(BA202*(1+'Calc base'!O203),2)-Q203-'Calc base'!AA203)</f>
        <v>0</v>
      </c>
      <c r="AD203">
        <f>MAX(0,ROUND(BB202*(1+'Calc base'!P203),2)-R203-'Calc base'!AB203)</f>
        <v>0</v>
      </c>
      <c r="AE203">
        <f>MAX(0,ROUND(BC202*(1+'Calc base'!Q203),2)-S203-'Calc base'!AC203)</f>
        <v>0</v>
      </c>
      <c r="AF203">
        <f>MAX(0,ROUND(BD202*(1+'Calc base'!R203),2)-T203-'Calc base'!AD203)</f>
        <v>0</v>
      </c>
      <c r="AG203">
        <f>MAX(0,ROUND(BE202*(1+'Calc base'!S203),2)-U203-'Calc base'!AE203)</f>
        <v>0</v>
      </c>
      <c r="AH203">
        <f>IF('Calc base'!C$14=0,0,MIN(V203,MAX(0,$E203-SUMPRODUCT($V203:$AG203,'Calc base'!$C$14:$N$14,('Calc base'!$H203:$S203&gt;'Calc base'!H203)+('Calc base'!$H203:$S203='Calc base'!H203)*('Calc base'!$C$17:$N$17&lt;'Calc base'!C$17)))))</f>
        <v>0</v>
      </c>
      <c r="AI203">
        <f>IF('Calc base'!D$14=0,0,MIN(W203,MAX(0,$E203-SUMPRODUCT($V203:$AG203,'Calc base'!$C$14:$N$14,('Calc base'!$H203:$S203&gt;'Calc base'!I203)+('Calc base'!$H203:$S203='Calc base'!I203)*('Calc base'!$C$17:$N$17&lt;'Calc base'!D$17)))))</f>
        <v>0</v>
      </c>
      <c r="AJ203">
        <f>IF('Calc base'!E$14=0,0,MIN(X203,MAX(0,$E203-SUMPRODUCT($V203:$AG203,'Calc base'!$C$14:$N$14,('Calc base'!$H203:$S203&gt;'Calc base'!J203)+('Calc base'!$H203:$S203='Calc base'!J203)*('Calc base'!$C$17:$N$17&lt;'Calc base'!E$17)))))</f>
        <v>0</v>
      </c>
      <c r="AK203">
        <f>IF('Calc base'!F$14=0,0,MIN(Y203,MAX(0,$E203-SUMPRODUCT($V203:$AG203,'Calc base'!$C$14:$N$14,('Calc base'!$H203:$S203&gt;'Calc base'!K203)+('Calc base'!$H203:$S203='Calc base'!K203)*('Calc base'!$C$17:$N$17&lt;'Calc base'!F$17)))))</f>
        <v>0</v>
      </c>
      <c r="AL203">
        <f>IF('Calc base'!G$14=0,0,MIN(Z203,MAX(0,$E203-SUMPRODUCT($V203:$AG203,'Calc base'!$C$14:$N$14,('Calc base'!$H203:$S203&gt;'Calc base'!L203)+('Calc base'!$H203:$S203='Calc base'!L203)*('Calc base'!$C$17:$N$17&lt;'Calc base'!G$17)))))</f>
        <v>0</v>
      </c>
      <c r="AM203">
        <f>IF('Calc base'!H$14=0,0,MIN(AA203,MAX(0,$E203-SUMPRODUCT($V203:$AG203,'Calc base'!$C$14:$N$14,('Calc base'!$H203:$S203&gt;'Calc base'!M203)+('Calc base'!$H203:$S203='Calc base'!M203)*('Calc base'!$C$17:$N$17&lt;'Calc base'!H$17)))))</f>
        <v>0</v>
      </c>
      <c r="AN203">
        <f>IF('Calc base'!I$14=0,0,MIN(AB203,MAX(0,$E203-SUMPRODUCT($V203:$AG203,'Calc base'!$C$14:$N$14,('Calc base'!$H203:$S203&gt;'Calc base'!N203)+('Calc base'!$H203:$S203='Calc base'!N203)*('Calc base'!$C$17:$N$17&lt;'Calc base'!I$17)))))</f>
        <v>0</v>
      </c>
      <c r="AO203">
        <f>IF('Calc base'!J$14=0,0,MIN(AC203,MAX(0,$E203-SUMPRODUCT($V203:$AG203,'Calc base'!$C$14:$N$14,('Calc base'!$H203:$S203&gt;'Calc base'!O203)+('Calc base'!$H203:$S203='Calc base'!O203)*('Calc base'!$C$17:$N$17&lt;'Calc base'!J$17)))))</f>
        <v>0</v>
      </c>
      <c r="AP203">
        <f>IF('Calc base'!K$14=0,0,MIN(AD203,MAX(0,$E203-SUMPRODUCT($V203:$AG203,'Calc base'!$C$14:$N$14,('Calc base'!$H203:$S203&gt;'Calc base'!P203)+('Calc base'!$H203:$S203='Calc base'!P203)*('Calc base'!$C$17:$N$17&lt;'Calc base'!K$17)))))</f>
        <v>0</v>
      </c>
      <c r="AQ203">
        <f>IF('Calc base'!L$14=0,0,MIN(AE203,MAX(0,$E203-SUMPRODUCT($V203:$AG203,'Calc base'!$C$14:$N$14,('Calc base'!$H203:$S203&gt;'Calc base'!Q203)+('Calc base'!$H203:$S203='Calc base'!Q203)*('Calc base'!$C$17:$N$17&lt;'Calc base'!L$17)))))</f>
        <v>0</v>
      </c>
      <c r="AR203">
        <f>IF('Calc base'!M$14=0,0,MIN(AF203,MAX(0,$E203-SUMPRODUCT($V203:$AG203,'Calc base'!$C$14:$N$14,('Calc base'!$H203:$S203&gt;'Calc base'!R203)+('Calc base'!$H203:$S203='Calc base'!R203)*('Calc base'!$C$17:$N$17&lt;'Calc base'!M$17)))))</f>
        <v>0</v>
      </c>
      <c r="AS203">
        <f>IF('Calc base'!N$14=0,0,MIN(AG203,MAX(0,$E203-SUMPRODUCT($V203:$AG203,'Calc base'!$C$14:$N$14,('Calc base'!$H203:$S203&gt;'Calc base'!S203)+('Calc base'!$H203:$S203='Calc base'!S203)*('Calc base'!$C$17:$N$17&lt;'Calc base'!N$17)))))</f>
        <v>0</v>
      </c>
      <c r="AT203">
        <f>V203-AH203</f>
        <v>0</v>
      </c>
      <c r="AU203">
        <f>W203-AI203</f>
        <v>0</v>
      </c>
      <c r="AV203">
        <f>X203-AJ203</f>
        <v>0</v>
      </c>
      <c r="AW203">
        <f>Y203-AK203</f>
        <v>0</v>
      </c>
      <c r="AX203">
        <f>Z203-AL203</f>
        <v>0</v>
      </c>
      <c r="AY203">
        <f>AA203-AM203</f>
        <v>0</v>
      </c>
      <c r="AZ203">
        <f>AB203-AN203</f>
        <v>0</v>
      </c>
      <c r="BA203">
        <f>AC203-AO203</f>
        <v>0</v>
      </c>
      <c r="BB203">
        <f>AD203-AP203</f>
        <v>0</v>
      </c>
      <c r="BC203">
        <f>AE203-AQ203</f>
        <v>0</v>
      </c>
      <c r="BD203">
        <f>AF203-AR203</f>
        <v>0</v>
      </c>
      <c r="BE203">
        <f>AG203-AS203</f>
        <v>0</v>
      </c>
    </row>
    <row r="204">
      <c r="A204" t="n">
        <v>174</v>
      </c>
      <c r="B204">
        <f>SUMPRODUCT(ROUND($AT203:$BE203*(1+'Calc base'!$H204:$S204),2))</f>
        <v>0</v>
      </c>
      <c r="C204">
        <f>SUM(J204:U204)</f>
        <v>0</v>
      </c>
      <c r="D204">
        <f>SUM(V204:AG204)</f>
        <v>0</v>
      </c>
      <c r="E204">
        <f>MAX(0,IF(Impostazioni!$B$7="No",'Calc base'!$C204-$C$31,'Calc base'!$C204-C204)+'Calc base'!$G204+'Calc base'!$F204-(B204-C204-D204))</f>
        <v>900</v>
      </c>
      <c r="F204">
        <f>SUM(AH204:AS204)</f>
        <v>0</v>
      </c>
      <c r="G204">
        <f>SUM(AT204:BE204)</f>
        <v>0</v>
      </c>
      <c r="H204">
        <f>B204-G203</f>
        <v>0</v>
      </c>
      <c r="I204">
        <f>B204-G204</f>
        <v>0</v>
      </c>
      <c r="J204">
        <f>IF(AT203&lt;=0,0,IF(ROUND(AT203*(1+'Calc base'!H204),2)-MAX('Calc base'!C$12,ROUND('Calc base'!C$13*AT203,2))&lt;1,ROUND(AT203*(1+'Calc base'!H204),2),MAX('Calc base'!C$12,ROUND('Calc base'!C$13*AT203,2))))</f>
        <v>0</v>
      </c>
      <c r="K204">
        <f>IF(AU203&lt;=0,0,IF(ROUND(AU203*(1+'Calc base'!I204),2)-MAX('Calc base'!D$12,ROUND('Calc base'!D$13*AU203,2))&lt;1,ROUND(AU203*(1+'Calc base'!I204),2),MAX('Calc base'!D$12,ROUND('Calc base'!D$13*AU203,2))))</f>
        <v>0</v>
      </c>
      <c r="L204">
        <f>IF(AV203&lt;=0,0,IF(ROUND(AV203*(1+'Calc base'!J204),2)-MAX('Calc base'!E$12,ROUND('Calc base'!E$13*AV203,2))&lt;1,ROUND(AV203*(1+'Calc base'!J204),2),MAX('Calc base'!E$12,ROUND('Calc base'!E$13*AV203,2))))</f>
        <v>0</v>
      </c>
      <c r="M204">
        <f>IF(AW203&lt;=0,0,IF(ROUND(AW203*(1+'Calc base'!K204),2)-MAX('Calc base'!F$12,ROUND('Calc base'!F$13*AW203,2))&lt;1,ROUND(AW203*(1+'Calc base'!K204),2),MAX('Calc base'!F$12,ROUND('Calc base'!F$13*AW203,2))))</f>
        <v>0</v>
      </c>
      <c r="N204">
        <f>IF(AX203&lt;=0,0,IF(ROUND(AX203*(1+'Calc base'!L204),2)-MAX('Calc base'!G$12,ROUND('Calc base'!G$13*AX203,2))&lt;1,ROUND(AX203*(1+'Calc base'!L204),2),MAX('Calc base'!G$12,ROUND('Calc base'!G$13*AX203,2))))</f>
        <v>0</v>
      </c>
      <c r="O204">
        <f>IF(AY203&lt;=0,0,IF(ROUND(AY203*(1+'Calc base'!M204),2)-MAX('Calc base'!H$12,ROUND('Calc base'!H$13*AY203,2))&lt;1,ROUND(AY203*(1+'Calc base'!M204),2),MAX('Calc base'!H$12,ROUND('Calc base'!H$13*AY203,2))))</f>
        <v>0</v>
      </c>
      <c r="P204">
        <f>IF(AZ203&lt;=0,0,IF(ROUND(AZ203*(1+'Calc base'!N204),2)-MAX('Calc base'!I$12,ROUND('Calc base'!I$13*AZ203,2))&lt;1,ROUND(AZ203*(1+'Calc base'!N204),2),MAX('Calc base'!I$12,ROUND('Calc base'!I$13*AZ203,2))))</f>
        <v>0</v>
      </c>
      <c r="Q204">
        <f>IF(BA203&lt;=0,0,IF(ROUND(BA203*(1+'Calc base'!O204),2)-MAX('Calc base'!J$12,ROUND('Calc base'!J$13*BA203,2))&lt;1,ROUND(BA203*(1+'Calc base'!O204),2),MAX('Calc base'!J$12,ROUND('Calc base'!J$13*BA203,2))))</f>
        <v>0</v>
      </c>
      <c r="R204">
        <f>IF(BB203&lt;=0,0,IF(ROUND(BB203*(1+'Calc base'!P204),2)-MAX('Calc base'!K$12,ROUND('Calc base'!K$13*BB203,2))&lt;1,ROUND(BB203*(1+'Calc base'!P204),2),MAX('Calc base'!K$12,ROUND('Calc base'!K$13*BB203,2))))</f>
        <v>0</v>
      </c>
      <c r="S204">
        <f>IF(BC203&lt;=0,0,IF(ROUND(BC203*(1+'Calc base'!Q204),2)-MAX('Calc base'!L$12,ROUND('Calc base'!L$13*BC203,2))&lt;1,ROUND(BC203*(1+'Calc base'!Q204),2),MAX('Calc base'!L$12,ROUND('Calc base'!L$13*BC203,2))))</f>
        <v>0</v>
      </c>
      <c r="T204">
        <f>IF(BD203&lt;=0,0,IF(ROUND(BD203*(1+'Calc base'!R204),2)-MAX('Calc base'!M$12,ROUND('Calc base'!M$13*BD203,2))&lt;1,ROUND(BD203*(1+'Calc base'!R204),2),MAX('Calc base'!M$12,ROUND('Calc base'!M$13*BD203,2))))</f>
        <v>0</v>
      </c>
      <c r="U204">
        <f>IF(BE203&lt;=0,0,IF(ROUND(BE203*(1+'Calc base'!S204),2)-MAX('Calc base'!N$12,ROUND('Calc base'!N$13*BE203,2))&lt;1,ROUND(BE203*(1+'Calc base'!S204),2),MAX('Calc base'!N$12,ROUND('Calc base'!N$13*BE203,2))))</f>
        <v>0</v>
      </c>
      <c r="V204">
        <f>MAX(0,ROUND(AT203*(1+'Calc base'!H204),2)-J204-'Calc base'!T204)</f>
        <v>0</v>
      </c>
      <c r="W204">
        <f>MAX(0,ROUND(AU203*(1+'Calc base'!I204),2)-K204-'Calc base'!U204)</f>
        <v>0</v>
      </c>
      <c r="X204">
        <f>MAX(0,ROUND(AV203*(1+'Calc base'!J204),2)-L204-'Calc base'!V204)</f>
        <v>0</v>
      </c>
      <c r="Y204">
        <f>MAX(0,ROUND(AW203*(1+'Calc base'!K204),2)-M204-'Calc base'!W204)</f>
        <v>0</v>
      </c>
      <c r="Z204">
        <f>MAX(0,ROUND(AX203*(1+'Calc base'!L204),2)-N204-'Calc base'!X204)</f>
        <v>0</v>
      </c>
      <c r="AA204">
        <f>MAX(0,ROUND(AY203*(1+'Calc base'!M204),2)-O204-'Calc base'!Y204)</f>
        <v>0</v>
      </c>
      <c r="AB204">
        <f>MAX(0,ROUND(AZ203*(1+'Calc base'!N204),2)-P204-'Calc base'!Z204)</f>
        <v>0</v>
      </c>
      <c r="AC204">
        <f>MAX(0,ROUND(BA203*(1+'Calc base'!O204),2)-Q204-'Calc base'!AA204)</f>
        <v>0</v>
      </c>
      <c r="AD204">
        <f>MAX(0,ROUND(BB203*(1+'Calc base'!P204),2)-R204-'Calc base'!AB204)</f>
        <v>0</v>
      </c>
      <c r="AE204">
        <f>MAX(0,ROUND(BC203*(1+'Calc base'!Q204),2)-S204-'Calc base'!AC204)</f>
        <v>0</v>
      </c>
      <c r="AF204">
        <f>MAX(0,ROUND(BD203*(1+'Calc base'!R204),2)-T204-'Calc base'!AD204)</f>
        <v>0</v>
      </c>
      <c r="AG204">
        <f>MAX(0,ROUND(BE203*(1+'Calc base'!S204),2)-U204-'Calc base'!AE204)</f>
        <v>0</v>
      </c>
      <c r="AH204">
        <f>IF('Calc base'!C$14=0,0,MIN(V204,MAX(0,$E204-SUMPRODUCT($V204:$AG204,'Calc base'!$C$14:$N$14,('Calc base'!$H204:$S204&gt;'Calc base'!H204)+('Calc base'!$H204:$S204='Calc base'!H204)*('Calc base'!$C$17:$N$17&lt;'Calc base'!C$17)))))</f>
        <v>0</v>
      </c>
      <c r="AI204">
        <f>IF('Calc base'!D$14=0,0,MIN(W204,MAX(0,$E204-SUMPRODUCT($V204:$AG204,'Calc base'!$C$14:$N$14,('Calc base'!$H204:$S204&gt;'Calc base'!I204)+('Calc base'!$H204:$S204='Calc base'!I204)*('Calc base'!$C$17:$N$17&lt;'Calc base'!D$17)))))</f>
        <v>0</v>
      </c>
      <c r="AJ204">
        <f>IF('Calc base'!E$14=0,0,MIN(X204,MAX(0,$E204-SUMPRODUCT($V204:$AG204,'Calc base'!$C$14:$N$14,('Calc base'!$H204:$S204&gt;'Calc base'!J204)+('Calc base'!$H204:$S204='Calc base'!J204)*('Calc base'!$C$17:$N$17&lt;'Calc base'!E$17)))))</f>
        <v>0</v>
      </c>
      <c r="AK204">
        <f>IF('Calc base'!F$14=0,0,MIN(Y204,MAX(0,$E204-SUMPRODUCT($V204:$AG204,'Calc base'!$C$14:$N$14,('Calc base'!$H204:$S204&gt;'Calc base'!K204)+('Calc base'!$H204:$S204='Calc base'!K204)*('Calc base'!$C$17:$N$17&lt;'Calc base'!F$17)))))</f>
        <v>0</v>
      </c>
      <c r="AL204">
        <f>IF('Calc base'!G$14=0,0,MIN(Z204,MAX(0,$E204-SUMPRODUCT($V204:$AG204,'Calc base'!$C$14:$N$14,('Calc base'!$H204:$S204&gt;'Calc base'!L204)+('Calc base'!$H204:$S204='Calc base'!L204)*('Calc base'!$C$17:$N$17&lt;'Calc base'!G$17)))))</f>
        <v>0</v>
      </c>
      <c r="AM204">
        <f>IF('Calc base'!H$14=0,0,MIN(AA204,MAX(0,$E204-SUMPRODUCT($V204:$AG204,'Calc base'!$C$14:$N$14,('Calc base'!$H204:$S204&gt;'Calc base'!M204)+('Calc base'!$H204:$S204='Calc base'!M204)*('Calc base'!$C$17:$N$17&lt;'Calc base'!H$17)))))</f>
        <v>0</v>
      </c>
      <c r="AN204">
        <f>IF('Calc base'!I$14=0,0,MIN(AB204,MAX(0,$E204-SUMPRODUCT($V204:$AG204,'Calc base'!$C$14:$N$14,('Calc base'!$H204:$S204&gt;'Calc base'!N204)+('Calc base'!$H204:$S204='Calc base'!N204)*('Calc base'!$C$17:$N$17&lt;'Calc base'!I$17)))))</f>
        <v>0</v>
      </c>
      <c r="AO204">
        <f>IF('Calc base'!J$14=0,0,MIN(AC204,MAX(0,$E204-SUMPRODUCT($V204:$AG204,'Calc base'!$C$14:$N$14,('Calc base'!$H204:$S204&gt;'Calc base'!O204)+('Calc base'!$H204:$S204='Calc base'!O204)*('Calc base'!$C$17:$N$17&lt;'Calc base'!J$17)))))</f>
        <v>0</v>
      </c>
      <c r="AP204">
        <f>IF('Calc base'!K$14=0,0,MIN(AD204,MAX(0,$E204-SUMPRODUCT($V204:$AG204,'Calc base'!$C$14:$N$14,('Calc base'!$H204:$S204&gt;'Calc base'!P204)+('Calc base'!$H204:$S204='Calc base'!P204)*('Calc base'!$C$17:$N$17&lt;'Calc base'!K$17)))))</f>
        <v>0</v>
      </c>
      <c r="AQ204">
        <f>IF('Calc base'!L$14=0,0,MIN(AE204,MAX(0,$E204-SUMPRODUCT($V204:$AG204,'Calc base'!$C$14:$N$14,('Calc base'!$H204:$S204&gt;'Calc base'!Q204)+('Calc base'!$H204:$S204='Calc base'!Q204)*('Calc base'!$C$17:$N$17&lt;'Calc base'!L$17)))))</f>
        <v>0</v>
      </c>
      <c r="AR204">
        <f>IF('Calc base'!M$14=0,0,MIN(AF204,MAX(0,$E204-SUMPRODUCT($V204:$AG204,'Calc base'!$C$14:$N$14,('Calc base'!$H204:$S204&gt;'Calc base'!R204)+('Calc base'!$H204:$S204='Calc base'!R204)*('Calc base'!$C$17:$N$17&lt;'Calc base'!M$17)))))</f>
        <v>0</v>
      </c>
      <c r="AS204">
        <f>IF('Calc base'!N$14=0,0,MIN(AG204,MAX(0,$E204-SUMPRODUCT($V204:$AG204,'Calc base'!$C$14:$N$14,('Calc base'!$H204:$S204&gt;'Calc base'!S204)+('Calc base'!$H204:$S204='Calc base'!S204)*('Calc base'!$C$17:$N$17&lt;'Calc base'!N$17)))))</f>
        <v>0</v>
      </c>
      <c r="AT204">
        <f>V204-AH204</f>
        <v>0</v>
      </c>
      <c r="AU204">
        <f>W204-AI204</f>
        <v>0</v>
      </c>
      <c r="AV204">
        <f>X204-AJ204</f>
        <v>0</v>
      </c>
      <c r="AW204">
        <f>Y204-AK204</f>
        <v>0</v>
      </c>
      <c r="AX204">
        <f>Z204-AL204</f>
        <v>0</v>
      </c>
      <c r="AY204">
        <f>AA204-AM204</f>
        <v>0</v>
      </c>
      <c r="AZ204">
        <f>AB204-AN204</f>
        <v>0</v>
      </c>
      <c r="BA204">
        <f>AC204-AO204</f>
        <v>0</v>
      </c>
      <c r="BB204">
        <f>AD204-AP204</f>
        <v>0</v>
      </c>
      <c r="BC204">
        <f>AE204-AQ204</f>
        <v>0</v>
      </c>
      <c r="BD204">
        <f>AF204-AR204</f>
        <v>0</v>
      </c>
      <c r="BE204">
        <f>AG204-AS204</f>
        <v>0</v>
      </c>
    </row>
    <row r="205">
      <c r="A205" t="n">
        <v>175</v>
      </c>
      <c r="B205">
        <f>SUMPRODUCT(ROUND($AT204:$BE204*(1+'Calc base'!$H205:$S205),2))</f>
        <v>0</v>
      </c>
      <c r="C205">
        <f>SUM(J205:U205)</f>
        <v>0</v>
      </c>
      <c r="D205">
        <f>SUM(V205:AG205)</f>
        <v>0</v>
      </c>
      <c r="E205">
        <f>MAX(0,IF(Impostazioni!$B$7="No",'Calc base'!$C205-$C$31,'Calc base'!$C205-C205)+'Calc base'!$G205+'Calc base'!$F205-(B205-C205-D205))</f>
        <v>900</v>
      </c>
      <c r="F205">
        <f>SUM(AH205:AS205)</f>
        <v>0</v>
      </c>
      <c r="G205">
        <f>SUM(AT205:BE205)</f>
        <v>0</v>
      </c>
      <c r="H205">
        <f>B205-G204</f>
        <v>0</v>
      </c>
      <c r="I205">
        <f>B205-G205</f>
        <v>0</v>
      </c>
      <c r="J205">
        <f>IF(AT204&lt;=0,0,IF(ROUND(AT204*(1+'Calc base'!H205),2)-MAX('Calc base'!C$12,ROUND('Calc base'!C$13*AT204,2))&lt;1,ROUND(AT204*(1+'Calc base'!H205),2),MAX('Calc base'!C$12,ROUND('Calc base'!C$13*AT204,2))))</f>
        <v>0</v>
      </c>
      <c r="K205">
        <f>IF(AU204&lt;=0,0,IF(ROUND(AU204*(1+'Calc base'!I205),2)-MAX('Calc base'!D$12,ROUND('Calc base'!D$13*AU204,2))&lt;1,ROUND(AU204*(1+'Calc base'!I205),2),MAX('Calc base'!D$12,ROUND('Calc base'!D$13*AU204,2))))</f>
        <v>0</v>
      </c>
      <c r="L205">
        <f>IF(AV204&lt;=0,0,IF(ROUND(AV204*(1+'Calc base'!J205),2)-MAX('Calc base'!E$12,ROUND('Calc base'!E$13*AV204,2))&lt;1,ROUND(AV204*(1+'Calc base'!J205),2),MAX('Calc base'!E$12,ROUND('Calc base'!E$13*AV204,2))))</f>
        <v>0</v>
      </c>
      <c r="M205">
        <f>IF(AW204&lt;=0,0,IF(ROUND(AW204*(1+'Calc base'!K205),2)-MAX('Calc base'!F$12,ROUND('Calc base'!F$13*AW204,2))&lt;1,ROUND(AW204*(1+'Calc base'!K205),2),MAX('Calc base'!F$12,ROUND('Calc base'!F$13*AW204,2))))</f>
        <v>0</v>
      </c>
      <c r="N205">
        <f>IF(AX204&lt;=0,0,IF(ROUND(AX204*(1+'Calc base'!L205),2)-MAX('Calc base'!G$12,ROUND('Calc base'!G$13*AX204,2))&lt;1,ROUND(AX204*(1+'Calc base'!L205),2),MAX('Calc base'!G$12,ROUND('Calc base'!G$13*AX204,2))))</f>
        <v>0</v>
      </c>
      <c r="O205">
        <f>IF(AY204&lt;=0,0,IF(ROUND(AY204*(1+'Calc base'!M205),2)-MAX('Calc base'!H$12,ROUND('Calc base'!H$13*AY204,2))&lt;1,ROUND(AY204*(1+'Calc base'!M205),2),MAX('Calc base'!H$12,ROUND('Calc base'!H$13*AY204,2))))</f>
        <v>0</v>
      </c>
      <c r="P205">
        <f>IF(AZ204&lt;=0,0,IF(ROUND(AZ204*(1+'Calc base'!N205),2)-MAX('Calc base'!I$12,ROUND('Calc base'!I$13*AZ204,2))&lt;1,ROUND(AZ204*(1+'Calc base'!N205),2),MAX('Calc base'!I$12,ROUND('Calc base'!I$13*AZ204,2))))</f>
        <v>0</v>
      </c>
      <c r="Q205">
        <f>IF(BA204&lt;=0,0,IF(ROUND(BA204*(1+'Calc base'!O205),2)-MAX('Calc base'!J$12,ROUND('Calc base'!J$13*BA204,2))&lt;1,ROUND(BA204*(1+'Calc base'!O205),2),MAX('Calc base'!J$12,ROUND('Calc base'!J$13*BA204,2))))</f>
        <v>0</v>
      </c>
      <c r="R205">
        <f>IF(BB204&lt;=0,0,IF(ROUND(BB204*(1+'Calc base'!P205),2)-MAX('Calc base'!K$12,ROUND('Calc base'!K$13*BB204,2))&lt;1,ROUND(BB204*(1+'Calc base'!P205),2),MAX('Calc base'!K$12,ROUND('Calc base'!K$13*BB204,2))))</f>
        <v>0</v>
      </c>
      <c r="S205">
        <f>IF(BC204&lt;=0,0,IF(ROUND(BC204*(1+'Calc base'!Q205),2)-MAX('Calc base'!L$12,ROUND('Calc base'!L$13*BC204,2))&lt;1,ROUND(BC204*(1+'Calc base'!Q205),2),MAX('Calc base'!L$12,ROUND('Calc base'!L$13*BC204,2))))</f>
        <v>0</v>
      </c>
      <c r="T205">
        <f>IF(BD204&lt;=0,0,IF(ROUND(BD204*(1+'Calc base'!R205),2)-MAX('Calc base'!M$12,ROUND('Calc base'!M$13*BD204,2))&lt;1,ROUND(BD204*(1+'Calc base'!R205),2),MAX('Calc base'!M$12,ROUND('Calc base'!M$13*BD204,2))))</f>
        <v>0</v>
      </c>
      <c r="U205">
        <f>IF(BE204&lt;=0,0,IF(ROUND(BE204*(1+'Calc base'!S205),2)-MAX('Calc base'!N$12,ROUND('Calc base'!N$13*BE204,2))&lt;1,ROUND(BE204*(1+'Calc base'!S205),2),MAX('Calc base'!N$12,ROUND('Calc base'!N$13*BE204,2))))</f>
        <v>0</v>
      </c>
      <c r="V205">
        <f>MAX(0,ROUND(AT204*(1+'Calc base'!H205),2)-J205-'Calc base'!T205)</f>
        <v>0</v>
      </c>
      <c r="W205">
        <f>MAX(0,ROUND(AU204*(1+'Calc base'!I205),2)-K205-'Calc base'!U205)</f>
        <v>0</v>
      </c>
      <c r="X205">
        <f>MAX(0,ROUND(AV204*(1+'Calc base'!J205),2)-L205-'Calc base'!V205)</f>
        <v>0</v>
      </c>
      <c r="Y205">
        <f>MAX(0,ROUND(AW204*(1+'Calc base'!K205),2)-M205-'Calc base'!W205)</f>
        <v>0</v>
      </c>
      <c r="Z205">
        <f>MAX(0,ROUND(AX204*(1+'Calc base'!L205),2)-N205-'Calc base'!X205)</f>
        <v>0</v>
      </c>
      <c r="AA205">
        <f>MAX(0,ROUND(AY204*(1+'Calc base'!M205),2)-O205-'Calc base'!Y205)</f>
        <v>0</v>
      </c>
      <c r="AB205">
        <f>MAX(0,ROUND(AZ204*(1+'Calc base'!N205),2)-P205-'Calc base'!Z205)</f>
        <v>0</v>
      </c>
      <c r="AC205">
        <f>MAX(0,ROUND(BA204*(1+'Calc base'!O205),2)-Q205-'Calc base'!AA205)</f>
        <v>0</v>
      </c>
      <c r="AD205">
        <f>MAX(0,ROUND(BB204*(1+'Calc base'!P205),2)-R205-'Calc base'!AB205)</f>
        <v>0</v>
      </c>
      <c r="AE205">
        <f>MAX(0,ROUND(BC204*(1+'Calc base'!Q205),2)-S205-'Calc base'!AC205)</f>
        <v>0</v>
      </c>
      <c r="AF205">
        <f>MAX(0,ROUND(BD204*(1+'Calc base'!R205),2)-T205-'Calc base'!AD205)</f>
        <v>0</v>
      </c>
      <c r="AG205">
        <f>MAX(0,ROUND(BE204*(1+'Calc base'!S205),2)-U205-'Calc base'!AE205)</f>
        <v>0</v>
      </c>
      <c r="AH205">
        <f>IF('Calc base'!C$14=0,0,MIN(V205,MAX(0,$E205-SUMPRODUCT($V205:$AG205,'Calc base'!$C$14:$N$14,('Calc base'!$H205:$S205&gt;'Calc base'!H205)+('Calc base'!$H205:$S205='Calc base'!H205)*('Calc base'!$C$17:$N$17&lt;'Calc base'!C$17)))))</f>
        <v>0</v>
      </c>
      <c r="AI205">
        <f>IF('Calc base'!D$14=0,0,MIN(W205,MAX(0,$E205-SUMPRODUCT($V205:$AG205,'Calc base'!$C$14:$N$14,('Calc base'!$H205:$S205&gt;'Calc base'!I205)+('Calc base'!$H205:$S205='Calc base'!I205)*('Calc base'!$C$17:$N$17&lt;'Calc base'!D$17)))))</f>
        <v>0</v>
      </c>
      <c r="AJ205">
        <f>IF('Calc base'!E$14=0,0,MIN(X205,MAX(0,$E205-SUMPRODUCT($V205:$AG205,'Calc base'!$C$14:$N$14,('Calc base'!$H205:$S205&gt;'Calc base'!J205)+('Calc base'!$H205:$S205='Calc base'!J205)*('Calc base'!$C$17:$N$17&lt;'Calc base'!E$17)))))</f>
        <v>0</v>
      </c>
      <c r="AK205">
        <f>IF('Calc base'!F$14=0,0,MIN(Y205,MAX(0,$E205-SUMPRODUCT($V205:$AG205,'Calc base'!$C$14:$N$14,('Calc base'!$H205:$S205&gt;'Calc base'!K205)+('Calc base'!$H205:$S205='Calc base'!K205)*('Calc base'!$C$17:$N$17&lt;'Calc base'!F$17)))))</f>
        <v>0</v>
      </c>
      <c r="AL205">
        <f>IF('Calc base'!G$14=0,0,MIN(Z205,MAX(0,$E205-SUMPRODUCT($V205:$AG205,'Calc base'!$C$14:$N$14,('Calc base'!$H205:$S205&gt;'Calc base'!L205)+('Calc base'!$H205:$S205='Calc base'!L205)*('Calc base'!$C$17:$N$17&lt;'Calc base'!G$17)))))</f>
        <v>0</v>
      </c>
      <c r="AM205">
        <f>IF('Calc base'!H$14=0,0,MIN(AA205,MAX(0,$E205-SUMPRODUCT($V205:$AG205,'Calc base'!$C$14:$N$14,('Calc base'!$H205:$S205&gt;'Calc base'!M205)+('Calc base'!$H205:$S205='Calc base'!M205)*('Calc base'!$C$17:$N$17&lt;'Calc base'!H$17)))))</f>
        <v>0</v>
      </c>
      <c r="AN205">
        <f>IF('Calc base'!I$14=0,0,MIN(AB205,MAX(0,$E205-SUMPRODUCT($V205:$AG205,'Calc base'!$C$14:$N$14,('Calc base'!$H205:$S205&gt;'Calc base'!N205)+('Calc base'!$H205:$S205='Calc base'!N205)*('Calc base'!$C$17:$N$17&lt;'Calc base'!I$17)))))</f>
        <v>0</v>
      </c>
      <c r="AO205">
        <f>IF('Calc base'!J$14=0,0,MIN(AC205,MAX(0,$E205-SUMPRODUCT($V205:$AG205,'Calc base'!$C$14:$N$14,('Calc base'!$H205:$S205&gt;'Calc base'!O205)+('Calc base'!$H205:$S205='Calc base'!O205)*('Calc base'!$C$17:$N$17&lt;'Calc base'!J$17)))))</f>
        <v>0</v>
      </c>
      <c r="AP205">
        <f>IF('Calc base'!K$14=0,0,MIN(AD205,MAX(0,$E205-SUMPRODUCT($V205:$AG205,'Calc base'!$C$14:$N$14,('Calc base'!$H205:$S205&gt;'Calc base'!P205)+('Calc base'!$H205:$S205='Calc base'!P205)*('Calc base'!$C$17:$N$17&lt;'Calc base'!K$17)))))</f>
        <v>0</v>
      </c>
      <c r="AQ205">
        <f>IF('Calc base'!L$14=0,0,MIN(AE205,MAX(0,$E205-SUMPRODUCT($V205:$AG205,'Calc base'!$C$14:$N$14,('Calc base'!$H205:$S205&gt;'Calc base'!Q205)+('Calc base'!$H205:$S205='Calc base'!Q205)*('Calc base'!$C$17:$N$17&lt;'Calc base'!L$17)))))</f>
        <v>0</v>
      </c>
      <c r="AR205">
        <f>IF('Calc base'!M$14=0,0,MIN(AF205,MAX(0,$E205-SUMPRODUCT($V205:$AG205,'Calc base'!$C$14:$N$14,('Calc base'!$H205:$S205&gt;'Calc base'!R205)+('Calc base'!$H205:$S205='Calc base'!R205)*('Calc base'!$C$17:$N$17&lt;'Calc base'!M$17)))))</f>
        <v>0</v>
      </c>
      <c r="AS205">
        <f>IF('Calc base'!N$14=0,0,MIN(AG205,MAX(0,$E205-SUMPRODUCT($V205:$AG205,'Calc base'!$C$14:$N$14,('Calc base'!$H205:$S205&gt;'Calc base'!S205)+('Calc base'!$H205:$S205='Calc base'!S205)*('Calc base'!$C$17:$N$17&lt;'Calc base'!N$17)))))</f>
        <v>0</v>
      </c>
      <c r="AT205">
        <f>V205-AH205</f>
        <v>0</v>
      </c>
      <c r="AU205">
        <f>W205-AI205</f>
        <v>0</v>
      </c>
      <c r="AV205">
        <f>X205-AJ205</f>
        <v>0</v>
      </c>
      <c r="AW205">
        <f>Y205-AK205</f>
        <v>0</v>
      </c>
      <c r="AX205">
        <f>Z205-AL205</f>
        <v>0</v>
      </c>
      <c r="AY205">
        <f>AA205-AM205</f>
        <v>0</v>
      </c>
      <c r="AZ205">
        <f>AB205-AN205</f>
        <v>0</v>
      </c>
      <c r="BA205">
        <f>AC205-AO205</f>
        <v>0</v>
      </c>
      <c r="BB205">
        <f>AD205-AP205</f>
        <v>0</v>
      </c>
      <c r="BC205">
        <f>AE205-AQ205</f>
        <v>0</v>
      </c>
      <c r="BD205">
        <f>AF205-AR205</f>
        <v>0</v>
      </c>
      <c r="BE205">
        <f>AG205-AS205</f>
        <v>0</v>
      </c>
    </row>
    <row r="206">
      <c r="A206" t="n">
        <v>176</v>
      </c>
      <c r="B206">
        <f>SUMPRODUCT(ROUND($AT205:$BE205*(1+'Calc base'!$H206:$S206),2))</f>
        <v>0</v>
      </c>
      <c r="C206">
        <f>SUM(J206:U206)</f>
        <v>0</v>
      </c>
      <c r="D206">
        <f>SUM(V206:AG206)</f>
        <v>0</v>
      </c>
      <c r="E206">
        <f>MAX(0,IF(Impostazioni!$B$7="No",'Calc base'!$C206-$C$31,'Calc base'!$C206-C206)+'Calc base'!$G206+'Calc base'!$F206-(B206-C206-D206))</f>
        <v>900</v>
      </c>
      <c r="F206">
        <f>SUM(AH206:AS206)</f>
        <v>0</v>
      </c>
      <c r="G206">
        <f>SUM(AT206:BE206)</f>
        <v>0</v>
      </c>
      <c r="H206">
        <f>B206-G205</f>
        <v>0</v>
      </c>
      <c r="I206">
        <f>B206-G206</f>
        <v>0</v>
      </c>
      <c r="J206">
        <f>IF(AT205&lt;=0,0,IF(ROUND(AT205*(1+'Calc base'!H206),2)-MAX('Calc base'!C$12,ROUND('Calc base'!C$13*AT205,2))&lt;1,ROUND(AT205*(1+'Calc base'!H206),2),MAX('Calc base'!C$12,ROUND('Calc base'!C$13*AT205,2))))</f>
        <v>0</v>
      </c>
      <c r="K206">
        <f>IF(AU205&lt;=0,0,IF(ROUND(AU205*(1+'Calc base'!I206),2)-MAX('Calc base'!D$12,ROUND('Calc base'!D$13*AU205,2))&lt;1,ROUND(AU205*(1+'Calc base'!I206),2),MAX('Calc base'!D$12,ROUND('Calc base'!D$13*AU205,2))))</f>
        <v>0</v>
      </c>
      <c r="L206">
        <f>IF(AV205&lt;=0,0,IF(ROUND(AV205*(1+'Calc base'!J206),2)-MAX('Calc base'!E$12,ROUND('Calc base'!E$13*AV205,2))&lt;1,ROUND(AV205*(1+'Calc base'!J206),2),MAX('Calc base'!E$12,ROUND('Calc base'!E$13*AV205,2))))</f>
        <v>0</v>
      </c>
      <c r="M206">
        <f>IF(AW205&lt;=0,0,IF(ROUND(AW205*(1+'Calc base'!K206),2)-MAX('Calc base'!F$12,ROUND('Calc base'!F$13*AW205,2))&lt;1,ROUND(AW205*(1+'Calc base'!K206),2),MAX('Calc base'!F$12,ROUND('Calc base'!F$13*AW205,2))))</f>
        <v>0</v>
      </c>
      <c r="N206">
        <f>IF(AX205&lt;=0,0,IF(ROUND(AX205*(1+'Calc base'!L206),2)-MAX('Calc base'!G$12,ROUND('Calc base'!G$13*AX205,2))&lt;1,ROUND(AX205*(1+'Calc base'!L206),2),MAX('Calc base'!G$12,ROUND('Calc base'!G$13*AX205,2))))</f>
        <v>0</v>
      </c>
      <c r="O206">
        <f>IF(AY205&lt;=0,0,IF(ROUND(AY205*(1+'Calc base'!M206),2)-MAX('Calc base'!H$12,ROUND('Calc base'!H$13*AY205,2))&lt;1,ROUND(AY205*(1+'Calc base'!M206),2),MAX('Calc base'!H$12,ROUND('Calc base'!H$13*AY205,2))))</f>
        <v>0</v>
      </c>
      <c r="P206">
        <f>IF(AZ205&lt;=0,0,IF(ROUND(AZ205*(1+'Calc base'!N206),2)-MAX('Calc base'!I$12,ROUND('Calc base'!I$13*AZ205,2))&lt;1,ROUND(AZ205*(1+'Calc base'!N206),2),MAX('Calc base'!I$12,ROUND('Calc base'!I$13*AZ205,2))))</f>
        <v>0</v>
      </c>
      <c r="Q206">
        <f>IF(BA205&lt;=0,0,IF(ROUND(BA205*(1+'Calc base'!O206),2)-MAX('Calc base'!J$12,ROUND('Calc base'!J$13*BA205,2))&lt;1,ROUND(BA205*(1+'Calc base'!O206),2),MAX('Calc base'!J$12,ROUND('Calc base'!J$13*BA205,2))))</f>
        <v>0</v>
      </c>
      <c r="R206">
        <f>IF(BB205&lt;=0,0,IF(ROUND(BB205*(1+'Calc base'!P206),2)-MAX('Calc base'!K$12,ROUND('Calc base'!K$13*BB205,2))&lt;1,ROUND(BB205*(1+'Calc base'!P206),2),MAX('Calc base'!K$12,ROUND('Calc base'!K$13*BB205,2))))</f>
        <v>0</v>
      </c>
      <c r="S206">
        <f>IF(BC205&lt;=0,0,IF(ROUND(BC205*(1+'Calc base'!Q206),2)-MAX('Calc base'!L$12,ROUND('Calc base'!L$13*BC205,2))&lt;1,ROUND(BC205*(1+'Calc base'!Q206),2),MAX('Calc base'!L$12,ROUND('Calc base'!L$13*BC205,2))))</f>
        <v>0</v>
      </c>
      <c r="T206">
        <f>IF(BD205&lt;=0,0,IF(ROUND(BD205*(1+'Calc base'!R206),2)-MAX('Calc base'!M$12,ROUND('Calc base'!M$13*BD205,2))&lt;1,ROUND(BD205*(1+'Calc base'!R206),2),MAX('Calc base'!M$12,ROUND('Calc base'!M$13*BD205,2))))</f>
        <v>0</v>
      </c>
      <c r="U206">
        <f>IF(BE205&lt;=0,0,IF(ROUND(BE205*(1+'Calc base'!S206),2)-MAX('Calc base'!N$12,ROUND('Calc base'!N$13*BE205,2))&lt;1,ROUND(BE205*(1+'Calc base'!S206),2),MAX('Calc base'!N$12,ROUND('Calc base'!N$13*BE205,2))))</f>
        <v>0</v>
      </c>
      <c r="V206">
        <f>MAX(0,ROUND(AT205*(1+'Calc base'!H206),2)-J206-'Calc base'!T206)</f>
        <v>0</v>
      </c>
      <c r="W206">
        <f>MAX(0,ROUND(AU205*(1+'Calc base'!I206),2)-K206-'Calc base'!U206)</f>
        <v>0</v>
      </c>
      <c r="X206">
        <f>MAX(0,ROUND(AV205*(1+'Calc base'!J206),2)-L206-'Calc base'!V206)</f>
        <v>0</v>
      </c>
      <c r="Y206">
        <f>MAX(0,ROUND(AW205*(1+'Calc base'!K206),2)-M206-'Calc base'!W206)</f>
        <v>0</v>
      </c>
      <c r="Z206">
        <f>MAX(0,ROUND(AX205*(1+'Calc base'!L206),2)-N206-'Calc base'!X206)</f>
        <v>0</v>
      </c>
      <c r="AA206">
        <f>MAX(0,ROUND(AY205*(1+'Calc base'!M206),2)-O206-'Calc base'!Y206)</f>
        <v>0</v>
      </c>
      <c r="AB206">
        <f>MAX(0,ROUND(AZ205*(1+'Calc base'!N206),2)-P206-'Calc base'!Z206)</f>
        <v>0</v>
      </c>
      <c r="AC206">
        <f>MAX(0,ROUND(BA205*(1+'Calc base'!O206),2)-Q206-'Calc base'!AA206)</f>
        <v>0</v>
      </c>
      <c r="AD206">
        <f>MAX(0,ROUND(BB205*(1+'Calc base'!P206),2)-R206-'Calc base'!AB206)</f>
        <v>0</v>
      </c>
      <c r="AE206">
        <f>MAX(0,ROUND(BC205*(1+'Calc base'!Q206),2)-S206-'Calc base'!AC206)</f>
        <v>0</v>
      </c>
      <c r="AF206">
        <f>MAX(0,ROUND(BD205*(1+'Calc base'!R206),2)-T206-'Calc base'!AD206)</f>
        <v>0</v>
      </c>
      <c r="AG206">
        <f>MAX(0,ROUND(BE205*(1+'Calc base'!S206),2)-U206-'Calc base'!AE206)</f>
        <v>0</v>
      </c>
      <c r="AH206">
        <f>IF('Calc base'!C$14=0,0,MIN(V206,MAX(0,$E206-SUMPRODUCT($V206:$AG206,'Calc base'!$C$14:$N$14,('Calc base'!$H206:$S206&gt;'Calc base'!H206)+('Calc base'!$H206:$S206='Calc base'!H206)*('Calc base'!$C$17:$N$17&lt;'Calc base'!C$17)))))</f>
        <v>0</v>
      </c>
      <c r="AI206">
        <f>IF('Calc base'!D$14=0,0,MIN(W206,MAX(0,$E206-SUMPRODUCT($V206:$AG206,'Calc base'!$C$14:$N$14,('Calc base'!$H206:$S206&gt;'Calc base'!I206)+('Calc base'!$H206:$S206='Calc base'!I206)*('Calc base'!$C$17:$N$17&lt;'Calc base'!D$17)))))</f>
        <v>0</v>
      </c>
      <c r="AJ206">
        <f>IF('Calc base'!E$14=0,0,MIN(X206,MAX(0,$E206-SUMPRODUCT($V206:$AG206,'Calc base'!$C$14:$N$14,('Calc base'!$H206:$S206&gt;'Calc base'!J206)+('Calc base'!$H206:$S206='Calc base'!J206)*('Calc base'!$C$17:$N$17&lt;'Calc base'!E$17)))))</f>
        <v>0</v>
      </c>
      <c r="AK206">
        <f>IF('Calc base'!F$14=0,0,MIN(Y206,MAX(0,$E206-SUMPRODUCT($V206:$AG206,'Calc base'!$C$14:$N$14,('Calc base'!$H206:$S206&gt;'Calc base'!K206)+('Calc base'!$H206:$S206='Calc base'!K206)*('Calc base'!$C$17:$N$17&lt;'Calc base'!F$17)))))</f>
        <v>0</v>
      </c>
      <c r="AL206">
        <f>IF('Calc base'!G$14=0,0,MIN(Z206,MAX(0,$E206-SUMPRODUCT($V206:$AG206,'Calc base'!$C$14:$N$14,('Calc base'!$H206:$S206&gt;'Calc base'!L206)+('Calc base'!$H206:$S206='Calc base'!L206)*('Calc base'!$C$17:$N$17&lt;'Calc base'!G$17)))))</f>
        <v>0</v>
      </c>
      <c r="AM206">
        <f>IF('Calc base'!H$14=0,0,MIN(AA206,MAX(0,$E206-SUMPRODUCT($V206:$AG206,'Calc base'!$C$14:$N$14,('Calc base'!$H206:$S206&gt;'Calc base'!M206)+('Calc base'!$H206:$S206='Calc base'!M206)*('Calc base'!$C$17:$N$17&lt;'Calc base'!H$17)))))</f>
        <v>0</v>
      </c>
      <c r="AN206">
        <f>IF('Calc base'!I$14=0,0,MIN(AB206,MAX(0,$E206-SUMPRODUCT($V206:$AG206,'Calc base'!$C$14:$N$14,('Calc base'!$H206:$S206&gt;'Calc base'!N206)+('Calc base'!$H206:$S206='Calc base'!N206)*('Calc base'!$C$17:$N$17&lt;'Calc base'!I$17)))))</f>
        <v>0</v>
      </c>
      <c r="AO206">
        <f>IF('Calc base'!J$14=0,0,MIN(AC206,MAX(0,$E206-SUMPRODUCT($V206:$AG206,'Calc base'!$C$14:$N$14,('Calc base'!$H206:$S206&gt;'Calc base'!O206)+('Calc base'!$H206:$S206='Calc base'!O206)*('Calc base'!$C$17:$N$17&lt;'Calc base'!J$17)))))</f>
        <v>0</v>
      </c>
      <c r="AP206">
        <f>IF('Calc base'!K$14=0,0,MIN(AD206,MAX(0,$E206-SUMPRODUCT($V206:$AG206,'Calc base'!$C$14:$N$14,('Calc base'!$H206:$S206&gt;'Calc base'!P206)+('Calc base'!$H206:$S206='Calc base'!P206)*('Calc base'!$C$17:$N$17&lt;'Calc base'!K$17)))))</f>
        <v>0</v>
      </c>
      <c r="AQ206">
        <f>IF('Calc base'!L$14=0,0,MIN(AE206,MAX(0,$E206-SUMPRODUCT($V206:$AG206,'Calc base'!$C$14:$N$14,('Calc base'!$H206:$S206&gt;'Calc base'!Q206)+('Calc base'!$H206:$S206='Calc base'!Q206)*('Calc base'!$C$17:$N$17&lt;'Calc base'!L$17)))))</f>
        <v>0</v>
      </c>
      <c r="AR206">
        <f>IF('Calc base'!M$14=0,0,MIN(AF206,MAX(0,$E206-SUMPRODUCT($V206:$AG206,'Calc base'!$C$14:$N$14,('Calc base'!$H206:$S206&gt;'Calc base'!R206)+('Calc base'!$H206:$S206='Calc base'!R206)*('Calc base'!$C$17:$N$17&lt;'Calc base'!M$17)))))</f>
        <v>0</v>
      </c>
      <c r="AS206">
        <f>IF('Calc base'!N$14=0,0,MIN(AG206,MAX(0,$E206-SUMPRODUCT($V206:$AG206,'Calc base'!$C$14:$N$14,('Calc base'!$H206:$S206&gt;'Calc base'!S206)+('Calc base'!$H206:$S206='Calc base'!S206)*('Calc base'!$C$17:$N$17&lt;'Calc base'!N$17)))))</f>
        <v>0</v>
      </c>
      <c r="AT206">
        <f>V206-AH206</f>
        <v>0</v>
      </c>
      <c r="AU206">
        <f>W206-AI206</f>
        <v>0</v>
      </c>
      <c r="AV206">
        <f>X206-AJ206</f>
        <v>0</v>
      </c>
      <c r="AW206">
        <f>Y206-AK206</f>
        <v>0</v>
      </c>
      <c r="AX206">
        <f>Z206-AL206</f>
        <v>0</v>
      </c>
      <c r="AY206">
        <f>AA206-AM206</f>
        <v>0</v>
      </c>
      <c r="AZ206">
        <f>AB206-AN206</f>
        <v>0</v>
      </c>
      <c r="BA206">
        <f>AC206-AO206</f>
        <v>0</v>
      </c>
      <c r="BB206">
        <f>AD206-AP206</f>
        <v>0</v>
      </c>
      <c r="BC206">
        <f>AE206-AQ206</f>
        <v>0</v>
      </c>
      <c r="BD206">
        <f>AF206-AR206</f>
        <v>0</v>
      </c>
      <c r="BE206">
        <f>AG206-AS206</f>
        <v>0</v>
      </c>
    </row>
    <row r="207">
      <c r="A207" t="n">
        <v>177</v>
      </c>
      <c r="B207">
        <f>SUMPRODUCT(ROUND($AT206:$BE206*(1+'Calc base'!$H207:$S207),2))</f>
        <v>0</v>
      </c>
      <c r="C207">
        <f>SUM(J207:U207)</f>
        <v>0</v>
      </c>
      <c r="D207">
        <f>SUM(V207:AG207)</f>
        <v>0</v>
      </c>
      <c r="E207">
        <f>MAX(0,IF(Impostazioni!$B$7="No",'Calc base'!$C207-$C$31,'Calc base'!$C207-C207)+'Calc base'!$G207+'Calc base'!$F207-(B207-C207-D207))</f>
        <v>900</v>
      </c>
      <c r="F207">
        <f>SUM(AH207:AS207)</f>
        <v>0</v>
      </c>
      <c r="G207">
        <f>SUM(AT207:BE207)</f>
        <v>0</v>
      </c>
      <c r="H207">
        <f>B207-G206</f>
        <v>0</v>
      </c>
      <c r="I207">
        <f>B207-G207</f>
        <v>0</v>
      </c>
      <c r="J207">
        <f>IF(AT206&lt;=0,0,IF(ROUND(AT206*(1+'Calc base'!H207),2)-MAX('Calc base'!C$12,ROUND('Calc base'!C$13*AT206,2))&lt;1,ROUND(AT206*(1+'Calc base'!H207),2),MAX('Calc base'!C$12,ROUND('Calc base'!C$13*AT206,2))))</f>
        <v>0</v>
      </c>
      <c r="K207">
        <f>IF(AU206&lt;=0,0,IF(ROUND(AU206*(1+'Calc base'!I207),2)-MAX('Calc base'!D$12,ROUND('Calc base'!D$13*AU206,2))&lt;1,ROUND(AU206*(1+'Calc base'!I207),2),MAX('Calc base'!D$12,ROUND('Calc base'!D$13*AU206,2))))</f>
        <v>0</v>
      </c>
      <c r="L207">
        <f>IF(AV206&lt;=0,0,IF(ROUND(AV206*(1+'Calc base'!J207),2)-MAX('Calc base'!E$12,ROUND('Calc base'!E$13*AV206,2))&lt;1,ROUND(AV206*(1+'Calc base'!J207),2),MAX('Calc base'!E$12,ROUND('Calc base'!E$13*AV206,2))))</f>
        <v>0</v>
      </c>
      <c r="M207">
        <f>IF(AW206&lt;=0,0,IF(ROUND(AW206*(1+'Calc base'!K207),2)-MAX('Calc base'!F$12,ROUND('Calc base'!F$13*AW206,2))&lt;1,ROUND(AW206*(1+'Calc base'!K207),2),MAX('Calc base'!F$12,ROUND('Calc base'!F$13*AW206,2))))</f>
        <v>0</v>
      </c>
      <c r="N207">
        <f>IF(AX206&lt;=0,0,IF(ROUND(AX206*(1+'Calc base'!L207),2)-MAX('Calc base'!G$12,ROUND('Calc base'!G$13*AX206,2))&lt;1,ROUND(AX206*(1+'Calc base'!L207),2),MAX('Calc base'!G$12,ROUND('Calc base'!G$13*AX206,2))))</f>
        <v>0</v>
      </c>
      <c r="O207">
        <f>IF(AY206&lt;=0,0,IF(ROUND(AY206*(1+'Calc base'!M207),2)-MAX('Calc base'!H$12,ROUND('Calc base'!H$13*AY206,2))&lt;1,ROUND(AY206*(1+'Calc base'!M207),2),MAX('Calc base'!H$12,ROUND('Calc base'!H$13*AY206,2))))</f>
        <v>0</v>
      </c>
      <c r="P207">
        <f>IF(AZ206&lt;=0,0,IF(ROUND(AZ206*(1+'Calc base'!N207),2)-MAX('Calc base'!I$12,ROUND('Calc base'!I$13*AZ206,2))&lt;1,ROUND(AZ206*(1+'Calc base'!N207),2),MAX('Calc base'!I$12,ROUND('Calc base'!I$13*AZ206,2))))</f>
        <v>0</v>
      </c>
      <c r="Q207">
        <f>IF(BA206&lt;=0,0,IF(ROUND(BA206*(1+'Calc base'!O207),2)-MAX('Calc base'!J$12,ROUND('Calc base'!J$13*BA206,2))&lt;1,ROUND(BA206*(1+'Calc base'!O207),2),MAX('Calc base'!J$12,ROUND('Calc base'!J$13*BA206,2))))</f>
        <v>0</v>
      </c>
      <c r="R207">
        <f>IF(BB206&lt;=0,0,IF(ROUND(BB206*(1+'Calc base'!P207),2)-MAX('Calc base'!K$12,ROUND('Calc base'!K$13*BB206,2))&lt;1,ROUND(BB206*(1+'Calc base'!P207),2),MAX('Calc base'!K$12,ROUND('Calc base'!K$13*BB206,2))))</f>
        <v>0</v>
      </c>
      <c r="S207">
        <f>IF(BC206&lt;=0,0,IF(ROUND(BC206*(1+'Calc base'!Q207),2)-MAX('Calc base'!L$12,ROUND('Calc base'!L$13*BC206,2))&lt;1,ROUND(BC206*(1+'Calc base'!Q207),2),MAX('Calc base'!L$12,ROUND('Calc base'!L$13*BC206,2))))</f>
        <v>0</v>
      </c>
      <c r="T207">
        <f>IF(BD206&lt;=0,0,IF(ROUND(BD206*(1+'Calc base'!R207),2)-MAX('Calc base'!M$12,ROUND('Calc base'!M$13*BD206,2))&lt;1,ROUND(BD206*(1+'Calc base'!R207),2),MAX('Calc base'!M$12,ROUND('Calc base'!M$13*BD206,2))))</f>
        <v>0</v>
      </c>
      <c r="U207">
        <f>IF(BE206&lt;=0,0,IF(ROUND(BE206*(1+'Calc base'!S207),2)-MAX('Calc base'!N$12,ROUND('Calc base'!N$13*BE206,2))&lt;1,ROUND(BE206*(1+'Calc base'!S207),2),MAX('Calc base'!N$12,ROUND('Calc base'!N$13*BE206,2))))</f>
        <v>0</v>
      </c>
      <c r="V207">
        <f>MAX(0,ROUND(AT206*(1+'Calc base'!H207),2)-J207-'Calc base'!T207)</f>
        <v>0</v>
      </c>
      <c r="W207">
        <f>MAX(0,ROUND(AU206*(1+'Calc base'!I207),2)-K207-'Calc base'!U207)</f>
        <v>0</v>
      </c>
      <c r="X207">
        <f>MAX(0,ROUND(AV206*(1+'Calc base'!J207),2)-L207-'Calc base'!V207)</f>
        <v>0</v>
      </c>
      <c r="Y207">
        <f>MAX(0,ROUND(AW206*(1+'Calc base'!K207),2)-M207-'Calc base'!W207)</f>
        <v>0</v>
      </c>
      <c r="Z207">
        <f>MAX(0,ROUND(AX206*(1+'Calc base'!L207),2)-N207-'Calc base'!X207)</f>
        <v>0</v>
      </c>
      <c r="AA207">
        <f>MAX(0,ROUND(AY206*(1+'Calc base'!M207),2)-O207-'Calc base'!Y207)</f>
        <v>0</v>
      </c>
      <c r="AB207">
        <f>MAX(0,ROUND(AZ206*(1+'Calc base'!N207),2)-P207-'Calc base'!Z207)</f>
        <v>0</v>
      </c>
      <c r="AC207">
        <f>MAX(0,ROUND(BA206*(1+'Calc base'!O207),2)-Q207-'Calc base'!AA207)</f>
        <v>0</v>
      </c>
      <c r="AD207">
        <f>MAX(0,ROUND(BB206*(1+'Calc base'!P207),2)-R207-'Calc base'!AB207)</f>
        <v>0</v>
      </c>
      <c r="AE207">
        <f>MAX(0,ROUND(BC206*(1+'Calc base'!Q207),2)-S207-'Calc base'!AC207)</f>
        <v>0</v>
      </c>
      <c r="AF207">
        <f>MAX(0,ROUND(BD206*(1+'Calc base'!R207),2)-T207-'Calc base'!AD207)</f>
        <v>0</v>
      </c>
      <c r="AG207">
        <f>MAX(0,ROUND(BE206*(1+'Calc base'!S207),2)-U207-'Calc base'!AE207)</f>
        <v>0</v>
      </c>
      <c r="AH207">
        <f>IF('Calc base'!C$14=0,0,MIN(V207,MAX(0,$E207-SUMPRODUCT($V207:$AG207,'Calc base'!$C$14:$N$14,('Calc base'!$H207:$S207&gt;'Calc base'!H207)+('Calc base'!$H207:$S207='Calc base'!H207)*('Calc base'!$C$17:$N$17&lt;'Calc base'!C$17)))))</f>
        <v>0</v>
      </c>
      <c r="AI207">
        <f>IF('Calc base'!D$14=0,0,MIN(W207,MAX(0,$E207-SUMPRODUCT($V207:$AG207,'Calc base'!$C$14:$N$14,('Calc base'!$H207:$S207&gt;'Calc base'!I207)+('Calc base'!$H207:$S207='Calc base'!I207)*('Calc base'!$C$17:$N$17&lt;'Calc base'!D$17)))))</f>
        <v>0</v>
      </c>
      <c r="AJ207">
        <f>IF('Calc base'!E$14=0,0,MIN(X207,MAX(0,$E207-SUMPRODUCT($V207:$AG207,'Calc base'!$C$14:$N$14,('Calc base'!$H207:$S207&gt;'Calc base'!J207)+('Calc base'!$H207:$S207='Calc base'!J207)*('Calc base'!$C$17:$N$17&lt;'Calc base'!E$17)))))</f>
        <v>0</v>
      </c>
      <c r="AK207">
        <f>IF('Calc base'!F$14=0,0,MIN(Y207,MAX(0,$E207-SUMPRODUCT($V207:$AG207,'Calc base'!$C$14:$N$14,('Calc base'!$H207:$S207&gt;'Calc base'!K207)+('Calc base'!$H207:$S207='Calc base'!K207)*('Calc base'!$C$17:$N$17&lt;'Calc base'!F$17)))))</f>
        <v>0</v>
      </c>
      <c r="AL207">
        <f>IF('Calc base'!G$14=0,0,MIN(Z207,MAX(0,$E207-SUMPRODUCT($V207:$AG207,'Calc base'!$C$14:$N$14,('Calc base'!$H207:$S207&gt;'Calc base'!L207)+('Calc base'!$H207:$S207='Calc base'!L207)*('Calc base'!$C$17:$N$17&lt;'Calc base'!G$17)))))</f>
        <v>0</v>
      </c>
      <c r="AM207">
        <f>IF('Calc base'!H$14=0,0,MIN(AA207,MAX(0,$E207-SUMPRODUCT($V207:$AG207,'Calc base'!$C$14:$N$14,('Calc base'!$H207:$S207&gt;'Calc base'!M207)+('Calc base'!$H207:$S207='Calc base'!M207)*('Calc base'!$C$17:$N$17&lt;'Calc base'!H$17)))))</f>
        <v>0</v>
      </c>
      <c r="AN207">
        <f>IF('Calc base'!I$14=0,0,MIN(AB207,MAX(0,$E207-SUMPRODUCT($V207:$AG207,'Calc base'!$C$14:$N$14,('Calc base'!$H207:$S207&gt;'Calc base'!N207)+('Calc base'!$H207:$S207='Calc base'!N207)*('Calc base'!$C$17:$N$17&lt;'Calc base'!I$17)))))</f>
        <v>0</v>
      </c>
      <c r="AO207">
        <f>IF('Calc base'!J$14=0,0,MIN(AC207,MAX(0,$E207-SUMPRODUCT($V207:$AG207,'Calc base'!$C$14:$N$14,('Calc base'!$H207:$S207&gt;'Calc base'!O207)+('Calc base'!$H207:$S207='Calc base'!O207)*('Calc base'!$C$17:$N$17&lt;'Calc base'!J$17)))))</f>
        <v>0</v>
      </c>
      <c r="AP207">
        <f>IF('Calc base'!K$14=0,0,MIN(AD207,MAX(0,$E207-SUMPRODUCT($V207:$AG207,'Calc base'!$C$14:$N$14,('Calc base'!$H207:$S207&gt;'Calc base'!P207)+('Calc base'!$H207:$S207='Calc base'!P207)*('Calc base'!$C$17:$N$17&lt;'Calc base'!K$17)))))</f>
        <v>0</v>
      </c>
      <c r="AQ207">
        <f>IF('Calc base'!L$14=0,0,MIN(AE207,MAX(0,$E207-SUMPRODUCT($V207:$AG207,'Calc base'!$C$14:$N$14,('Calc base'!$H207:$S207&gt;'Calc base'!Q207)+('Calc base'!$H207:$S207='Calc base'!Q207)*('Calc base'!$C$17:$N$17&lt;'Calc base'!L$17)))))</f>
        <v>0</v>
      </c>
      <c r="AR207">
        <f>IF('Calc base'!M$14=0,0,MIN(AF207,MAX(0,$E207-SUMPRODUCT($V207:$AG207,'Calc base'!$C$14:$N$14,('Calc base'!$H207:$S207&gt;'Calc base'!R207)+('Calc base'!$H207:$S207='Calc base'!R207)*('Calc base'!$C$17:$N$17&lt;'Calc base'!M$17)))))</f>
        <v>0</v>
      </c>
      <c r="AS207">
        <f>IF('Calc base'!N$14=0,0,MIN(AG207,MAX(0,$E207-SUMPRODUCT($V207:$AG207,'Calc base'!$C$14:$N$14,('Calc base'!$H207:$S207&gt;'Calc base'!S207)+('Calc base'!$H207:$S207='Calc base'!S207)*('Calc base'!$C$17:$N$17&lt;'Calc base'!N$17)))))</f>
        <v>0</v>
      </c>
      <c r="AT207">
        <f>V207-AH207</f>
        <v>0</v>
      </c>
      <c r="AU207">
        <f>W207-AI207</f>
        <v>0</v>
      </c>
      <c r="AV207">
        <f>X207-AJ207</f>
        <v>0</v>
      </c>
      <c r="AW207">
        <f>Y207-AK207</f>
        <v>0</v>
      </c>
      <c r="AX207">
        <f>Z207-AL207</f>
        <v>0</v>
      </c>
      <c r="AY207">
        <f>AA207-AM207</f>
        <v>0</v>
      </c>
      <c r="AZ207">
        <f>AB207-AN207</f>
        <v>0</v>
      </c>
      <c r="BA207">
        <f>AC207-AO207</f>
        <v>0</v>
      </c>
      <c r="BB207">
        <f>AD207-AP207</f>
        <v>0</v>
      </c>
      <c r="BC207">
        <f>AE207-AQ207</f>
        <v>0</v>
      </c>
      <c r="BD207">
        <f>AF207-AR207</f>
        <v>0</v>
      </c>
      <c r="BE207">
        <f>AG207-AS207</f>
        <v>0</v>
      </c>
    </row>
    <row r="208">
      <c r="A208" t="n">
        <v>178</v>
      </c>
      <c r="B208">
        <f>SUMPRODUCT(ROUND($AT207:$BE207*(1+'Calc base'!$H208:$S208),2))</f>
        <v>0</v>
      </c>
      <c r="C208">
        <f>SUM(J208:U208)</f>
        <v>0</v>
      </c>
      <c r="D208">
        <f>SUM(V208:AG208)</f>
        <v>0</v>
      </c>
      <c r="E208">
        <f>MAX(0,IF(Impostazioni!$B$7="No",'Calc base'!$C208-$C$31,'Calc base'!$C208-C208)+'Calc base'!$G208+'Calc base'!$F208-(B208-C208-D208))</f>
        <v>900</v>
      </c>
      <c r="F208">
        <f>SUM(AH208:AS208)</f>
        <v>0</v>
      </c>
      <c r="G208">
        <f>SUM(AT208:BE208)</f>
        <v>0</v>
      </c>
      <c r="H208">
        <f>B208-G207</f>
        <v>0</v>
      </c>
      <c r="I208">
        <f>B208-G208</f>
        <v>0</v>
      </c>
      <c r="J208">
        <f>IF(AT207&lt;=0,0,IF(ROUND(AT207*(1+'Calc base'!H208),2)-MAX('Calc base'!C$12,ROUND('Calc base'!C$13*AT207,2))&lt;1,ROUND(AT207*(1+'Calc base'!H208),2),MAX('Calc base'!C$12,ROUND('Calc base'!C$13*AT207,2))))</f>
        <v>0</v>
      </c>
      <c r="K208">
        <f>IF(AU207&lt;=0,0,IF(ROUND(AU207*(1+'Calc base'!I208),2)-MAX('Calc base'!D$12,ROUND('Calc base'!D$13*AU207,2))&lt;1,ROUND(AU207*(1+'Calc base'!I208),2),MAX('Calc base'!D$12,ROUND('Calc base'!D$13*AU207,2))))</f>
        <v>0</v>
      </c>
      <c r="L208">
        <f>IF(AV207&lt;=0,0,IF(ROUND(AV207*(1+'Calc base'!J208),2)-MAX('Calc base'!E$12,ROUND('Calc base'!E$13*AV207,2))&lt;1,ROUND(AV207*(1+'Calc base'!J208),2),MAX('Calc base'!E$12,ROUND('Calc base'!E$13*AV207,2))))</f>
        <v>0</v>
      </c>
      <c r="M208">
        <f>IF(AW207&lt;=0,0,IF(ROUND(AW207*(1+'Calc base'!K208),2)-MAX('Calc base'!F$12,ROUND('Calc base'!F$13*AW207,2))&lt;1,ROUND(AW207*(1+'Calc base'!K208),2),MAX('Calc base'!F$12,ROUND('Calc base'!F$13*AW207,2))))</f>
        <v>0</v>
      </c>
      <c r="N208">
        <f>IF(AX207&lt;=0,0,IF(ROUND(AX207*(1+'Calc base'!L208),2)-MAX('Calc base'!G$12,ROUND('Calc base'!G$13*AX207,2))&lt;1,ROUND(AX207*(1+'Calc base'!L208),2),MAX('Calc base'!G$12,ROUND('Calc base'!G$13*AX207,2))))</f>
        <v>0</v>
      </c>
      <c r="O208">
        <f>IF(AY207&lt;=0,0,IF(ROUND(AY207*(1+'Calc base'!M208),2)-MAX('Calc base'!H$12,ROUND('Calc base'!H$13*AY207,2))&lt;1,ROUND(AY207*(1+'Calc base'!M208),2),MAX('Calc base'!H$12,ROUND('Calc base'!H$13*AY207,2))))</f>
        <v>0</v>
      </c>
      <c r="P208">
        <f>IF(AZ207&lt;=0,0,IF(ROUND(AZ207*(1+'Calc base'!N208),2)-MAX('Calc base'!I$12,ROUND('Calc base'!I$13*AZ207,2))&lt;1,ROUND(AZ207*(1+'Calc base'!N208),2),MAX('Calc base'!I$12,ROUND('Calc base'!I$13*AZ207,2))))</f>
        <v>0</v>
      </c>
      <c r="Q208">
        <f>IF(BA207&lt;=0,0,IF(ROUND(BA207*(1+'Calc base'!O208),2)-MAX('Calc base'!J$12,ROUND('Calc base'!J$13*BA207,2))&lt;1,ROUND(BA207*(1+'Calc base'!O208),2),MAX('Calc base'!J$12,ROUND('Calc base'!J$13*BA207,2))))</f>
        <v>0</v>
      </c>
      <c r="R208">
        <f>IF(BB207&lt;=0,0,IF(ROUND(BB207*(1+'Calc base'!P208),2)-MAX('Calc base'!K$12,ROUND('Calc base'!K$13*BB207,2))&lt;1,ROUND(BB207*(1+'Calc base'!P208),2),MAX('Calc base'!K$12,ROUND('Calc base'!K$13*BB207,2))))</f>
        <v>0</v>
      </c>
      <c r="S208">
        <f>IF(BC207&lt;=0,0,IF(ROUND(BC207*(1+'Calc base'!Q208),2)-MAX('Calc base'!L$12,ROUND('Calc base'!L$13*BC207,2))&lt;1,ROUND(BC207*(1+'Calc base'!Q208),2),MAX('Calc base'!L$12,ROUND('Calc base'!L$13*BC207,2))))</f>
        <v>0</v>
      </c>
      <c r="T208">
        <f>IF(BD207&lt;=0,0,IF(ROUND(BD207*(1+'Calc base'!R208),2)-MAX('Calc base'!M$12,ROUND('Calc base'!M$13*BD207,2))&lt;1,ROUND(BD207*(1+'Calc base'!R208),2),MAX('Calc base'!M$12,ROUND('Calc base'!M$13*BD207,2))))</f>
        <v>0</v>
      </c>
      <c r="U208">
        <f>IF(BE207&lt;=0,0,IF(ROUND(BE207*(1+'Calc base'!S208),2)-MAX('Calc base'!N$12,ROUND('Calc base'!N$13*BE207,2))&lt;1,ROUND(BE207*(1+'Calc base'!S208),2),MAX('Calc base'!N$12,ROUND('Calc base'!N$13*BE207,2))))</f>
        <v>0</v>
      </c>
      <c r="V208">
        <f>MAX(0,ROUND(AT207*(1+'Calc base'!H208),2)-J208-'Calc base'!T208)</f>
        <v>0</v>
      </c>
      <c r="W208">
        <f>MAX(0,ROUND(AU207*(1+'Calc base'!I208),2)-K208-'Calc base'!U208)</f>
        <v>0</v>
      </c>
      <c r="X208">
        <f>MAX(0,ROUND(AV207*(1+'Calc base'!J208),2)-L208-'Calc base'!V208)</f>
        <v>0</v>
      </c>
      <c r="Y208">
        <f>MAX(0,ROUND(AW207*(1+'Calc base'!K208),2)-M208-'Calc base'!W208)</f>
        <v>0</v>
      </c>
      <c r="Z208">
        <f>MAX(0,ROUND(AX207*(1+'Calc base'!L208),2)-N208-'Calc base'!X208)</f>
        <v>0</v>
      </c>
      <c r="AA208">
        <f>MAX(0,ROUND(AY207*(1+'Calc base'!M208),2)-O208-'Calc base'!Y208)</f>
        <v>0</v>
      </c>
      <c r="AB208">
        <f>MAX(0,ROUND(AZ207*(1+'Calc base'!N208),2)-P208-'Calc base'!Z208)</f>
        <v>0</v>
      </c>
      <c r="AC208">
        <f>MAX(0,ROUND(BA207*(1+'Calc base'!O208),2)-Q208-'Calc base'!AA208)</f>
        <v>0</v>
      </c>
      <c r="AD208">
        <f>MAX(0,ROUND(BB207*(1+'Calc base'!P208),2)-R208-'Calc base'!AB208)</f>
        <v>0</v>
      </c>
      <c r="AE208">
        <f>MAX(0,ROUND(BC207*(1+'Calc base'!Q208),2)-S208-'Calc base'!AC208)</f>
        <v>0</v>
      </c>
      <c r="AF208">
        <f>MAX(0,ROUND(BD207*(1+'Calc base'!R208),2)-T208-'Calc base'!AD208)</f>
        <v>0</v>
      </c>
      <c r="AG208">
        <f>MAX(0,ROUND(BE207*(1+'Calc base'!S208),2)-U208-'Calc base'!AE208)</f>
        <v>0</v>
      </c>
      <c r="AH208">
        <f>IF('Calc base'!C$14=0,0,MIN(V208,MAX(0,$E208-SUMPRODUCT($V208:$AG208,'Calc base'!$C$14:$N$14,('Calc base'!$H208:$S208&gt;'Calc base'!H208)+('Calc base'!$H208:$S208='Calc base'!H208)*('Calc base'!$C$17:$N$17&lt;'Calc base'!C$17)))))</f>
        <v>0</v>
      </c>
      <c r="AI208">
        <f>IF('Calc base'!D$14=0,0,MIN(W208,MAX(0,$E208-SUMPRODUCT($V208:$AG208,'Calc base'!$C$14:$N$14,('Calc base'!$H208:$S208&gt;'Calc base'!I208)+('Calc base'!$H208:$S208='Calc base'!I208)*('Calc base'!$C$17:$N$17&lt;'Calc base'!D$17)))))</f>
        <v>0</v>
      </c>
      <c r="AJ208">
        <f>IF('Calc base'!E$14=0,0,MIN(X208,MAX(0,$E208-SUMPRODUCT($V208:$AG208,'Calc base'!$C$14:$N$14,('Calc base'!$H208:$S208&gt;'Calc base'!J208)+('Calc base'!$H208:$S208='Calc base'!J208)*('Calc base'!$C$17:$N$17&lt;'Calc base'!E$17)))))</f>
        <v>0</v>
      </c>
      <c r="AK208">
        <f>IF('Calc base'!F$14=0,0,MIN(Y208,MAX(0,$E208-SUMPRODUCT($V208:$AG208,'Calc base'!$C$14:$N$14,('Calc base'!$H208:$S208&gt;'Calc base'!K208)+('Calc base'!$H208:$S208='Calc base'!K208)*('Calc base'!$C$17:$N$17&lt;'Calc base'!F$17)))))</f>
        <v>0</v>
      </c>
      <c r="AL208">
        <f>IF('Calc base'!G$14=0,0,MIN(Z208,MAX(0,$E208-SUMPRODUCT($V208:$AG208,'Calc base'!$C$14:$N$14,('Calc base'!$H208:$S208&gt;'Calc base'!L208)+('Calc base'!$H208:$S208='Calc base'!L208)*('Calc base'!$C$17:$N$17&lt;'Calc base'!G$17)))))</f>
        <v>0</v>
      </c>
      <c r="AM208">
        <f>IF('Calc base'!H$14=0,0,MIN(AA208,MAX(0,$E208-SUMPRODUCT($V208:$AG208,'Calc base'!$C$14:$N$14,('Calc base'!$H208:$S208&gt;'Calc base'!M208)+('Calc base'!$H208:$S208='Calc base'!M208)*('Calc base'!$C$17:$N$17&lt;'Calc base'!H$17)))))</f>
        <v>0</v>
      </c>
      <c r="AN208">
        <f>IF('Calc base'!I$14=0,0,MIN(AB208,MAX(0,$E208-SUMPRODUCT($V208:$AG208,'Calc base'!$C$14:$N$14,('Calc base'!$H208:$S208&gt;'Calc base'!N208)+('Calc base'!$H208:$S208='Calc base'!N208)*('Calc base'!$C$17:$N$17&lt;'Calc base'!I$17)))))</f>
        <v>0</v>
      </c>
      <c r="AO208">
        <f>IF('Calc base'!J$14=0,0,MIN(AC208,MAX(0,$E208-SUMPRODUCT($V208:$AG208,'Calc base'!$C$14:$N$14,('Calc base'!$H208:$S208&gt;'Calc base'!O208)+('Calc base'!$H208:$S208='Calc base'!O208)*('Calc base'!$C$17:$N$17&lt;'Calc base'!J$17)))))</f>
        <v>0</v>
      </c>
      <c r="AP208">
        <f>IF('Calc base'!K$14=0,0,MIN(AD208,MAX(0,$E208-SUMPRODUCT($V208:$AG208,'Calc base'!$C$14:$N$14,('Calc base'!$H208:$S208&gt;'Calc base'!P208)+('Calc base'!$H208:$S208='Calc base'!P208)*('Calc base'!$C$17:$N$17&lt;'Calc base'!K$17)))))</f>
        <v>0</v>
      </c>
      <c r="AQ208">
        <f>IF('Calc base'!L$14=0,0,MIN(AE208,MAX(0,$E208-SUMPRODUCT($V208:$AG208,'Calc base'!$C$14:$N$14,('Calc base'!$H208:$S208&gt;'Calc base'!Q208)+('Calc base'!$H208:$S208='Calc base'!Q208)*('Calc base'!$C$17:$N$17&lt;'Calc base'!L$17)))))</f>
        <v>0</v>
      </c>
      <c r="AR208">
        <f>IF('Calc base'!M$14=0,0,MIN(AF208,MAX(0,$E208-SUMPRODUCT($V208:$AG208,'Calc base'!$C$14:$N$14,('Calc base'!$H208:$S208&gt;'Calc base'!R208)+('Calc base'!$H208:$S208='Calc base'!R208)*('Calc base'!$C$17:$N$17&lt;'Calc base'!M$17)))))</f>
        <v>0</v>
      </c>
      <c r="AS208">
        <f>IF('Calc base'!N$14=0,0,MIN(AG208,MAX(0,$E208-SUMPRODUCT($V208:$AG208,'Calc base'!$C$14:$N$14,('Calc base'!$H208:$S208&gt;'Calc base'!S208)+('Calc base'!$H208:$S208='Calc base'!S208)*('Calc base'!$C$17:$N$17&lt;'Calc base'!N$17)))))</f>
        <v>0</v>
      </c>
      <c r="AT208">
        <f>V208-AH208</f>
        <v>0</v>
      </c>
      <c r="AU208">
        <f>W208-AI208</f>
        <v>0</v>
      </c>
      <c r="AV208">
        <f>X208-AJ208</f>
        <v>0</v>
      </c>
      <c r="AW208">
        <f>Y208-AK208</f>
        <v>0</v>
      </c>
      <c r="AX208">
        <f>Z208-AL208</f>
        <v>0</v>
      </c>
      <c r="AY208">
        <f>AA208-AM208</f>
        <v>0</v>
      </c>
      <c r="AZ208">
        <f>AB208-AN208</f>
        <v>0</v>
      </c>
      <c r="BA208">
        <f>AC208-AO208</f>
        <v>0</v>
      </c>
      <c r="BB208">
        <f>AD208-AP208</f>
        <v>0</v>
      </c>
      <c r="BC208">
        <f>AE208-AQ208</f>
        <v>0</v>
      </c>
      <c r="BD208">
        <f>AF208-AR208</f>
        <v>0</v>
      </c>
      <c r="BE208">
        <f>AG208-AS208</f>
        <v>0</v>
      </c>
    </row>
    <row r="209">
      <c r="A209" t="n">
        <v>179</v>
      </c>
      <c r="B209">
        <f>SUMPRODUCT(ROUND($AT208:$BE208*(1+'Calc base'!$H209:$S209),2))</f>
        <v>0</v>
      </c>
      <c r="C209">
        <f>SUM(J209:U209)</f>
        <v>0</v>
      </c>
      <c r="D209">
        <f>SUM(V209:AG209)</f>
        <v>0</v>
      </c>
      <c r="E209">
        <f>MAX(0,IF(Impostazioni!$B$7="No",'Calc base'!$C209-$C$31,'Calc base'!$C209-C209)+'Calc base'!$G209+'Calc base'!$F209-(B209-C209-D209))</f>
        <v>900</v>
      </c>
      <c r="F209">
        <f>SUM(AH209:AS209)</f>
        <v>0</v>
      </c>
      <c r="G209">
        <f>SUM(AT209:BE209)</f>
        <v>0</v>
      </c>
      <c r="H209">
        <f>B209-G208</f>
        <v>0</v>
      </c>
      <c r="I209">
        <f>B209-G209</f>
        <v>0</v>
      </c>
      <c r="J209">
        <f>IF(AT208&lt;=0,0,IF(ROUND(AT208*(1+'Calc base'!H209),2)-MAX('Calc base'!C$12,ROUND('Calc base'!C$13*AT208,2))&lt;1,ROUND(AT208*(1+'Calc base'!H209),2),MAX('Calc base'!C$12,ROUND('Calc base'!C$13*AT208,2))))</f>
        <v>0</v>
      </c>
      <c r="K209">
        <f>IF(AU208&lt;=0,0,IF(ROUND(AU208*(1+'Calc base'!I209),2)-MAX('Calc base'!D$12,ROUND('Calc base'!D$13*AU208,2))&lt;1,ROUND(AU208*(1+'Calc base'!I209),2),MAX('Calc base'!D$12,ROUND('Calc base'!D$13*AU208,2))))</f>
        <v>0</v>
      </c>
      <c r="L209">
        <f>IF(AV208&lt;=0,0,IF(ROUND(AV208*(1+'Calc base'!J209),2)-MAX('Calc base'!E$12,ROUND('Calc base'!E$13*AV208,2))&lt;1,ROUND(AV208*(1+'Calc base'!J209),2),MAX('Calc base'!E$12,ROUND('Calc base'!E$13*AV208,2))))</f>
        <v>0</v>
      </c>
      <c r="M209">
        <f>IF(AW208&lt;=0,0,IF(ROUND(AW208*(1+'Calc base'!K209),2)-MAX('Calc base'!F$12,ROUND('Calc base'!F$13*AW208,2))&lt;1,ROUND(AW208*(1+'Calc base'!K209),2),MAX('Calc base'!F$12,ROUND('Calc base'!F$13*AW208,2))))</f>
        <v>0</v>
      </c>
      <c r="N209">
        <f>IF(AX208&lt;=0,0,IF(ROUND(AX208*(1+'Calc base'!L209),2)-MAX('Calc base'!G$12,ROUND('Calc base'!G$13*AX208,2))&lt;1,ROUND(AX208*(1+'Calc base'!L209),2),MAX('Calc base'!G$12,ROUND('Calc base'!G$13*AX208,2))))</f>
        <v>0</v>
      </c>
      <c r="O209">
        <f>IF(AY208&lt;=0,0,IF(ROUND(AY208*(1+'Calc base'!M209),2)-MAX('Calc base'!H$12,ROUND('Calc base'!H$13*AY208,2))&lt;1,ROUND(AY208*(1+'Calc base'!M209),2),MAX('Calc base'!H$12,ROUND('Calc base'!H$13*AY208,2))))</f>
        <v>0</v>
      </c>
      <c r="P209">
        <f>IF(AZ208&lt;=0,0,IF(ROUND(AZ208*(1+'Calc base'!N209),2)-MAX('Calc base'!I$12,ROUND('Calc base'!I$13*AZ208,2))&lt;1,ROUND(AZ208*(1+'Calc base'!N209),2),MAX('Calc base'!I$12,ROUND('Calc base'!I$13*AZ208,2))))</f>
        <v>0</v>
      </c>
      <c r="Q209">
        <f>IF(BA208&lt;=0,0,IF(ROUND(BA208*(1+'Calc base'!O209),2)-MAX('Calc base'!J$12,ROUND('Calc base'!J$13*BA208,2))&lt;1,ROUND(BA208*(1+'Calc base'!O209),2),MAX('Calc base'!J$12,ROUND('Calc base'!J$13*BA208,2))))</f>
        <v>0</v>
      </c>
      <c r="R209">
        <f>IF(BB208&lt;=0,0,IF(ROUND(BB208*(1+'Calc base'!P209),2)-MAX('Calc base'!K$12,ROUND('Calc base'!K$13*BB208,2))&lt;1,ROUND(BB208*(1+'Calc base'!P209),2),MAX('Calc base'!K$12,ROUND('Calc base'!K$13*BB208,2))))</f>
        <v>0</v>
      </c>
      <c r="S209">
        <f>IF(BC208&lt;=0,0,IF(ROUND(BC208*(1+'Calc base'!Q209),2)-MAX('Calc base'!L$12,ROUND('Calc base'!L$13*BC208,2))&lt;1,ROUND(BC208*(1+'Calc base'!Q209),2),MAX('Calc base'!L$12,ROUND('Calc base'!L$13*BC208,2))))</f>
        <v>0</v>
      </c>
      <c r="T209">
        <f>IF(BD208&lt;=0,0,IF(ROUND(BD208*(1+'Calc base'!R209),2)-MAX('Calc base'!M$12,ROUND('Calc base'!M$13*BD208,2))&lt;1,ROUND(BD208*(1+'Calc base'!R209),2),MAX('Calc base'!M$12,ROUND('Calc base'!M$13*BD208,2))))</f>
        <v>0</v>
      </c>
      <c r="U209">
        <f>IF(BE208&lt;=0,0,IF(ROUND(BE208*(1+'Calc base'!S209),2)-MAX('Calc base'!N$12,ROUND('Calc base'!N$13*BE208,2))&lt;1,ROUND(BE208*(1+'Calc base'!S209),2),MAX('Calc base'!N$12,ROUND('Calc base'!N$13*BE208,2))))</f>
        <v>0</v>
      </c>
      <c r="V209">
        <f>MAX(0,ROUND(AT208*(1+'Calc base'!H209),2)-J209-'Calc base'!T209)</f>
        <v>0</v>
      </c>
      <c r="W209">
        <f>MAX(0,ROUND(AU208*(1+'Calc base'!I209),2)-K209-'Calc base'!U209)</f>
        <v>0</v>
      </c>
      <c r="X209">
        <f>MAX(0,ROUND(AV208*(1+'Calc base'!J209),2)-L209-'Calc base'!V209)</f>
        <v>0</v>
      </c>
      <c r="Y209">
        <f>MAX(0,ROUND(AW208*(1+'Calc base'!K209),2)-M209-'Calc base'!W209)</f>
        <v>0</v>
      </c>
      <c r="Z209">
        <f>MAX(0,ROUND(AX208*(1+'Calc base'!L209),2)-N209-'Calc base'!X209)</f>
        <v>0</v>
      </c>
      <c r="AA209">
        <f>MAX(0,ROUND(AY208*(1+'Calc base'!M209),2)-O209-'Calc base'!Y209)</f>
        <v>0</v>
      </c>
      <c r="AB209">
        <f>MAX(0,ROUND(AZ208*(1+'Calc base'!N209),2)-P209-'Calc base'!Z209)</f>
        <v>0</v>
      </c>
      <c r="AC209">
        <f>MAX(0,ROUND(BA208*(1+'Calc base'!O209),2)-Q209-'Calc base'!AA209)</f>
        <v>0</v>
      </c>
      <c r="AD209">
        <f>MAX(0,ROUND(BB208*(1+'Calc base'!P209),2)-R209-'Calc base'!AB209)</f>
        <v>0</v>
      </c>
      <c r="AE209">
        <f>MAX(0,ROUND(BC208*(1+'Calc base'!Q209),2)-S209-'Calc base'!AC209)</f>
        <v>0</v>
      </c>
      <c r="AF209">
        <f>MAX(0,ROUND(BD208*(1+'Calc base'!R209),2)-T209-'Calc base'!AD209)</f>
        <v>0</v>
      </c>
      <c r="AG209">
        <f>MAX(0,ROUND(BE208*(1+'Calc base'!S209),2)-U209-'Calc base'!AE209)</f>
        <v>0</v>
      </c>
      <c r="AH209">
        <f>IF('Calc base'!C$14=0,0,MIN(V209,MAX(0,$E209-SUMPRODUCT($V209:$AG209,'Calc base'!$C$14:$N$14,('Calc base'!$H209:$S209&gt;'Calc base'!H209)+('Calc base'!$H209:$S209='Calc base'!H209)*('Calc base'!$C$17:$N$17&lt;'Calc base'!C$17)))))</f>
        <v>0</v>
      </c>
      <c r="AI209">
        <f>IF('Calc base'!D$14=0,0,MIN(W209,MAX(0,$E209-SUMPRODUCT($V209:$AG209,'Calc base'!$C$14:$N$14,('Calc base'!$H209:$S209&gt;'Calc base'!I209)+('Calc base'!$H209:$S209='Calc base'!I209)*('Calc base'!$C$17:$N$17&lt;'Calc base'!D$17)))))</f>
        <v>0</v>
      </c>
      <c r="AJ209">
        <f>IF('Calc base'!E$14=0,0,MIN(X209,MAX(0,$E209-SUMPRODUCT($V209:$AG209,'Calc base'!$C$14:$N$14,('Calc base'!$H209:$S209&gt;'Calc base'!J209)+('Calc base'!$H209:$S209='Calc base'!J209)*('Calc base'!$C$17:$N$17&lt;'Calc base'!E$17)))))</f>
        <v>0</v>
      </c>
      <c r="AK209">
        <f>IF('Calc base'!F$14=0,0,MIN(Y209,MAX(0,$E209-SUMPRODUCT($V209:$AG209,'Calc base'!$C$14:$N$14,('Calc base'!$H209:$S209&gt;'Calc base'!K209)+('Calc base'!$H209:$S209='Calc base'!K209)*('Calc base'!$C$17:$N$17&lt;'Calc base'!F$17)))))</f>
        <v>0</v>
      </c>
      <c r="AL209">
        <f>IF('Calc base'!G$14=0,0,MIN(Z209,MAX(0,$E209-SUMPRODUCT($V209:$AG209,'Calc base'!$C$14:$N$14,('Calc base'!$H209:$S209&gt;'Calc base'!L209)+('Calc base'!$H209:$S209='Calc base'!L209)*('Calc base'!$C$17:$N$17&lt;'Calc base'!G$17)))))</f>
        <v>0</v>
      </c>
      <c r="AM209">
        <f>IF('Calc base'!H$14=0,0,MIN(AA209,MAX(0,$E209-SUMPRODUCT($V209:$AG209,'Calc base'!$C$14:$N$14,('Calc base'!$H209:$S209&gt;'Calc base'!M209)+('Calc base'!$H209:$S209='Calc base'!M209)*('Calc base'!$C$17:$N$17&lt;'Calc base'!H$17)))))</f>
        <v>0</v>
      </c>
      <c r="AN209">
        <f>IF('Calc base'!I$14=0,0,MIN(AB209,MAX(0,$E209-SUMPRODUCT($V209:$AG209,'Calc base'!$C$14:$N$14,('Calc base'!$H209:$S209&gt;'Calc base'!N209)+('Calc base'!$H209:$S209='Calc base'!N209)*('Calc base'!$C$17:$N$17&lt;'Calc base'!I$17)))))</f>
        <v>0</v>
      </c>
      <c r="AO209">
        <f>IF('Calc base'!J$14=0,0,MIN(AC209,MAX(0,$E209-SUMPRODUCT($V209:$AG209,'Calc base'!$C$14:$N$14,('Calc base'!$H209:$S209&gt;'Calc base'!O209)+('Calc base'!$H209:$S209='Calc base'!O209)*('Calc base'!$C$17:$N$17&lt;'Calc base'!J$17)))))</f>
        <v>0</v>
      </c>
      <c r="AP209">
        <f>IF('Calc base'!K$14=0,0,MIN(AD209,MAX(0,$E209-SUMPRODUCT($V209:$AG209,'Calc base'!$C$14:$N$14,('Calc base'!$H209:$S209&gt;'Calc base'!P209)+('Calc base'!$H209:$S209='Calc base'!P209)*('Calc base'!$C$17:$N$17&lt;'Calc base'!K$17)))))</f>
        <v>0</v>
      </c>
      <c r="AQ209">
        <f>IF('Calc base'!L$14=0,0,MIN(AE209,MAX(0,$E209-SUMPRODUCT($V209:$AG209,'Calc base'!$C$14:$N$14,('Calc base'!$H209:$S209&gt;'Calc base'!Q209)+('Calc base'!$H209:$S209='Calc base'!Q209)*('Calc base'!$C$17:$N$17&lt;'Calc base'!L$17)))))</f>
        <v>0</v>
      </c>
      <c r="AR209">
        <f>IF('Calc base'!M$14=0,0,MIN(AF209,MAX(0,$E209-SUMPRODUCT($V209:$AG209,'Calc base'!$C$14:$N$14,('Calc base'!$H209:$S209&gt;'Calc base'!R209)+('Calc base'!$H209:$S209='Calc base'!R209)*('Calc base'!$C$17:$N$17&lt;'Calc base'!M$17)))))</f>
        <v>0</v>
      </c>
      <c r="AS209">
        <f>IF('Calc base'!N$14=0,0,MIN(AG209,MAX(0,$E209-SUMPRODUCT($V209:$AG209,'Calc base'!$C$14:$N$14,('Calc base'!$H209:$S209&gt;'Calc base'!S209)+('Calc base'!$H209:$S209='Calc base'!S209)*('Calc base'!$C$17:$N$17&lt;'Calc base'!N$17)))))</f>
        <v>0</v>
      </c>
      <c r="AT209">
        <f>V209-AH209</f>
        <v>0</v>
      </c>
      <c r="AU209">
        <f>W209-AI209</f>
        <v>0</v>
      </c>
      <c r="AV209">
        <f>X209-AJ209</f>
        <v>0</v>
      </c>
      <c r="AW209">
        <f>Y209-AK209</f>
        <v>0</v>
      </c>
      <c r="AX209">
        <f>Z209-AL209</f>
        <v>0</v>
      </c>
      <c r="AY209">
        <f>AA209-AM209</f>
        <v>0</v>
      </c>
      <c r="AZ209">
        <f>AB209-AN209</f>
        <v>0</v>
      </c>
      <c r="BA209">
        <f>AC209-AO209</f>
        <v>0</v>
      </c>
      <c r="BB209">
        <f>AD209-AP209</f>
        <v>0</v>
      </c>
      <c r="BC209">
        <f>AE209-AQ209</f>
        <v>0</v>
      </c>
      <c r="BD209">
        <f>AF209-AR209</f>
        <v>0</v>
      </c>
      <c r="BE209">
        <f>AG209-AS209</f>
        <v>0</v>
      </c>
    </row>
    <row r="210">
      <c r="A210" t="n">
        <v>180</v>
      </c>
      <c r="B210">
        <f>SUMPRODUCT(ROUND($AT209:$BE209*(1+'Calc base'!$H210:$S210),2))</f>
        <v>0</v>
      </c>
      <c r="C210">
        <f>SUM(J210:U210)</f>
        <v>0</v>
      </c>
      <c r="D210">
        <f>SUM(V210:AG210)</f>
        <v>0</v>
      </c>
      <c r="E210">
        <f>MAX(0,IF(Impostazioni!$B$7="No",'Calc base'!$C210-$C$31,'Calc base'!$C210-C210)+'Calc base'!$G210+'Calc base'!$F210-(B210-C210-D210))</f>
        <v>900</v>
      </c>
      <c r="F210">
        <f>SUM(AH210:AS210)</f>
        <v>0</v>
      </c>
      <c r="G210">
        <f>SUM(AT210:BE210)</f>
        <v>0</v>
      </c>
      <c r="H210">
        <f>B210-G209</f>
        <v>0</v>
      </c>
      <c r="I210">
        <f>B210-G210</f>
        <v>0</v>
      </c>
      <c r="J210">
        <f>IF(AT209&lt;=0,0,IF(ROUND(AT209*(1+'Calc base'!H210),2)-MAX('Calc base'!C$12,ROUND('Calc base'!C$13*AT209,2))&lt;1,ROUND(AT209*(1+'Calc base'!H210),2),MAX('Calc base'!C$12,ROUND('Calc base'!C$13*AT209,2))))</f>
        <v>0</v>
      </c>
      <c r="K210">
        <f>IF(AU209&lt;=0,0,IF(ROUND(AU209*(1+'Calc base'!I210),2)-MAX('Calc base'!D$12,ROUND('Calc base'!D$13*AU209,2))&lt;1,ROUND(AU209*(1+'Calc base'!I210),2),MAX('Calc base'!D$12,ROUND('Calc base'!D$13*AU209,2))))</f>
        <v>0</v>
      </c>
      <c r="L210">
        <f>IF(AV209&lt;=0,0,IF(ROUND(AV209*(1+'Calc base'!J210),2)-MAX('Calc base'!E$12,ROUND('Calc base'!E$13*AV209,2))&lt;1,ROUND(AV209*(1+'Calc base'!J210),2),MAX('Calc base'!E$12,ROUND('Calc base'!E$13*AV209,2))))</f>
        <v>0</v>
      </c>
      <c r="M210">
        <f>IF(AW209&lt;=0,0,IF(ROUND(AW209*(1+'Calc base'!K210),2)-MAX('Calc base'!F$12,ROUND('Calc base'!F$13*AW209,2))&lt;1,ROUND(AW209*(1+'Calc base'!K210),2),MAX('Calc base'!F$12,ROUND('Calc base'!F$13*AW209,2))))</f>
        <v>0</v>
      </c>
      <c r="N210">
        <f>IF(AX209&lt;=0,0,IF(ROUND(AX209*(1+'Calc base'!L210),2)-MAX('Calc base'!G$12,ROUND('Calc base'!G$13*AX209,2))&lt;1,ROUND(AX209*(1+'Calc base'!L210),2),MAX('Calc base'!G$12,ROUND('Calc base'!G$13*AX209,2))))</f>
        <v>0</v>
      </c>
      <c r="O210">
        <f>IF(AY209&lt;=0,0,IF(ROUND(AY209*(1+'Calc base'!M210),2)-MAX('Calc base'!H$12,ROUND('Calc base'!H$13*AY209,2))&lt;1,ROUND(AY209*(1+'Calc base'!M210),2),MAX('Calc base'!H$12,ROUND('Calc base'!H$13*AY209,2))))</f>
        <v>0</v>
      </c>
      <c r="P210">
        <f>IF(AZ209&lt;=0,0,IF(ROUND(AZ209*(1+'Calc base'!N210),2)-MAX('Calc base'!I$12,ROUND('Calc base'!I$13*AZ209,2))&lt;1,ROUND(AZ209*(1+'Calc base'!N210),2),MAX('Calc base'!I$12,ROUND('Calc base'!I$13*AZ209,2))))</f>
        <v>0</v>
      </c>
      <c r="Q210">
        <f>IF(BA209&lt;=0,0,IF(ROUND(BA209*(1+'Calc base'!O210),2)-MAX('Calc base'!J$12,ROUND('Calc base'!J$13*BA209,2))&lt;1,ROUND(BA209*(1+'Calc base'!O210),2),MAX('Calc base'!J$12,ROUND('Calc base'!J$13*BA209,2))))</f>
        <v>0</v>
      </c>
      <c r="R210">
        <f>IF(BB209&lt;=0,0,IF(ROUND(BB209*(1+'Calc base'!P210),2)-MAX('Calc base'!K$12,ROUND('Calc base'!K$13*BB209,2))&lt;1,ROUND(BB209*(1+'Calc base'!P210),2),MAX('Calc base'!K$12,ROUND('Calc base'!K$13*BB209,2))))</f>
        <v>0</v>
      </c>
      <c r="S210">
        <f>IF(BC209&lt;=0,0,IF(ROUND(BC209*(1+'Calc base'!Q210),2)-MAX('Calc base'!L$12,ROUND('Calc base'!L$13*BC209,2))&lt;1,ROUND(BC209*(1+'Calc base'!Q210),2),MAX('Calc base'!L$12,ROUND('Calc base'!L$13*BC209,2))))</f>
        <v>0</v>
      </c>
      <c r="T210">
        <f>IF(BD209&lt;=0,0,IF(ROUND(BD209*(1+'Calc base'!R210),2)-MAX('Calc base'!M$12,ROUND('Calc base'!M$13*BD209,2))&lt;1,ROUND(BD209*(1+'Calc base'!R210),2),MAX('Calc base'!M$12,ROUND('Calc base'!M$13*BD209,2))))</f>
        <v>0</v>
      </c>
      <c r="U210">
        <f>IF(BE209&lt;=0,0,IF(ROUND(BE209*(1+'Calc base'!S210),2)-MAX('Calc base'!N$12,ROUND('Calc base'!N$13*BE209,2))&lt;1,ROUND(BE209*(1+'Calc base'!S210),2),MAX('Calc base'!N$12,ROUND('Calc base'!N$13*BE209,2))))</f>
        <v>0</v>
      </c>
      <c r="V210">
        <f>MAX(0,ROUND(AT209*(1+'Calc base'!H210),2)-J210-'Calc base'!T210)</f>
        <v>0</v>
      </c>
      <c r="W210">
        <f>MAX(0,ROUND(AU209*(1+'Calc base'!I210),2)-K210-'Calc base'!U210)</f>
        <v>0</v>
      </c>
      <c r="X210">
        <f>MAX(0,ROUND(AV209*(1+'Calc base'!J210),2)-L210-'Calc base'!V210)</f>
        <v>0</v>
      </c>
      <c r="Y210">
        <f>MAX(0,ROUND(AW209*(1+'Calc base'!K210),2)-M210-'Calc base'!W210)</f>
        <v>0</v>
      </c>
      <c r="Z210">
        <f>MAX(0,ROUND(AX209*(1+'Calc base'!L210),2)-N210-'Calc base'!X210)</f>
        <v>0</v>
      </c>
      <c r="AA210">
        <f>MAX(0,ROUND(AY209*(1+'Calc base'!M210),2)-O210-'Calc base'!Y210)</f>
        <v>0</v>
      </c>
      <c r="AB210">
        <f>MAX(0,ROUND(AZ209*(1+'Calc base'!N210),2)-P210-'Calc base'!Z210)</f>
        <v>0</v>
      </c>
      <c r="AC210">
        <f>MAX(0,ROUND(BA209*(1+'Calc base'!O210),2)-Q210-'Calc base'!AA210)</f>
        <v>0</v>
      </c>
      <c r="AD210">
        <f>MAX(0,ROUND(BB209*(1+'Calc base'!P210),2)-R210-'Calc base'!AB210)</f>
        <v>0</v>
      </c>
      <c r="AE210">
        <f>MAX(0,ROUND(BC209*(1+'Calc base'!Q210),2)-S210-'Calc base'!AC210)</f>
        <v>0</v>
      </c>
      <c r="AF210">
        <f>MAX(0,ROUND(BD209*(1+'Calc base'!R210),2)-T210-'Calc base'!AD210)</f>
        <v>0</v>
      </c>
      <c r="AG210">
        <f>MAX(0,ROUND(BE209*(1+'Calc base'!S210),2)-U210-'Calc base'!AE210)</f>
        <v>0</v>
      </c>
      <c r="AH210">
        <f>IF('Calc base'!C$14=0,0,MIN(V210,MAX(0,$E210-SUMPRODUCT($V210:$AG210,'Calc base'!$C$14:$N$14,('Calc base'!$H210:$S210&gt;'Calc base'!H210)+('Calc base'!$H210:$S210='Calc base'!H210)*('Calc base'!$C$17:$N$17&lt;'Calc base'!C$17)))))</f>
        <v>0</v>
      </c>
      <c r="AI210">
        <f>IF('Calc base'!D$14=0,0,MIN(W210,MAX(0,$E210-SUMPRODUCT($V210:$AG210,'Calc base'!$C$14:$N$14,('Calc base'!$H210:$S210&gt;'Calc base'!I210)+('Calc base'!$H210:$S210='Calc base'!I210)*('Calc base'!$C$17:$N$17&lt;'Calc base'!D$17)))))</f>
        <v>0</v>
      </c>
      <c r="AJ210">
        <f>IF('Calc base'!E$14=0,0,MIN(X210,MAX(0,$E210-SUMPRODUCT($V210:$AG210,'Calc base'!$C$14:$N$14,('Calc base'!$H210:$S210&gt;'Calc base'!J210)+('Calc base'!$H210:$S210='Calc base'!J210)*('Calc base'!$C$17:$N$17&lt;'Calc base'!E$17)))))</f>
        <v>0</v>
      </c>
      <c r="AK210">
        <f>IF('Calc base'!F$14=0,0,MIN(Y210,MAX(0,$E210-SUMPRODUCT($V210:$AG210,'Calc base'!$C$14:$N$14,('Calc base'!$H210:$S210&gt;'Calc base'!K210)+('Calc base'!$H210:$S210='Calc base'!K210)*('Calc base'!$C$17:$N$17&lt;'Calc base'!F$17)))))</f>
        <v>0</v>
      </c>
      <c r="AL210">
        <f>IF('Calc base'!G$14=0,0,MIN(Z210,MAX(0,$E210-SUMPRODUCT($V210:$AG210,'Calc base'!$C$14:$N$14,('Calc base'!$H210:$S210&gt;'Calc base'!L210)+('Calc base'!$H210:$S210='Calc base'!L210)*('Calc base'!$C$17:$N$17&lt;'Calc base'!G$17)))))</f>
        <v>0</v>
      </c>
      <c r="AM210">
        <f>IF('Calc base'!H$14=0,0,MIN(AA210,MAX(0,$E210-SUMPRODUCT($V210:$AG210,'Calc base'!$C$14:$N$14,('Calc base'!$H210:$S210&gt;'Calc base'!M210)+('Calc base'!$H210:$S210='Calc base'!M210)*('Calc base'!$C$17:$N$17&lt;'Calc base'!H$17)))))</f>
        <v>0</v>
      </c>
      <c r="AN210">
        <f>IF('Calc base'!I$14=0,0,MIN(AB210,MAX(0,$E210-SUMPRODUCT($V210:$AG210,'Calc base'!$C$14:$N$14,('Calc base'!$H210:$S210&gt;'Calc base'!N210)+('Calc base'!$H210:$S210='Calc base'!N210)*('Calc base'!$C$17:$N$17&lt;'Calc base'!I$17)))))</f>
        <v>0</v>
      </c>
      <c r="AO210">
        <f>IF('Calc base'!J$14=0,0,MIN(AC210,MAX(0,$E210-SUMPRODUCT($V210:$AG210,'Calc base'!$C$14:$N$14,('Calc base'!$H210:$S210&gt;'Calc base'!O210)+('Calc base'!$H210:$S210='Calc base'!O210)*('Calc base'!$C$17:$N$17&lt;'Calc base'!J$17)))))</f>
        <v>0</v>
      </c>
      <c r="AP210">
        <f>IF('Calc base'!K$14=0,0,MIN(AD210,MAX(0,$E210-SUMPRODUCT($V210:$AG210,'Calc base'!$C$14:$N$14,('Calc base'!$H210:$S210&gt;'Calc base'!P210)+('Calc base'!$H210:$S210='Calc base'!P210)*('Calc base'!$C$17:$N$17&lt;'Calc base'!K$17)))))</f>
        <v>0</v>
      </c>
      <c r="AQ210">
        <f>IF('Calc base'!L$14=0,0,MIN(AE210,MAX(0,$E210-SUMPRODUCT($V210:$AG210,'Calc base'!$C$14:$N$14,('Calc base'!$H210:$S210&gt;'Calc base'!Q210)+('Calc base'!$H210:$S210='Calc base'!Q210)*('Calc base'!$C$17:$N$17&lt;'Calc base'!L$17)))))</f>
        <v>0</v>
      </c>
      <c r="AR210">
        <f>IF('Calc base'!M$14=0,0,MIN(AF210,MAX(0,$E210-SUMPRODUCT($V210:$AG210,'Calc base'!$C$14:$N$14,('Calc base'!$H210:$S210&gt;'Calc base'!R210)+('Calc base'!$H210:$S210='Calc base'!R210)*('Calc base'!$C$17:$N$17&lt;'Calc base'!M$17)))))</f>
        <v>0</v>
      </c>
      <c r="AS210">
        <f>IF('Calc base'!N$14=0,0,MIN(AG210,MAX(0,$E210-SUMPRODUCT($V210:$AG210,'Calc base'!$C$14:$N$14,('Calc base'!$H210:$S210&gt;'Calc base'!S210)+('Calc base'!$H210:$S210='Calc base'!S210)*('Calc base'!$C$17:$N$17&lt;'Calc base'!N$17)))))</f>
        <v>0</v>
      </c>
      <c r="AT210">
        <f>V210-AH210</f>
        <v>0</v>
      </c>
      <c r="AU210">
        <f>W210-AI210</f>
        <v>0</v>
      </c>
      <c r="AV210">
        <f>X210-AJ210</f>
        <v>0</v>
      </c>
      <c r="AW210">
        <f>Y210-AK210</f>
        <v>0</v>
      </c>
      <c r="AX210">
        <f>Z210-AL210</f>
        <v>0</v>
      </c>
      <c r="AY210">
        <f>AA210-AM210</f>
        <v>0</v>
      </c>
      <c r="AZ210">
        <f>AB210-AN210</f>
        <v>0</v>
      </c>
      <c r="BA210">
        <f>AC210-AO210</f>
        <v>0</v>
      </c>
      <c r="BB210">
        <f>AD210-AP210</f>
        <v>0</v>
      </c>
      <c r="BC210">
        <f>AE210-AQ210</f>
        <v>0</v>
      </c>
      <c r="BD210">
        <f>AF210-AR210</f>
        <v>0</v>
      </c>
      <c r="BE210">
        <f>AG210-AS210</f>
        <v>0</v>
      </c>
    </row>
    <row r="211">
      <c r="A211" t="n">
        <v>181</v>
      </c>
      <c r="B211">
        <f>SUMPRODUCT(ROUND($AT210:$BE210*(1+'Calc base'!$H211:$S211),2))</f>
        <v>0</v>
      </c>
      <c r="C211">
        <f>SUM(J211:U211)</f>
        <v>0</v>
      </c>
      <c r="D211">
        <f>SUM(V211:AG211)</f>
        <v>0</v>
      </c>
      <c r="E211">
        <f>MAX(0,IF(Impostazioni!$B$7="No",'Calc base'!$C211-$C$31,'Calc base'!$C211-C211)+'Calc base'!$G211+'Calc base'!$F211-(B211-C211-D211))</f>
        <v>900</v>
      </c>
      <c r="F211">
        <f>SUM(AH211:AS211)</f>
        <v>0</v>
      </c>
      <c r="G211">
        <f>SUM(AT211:BE211)</f>
        <v>0</v>
      </c>
      <c r="H211">
        <f>B211-G210</f>
        <v>0</v>
      </c>
      <c r="I211">
        <f>B211-G211</f>
        <v>0</v>
      </c>
      <c r="J211">
        <f>IF(AT210&lt;=0,0,IF(ROUND(AT210*(1+'Calc base'!H211),2)-MAX('Calc base'!C$12,ROUND('Calc base'!C$13*AT210,2))&lt;1,ROUND(AT210*(1+'Calc base'!H211),2),MAX('Calc base'!C$12,ROUND('Calc base'!C$13*AT210,2))))</f>
        <v>0</v>
      </c>
      <c r="K211">
        <f>IF(AU210&lt;=0,0,IF(ROUND(AU210*(1+'Calc base'!I211),2)-MAX('Calc base'!D$12,ROUND('Calc base'!D$13*AU210,2))&lt;1,ROUND(AU210*(1+'Calc base'!I211),2),MAX('Calc base'!D$12,ROUND('Calc base'!D$13*AU210,2))))</f>
        <v>0</v>
      </c>
      <c r="L211">
        <f>IF(AV210&lt;=0,0,IF(ROUND(AV210*(1+'Calc base'!J211),2)-MAX('Calc base'!E$12,ROUND('Calc base'!E$13*AV210,2))&lt;1,ROUND(AV210*(1+'Calc base'!J211),2),MAX('Calc base'!E$12,ROUND('Calc base'!E$13*AV210,2))))</f>
        <v>0</v>
      </c>
      <c r="M211">
        <f>IF(AW210&lt;=0,0,IF(ROUND(AW210*(1+'Calc base'!K211),2)-MAX('Calc base'!F$12,ROUND('Calc base'!F$13*AW210,2))&lt;1,ROUND(AW210*(1+'Calc base'!K211),2),MAX('Calc base'!F$12,ROUND('Calc base'!F$13*AW210,2))))</f>
        <v>0</v>
      </c>
      <c r="N211">
        <f>IF(AX210&lt;=0,0,IF(ROUND(AX210*(1+'Calc base'!L211),2)-MAX('Calc base'!G$12,ROUND('Calc base'!G$13*AX210,2))&lt;1,ROUND(AX210*(1+'Calc base'!L211),2),MAX('Calc base'!G$12,ROUND('Calc base'!G$13*AX210,2))))</f>
        <v>0</v>
      </c>
      <c r="O211">
        <f>IF(AY210&lt;=0,0,IF(ROUND(AY210*(1+'Calc base'!M211),2)-MAX('Calc base'!H$12,ROUND('Calc base'!H$13*AY210,2))&lt;1,ROUND(AY210*(1+'Calc base'!M211),2),MAX('Calc base'!H$12,ROUND('Calc base'!H$13*AY210,2))))</f>
        <v>0</v>
      </c>
      <c r="P211">
        <f>IF(AZ210&lt;=0,0,IF(ROUND(AZ210*(1+'Calc base'!N211),2)-MAX('Calc base'!I$12,ROUND('Calc base'!I$13*AZ210,2))&lt;1,ROUND(AZ210*(1+'Calc base'!N211),2),MAX('Calc base'!I$12,ROUND('Calc base'!I$13*AZ210,2))))</f>
        <v>0</v>
      </c>
      <c r="Q211">
        <f>IF(BA210&lt;=0,0,IF(ROUND(BA210*(1+'Calc base'!O211),2)-MAX('Calc base'!J$12,ROUND('Calc base'!J$13*BA210,2))&lt;1,ROUND(BA210*(1+'Calc base'!O211),2),MAX('Calc base'!J$12,ROUND('Calc base'!J$13*BA210,2))))</f>
        <v>0</v>
      </c>
      <c r="R211">
        <f>IF(BB210&lt;=0,0,IF(ROUND(BB210*(1+'Calc base'!P211),2)-MAX('Calc base'!K$12,ROUND('Calc base'!K$13*BB210,2))&lt;1,ROUND(BB210*(1+'Calc base'!P211),2),MAX('Calc base'!K$12,ROUND('Calc base'!K$13*BB210,2))))</f>
        <v>0</v>
      </c>
      <c r="S211">
        <f>IF(BC210&lt;=0,0,IF(ROUND(BC210*(1+'Calc base'!Q211),2)-MAX('Calc base'!L$12,ROUND('Calc base'!L$13*BC210,2))&lt;1,ROUND(BC210*(1+'Calc base'!Q211),2),MAX('Calc base'!L$12,ROUND('Calc base'!L$13*BC210,2))))</f>
        <v>0</v>
      </c>
      <c r="T211">
        <f>IF(BD210&lt;=0,0,IF(ROUND(BD210*(1+'Calc base'!R211),2)-MAX('Calc base'!M$12,ROUND('Calc base'!M$13*BD210,2))&lt;1,ROUND(BD210*(1+'Calc base'!R211),2),MAX('Calc base'!M$12,ROUND('Calc base'!M$13*BD210,2))))</f>
        <v>0</v>
      </c>
      <c r="U211">
        <f>IF(BE210&lt;=0,0,IF(ROUND(BE210*(1+'Calc base'!S211),2)-MAX('Calc base'!N$12,ROUND('Calc base'!N$13*BE210,2))&lt;1,ROUND(BE210*(1+'Calc base'!S211),2),MAX('Calc base'!N$12,ROUND('Calc base'!N$13*BE210,2))))</f>
        <v>0</v>
      </c>
      <c r="V211">
        <f>MAX(0,ROUND(AT210*(1+'Calc base'!H211),2)-J211-'Calc base'!T211)</f>
        <v>0</v>
      </c>
      <c r="W211">
        <f>MAX(0,ROUND(AU210*(1+'Calc base'!I211),2)-K211-'Calc base'!U211)</f>
        <v>0</v>
      </c>
      <c r="X211">
        <f>MAX(0,ROUND(AV210*(1+'Calc base'!J211),2)-L211-'Calc base'!V211)</f>
        <v>0</v>
      </c>
      <c r="Y211">
        <f>MAX(0,ROUND(AW210*(1+'Calc base'!K211),2)-M211-'Calc base'!W211)</f>
        <v>0</v>
      </c>
      <c r="Z211">
        <f>MAX(0,ROUND(AX210*(1+'Calc base'!L211),2)-N211-'Calc base'!X211)</f>
        <v>0</v>
      </c>
      <c r="AA211">
        <f>MAX(0,ROUND(AY210*(1+'Calc base'!M211),2)-O211-'Calc base'!Y211)</f>
        <v>0</v>
      </c>
      <c r="AB211">
        <f>MAX(0,ROUND(AZ210*(1+'Calc base'!N211),2)-P211-'Calc base'!Z211)</f>
        <v>0</v>
      </c>
      <c r="AC211">
        <f>MAX(0,ROUND(BA210*(1+'Calc base'!O211),2)-Q211-'Calc base'!AA211)</f>
        <v>0</v>
      </c>
      <c r="AD211">
        <f>MAX(0,ROUND(BB210*(1+'Calc base'!P211),2)-R211-'Calc base'!AB211)</f>
        <v>0</v>
      </c>
      <c r="AE211">
        <f>MAX(0,ROUND(BC210*(1+'Calc base'!Q211),2)-S211-'Calc base'!AC211)</f>
        <v>0</v>
      </c>
      <c r="AF211">
        <f>MAX(0,ROUND(BD210*(1+'Calc base'!R211),2)-T211-'Calc base'!AD211)</f>
        <v>0</v>
      </c>
      <c r="AG211">
        <f>MAX(0,ROUND(BE210*(1+'Calc base'!S211),2)-U211-'Calc base'!AE211)</f>
        <v>0</v>
      </c>
      <c r="AH211">
        <f>IF('Calc base'!C$14=0,0,MIN(V211,MAX(0,$E211-SUMPRODUCT($V211:$AG211,'Calc base'!$C$14:$N$14,('Calc base'!$H211:$S211&gt;'Calc base'!H211)+('Calc base'!$H211:$S211='Calc base'!H211)*('Calc base'!$C$17:$N$17&lt;'Calc base'!C$17)))))</f>
        <v>0</v>
      </c>
      <c r="AI211">
        <f>IF('Calc base'!D$14=0,0,MIN(W211,MAX(0,$E211-SUMPRODUCT($V211:$AG211,'Calc base'!$C$14:$N$14,('Calc base'!$H211:$S211&gt;'Calc base'!I211)+('Calc base'!$H211:$S211='Calc base'!I211)*('Calc base'!$C$17:$N$17&lt;'Calc base'!D$17)))))</f>
        <v>0</v>
      </c>
      <c r="AJ211">
        <f>IF('Calc base'!E$14=0,0,MIN(X211,MAX(0,$E211-SUMPRODUCT($V211:$AG211,'Calc base'!$C$14:$N$14,('Calc base'!$H211:$S211&gt;'Calc base'!J211)+('Calc base'!$H211:$S211='Calc base'!J211)*('Calc base'!$C$17:$N$17&lt;'Calc base'!E$17)))))</f>
        <v>0</v>
      </c>
      <c r="AK211">
        <f>IF('Calc base'!F$14=0,0,MIN(Y211,MAX(0,$E211-SUMPRODUCT($V211:$AG211,'Calc base'!$C$14:$N$14,('Calc base'!$H211:$S211&gt;'Calc base'!K211)+('Calc base'!$H211:$S211='Calc base'!K211)*('Calc base'!$C$17:$N$17&lt;'Calc base'!F$17)))))</f>
        <v>0</v>
      </c>
      <c r="AL211">
        <f>IF('Calc base'!G$14=0,0,MIN(Z211,MAX(0,$E211-SUMPRODUCT($V211:$AG211,'Calc base'!$C$14:$N$14,('Calc base'!$H211:$S211&gt;'Calc base'!L211)+('Calc base'!$H211:$S211='Calc base'!L211)*('Calc base'!$C$17:$N$17&lt;'Calc base'!G$17)))))</f>
        <v>0</v>
      </c>
      <c r="AM211">
        <f>IF('Calc base'!H$14=0,0,MIN(AA211,MAX(0,$E211-SUMPRODUCT($V211:$AG211,'Calc base'!$C$14:$N$14,('Calc base'!$H211:$S211&gt;'Calc base'!M211)+('Calc base'!$H211:$S211='Calc base'!M211)*('Calc base'!$C$17:$N$17&lt;'Calc base'!H$17)))))</f>
        <v>0</v>
      </c>
      <c r="AN211">
        <f>IF('Calc base'!I$14=0,0,MIN(AB211,MAX(0,$E211-SUMPRODUCT($V211:$AG211,'Calc base'!$C$14:$N$14,('Calc base'!$H211:$S211&gt;'Calc base'!N211)+('Calc base'!$H211:$S211='Calc base'!N211)*('Calc base'!$C$17:$N$17&lt;'Calc base'!I$17)))))</f>
        <v>0</v>
      </c>
      <c r="AO211">
        <f>IF('Calc base'!J$14=0,0,MIN(AC211,MAX(0,$E211-SUMPRODUCT($V211:$AG211,'Calc base'!$C$14:$N$14,('Calc base'!$H211:$S211&gt;'Calc base'!O211)+('Calc base'!$H211:$S211='Calc base'!O211)*('Calc base'!$C$17:$N$17&lt;'Calc base'!J$17)))))</f>
        <v>0</v>
      </c>
      <c r="AP211">
        <f>IF('Calc base'!K$14=0,0,MIN(AD211,MAX(0,$E211-SUMPRODUCT($V211:$AG211,'Calc base'!$C$14:$N$14,('Calc base'!$H211:$S211&gt;'Calc base'!P211)+('Calc base'!$H211:$S211='Calc base'!P211)*('Calc base'!$C$17:$N$17&lt;'Calc base'!K$17)))))</f>
        <v>0</v>
      </c>
      <c r="AQ211">
        <f>IF('Calc base'!L$14=0,0,MIN(AE211,MAX(0,$E211-SUMPRODUCT($V211:$AG211,'Calc base'!$C$14:$N$14,('Calc base'!$H211:$S211&gt;'Calc base'!Q211)+('Calc base'!$H211:$S211='Calc base'!Q211)*('Calc base'!$C$17:$N$17&lt;'Calc base'!L$17)))))</f>
        <v>0</v>
      </c>
      <c r="AR211">
        <f>IF('Calc base'!M$14=0,0,MIN(AF211,MAX(0,$E211-SUMPRODUCT($V211:$AG211,'Calc base'!$C$14:$N$14,('Calc base'!$H211:$S211&gt;'Calc base'!R211)+('Calc base'!$H211:$S211='Calc base'!R211)*('Calc base'!$C$17:$N$17&lt;'Calc base'!M$17)))))</f>
        <v>0</v>
      </c>
      <c r="AS211">
        <f>IF('Calc base'!N$14=0,0,MIN(AG211,MAX(0,$E211-SUMPRODUCT($V211:$AG211,'Calc base'!$C$14:$N$14,('Calc base'!$H211:$S211&gt;'Calc base'!S211)+('Calc base'!$H211:$S211='Calc base'!S211)*('Calc base'!$C$17:$N$17&lt;'Calc base'!N$17)))))</f>
        <v>0</v>
      </c>
      <c r="AT211">
        <f>V211-AH211</f>
        <v>0</v>
      </c>
      <c r="AU211">
        <f>W211-AI211</f>
        <v>0</v>
      </c>
      <c r="AV211">
        <f>X211-AJ211</f>
        <v>0</v>
      </c>
      <c r="AW211">
        <f>Y211-AK211</f>
        <v>0</v>
      </c>
      <c r="AX211">
        <f>Z211-AL211</f>
        <v>0</v>
      </c>
      <c r="AY211">
        <f>AA211-AM211</f>
        <v>0</v>
      </c>
      <c r="AZ211">
        <f>AB211-AN211</f>
        <v>0</v>
      </c>
      <c r="BA211">
        <f>AC211-AO211</f>
        <v>0</v>
      </c>
      <c r="BB211">
        <f>AD211-AP211</f>
        <v>0</v>
      </c>
      <c r="BC211">
        <f>AE211-AQ211</f>
        <v>0</v>
      </c>
      <c r="BD211">
        <f>AF211-AR211</f>
        <v>0</v>
      </c>
      <c r="BE211">
        <f>AG211-AS211</f>
        <v>0</v>
      </c>
    </row>
    <row r="212">
      <c r="A212" t="n">
        <v>182</v>
      </c>
      <c r="B212">
        <f>SUMPRODUCT(ROUND($AT211:$BE211*(1+'Calc base'!$H212:$S212),2))</f>
        <v>0</v>
      </c>
      <c r="C212">
        <f>SUM(J212:U212)</f>
        <v>0</v>
      </c>
      <c r="D212">
        <f>SUM(V212:AG212)</f>
        <v>0</v>
      </c>
      <c r="E212">
        <f>MAX(0,IF(Impostazioni!$B$7="No",'Calc base'!$C212-$C$31,'Calc base'!$C212-C212)+'Calc base'!$G212+'Calc base'!$F212-(B212-C212-D212))</f>
        <v>900</v>
      </c>
      <c r="F212">
        <f>SUM(AH212:AS212)</f>
        <v>0</v>
      </c>
      <c r="G212">
        <f>SUM(AT212:BE212)</f>
        <v>0</v>
      </c>
      <c r="H212">
        <f>B212-G211</f>
        <v>0</v>
      </c>
      <c r="I212">
        <f>B212-G212</f>
        <v>0</v>
      </c>
      <c r="J212">
        <f>IF(AT211&lt;=0,0,IF(ROUND(AT211*(1+'Calc base'!H212),2)-MAX('Calc base'!C$12,ROUND('Calc base'!C$13*AT211,2))&lt;1,ROUND(AT211*(1+'Calc base'!H212),2),MAX('Calc base'!C$12,ROUND('Calc base'!C$13*AT211,2))))</f>
        <v>0</v>
      </c>
      <c r="K212">
        <f>IF(AU211&lt;=0,0,IF(ROUND(AU211*(1+'Calc base'!I212),2)-MAX('Calc base'!D$12,ROUND('Calc base'!D$13*AU211,2))&lt;1,ROUND(AU211*(1+'Calc base'!I212),2),MAX('Calc base'!D$12,ROUND('Calc base'!D$13*AU211,2))))</f>
        <v>0</v>
      </c>
      <c r="L212">
        <f>IF(AV211&lt;=0,0,IF(ROUND(AV211*(1+'Calc base'!J212),2)-MAX('Calc base'!E$12,ROUND('Calc base'!E$13*AV211,2))&lt;1,ROUND(AV211*(1+'Calc base'!J212),2),MAX('Calc base'!E$12,ROUND('Calc base'!E$13*AV211,2))))</f>
        <v>0</v>
      </c>
      <c r="M212">
        <f>IF(AW211&lt;=0,0,IF(ROUND(AW211*(1+'Calc base'!K212),2)-MAX('Calc base'!F$12,ROUND('Calc base'!F$13*AW211,2))&lt;1,ROUND(AW211*(1+'Calc base'!K212),2),MAX('Calc base'!F$12,ROUND('Calc base'!F$13*AW211,2))))</f>
        <v>0</v>
      </c>
      <c r="N212">
        <f>IF(AX211&lt;=0,0,IF(ROUND(AX211*(1+'Calc base'!L212),2)-MAX('Calc base'!G$12,ROUND('Calc base'!G$13*AX211,2))&lt;1,ROUND(AX211*(1+'Calc base'!L212),2),MAX('Calc base'!G$12,ROUND('Calc base'!G$13*AX211,2))))</f>
        <v>0</v>
      </c>
      <c r="O212">
        <f>IF(AY211&lt;=0,0,IF(ROUND(AY211*(1+'Calc base'!M212),2)-MAX('Calc base'!H$12,ROUND('Calc base'!H$13*AY211,2))&lt;1,ROUND(AY211*(1+'Calc base'!M212),2),MAX('Calc base'!H$12,ROUND('Calc base'!H$13*AY211,2))))</f>
        <v>0</v>
      </c>
      <c r="P212">
        <f>IF(AZ211&lt;=0,0,IF(ROUND(AZ211*(1+'Calc base'!N212),2)-MAX('Calc base'!I$12,ROUND('Calc base'!I$13*AZ211,2))&lt;1,ROUND(AZ211*(1+'Calc base'!N212),2),MAX('Calc base'!I$12,ROUND('Calc base'!I$13*AZ211,2))))</f>
        <v>0</v>
      </c>
      <c r="Q212">
        <f>IF(BA211&lt;=0,0,IF(ROUND(BA211*(1+'Calc base'!O212),2)-MAX('Calc base'!J$12,ROUND('Calc base'!J$13*BA211,2))&lt;1,ROUND(BA211*(1+'Calc base'!O212),2),MAX('Calc base'!J$12,ROUND('Calc base'!J$13*BA211,2))))</f>
        <v>0</v>
      </c>
      <c r="R212">
        <f>IF(BB211&lt;=0,0,IF(ROUND(BB211*(1+'Calc base'!P212),2)-MAX('Calc base'!K$12,ROUND('Calc base'!K$13*BB211,2))&lt;1,ROUND(BB211*(1+'Calc base'!P212),2),MAX('Calc base'!K$12,ROUND('Calc base'!K$13*BB211,2))))</f>
        <v>0</v>
      </c>
      <c r="S212">
        <f>IF(BC211&lt;=0,0,IF(ROUND(BC211*(1+'Calc base'!Q212),2)-MAX('Calc base'!L$12,ROUND('Calc base'!L$13*BC211,2))&lt;1,ROUND(BC211*(1+'Calc base'!Q212),2),MAX('Calc base'!L$12,ROUND('Calc base'!L$13*BC211,2))))</f>
        <v>0</v>
      </c>
      <c r="T212">
        <f>IF(BD211&lt;=0,0,IF(ROUND(BD211*(1+'Calc base'!R212),2)-MAX('Calc base'!M$12,ROUND('Calc base'!M$13*BD211,2))&lt;1,ROUND(BD211*(1+'Calc base'!R212),2),MAX('Calc base'!M$12,ROUND('Calc base'!M$13*BD211,2))))</f>
        <v>0</v>
      </c>
      <c r="U212">
        <f>IF(BE211&lt;=0,0,IF(ROUND(BE211*(1+'Calc base'!S212),2)-MAX('Calc base'!N$12,ROUND('Calc base'!N$13*BE211,2))&lt;1,ROUND(BE211*(1+'Calc base'!S212),2),MAX('Calc base'!N$12,ROUND('Calc base'!N$13*BE211,2))))</f>
        <v>0</v>
      </c>
      <c r="V212">
        <f>MAX(0,ROUND(AT211*(1+'Calc base'!H212),2)-J212-'Calc base'!T212)</f>
        <v>0</v>
      </c>
      <c r="W212">
        <f>MAX(0,ROUND(AU211*(1+'Calc base'!I212),2)-K212-'Calc base'!U212)</f>
        <v>0</v>
      </c>
      <c r="X212">
        <f>MAX(0,ROUND(AV211*(1+'Calc base'!J212),2)-L212-'Calc base'!V212)</f>
        <v>0</v>
      </c>
      <c r="Y212">
        <f>MAX(0,ROUND(AW211*(1+'Calc base'!K212),2)-M212-'Calc base'!W212)</f>
        <v>0</v>
      </c>
      <c r="Z212">
        <f>MAX(0,ROUND(AX211*(1+'Calc base'!L212),2)-N212-'Calc base'!X212)</f>
        <v>0</v>
      </c>
      <c r="AA212">
        <f>MAX(0,ROUND(AY211*(1+'Calc base'!M212),2)-O212-'Calc base'!Y212)</f>
        <v>0</v>
      </c>
      <c r="AB212">
        <f>MAX(0,ROUND(AZ211*(1+'Calc base'!N212),2)-P212-'Calc base'!Z212)</f>
        <v>0</v>
      </c>
      <c r="AC212">
        <f>MAX(0,ROUND(BA211*(1+'Calc base'!O212),2)-Q212-'Calc base'!AA212)</f>
        <v>0</v>
      </c>
      <c r="AD212">
        <f>MAX(0,ROUND(BB211*(1+'Calc base'!P212),2)-R212-'Calc base'!AB212)</f>
        <v>0</v>
      </c>
      <c r="AE212">
        <f>MAX(0,ROUND(BC211*(1+'Calc base'!Q212),2)-S212-'Calc base'!AC212)</f>
        <v>0</v>
      </c>
      <c r="AF212">
        <f>MAX(0,ROUND(BD211*(1+'Calc base'!R212),2)-T212-'Calc base'!AD212)</f>
        <v>0</v>
      </c>
      <c r="AG212">
        <f>MAX(0,ROUND(BE211*(1+'Calc base'!S212),2)-U212-'Calc base'!AE212)</f>
        <v>0</v>
      </c>
      <c r="AH212">
        <f>IF('Calc base'!C$14=0,0,MIN(V212,MAX(0,$E212-SUMPRODUCT($V212:$AG212,'Calc base'!$C$14:$N$14,('Calc base'!$H212:$S212&gt;'Calc base'!H212)+('Calc base'!$H212:$S212='Calc base'!H212)*('Calc base'!$C$17:$N$17&lt;'Calc base'!C$17)))))</f>
        <v>0</v>
      </c>
      <c r="AI212">
        <f>IF('Calc base'!D$14=0,0,MIN(W212,MAX(0,$E212-SUMPRODUCT($V212:$AG212,'Calc base'!$C$14:$N$14,('Calc base'!$H212:$S212&gt;'Calc base'!I212)+('Calc base'!$H212:$S212='Calc base'!I212)*('Calc base'!$C$17:$N$17&lt;'Calc base'!D$17)))))</f>
        <v>0</v>
      </c>
      <c r="AJ212">
        <f>IF('Calc base'!E$14=0,0,MIN(X212,MAX(0,$E212-SUMPRODUCT($V212:$AG212,'Calc base'!$C$14:$N$14,('Calc base'!$H212:$S212&gt;'Calc base'!J212)+('Calc base'!$H212:$S212='Calc base'!J212)*('Calc base'!$C$17:$N$17&lt;'Calc base'!E$17)))))</f>
        <v>0</v>
      </c>
      <c r="AK212">
        <f>IF('Calc base'!F$14=0,0,MIN(Y212,MAX(0,$E212-SUMPRODUCT($V212:$AG212,'Calc base'!$C$14:$N$14,('Calc base'!$H212:$S212&gt;'Calc base'!K212)+('Calc base'!$H212:$S212='Calc base'!K212)*('Calc base'!$C$17:$N$17&lt;'Calc base'!F$17)))))</f>
        <v>0</v>
      </c>
      <c r="AL212">
        <f>IF('Calc base'!G$14=0,0,MIN(Z212,MAX(0,$E212-SUMPRODUCT($V212:$AG212,'Calc base'!$C$14:$N$14,('Calc base'!$H212:$S212&gt;'Calc base'!L212)+('Calc base'!$H212:$S212='Calc base'!L212)*('Calc base'!$C$17:$N$17&lt;'Calc base'!G$17)))))</f>
        <v>0</v>
      </c>
      <c r="AM212">
        <f>IF('Calc base'!H$14=0,0,MIN(AA212,MAX(0,$E212-SUMPRODUCT($V212:$AG212,'Calc base'!$C$14:$N$14,('Calc base'!$H212:$S212&gt;'Calc base'!M212)+('Calc base'!$H212:$S212='Calc base'!M212)*('Calc base'!$C$17:$N$17&lt;'Calc base'!H$17)))))</f>
        <v>0</v>
      </c>
      <c r="AN212">
        <f>IF('Calc base'!I$14=0,0,MIN(AB212,MAX(0,$E212-SUMPRODUCT($V212:$AG212,'Calc base'!$C$14:$N$14,('Calc base'!$H212:$S212&gt;'Calc base'!N212)+('Calc base'!$H212:$S212='Calc base'!N212)*('Calc base'!$C$17:$N$17&lt;'Calc base'!I$17)))))</f>
        <v>0</v>
      </c>
      <c r="AO212">
        <f>IF('Calc base'!J$14=0,0,MIN(AC212,MAX(0,$E212-SUMPRODUCT($V212:$AG212,'Calc base'!$C$14:$N$14,('Calc base'!$H212:$S212&gt;'Calc base'!O212)+('Calc base'!$H212:$S212='Calc base'!O212)*('Calc base'!$C$17:$N$17&lt;'Calc base'!J$17)))))</f>
        <v>0</v>
      </c>
      <c r="AP212">
        <f>IF('Calc base'!K$14=0,0,MIN(AD212,MAX(0,$E212-SUMPRODUCT($V212:$AG212,'Calc base'!$C$14:$N$14,('Calc base'!$H212:$S212&gt;'Calc base'!P212)+('Calc base'!$H212:$S212='Calc base'!P212)*('Calc base'!$C$17:$N$17&lt;'Calc base'!K$17)))))</f>
        <v>0</v>
      </c>
      <c r="AQ212">
        <f>IF('Calc base'!L$14=0,0,MIN(AE212,MAX(0,$E212-SUMPRODUCT($V212:$AG212,'Calc base'!$C$14:$N$14,('Calc base'!$H212:$S212&gt;'Calc base'!Q212)+('Calc base'!$H212:$S212='Calc base'!Q212)*('Calc base'!$C$17:$N$17&lt;'Calc base'!L$17)))))</f>
        <v>0</v>
      </c>
      <c r="AR212">
        <f>IF('Calc base'!M$14=0,0,MIN(AF212,MAX(0,$E212-SUMPRODUCT($V212:$AG212,'Calc base'!$C$14:$N$14,('Calc base'!$H212:$S212&gt;'Calc base'!R212)+('Calc base'!$H212:$S212='Calc base'!R212)*('Calc base'!$C$17:$N$17&lt;'Calc base'!M$17)))))</f>
        <v>0</v>
      </c>
      <c r="AS212">
        <f>IF('Calc base'!N$14=0,0,MIN(AG212,MAX(0,$E212-SUMPRODUCT($V212:$AG212,'Calc base'!$C$14:$N$14,('Calc base'!$H212:$S212&gt;'Calc base'!S212)+('Calc base'!$H212:$S212='Calc base'!S212)*('Calc base'!$C$17:$N$17&lt;'Calc base'!N$17)))))</f>
        <v>0</v>
      </c>
      <c r="AT212">
        <f>V212-AH212</f>
        <v>0</v>
      </c>
      <c r="AU212">
        <f>W212-AI212</f>
        <v>0</v>
      </c>
      <c r="AV212">
        <f>X212-AJ212</f>
        <v>0</v>
      </c>
      <c r="AW212">
        <f>Y212-AK212</f>
        <v>0</v>
      </c>
      <c r="AX212">
        <f>Z212-AL212</f>
        <v>0</v>
      </c>
      <c r="AY212">
        <f>AA212-AM212</f>
        <v>0</v>
      </c>
      <c r="AZ212">
        <f>AB212-AN212</f>
        <v>0</v>
      </c>
      <c r="BA212">
        <f>AC212-AO212</f>
        <v>0</v>
      </c>
      <c r="BB212">
        <f>AD212-AP212</f>
        <v>0</v>
      </c>
      <c r="BC212">
        <f>AE212-AQ212</f>
        <v>0</v>
      </c>
      <c r="BD212">
        <f>AF212-AR212</f>
        <v>0</v>
      </c>
      <c r="BE212">
        <f>AG212-AS212</f>
        <v>0</v>
      </c>
    </row>
    <row r="213">
      <c r="A213" t="n">
        <v>183</v>
      </c>
      <c r="B213">
        <f>SUMPRODUCT(ROUND($AT212:$BE212*(1+'Calc base'!$H213:$S213),2))</f>
        <v>0</v>
      </c>
      <c r="C213">
        <f>SUM(J213:U213)</f>
        <v>0</v>
      </c>
      <c r="D213">
        <f>SUM(V213:AG213)</f>
        <v>0</v>
      </c>
      <c r="E213">
        <f>MAX(0,IF(Impostazioni!$B$7="No",'Calc base'!$C213-$C$31,'Calc base'!$C213-C213)+'Calc base'!$G213+'Calc base'!$F213-(B213-C213-D213))</f>
        <v>900</v>
      </c>
      <c r="F213">
        <f>SUM(AH213:AS213)</f>
        <v>0</v>
      </c>
      <c r="G213">
        <f>SUM(AT213:BE213)</f>
        <v>0</v>
      </c>
      <c r="H213">
        <f>B213-G212</f>
        <v>0</v>
      </c>
      <c r="I213">
        <f>B213-G213</f>
        <v>0</v>
      </c>
      <c r="J213">
        <f>IF(AT212&lt;=0,0,IF(ROUND(AT212*(1+'Calc base'!H213),2)-MAX('Calc base'!C$12,ROUND('Calc base'!C$13*AT212,2))&lt;1,ROUND(AT212*(1+'Calc base'!H213),2),MAX('Calc base'!C$12,ROUND('Calc base'!C$13*AT212,2))))</f>
        <v>0</v>
      </c>
      <c r="K213">
        <f>IF(AU212&lt;=0,0,IF(ROUND(AU212*(1+'Calc base'!I213),2)-MAX('Calc base'!D$12,ROUND('Calc base'!D$13*AU212,2))&lt;1,ROUND(AU212*(1+'Calc base'!I213),2),MAX('Calc base'!D$12,ROUND('Calc base'!D$13*AU212,2))))</f>
        <v>0</v>
      </c>
      <c r="L213">
        <f>IF(AV212&lt;=0,0,IF(ROUND(AV212*(1+'Calc base'!J213),2)-MAX('Calc base'!E$12,ROUND('Calc base'!E$13*AV212,2))&lt;1,ROUND(AV212*(1+'Calc base'!J213),2),MAX('Calc base'!E$12,ROUND('Calc base'!E$13*AV212,2))))</f>
        <v>0</v>
      </c>
      <c r="M213">
        <f>IF(AW212&lt;=0,0,IF(ROUND(AW212*(1+'Calc base'!K213),2)-MAX('Calc base'!F$12,ROUND('Calc base'!F$13*AW212,2))&lt;1,ROUND(AW212*(1+'Calc base'!K213),2),MAX('Calc base'!F$12,ROUND('Calc base'!F$13*AW212,2))))</f>
        <v>0</v>
      </c>
      <c r="N213">
        <f>IF(AX212&lt;=0,0,IF(ROUND(AX212*(1+'Calc base'!L213),2)-MAX('Calc base'!G$12,ROUND('Calc base'!G$13*AX212,2))&lt;1,ROUND(AX212*(1+'Calc base'!L213),2),MAX('Calc base'!G$12,ROUND('Calc base'!G$13*AX212,2))))</f>
        <v>0</v>
      </c>
      <c r="O213">
        <f>IF(AY212&lt;=0,0,IF(ROUND(AY212*(1+'Calc base'!M213),2)-MAX('Calc base'!H$12,ROUND('Calc base'!H$13*AY212,2))&lt;1,ROUND(AY212*(1+'Calc base'!M213),2),MAX('Calc base'!H$12,ROUND('Calc base'!H$13*AY212,2))))</f>
        <v>0</v>
      </c>
      <c r="P213">
        <f>IF(AZ212&lt;=0,0,IF(ROUND(AZ212*(1+'Calc base'!N213),2)-MAX('Calc base'!I$12,ROUND('Calc base'!I$13*AZ212,2))&lt;1,ROUND(AZ212*(1+'Calc base'!N213),2),MAX('Calc base'!I$12,ROUND('Calc base'!I$13*AZ212,2))))</f>
        <v>0</v>
      </c>
      <c r="Q213">
        <f>IF(BA212&lt;=0,0,IF(ROUND(BA212*(1+'Calc base'!O213),2)-MAX('Calc base'!J$12,ROUND('Calc base'!J$13*BA212,2))&lt;1,ROUND(BA212*(1+'Calc base'!O213),2),MAX('Calc base'!J$12,ROUND('Calc base'!J$13*BA212,2))))</f>
        <v>0</v>
      </c>
      <c r="R213">
        <f>IF(BB212&lt;=0,0,IF(ROUND(BB212*(1+'Calc base'!P213),2)-MAX('Calc base'!K$12,ROUND('Calc base'!K$13*BB212,2))&lt;1,ROUND(BB212*(1+'Calc base'!P213),2),MAX('Calc base'!K$12,ROUND('Calc base'!K$13*BB212,2))))</f>
        <v>0</v>
      </c>
      <c r="S213">
        <f>IF(BC212&lt;=0,0,IF(ROUND(BC212*(1+'Calc base'!Q213),2)-MAX('Calc base'!L$12,ROUND('Calc base'!L$13*BC212,2))&lt;1,ROUND(BC212*(1+'Calc base'!Q213),2),MAX('Calc base'!L$12,ROUND('Calc base'!L$13*BC212,2))))</f>
        <v>0</v>
      </c>
      <c r="T213">
        <f>IF(BD212&lt;=0,0,IF(ROUND(BD212*(1+'Calc base'!R213),2)-MAX('Calc base'!M$12,ROUND('Calc base'!M$13*BD212,2))&lt;1,ROUND(BD212*(1+'Calc base'!R213),2),MAX('Calc base'!M$12,ROUND('Calc base'!M$13*BD212,2))))</f>
        <v>0</v>
      </c>
      <c r="U213">
        <f>IF(BE212&lt;=0,0,IF(ROUND(BE212*(1+'Calc base'!S213),2)-MAX('Calc base'!N$12,ROUND('Calc base'!N$13*BE212,2))&lt;1,ROUND(BE212*(1+'Calc base'!S213),2),MAX('Calc base'!N$12,ROUND('Calc base'!N$13*BE212,2))))</f>
        <v>0</v>
      </c>
      <c r="V213">
        <f>MAX(0,ROUND(AT212*(1+'Calc base'!H213),2)-J213-'Calc base'!T213)</f>
        <v>0</v>
      </c>
      <c r="W213">
        <f>MAX(0,ROUND(AU212*(1+'Calc base'!I213),2)-K213-'Calc base'!U213)</f>
        <v>0</v>
      </c>
      <c r="X213">
        <f>MAX(0,ROUND(AV212*(1+'Calc base'!J213),2)-L213-'Calc base'!V213)</f>
        <v>0</v>
      </c>
      <c r="Y213">
        <f>MAX(0,ROUND(AW212*(1+'Calc base'!K213),2)-M213-'Calc base'!W213)</f>
        <v>0</v>
      </c>
      <c r="Z213">
        <f>MAX(0,ROUND(AX212*(1+'Calc base'!L213),2)-N213-'Calc base'!X213)</f>
        <v>0</v>
      </c>
      <c r="AA213">
        <f>MAX(0,ROUND(AY212*(1+'Calc base'!M213),2)-O213-'Calc base'!Y213)</f>
        <v>0</v>
      </c>
      <c r="AB213">
        <f>MAX(0,ROUND(AZ212*(1+'Calc base'!N213),2)-P213-'Calc base'!Z213)</f>
        <v>0</v>
      </c>
      <c r="AC213">
        <f>MAX(0,ROUND(BA212*(1+'Calc base'!O213),2)-Q213-'Calc base'!AA213)</f>
        <v>0</v>
      </c>
      <c r="AD213">
        <f>MAX(0,ROUND(BB212*(1+'Calc base'!P213),2)-R213-'Calc base'!AB213)</f>
        <v>0</v>
      </c>
      <c r="AE213">
        <f>MAX(0,ROUND(BC212*(1+'Calc base'!Q213),2)-S213-'Calc base'!AC213)</f>
        <v>0</v>
      </c>
      <c r="AF213">
        <f>MAX(0,ROUND(BD212*(1+'Calc base'!R213),2)-T213-'Calc base'!AD213)</f>
        <v>0</v>
      </c>
      <c r="AG213">
        <f>MAX(0,ROUND(BE212*(1+'Calc base'!S213),2)-U213-'Calc base'!AE213)</f>
        <v>0</v>
      </c>
      <c r="AH213">
        <f>IF('Calc base'!C$14=0,0,MIN(V213,MAX(0,$E213-SUMPRODUCT($V213:$AG213,'Calc base'!$C$14:$N$14,('Calc base'!$H213:$S213&gt;'Calc base'!H213)+('Calc base'!$H213:$S213='Calc base'!H213)*('Calc base'!$C$17:$N$17&lt;'Calc base'!C$17)))))</f>
        <v>0</v>
      </c>
      <c r="AI213">
        <f>IF('Calc base'!D$14=0,0,MIN(W213,MAX(0,$E213-SUMPRODUCT($V213:$AG213,'Calc base'!$C$14:$N$14,('Calc base'!$H213:$S213&gt;'Calc base'!I213)+('Calc base'!$H213:$S213='Calc base'!I213)*('Calc base'!$C$17:$N$17&lt;'Calc base'!D$17)))))</f>
        <v>0</v>
      </c>
      <c r="AJ213">
        <f>IF('Calc base'!E$14=0,0,MIN(X213,MAX(0,$E213-SUMPRODUCT($V213:$AG213,'Calc base'!$C$14:$N$14,('Calc base'!$H213:$S213&gt;'Calc base'!J213)+('Calc base'!$H213:$S213='Calc base'!J213)*('Calc base'!$C$17:$N$17&lt;'Calc base'!E$17)))))</f>
        <v>0</v>
      </c>
      <c r="AK213">
        <f>IF('Calc base'!F$14=0,0,MIN(Y213,MAX(0,$E213-SUMPRODUCT($V213:$AG213,'Calc base'!$C$14:$N$14,('Calc base'!$H213:$S213&gt;'Calc base'!K213)+('Calc base'!$H213:$S213='Calc base'!K213)*('Calc base'!$C$17:$N$17&lt;'Calc base'!F$17)))))</f>
        <v>0</v>
      </c>
      <c r="AL213">
        <f>IF('Calc base'!G$14=0,0,MIN(Z213,MAX(0,$E213-SUMPRODUCT($V213:$AG213,'Calc base'!$C$14:$N$14,('Calc base'!$H213:$S213&gt;'Calc base'!L213)+('Calc base'!$H213:$S213='Calc base'!L213)*('Calc base'!$C$17:$N$17&lt;'Calc base'!G$17)))))</f>
        <v>0</v>
      </c>
      <c r="AM213">
        <f>IF('Calc base'!H$14=0,0,MIN(AA213,MAX(0,$E213-SUMPRODUCT($V213:$AG213,'Calc base'!$C$14:$N$14,('Calc base'!$H213:$S213&gt;'Calc base'!M213)+('Calc base'!$H213:$S213='Calc base'!M213)*('Calc base'!$C$17:$N$17&lt;'Calc base'!H$17)))))</f>
        <v>0</v>
      </c>
      <c r="AN213">
        <f>IF('Calc base'!I$14=0,0,MIN(AB213,MAX(0,$E213-SUMPRODUCT($V213:$AG213,'Calc base'!$C$14:$N$14,('Calc base'!$H213:$S213&gt;'Calc base'!N213)+('Calc base'!$H213:$S213='Calc base'!N213)*('Calc base'!$C$17:$N$17&lt;'Calc base'!I$17)))))</f>
        <v>0</v>
      </c>
      <c r="AO213">
        <f>IF('Calc base'!J$14=0,0,MIN(AC213,MAX(0,$E213-SUMPRODUCT($V213:$AG213,'Calc base'!$C$14:$N$14,('Calc base'!$H213:$S213&gt;'Calc base'!O213)+('Calc base'!$H213:$S213='Calc base'!O213)*('Calc base'!$C$17:$N$17&lt;'Calc base'!J$17)))))</f>
        <v>0</v>
      </c>
      <c r="AP213">
        <f>IF('Calc base'!K$14=0,0,MIN(AD213,MAX(0,$E213-SUMPRODUCT($V213:$AG213,'Calc base'!$C$14:$N$14,('Calc base'!$H213:$S213&gt;'Calc base'!P213)+('Calc base'!$H213:$S213='Calc base'!P213)*('Calc base'!$C$17:$N$17&lt;'Calc base'!K$17)))))</f>
        <v>0</v>
      </c>
      <c r="AQ213">
        <f>IF('Calc base'!L$14=0,0,MIN(AE213,MAX(0,$E213-SUMPRODUCT($V213:$AG213,'Calc base'!$C$14:$N$14,('Calc base'!$H213:$S213&gt;'Calc base'!Q213)+('Calc base'!$H213:$S213='Calc base'!Q213)*('Calc base'!$C$17:$N$17&lt;'Calc base'!L$17)))))</f>
        <v>0</v>
      </c>
      <c r="AR213">
        <f>IF('Calc base'!M$14=0,0,MIN(AF213,MAX(0,$E213-SUMPRODUCT($V213:$AG213,'Calc base'!$C$14:$N$14,('Calc base'!$H213:$S213&gt;'Calc base'!R213)+('Calc base'!$H213:$S213='Calc base'!R213)*('Calc base'!$C$17:$N$17&lt;'Calc base'!M$17)))))</f>
        <v>0</v>
      </c>
      <c r="AS213">
        <f>IF('Calc base'!N$14=0,0,MIN(AG213,MAX(0,$E213-SUMPRODUCT($V213:$AG213,'Calc base'!$C$14:$N$14,('Calc base'!$H213:$S213&gt;'Calc base'!S213)+('Calc base'!$H213:$S213='Calc base'!S213)*('Calc base'!$C$17:$N$17&lt;'Calc base'!N$17)))))</f>
        <v>0</v>
      </c>
      <c r="AT213">
        <f>V213-AH213</f>
        <v>0</v>
      </c>
      <c r="AU213">
        <f>W213-AI213</f>
        <v>0</v>
      </c>
      <c r="AV213">
        <f>X213-AJ213</f>
        <v>0</v>
      </c>
      <c r="AW213">
        <f>Y213-AK213</f>
        <v>0</v>
      </c>
      <c r="AX213">
        <f>Z213-AL213</f>
        <v>0</v>
      </c>
      <c r="AY213">
        <f>AA213-AM213</f>
        <v>0</v>
      </c>
      <c r="AZ213">
        <f>AB213-AN213</f>
        <v>0</v>
      </c>
      <c r="BA213">
        <f>AC213-AO213</f>
        <v>0</v>
      </c>
      <c r="BB213">
        <f>AD213-AP213</f>
        <v>0</v>
      </c>
      <c r="BC213">
        <f>AE213-AQ213</f>
        <v>0</v>
      </c>
      <c r="BD213">
        <f>AF213-AR213</f>
        <v>0</v>
      </c>
      <c r="BE213">
        <f>AG213-AS213</f>
        <v>0</v>
      </c>
    </row>
    <row r="214">
      <c r="A214" t="n">
        <v>184</v>
      </c>
      <c r="B214">
        <f>SUMPRODUCT(ROUND($AT213:$BE213*(1+'Calc base'!$H214:$S214),2))</f>
        <v>0</v>
      </c>
      <c r="C214">
        <f>SUM(J214:U214)</f>
        <v>0</v>
      </c>
      <c r="D214">
        <f>SUM(V214:AG214)</f>
        <v>0</v>
      </c>
      <c r="E214">
        <f>MAX(0,IF(Impostazioni!$B$7="No",'Calc base'!$C214-$C$31,'Calc base'!$C214-C214)+'Calc base'!$G214+'Calc base'!$F214-(B214-C214-D214))</f>
        <v>900</v>
      </c>
      <c r="F214">
        <f>SUM(AH214:AS214)</f>
        <v>0</v>
      </c>
      <c r="G214">
        <f>SUM(AT214:BE214)</f>
        <v>0</v>
      </c>
      <c r="H214">
        <f>B214-G213</f>
        <v>0</v>
      </c>
      <c r="I214">
        <f>B214-G214</f>
        <v>0</v>
      </c>
      <c r="J214">
        <f>IF(AT213&lt;=0,0,IF(ROUND(AT213*(1+'Calc base'!H214),2)-MAX('Calc base'!C$12,ROUND('Calc base'!C$13*AT213,2))&lt;1,ROUND(AT213*(1+'Calc base'!H214),2),MAX('Calc base'!C$12,ROUND('Calc base'!C$13*AT213,2))))</f>
        <v>0</v>
      </c>
      <c r="K214">
        <f>IF(AU213&lt;=0,0,IF(ROUND(AU213*(1+'Calc base'!I214),2)-MAX('Calc base'!D$12,ROUND('Calc base'!D$13*AU213,2))&lt;1,ROUND(AU213*(1+'Calc base'!I214),2),MAX('Calc base'!D$12,ROUND('Calc base'!D$13*AU213,2))))</f>
        <v>0</v>
      </c>
      <c r="L214">
        <f>IF(AV213&lt;=0,0,IF(ROUND(AV213*(1+'Calc base'!J214),2)-MAX('Calc base'!E$12,ROUND('Calc base'!E$13*AV213,2))&lt;1,ROUND(AV213*(1+'Calc base'!J214),2),MAX('Calc base'!E$12,ROUND('Calc base'!E$13*AV213,2))))</f>
        <v>0</v>
      </c>
      <c r="M214">
        <f>IF(AW213&lt;=0,0,IF(ROUND(AW213*(1+'Calc base'!K214),2)-MAX('Calc base'!F$12,ROUND('Calc base'!F$13*AW213,2))&lt;1,ROUND(AW213*(1+'Calc base'!K214),2),MAX('Calc base'!F$12,ROUND('Calc base'!F$13*AW213,2))))</f>
        <v>0</v>
      </c>
      <c r="N214">
        <f>IF(AX213&lt;=0,0,IF(ROUND(AX213*(1+'Calc base'!L214),2)-MAX('Calc base'!G$12,ROUND('Calc base'!G$13*AX213,2))&lt;1,ROUND(AX213*(1+'Calc base'!L214),2),MAX('Calc base'!G$12,ROUND('Calc base'!G$13*AX213,2))))</f>
        <v>0</v>
      </c>
      <c r="O214">
        <f>IF(AY213&lt;=0,0,IF(ROUND(AY213*(1+'Calc base'!M214),2)-MAX('Calc base'!H$12,ROUND('Calc base'!H$13*AY213,2))&lt;1,ROUND(AY213*(1+'Calc base'!M214),2),MAX('Calc base'!H$12,ROUND('Calc base'!H$13*AY213,2))))</f>
        <v>0</v>
      </c>
      <c r="P214">
        <f>IF(AZ213&lt;=0,0,IF(ROUND(AZ213*(1+'Calc base'!N214),2)-MAX('Calc base'!I$12,ROUND('Calc base'!I$13*AZ213,2))&lt;1,ROUND(AZ213*(1+'Calc base'!N214),2),MAX('Calc base'!I$12,ROUND('Calc base'!I$13*AZ213,2))))</f>
        <v>0</v>
      </c>
      <c r="Q214">
        <f>IF(BA213&lt;=0,0,IF(ROUND(BA213*(1+'Calc base'!O214),2)-MAX('Calc base'!J$12,ROUND('Calc base'!J$13*BA213,2))&lt;1,ROUND(BA213*(1+'Calc base'!O214),2),MAX('Calc base'!J$12,ROUND('Calc base'!J$13*BA213,2))))</f>
        <v>0</v>
      </c>
      <c r="R214">
        <f>IF(BB213&lt;=0,0,IF(ROUND(BB213*(1+'Calc base'!P214),2)-MAX('Calc base'!K$12,ROUND('Calc base'!K$13*BB213,2))&lt;1,ROUND(BB213*(1+'Calc base'!P214),2),MAX('Calc base'!K$12,ROUND('Calc base'!K$13*BB213,2))))</f>
        <v>0</v>
      </c>
      <c r="S214">
        <f>IF(BC213&lt;=0,0,IF(ROUND(BC213*(1+'Calc base'!Q214),2)-MAX('Calc base'!L$12,ROUND('Calc base'!L$13*BC213,2))&lt;1,ROUND(BC213*(1+'Calc base'!Q214),2),MAX('Calc base'!L$12,ROUND('Calc base'!L$13*BC213,2))))</f>
        <v>0</v>
      </c>
      <c r="T214">
        <f>IF(BD213&lt;=0,0,IF(ROUND(BD213*(1+'Calc base'!R214),2)-MAX('Calc base'!M$12,ROUND('Calc base'!M$13*BD213,2))&lt;1,ROUND(BD213*(1+'Calc base'!R214),2),MAX('Calc base'!M$12,ROUND('Calc base'!M$13*BD213,2))))</f>
        <v>0</v>
      </c>
      <c r="U214">
        <f>IF(BE213&lt;=0,0,IF(ROUND(BE213*(1+'Calc base'!S214),2)-MAX('Calc base'!N$12,ROUND('Calc base'!N$13*BE213,2))&lt;1,ROUND(BE213*(1+'Calc base'!S214),2),MAX('Calc base'!N$12,ROUND('Calc base'!N$13*BE213,2))))</f>
        <v>0</v>
      </c>
      <c r="V214">
        <f>MAX(0,ROUND(AT213*(1+'Calc base'!H214),2)-J214-'Calc base'!T214)</f>
        <v>0</v>
      </c>
      <c r="W214">
        <f>MAX(0,ROUND(AU213*(1+'Calc base'!I214),2)-K214-'Calc base'!U214)</f>
        <v>0</v>
      </c>
      <c r="X214">
        <f>MAX(0,ROUND(AV213*(1+'Calc base'!J214),2)-L214-'Calc base'!V214)</f>
        <v>0</v>
      </c>
      <c r="Y214">
        <f>MAX(0,ROUND(AW213*(1+'Calc base'!K214),2)-M214-'Calc base'!W214)</f>
        <v>0</v>
      </c>
      <c r="Z214">
        <f>MAX(0,ROUND(AX213*(1+'Calc base'!L214),2)-N214-'Calc base'!X214)</f>
        <v>0</v>
      </c>
      <c r="AA214">
        <f>MAX(0,ROUND(AY213*(1+'Calc base'!M214),2)-O214-'Calc base'!Y214)</f>
        <v>0</v>
      </c>
      <c r="AB214">
        <f>MAX(0,ROUND(AZ213*(1+'Calc base'!N214),2)-P214-'Calc base'!Z214)</f>
        <v>0</v>
      </c>
      <c r="AC214">
        <f>MAX(0,ROUND(BA213*(1+'Calc base'!O214),2)-Q214-'Calc base'!AA214)</f>
        <v>0</v>
      </c>
      <c r="AD214">
        <f>MAX(0,ROUND(BB213*(1+'Calc base'!P214),2)-R214-'Calc base'!AB214)</f>
        <v>0</v>
      </c>
      <c r="AE214">
        <f>MAX(0,ROUND(BC213*(1+'Calc base'!Q214),2)-S214-'Calc base'!AC214)</f>
        <v>0</v>
      </c>
      <c r="AF214">
        <f>MAX(0,ROUND(BD213*(1+'Calc base'!R214),2)-T214-'Calc base'!AD214)</f>
        <v>0</v>
      </c>
      <c r="AG214">
        <f>MAX(0,ROUND(BE213*(1+'Calc base'!S214),2)-U214-'Calc base'!AE214)</f>
        <v>0</v>
      </c>
      <c r="AH214">
        <f>IF('Calc base'!C$14=0,0,MIN(V214,MAX(0,$E214-SUMPRODUCT($V214:$AG214,'Calc base'!$C$14:$N$14,('Calc base'!$H214:$S214&gt;'Calc base'!H214)+('Calc base'!$H214:$S214='Calc base'!H214)*('Calc base'!$C$17:$N$17&lt;'Calc base'!C$17)))))</f>
        <v>0</v>
      </c>
      <c r="AI214">
        <f>IF('Calc base'!D$14=0,0,MIN(W214,MAX(0,$E214-SUMPRODUCT($V214:$AG214,'Calc base'!$C$14:$N$14,('Calc base'!$H214:$S214&gt;'Calc base'!I214)+('Calc base'!$H214:$S214='Calc base'!I214)*('Calc base'!$C$17:$N$17&lt;'Calc base'!D$17)))))</f>
        <v>0</v>
      </c>
      <c r="AJ214">
        <f>IF('Calc base'!E$14=0,0,MIN(X214,MAX(0,$E214-SUMPRODUCT($V214:$AG214,'Calc base'!$C$14:$N$14,('Calc base'!$H214:$S214&gt;'Calc base'!J214)+('Calc base'!$H214:$S214='Calc base'!J214)*('Calc base'!$C$17:$N$17&lt;'Calc base'!E$17)))))</f>
        <v>0</v>
      </c>
      <c r="AK214">
        <f>IF('Calc base'!F$14=0,0,MIN(Y214,MAX(0,$E214-SUMPRODUCT($V214:$AG214,'Calc base'!$C$14:$N$14,('Calc base'!$H214:$S214&gt;'Calc base'!K214)+('Calc base'!$H214:$S214='Calc base'!K214)*('Calc base'!$C$17:$N$17&lt;'Calc base'!F$17)))))</f>
        <v>0</v>
      </c>
      <c r="AL214">
        <f>IF('Calc base'!G$14=0,0,MIN(Z214,MAX(0,$E214-SUMPRODUCT($V214:$AG214,'Calc base'!$C$14:$N$14,('Calc base'!$H214:$S214&gt;'Calc base'!L214)+('Calc base'!$H214:$S214='Calc base'!L214)*('Calc base'!$C$17:$N$17&lt;'Calc base'!G$17)))))</f>
        <v>0</v>
      </c>
      <c r="AM214">
        <f>IF('Calc base'!H$14=0,0,MIN(AA214,MAX(0,$E214-SUMPRODUCT($V214:$AG214,'Calc base'!$C$14:$N$14,('Calc base'!$H214:$S214&gt;'Calc base'!M214)+('Calc base'!$H214:$S214='Calc base'!M214)*('Calc base'!$C$17:$N$17&lt;'Calc base'!H$17)))))</f>
        <v>0</v>
      </c>
      <c r="AN214">
        <f>IF('Calc base'!I$14=0,0,MIN(AB214,MAX(0,$E214-SUMPRODUCT($V214:$AG214,'Calc base'!$C$14:$N$14,('Calc base'!$H214:$S214&gt;'Calc base'!N214)+('Calc base'!$H214:$S214='Calc base'!N214)*('Calc base'!$C$17:$N$17&lt;'Calc base'!I$17)))))</f>
        <v>0</v>
      </c>
      <c r="AO214">
        <f>IF('Calc base'!J$14=0,0,MIN(AC214,MAX(0,$E214-SUMPRODUCT($V214:$AG214,'Calc base'!$C$14:$N$14,('Calc base'!$H214:$S214&gt;'Calc base'!O214)+('Calc base'!$H214:$S214='Calc base'!O214)*('Calc base'!$C$17:$N$17&lt;'Calc base'!J$17)))))</f>
        <v>0</v>
      </c>
      <c r="AP214">
        <f>IF('Calc base'!K$14=0,0,MIN(AD214,MAX(0,$E214-SUMPRODUCT($V214:$AG214,'Calc base'!$C$14:$N$14,('Calc base'!$H214:$S214&gt;'Calc base'!P214)+('Calc base'!$H214:$S214='Calc base'!P214)*('Calc base'!$C$17:$N$17&lt;'Calc base'!K$17)))))</f>
        <v>0</v>
      </c>
      <c r="AQ214">
        <f>IF('Calc base'!L$14=0,0,MIN(AE214,MAX(0,$E214-SUMPRODUCT($V214:$AG214,'Calc base'!$C$14:$N$14,('Calc base'!$H214:$S214&gt;'Calc base'!Q214)+('Calc base'!$H214:$S214='Calc base'!Q214)*('Calc base'!$C$17:$N$17&lt;'Calc base'!L$17)))))</f>
        <v>0</v>
      </c>
      <c r="AR214">
        <f>IF('Calc base'!M$14=0,0,MIN(AF214,MAX(0,$E214-SUMPRODUCT($V214:$AG214,'Calc base'!$C$14:$N$14,('Calc base'!$H214:$S214&gt;'Calc base'!R214)+('Calc base'!$H214:$S214='Calc base'!R214)*('Calc base'!$C$17:$N$17&lt;'Calc base'!M$17)))))</f>
        <v>0</v>
      </c>
      <c r="AS214">
        <f>IF('Calc base'!N$14=0,0,MIN(AG214,MAX(0,$E214-SUMPRODUCT($V214:$AG214,'Calc base'!$C$14:$N$14,('Calc base'!$H214:$S214&gt;'Calc base'!S214)+('Calc base'!$H214:$S214='Calc base'!S214)*('Calc base'!$C$17:$N$17&lt;'Calc base'!N$17)))))</f>
        <v>0</v>
      </c>
      <c r="AT214">
        <f>V214-AH214</f>
        <v>0</v>
      </c>
      <c r="AU214">
        <f>W214-AI214</f>
        <v>0</v>
      </c>
      <c r="AV214">
        <f>X214-AJ214</f>
        <v>0</v>
      </c>
      <c r="AW214">
        <f>Y214-AK214</f>
        <v>0</v>
      </c>
      <c r="AX214">
        <f>Z214-AL214</f>
        <v>0</v>
      </c>
      <c r="AY214">
        <f>AA214-AM214</f>
        <v>0</v>
      </c>
      <c r="AZ214">
        <f>AB214-AN214</f>
        <v>0</v>
      </c>
      <c r="BA214">
        <f>AC214-AO214</f>
        <v>0</v>
      </c>
      <c r="BB214">
        <f>AD214-AP214</f>
        <v>0</v>
      </c>
      <c r="BC214">
        <f>AE214-AQ214</f>
        <v>0</v>
      </c>
      <c r="BD214">
        <f>AF214-AR214</f>
        <v>0</v>
      </c>
      <c r="BE214">
        <f>AG214-AS214</f>
        <v>0</v>
      </c>
    </row>
    <row r="215">
      <c r="A215" t="n">
        <v>185</v>
      </c>
      <c r="B215">
        <f>SUMPRODUCT(ROUND($AT214:$BE214*(1+'Calc base'!$H215:$S215),2))</f>
        <v>0</v>
      </c>
      <c r="C215">
        <f>SUM(J215:U215)</f>
        <v>0</v>
      </c>
      <c r="D215">
        <f>SUM(V215:AG215)</f>
        <v>0</v>
      </c>
      <c r="E215">
        <f>MAX(0,IF(Impostazioni!$B$7="No",'Calc base'!$C215-$C$31,'Calc base'!$C215-C215)+'Calc base'!$G215+'Calc base'!$F215-(B215-C215-D215))</f>
        <v>900</v>
      </c>
      <c r="F215">
        <f>SUM(AH215:AS215)</f>
        <v>0</v>
      </c>
      <c r="G215">
        <f>SUM(AT215:BE215)</f>
        <v>0</v>
      </c>
      <c r="H215">
        <f>B215-G214</f>
        <v>0</v>
      </c>
      <c r="I215">
        <f>B215-G215</f>
        <v>0</v>
      </c>
      <c r="J215">
        <f>IF(AT214&lt;=0,0,IF(ROUND(AT214*(1+'Calc base'!H215),2)-MAX('Calc base'!C$12,ROUND('Calc base'!C$13*AT214,2))&lt;1,ROUND(AT214*(1+'Calc base'!H215),2),MAX('Calc base'!C$12,ROUND('Calc base'!C$13*AT214,2))))</f>
        <v>0</v>
      </c>
      <c r="K215">
        <f>IF(AU214&lt;=0,0,IF(ROUND(AU214*(1+'Calc base'!I215),2)-MAX('Calc base'!D$12,ROUND('Calc base'!D$13*AU214,2))&lt;1,ROUND(AU214*(1+'Calc base'!I215),2),MAX('Calc base'!D$12,ROUND('Calc base'!D$13*AU214,2))))</f>
        <v>0</v>
      </c>
      <c r="L215">
        <f>IF(AV214&lt;=0,0,IF(ROUND(AV214*(1+'Calc base'!J215),2)-MAX('Calc base'!E$12,ROUND('Calc base'!E$13*AV214,2))&lt;1,ROUND(AV214*(1+'Calc base'!J215),2),MAX('Calc base'!E$12,ROUND('Calc base'!E$13*AV214,2))))</f>
        <v>0</v>
      </c>
      <c r="M215">
        <f>IF(AW214&lt;=0,0,IF(ROUND(AW214*(1+'Calc base'!K215),2)-MAX('Calc base'!F$12,ROUND('Calc base'!F$13*AW214,2))&lt;1,ROUND(AW214*(1+'Calc base'!K215),2),MAX('Calc base'!F$12,ROUND('Calc base'!F$13*AW214,2))))</f>
        <v>0</v>
      </c>
      <c r="N215">
        <f>IF(AX214&lt;=0,0,IF(ROUND(AX214*(1+'Calc base'!L215),2)-MAX('Calc base'!G$12,ROUND('Calc base'!G$13*AX214,2))&lt;1,ROUND(AX214*(1+'Calc base'!L215),2),MAX('Calc base'!G$12,ROUND('Calc base'!G$13*AX214,2))))</f>
        <v>0</v>
      </c>
      <c r="O215">
        <f>IF(AY214&lt;=0,0,IF(ROUND(AY214*(1+'Calc base'!M215),2)-MAX('Calc base'!H$12,ROUND('Calc base'!H$13*AY214,2))&lt;1,ROUND(AY214*(1+'Calc base'!M215),2),MAX('Calc base'!H$12,ROUND('Calc base'!H$13*AY214,2))))</f>
        <v>0</v>
      </c>
      <c r="P215">
        <f>IF(AZ214&lt;=0,0,IF(ROUND(AZ214*(1+'Calc base'!N215),2)-MAX('Calc base'!I$12,ROUND('Calc base'!I$13*AZ214,2))&lt;1,ROUND(AZ214*(1+'Calc base'!N215),2),MAX('Calc base'!I$12,ROUND('Calc base'!I$13*AZ214,2))))</f>
        <v>0</v>
      </c>
      <c r="Q215">
        <f>IF(BA214&lt;=0,0,IF(ROUND(BA214*(1+'Calc base'!O215),2)-MAX('Calc base'!J$12,ROUND('Calc base'!J$13*BA214,2))&lt;1,ROUND(BA214*(1+'Calc base'!O215),2),MAX('Calc base'!J$12,ROUND('Calc base'!J$13*BA214,2))))</f>
        <v>0</v>
      </c>
      <c r="R215">
        <f>IF(BB214&lt;=0,0,IF(ROUND(BB214*(1+'Calc base'!P215),2)-MAX('Calc base'!K$12,ROUND('Calc base'!K$13*BB214,2))&lt;1,ROUND(BB214*(1+'Calc base'!P215),2),MAX('Calc base'!K$12,ROUND('Calc base'!K$13*BB214,2))))</f>
        <v>0</v>
      </c>
      <c r="S215">
        <f>IF(BC214&lt;=0,0,IF(ROUND(BC214*(1+'Calc base'!Q215),2)-MAX('Calc base'!L$12,ROUND('Calc base'!L$13*BC214,2))&lt;1,ROUND(BC214*(1+'Calc base'!Q215),2),MAX('Calc base'!L$12,ROUND('Calc base'!L$13*BC214,2))))</f>
        <v>0</v>
      </c>
      <c r="T215">
        <f>IF(BD214&lt;=0,0,IF(ROUND(BD214*(1+'Calc base'!R215),2)-MAX('Calc base'!M$12,ROUND('Calc base'!M$13*BD214,2))&lt;1,ROUND(BD214*(1+'Calc base'!R215),2),MAX('Calc base'!M$12,ROUND('Calc base'!M$13*BD214,2))))</f>
        <v>0</v>
      </c>
      <c r="U215">
        <f>IF(BE214&lt;=0,0,IF(ROUND(BE214*(1+'Calc base'!S215),2)-MAX('Calc base'!N$12,ROUND('Calc base'!N$13*BE214,2))&lt;1,ROUND(BE214*(1+'Calc base'!S215),2),MAX('Calc base'!N$12,ROUND('Calc base'!N$13*BE214,2))))</f>
        <v>0</v>
      </c>
      <c r="V215">
        <f>MAX(0,ROUND(AT214*(1+'Calc base'!H215),2)-J215-'Calc base'!T215)</f>
        <v>0</v>
      </c>
      <c r="W215">
        <f>MAX(0,ROUND(AU214*(1+'Calc base'!I215),2)-K215-'Calc base'!U215)</f>
        <v>0</v>
      </c>
      <c r="X215">
        <f>MAX(0,ROUND(AV214*(1+'Calc base'!J215),2)-L215-'Calc base'!V215)</f>
        <v>0</v>
      </c>
      <c r="Y215">
        <f>MAX(0,ROUND(AW214*(1+'Calc base'!K215),2)-M215-'Calc base'!W215)</f>
        <v>0</v>
      </c>
      <c r="Z215">
        <f>MAX(0,ROUND(AX214*(1+'Calc base'!L215),2)-N215-'Calc base'!X215)</f>
        <v>0</v>
      </c>
      <c r="AA215">
        <f>MAX(0,ROUND(AY214*(1+'Calc base'!M215),2)-O215-'Calc base'!Y215)</f>
        <v>0</v>
      </c>
      <c r="AB215">
        <f>MAX(0,ROUND(AZ214*(1+'Calc base'!N215),2)-P215-'Calc base'!Z215)</f>
        <v>0</v>
      </c>
      <c r="AC215">
        <f>MAX(0,ROUND(BA214*(1+'Calc base'!O215),2)-Q215-'Calc base'!AA215)</f>
        <v>0</v>
      </c>
      <c r="AD215">
        <f>MAX(0,ROUND(BB214*(1+'Calc base'!P215),2)-R215-'Calc base'!AB215)</f>
        <v>0</v>
      </c>
      <c r="AE215">
        <f>MAX(0,ROUND(BC214*(1+'Calc base'!Q215),2)-S215-'Calc base'!AC215)</f>
        <v>0</v>
      </c>
      <c r="AF215">
        <f>MAX(0,ROUND(BD214*(1+'Calc base'!R215),2)-T215-'Calc base'!AD215)</f>
        <v>0</v>
      </c>
      <c r="AG215">
        <f>MAX(0,ROUND(BE214*(1+'Calc base'!S215),2)-U215-'Calc base'!AE215)</f>
        <v>0</v>
      </c>
      <c r="AH215">
        <f>IF('Calc base'!C$14=0,0,MIN(V215,MAX(0,$E215-SUMPRODUCT($V215:$AG215,'Calc base'!$C$14:$N$14,('Calc base'!$H215:$S215&gt;'Calc base'!H215)+('Calc base'!$H215:$S215='Calc base'!H215)*('Calc base'!$C$17:$N$17&lt;'Calc base'!C$17)))))</f>
        <v>0</v>
      </c>
      <c r="AI215">
        <f>IF('Calc base'!D$14=0,0,MIN(W215,MAX(0,$E215-SUMPRODUCT($V215:$AG215,'Calc base'!$C$14:$N$14,('Calc base'!$H215:$S215&gt;'Calc base'!I215)+('Calc base'!$H215:$S215='Calc base'!I215)*('Calc base'!$C$17:$N$17&lt;'Calc base'!D$17)))))</f>
        <v>0</v>
      </c>
      <c r="AJ215">
        <f>IF('Calc base'!E$14=0,0,MIN(X215,MAX(0,$E215-SUMPRODUCT($V215:$AG215,'Calc base'!$C$14:$N$14,('Calc base'!$H215:$S215&gt;'Calc base'!J215)+('Calc base'!$H215:$S215='Calc base'!J215)*('Calc base'!$C$17:$N$17&lt;'Calc base'!E$17)))))</f>
        <v>0</v>
      </c>
      <c r="AK215">
        <f>IF('Calc base'!F$14=0,0,MIN(Y215,MAX(0,$E215-SUMPRODUCT($V215:$AG215,'Calc base'!$C$14:$N$14,('Calc base'!$H215:$S215&gt;'Calc base'!K215)+('Calc base'!$H215:$S215='Calc base'!K215)*('Calc base'!$C$17:$N$17&lt;'Calc base'!F$17)))))</f>
        <v>0</v>
      </c>
      <c r="AL215">
        <f>IF('Calc base'!G$14=0,0,MIN(Z215,MAX(0,$E215-SUMPRODUCT($V215:$AG215,'Calc base'!$C$14:$N$14,('Calc base'!$H215:$S215&gt;'Calc base'!L215)+('Calc base'!$H215:$S215='Calc base'!L215)*('Calc base'!$C$17:$N$17&lt;'Calc base'!G$17)))))</f>
        <v>0</v>
      </c>
      <c r="AM215">
        <f>IF('Calc base'!H$14=0,0,MIN(AA215,MAX(0,$E215-SUMPRODUCT($V215:$AG215,'Calc base'!$C$14:$N$14,('Calc base'!$H215:$S215&gt;'Calc base'!M215)+('Calc base'!$H215:$S215='Calc base'!M215)*('Calc base'!$C$17:$N$17&lt;'Calc base'!H$17)))))</f>
        <v>0</v>
      </c>
      <c r="AN215">
        <f>IF('Calc base'!I$14=0,0,MIN(AB215,MAX(0,$E215-SUMPRODUCT($V215:$AG215,'Calc base'!$C$14:$N$14,('Calc base'!$H215:$S215&gt;'Calc base'!N215)+('Calc base'!$H215:$S215='Calc base'!N215)*('Calc base'!$C$17:$N$17&lt;'Calc base'!I$17)))))</f>
        <v>0</v>
      </c>
      <c r="AO215">
        <f>IF('Calc base'!J$14=0,0,MIN(AC215,MAX(0,$E215-SUMPRODUCT($V215:$AG215,'Calc base'!$C$14:$N$14,('Calc base'!$H215:$S215&gt;'Calc base'!O215)+('Calc base'!$H215:$S215='Calc base'!O215)*('Calc base'!$C$17:$N$17&lt;'Calc base'!J$17)))))</f>
        <v>0</v>
      </c>
      <c r="AP215">
        <f>IF('Calc base'!K$14=0,0,MIN(AD215,MAX(0,$E215-SUMPRODUCT($V215:$AG215,'Calc base'!$C$14:$N$14,('Calc base'!$H215:$S215&gt;'Calc base'!P215)+('Calc base'!$H215:$S215='Calc base'!P215)*('Calc base'!$C$17:$N$17&lt;'Calc base'!K$17)))))</f>
        <v>0</v>
      </c>
      <c r="AQ215">
        <f>IF('Calc base'!L$14=0,0,MIN(AE215,MAX(0,$E215-SUMPRODUCT($V215:$AG215,'Calc base'!$C$14:$N$14,('Calc base'!$H215:$S215&gt;'Calc base'!Q215)+('Calc base'!$H215:$S215='Calc base'!Q215)*('Calc base'!$C$17:$N$17&lt;'Calc base'!L$17)))))</f>
        <v>0</v>
      </c>
      <c r="AR215">
        <f>IF('Calc base'!M$14=0,0,MIN(AF215,MAX(0,$E215-SUMPRODUCT($V215:$AG215,'Calc base'!$C$14:$N$14,('Calc base'!$H215:$S215&gt;'Calc base'!R215)+('Calc base'!$H215:$S215='Calc base'!R215)*('Calc base'!$C$17:$N$17&lt;'Calc base'!M$17)))))</f>
        <v>0</v>
      </c>
      <c r="AS215">
        <f>IF('Calc base'!N$14=0,0,MIN(AG215,MAX(0,$E215-SUMPRODUCT($V215:$AG215,'Calc base'!$C$14:$N$14,('Calc base'!$H215:$S215&gt;'Calc base'!S215)+('Calc base'!$H215:$S215='Calc base'!S215)*('Calc base'!$C$17:$N$17&lt;'Calc base'!N$17)))))</f>
        <v>0</v>
      </c>
      <c r="AT215">
        <f>V215-AH215</f>
        <v>0</v>
      </c>
      <c r="AU215">
        <f>W215-AI215</f>
        <v>0</v>
      </c>
      <c r="AV215">
        <f>X215-AJ215</f>
        <v>0</v>
      </c>
      <c r="AW215">
        <f>Y215-AK215</f>
        <v>0</v>
      </c>
      <c r="AX215">
        <f>Z215-AL215</f>
        <v>0</v>
      </c>
      <c r="AY215">
        <f>AA215-AM215</f>
        <v>0</v>
      </c>
      <c r="AZ215">
        <f>AB215-AN215</f>
        <v>0</v>
      </c>
      <c r="BA215">
        <f>AC215-AO215</f>
        <v>0</v>
      </c>
      <c r="BB215">
        <f>AD215-AP215</f>
        <v>0</v>
      </c>
      <c r="BC215">
        <f>AE215-AQ215</f>
        <v>0</v>
      </c>
      <c r="BD215">
        <f>AF215-AR215</f>
        <v>0</v>
      </c>
      <c r="BE215">
        <f>AG215-AS215</f>
        <v>0</v>
      </c>
    </row>
    <row r="216">
      <c r="A216" t="n">
        <v>186</v>
      </c>
      <c r="B216">
        <f>SUMPRODUCT(ROUND($AT215:$BE215*(1+'Calc base'!$H216:$S216),2))</f>
        <v>0</v>
      </c>
      <c r="C216">
        <f>SUM(J216:U216)</f>
        <v>0</v>
      </c>
      <c r="D216">
        <f>SUM(V216:AG216)</f>
        <v>0</v>
      </c>
      <c r="E216">
        <f>MAX(0,IF(Impostazioni!$B$7="No",'Calc base'!$C216-$C$31,'Calc base'!$C216-C216)+'Calc base'!$G216+'Calc base'!$F216-(B216-C216-D216))</f>
        <v>900</v>
      </c>
      <c r="F216">
        <f>SUM(AH216:AS216)</f>
        <v>0</v>
      </c>
      <c r="G216">
        <f>SUM(AT216:BE216)</f>
        <v>0</v>
      </c>
      <c r="H216">
        <f>B216-G215</f>
        <v>0</v>
      </c>
      <c r="I216">
        <f>B216-G216</f>
        <v>0</v>
      </c>
      <c r="J216">
        <f>IF(AT215&lt;=0,0,IF(ROUND(AT215*(1+'Calc base'!H216),2)-MAX('Calc base'!C$12,ROUND('Calc base'!C$13*AT215,2))&lt;1,ROUND(AT215*(1+'Calc base'!H216),2),MAX('Calc base'!C$12,ROUND('Calc base'!C$13*AT215,2))))</f>
        <v>0</v>
      </c>
      <c r="K216">
        <f>IF(AU215&lt;=0,0,IF(ROUND(AU215*(1+'Calc base'!I216),2)-MAX('Calc base'!D$12,ROUND('Calc base'!D$13*AU215,2))&lt;1,ROUND(AU215*(1+'Calc base'!I216),2),MAX('Calc base'!D$12,ROUND('Calc base'!D$13*AU215,2))))</f>
        <v>0</v>
      </c>
      <c r="L216">
        <f>IF(AV215&lt;=0,0,IF(ROUND(AV215*(1+'Calc base'!J216),2)-MAX('Calc base'!E$12,ROUND('Calc base'!E$13*AV215,2))&lt;1,ROUND(AV215*(1+'Calc base'!J216),2),MAX('Calc base'!E$12,ROUND('Calc base'!E$13*AV215,2))))</f>
        <v>0</v>
      </c>
      <c r="M216">
        <f>IF(AW215&lt;=0,0,IF(ROUND(AW215*(1+'Calc base'!K216),2)-MAX('Calc base'!F$12,ROUND('Calc base'!F$13*AW215,2))&lt;1,ROUND(AW215*(1+'Calc base'!K216),2),MAX('Calc base'!F$12,ROUND('Calc base'!F$13*AW215,2))))</f>
        <v>0</v>
      </c>
      <c r="N216">
        <f>IF(AX215&lt;=0,0,IF(ROUND(AX215*(1+'Calc base'!L216),2)-MAX('Calc base'!G$12,ROUND('Calc base'!G$13*AX215,2))&lt;1,ROUND(AX215*(1+'Calc base'!L216),2),MAX('Calc base'!G$12,ROUND('Calc base'!G$13*AX215,2))))</f>
        <v>0</v>
      </c>
      <c r="O216">
        <f>IF(AY215&lt;=0,0,IF(ROUND(AY215*(1+'Calc base'!M216),2)-MAX('Calc base'!H$12,ROUND('Calc base'!H$13*AY215,2))&lt;1,ROUND(AY215*(1+'Calc base'!M216),2),MAX('Calc base'!H$12,ROUND('Calc base'!H$13*AY215,2))))</f>
        <v>0</v>
      </c>
      <c r="P216">
        <f>IF(AZ215&lt;=0,0,IF(ROUND(AZ215*(1+'Calc base'!N216),2)-MAX('Calc base'!I$12,ROUND('Calc base'!I$13*AZ215,2))&lt;1,ROUND(AZ215*(1+'Calc base'!N216),2),MAX('Calc base'!I$12,ROUND('Calc base'!I$13*AZ215,2))))</f>
        <v>0</v>
      </c>
      <c r="Q216">
        <f>IF(BA215&lt;=0,0,IF(ROUND(BA215*(1+'Calc base'!O216),2)-MAX('Calc base'!J$12,ROUND('Calc base'!J$13*BA215,2))&lt;1,ROUND(BA215*(1+'Calc base'!O216),2),MAX('Calc base'!J$12,ROUND('Calc base'!J$13*BA215,2))))</f>
        <v>0</v>
      </c>
      <c r="R216">
        <f>IF(BB215&lt;=0,0,IF(ROUND(BB215*(1+'Calc base'!P216),2)-MAX('Calc base'!K$12,ROUND('Calc base'!K$13*BB215,2))&lt;1,ROUND(BB215*(1+'Calc base'!P216),2),MAX('Calc base'!K$12,ROUND('Calc base'!K$13*BB215,2))))</f>
        <v>0</v>
      </c>
      <c r="S216">
        <f>IF(BC215&lt;=0,0,IF(ROUND(BC215*(1+'Calc base'!Q216),2)-MAX('Calc base'!L$12,ROUND('Calc base'!L$13*BC215,2))&lt;1,ROUND(BC215*(1+'Calc base'!Q216),2),MAX('Calc base'!L$12,ROUND('Calc base'!L$13*BC215,2))))</f>
        <v>0</v>
      </c>
      <c r="T216">
        <f>IF(BD215&lt;=0,0,IF(ROUND(BD215*(1+'Calc base'!R216),2)-MAX('Calc base'!M$12,ROUND('Calc base'!M$13*BD215,2))&lt;1,ROUND(BD215*(1+'Calc base'!R216),2),MAX('Calc base'!M$12,ROUND('Calc base'!M$13*BD215,2))))</f>
        <v>0</v>
      </c>
      <c r="U216">
        <f>IF(BE215&lt;=0,0,IF(ROUND(BE215*(1+'Calc base'!S216),2)-MAX('Calc base'!N$12,ROUND('Calc base'!N$13*BE215,2))&lt;1,ROUND(BE215*(1+'Calc base'!S216),2),MAX('Calc base'!N$12,ROUND('Calc base'!N$13*BE215,2))))</f>
        <v>0</v>
      </c>
      <c r="V216">
        <f>MAX(0,ROUND(AT215*(1+'Calc base'!H216),2)-J216-'Calc base'!T216)</f>
        <v>0</v>
      </c>
      <c r="W216">
        <f>MAX(0,ROUND(AU215*(1+'Calc base'!I216),2)-K216-'Calc base'!U216)</f>
        <v>0</v>
      </c>
      <c r="X216">
        <f>MAX(0,ROUND(AV215*(1+'Calc base'!J216),2)-L216-'Calc base'!V216)</f>
        <v>0</v>
      </c>
      <c r="Y216">
        <f>MAX(0,ROUND(AW215*(1+'Calc base'!K216),2)-M216-'Calc base'!W216)</f>
        <v>0</v>
      </c>
      <c r="Z216">
        <f>MAX(0,ROUND(AX215*(1+'Calc base'!L216),2)-N216-'Calc base'!X216)</f>
        <v>0</v>
      </c>
      <c r="AA216">
        <f>MAX(0,ROUND(AY215*(1+'Calc base'!M216),2)-O216-'Calc base'!Y216)</f>
        <v>0</v>
      </c>
      <c r="AB216">
        <f>MAX(0,ROUND(AZ215*(1+'Calc base'!N216),2)-P216-'Calc base'!Z216)</f>
        <v>0</v>
      </c>
      <c r="AC216">
        <f>MAX(0,ROUND(BA215*(1+'Calc base'!O216),2)-Q216-'Calc base'!AA216)</f>
        <v>0</v>
      </c>
      <c r="AD216">
        <f>MAX(0,ROUND(BB215*(1+'Calc base'!P216),2)-R216-'Calc base'!AB216)</f>
        <v>0</v>
      </c>
      <c r="AE216">
        <f>MAX(0,ROUND(BC215*(1+'Calc base'!Q216),2)-S216-'Calc base'!AC216)</f>
        <v>0</v>
      </c>
      <c r="AF216">
        <f>MAX(0,ROUND(BD215*(1+'Calc base'!R216),2)-T216-'Calc base'!AD216)</f>
        <v>0</v>
      </c>
      <c r="AG216">
        <f>MAX(0,ROUND(BE215*(1+'Calc base'!S216),2)-U216-'Calc base'!AE216)</f>
        <v>0</v>
      </c>
      <c r="AH216">
        <f>IF('Calc base'!C$14=0,0,MIN(V216,MAX(0,$E216-SUMPRODUCT($V216:$AG216,'Calc base'!$C$14:$N$14,('Calc base'!$H216:$S216&gt;'Calc base'!H216)+('Calc base'!$H216:$S216='Calc base'!H216)*('Calc base'!$C$17:$N$17&lt;'Calc base'!C$17)))))</f>
        <v>0</v>
      </c>
      <c r="AI216">
        <f>IF('Calc base'!D$14=0,0,MIN(W216,MAX(0,$E216-SUMPRODUCT($V216:$AG216,'Calc base'!$C$14:$N$14,('Calc base'!$H216:$S216&gt;'Calc base'!I216)+('Calc base'!$H216:$S216='Calc base'!I216)*('Calc base'!$C$17:$N$17&lt;'Calc base'!D$17)))))</f>
        <v>0</v>
      </c>
      <c r="AJ216">
        <f>IF('Calc base'!E$14=0,0,MIN(X216,MAX(0,$E216-SUMPRODUCT($V216:$AG216,'Calc base'!$C$14:$N$14,('Calc base'!$H216:$S216&gt;'Calc base'!J216)+('Calc base'!$H216:$S216='Calc base'!J216)*('Calc base'!$C$17:$N$17&lt;'Calc base'!E$17)))))</f>
        <v>0</v>
      </c>
      <c r="AK216">
        <f>IF('Calc base'!F$14=0,0,MIN(Y216,MAX(0,$E216-SUMPRODUCT($V216:$AG216,'Calc base'!$C$14:$N$14,('Calc base'!$H216:$S216&gt;'Calc base'!K216)+('Calc base'!$H216:$S216='Calc base'!K216)*('Calc base'!$C$17:$N$17&lt;'Calc base'!F$17)))))</f>
        <v>0</v>
      </c>
      <c r="AL216">
        <f>IF('Calc base'!G$14=0,0,MIN(Z216,MAX(0,$E216-SUMPRODUCT($V216:$AG216,'Calc base'!$C$14:$N$14,('Calc base'!$H216:$S216&gt;'Calc base'!L216)+('Calc base'!$H216:$S216='Calc base'!L216)*('Calc base'!$C$17:$N$17&lt;'Calc base'!G$17)))))</f>
        <v>0</v>
      </c>
      <c r="AM216">
        <f>IF('Calc base'!H$14=0,0,MIN(AA216,MAX(0,$E216-SUMPRODUCT($V216:$AG216,'Calc base'!$C$14:$N$14,('Calc base'!$H216:$S216&gt;'Calc base'!M216)+('Calc base'!$H216:$S216='Calc base'!M216)*('Calc base'!$C$17:$N$17&lt;'Calc base'!H$17)))))</f>
        <v>0</v>
      </c>
      <c r="AN216">
        <f>IF('Calc base'!I$14=0,0,MIN(AB216,MAX(0,$E216-SUMPRODUCT($V216:$AG216,'Calc base'!$C$14:$N$14,('Calc base'!$H216:$S216&gt;'Calc base'!N216)+('Calc base'!$H216:$S216='Calc base'!N216)*('Calc base'!$C$17:$N$17&lt;'Calc base'!I$17)))))</f>
        <v>0</v>
      </c>
      <c r="AO216">
        <f>IF('Calc base'!J$14=0,0,MIN(AC216,MAX(0,$E216-SUMPRODUCT($V216:$AG216,'Calc base'!$C$14:$N$14,('Calc base'!$H216:$S216&gt;'Calc base'!O216)+('Calc base'!$H216:$S216='Calc base'!O216)*('Calc base'!$C$17:$N$17&lt;'Calc base'!J$17)))))</f>
        <v>0</v>
      </c>
      <c r="AP216">
        <f>IF('Calc base'!K$14=0,0,MIN(AD216,MAX(0,$E216-SUMPRODUCT($V216:$AG216,'Calc base'!$C$14:$N$14,('Calc base'!$H216:$S216&gt;'Calc base'!P216)+('Calc base'!$H216:$S216='Calc base'!P216)*('Calc base'!$C$17:$N$17&lt;'Calc base'!K$17)))))</f>
        <v>0</v>
      </c>
      <c r="AQ216">
        <f>IF('Calc base'!L$14=0,0,MIN(AE216,MAX(0,$E216-SUMPRODUCT($V216:$AG216,'Calc base'!$C$14:$N$14,('Calc base'!$H216:$S216&gt;'Calc base'!Q216)+('Calc base'!$H216:$S216='Calc base'!Q216)*('Calc base'!$C$17:$N$17&lt;'Calc base'!L$17)))))</f>
        <v>0</v>
      </c>
      <c r="AR216">
        <f>IF('Calc base'!M$14=0,0,MIN(AF216,MAX(0,$E216-SUMPRODUCT($V216:$AG216,'Calc base'!$C$14:$N$14,('Calc base'!$H216:$S216&gt;'Calc base'!R216)+('Calc base'!$H216:$S216='Calc base'!R216)*('Calc base'!$C$17:$N$17&lt;'Calc base'!M$17)))))</f>
        <v>0</v>
      </c>
      <c r="AS216">
        <f>IF('Calc base'!N$14=0,0,MIN(AG216,MAX(0,$E216-SUMPRODUCT($V216:$AG216,'Calc base'!$C$14:$N$14,('Calc base'!$H216:$S216&gt;'Calc base'!S216)+('Calc base'!$H216:$S216='Calc base'!S216)*('Calc base'!$C$17:$N$17&lt;'Calc base'!N$17)))))</f>
        <v>0</v>
      </c>
      <c r="AT216">
        <f>V216-AH216</f>
        <v>0</v>
      </c>
      <c r="AU216">
        <f>W216-AI216</f>
        <v>0</v>
      </c>
      <c r="AV216">
        <f>X216-AJ216</f>
        <v>0</v>
      </c>
      <c r="AW216">
        <f>Y216-AK216</f>
        <v>0</v>
      </c>
      <c r="AX216">
        <f>Z216-AL216</f>
        <v>0</v>
      </c>
      <c r="AY216">
        <f>AA216-AM216</f>
        <v>0</v>
      </c>
      <c r="AZ216">
        <f>AB216-AN216</f>
        <v>0</v>
      </c>
      <c r="BA216">
        <f>AC216-AO216</f>
        <v>0</v>
      </c>
      <c r="BB216">
        <f>AD216-AP216</f>
        <v>0</v>
      </c>
      <c r="BC216">
        <f>AE216-AQ216</f>
        <v>0</v>
      </c>
      <c r="BD216">
        <f>AF216-AR216</f>
        <v>0</v>
      </c>
      <c r="BE216">
        <f>AG216-AS216</f>
        <v>0</v>
      </c>
    </row>
    <row r="217">
      <c r="A217" t="n">
        <v>187</v>
      </c>
      <c r="B217">
        <f>SUMPRODUCT(ROUND($AT216:$BE216*(1+'Calc base'!$H217:$S217),2))</f>
        <v>0</v>
      </c>
      <c r="C217">
        <f>SUM(J217:U217)</f>
        <v>0</v>
      </c>
      <c r="D217">
        <f>SUM(V217:AG217)</f>
        <v>0</v>
      </c>
      <c r="E217">
        <f>MAX(0,IF(Impostazioni!$B$7="No",'Calc base'!$C217-$C$31,'Calc base'!$C217-C217)+'Calc base'!$G217+'Calc base'!$F217-(B217-C217-D217))</f>
        <v>900</v>
      </c>
      <c r="F217">
        <f>SUM(AH217:AS217)</f>
        <v>0</v>
      </c>
      <c r="G217">
        <f>SUM(AT217:BE217)</f>
        <v>0</v>
      </c>
      <c r="H217">
        <f>B217-G216</f>
        <v>0</v>
      </c>
      <c r="I217">
        <f>B217-G217</f>
        <v>0</v>
      </c>
      <c r="J217">
        <f>IF(AT216&lt;=0,0,IF(ROUND(AT216*(1+'Calc base'!H217),2)-MAX('Calc base'!C$12,ROUND('Calc base'!C$13*AT216,2))&lt;1,ROUND(AT216*(1+'Calc base'!H217),2),MAX('Calc base'!C$12,ROUND('Calc base'!C$13*AT216,2))))</f>
        <v>0</v>
      </c>
      <c r="K217">
        <f>IF(AU216&lt;=0,0,IF(ROUND(AU216*(1+'Calc base'!I217),2)-MAX('Calc base'!D$12,ROUND('Calc base'!D$13*AU216,2))&lt;1,ROUND(AU216*(1+'Calc base'!I217),2),MAX('Calc base'!D$12,ROUND('Calc base'!D$13*AU216,2))))</f>
        <v>0</v>
      </c>
      <c r="L217">
        <f>IF(AV216&lt;=0,0,IF(ROUND(AV216*(1+'Calc base'!J217),2)-MAX('Calc base'!E$12,ROUND('Calc base'!E$13*AV216,2))&lt;1,ROUND(AV216*(1+'Calc base'!J217),2),MAX('Calc base'!E$12,ROUND('Calc base'!E$13*AV216,2))))</f>
        <v>0</v>
      </c>
      <c r="M217">
        <f>IF(AW216&lt;=0,0,IF(ROUND(AW216*(1+'Calc base'!K217),2)-MAX('Calc base'!F$12,ROUND('Calc base'!F$13*AW216,2))&lt;1,ROUND(AW216*(1+'Calc base'!K217),2),MAX('Calc base'!F$12,ROUND('Calc base'!F$13*AW216,2))))</f>
        <v>0</v>
      </c>
      <c r="N217">
        <f>IF(AX216&lt;=0,0,IF(ROUND(AX216*(1+'Calc base'!L217),2)-MAX('Calc base'!G$12,ROUND('Calc base'!G$13*AX216,2))&lt;1,ROUND(AX216*(1+'Calc base'!L217),2),MAX('Calc base'!G$12,ROUND('Calc base'!G$13*AX216,2))))</f>
        <v>0</v>
      </c>
      <c r="O217">
        <f>IF(AY216&lt;=0,0,IF(ROUND(AY216*(1+'Calc base'!M217),2)-MAX('Calc base'!H$12,ROUND('Calc base'!H$13*AY216,2))&lt;1,ROUND(AY216*(1+'Calc base'!M217),2),MAX('Calc base'!H$12,ROUND('Calc base'!H$13*AY216,2))))</f>
        <v>0</v>
      </c>
      <c r="P217">
        <f>IF(AZ216&lt;=0,0,IF(ROUND(AZ216*(1+'Calc base'!N217),2)-MAX('Calc base'!I$12,ROUND('Calc base'!I$13*AZ216,2))&lt;1,ROUND(AZ216*(1+'Calc base'!N217),2),MAX('Calc base'!I$12,ROUND('Calc base'!I$13*AZ216,2))))</f>
        <v>0</v>
      </c>
      <c r="Q217">
        <f>IF(BA216&lt;=0,0,IF(ROUND(BA216*(1+'Calc base'!O217),2)-MAX('Calc base'!J$12,ROUND('Calc base'!J$13*BA216,2))&lt;1,ROUND(BA216*(1+'Calc base'!O217),2),MAX('Calc base'!J$12,ROUND('Calc base'!J$13*BA216,2))))</f>
        <v>0</v>
      </c>
      <c r="R217">
        <f>IF(BB216&lt;=0,0,IF(ROUND(BB216*(1+'Calc base'!P217),2)-MAX('Calc base'!K$12,ROUND('Calc base'!K$13*BB216,2))&lt;1,ROUND(BB216*(1+'Calc base'!P217),2),MAX('Calc base'!K$12,ROUND('Calc base'!K$13*BB216,2))))</f>
        <v>0</v>
      </c>
      <c r="S217">
        <f>IF(BC216&lt;=0,0,IF(ROUND(BC216*(1+'Calc base'!Q217),2)-MAX('Calc base'!L$12,ROUND('Calc base'!L$13*BC216,2))&lt;1,ROUND(BC216*(1+'Calc base'!Q217),2),MAX('Calc base'!L$12,ROUND('Calc base'!L$13*BC216,2))))</f>
        <v>0</v>
      </c>
      <c r="T217">
        <f>IF(BD216&lt;=0,0,IF(ROUND(BD216*(1+'Calc base'!R217),2)-MAX('Calc base'!M$12,ROUND('Calc base'!M$13*BD216,2))&lt;1,ROUND(BD216*(1+'Calc base'!R217),2),MAX('Calc base'!M$12,ROUND('Calc base'!M$13*BD216,2))))</f>
        <v>0</v>
      </c>
      <c r="U217">
        <f>IF(BE216&lt;=0,0,IF(ROUND(BE216*(1+'Calc base'!S217),2)-MAX('Calc base'!N$12,ROUND('Calc base'!N$13*BE216,2))&lt;1,ROUND(BE216*(1+'Calc base'!S217),2),MAX('Calc base'!N$12,ROUND('Calc base'!N$13*BE216,2))))</f>
        <v>0</v>
      </c>
      <c r="V217">
        <f>MAX(0,ROUND(AT216*(1+'Calc base'!H217),2)-J217-'Calc base'!T217)</f>
        <v>0</v>
      </c>
      <c r="W217">
        <f>MAX(0,ROUND(AU216*(1+'Calc base'!I217),2)-K217-'Calc base'!U217)</f>
        <v>0</v>
      </c>
      <c r="X217">
        <f>MAX(0,ROUND(AV216*(1+'Calc base'!J217),2)-L217-'Calc base'!V217)</f>
        <v>0</v>
      </c>
      <c r="Y217">
        <f>MAX(0,ROUND(AW216*(1+'Calc base'!K217),2)-M217-'Calc base'!W217)</f>
        <v>0</v>
      </c>
      <c r="Z217">
        <f>MAX(0,ROUND(AX216*(1+'Calc base'!L217),2)-N217-'Calc base'!X217)</f>
        <v>0</v>
      </c>
      <c r="AA217">
        <f>MAX(0,ROUND(AY216*(1+'Calc base'!M217),2)-O217-'Calc base'!Y217)</f>
        <v>0</v>
      </c>
      <c r="AB217">
        <f>MAX(0,ROUND(AZ216*(1+'Calc base'!N217),2)-P217-'Calc base'!Z217)</f>
        <v>0</v>
      </c>
      <c r="AC217">
        <f>MAX(0,ROUND(BA216*(1+'Calc base'!O217),2)-Q217-'Calc base'!AA217)</f>
        <v>0</v>
      </c>
      <c r="AD217">
        <f>MAX(0,ROUND(BB216*(1+'Calc base'!P217),2)-R217-'Calc base'!AB217)</f>
        <v>0</v>
      </c>
      <c r="AE217">
        <f>MAX(0,ROUND(BC216*(1+'Calc base'!Q217),2)-S217-'Calc base'!AC217)</f>
        <v>0</v>
      </c>
      <c r="AF217">
        <f>MAX(0,ROUND(BD216*(1+'Calc base'!R217),2)-T217-'Calc base'!AD217)</f>
        <v>0</v>
      </c>
      <c r="AG217">
        <f>MAX(0,ROUND(BE216*(1+'Calc base'!S217),2)-U217-'Calc base'!AE217)</f>
        <v>0</v>
      </c>
      <c r="AH217">
        <f>IF('Calc base'!C$14=0,0,MIN(V217,MAX(0,$E217-SUMPRODUCT($V217:$AG217,'Calc base'!$C$14:$N$14,('Calc base'!$H217:$S217&gt;'Calc base'!H217)+('Calc base'!$H217:$S217='Calc base'!H217)*('Calc base'!$C$17:$N$17&lt;'Calc base'!C$17)))))</f>
        <v>0</v>
      </c>
      <c r="AI217">
        <f>IF('Calc base'!D$14=0,0,MIN(W217,MAX(0,$E217-SUMPRODUCT($V217:$AG217,'Calc base'!$C$14:$N$14,('Calc base'!$H217:$S217&gt;'Calc base'!I217)+('Calc base'!$H217:$S217='Calc base'!I217)*('Calc base'!$C$17:$N$17&lt;'Calc base'!D$17)))))</f>
        <v>0</v>
      </c>
      <c r="AJ217">
        <f>IF('Calc base'!E$14=0,0,MIN(X217,MAX(0,$E217-SUMPRODUCT($V217:$AG217,'Calc base'!$C$14:$N$14,('Calc base'!$H217:$S217&gt;'Calc base'!J217)+('Calc base'!$H217:$S217='Calc base'!J217)*('Calc base'!$C$17:$N$17&lt;'Calc base'!E$17)))))</f>
        <v>0</v>
      </c>
      <c r="AK217">
        <f>IF('Calc base'!F$14=0,0,MIN(Y217,MAX(0,$E217-SUMPRODUCT($V217:$AG217,'Calc base'!$C$14:$N$14,('Calc base'!$H217:$S217&gt;'Calc base'!K217)+('Calc base'!$H217:$S217='Calc base'!K217)*('Calc base'!$C$17:$N$17&lt;'Calc base'!F$17)))))</f>
        <v>0</v>
      </c>
      <c r="AL217">
        <f>IF('Calc base'!G$14=0,0,MIN(Z217,MAX(0,$E217-SUMPRODUCT($V217:$AG217,'Calc base'!$C$14:$N$14,('Calc base'!$H217:$S217&gt;'Calc base'!L217)+('Calc base'!$H217:$S217='Calc base'!L217)*('Calc base'!$C$17:$N$17&lt;'Calc base'!G$17)))))</f>
        <v>0</v>
      </c>
      <c r="AM217">
        <f>IF('Calc base'!H$14=0,0,MIN(AA217,MAX(0,$E217-SUMPRODUCT($V217:$AG217,'Calc base'!$C$14:$N$14,('Calc base'!$H217:$S217&gt;'Calc base'!M217)+('Calc base'!$H217:$S217='Calc base'!M217)*('Calc base'!$C$17:$N$17&lt;'Calc base'!H$17)))))</f>
        <v>0</v>
      </c>
      <c r="AN217">
        <f>IF('Calc base'!I$14=0,0,MIN(AB217,MAX(0,$E217-SUMPRODUCT($V217:$AG217,'Calc base'!$C$14:$N$14,('Calc base'!$H217:$S217&gt;'Calc base'!N217)+('Calc base'!$H217:$S217='Calc base'!N217)*('Calc base'!$C$17:$N$17&lt;'Calc base'!I$17)))))</f>
        <v>0</v>
      </c>
      <c r="AO217">
        <f>IF('Calc base'!J$14=0,0,MIN(AC217,MAX(0,$E217-SUMPRODUCT($V217:$AG217,'Calc base'!$C$14:$N$14,('Calc base'!$H217:$S217&gt;'Calc base'!O217)+('Calc base'!$H217:$S217='Calc base'!O217)*('Calc base'!$C$17:$N$17&lt;'Calc base'!J$17)))))</f>
        <v>0</v>
      </c>
      <c r="AP217">
        <f>IF('Calc base'!K$14=0,0,MIN(AD217,MAX(0,$E217-SUMPRODUCT($V217:$AG217,'Calc base'!$C$14:$N$14,('Calc base'!$H217:$S217&gt;'Calc base'!P217)+('Calc base'!$H217:$S217='Calc base'!P217)*('Calc base'!$C$17:$N$17&lt;'Calc base'!K$17)))))</f>
        <v>0</v>
      </c>
      <c r="AQ217">
        <f>IF('Calc base'!L$14=0,0,MIN(AE217,MAX(0,$E217-SUMPRODUCT($V217:$AG217,'Calc base'!$C$14:$N$14,('Calc base'!$H217:$S217&gt;'Calc base'!Q217)+('Calc base'!$H217:$S217='Calc base'!Q217)*('Calc base'!$C$17:$N$17&lt;'Calc base'!L$17)))))</f>
        <v>0</v>
      </c>
      <c r="AR217">
        <f>IF('Calc base'!M$14=0,0,MIN(AF217,MAX(0,$E217-SUMPRODUCT($V217:$AG217,'Calc base'!$C$14:$N$14,('Calc base'!$H217:$S217&gt;'Calc base'!R217)+('Calc base'!$H217:$S217='Calc base'!R217)*('Calc base'!$C$17:$N$17&lt;'Calc base'!M$17)))))</f>
        <v>0</v>
      </c>
      <c r="AS217">
        <f>IF('Calc base'!N$14=0,0,MIN(AG217,MAX(0,$E217-SUMPRODUCT($V217:$AG217,'Calc base'!$C$14:$N$14,('Calc base'!$H217:$S217&gt;'Calc base'!S217)+('Calc base'!$H217:$S217='Calc base'!S217)*('Calc base'!$C$17:$N$17&lt;'Calc base'!N$17)))))</f>
        <v>0</v>
      </c>
      <c r="AT217">
        <f>V217-AH217</f>
        <v>0</v>
      </c>
      <c r="AU217">
        <f>W217-AI217</f>
        <v>0</v>
      </c>
      <c r="AV217">
        <f>X217-AJ217</f>
        <v>0</v>
      </c>
      <c r="AW217">
        <f>Y217-AK217</f>
        <v>0</v>
      </c>
      <c r="AX217">
        <f>Z217-AL217</f>
        <v>0</v>
      </c>
      <c r="AY217">
        <f>AA217-AM217</f>
        <v>0</v>
      </c>
      <c r="AZ217">
        <f>AB217-AN217</f>
        <v>0</v>
      </c>
      <c r="BA217">
        <f>AC217-AO217</f>
        <v>0</v>
      </c>
      <c r="BB217">
        <f>AD217-AP217</f>
        <v>0</v>
      </c>
      <c r="BC217">
        <f>AE217-AQ217</f>
        <v>0</v>
      </c>
      <c r="BD217">
        <f>AF217-AR217</f>
        <v>0</v>
      </c>
      <c r="BE217">
        <f>AG217-AS217</f>
        <v>0</v>
      </c>
    </row>
    <row r="218">
      <c r="A218" t="n">
        <v>188</v>
      </c>
      <c r="B218">
        <f>SUMPRODUCT(ROUND($AT217:$BE217*(1+'Calc base'!$H218:$S218),2))</f>
        <v>0</v>
      </c>
      <c r="C218">
        <f>SUM(J218:U218)</f>
        <v>0</v>
      </c>
      <c r="D218">
        <f>SUM(V218:AG218)</f>
        <v>0</v>
      </c>
      <c r="E218">
        <f>MAX(0,IF(Impostazioni!$B$7="No",'Calc base'!$C218-$C$31,'Calc base'!$C218-C218)+'Calc base'!$G218+'Calc base'!$F218-(B218-C218-D218))</f>
        <v>900</v>
      </c>
      <c r="F218">
        <f>SUM(AH218:AS218)</f>
        <v>0</v>
      </c>
      <c r="G218">
        <f>SUM(AT218:BE218)</f>
        <v>0</v>
      </c>
      <c r="H218">
        <f>B218-G217</f>
        <v>0</v>
      </c>
      <c r="I218">
        <f>B218-G218</f>
        <v>0</v>
      </c>
      <c r="J218">
        <f>IF(AT217&lt;=0,0,IF(ROUND(AT217*(1+'Calc base'!H218),2)-MAX('Calc base'!C$12,ROUND('Calc base'!C$13*AT217,2))&lt;1,ROUND(AT217*(1+'Calc base'!H218),2),MAX('Calc base'!C$12,ROUND('Calc base'!C$13*AT217,2))))</f>
        <v>0</v>
      </c>
      <c r="K218">
        <f>IF(AU217&lt;=0,0,IF(ROUND(AU217*(1+'Calc base'!I218),2)-MAX('Calc base'!D$12,ROUND('Calc base'!D$13*AU217,2))&lt;1,ROUND(AU217*(1+'Calc base'!I218),2),MAX('Calc base'!D$12,ROUND('Calc base'!D$13*AU217,2))))</f>
        <v>0</v>
      </c>
      <c r="L218">
        <f>IF(AV217&lt;=0,0,IF(ROUND(AV217*(1+'Calc base'!J218),2)-MAX('Calc base'!E$12,ROUND('Calc base'!E$13*AV217,2))&lt;1,ROUND(AV217*(1+'Calc base'!J218),2),MAX('Calc base'!E$12,ROUND('Calc base'!E$13*AV217,2))))</f>
        <v>0</v>
      </c>
      <c r="M218">
        <f>IF(AW217&lt;=0,0,IF(ROUND(AW217*(1+'Calc base'!K218),2)-MAX('Calc base'!F$12,ROUND('Calc base'!F$13*AW217,2))&lt;1,ROUND(AW217*(1+'Calc base'!K218),2),MAX('Calc base'!F$12,ROUND('Calc base'!F$13*AW217,2))))</f>
        <v>0</v>
      </c>
      <c r="N218">
        <f>IF(AX217&lt;=0,0,IF(ROUND(AX217*(1+'Calc base'!L218),2)-MAX('Calc base'!G$12,ROUND('Calc base'!G$13*AX217,2))&lt;1,ROUND(AX217*(1+'Calc base'!L218),2),MAX('Calc base'!G$12,ROUND('Calc base'!G$13*AX217,2))))</f>
        <v>0</v>
      </c>
      <c r="O218">
        <f>IF(AY217&lt;=0,0,IF(ROUND(AY217*(1+'Calc base'!M218),2)-MAX('Calc base'!H$12,ROUND('Calc base'!H$13*AY217,2))&lt;1,ROUND(AY217*(1+'Calc base'!M218),2),MAX('Calc base'!H$12,ROUND('Calc base'!H$13*AY217,2))))</f>
        <v>0</v>
      </c>
      <c r="P218">
        <f>IF(AZ217&lt;=0,0,IF(ROUND(AZ217*(1+'Calc base'!N218),2)-MAX('Calc base'!I$12,ROUND('Calc base'!I$13*AZ217,2))&lt;1,ROUND(AZ217*(1+'Calc base'!N218),2),MAX('Calc base'!I$12,ROUND('Calc base'!I$13*AZ217,2))))</f>
        <v>0</v>
      </c>
      <c r="Q218">
        <f>IF(BA217&lt;=0,0,IF(ROUND(BA217*(1+'Calc base'!O218),2)-MAX('Calc base'!J$12,ROUND('Calc base'!J$13*BA217,2))&lt;1,ROUND(BA217*(1+'Calc base'!O218),2),MAX('Calc base'!J$12,ROUND('Calc base'!J$13*BA217,2))))</f>
        <v>0</v>
      </c>
      <c r="R218">
        <f>IF(BB217&lt;=0,0,IF(ROUND(BB217*(1+'Calc base'!P218),2)-MAX('Calc base'!K$12,ROUND('Calc base'!K$13*BB217,2))&lt;1,ROUND(BB217*(1+'Calc base'!P218),2),MAX('Calc base'!K$12,ROUND('Calc base'!K$13*BB217,2))))</f>
        <v>0</v>
      </c>
      <c r="S218">
        <f>IF(BC217&lt;=0,0,IF(ROUND(BC217*(1+'Calc base'!Q218),2)-MAX('Calc base'!L$12,ROUND('Calc base'!L$13*BC217,2))&lt;1,ROUND(BC217*(1+'Calc base'!Q218),2),MAX('Calc base'!L$12,ROUND('Calc base'!L$13*BC217,2))))</f>
        <v>0</v>
      </c>
      <c r="T218">
        <f>IF(BD217&lt;=0,0,IF(ROUND(BD217*(1+'Calc base'!R218),2)-MAX('Calc base'!M$12,ROUND('Calc base'!M$13*BD217,2))&lt;1,ROUND(BD217*(1+'Calc base'!R218),2),MAX('Calc base'!M$12,ROUND('Calc base'!M$13*BD217,2))))</f>
        <v>0</v>
      </c>
      <c r="U218">
        <f>IF(BE217&lt;=0,0,IF(ROUND(BE217*(1+'Calc base'!S218),2)-MAX('Calc base'!N$12,ROUND('Calc base'!N$13*BE217,2))&lt;1,ROUND(BE217*(1+'Calc base'!S218),2),MAX('Calc base'!N$12,ROUND('Calc base'!N$13*BE217,2))))</f>
        <v>0</v>
      </c>
      <c r="V218">
        <f>MAX(0,ROUND(AT217*(1+'Calc base'!H218),2)-J218-'Calc base'!T218)</f>
        <v>0</v>
      </c>
      <c r="W218">
        <f>MAX(0,ROUND(AU217*(1+'Calc base'!I218),2)-K218-'Calc base'!U218)</f>
        <v>0</v>
      </c>
      <c r="X218">
        <f>MAX(0,ROUND(AV217*(1+'Calc base'!J218),2)-L218-'Calc base'!V218)</f>
        <v>0</v>
      </c>
      <c r="Y218">
        <f>MAX(0,ROUND(AW217*(1+'Calc base'!K218),2)-M218-'Calc base'!W218)</f>
        <v>0</v>
      </c>
      <c r="Z218">
        <f>MAX(0,ROUND(AX217*(1+'Calc base'!L218),2)-N218-'Calc base'!X218)</f>
        <v>0</v>
      </c>
      <c r="AA218">
        <f>MAX(0,ROUND(AY217*(1+'Calc base'!M218),2)-O218-'Calc base'!Y218)</f>
        <v>0</v>
      </c>
      <c r="AB218">
        <f>MAX(0,ROUND(AZ217*(1+'Calc base'!N218),2)-P218-'Calc base'!Z218)</f>
        <v>0</v>
      </c>
      <c r="AC218">
        <f>MAX(0,ROUND(BA217*(1+'Calc base'!O218),2)-Q218-'Calc base'!AA218)</f>
        <v>0</v>
      </c>
      <c r="AD218">
        <f>MAX(0,ROUND(BB217*(1+'Calc base'!P218),2)-R218-'Calc base'!AB218)</f>
        <v>0</v>
      </c>
      <c r="AE218">
        <f>MAX(0,ROUND(BC217*(1+'Calc base'!Q218),2)-S218-'Calc base'!AC218)</f>
        <v>0</v>
      </c>
      <c r="AF218">
        <f>MAX(0,ROUND(BD217*(1+'Calc base'!R218),2)-T218-'Calc base'!AD218)</f>
        <v>0</v>
      </c>
      <c r="AG218">
        <f>MAX(0,ROUND(BE217*(1+'Calc base'!S218),2)-U218-'Calc base'!AE218)</f>
        <v>0</v>
      </c>
      <c r="AH218">
        <f>IF('Calc base'!C$14=0,0,MIN(V218,MAX(0,$E218-SUMPRODUCT($V218:$AG218,'Calc base'!$C$14:$N$14,('Calc base'!$H218:$S218&gt;'Calc base'!H218)+('Calc base'!$H218:$S218='Calc base'!H218)*('Calc base'!$C$17:$N$17&lt;'Calc base'!C$17)))))</f>
        <v>0</v>
      </c>
      <c r="AI218">
        <f>IF('Calc base'!D$14=0,0,MIN(W218,MAX(0,$E218-SUMPRODUCT($V218:$AG218,'Calc base'!$C$14:$N$14,('Calc base'!$H218:$S218&gt;'Calc base'!I218)+('Calc base'!$H218:$S218='Calc base'!I218)*('Calc base'!$C$17:$N$17&lt;'Calc base'!D$17)))))</f>
        <v>0</v>
      </c>
      <c r="AJ218">
        <f>IF('Calc base'!E$14=0,0,MIN(X218,MAX(0,$E218-SUMPRODUCT($V218:$AG218,'Calc base'!$C$14:$N$14,('Calc base'!$H218:$S218&gt;'Calc base'!J218)+('Calc base'!$H218:$S218='Calc base'!J218)*('Calc base'!$C$17:$N$17&lt;'Calc base'!E$17)))))</f>
        <v>0</v>
      </c>
      <c r="AK218">
        <f>IF('Calc base'!F$14=0,0,MIN(Y218,MAX(0,$E218-SUMPRODUCT($V218:$AG218,'Calc base'!$C$14:$N$14,('Calc base'!$H218:$S218&gt;'Calc base'!K218)+('Calc base'!$H218:$S218='Calc base'!K218)*('Calc base'!$C$17:$N$17&lt;'Calc base'!F$17)))))</f>
        <v>0</v>
      </c>
      <c r="AL218">
        <f>IF('Calc base'!G$14=0,0,MIN(Z218,MAX(0,$E218-SUMPRODUCT($V218:$AG218,'Calc base'!$C$14:$N$14,('Calc base'!$H218:$S218&gt;'Calc base'!L218)+('Calc base'!$H218:$S218='Calc base'!L218)*('Calc base'!$C$17:$N$17&lt;'Calc base'!G$17)))))</f>
        <v>0</v>
      </c>
      <c r="AM218">
        <f>IF('Calc base'!H$14=0,0,MIN(AA218,MAX(0,$E218-SUMPRODUCT($V218:$AG218,'Calc base'!$C$14:$N$14,('Calc base'!$H218:$S218&gt;'Calc base'!M218)+('Calc base'!$H218:$S218='Calc base'!M218)*('Calc base'!$C$17:$N$17&lt;'Calc base'!H$17)))))</f>
        <v>0</v>
      </c>
      <c r="AN218">
        <f>IF('Calc base'!I$14=0,0,MIN(AB218,MAX(0,$E218-SUMPRODUCT($V218:$AG218,'Calc base'!$C$14:$N$14,('Calc base'!$H218:$S218&gt;'Calc base'!N218)+('Calc base'!$H218:$S218='Calc base'!N218)*('Calc base'!$C$17:$N$17&lt;'Calc base'!I$17)))))</f>
        <v>0</v>
      </c>
      <c r="AO218">
        <f>IF('Calc base'!J$14=0,0,MIN(AC218,MAX(0,$E218-SUMPRODUCT($V218:$AG218,'Calc base'!$C$14:$N$14,('Calc base'!$H218:$S218&gt;'Calc base'!O218)+('Calc base'!$H218:$S218='Calc base'!O218)*('Calc base'!$C$17:$N$17&lt;'Calc base'!J$17)))))</f>
        <v>0</v>
      </c>
      <c r="AP218">
        <f>IF('Calc base'!K$14=0,0,MIN(AD218,MAX(0,$E218-SUMPRODUCT($V218:$AG218,'Calc base'!$C$14:$N$14,('Calc base'!$H218:$S218&gt;'Calc base'!P218)+('Calc base'!$H218:$S218='Calc base'!P218)*('Calc base'!$C$17:$N$17&lt;'Calc base'!K$17)))))</f>
        <v>0</v>
      </c>
      <c r="AQ218">
        <f>IF('Calc base'!L$14=0,0,MIN(AE218,MAX(0,$E218-SUMPRODUCT($V218:$AG218,'Calc base'!$C$14:$N$14,('Calc base'!$H218:$S218&gt;'Calc base'!Q218)+('Calc base'!$H218:$S218='Calc base'!Q218)*('Calc base'!$C$17:$N$17&lt;'Calc base'!L$17)))))</f>
        <v>0</v>
      </c>
      <c r="AR218">
        <f>IF('Calc base'!M$14=0,0,MIN(AF218,MAX(0,$E218-SUMPRODUCT($V218:$AG218,'Calc base'!$C$14:$N$14,('Calc base'!$H218:$S218&gt;'Calc base'!R218)+('Calc base'!$H218:$S218='Calc base'!R218)*('Calc base'!$C$17:$N$17&lt;'Calc base'!M$17)))))</f>
        <v>0</v>
      </c>
      <c r="AS218">
        <f>IF('Calc base'!N$14=0,0,MIN(AG218,MAX(0,$E218-SUMPRODUCT($V218:$AG218,'Calc base'!$C$14:$N$14,('Calc base'!$H218:$S218&gt;'Calc base'!S218)+('Calc base'!$H218:$S218='Calc base'!S218)*('Calc base'!$C$17:$N$17&lt;'Calc base'!N$17)))))</f>
        <v>0</v>
      </c>
      <c r="AT218">
        <f>V218-AH218</f>
        <v>0</v>
      </c>
      <c r="AU218">
        <f>W218-AI218</f>
        <v>0</v>
      </c>
      <c r="AV218">
        <f>X218-AJ218</f>
        <v>0</v>
      </c>
      <c r="AW218">
        <f>Y218-AK218</f>
        <v>0</v>
      </c>
      <c r="AX218">
        <f>Z218-AL218</f>
        <v>0</v>
      </c>
      <c r="AY218">
        <f>AA218-AM218</f>
        <v>0</v>
      </c>
      <c r="AZ218">
        <f>AB218-AN218</f>
        <v>0</v>
      </c>
      <c r="BA218">
        <f>AC218-AO218</f>
        <v>0</v>
      </c>
      <c r="BB218">
        <f>AD218-AP218</f>
        <v>0</v>
      </c>
      <c r="BC218">
        <f>AE218-AQ218</f>
        <v>0</v>
      </c>
      <c r="BD218">
        <f>AF218-AR218</f>
        <v>0</v>
      </c>
      <c r="BE218">
        <f>AG218-AS218</f>
        <v>0</v>
      </c>
    </row>
    <row r="219">
      <c r="A219" t="n">
        <v>189</v>
      </c>
      <c r="B219">
        <f>SUMPRODUCT(ROUND($AT218:$BE218*(1+'Calc base'!$H219:$S219),2))</f>
        <v>0</v>
      </c>
      <c r="C219">
        <f>SUM(J219:U219)</f>
        <v>0</v>
      </c>
      <c r="D219">
        <f>SUM(V219:AG219)</f>
        <v>0</v>
      </c>
      <c r="E219">
        <f>MAX(0,IF(Impostazioni!$B$7="No",'Calc base'!$C219-$C$31,'Calc base'!$C219-C219)+'Calc base'!$G219+'Calc base'!$F219-(B219-C219-D219))</f>
        <v>900</v>
      </c>
      <c r="F219">
        <f>SUM(AH219:AS219)</f>
        <v>0</v>
      </c>
      <c r="G219">
        <f>SUM(AT219:BE219)</f>
        <v>0</v>
      </c>
      <c r="H219">
        <f>B219-G218</f>
        <v>0</v>
      </c>
      <c r="I219">
        <f>B219-G219</f>
        <v>0</v>
      </c>
      <c r="J219">
        <f>IF(AT218&lt;=0,0,IF(ROUND(AT218*(1+'Calc base'!H219),2)-MAX('Calc base'!C$12,ROUND('Calc base'!C$13*AT218,2))&lt;1,ROUND(AT218*(1+'Calc base'!H219),2),MAX('Calc base'!C$12,ROUND('Calc base'!C$13*AT218,2))))</f>
        <v>0</v>
      </c>
      <c r="K219">
        <f>IF(AU218&lt;=0,0,IF(ROUND(AU218*(1+'Calc base'!I219),2)-MAX('Calc base'!D$12,ROUND('Calc base'!D$13*AU218,2))&lt;1,ROUND(AU218*(1+'Calc base'!I219),2),MAX('Calc base'!D$12,ROUND('Calc base'!D$13*AU218,2))))</f>
        <v>0</v>
      </c>
      <c r="L219">
        <f>IF(AV218&lt;=0,0,IF(ROUND(AV218*(1+'Calc base'!J219),2)-MAX('Calc base'!E$12,ROUND('Calc base'!E$13*AV218,2))&lt;1,ROUND(AV218*(1+'Calc base'!J219),2),MAX('Calc base'!E$12,ROUND('Calc base'!E$13*AV218,2))))</f>
        <v>0</v>
      </c>
      <c r="M219">
        <f>IF(AW218&lt;=0,0,IF(ROUND(AW218*(1+'Calc base'!K219),2)-MAX('Calc base'!F$12,ROUND('Calc base'!F$13*AW218,2))&lt;1,ROUND(AW218*(1+'Calc base'!K219),2),MAX('Calc base'!F$12,ROUND('Calc base'!F$13*AW218,2))))</f>
        <v>0</v>
      </c>
      <c r="N219">
        <f>IF(AX218&lt;=0,0,IF(ROUND(AX218*(1+'Calc base'!L219),2)-MAX('Calc base'!G$12,ROUND('Calc base'!G$13*AX218,2))&lt;1,ROUND(AX218*(1+'Calc base'!L219),2),MAX('Calc base'!G$12,ROUND('Calc base'!G$13*AX218,2))))</f>
        <v>0</v>
      </c>
      <c r="O219">
        <f>IF(AY218&lt;=0,0,IF(ROUND(AY218*(1+'Calc base'!M219),2)-MAX('Calc base'!H$12,ROUND('Calc base'!H$13*AY218,2))&lt;1,ROUND(AY218*(1+'Calc base'!M219),2),MAX('Calc base'!H$12,ROUND('Calc base'!H$13*AY218,2))))</f>
        <v>0</v>
      </c>
      <c r="P219">
        <f>IF(AZ218&lt;=0,0,IF(ROUND(AZ218*(1+'Calc base'!N219),2)-MAX('Calc base'!I$12,ROUND('Calc base'!I$13*AZ218,2))&lt;1,ROUND(AZ218*(1+'Calc base'!N219),2),MAX('Calc base'!I$12,ROUND('Calc base'!I$13*AZ218,2))))</f>
        <v>0</v>
      </c>
      <c r="Q219">
        <f>IF(BA218&lt;=0,0,IF(ROUND(BA218*(1+'Calc base'!O219),2)-MAX('Calc base'!J$12,ROUND('Calc base'!J$13*BA218,2))&lt;1,ROUND(BA218*(1+'Calc base'!O219),2),MAX('Calc base'!J$12,ROUND('Calc base'!J$13*BA218,2))))</f>
        <v>0</v>
      </c>
      <c r="R219">
        <f>IF(BB218&lt;=0,0,IF(ROUND(BB218*(1+'Calc base'!P219),2)-MAX('Calc base'!K$12,ROUND('Calc base'!K$13*BB218,2))&lt;1,ROUND(BB218*(1+'Calc base'!P219),2),MAX('Calc base'!K$12,ROUND('Calc base'!K$13*BB218,2))))</f>
        <v>0</v>
      </c>
      <c r="S219">
        <f>IF(BC218&lt;=0,0,IF(ROUND(BC218*(1+'Calc base'!Q219),2)-MAX('Calc base'!L$12,ROUND('Calc base'!L$13*BC218,2))&lt;1,ROUND(BC218*(1+'Calc base'!Q219),2),MAX('Calc base'!L$12,ROUND('Calc base'!L$13*BC218,2))))</f>
        <v>0</v>
      </c>
      <c r="T219">
        <f>IF(BD218&lt;=0,0,IF(ROUND(BD218*(1+'Calc base'!R219),2)-MAX('Calc base'!M$12,ROUND('Calc base'!M$13*BD218,2))&lt;1,ROUND(BD218*(1+'Calc base'!R219),2),MAX('Calc base'!M$12,ROUND('Calc base'!M$13*BD218,2))))</f>
        <v>0</v>
      </c>
      <c r="U219">
        <f>IF(BE218&lt;=0,0,IF(ROUND(BE218*(1+'Calc base'!S219),2)-MAX('Calc base'!N$12,ROUND('Calc base'!N$13*BE218,2))&lt;1,ROUND(BE218*(1+'Calc base'!S219),2),MAX('Calc base'!N$12,ROUND('Calc base'!N$13*BE218,2))))</f>
        <v>0</v>
      </c>
      <c r="V219">
        <f>MAX(0,ROUND(AT218*(1+'Calc base'!H219),2)-J219-'Calc base'!T219)</f>
        <v>0</v>
      </c>
      <c r="W219">
        <f>MAX(0,ROUND(AU218*(1+'Calc base'!I219),2)-K219-'Calc base'!U219)</f>
        <v>0</v>
      </c>
      <c r="X219">
        <f>MAX(0,ROUND(AV218*(1+'Calc base'!J219),2)-L219-'Calc base'!V219)</f>
        <v>0</v>
      </c>
      <c r="Y219">
        <f>MAX(0,ROUND(AW218*(1+'Calc base'!K219),2)-M219-'Calc base'!W219)</f>
        <v>0</v>
      </c>
      <c r="Z219">
        <f>MAX(0,ROUND(AX218*(1+'Calc base'!L219),2)-N219-'Calc base'!X219)</f>
        <v>0</v>
      </c>
      <c r="AA219">
        <f>MAX(0,ROUND(AY218*(1+'Calc base'!M219),2)-O219-'Calc base'!Y219)</f>
        <v>0</v>
      </c>
      <c r="AB219">
        <f>MAX(0,ROUND(AZ218*(1+'Calc base'!N219),2)-P219-'Calc base'!Z219)</f>
        <v>0</v>
      </c>
      <c r="AC219">
        <f>MAX(0,ROUND(BA218*(1+'Calc base'!O219),2)-Q219-'Calc base'!AA219)</f>
        <v>0</v>
      </c>
      <c r="AD219">
        <f>MAX(0,ROUND(BB218*(1+'Calc base'!P219),2)-R219-'Calc base'!AB219)</f>
        <v>0</v>
      </c>
      <c r="AE219">
        <f>MAX(0,ROUND(BC218*(1+'Calc base'!Q219),2)-S219-'Calc base'!AC219)</f>
        <v>0</v>
      </c>
      <c r="AF219">
        <f>MAX(0,ROUND(BD218*(1+'Calc base'!R219),2)-T219-'Calc base'!AD219)</f>
        <v>0</v>
      </c>
      <c r="AG219">
        <f>MAX(0,ROUND(BE218*(1+'Calc base'!S219),2)-U219-'Calc base'!AE219)</f>
        <v>0</v>
      </c>
      <c r="AH219">
        <f>IF('Calc base'!C$14=0,0,MIN(V219,MAX(0,$E219-SUMPRODUCT($V219:$AG219,'Calc base'!$C$14:$N$14,('Calc base'!$H219:$S219&gt;'Calc base'!H219)+('Calc base'!$H219:$S219='Calc base'!H219)*('Calc base'!$C$17:$N$17&lt;'Calc base'!C$17)))))</f>
        <v>0</v>
      </c>
      <c r="AI219">
        <f>IF('Calc base'!D$14=0,0,MIN(W219,MAX(0,$E219-SUMPRODUCT($V219:$AG219,'Calc base'!$C$14:$N$14,('Calc base'!$H219:$S219&gt;'Calc base'!I219)+('Calc base'!$H219:$S219='Calc base'!I219)*('Calc base'!$C$17:$N$17&lt;'Calc base'!D$17)))))</f>
        <v>0</v>
      </c>
      <c r="AJ219">
        <f>IF('Calc base'!E$14=0,0,MIN(X219,MAX(0,$E219-SUMPRODUCT($V219:$AG219,'Calc base'!$C$14:$N$14,('Calc base'!$H219:$S219&gt;'Calc base'!J219)+('Calc base'!$H219:$S219='Calc base'!J219)*('Calc base'!$C$17:$N$17&lt;'Calc base'!E$17)))))</f>
        <v>0</v>
      </c>
      <c r="AK219">
        <f>IF('Calc base'!F$14=0,0,MIN(Y219,MAX(0,$E219-SUMPRODUCT($V219:$AG219,'Calc base'!$C$14:$N$14,('Calc base'!$H219:$S219&gt;'Calc base'!K219)+('Calc base'!$H219:$S219='Calc base'!K219)*('Calc base'!$C$17:$N$17&lt;'Calc base'!F$17)))))</f>
        <v>0</v>
      </c>
      <c r="AL219">
        <f>IF('Calc base'!G$14=0,0,MIN(Z219,MAX(0,$E219-SUMPRODUCT($V219:$AG219,'Calc base'!$C$14:$N$14,('Calc base'!$H219:$S219&gt;'Calc base'!L219)+('Calc base'!$H219:$S219='Calc base'!L219)*('Calc base'!$C$17:$N$17&lt;'Calc base'!G$17)))))</f>
        <v>0</v>
      </c>
      <c r="AM219">
        <f>IF('Calc base'!H$14=0,0,MIN(AA219,MAX(0,$E219-SUMPRODUCT($V219:$AG219,'Calc base'!$C$14:$N$14,('Calc base'!$H219:$S219&gt;'Calc base'!M219)+('Calc base'!$H219:$S219='Calc base'!M219)*('Calc base'!$C$17:$N$17&lt;'Calc base'!H$17)))))</f>
        <v>0</v>
      </c>
      <c r="AN219">
        <f>IF('Calc base'!I$14=0,0,MIN(AB219,MAX(0,$E219-SUMPRODUCT($V219:$AG219,'Calc base'!$C$14:$N$14,('Calc base'!$H219:$S219&gt;'Calc base'!N219)+('Calc base'!$H219:$S219='Calc base'!N219)*('Calc base'!$C$17:$N$17&lt;'Calc base'!I$17)))))</f>
        <v>0</v>
      </c>
      <c r="AO219">
        <f>IF('Calc base'!J$14=0,0,MIN(AC219,MAX(0,$E219-SUMPRODUCT($V219:$AG219,'Calc base'!$C$14:$N$14,('Calc base'!$H219:$S219&gt;'Calc base'!O219)+('Calc base'!$H219:$S219='Calc base'!O219)*('Calc base'!$C$17:$N$17&lt;'Calc base'!J$17)))))</f>
        <v>0</v>
      </c>
      <c r="AP219">
        <f>IF('Calc base'!K$14=0,0,MIN(AD219,MAX(0,$E219-SUMPRODUCT($V219:$AG219,'Calc base'!$C$14:$N$14,('Calc base'!$H219:$S219&gt;'Calc base'!P219)+('Calc base'!$H219:$S219='Calc base'!P219)*('Calc base'!$C$17:$N$17&lt;'Calc base'!K$17)))))</f>
        <v>0</v>
      </c>
      <c r="AQ219">
        <f>IF('Calc base'!L$14=0,0,MIN(AE219,MAX(0,$E219-SUMPRODUCT($V219:$AG219,'Calc base'!$C$14:$N$14,('Calc base'!$H219:$S219&gt;'Calc base'!Q219)+('Calc base'!$H219:$S219='Calc base'!Q219)*('Calc base'!$C$17:$N$17&lt;'Calc base'!L$17)))))</f>
        <v>0</v>
      </c>
      <c r="AR219">
        <f>IF('Calc base'!M$14=0,0,MIN(AF219,MAX(0,$E219-SUMPRODUCT($V219:$AG219,'Calc base'!$C$14:$N$14,('Calc base'!$H219:$S219&gt;'Calc base'!R219)+('Calc base'!$H219:$S219='Calc base'!R219)*('Calc base'!$C$17:$N$17&lt;'Calc base'!M$17)))))</f>
        <v>0</v>
      </c>
      <c r="AS219">
        <f>IF('Calc base'!N$14=0,0,MIN(AG219,MAX(0,$E219-SUMPRODUCT($V219:$AG219,'Calc base'!$C$14:$N$14,('Calc base'!$H219:$S219&gt;'Calc base'!S219)+('Calc base'!$H219:$S219='Calc base'!S219)*('Calc base'!$C$17:$N$17&lt;'Calc base'!N$17)))))</f>
        <v>0</v>
      </c>
      <c r="AT219">
        <f>V219-AH219</f>
        <v>0</v>
      </c>
      <c r="AU219">
        <f>W219-AI219</f>
        <v>0</v>
      </c>
      <c r="AV219">
        <f>X219-AJ219</f>
        <v>0</v>
      </c>
      <c r="AW219">
        <f>Y219-AK219</f>
        <v>0</v>
      </c>
      <c r="AX219">
        <f>Z219-AL219</f>
        <v>0</v>
      </c>
      <c r="AY219">
        <f>AA219-AM219</f>
        <v>0</v>
      </c>
      <c r="AZ219">
        <f>AB219-AN219</f>
        <v>0</v>
      </c>
      <c r="BA219">
        <f>AC219-AO219</f>
        <v>0</v>
      </c>
      <c r="BB219">
        <f>AD219-AP219</f>
        <v>0</v>
      </c>
      <c r="BC219">
        <f>AE219-AQ219</f>
        <v>0</v>
      </c>
      <c r="BD219">
        <f>AF219-AR219</f>
        <v>0</v>
      </c>
      <c r="BE219">
        <f>AG219-AS219</f>
        <v>0</v>
      </c>
    </row>
    <row r="220">
      <c r="A220" t="n">
        <v>190</v>
      </c>
      <c r="B220">
        <f>SUMPRODUCT(ROUND($AT219:$BE219*(1+'Calc base'!$H220:$S220),2))</f>
        <v>0</v>
      </c>
      <c r="C220">
        <f>SUM(J220:U220)</f>
        <v>0</v>
      </c>
      <c r="D220">
        <f>SUM(V220:AG220)</f>
        <v>0</v>
      </c>
      <c r="E220">
        <f>MAX(0,IF(Impostazioni!$B$7="No",'Calc base'!$C220-$C$31,'Calc base'!$C220-C220)+'Calc base'!$G220+'Calc base'!$F220-(B220-C220-D220))</f>
        <v>900</v>
      </c>
      <c r="F220">
        <f>SUM(AH220:AS220)</f>
        <v>0</v>
      </c>
      <c r="G220">
        <f>SUM(AT220:BE220)</f>
        <v>0</v>
      </c>
      <c r="H220">
        <f>B220-G219</f>
        <v>0</v>
      </c>
      <c r="I220">
        <f>B220-G220</f>
        <v>0</v>
      </c>
      <c r="J220">
        <f>IF(AT219&lt;=0,0,IF(ROUND(AT219*(1+'Calc base'!H220),2)-MAX('Calc base'!C$12,ROUND('Calc base'!C$13*AT219,2))&lt;1,ROUND(AT219*(1+'Calc base'!H220),2),MAX('Calc base'!C$12,ROUND('Calc base'!C$13*AT219,2))))</f>
        <v>0</v>
      </c>
      <c r="K220">
        <f>IF(AU219&lt;=0,0,IF(ROUND(AU219*(1+'Calc base'!I220),2)-MAX('Calc base'!D$12,ROUND('Calc base'!D$13*AU219,2))&lt;1,ROUND(AU219*(1+'Calc base'!I220),2),MAX('Calc base'!D$12,ROUND('Calc base'!D$13*AU219,2))))</f>
        <v>0</v>
      </c>
      <c r="L220">
        <f>IF(AV219&lt;=0,0,IF(ROUND(AV219*(1+'Calc base'!J220),2)-MAX('Calc base'!E$12,ROUND('Calc base'!E$13*AV219,2))&lt;1,ROUND(AV219*(1+'Calc base'!J220),2),MAX('Calc base'!E$12,ROUND('Calc base'!E$13*AV219,2))))</f>
        <v>0</v>
      </c>
      <c r="M220">
        <f>IF(AW219&lt;=0,0,IF(ROUND(AW219*(1+'Calc base'!K220),2)-MAX('Calc base'!F$12,ROUND('Calc base'!F$13*AW219,2))&lt;1,ROUND(AW219*(1+'Calc base'!K220),2),MAX('Calc base'!F$12,ROUND('Calc base'!F$13*AW219,2))))</f>
        <v>0</v>
      </c>
      <c r="N220">
        <f>IF(AX219&lt;=0,0,IF(ROUND(AX219*(1+'Calc base'!L220),2)-MAX('Calc base'!G$12,ROUND('Calc base'!G$13*AX219,2))&lt;1,ROUND(AX219*(1+'Calc base'!L220),2),MAX('Calc base'!G$12,ROUND('Calc base'!G$13*AX219,2))))</f>
        <v>0</v>
      </c>
      <c r="O220">
        <f>IF(AY219&lt;=0,0,IF(ROUND(AY219*(1+'Calc base'!M220),2)-MAX('Calc base'!H$12,ROUND('Calc base'!H$13*AY219,2))&lt;1,ROUND(AY219*(1+'Calc base'!M220),2),MAX('Calc base'!H$12,ROUND('Calc base'!H$13*AY219,2))))</f>
        <v>0</v>
      </c>
      <c r="P220">
        <f>IF(AZ219&lt;=0,0,IF(ROUND(AZ219*(1+'Calc base'!N220),2)-MAX('Calc base'!I$12,ROUND('Calc base'!I$13*AZ219,2))&lt;1,ROUND(AZ219*(1+'Calc base'!N220),2),MAX('Calc base'!I$12,ROUND('Calc base'!I$13*AZ219,2))))</f>
        <v>0</v>
      </c>
      <c r="Q220">
        <f>IF(BA219&lt;=0,0,IF(ROUND(BA219*(1+'Calc base'!O220),2)-MAX('Calc base'!J$12,ROUND('Calc base'!J$13*BA219,2))&lt;1,ROUND(BA219*(1+'Calc base'!O220),2),MAX('Calc base'!J$12,ROUND('Calc base'!J$13*BA219,2))))</f>
        <v>0</v>
      </c>
      <c r="R220">
        <f>IF(BB219&lt;=0,0,IF(ROUND(BB219*(1+'Calc base'!P220),2)-MAX('Calc base'!K$12,ROUND('Calc base'!K$13*BB219,2))&lt;1,ROUND(BB219*(1+'Calc base'!P220),2),MAX('Calc base'!K$12,ROUND('Calc base'!K$13*BB219,2))))</f>
        <v>0</v>
      </c>
      <c r="S220">
        <f>IF(BC219&lt;=0,0,IF(ROUND(BC219*(1+'Calc base'!Q220),2)-MAX('Calc base'!L$12,ROUND('Calc base'!L$13*BC219,2))&lt;1,ROUND(BC219*(1+'Calc base'!Q220),2),MAX('Calc base'!L$12,ROUND('Calc base'!L$13*BC219,2))))</f>
        <v>0</v>
      </c>
      <c r="T220">
        <f>IF(BD219&lt;=0,0,IF(ROUND(BD219*(1+'Calc base'!R220),2)-MAX('Calc base'!M$12,ROUND('Calc base'!M$13*BD219,2))&lt;1,ROUND(BD219*(1+'Calc base'!R220),2),MAX('Calc base'!M$12,ROUND('Calc base'!M$13*BD219,2))))</f>
        <v>0</v>
      </c>
      <c r="U220">
        <f>IF(BE219&lt;=0,0,IF(ROUND(BE219*(1+'Calc base'!S220),2)-MAX('Calc base'!N$12,ROUND('Calc base'!N$13*BE219,2))&lt;1,ROUND(BE219*(1+'Calc base'!S220),2),MAX('Calc base'!N$12,ROUND('Calc base'!N$13*BE219,2))))</f>
        <v>0</v>
      </c>
      <c r="V220">
        <f>MAX(0,ROUND(AT219*(1+'Calc base'!H220),2)-J220-'Calc base'!T220)</f>
        <v>0</v>
      </c>
      <c r="W220">
        <f>MAX(0,ROUND(AU219*(1+'Calc base'!I220),2)-K220-'Calc base'!U220)</f>
        <v>0</v>
      </c>
      <c r="X220">
        <f>MAX(0,ROUND(AV219*(1+'Calc base'!J220),2)-L220-'Calc base'!V220)</f>
        <v>0</v>
      </c>
      <c r="Y220">
        <f>MAX(0,ROUND(AW219*(1+'Calc base'!K220),2)-M220-'Calc base'!W220)</f>
        <v>0</v>
      </c>
      <c r="Z220">
        <f>MAX(0,ROUND(AX219*(1+'Calc base'!L220),2)-N220-'Calc base'!X220)</f>
        <v>0</v>
      </c>
      <c r="AA220">
        <f>MAX(0,ROUND(AY219*(1+'Calc base'!M220),2)-O220-'Calc base'!Y220)</f>
        <v>0</v>
      </c>
      <c r="AB220">
        <f>MAX(0,ROUND(AZ219*(1+'Calc base'!N220),2)-P220-'Calc base'!Z220)</f>
        <v>0</v>
      </c>
      <c r="AC220">
        <f>MAX(0,ROUND(BA219*(1+'Calc base'!O220),2)-Q220-'Calc base'!AA220)</f>
        <v>0</v>
      </c>
      <c r="AD220">
        <f>MAX(0,ROUND(BB219*(1+'Calc base'!P220),2)-R220-'Calc base'!AB220)</f>
        <v>0</v>
      </c>
      <c r="AE220">
        <f>MAX(0,ROUND(BC219*(1+'Calc base'!Q220),2)-S220-'Calc base'!AC220)</f>
        <v>0</v>
      </c>
      <c r="AF220">
        <f>MAX(0,ROUND(BD219*(1+'Calc base'!R220),2)-T220-'Calc base'!AD220)</f>
        <v>0</v>
      </c>
      <c r="AG220">
        <f>MAX(0,ROUND(BE219*(1+'Calc base'!S220),2)-U220-'Calc base'!AE220)</f>
        <v>0</v>
      </c>
      <c r="AH220">
        <f>IF('Calc base'!C$14=0,0,MIN(V220,MAX(0,$E220-SUMPRODUCT($V220:$AG220,'Calc base'!$C$14:$N$14,('Calc base'!$H220:$S220&gt;'Calc base'!H220)+('Calc base'!$H220:$S220='Calc base'!H220)*('Calc base'!$C$17:$N$17&lt;'Calc base'!C$17)))))</f>
        <v>0</v>
      </c>
      <c r="AI220">
        <f>IF('Calc base'!D$14=0,0,MIN(W220,MAX(0,$E220-SUMPRODUCT($V220:$AG220,'Calc base'!$C$14:$N$14,('Calc base'!$H220:$S220&gt;'Calc base'!I220)+('Calc base'!$H220:$S220='Calc base'!I220)*('Calc base'!$C$17:$N$17&lt;'Calc base'!D$17)))))</f>
        <v>0</v>
      </c>
      <c r="AJ220">
        <f>IF('Calc base'!E$14=0,0,MIN(X220,MAX(0,$E220-SUMPRODUCT($V220:$AG220,'Calc base'!$C$14:$N$14,('Calc base'!$H220:$S220&gt;'Calc base'!J220)+('Calc base'!$H220:$S220='Calc base'!J220)*('Calc base'!$C$17:$N$17&lt;'Calc base'!E$17)))))</f>
        <v>0</v>
      </c>
      <c r="AK220">
        <f>IF('Calc base'!F$14=0,0,MIN(Y220,MAX(0,$E220-SUMPRODUCT($V220:$AG220,'Calc base'!$C$14:$N$14,('Calc base'!$H220:$S220&gt;'Calc base'!K220)+('Calc base'!$H220:$S220='Calc base'!K220)*('Calc base'!$C$17:$N$17&lt;'Calc base'!F$17)))))</f>
        <v>0</v>
      </c>
      <c r="AL220">
        <f>IF('Calc base'!G$14=0,0,MIN(Z220,MAX(0,$E220-SUMPRODUCT($V220:$AG220,'Calc base'!$C$14:$N$14,('Calc base'!$H220:$S220&gt;'Calc base'!L220)+('Calc base'!$H220:$S220='Calc base'!L220)*('Calc base'!$C$17:$N$17&lt;'Calc base'!G$17)))))</f>
        <v>0</v>
      </c>
      <c r="AM220">
        <f>IF('Calc base'!H$14=0,0,MIN(AA220,MAX(0,$E220-SUMPRODUCT($V220:$AG220,'Calc base'!$C$14:$N$14,('Calc base'!$H220:$S220&gt;'Calc base'!M220)+('Calc base'!$H220:$S220='Calc base'!M220)*('Calc base'!$C$17:$N$17&lt;'Calc base'!H$17)))))</f>
        <v>0</v>
      </c>
      <c r="AN220">
        <f>IF('Calc base'!I$14=0,0,MIN(AB220,MAX(0,$E220-SUMPRODUCT($V220:$AG220,'Calc base'!$C$14:$N$14,('Calc base'!$H220:$S220&gt;'Calc base'!N220)+('Calc base'!$H220:$S220='Calc base'!N220)*('Calc base'!$C$17:$N$17&lt;'Calc base'!I$17)))))</f>
        <v>0</v>
      </c>
      <c r="AO220">
        <f>IF('Calc base'!J$14=0,0,MIN(AC220,MAX(0,$E220-SUMPRODUCT($V220:$AG220,'Calc base'!$C$14:$N$14,('Calc base'!$H220:$S220&gt;'Calc base'!O220)+('Calc base'!$H220:$S220='Calc base'!O220)*('Calc base'!$C$17:$N$17&lt;'Calc base'!J$17)))))</f>
        <v>0</v>
      </c>
      <c r="AP220">
        <f>IF('Calc base'!K$14=0,0,MIN(AD220,MAX(0,$E220-SUMPRODUCT($V220:$AG220,'Calc base'!$C$14:$N$14,('Calc base'!$H220:$S220&gt;'Calc base'!P220)+('Calc base'!$H220:$S220='Calc base'!P220)*('Calc base'!$C$17:$N$17&lt;'Calc base'!K$17)))))</f>
        <v>0</v>
      </c>
      <c r="AQ220">
        <f>IF('Calc base'!L$14=0,0,MIN(AE220,MAX(0,$E220-SUMPRODUCT($V220:$AG220,'Calc base'!$C$14:$N$14,('Calc base'!$H220:$S220&gt;'Calc base'!Q220)+('Calc base'!$H220:$S220='Calc base'!Q220)*('Calc base'!$C$17:$N$17&lt;'Calc base'!L$17)))))</f>
        <v>0</v>
      </c>
      <c r="AR220">
        <f>IF('Calc base'!M$14=0,0,MIN(AF220,MAX(0,$E220-SUMPRODUCT($V220:$AG220,'Calc base'!$C$14:$N$14,('Calc base'!$H220:$S220&gt;'Calc base'!R220)+('Calc base'!$H220:$S220='Calc base'!R220)*('Calc base'!$C$17:$N$17&lt;'Calc base'!M$17)))))</f>
        <v>0</v>
      </c>
      <c r="AS220">
        <f>IF('Calc base'!N$14=0,0,MIN(AG220,MAX(0,$E220-SUMPRODUCT($V220:$AG220,'Calc base'!$C$14:$N$14,('Calc base'!$H220:$S220&gt;'Calc base'!S220)+('Calc base'!$H220:$S220='Calc base'!S220)*('Calc base'!$C$17:$N$17&lt;'Calc base'!N$17)))))</f>
        <v>0</v>
      </c>
      <c r="AT220">
        <f>V220-AH220</f>
        <v>0</v>
      </c>
      <c r="AU220">
        <f>W220-AI220</f>
        <v>0</v>
      </c>
      <c r="AV220">
        <f>X220-AJ220</f>
        <v>0</v>
      </c>
      <c r="AW220">
        <f>Y220-AK220</f>
        <v>0</v>
      </c>
      <c r="AX220">
        <f>Z220-AL220</f>
        <v>0</v>
      </c>
      <c r="AY220">
        <f>AA220-AM220</f>
        <v>0</v>
      </c>
      <c r="AZ220">
        <f>AB220-AN220</f>
        <v>0</v>
      </c>
      <c r="BA220">
        <f>AC220-AO220</f>
        <v>0</v>
      </c>
      <c r="BB220">
        <f>AD220-AP220</f>
        <v>0</v>
      </c>
      <c r="BC220">
        <f>AE220-AQ220</f>
        <v>0</v>
      </c>
      <c r="BD220">
        <f>AF220-AR220</f>
        <v>0</v>
      </c>
      <c r="BE220">
        <f>AG220-AS220</f>
        <v>0</v>
      </c>
    </row>
    <row r="221">
      <c r="A221" t="n">
        <v>191</v>
      </c>
      <c r="B221">
        <f>SUMPRODUCT(ROUND($AT220:$BE220*(1+'Calc base'!$H221:$S221),2))</f>
        <v>0</v>
      </c>
      <c r="C221">
        <f>SUM(J221:U221)</f>
        <v>0</v>
      </c>
      <c r="D221">
        <f>SUM(V221:AG221)</f>
        <v>0</v>
      </c>
      <c r="E221">
        <f>MAX(0,IF(Impostazioni!$B$7="No",'Calc base'!$C221-$C$31,'Calc base'!$C221-C221)+'Calc base'!$G221+'Calc base'!$F221-(B221-C221-D221))</f>
        <v>900</v>
      </c>
      <c r="F221">
        <f>SUM(AH221:AS221)</f>
        <v>0</v>
      </c>
      <c r="G221">
        <f>SUM(AT221:BE221)</f>
        <v>0</v>
      </c>
      <c r="H221">
        <f>B221-G220</f>
        <v>0</v>
      </c>
      <c r="I221">
        <f>B221-G221</f>
        <v>0</v>
      </c>
      <c r="J221">
        <f>IF(AT220&lt;=0,0,IF(ROUND(AT220*(1+'Calc base'!H221),2)-MAX('Calc base'!C$12,ROUND('Calc base'!C$13*AT220,2))&lt;1,ROUND(AT220*(1+'Calc base'!H221),2),MAX('Calc base'!C$12,ROUND('Calc base'!C$13*AT220,2))))</f>
        <v>0</v>
      </c>
      <c r="K221">
        <f>IF(AU220&lt;=0,0,IF(ROUND(AU220*(1+'Calc base'!I221),2)-MAX('Calc base'!D$12,ROUND('Calc base'!D$13*AU220,2))&lt;1,ROUND(AU220*(1+'Calc base'!I221),2),MAX('Calc base'!D$12,ROUND('Calc base'!D$13*AU220,2))))</f>
        <v>0</v>
      </c>
      <c r="L221">
        <f>IF(AV220&lt;=0,0,IF(ROUND(AV220*(1+'Calc base'!J221),2)-MAX('Calc base'!E$12,ROUND('Calc base'!E$13*AV220,2))&lt;1,ROUND(AV220*(1+'Calc base'!J221),2),MAX('Calc base'!E$12,ROUND('Calc base'!E$13*AV220,2))))</f>
        <v>0</v>
      </c>
      <c r="M221">
        <f>IF(AW220&lt;=0,0,IF(ROUND(AW220*(1+'Calc base'!K221),2)-MAX('Calc base'!F$12,ROUND('Calc base'!F$13*AW220,2))&lt;1,ROUND(AW220*(1+'Calc base'!K221),2),MAX('Calc base'!F$12,ROUND('Calc base'!F$13*AW220,2))))</f>
        <v>0</v>
      </c>
      <c r="N221">
        <f>IF(AX220&lt;=0,0,IF(ROUND(AX220*(1+'Calc base'!L221),2)-MAX('Calc base'!G$12,ROUND('Calc base'!G$13*AX220,2))&lt;1,ROUND(AX220*(1+'Calc base'!L221),2),MAX('Calc base'!G$12,ROUND('Calc base'!G$13*AX220,2))))</f>
        <v>0</v>
      </c>
      <c r="O221">
        <f>IF(AY220&lt;=0,0,IF(ROUND(AY220*(1+'Calc base'!M221),2)-MAX('Calc base'!H$12,ROUND('Calc base'!H$13*AY220,2))&lt;1,ROUND(AY220*(1+'Calc base'!M221),2),MAX('Calc base'!H$12,ROUND('Calc base'!H$13*AY220,2))))</f>
        <v>0</v>
      </c>
      <c r="P221">
        <f>IF(AZ220&lt;=0,0,IF(ROUND(AZ220*(1+'Calc base'!N221),2)-MAX('Calc base'!I$12,ROUND('Calc base'!I$13*AZ220,2))&lt;1,ROUND(AZ220*(1+'Calc base'!N221),2),MAX('Calc base'!I$12,ROUND('Calc base'!I$13*AZ220,2))))</f>
        <v>0</v>
      </c>
      <c r="Q221">
        <f>IF(BA220&lt;=0,0,IF(ROUND(BA220*(1+'Calc base'!O221),2)-MAX('Calc base'!J$12,ROUND('Calc base'!J$13*BA220,2))&lt;1,ROUND(BA220*(1+'Calc base'!O221),2),MAX('Calc base'!J$12,ROUND('Calc base'!J$13*BA220,2))))</f>
        <v>0</v>
      </c>
      <c r="R221">
        <f>IF(BB220&lt;=0,0,IF(ROUND(BB220*(1+'Calc base'!P221),2)-MAX('Calc base'!K$12,ROUND('Calc base'!K$13*BB220,2))&lt;1,ROUND(BB220*(1+'Calc base'!P221),2),MAX('Calc base'!K$12,ROUND('Calc base'!K$13*BB220,2))))</f>
        <v>0</v>
      </c>
      <c r="S221">
        <f>IF(BC220&lt;=0,0,IF(ROUND(BC220*(1+'Calc base'!Q221),2)-MAX('Calc base'!L$12,ROUND('Calc base'!L$13*BC220,2))&lt;1,ROUND(BC220*(1+'Calc base'!Q221),2),MAX('Calc base'!L$12,ROUND('Calc base'!L$13*BC220,2))))</f>
        <v>0</v>
      </c>
      <c r="T221">
        <f>IF(BD220&lt;=0,0,IF(ROUND(BD220*(1+'Calc base'!R221),2)-MAX('Calc base'!M$12,ROUND('Calc base'!M$13*BD220,2))&lt;1,ROUND(BD220*(1+'Calc base'!R221),2),MAX('Calc base'!M$12,ROUND('Calc base'!M$13*BD220,2))))</f>
        <v>0</v>
      </c>
      <c r="U221">
        <f>IF(BE220&lt;=0,0,IF(ROUND(BE220*(1+'Calc base'!S221),2)-MAX('Calc base'!N$12,ROUND('Calc base'!N$13*BE220,2))&lt;1,ROUND(BE220*(1+'Calc base'!S221),2),MAX('Calc base'!N$12,ROUND('Calc base'!N$13*BE220,2))))</f>
        <v>0</v>
      </c>
      <c r="V221">
        <f>MAX(0,ROUND(AT220*(1+'Calc base'!H221),2)-J221-'Calc base'!T221)</f>
        <v>0</v>
      </c>
      <c r="W221">
        <f>MAX(0,ROUND(AU220*(1+'Calc base'!I221),2)-K221-'Calc base'!U221)</f>
        <v>0</v>
      </c>
      <c r="X221">
        <f>MAX(0,ROUND(AV220*(1+'Calc base'!J221),2)-L221-'Calc base'!V221)</f>
        <v>0</v>
      </c>
      <c r="Y221">
        <f>MAX(0,ROUND(AW220*(1+'Calc base'!K221),2)-M221-'Calc base'!W221)</f>
        <v>0</v>
      </c>
      <c r="Z221">
        <f>MAX(0,ROUND(AX220*(1+'Calc base'!L221),2)-N221-'Calc base'!X221)</f>
        <v>0</v>
      </c>
      <c r="AA221">
        <f>MAX(0,ROUND(AY220*(1+'Calc base'!M221),2)-O221-'Calc base'!Y221)</f>
        <v>0</v>
      </c>
      <c r="AB221">
        <f>MAX(0,ROUND(AZ220*(1+'Calc base'!N221),2)-P221-'Calc base'!Z221)</f>
        <v>0</v>
      </c>
      <c r="AC221">
        <f>MAX(0,ROUND(BA220*(1+'Calc base'!O221),2)-Q221-'Calc base'!AA221)</f>
        <v>0</v>
      </c>
      <c r="AD221">
        <f>MAX(0,ROUND(BB220*(1+'Calc base'!P221),2)-R221-'Calc base'!AB221)</f>
        <v>0</v>
      </c>
      <c r="AE221">
        <f>MAX(0,ROUND(BC220*(1+'Calc base'!Q221),2)-S221-'Calc base'!AC221)</f>
        <v>0</v>
      </c>
      <c r="AF221">
        <f>MAX(0,ROUND(BD220*(1+'Calc base'!R221),2)-T221-'Calc base'!AD221)</f>
        <v>0</v>
      </c>
      <c r="AG221">
        <f>MAX(0,ROUND(BE220*(1+'Calc base'!S221),2)-U221-'Calc base'!AE221)</f>
        <v>0</v>
      </c>
      <c r="AH221">
        <f>IF('Calc base'!C$14=0,0,MIN(V221,MAX(0,$E221-SUMPRODUCT($V221:$AG221,'Calc base'!$C$14:$N$14,('Calc base'!$H221:$S221&gt;'Calc base'!H221)+('Calc base'!$H221:$S221='Calc base'!H221)*('Calc base'!$C$17:$N$17&lt;'Calc base'!C$17)))))</f>
        <v>0</v>
      </c>
      <c r="AI221">
        <f>IF('Calc base'!D$14=0,0,MIN(W221,MAX(0,$E221-SUMPRODUCT($V221:$AG221,'Calc base'!$C$14:$N$14,('Calc base'!$H221:$S221&gt;'Calc base'!I221)+('Calc base'!$H221:$S221='Calc base'!I221)*('Calc base'!$C$17:$N$17&lt;'Calc base'!D$17)))))</f>
        <v>0</v>
      </c>
      <c r="AJ221">
        <f>IF('Calc base'!E$14=0,0,MIN(X221,MAX(0,$E221-SUMPRODUCT($V221:$AG221,'Calc base'!$C$14:$N$14,('Calc base'!$H221:$S221&gt;'Calc base'!J221)+('Calc base'!$H221:$S221='Calc base'!J221)*('Calc base'!$C$17:$N$17&lt;'Calc base'!E$17)))))</f>
        <v>0</v>
      </c>
      <c r="AK221">
        <f>IF('Calc base'!F$14=0,0,MIN(Y221,MAX(0,$E221-SUMPRODUCT($V221:$AG221,'Calc base'!$C$14:$N$14,('Calc base'!$H221:$S221&gt;'Calc base'!K221)+('Calc base'!$H221:$S221='Calc base'!K221)*('Calc base'!$C$17:$N$17&lt;'Calc base'!F$17)))))</f>
        <v>0</v>
      </c>
      <c r="AL221">
        <f>IF('Calc base'!G$14=0,0,MIN(Z221,MAX(0,$E221-SUMPRODUCT($V221:$AG221,'Calc base'!$C$14:$N$14,('Calc base'!$H221:$S221&gt;'Calc base'!L221)+('Calc base'!$H221:$S221='Calc base'!L221)*('Calc base'!$C$17:$N$17&lt;'Calc base'!G$17)))))</f>
        <v>0</v>
      </c>
      <c r="AM221">
        <f>IF('Calc base'!H$14=0,0,MIN(AA221,MAX(0,$E221-SUMPRODUCT($V221:$AG221,'Calc base'!$C$14:$N$14,('Calc base'!$H221:$S221&gt;'Calc base'!M221)+('Calc base'!$H221:$S221='Calc base'!M221)*('Calc base'!$C$17:$N$17&lt;'Calc base'!H$17)))))</f>
        <v>0</v>
      </c>
      <c r="AN221">
        <f>IF('Calc base'!I$14=0,0,MIN(AB221,MAX(0,$E221-SUMPRODUCT($V221:$AG221,'Calc base'!$C$14:$N$14,('Calc base'!$H221:$S221&gt;'Calc base'!N221)+('Calc base'!$H221:$S221='Calc base'!N221)*('Calc base'!$C$17:$N$17&lt;'Calc base'!I$17)))))</f>
        <v>0</v>
      </c>
      <c r="AO221">
        <f>IF('Calc base'!J$14=0,0,MIN(AC221,MAX(0,$E221-SUMPRODUCT($V221:$AG221,'Calc base'!$C$14:$N$14,('Calc base'!$H221:$S221&gt;'Calc base'!O221)+('Calc base'!$H221:$S221='Calc base'!O221)*('Calc base'!$C$17:$N$17&lt;'Calc base'!J$17)))))</f>
        <v>0</v>
      </c>
      <c r="AP221">
        <f>IF('Calc base'!K$14=0,0,MIN(AD221,MAX(0,$E221-SUMPRODUCT($V221:$AG221,'Calc base'!$C$14:$N$14,('Calc base'!$H221:$S221&gt;'Calc base'!P221)+('Calc base'!$H221:$S221='Calc base'!P221)*('Calc base'!$C$17:$N$17&lt;'Calc base'!K$17)))))</f>
        <v>0</v>
      </c>
      <c r="AQ221">
        <f>IF('Calc base'!L$14=0,0,MIN(AE221,MAX(0,$E221-SUMPRODUCT($V221:$AG221,'Calc base'!$C$14:$N$14,('Calc base'!$H221:$S221&gt;'Calc base'!Q221)+('Calc base'!$H221:$S221='Calc base'!Q221)*('Calc base'!$C$17:$N$17&lt;'Calc base'!L$17)))))</f>
        <v>0</v>
      </c>
      <c r="AR221">
        <f>IF('Calc base'!M$14=0,0,MIN(AF221,MAX(0,$E221-SUMPRODUCT($V221:$AG221,'Calc base'!$C$14:$N$14,('Calc base'!$H221:$S221&gt;'Calc base'!R221)+('Calc base'!$H221:$S221='Calc base'!R221)*('Calc base'!$C$17:$N$17&lt;'Calc base'!M$17)))))</f>
        <v>0</v>
      </c>
      <c r="AS221">
        <f>IF('Calc base'!N$14=0,0,MIN(AG221,MAX(0,$E221-SUMPRODUCT($V221:$AG221,'Calc base'!$C$14:$N$14,('Calc base'!$H221:$S221&gt;'Calc base'!S221)+('Calc base'!$H221:$S221='Calc base'!S221)*('Calc base'!$C$17:$N$17&lt;'Calc base'!N$17)))))</f>
        <v>0</v>
      </c>
      <c r="AT221">
        <f>V221-AH221</f>
        <v>0</v>
      </c>
      <c r="AU221">
        <f>W221-AI221</f>
        <v>0</v>
      </c>
      <c r="AV221">
        <f>X221-AJ221</f>
        <v>0</v>
      </c>
      <c r="AW221">
        <f>Y221-AK221</f>
        <v>0</v>
      </c>
      <c r="AX221">
        <f>Z221-AL221</f>
        <v>0</v>
      </c>
      <c r="AY221">
        <f>AA221-AM221</f>
        <v>0</v>
      </c>
      <c r="AZ221">
        <f>AB221-AN221</f>
        <v>0</v>
      </c>
      <c r="BA221">
        <f>AC221-AO221</f>
        <v>0</v>
      </c>
      <c r="BB221">
        <f>AD221-AP221</f>
        <v>0</v>
      </c>
      <c r="BC221">
        <f>AE221-AQ221</f>
        <v>0</v>
      </c>
      <c r="BD221">
        <f>AF221-AR221</f>
        <v>0</v>
      </c>
      <c r="BE221">
        <f>AG221-AS221</f>
        <v>0</v>
      </c>
    </row>
    <row r="222">
      <c r="A222" t="n">
        <v>192</v>
      </c>
      <c r="B222">
        <f>SUMPRODUCT(ROUND($AT221:$BE221*(1+'Calc base'!$H222:$S222),2))</f>
        <v>0</v>
      </c>
      <c r="C222">
        <f>SUM(J222:U222)</f>
        <v>0</v>
      </c>
      <c r="D222">
        <f>SUM(V222:AG222)</f>
        <v>0</v>
      </c>
      <c r="E222">
        <f>MAX(0,IF(Impostazioni!$B$7="No",'Calc base'!$C222-$C$31,'Calc base'!$C222-C222)+'Calc base'!$G222+'Calc base'!$F222-(B222-C222-D222))</f>
        <v>900</v>
      </c>
      <c r="F222">
        <f>SUM(AH222:AS222)</f>
        <v>0</v>
      </c>
      <c r="G222">
        <f>SUM(AT222:BE222)</f>
        <v>0</v>
      </c>
      <c r="H222">
        <f>B222-G221</f>
        <v>0</v>
      </c>
      <c r="I222">
        <f>B222-G222</f>
        <v>0</v>
      </c>
      <c r="J222">
        <f>IF(AT221&lt;=0,0,IF(ROUND(AT221*(1+'Calc base'!H222),2)-MAX('Calc base'!C$12,ROUND('Calc base'!C$13*AT221,2))&lt;1,ROUND(AT221*(1+'Calc base'!H222),2),MAX('Calc base'!C$12,ROUND('Calc base'!C$13*AT221,2))))</f>
        <v>0</v>
      </c>
      <c r="K222">
        <f>IF(AU221&lt;=0,0,IF(ROUND(AU221*(1+'Calc base'!I222),2)-MAX('Calc base'!D$12,ROUND('Calc base'!D$13*AU221,2))&lt;1,ROUND(AU221*(1+'Calc base'!I222),2),MAX('Calc base'!D$12,ROUND('Calc base'!D$13*AU221,2))))</f>
        <v>0</v>
      </c>
      <c r="L222">
        <f>IF(AV221&lt;=0,0,IF(ROUND(AV221*(1+'Calc base'!J222),2)-MAX('Calc base'!E$12,ROUND('Calc base'!E$13*AV221,2))&lt;1,ROUND(AV221*(1+'Calc base'!J222),2),MAX('Calc base'!E$12,ROUND('Calc base'!E$13*AV221,2))))</f>
        <v>0</v>
      </c>
      <c r="M222">
        <f>IF(AW221&lt;=0,0,IF(ROUND(AW221*(1+'Calc base'!K222),2)-MAX('Calc base'!F$12,ROUND('Calc base'!F$13*AW221,2))&lt;1,ROUND(AW221*(1+'Calc base'!K222),2),MAX('Calc base'!F$12,ROUND('Calc base'!F$13*AW221,2))))</f>
        <v>0</v>
      </c>
      <c r="N222">
        <f>IF(AX221&lt;=0,0,IF(ROUND(AX221*(1+'Calc base'!L222),2)-MAX('Calc base'!G$12,ROUND('Calc base'!G$13*AX221,2))&lt;1,ROUND(AX221*(1+'Calc base'!L222),2),MAX('Calc base'!G$12,ROUND('Calc base'!G$13*AX221,2))))</f>
        <v>0</v>
      </c>
      <c r="O222">
        <f>IF(AY221&lt;=0,0,IF(ROUND(AY221*(1+'Calc base'!M222),2)-MAX('Calc base'!H$12,ROUND('Calc base'!H$13*AY221,2))&lt;1,ROUND(AY221*(1+'Calc base'!M222),2),MAX('Calc base'!H$12,ROUND('Calc base'!H$13*AY221,2))))</f>
        <v>0</v>
      </c>
      <c r="P222">
        <f>IF(AZ221&lt;=0,0,IF(ROUND(AZ221*(1+'Calc base'!N222),2)-MAX('Calc base'!I$12,ROUND('Calc base'!I$13*AZ221,2))&lt;1,ROUND(AZ221*(1+'Calc base'!N222),2),MAX('Calc base'!I$12,ROUND('Calc base'!I$13*AZ221,2))))</f>
        <v>0</v>
      </c>
      <c r="Q222">
        <f>IF(BA221&lt;=0,0,IF(ROUND(BA221*(1+'Calc base'!O222),2)-MAX('Calc base'!J$12,ROUND('Calc base'!J$13*BA221,2))&lt;1,ROUND(BA221*(1+'Calc base'!O222),2),MAX('Calc base'!J$12,ROUND('Calc base'!J$13*BA221,2))))</f>
        <v>0</v>
      </c>
      <c r="R222">
        <f>IF(BB221&lt;=0,0,IF(ROUND(BB221*(1+'Calc base'!P222),2)-MAX('Calc base'!K$12,ROUND('Calc base'!K$13*BB221,2))&lt;1,ROUND(BB221*(1+'Calc base'!P222),2),MAX('Calc base'!K$12,ROUND('Calc base'!K$13*BB221,2))))</f>
        <v>0</v>
      </c>
      <c r="S222">
        <f>IF(BC221&lt;=0,0,IF(ROUND(BC221*(1+'Calc base'!Q222),2)-MAX('Calc base'!L$12,ROUND('Calc base'!L$13*BC221,2))&lt;1,ROUND(BC221*(1+'Calc base'!Q222),2),MAX('Calc base'!L$12,ROUND('Calc base'!L$13*BC221,2))))</f>
        <v>0</v>
      </c>
      <c r="T222">
        <f>IF(BD221&lt;=0,0,IF(ROUND(BD221*(1+'Calc base'!R222),2)-MAX('Calc base'!M$12,ROUND('Calc base'!M$13*BD221,2))&lt;1,ROUND(BD221*(1+'Calc base'!R222),2),MAX('Calc base'!M$12,ROUND('Calc base'!M$13*BD221,2))))</f>
        <v>0</v>
      </c>
      <c r="U222">
        <f>IF(BE221&lt;=0,0,IF(ROUND(BE221*(1+'Calc base'!S222),2)-MAX('Calc base'!N$12,ROUND('Calc base'!N$13*BE221,2))&lt;1,ROUND(BE221*(1+'Calc base'!S222),2),MAX('Calc base'!N$12,ROUND('Calc base'!N$13*BE221,2))))</f>
        <v>0</v>
      </c>
      <c r="V222">
        <f>MAX(0,ROUND(AT221*(1+'Calc base'!H222),2)-J222-'Calc base'!T222)</f>
        <v>0</v>
      </c>
      <c r="W222">
        <f>MAX(0,ROUND(AU221*(1+'Calc base'!I222),2)-K222-'Calc base'!U222)</f>
        <v>0</v>
      </c>
      <c r="X222">
        <f>MAX(0,ROUND(AV221*(1+'Calc base'!J222),2)-L222-'Calc base'!V222)</f>
        <v>0</v>
      </c>
      <c r="Y222">
        <f>MAX(0,ROUND(AW221*(1+'Calc base'!K222),2)-M222-'Calc base'!W222)</f>
        <v>0</v>
      </c>
      <c r="Z222">
        <f>MAX(0,ROUND(AX221*(1+'Calc base'!L222),2)-N222-'Calc base'!X222)</f>
        <v>0</v>
      </c>
      <c r="AA222">
        <f>MAX(0,ROUND(AY221*(1+'Calc base'!M222),2)-O222-'Calc base'!Y222)</f>
        <v>0</v>
      </c>
      <c r="AB222">
        <f>MAX(0,ROUND(AZ221*(1+'Calc base'!N222),2)-P222-'Calc base'!Z222)</f>
        <v>0</v>
      </c>
      <c r="AC222">
        <f>MAX(0,ROUND(BA221*(1+'Calc base'!O222),2)-Q222-'Calc base'!AA222)</f>
        <v>0</v>
      </c>
      <c r="AD222">
        <f>MAX(0,ROUND(BB221*(1+'Calc base'!P222),2)-R222-'Calc base'!AB222)</f>
        <v>0</v>
      </c>
      <c r="AE222">
        <f>MAX(0,ROUND(BC221*(1+'Calc base'!Q222),2)-S222-'Calc base'!AC222)</f>
        <v>0</v>
      </c>
      <c r="AF222">
        <f>MAX(0,ROUND(BD221*(1+'Calc base'!R222),2)-T222-'Calc base'!AD222)</f>
        <v>0</v>
      </c>
      <c r="AG222">
        <f>MAX(0,ROUND(BE221*(1+'Calc base'!S222),2)-U222-'Calc base'!AE222)</f>
        <v>0</v>
      </c>
      <c r="AH222">
        <f>IF('Calc base'!C$14=0,0,MIN(V222,MAX(0,$E222-SUMPRODUCT($V222:$AG222,'Calc base'!$C$14:$N$14,('Calc base'!$H222:$S222&gt;'Calc base'!H222)+('Calc base'!$H222:$S222='Calc base'!H222)*('Calc base'!$C$17:$N$17&lt;'Calc base'!C$17)))))</f>
        <v>0</v>
      </c>
      <c r="AI222">
        <f>IF('Calc base'!D$14=0,0,MIN(W222,MAX(0,$E222-SUMPRODUCT($V222:$AG222,'Calc base'!$C$14:$N$14,('Calc base'!$H222:$S222&gt;'Calc base'!I222)+('Calc base'!$H222:$S222='Calc base'!I222)*('Calc base'!$C$17:$N$17&lt;'Calc base'!D$17)))))</f>
        <v>0</v>
      </c>
      <c r="AJ222">
        <f>IF('Calc base'!E$14=0,0,MIN(X222,MAX(0,$E222-SUMPRODUCT($V222:$AG222,'Calc base'!$C$14:$N$14,('Calc base'!$H222:$S222&gt;'Calc base'!J222)+('Calc base'!$H222:$S222='Calc base'!J222)*('Calc base'!$C$17:$N$17&lt;'Calc base'!E$17)))))</f>
        <v>0</v>
      </c>
      <c r="AK222">
        <f>IF('Calc base'!F$14=0,0,MIN(Y222,MAX(0,$E222-SUMPRODUCT($V222:$AG222,'Calc base'!$C$14:$N$14,('Calc base'!$H222:$S222&gt;'Calc base'!K222)+('Calc base'!$H222:$S222='Calc base'!K222)*('Calc base'!$C$17:$N$17&lt;'Calc base'!F$17)))))</f>
        <v>0</v>
      </c>
      <c r="AL222">
        <f>IF('Calc base'!G$14=0,0,MIN(Z222,MAX(0,$E222-SUMPRODUCT($V222:$AG222,'Calc base'!$C$14:$N$14,('Calc base'!$H222:$S222&gt;'Calc base'!L222)+('Calc base'!$H222:$S222='Calc base'!L222)*('Calc base'!$C$17:$N$17&lt;'Calc base'!G$17)))))</f>
        <v>0</v>
      </c>
      <c r="AM222">
        <f>IF('Calc base'!H$14=0,0,MIN(AA222,MAX(0,$E222-SUMPRODUCT($V222:$AG222,'Calc base'!$C$14:$N$14,('Calc base'!$H222:$S222&gt;'Calc base'!M222)+('Calc base'!$H222:$S222='Calc base'!M222)*('Calc base'!$C$17:$N$17&lt;'Calc base'!H$17)))))</f>
        <v>0</v>
      </c>
      <c r="AN222">
        <f>IF('Calc base'!I$14=0,0,MIN(AB222,MAX(0,$E222-SUMPRODUCT($V222:$AG222,'Calc base'!$C$14:$N$14,('Calc base'!$H222:$S222&gt;'Calc base'!N222)+('Calc base'!$H222:$S222='Calc base'!N222)*('Calc base'!$C$17:$N$17&lt;'Calc base'!I$17)))))</f>
        <v>0</v>
      </c>
      <c r="AO222">
        <f>IF('Calc base'!J$14=0,0,MIN(AC222,MAX(0,$E222-SUMPRODUCT($V222:$AG222,'Calc base'!$C$14:$N$14,('Calc base'!$H222:$S222&gt;'Calc base'!O222)+('Calc base'!$H222:$S222='Calc base'!O222)*('Calc base'!$C$17:$N$17&lt;'Calc base'!J$17)))))</f>
        <v>0</v>
      </c>
      <c r="AP222">
        <f>IF('Calc base'!K$14=0,0,MIN(AD222,MAX(0,$E222-SUMPRODUCT($V222:$AG222,'Calc base'!$C$14:$N$14,('Calc base'!$H222:$S222&gt;'Calc base'!P222)+('Calc base'!$H222:$S222='Calc base'!P222)*('Calc base'!$C$17:$N$17&lt;'Calc base'!K$17)))))</f>
        <v>0</v>
      </c>
      <c r="AQ222">
        <f>IF('Calc base'!L$14=0,0,MIN(AE222,MAX(0,$E222-SUMPRODUCT($V222:$AG222,'Calc base'!$C$14:$N$14,('Calc base'!$H222:$S222&gt;'Calc base'!Q222)+('Calc base'!$H222:$S222='Calc base'!Q222)*('Calc base'!$C$17:$N$17&lt;'Calc base'!L$17)))))</f>
        <v>0</v>
      </c>
      <c r="AR222">
        <f>IF('Calc base'!M$14=0,0,MIN(AF222,MAX(0,$E222-SUMPRODUCT($V222:$AG222,'Calc base'!$C$14:$N$14,('Calc base'!$H222:$S222&gt;'Calc base'!R222)+('Calc base'!$H222:$S222='Calc base'!R222)*('Calc base'!$C$17:$N$17&lt;'Calc base'!M$17)))))</f>
        <v>0</v>
      </c>
      <c r="AS222">
        <f>IF('Calc base'!N$14=0,0,MIN(AG222,MAX(0,$E222-SUMPRODUCT($V222:$AG222,'Calc base'!$C$14:$N$14,('Calc base'!$H222:$S222&gt;'Calc base'!S222)+('Calc base'!$H222:$S222='Calc base'!S222)*('Calc base'!$C$17:$N$17&lt;'Calc base'!N$17)))))</f>
        <v>0</v>
      </c>
      <c r="AT222">
        <f>V222-AH222</f>
        <v>0</v>
      </c>
      <c r="AU222">
        <f>W222-AI222</f>
        <v>0</v>
      </c>
      <c r="AV222">
        <f>X222-AJ222</f>
        <v>0</v>
      </c>
      <c r="AW222">
        <f>Y222-AK222</f>
        <v>0</v>
      </c>
      <c r="AX222">
        <f>Z222-AL222</f>
        <v>0</v>
      </c>
      <c r="AY222">
        <f>AA222-AM222</f>
        <v>0</v>
      </c>
      <c r="AZ222">
        <f>AB222-AN222</f>
        <v>0</v>
      </c>
      <c r="BA222">
        <f>AC222-AO222</f>
        <v>0</v>
      </c>
      <c r="BB222">
        <f>AD222-AP222</f>
        <v>0</v>
      </c>
      <c r="BC222">
        <f>AE222-AQ222</f>
        <v>0</v>
      </c>
      <c r="BD222">
        <f>AF222-AR222</f>
        <v>0</v>
      </c>
      <c r="BE222">
        <f>AG222-AS222</f>
        <v>0</v>
      </c>
    </row>
    <row r="223">
      <c r="A223" t="n">
        <v>193</v>
      </c>
      <c r="B223">
        <f>SUMPRODUCT(ROUND($AT222:$BE222*(1+'Calc base'!$H223:$S223),2))</f>
        <v>0</v>
      </c>
      <c r="C223">
        <f>SUM(J223:U223)</f>
        <v>0</v>
      </c>
      <c r="D223">
        <f>SUM(V223:AG223)</f>
        <v>0</v>
      </c>
      <c r="E223">
        <f>MAX(0,IF(Impostazioni!$B$7="No",'Calc base'!$C223-$C$31,'Calc base'!$C223-C223)+'Calc base'!$G223+'Calc base'!$F223-(B223-C223-D223))</f>
        <v>900</v>
      </c>
      <c r="F223">
        <f>SUM(AH223:AS223)</f>
        <v>0</v>
      </c>
      <c r="G223">
        <f>SUM(AT223:BE223)</f>
        <v>0</v>
      </c>
      <c r="H223">
        <f>B223-G222</f>
        <v>0</v>
      </c>
      <c r="I223">
        <f>B223-G223</f>
        <v>0</v>
      </c>
      <c r="J223">
        <f>IF(AT222&lt;=0,0,IF(ROUND(AT222*(1+'Calc base'!H223),2)-MAX('Calc base'!C$12,ROUND('Calc base'!C$13*AT222,2))&lt;1,ROUND(AT222*(1+'Calc base'!H223),2),MAX('Calc base'!C$12,ROUND('Calc base'!C$13*AT222,2))))</f>
        <v>0</v>
      </c>
      <c r="K223">
        <f>IF(AU222&lt;=0,0,IF(ROUND(AU222*(1+'Calc base'!I223),2)-MAX('Calc base'!D$12,ROUND('Calc base'!D$13*AU222,2))&lt;1,ROUND(AU222*(1+'Calc base'!I223),2),MAX('Calc base'!D$12,ROUND('Calc base'!D$13*AU222,2))))</f>
        <v>0</v>
      </c>
      <c r="L223">
        <f>IF(AV222&lt;=0,0,IF(ROUND(AV222*(1+'Calc base'!J223),2)-MAX('Calc base'!E$12,ROUND('Calc base'!E$13*AV222,2))&lt;1,ROUND(AV222*(1+'Calc base'!J223),2),MAX('Calc base'!E$12,ROUND('Calc base'!E$13*AV222,2))))</f>
        <v>0</v>
      </c>
      <c r="M223">
        <f>IF(AW222&lt;=0,0,IF(ROUND(AW222*(1+'Calc base'!K223),2)-MAX('Calc base'!F$12,ROUND('Calc base'!F$13*AW222,2))&lt;1,ROUND(AW222*(1+'Calc base'!K223),2),MAX('Calc base'!F$12,ROUND('Calc base'!F$13*AW222,2))))</f>
        <v>0</v>
      </c>
      <c r="N223">
        <f>IF(AX222&lt;=0,0,IF(ROUND(AX222*(1+'Calc base'!L223),2)-MAX('Calc base'!G$12,ROUND('Calc base'!G$13*AX222,2))&lt;1,ROUND(AX222*(1+'Calc base'!L223),2),MAX('Calc base'!G$12,ROUND('Calc base'!G$13*AX222,2))))</f>
        <v>0</v>
      </c>
      <c r="O223">
        <f>IF(AY222&lt;=0,0,IF(ROUND(AY222*(1+'Calc base'!M223),2)-MAX('Calc base'!H$12,ROUND('Calc base'!H$13*AY222,2))&lt;1,ROUND(AY222*(1+'Calc base'!M223),2),MAX('Calc base'!H$12,ROUND('Calc base'!H$13*AY222,2))))</f>
        <v>0</v>
      </c>
      <c r="P223">
        <f>IF(AZ222&lt;=0,0,IF(ROUND(AZ222*(1+'Calc base'!N223),2)-MAX('Calc base'!I$12,ROUND('Calc base'!I$13*AZ222,2))&lt;1,ROUND(AZ222*(1+'Calc base'!N223),2),MAX('Calc base'!I$12,ROUND('Calc base'!I$13*AZ222,2))))</f>
        <v>0</v>
      </c>
      <c r="Q223">
        <f>IF(BA222&lt;=0,0,IF(ROUND(BA222*(1+'Calc base'!O223),2)-MAX('Calc base'!J$12,ROUND('Calc base'!J$13*BA222,2))&lt;1,ROUND(BA222*(1+'Calc base'!O223),2),MAX('Calc base'!J$12,ROUND('Calc base'!J$13*BA222,2))))</f>
        <v>0</v>
      </c>
      <c r="R223">
        <f>IF(BB222&lt;=0,0,IF(ROUND(BB222*(1+'Calc base'!P223),2)-MAX('Calc base'!K$12,ROUND('Calc base'!K$13*BB222,2))&lt;1,ROUND(BB222*(1+'Calc base'!P223),2),MAX('Calc base'!K$12,ROUND('Calc base'!K$13*BB222,2))))</f>
        <v>0</v>
      </c>
      <c r="S223">
        <f>IF(BC222&lt;=0,0,IF(ROUND(BC222*(1+'Calc base'!Q223),2)-MAX('Calc base'!L$12,ROUND('Calc base'!L$13*BC222,2))&lt;1,ROUND(BC222*(1+'Calc base'!Q223),2),MAX('Calc base'!L$12,ROUND('Calc base'!L$13*BC222,2))))</f>
        <v>0</v>
      </c>
      <c r="T223">
        <f>IF(BD222&lt;=0,0,IF(ROUND(BD222*(1+'Calc base'!R223),2)-MAX('Calc base'!M$12,ROUND('Calc base'!M$13*BD222,2))&lt;1,ROUND(BD222*(1+'Calc base'!R223),2),MAX('Calc base'!M$12,ROUND('Calc base'!M$13*BD222,2))))</f>
        <v>0</v>
      </c>
      <c r="U223">
        <f>IF(BE222&lt;=0,0,IF(ROUND(BE222*(1+'Calc base'!S223),2)-MAX('Calc base'!N$12,ROUND('Calc base'!N$13*BE222,2))&lt;1,ROUND(BE222*(1+'Calc base'!S223),2),MAX('Calc base'!N$12,ROUND('Calc base'!N$13*BE222,2))))</f>
        <v>0</v>
      </c>
      <c r="V223">
        <f>MAX(0,ROUND(AT222*(1+'Calc base'!H223),2)-J223-'Calc base'!T223)</f>
        <v>0</v>
      </c>
      <c r="W223">
        <f>MAX(0,ROUND(AU222*(1+'Calc base'!I223),2)-K223-'Calc base'!U223)</f>
        <v>0</v>
      </c>
      <c r="X223">
        <f>MAX(0,ROUND(AV222*(1+'Calc base'!J223),2)-L223-'Calc base'!V223)</f>
        <v>0</v>
      </c>
      <c r="Y223">
        <f>MAX(0,ROUND(AW222*(1+'Calc base'!K223),2)-M223-'Calc base'!W223)</f>
        <v>0</v>
      </c>
      <c r="Z223">
        <f>MAX(0,ROUND(AX222*(1+'Calc base'!L223),2)-N223-'Calc base'!X223)</f>
        <v>0</v>
      </c>
      <c r="AA223">
        <f>MAX(0,ROUND(AY222*(1+'Calc base'!M223),2)-O223-'Calc base'!Y223)</f>
        <v>0</v>
      </c>
      <c r="AB223">
        <f>MAX(0,ROUND(AZ222*(1+'Calc base'!N223),2)-P223-'Calc base'!Z223)</f>
        <v>0</v>
      </c>
      <c r="AC223">
        <f>MAX(0,ROUND(BA222*(1+'Calc base'!O223),2)-Q223-'Calc base'!AA223)</f>
        <v>0</v>
      </c>
      <c r="AD223">
        <f>MAX(0,ROUND(BB222*(1+'Calc base'!P223),2)-R223-'Calc base'!AB223)</f>
        <v>0</v>
      </c>
      <c r="AE223">
        <f>MAX(0,ROUND(BC222*(1+'Calc base'!Q223),2)-S223-'Calc base'!AC223)</f>
        <v>0</v>
      </c>
      <c r="AF223">
        <f>MAX(0,ROUND(BD222*(1+'Calc base'!R223),2)-T223-'Calc base'!AD223)</f>
        <v>0</v>
      </c>
      <c r="AG223">
        <f>MAX(0,ROUND(BE222*(1+'Calc base'!S223),2)-U223-'Calc base'!AE223)</f>
        <v>0</v>
      </c>
      <c r="AH223">
        <f>IF('Calc base'!C$14=0,0,MIN(V223,MAX(0,$E223-SUMPRODUCT($V223:$AG223,'Calc base'!$C$14:$N$14,('Calc base'!$H223:$S223&gt;'Calc base'!H223)+('Calc base'!$H223:$S223='Calc base'!H223)*('Calc base'!$C$17:$N$17&lt;'Calc base'!C$17)))))</f>
        <v>0</v>
      </c>
      <c r="AI223">
        <f>IF('Calc base'!D$14=0,0,MIN(W223,MAX(0,$E223-SUMPRODUCT($V223:$AG223,'Calc base'!$C$14:$N$14,('Calc base'!$H223:$S223&gt;'Calc base'!I223)+('Calc base'!$H223:$S223='Calc base'!I223)*('Calc base'!$C$17:$N$17&lt;'Calc base'!D$17)))))</f>
        <v>0</v>
      </c>
      <c r="AJ223">
        <f>IF('Calc base'!E$14=0,0,MIN(X223,MAX(0,$E223-SUMPRODUCT($V223:$AG223,'Calc base'!$C$14:$N$14,('Calc base'!$H223:$S223&gt;'Calc base'!J223)+('Calc base'!$H223:$S223='Calc base'!J223)*('Calc base'!$C$17:$N$17&lt;'Calc base'!E$17)))))</f>
        <v>0</v>
      </c>
      <c r="AK223">
        <f>IF('Calc base'!F$14=0,0,MIN(Y223,MAX(0,$E223-SUMPRODUCT($V223:$AG223,'Calc base'!$C$14:$N$14,('Calc base'!$H223:$S223&gt;'Calc base'!K223)+('Calc base'!$H223:$S223='Calc base'!K223)*('Calc base'!$C$17:$N$17&lt;'Calc base'!F$17)))))</f>
        <v>0</v>
      </c>
      <c r="AL223">
        <f>IF('Calc base'!G$14=0,0,MIN(Z223,MAX(0,$E223-SUMPRODUCT($V223:$AG223,'Calc base'!$C$14:$N$14,('Calc base'!$H223:$S223&gt;'Calc base'!L223)+('Calc base'!$H223:$S223='Calc base'!L223)*('Calc base'!$C$17:$N$17&lt;'Calc base'!G$17)))))</f>
        <v>0</v>
      </c>
      <c r="AM223">
        <f>IF('Calc base'!H$14=0,0,MIN(AA223,MAX(0,$E223-SUMPRODUCT($V223:$AG223,'Calc base'!$C$14:$N$14,('Calc base'!$H223:$S223&gt;'Calc base'!M223)+('Calc base'!$H223:$S223='Calc base'!M223)*('Calc base'!$C$17:$N$17&lt;'Calc base'!H$17)))))</f>
        <v>0</v>
      </c>
      <c r="AN223">
        <f>IF('Calc base'!I$14=0,0,MIN(AB223,MAX(0,$E223-SUMPRODUCT($V223:$AG223,'Calc base'!$C$14:$N$14,('Calc base'!$H223:$S223&gt;'Calc base'!N223)+('Calc base'!$H223:$S223='Calc base'!N223)*('Calc base'!$C$17:$N$17&lt;'Calc base'!I$17)))))</f>
        <v>0</v>
      </c>
      <c r="AO223">
        <f>IF('Calc base'!J$14=0,0,MIN(AC223,MAX(0,$E223-SUMPRODUCT($V223:$AG223,'Calc base'!$C$14:$N$14,('Calc base'!$H223:$S223&gt;'Calc base'!O223)+('Calc base'!$H223:$S223='Calc base'!O223)*('Calc base'!$C$17:$N$17&lt;'Calc base'!J$17)))))</f>
        <v>0</v>
      </c>
      <c r="AP223">
        <f>IF('Calc base'!K$14=0,0,MIN(AD223,MAX(0,$E223-SUMPRODUCT($V223:$AG223,'Calc base'!$C$14:$N$14,('Calc base'!$H223:$S223&gt;'Calc base'!P223)+('Calc base'!$H223:$S223='Calc base'!P223)*('Calc base'!$C$17:$N$17&lt;'Calc base'!K$17)))))</f>
        <v>0</v>
      </c>
      <c r="AQ223">
        <f>IF('Calc base'!L$14=0,0,MIN(AE223,MAX(0,$E223-SUMPRODUCT($V223:$AG223,'Calc base'!$C$14:$N$14,('Calc base'!$H223:$S223&gt;'Calc base'!Q223)+('Calc base'!$H223:$S223='Calc base'!Q223)*('Calc base'!$C$17:$N$17&lt;'Calc base'!L$17)))))</f>
        <v>0</v>
      </c>
      <c r="AR223">
        <f>IF('Calc base'!M$14=0,0,MIN(AF223,MAX(0,$E223-SUMPRODUCT($V223:$AG223,'Calc base'!$C$14:$N$14,('Calc base'!$H223:$S223&gt;'Calc base'!R223)+('Calc base'!$H223:$S223='Calc base'!R223)*('Calc base'!$C$17:$N$17&lt;'Calc base'!M$17)))))</f>
        <v>0</v>
      </c>
      <c r="AS223">
        <f>IF('Calc base'!N$14=0,0,MIN(AG223,MAX(0,$E223-SUMPRODUCT($V223:$AG223,'Calc base'!$C$14:$N$14,('Calc base'!$H223:$S223&gt;'Calc base'!S223)+('Calc base'!$H223:$S223='Calc base'!S223)*('Calc base'!$C$17:$N$17&lt;'Calc base'!N$17)))))</f>
        <v>0</v>
      </c>
      <c r="AT223">
        <f>V223-AH223</f>
        <v>0</v>
      </c>
      <c r="AU223">
        <f>W223-AI223</f>
        <v>0</v>
      </c>
      <c r="AV223">
        <f>X223-AJ223</f>
        <v>0</v>
      </c>
      <c r="AW223">
        <f>Y223-AK223</f>
        <v>0</v>
      </c>
      <c r="AX223">
        <f>Z223-AL223</f>
        <v>0</v>
      </c>
      <c r="AY223">
        <f>AA223-AM223</f>
        <v>0</v>
      </c>
      <c r="AZ223">
        <f>AB223-AN223</f>
        <v>0</v>
      </c>
      <c r="BA223">
        <f>AC223-AO223</f>
        <v>0</v>
      </c>
      <c r="BB223">
        <f>AD223-AP223</f>
        <v>0</v>
      </c>
      <c r="BC223">
        <f>AE223-AQ223</f>
        <v>0</v>
      </c>
      <c r="BD223">
        <f>AF223-AR223</f>
        <v>0</v>
      </c>
      <c r="BE223">
        <f>AG223-AS223</f>
        <v>0</v>
      </c>
    </row>
    <row r="224">
      <c r="A224" t="n">
        <v>194</v>
      </c>
      <c r="B224">
        <f>SUMPRODUCT(ROUND($AT223:$BE223*(1+'Calc base'!$H224:$S224),2))</f>
        <v>0</v>
      </c>
      <c r="C224">
        <f>SUM(J224:U224)</f>
        <v>0</v>
      </c>
      <c r="D224">
        <f>SUM(V224:AG224)</f>
        <v>0</v>
      </c>
      <c r="E224">
        <f>MAX(0,IF(Impostazioni!$B$7="No",'Calc base'!$C224-$C$31,'Calc base'!$C224-C224)+'Calc base'!$G224+'Calc base'!$F224-(B224-C224-D224))</f>
        <v>900</v>
      </c>
      <c r="F224">
        <f>SUM(AH224:AS224)</f>
        <v>0</v>
      </c>
      <c r="G224">
        <f>SUM(AT224:BE224)</f>
        <v>0</v>
      </c>
      <c r="H224">
        <f>B224-G223</f>
        <v>0</v>
      </c>
      <c r="I224">
        <f>B224-G224</f>
        <v>0</v>
      </c>
      <c r="J224">
        <f>IF(AT223&lt;=0,0,IF(ROUND(AT223*(1+'Calc base'!H224),2)-MAX('Calc base'!C$12,ROUND('Calc base'!C$13*AT223,2))&lt;1,ROUND(AT223*(1+'Calc base'!H224),2),MAX('Calc base'!C$12,ROUND('Calc base'!C$13*AT223,2))))</f>
        <v>0</v>
      </c>
      <c r="K224">
        <f>IF(AU223&lt;=0,0,IF(ROUND(AU223*(1+'Calc base'!I224),2)-MAX('Calc base'!D$12,ROUND('Calc base'!D$13*AU223,2))&lt;1,ROUND(AU223*(1+'Calc base'!I224),2),MAX('Calc base'!D$12,ROUND('Calc base'!D$13*AU223,2))))</f>
        <v>0</v>
      </c>
      <c r="L224">
        <f>IF(AV223&lt;=0,0,IF(ROUND(AV223*(1+'Calc base'!J224),2)-MAX('Calc base'!E$12,ROUND('Calc base'!E$13*AV223,2))&lt;1,ROUND(AV223*(1+'Calc base'!J224),2),MAX('Calc base'!E$12,ROUND('Calc base'!E$13*AV223,2))))</f>
        <v>0</v>
      </c>
      <c r="M224">
        <f>IF(AW223&lt;=0,0,IF(ROUND(AW223*(1+'Calc base'!K224),2)-MAX('Calc base'!F$12,ROUND('Calc base'!F$13*AW223,2))&lt;1,ROUND(AW223*(1+'Calc base'!K224),2),MAX('Calc base'!F$12,ROUND('Calc base'!F$13*AW223,2))))</f>
        <v>0</v>
      </c>
      <c r="N224">
        <f>IF(AX223&lt;=0,0,IF(ROUND(AX223*(1+'Calc base'!L224),2)-MAX('Calc base'!G$12,ROUND('Calc base'!G$13*AX223,2))&lt;1,ROUND(AX223*(1+'Calc base'!L224),2),MAX('Calc base'!G$12,ROUND('Calc base'!G$13*AX223,2))))</f>
        <v>0</v>
      </c>
      <c r="O224">
        <f>IF(AY223&lt;=0,0,IF(ROUND(AY223*(1+'Calc base'!M224),2)-MAX('Calc base'!H$12,ROUND('Calc base'!H$13*AY223,2))&lt;1,ROUND(AY223*(1+'Calc base'!M224),2),MAX('Calc base'!H$12,ROUND('Calc base'!H$13*AY223,2))))</f>
        <v>0</v>
      </c>
      <c r="P224">
        <f>IF(AZ223&lt;=0,0,IF(ROUND(AZ223*(1+'Calc base'!N224),2)-MAX('Calc base'!I$12,ROUND('Calc base'!I$13*AZ223,2))&lt;1,ROUND(AZ223*(1+'Calc base'!N224),2),MAX('Calc base'!I$12,ROUND('Calc base'!I$13*AZ223,2))))</f>
        <v>0</v>
      </c>
      <c r="Q224">
        <f>IF(BA223&lt;=0,0,IF(ROUND(BA223*(1+'Calc base'!O224),2)-MAX('Calc base'!J$12,ROUND('Calc base'!J$13*BA223,2))&lt;1,ROUND(BA223*(1+'Calc base'!O224),2),MAX('Calc base'!J$12,ROUND('Calc base'!J$13*BA223,2))))</f>
        <v>0</v>
      </c>
      <c r="R224">
        <f>IF(BB223&lt;=0,0,IF(ROUND(BB223*(1+'Calc base'!P224),2)-MAX('Calc base'!K$12,ROUND('Calc base'!K$13*BB223,2))&lt;1,ROUND(BB223*(1+'Calc base'!P224),2),MAX('Calc base'!K$12,ROUND('Calc base'!K$13*BB223,2))))</f>
        <v>0</v>
      </c>
      <c r="S224">
        <f>IF(BC223&lt;=0,0,IF(ROUND(BC223*(1+'Calc base'!Q224),2)-MAX('Calc base'!L$12,ROUND('Calc base'!L$13*BC223,2))&lt;1,ROUND(BC223*(1+'Calc base'!Q224),2),MAX('Calc base'!L$12,ROUND('Calc base'!L$13*BC223,2))))</f>
        <v>0</v>
      </c>
      <c r="T224">
        <f>IF(BD223&lt;=0,0,IF(ROUND(BD223*(1+'Calc base'!R224),2)-MAX('Calc base'!M$12,ROUND('Calc base'!M$13*BD223,2))&lt;1,ROUND(BD223*(1+'Calc base'!R224),2),MAX('Calc base'!M$12,ROUND('Calc base'!M$13*BD223,2))))</f>
        <v>0</v>
      </c>
      <c r="U224">
        <f>IF(BE223&lt;=0,0,IF(ROUND(BE223*(1+'Calc base'!S224),2)-MAX('Calc base'!N$12,ROUND('Calc base'!N$13*BE223,2))&lt;1,ROUND(BE223*(1+'Calc base'!S224),2),MAX('Calc base'!N$12,ROUND('Calc base'!N$13*BE223,2))))</f>
        <v>0</v>
      </c>
      <c r="V224">
        <f>MAX(0,ROUND(AT223*(1+'Calc base'!H224),2)-J224-'Calc base'!T224)</f>
        <v>0</v>
      </c>
      <c r="W224">
        <f>MAX(0,ROUND(AU223*(1+'Calc base'!I224),2)-K224-'Calc base'!U224)</f>
        <v>0</v>
      </c>
      <c r="X224">
        <f>MAX(0,ROUND(AV223*(1+'Calc base'!J224),2)-L224-'Calc base'!V224)</f>
        <v>0</v>
      </c>
      <c r="Y224">
        <f>MAX(0,ROUND(AW223*(1+'Calc base'!K224),2)-M224-'Calc base'!W224)</f>
        <v>0</v>
      </c>
      <c r="Z224">
        <f>MAX(0,ROUND(AX223*(1+'Calc base'!L224),2)-N224-'Calc base'!X224)</f>
        <v>0</v>
      </c>
      <c r="AA224">
        <f>MAX(0,ROUND(AY223*(1+'Calc base'!M224),2)-O224-'Calc base'!Y224)</f>
        <v>0</v>
      </c>
      <c r="AB224">
        <f>MAX(0,ROUND(AZ223*(1+'Calc base'!N224),2)-P224-'Calc base'!Z224)</f>
        <v>0</v>
      </c>
      <c r="AC224">
        <f>MAX(0,ROUND(BA223*(1+'Calc base'!O224),2)-Q224-'Calc base'!AA224)</f>
        <v>0</v>
      </c>
      <c r="AD224">
        <f>MAX(0,ROUND(BB223*(1+'Calc base'!P224),2)-R224-'Calc base'!AB224)</f>
        <v>0</v>
      </c>
      <c r="AE224">
        <f>MAX(0,ROUND(BC223*(1+'Calc base'!Q224),2)-S224-'Calc base'!AC224)</f>
        <v>0</v>
      </c>
      <c r="AF224">
        <f>MAX(0,ROUND(BD223*(1+'Calc base'!R224),2)-T224-'Calc base'!AD224)</f>
        <v>0</v>
      </c>
      <c r="AG224">
        <f>MAX(0,ROUND(BE223*(1+'Calc base'!S224),2)-U224-'Calc base'!AE224)</f>
        <v>0</v>
      </c>
      <c r="AH224">
        <f>IF('Calc base'!C$14=0,0,MIN(V224,MAX(0,$E224-SUMPRODUCT($V224:$AG224,'Calc base'!$C$14:$N$14,('Calc base'!$H224:$S224&gt;'Calc base'!H224)+('Calc base'!$H224:$S224='Calc base'!H224)*('Calc base'!$C$17:$N$17&lt;'Calc base'!C$17)))))</f>
        <v>0</v>
      </c>
      <c r="AI224">
        <f>IF('Calc base'!D$14=0,0,MIN(W224,MAX(0,$E224-SUMPRODUCT($V224:$AG224,'Calc base'!$C$14:$N$14,('Calc base'!$H224:$S224&gt;'Calc base'!I224)+('Calc base'!$H224:$S224='Calc base'!I224)*('Calc base'!$C$17:$N$17&lt;'Calc base'!D$17)))))</f>
        <v>0</v>
      </c>
      <c r="AJ224">
        <f>IF('Calc base'!E$14=0,0,MIN(X224,MAX(0,$E224-SUMPRODUCT($V224:$AG224,'Calc base'!$C$14:$N$14,('Calc base'!$H224:$S224&gt;'Calc base'!J224)+('Calc base'!$H224:$S224='Calc base'!J224)*('Calc base'!$C$17:$N$17&lt;'Calc base'!E$17)))))</f>
        <v>0</v>
      </c>
      <c r="AK224">
        <f>IF('Calc base'!F$14=0,0,MIN(Y224,MAX(0,$E224-SUMPRODUCT($V224:$AG224,'Calc base'!$C$14:$N$14,('Calc base'!$H224:$S224&gt;'Calc base'!K224)+('Calc base'!$H224:$S224='Calc base'!K224)*('Calc base'!$C$17:$N$17&lt;'Calc base'!F$17)))))</f>
        <v>0</v>
      </c>
      <c r="AL224">
        <f>IF('Calc base'!G$14=0,0,MIN(Z224,MAX(0,$E224-SUMPRODUCT($V224:$AG224,'Calc base'!$C$14:$N$14,('Calc base'!$H224:$S224&gt;'Calc base'!L224)+('Calc base'!$H224:$S224='Calc base'!L224)*('Calc base'!$C$17:$N$17&lt;'Calc base'!G$17)))))</f>
        <v>0</v>
      </c>
      <c r="AM224">
        <f>IF('Calc base'!H$14=0,0,MIN(AA224,MAX(0,$E224-SUMPRODUCT($V224:$AG224,'Calc base'!$C$14:$N$14,('Calc base'!$H224:$S224&gt;'Calc base'!M224)+('Calc base'!$H224:$S224='Calc base'!M224)*('Calc base'!$C$17:$N$17&lt;'Calc base'!H$17)))))</f>
        <v>0</v>
      </c>
      <c r="AN224">
        <f>IF('Calc base'!I$14=0,0,MIN(AB224,MAX(0,$E224-SUMPRODUCT($V224:$AG224,'Calc base'!$C$14:$N$14,('Calc base'!$H224:$S224&gt;'Calc base'!N224)+('Calc base'!$H224:$S224='Calc base'!N224)*('Calc base'!$C$17:$N$17&lt;'Calc base'!I$17)))))</f>
        <v>0</v>
      </c>
      <c r="AO224">
        <f>IF('Calc base'!J$14=0,0,MIN(AC224,MAX(0,$E224-SUMPRODUCT($V224:$AG224,'Calc base'!$C$14:$N$14,('Calc base'!$H224:$S224&gt;'Calc base'!O224)+('Calc base'!$H224:$S224='Calc base'!O224)*('Calc base'!$C$17:$N$17&lt;'Calc base'!J$17)))))</f>
        <v>0</v>
      </c>
      <c r="AP224">
        <f>IF('Calc base'!K$14=0,0,MIN(AD224,MAX(0,$E224-SUMPRODUCT($V224:$AG224,'Calc base'!$C$14:$N$14,('Calc base'!$H224:$S224&gt;'Calc base'!P224)+('Calc base'!$H224:$S224='Calc base'!P224)*('Calc base'!$C$17:$N$17&lt;'Calc base'!K$17)))))</f>
        <v>0</v>
      </c>
      <c r="AQ224">
        <f>IF('Calc base'!L$14=0,0,MIN(AE224,MAX(0,$E224-SUMPRODUCT($V224:$AG224,'Calc base'!$C$14:$N$14,('Calc base'!$H224:$S224&gt;'Calc base'!Q224)+('Calc base'!$H224:$S224='Calc base'!Q224)*('Calc base'!$C$17:$N$17&lt;'Calc base'!L$17)))))</f>
        <v>0</v>
      </c>
      <c r="AR224">
        <f>IF('Calc base'!M$14=0,0,MIN(AF224,MAX(0,$E224-SUMPRODUCT($V224:$AG224,'Calc base'!$C$14:$N$14,('Calc base'!$H224:$S224&gt;'Calc base'!R224)+('Calc base'!$H224:$S224='Calc base'!R224)*('Calc base'!$C$17:$N$17&lt;'Calc base'!M$17)))))</f>
        <v>0</v>
      </c>
      <c r="AS224">
        <f>IF('Calc base'!N$14=0,0,MIN(AG224,MAX(0,$E224-SUMPRODUCT($V224:$AG224,'Calc base'!$C$14:$N$14,('Calc base'!$H224:$S224&gt;'Calc base'!S224)+('Calc base'!$H224:$S224='Calc base'!S224)*('Calc base'!$C$17:$N$17&lt;'Calc base'!N$17)))))</f>
        <v>0</v>
      </c>
      <c r="AT224">
        <f>V224-AH224</f>
        <v>0</v>
      </c>
      <c r="AU224">
        <f>W224-AI224</f>
        <v>0</v>
      </c>
      <c r="AV224">
        <f>X224-AJ224</f>
        <v>0</v>
      </c>
      <c r="AW224">
        <f>Y224-AK224</f>
        <v>0</v>
      </c>
      <c r="AX224">
        <f>Z224-AL224</f>
        <v>0</v>
      </c>
      <c r="AY224">
        <f>AA224-AM224</f>
        <v>0</v>
      </c>
      <c r="AZ224">
        <f>AB224-AN224</f>
        <v>0</v>
      </c>
      <c r="BA224">
        <f>AC224-AO224</f>
        <v>0</v>
      </c>
      <c r="BB224">
        <f>AD224-AP224</f>
        <v>0</v>
      </c>
      <c r="BC224">
        <f>AE224-AQ224</f>
        <v>0</v>
      </c>
      <c r="BD224">
        <f>AF224-AR224</f>
        <v>0</v>
      </c>
      <c r="BE224">
        <f>AG224-AS224</f>
        <v>0</v>
      </c>
    </row>
    <row r="225">
      <c r="A225" t="n">
        <v>195</v>
      </c>
      <c r="B225">
        <f>SUMPRODUCT(ROUND($AT224:$BE224*(1+'Calc base'!$H225:$S225),2))</f>
        <v>0</v>
      </c>
      <c r="C225">
        <f>SUM(J225:U225)</f>
        <v>0</v>
      </c>
      <c r="D225">
        <f>SUM(V225:AG225)</f>
        <v>0</v>
      </c>
      <c r="E225">
        <f>MAX(0,IF(Impostazioni!$B$7="No",'Calc base'!$C225-$C$31,'Calc base'!$C225-C225)+'Calc base'!$G225+'Calc base'!$F225-(B225-C225-D225))</f>
        <v>900</v>
      </c>
      <c r="F225">
        <f>SUM(AH225:AS225)</f>
        <v>0</v>
      </c>
      <c r="G225">
        <f>SUM(AT225:BE225)</f>
        <v>0</v>
      </c>
      <c r="H225">
        <f>B225-G224</f>
        <v>0</v>
      </c>
      <c r="I225">
        <f>B225-G225</f>
        <v>0</v>
      </c>
      <c r="J225">
        <f>IF(AT224&lt;=0,0,IF(ROUND(AT224*(1+'Calc base'!H225),2)-MAX('Calc base'!C$12,ROUND('Calc base'!C$13*AT224,2))&lt;1,ROUND(AT224*(1+'Calc base'!H225),2),MAX('Calc base'!C$12,ROUND('Calc base'!C$13*AT224,2))))</f>
        <v>0</v>
      </c>
      <c r="K225">
        <f>IF(AU224&lt;=0,0,IF(ROUND(AU224*(1+'Calc base'!I225),2)-MAX('Calc base'!D$12,ROUND('Calc base'!D$13*AU224,2))&lt;1,ROUND(AU224*(1+'Calc base'!I225),2),MAX('Calc base'!D$12,ROUND('Calc base'!D$13*AU224,2))))</f>
        <v>0</v>
      </c>
      <c r="L225">
        <f>IF(AV224&lt;=0,0,IF(ROUND(AV224*(1+'Calc base'!J225),2)-MAX('Calc base'!E$12,ROUND('Calc base'!E$13*AV224,2))&lt;1,ROUND(AV224*(1+'Calc base'!J225),2),MAX('Calc base'!E$12,ROUND('Calc base'!E$13*AV224,2))))</f>
        <v>0</v>
      </c>
      <c r="M225">
        <f>IF(AW224&lt;=0,0,IF(ROUND(AW224*(1+'Calc base'!K225),2)-MAX('Calc base'!F$12,ROUND('Calc base'!F$13*AW224,2))&lt;1,ROUND(AW224*(1+'Calc base'!K225),2),MAX('Calc base'!F$12,ROUND('Calc base'!F$13*AW224,2))))</f>
        <v>0</v>
      </c>
      <c r="N225">
        <f>IF(AX224&lt;=0,0,IF(ROUND(AX224*(1+'Calc base'!L225),2)-MAX('Calc base'!G$12,ROUND('Calc base'!G$13*AX224,2))&lt;1,ROUND(AX224*(1+'Calc base'!L225),2),MAX('Calc base'!G$12,ROUND('Calc base'!G$13*AX224,2))))</f>
        <v>0</v>
      </c>
      <c r="O225">
        <f>IF(AY224&lt;=0,0,IF(ROUND(AY224*(1+'Calc base'!M225),2)-MAX('Calc base'!H$12,ROUND('Calc base'!H$13*AY224,2))&lt;1,ROUND(AY224*(1+'Calc base'!M225),2),MAX('Calc base'!H$12,ROUND('Calc base'!H$13*AY224,2))))</f>
        <v>0</v>
      </c>
      <c r="P225">
        <f>IF(AZ224&lt;=0,0,IF(ROUND(AZ224*(1+'Calc base'!N225),2)-MAX('Calc base'!I$12,ROUND('Calc base'!I$13*AZ224,2))&lt;1,ROUND(AZ224*(1+'Calc base'!N225),2),MAX('Calc base'!I$12,ROUND('Calc base'!I$13*AZ224,2))))</f>
        <v>0</v>
      </c>
      <c r="Q225">
        <f>IF(BA224&lt;=0,0,IF(ROUND(BA224*(1+'Calc base'!O225),2)-MAX('Calc base'!J$12,ROUND('Calc base'!J$13*BA224,2))&lt;1,ROUND(BA224*(1+'Calc base'!O225),2),MAX('Calc base'!J$12,ROUND('Calc base'!J$13*BA224,2))))</f>
        <v>0</v>
      </c>
      <c r="R225">
        <f>IF(BB224&lt;=0,0,IF(ROUND(BB224*(1+'Calc base'!P225),2)-MAX('Calc base'!K$12,ROUND('Calc base'!K$13*BB224,2))&lt;1,ROUND(BB224*(1+'Calc base'!P225),2),MAX('Calc base'!K$12,ROUND('Calc base'!K$13*BB224,2))))</f>
        <v>0</v>
      </c>
      <c r="S225">
        <f>IF(BC224&lt;=0,0,IF(ROUND(BC224*(1+'Calc base'!Q225),2)-MAX('Calc base'!L$12,ROUND('Calc base'!L$13*BC224,2))&lt;1,ROUND(BC224*(1+'Calc base'!Q225),2),MAX('Calc base'!L$12,ROUND('Calc base'!L$13*BC224,2))))</f>
        <v>0</v>
      </c>
      <c r="T225">
        <f>IF(BD224&lt;=0,0,IF(ROUND(BD224*(1+'Calc base'!R225),2)-MAX('Calc base'!M$12,ROUND('Calc base'!M$13*BD224,2))&lt;1,ROUND(BD224*(1+'Calc base'!R225),2),MAX('Calc base'!M$12,ROUND('Calc base'!M$13*BD224,2))))</f>
        <v>0</v>
      </c>
      <c r="U225">
        <f>IF(BE224&lt;=0,0,IF(ROUND(BE224*(1+'Calc base'!S225),2)-MAX('Calc base'!N$12,ROUND('Calc base'!N$13*BE224,2))&lt;1,ROUND(BE224*(1+'Calc base'!S225),2),MAX('Calc base'!N$12,ROUND('Calc base'!N$13*BE224,2))))</f>
        <v>0</v>
      </c>
      <c r="V225">
        <f>MAX(0,ROUND(AT224*(1+'Calc base'!H225),2)-J225-'Calc base'!T225)</f>
        <v>0</v>
      </c>
      <c r="W225">
        <f>MAX(0,ROUND(AU224*(1+'Calc base'!I225),2)-K225-'Calc base'!U225)</f>
        <v>0</v>
      </c>
      <c r="X225">
        <f>MAX(0,ROUND(AV224*(1+'Calc base'!J225),2)-L225-'Calc base'!V225)</f>
        <v>0</v>
      </c>
      <c r="Y225">
        <f>MAX(0,ROUND(AW224*(1+'Calc base'!K225),2)-M225-'Calc base'!W225)</f>
        <v>0</v>
      </c>
      <c r="Z225">
        <f>MAX(0,ROUND(AX224*(1+'Calc base'!L225),2)-N225-'Calc base'!X225)</f>
        <v>0</v>
      </c>
      <c r="AA225">
        <f>MAX(0,ROUND(AY224*(1+'Calc base'!M225),2)-O225-'Calc base'!Y225)</f>
        <v>0</v>
      </c>
      <c r="AB225">
        <f>MAX(0,ROUND(AZ224*(1+'Calc base'!N225),2)-P225-'Calc base'!Z225)</f>
        <v>0</v>
      </c>
      <c r="AC225">
        <f>MAX(0,ROUND(BA224*(1+'Calc base'!O225),2)-Q225-'Calc base'!AA225)</f>
        <v>0</v>
      </c>
      <c r="AD225">
        <f>MAX(0,ROUND(BB224*(1+'Calc base'!P225),2)-R225-'Calc base'!AB225)</f>
        <v>0</v>
      </c>
      <c r="AE225">
        <f>MAX(0,ROUND(BC224*(1+'Calc base'!Q225),2)-S225-'Calc base'!AC225)</f>
        <v>0</v>
      </c>
      <c r="AF225">
        <f>MAX(0,ROUND(BD224*(1+'Calc base'!R225),2)-T225-'Calc base'!AD225)</f>
        <v>0</v>
      </c>
      <c r="AG225">
        <f>MAX(0,ROUND(BE224*(1+'Calc base'!S225),2)-U225-'Calc base'!AE225)</f>
        <v>0</v>
      </c>
      <c r="AH225">
        <f>IF('Calc base'!C$14=0,0,MIN(V225,MAX(0,$E225-SUMPRODUCT($V225:$AG225,'Calc base'!$C$14:$N$14,('Calc base'!$H225:$S225&gt;'Calc base'!H225)+('Calc base'!$H225:$S225='Calc base'!H225)*('Calc base'!$C$17:$N$17&lt;'Calc base'!C$17)))))</f>
        <v>0</v>
      </c>
      <c r="AI225">
        <f>IF('Calc base'!D$14=0,0,MIN(W225,MAX(0,$E225-SUMPRODUCT($V225:$AG225,'Calc base'!$C$14:$N$14,('Calc base'!$H225:$S225&gt;'Calc base'!I225)+('Calc base'!$H225:$S225='Calc base'!I225)*('Calc base'!$C$17:$N$17&lt;'Calc base'!D$17)))))</f>
        <v>0</v>
      </c>
      <c r="AJ225">
        <f>IF('Calc base'!E$14=0,0,MIN(X225,MAX(0,$E225-SUMPRODUCT($V225:$AG225,'Calc base'!$C$14:$N$14,('Calc base'!$H225:$S225&gt;'Calc base'!J225)+('Calc base'!$H225:$S225='Calc base'!J225)*('Calc base'!$C$17:$N$17&lt;'Calc base'!E$17)))))</f>
        <v>0</v>
      </c>
      <c r="AK225">
        <f>IF('Calc base'!F$14=0,0,MIN(Y225,MAX(0,$E225-SUMPRODUCT($V225:$AG225,'Calc base'!$C$14:$N$14,('Calc base'!$H225:$S225&gt;'Calc base'!K225)+('Calc base'!$H225:$S225='Calc base'!K225)*('Calc base'!$C$17:$N$17&lt;'Calc base'!F$17)))))</f>
        <v>0</v>
      </c>
      <c r="AL225">
        <f>IF('Calc base'!G$14=0,0,MIN(Z225,MAX(0,$E225-SUMPRODUCT($V225:$AG225,'Calc base'!$C$14:$N$14,('Calc base'!$H225:$S225&gt;'Calc base'!L225)+('Calc base'!$H225:$S225='Calc base'!L225)*('Calc base'!$C$17:$N$17&lt;'Calc base'!G$17)))))</f>
        <v>0</v>
      </c>
      <c r="AM225">
        <f>IF('Calc base'!H$14=0,0,MIN(AA225,MAX(0,$E225-SUMPRODUCT($V225:$AG225,'Calc base'!$C$14:$N$14,('Calc base'!$H225:$S225&gt;'Calc base'!M225)+('Calc base'!$H225:$S225='Calc base'!M225)*('Calc base'!$C$17:$N$17&lt;'Calc base'!H$17)))))</f>
        <v>0</v>
      </c>
      <c r="AN225">
        <f>IF('Calc base'!I$14=0,0,MIN(AB225,MAX(0,$E225-SUMPRODUCT($V225:$AG225,'Calc base'!$C$14:$N$14,('Calc base'!$H225:$S225&gt;'Calc base'!N225)+('Calc base'!$H225:$S225='Calc base'!N225)*('Calc base'!$C$17:$N$17&lt;'Calc base'!I$17)))))</f>
        <v>0</v>
      </c>
      <c r="AO225">
        <f>IF('Calc base'!J$14=0,0,MIN(AC225,MAX(0,$E225-SUMPRODUCT($V225:$AG225,'Calc base'!$C$14:$N$14,('Calc base'!$H225:$S225&gt;'Calc base'!O225)+('Calc base'!$H225:$S225='Calc base'!O225)*('Calc base'!$C$17:$N$17&lt;'Calc base'!J$17)))))</f>
        <v>0</v>
      </c>
      <c r="AP225">
        <f>IF('Calc base'!K$14=0,0,MIN(AD225,MAX(0,$E225-SUMPRODUCT($V225:$AG225,'Calc base'!$C$14:$N$14,('Calc base'!$H225:$S225&gt;'Calc base'!P225)+('Calc base'!$H225:$S225='Calc base'!P225)*('Calc base'!$C$17:$N$17&lt;'Calc base'!K$17)))))</f>
        <v>0</v>
      </c>
      <c r="AQ225">
        <f>IF('Calc base'!L$14=0,0,MIN(AE225,MAX(0,$E225-SUMPRODUCT($V225:$AG225,'Calc base'!$C$14:$N$14,('Calc base'!$H225:$S225&gt;'Calc base'!Q225)+('Calc base'!$H225:$S225='Calc base'!Q225)*('Calc base'!$C$17:$N$17&lt;'Calc base'!L$17)))))</f>
        <v>0</v>
      </c>
      <c r="AR225">
        <f>IF('Calc base'!M$14=0,0,MIN(AF225,MAX(0,$E225-SUMPRODUCT($V225:$AG225,'Calc base'!$C$14:$N$14,('Calc base'!$H225:$S225&gt;'Calc base'!R225)+('Calc base'!$H225:$S225='Calc base'!R225)*('Calc base'!$C$17:$N$17&lt;'Calc base'!M$17)))))</f>
        <v>0</v>
      </c>
      <c r="AS225">
        <f>IF('Calc base'!N$14=0,0,MIN(AG225,MAX(0,$E225-SUMPRODUCT($V225:$AG225,'Calc base'!$C$14:$N$14,('Calc base'!$H225:$S225&gt;'Calc base'!S225)+('Calc base'!$H225:$S225='Calc base'!S225)*('Calc base'!$C$17:$N$17&lt;'Calc base'!N$17)))))</f>
        <v>0</v>
      </c>
      <c r="AT225">
        <f>V225-AH225</f>
        <v>0</v>
      </c>
      <c r="AU225">
        <f>W225-AI225</f>
        <v>0</v>
      </c>
      <c r="AV225">
        <f>X225-AJ225</f>
        <v>0</v>
      </c>
      <c r="AW225">
        <f>Y225-AK225</f>
        <v>0</v>
      </c>
      <c r="AX225">
        <f>Z225-AL225</f>
        <v>0</v>
      </c>
      <c r="AY225">
        <f>AA225-AM225</f>
        <v>0</v>
      </c>
      <c r="AZ225">
        <f>AB225-AN225</f>
        <v>0</v>
      </c>
      <c r="BA225">
        <f>AC225-AO225</f>
        <v>0</v>
      </c>
      <c r="BB225">
        <f>AD225-AP225</f>
        <v>0</v>
      </c>
      <c r="BC225">
        <f>AE225-AQ225</f>
        <v>0</v>
      </c>
      <c r="BD225">
        <f>AF225-AR225</f>
        <v>0</v>
      </c>
      <c r="BE225">
        <f>AG225-AS225</f>
        <v>0</v>
      </c>
    </row>
    <row r="226">
      <c r="A226" t="n">
        <v>196</v>
      </c>
      <c r="B226">
        <f>SUMPRODUCT(ROUND($AT225:$BE225*(1+'Calc base'!$H226:$S226),2))</f>
        <v>0</v>
      </c>
      <c r="C226">
        <f>SUM(J226:U226)</f>
        <v>0</v>
      </c>
      <c r="D226">
        <f>SUM(V226:AG226)</f>
        <v>0</v>
      </c>
      <c r="E226">
        <f>MAX(0,IF(Impostazioni!$B$7="No",'Calc base'!$C226-$C$31,'Calc base'!$C226-C226)+'Calc base'!$G226+'Calc base'!$F226-(B226-C226-D226))</f>
        <v>900</v>
      </c>
      <c r="F226">
        <f>SUM(AH226:AS226)</f>
        <v>0</v>
      </c>
      <c r="G226">
        <f>SUM(AT226:BE226)</f>
        <v>0</v>
      </c>
      <c r="H226">
        <f>B226-G225</f>
        <v>0</v>
      </c>
      <c r="I226">
        <f>B226-G226</f>
        <v>0</v>
      </c>
      <c r="J226">
        <f>IF(AT225&lt;=0,0,IF(ROUND(AT225*(1+'Calc base'!H226),2)-MAX('Calc base'!C$12,ROUND('Calc base'!C$13*AT225,2))&lt;1,ROUND(AT225*(1+'Calc base'!H226),2),MAX('Calc base'!C$12,ROUND('Calc base'!C$13*AT225,2))))</f>
        <v>0</v>
      </c>
      <c r="K226">
        <f>IF(AU225&lt;=0,0,IF(ROUND(AU225*(1+'Calc base'!I226),2)-MAX('Calc base'!D$12,ROUND('Calc base'!D$13*AU225,2))&lt;1,ROUND(AU225*(1+'Calc base'!I226),2),MAX('Calc base'!D$12,ROUND('Calc base'!D$13*AU225,2))))</f>
        <v>0</v>
      </c>
      <c r="L226">
        <f>IF(AV225&lt;=0,0,IF(ROUND(AV225*(1+'Calc base'!J226),2)-MAX('Calc base'!E$12,ROUND('Calc base'!E$13*AV225,2))&lt;1,ROUND(AV225*(1+'Calc base'!J226),2),MAX('Calc base'!E$12,ROUND('Calc base'!E$13*AV225,2))))</f>
        <v>0</v>
      </c>
      <c r="M226">
        <f>IF(AW225&lt;=0,0,IF(ROUND(AW225*(1+'Calc base'!K226),2)-MAX('Calc base'!F$12,ROUND('Calc base'!F$13*AW225,2))&lt;1,ROUND(AW225*(1+'Calc base'!K226),2),MAX('Calc base'!F$12,ROUND('Calc base'!F$13*AW225,2))))</f>
        <v>0</v>
      </c>
      <c r="N226">
        <f>IF(AX225&lt;=0,0,IF(ROUND(AX225*(1+'Calc base'!L226),2)-MAX('Calc base'!G$12,ROUND('Calc base'!G$13*AX225,2))&lt;1,ROUND(AX225*(1+'Calc base'!L226),2),MAX('Calc base'!G$12,ROUND('Calc base'!G$13*AX225,2))))</f>
        <v>0</v>
      </c>
      <c r="O226">
        <f>IF(AY225&lt;=0,0,IF(ROUND(AY225*(1+'Calc base'!M226),2)-MAX('Calc base'!H$12,ROUND('Calc base'!H$13*AY225,2))&lt;1,ROUND(AY225*(1+'Calc base'!M226),2),MAX('Calc base'!H$12,ROUND('Calc base'!H$13*AY225,2))))</f>
        <v>0</v>
      </c>
      <c r="P226">
        <f>IF(AZ225&lt;=0,0,IF(ROUND(AZ225*(1+'Calc base'!N226),2)-MAX('Calc base'!I$12,ROUND('Calc base'!I$13*AZ225,2))&lt;1,ROUND(AZ225*(1+'Calc base'!N226),2),MAX('Calc base'!I$12,ROUND('Calc base'!I$13*AZ225,2))))</f>
        <v>0</v>
      </c>
      <c r="Q226">
        <f>IF(BA225&lt;=0,0,IF(ROUND(BA225*(1+'Calc base'!O226),2)-MAX('Calc base'!J$12,ROUND('Calc base'!J$13*BA225,2))&lt;1,ROUND(BA225*(1+'Calc base'!O226),2),MAX('Calc base'!J$12,ROUND('Calc base'!J$13*BA225,2))))</f>
        <v>0</v>
      </c>
      <c r="R226">
        <f>IF(BB225&lt;=0,0,IF(ROUND(BB225*(1+'Calc base'!P226),2)-MAX('Calc base'!K$12,ROUND('Calc base'!K$13*BB225,2))&lt;1,ROUND(BB225*(1+'Calc base'!P226),2),MAX('Calc base'!K$12,ROUND('Calc base'!K$13*BB225,2))))</f>
        <v>0</v>
      </c>
      <c r="S226">
        <f>IF(BC225&lt;=0,0,IF(ROUND(BC225*(1+'Calc base'!Q226),2)-MAX('Calc base'!L$12,ROUND('Calc base'!L$13*BC225,2))&lt;1,ROUND(BC225*(1+'Calc base'!Q226),2),MAX('Calc base'!L$12,ROUND('Calc base'!L$13*BC225,2))))</f>
        <v>0</v>
      </c>
      <c r="T226">
        <f>IF(BD225&lt;=0,0,IF(ROUND(BD225*(1+'Calc base'!R226),2)-MAX('Calc base'!M$12,ROUND('Calc base'!M$13*BD225,2))&lt;1,ROUND(BD225*(1+'Calc base'!R226),2),MAX('Calc base'!M$12,ROUND('Calc base'!M$13*BD225,2))))</f>
        <v>0</v>
      </c>
      <c r="U226">
        <f>IF(BE225&lt;=0,0,IF(ROUND(BE225*(1+'Calc base'!S226),2)-MAX('Calc base'!N$12,ROUND('Calc base'!N$13*BE225,2))&lt;1,ROUND(BE225*(1+'Calc base'!S226),2),MAX('Calc base'!N$12,ROUND('Calc base'!N$13*BE225,2))))</f>
        <v>0</v>
      </c>
      <c r="V226">
        <f>MAX(0,ROUND(AT225*(1+'Calc base'!H226),2)-J226-'Calc base'!T226)</f>
        <v>0</v>
      </c>
      <c r="W226">
        <f>MAX(0,ROUND(AU225*(1+'Calc base'!I226),2)-K226-'Calc base'!U226)</f>
        <v>0</v>
      </c>
      <c r="X226">
        <f>MAX(0,ROUND(AV225*(1+'Calc base'!J226),2)-L226-'Calc base'!V226)</f>
        <v>0</v>
      </c>
      <c r="Y226">
        <f>MAX(0,ROUND(AW225*(1+'Calc base'!K226),2)-M226-'Calc base'!W226)</f>
        <v>0</v>
      </c>
      <c r="Z226">
        <f>MAX(0,ROUND(AX225*(1+'Calc base'!L226),2)-N226-'Calc base'!X226)</f>
        <v>0</v>
      </c>
      <c r="AA226">
        <f>MAX(0,ROUND(AY225*(1+'Calc base'!M226),2)-O226-'Calc base'!Y226)</f>
        <v>0</v>
      </c>
      <c r="AB226">
        <f>MAX(0,ROUND(AZ225*(1+'Calc base'!N226),2)-P226-'Calc base'!Z226)</f>
        <v>0</v>
      </c>
      <c r="AC226">
        <f>MAX(0,ROUND(BA225*(1+'Calc base'!O226),2)-Q226-'Calc base'!AA226)</f>
        <v>0</v>
      </c>
      <c r="AD226">
        <f>MAX(0,ROUND(BB225*(1+'Calc base'!P226),2)-R226-'Calc base'!AB226)</f>
        <v>0</v>
      </c>
      <c r="AE226">
        <f>MAX(0,ROUND(BC225*(1+'Calc base'!Q226),2)-S226-'Calc base'!AC226)</f>
        <v>0</v>
      </c>
      <c r="AF226">
        <f>MAX(0,ROUND(BD225*(1+'Calc base'!R226),2)-T226-'Calc base'!AD226)</f>
        <v>0</v>
      </c>
      <c r="AG226">
        <f>MAX(0,ROUND(BE225*(1+'Calc base'!S226),2)-U226-'Calc base'!AE226)</f>
        <v>0</v>
      </c>
      <c r="AH226">
        <f>IF('Calc base'!C$14=0,0,MIN(V226,MAX(0,$E226-SUMPRODUCT($V226:$AG226,'Calc base'!$C$14:$N$14,('Calc base'!$H226:$S226&gt;'Calc base'!H226)+('Calc base'!$H226:$S226='Calc base'!H226)*('Calc base'!$C$17:$N$17&lt;'Calc base'!C$17)))))</f>
        <v>0</v>
      </c>
      <c r="AI226">
        <f>IF('Calc base'!D$14=0,0,MIN(W226,MAX(0,$E226-SUMPRODUCT($V226:$AG226,'Calc base'!$C$14:$N$14,('Calc base'!$H226:$S226&gt;'Calc base'!I226)+('Calc base'!$H226:$S226='Calc base'!I226)*('Calc base'!$C$17:$N$17&lt;'Calc base'!D$17)))))</f>
        <v>0</v>
      </c>
      <c r="AJ226">
        <f>IF('Calc base'!E$14=0,0,MIN(X226,MAX(0,$E226-SUMPRODUCT($V226:$AG226,'Calc base'!$C$14:$N$14,('Calc base'!$H226:$S226&gt;'Calc base'!J226)+('Calc base'!$H226:$S226='Calc base'!J226)*('Calc base'!$C$17:$N$17&lt;'Calc base'!E$17)))))</f>
        <v>0</v>
      </c>
      <c r="AK226">
        <f>IF('Calc base'!F$14=0,0,MIN(Y226,MAX(0,$E226-SUMPRODUCT($V226:$AG226,'Calc base'!$C$14:$N$14,('Calc base'!$H226:$S226&gt;'Calc base'!K226)+('Calc base'!$H226:$S226='Calc base'!K226)*('Calc base'!$C$17:$N$17&lt;'Calc base'!F$17)))))</f>
        <v>0</v>
      </c>
      <c r="AL226">
        <f>IF('Calc base'!G$14=0,0,MIN(Z226,MAX(0,$E226-SUMPRODUCT($V226:$AG226,'Calc base'!$C$14:$N$14,('Calc base'!$H226:$S226&gt;'Calc base'!L226)+('Calc base'!$H226:$S226='Calc base'!L226)*('Calc base'!$C$17:$N$17&lt;'Calc base'!G$17)))))</f>
        <v>0</v>
      </c>
      <c r="AM226">
        <f>IF('Calc base'!H$14=0,0,MIN(AA226,MAX(0,$E226-SUMPRODUCT($V226:$AG226,'Calc base'!$C$14:$N$14,('Calc base'!$H226:$S226&gt;'Calc base'!M226)+('Calc base'!$H226:$S226='Calc base'!M226)*('Calc base'!$C$17:$N$17&lt;'Calc base'!H$17)))))</f>
        <v>0</v>
      </c>
      <c r="AN226">
        <f>IF('Calc base'!I$14=0,0,MIN(AB226,MAX(0,$E226-SUMPRODUCT($V226:$AG226,'Calc base'!$C$14:$N$14,('Calc base'!$H226:$S226&gt;'Calc base'!N226)+('Calc base'!$H226:$S226='Calc base'!N226)*('Calc base'!$C$17:$N$17&lt;'Calc base'!I$17)))))</f>
        <v>0</v>
      </c>
      <c r="AO226">
        <f>IF('Calc base'!J$14=0,0,MIN(AC226,MAX(0,$E226-SUMPRODUCT($V226:$AG226,'Calc base'!$C$14:$N$14,('Calc base'!$H226:$S226&gt;'Calc base'!O226)+('Calc base'!$H226:$S226='Calc base'!O226)*('Calc base'!$C$17:$N$17&lt;'Calc base'!J$17)))))</f>
        <v>0</v>
      </c>
      <c r="AP226">
        <f>IF('Calc base'!K$14=0,0,MIN(AD226,MAX(0,$E226-SUMPRODUCT($V226:$AG226,'Calc base'!$C$14:$N$14,('Calc base'!$H226:$S226&gt;'Calc base'!P226)+('Calc base'!$H226:$S226='Calc base'!P226)*('Calc base'!$C$17:$N$17&lt;'Calc base'!K$17)))))</f>
        <v>0</v>
      </c>
      <c r="AQ226">
        <f>IF('Calc base'!L$14=0,0,MIN(AE226,MAX(0,$E226-SUMPRODUCT($V226:$AG226,'Calc base'!$C$14:$N$14,('Calc base'!$H226:$S226&gt;'Calc base'!Q226)+('Calc base'!$H226:$S226='Calc base'!Q226)*('Calc base'!$C$17:$N$17&lt;'Calc base'!L$17)))))</f>
        <v>0</v>
      </c>
      <c r="AR226">
        <f>IF('Calc base'!M$14=0,0,MIN(AF226,MAX(0,$E226-SUMPRODUCT($V226:$AG226,'Calc base'!$C$14:$N$14,('Calc base'!$H226:$S226&gt;'Calc base'!R226)+('Calc base'!$H226:$S226='Calc base'!R226)*('Calc base'!$C$17:$N$17&lt;'Calc base'!M$17)))))</f>
        <v>0</v>
      </c>
      <c r="AS226">
        <f>IF('Calc base'!N$14=0,0,MIN(AG226,MAX(0,$E226-SUMPRODUCT($V226:$AG226,'Calc base'!$C$14:$N$14,('Calc base'!$H226:$S226&gt;'Calc base'!S226)+('Calc base'!$H226:$S226='Calc base'!S226)*('Calc base'!$C$17:$N$17&lt;'Calc base'!N$17)))))</f>
        <v>0</v>
      </c>
      <c r="AT226">
        <f>V226-AH226</f>
        <v>0</v>
      </c>
      <c r="AU226">
        <f>W226-AI226</f>
        <v>0</v>
      </c>
      <c r="AV226">
        <f>X226-AJ226</f>
        <v>0</v>
      </c>
      <c r="AW226">
        <f>Y226-AK226</f>
        <v>0</v>
      </c>
      <c r="AX226">
        <f>Z226-AL226</f>
        <v>0</v>
      </c>
      <c r="AY226">
        <f>AA226-AM226</f>
        <v>0</v>
      </c>
      <c r="AZ226">
        <f>AB226-AN226</f>
        <v>0</v>
      </c>
      <c r="BA226">
        <f>AC226-AO226</f>
        <v>0</v>
      </c>
      <c r="BB226">
        <f>AD226-AP226</f>
        <v>0</v>
      </c>
      <c r="BC226">
        <f>AE226-AQ226</f>
        <v>0</v>
      </c>
      <c r="BD226">
        <f>AF226-AR226</f>
        <v>0</v>
      </c>
      <c r="BE226">
        <f>AG226-AS226</f>
        <v>0</v>
      </c>
    </row>
    <row r="227">
      <c r="A227" t="n">
        <v>197</v>
      </c>
      <c r="B227">
        <f>SUMPRODUCT(ROUND($AT226:$BE226*(1+'Calc base'!$H227:$S227),2))</f>
        <v>0</v>
      </c>
      <c r="C227">
        <f>SUM(J227:U227)</f>
        <v>0</v>
      </c>
      <c r="D227">
        <f>SUM(V227:AG227)</f>
        <v>0</v>
      </c>
      <c r="E227">
        <f>MAX(0,IF(Impostazioni!$B$7="No",'Calc base'!$C227-$C$31,'Calc base'!$C227-C227)+'Calc base'!$G227+'Calc base'!$F227-(B227-C227-D227))</f>
        <v>900</v>
      </c>
      <c r="F227">
        <f>SUM(AH227:AS227)</f>
        <v>0</v>
      </c>
      <c r="G227">
        <f>SUM(AT227:BE227)</f>
        <v>0</v>
      </c>
      <c r="H227">
        <f>B227-G226</f>
        <v>0</v>
      </c>
      <c r="I227">
        <f>B227-G227</f>
        <v>0</v>
      </c>
      <c r="J227">
        <f>IF(AT226&lt;=0,0,IF(ROUND(AT226*(1+'Calc base'!H227),2)-MAX('Calc base'!C$12,ROUND('Calc base'!C$13*AT226,2))&lt;1,ROUND(AT226*(1+'Calc base'!H227),2),MAX('Calc base'!C$12,ROUND('Calc base'!C$13*AT226,2))))</f>
        <v>0</v>
      </c>
      <c r="K227">
        <f>IF(AU226&lt;=0,0,IF(ROUND(AU226*(1+'Calc base'!I227),2)-MAX('Calc base'!D$12,ROUND('Calc base'!D$13*AU226,2))&lt;1,ROUND(AU226*(1+'Calc base'!I227),2),MAX('Calc base'!D$12,ROUND('Calc base'!D$13*AU226,2))))</f>
        <v>0</v>
      </c>
      <c r="L227">
        <f>IF(AV226&lt;=0,0,IF(ROUND(AV226*(1+'Calc base'!J227),2)-MAX('Calc base'!E$12,ROUND('Calc base'!E$13*AV226,2))&lt;1,ROUND(AV226*(1+'Calc base'!J227),2),MAX('Calc base'!E$12,ROUND('Calc base'!E$13*AV226,2))))</f>
        <v>0</v>
      </c>
      <c r="M227">
        <f>IF(AW226&lt;=0,0,IF(ROUND(AW226*(1+'Calc base'!K227),2)-MAX('Calc base'!F$12,ROUND('Calc base'!F$13*AW226,2))&lt;1,ROUND(AW226*(1+'Calc base'!K227),2),MAX('Calc base'!F$12,ROUND('Calc base'!F$13*AW226,2))))</f>
        <v>0</v>
      </c>
      <c r="N227">
        <f>IF(AX226&lt;=0,0,IF(ROUND(AX226*(1+'Calc base'!L227),2)-MAX('Calc base'!G$12,ROUND('Calc base'!G$13*AX226,2))&lt;1,ROUND(AX226*(1+'Calc base'!L227),2),MAX('Calc base'!G$12,ROUND('Calc base'!G$13*AX226,2))))</f>
        <v>0</v>
      </c>
      <c r="O227">
        <f>IF(AY226&lt;=0,0,IF(ROUND(AY226*(1+'Calc base'!M227),2)-MAX('Calc base'!H$12,ROUND('Calc base'!H$13*AY226,2))&lt;1,ROUND(AY226*(1+'Calc base'!M227),2),MAX('Calc base'!H$12,ROUND('Calc base'!H$13*AY226,2))))</f>
        <v>0</v>
      </c>
      <c r="P227">
        <f>IF(AZ226&lt;=0,0,IF(ROUND(AZ226*(1+'Calc base'!N227),2)-MAX('Calc base'!I$12,ROUND('Calc base'!I$13*AZ226,2))&lt;1,ROUND(AZ226*(1+'Calc base'!N227),2),MAX('Calc base'!I$12,ROUND('Calc base'!I$13*AZ226,2))))</f>
        <v>0</v>
      </c>
      <c r="Q227">
        <f>IF(BA226&lt;=0,0,IF(ROUND(BA226*(1+'Calc base'!O227),2)-MAX('Calc base'!J$12,ROUND('Calc base'!J$13*BA226,2))&lt;1,ROUND(BA226*(1+'Calc base'!O227),2),MAX('Calc base'!J$12,ROUND('Calc base'!J$13*BA226,2))))</f>
        <v>0</v>
      </c>
      <c r="R227">
        <f>IF(BB226&lt;=0,0,IF(ROUND(BB226*(1+'Calc base'!P227),2)-MAX('Calc base'!K$12,ROUND('Calc base'!K$13*BB226,2))&lt;1,ROUND(BB226*(1+'Calc base'!P227),2),MAX('Calc base'!K$12,ROUND('Calc base'!K$13*BB226,2))))</f>
        <v>0</v>
      </c>
      <c r="S227">
        <f>IF(BC226&lt;=0,0,IF(ROUND(BC226*(1+'Calc base'!Q227),2)-MAX('Calc base'!L$12,ROUND('Calc base'!L$13*BC226,2))&lt;1,ROUND(BC226*(1+'Calc base'!Q227),2),MAX('Calc base'!L$12,ROUND('Calc base'!L$13*BC226,2))))</f>
        <v>0</v>
      </c>
      <c r="T227">
        <f>IF(BD226&lt;=0,0,IF(ROUND(BD226*(1+'Calc base'!R227),2)-MAX('Calc base'!M$12,ROUND('Calc base'!M$13*BD226,2))&lt;1,ROUND(BD226*(1+'Calc base'!R227),2),MAX('Calc base'!M$12,ROUND('Calc base'!M$13*BD226,2))))</f>
        <v>0</v>
      </c>
      <c r="U227">
        <f>IF(BE226&lt;=0,0,IF(ROUND(BE226*(1+'Calc base'!S227),2)-MAX('Calc base'!N$12,ROUND('Calc base'!N$13*BE226,2))&lt;1,ROUND(BE226*(1+'Calc base'!S227),2),MAX('Calc base'!N$12,ROUND('Calc base'!N$13*BE226,2))))</f>
        <v>0</v>
      </c>
      <c r="V227">
        <f>MAX(0,ROUND(AT226*(1+'Calc base'!H227),2)-J227-'Calc base'!T227)</f>
        <v>0</v>
      </c>
      <c r="W227">
        <f>MAX(0,ROUND(AU226*(1+'Calc base'!I227),2)-K227-'Calc base'!U227)</f>
        <v>0</v>
      </c>
      <c r="X227">
        <f>MAX(0,ROUND(AV226*(1+'Calc base'!J227),2)-L227-'Calc base'!V227)</f>
        <v>0</v>
      </c>
      <c r="Y227">
        <f>MAX(0,ROUND(AW226*(1+'Calc base'!K227),2)-M227-'Calc base'!W227)</f>
        <v>0</v>
      </c>
      <c r="Z227">
        <f>MAX(0,ROUND(AX226*(1+'Calc base'!L227),2)-N227-'Calc base'!X227)</f>
        <v>0</v>
      </c>
      <c r="AA227">
        <f>MAX(0,ROUND(AY226*(1+'Calc base'!M227),2)-O227-'Calc base'!Y227)</f>
        <v>0</v>
      </c>
      <c r="AB227">
        <f>MAX(0,ROUND(AZ226*(1+'Calc base'!N227),2)-P227-'Calc base'!Z227)</f>
        <v>0</v>
      </c>
      <c r="AC227">
        <f>MAX(0,ROUND(BA226*(1+'Calc base'!O227),2)-Q227-'Calc base'!AA227)</f>
        <v>0</v>
      </c>
      <c r="AD227">
        <f>MAX(0,ROUND(BB226*(1+'Calc base'!P227),2)-R227-'Calc base'!AB227)</f>
        <v>0</v>
      </c>
      <c r="AE227">
        <f>MAX(0,ROUND(BC226*(1+'Calc base'!Q227),2)-S227-'Calc base'!AC227)</f>
        <v>0</v>
      </c>
      <c r="AF227">
        <f>MAX(0,ROUND(BD226*(1+'Calc base'!R227),2)-T227-'Calc base'!AD227)</f>
        <v>0</v>
      </c>
      <c r="AG227">
        <f>MAX(0,ROUND(BE226*(1+'Calc base'!S227),2)-U227-'Calc base'!AE227)</f>
        <v>0</v>
      </c>
      <c r="AH227">
        <f>IF('Calc base'!C$14=0,0,MIN(V227,MAX(0,$E227-SUMPRODUCT($V227:$AG227,'Calc base'!$C$14:$N$14,('Calc base'!$H227:$S227&gt;'Calc base'!H227)+('Calc base'!$H227:$S227='Calc base'!H227)*('Calc base'!$C$17:$N$17&lt;'Calc base'!C$17)))))</f>
        <v>0</v>
      </c>
      <c r="AI227">
        <f>IF('Calc base'!D$14=0,0,MIN(W227,MAX(0,$E227-SUMPRODUCT($V227:$AG227,'Calc base'!$C$14:$N$14,('Calc base'!$H227:$S227&gt;'Calc base'!I227)+('Calc base'!$H227:$S227='Calc base'!I227)*('Calc base'!$C$17:$N$17&lt;'Calc base'!D$17)))))</f>
        <v>0</v>
      </c>
      <c r="AJ227">
        <f>IF('Calc base'!E$14=0,0,MIN(X227,MAX(0,$E227-SUMPRODUCT($V227:$AG227,'Calc base'!$C$14:$N$14,('Calc base'!$H227:$S227&gt;'Calc base'!J227)+('Calc base'!$H227:$S227='Calc base'!J227)*('Calc base'!$C$17:$N$17&lt;'Calc base'!E$17)))))</f>
        <v>0</v>
      </c>
      <c r="AK227">
        <f>IF('Calc base'!F$14=0,0,MIN(Y227,MAX(0,$E227-SUMPRODUCT($V227:$AG227,'Calc base'!$C$14:$N$14,('Calc base'!$H227:$S227&gt;'Calc base'!K227)+('Calc base'!$H227:$S227='Calc base'!K227)*('Calc base'!$C$17:$N$17&lt;'Calc base'!F$17)))))</f>
        <v>0</v>
      </c>
      <c r="AL227">
        <f>IF('Calc base'!G$14=0,0,MIN(Z227,MAX(0,$E227-SUMPRODUCT($V227:$AG227,'Calc base'!$C$14:$N$14,('Calc base'!$H227:$S227&gt;'Calc base'!L227)+('Calc base'!$H227:$S227='Calc base'!L227)*('Calc base'!$C$17:$N$17&lt;'Calc base'!G$17)))))</f>
        <v>0</v>
      </c>
      <c r="AM227">
        <f>IF('Calc base'!H$14=0,0,MIN(AA227,MAX(0,$E227-SUMPRODUCT($V227:$AG227,'Calc base'!$C$14:$N$14,('Calc base'!$H227:$S227&gt;'Calc base'!M227)+('Calc base'!$H227:$S227='Calc base'!M227)*('Calc base'!$C$17:$N$17&lt;'Calc base'!H$17)))))</f>
        <v>0</v>
      </c>
      <c r="AN227">
        <f>IF('Calc base'!I$14=0,0,MIN(AB227,MAX(0,$E227-SUMPRODUCT($V227:$AG227,'Calc base'!$C$14:$N$14,('Calc base'!$H227:$S227&gt;'Calc base'!N227)+('Calc base'!$H227:$S227='Calc base'!N227)*('Calc base'!$C$17:$N$17&lt;'Calc base'!I$17)))))</f>
        <v>0</v>
      </c>
      <c r="AO227">
        <f>IF('Calc base'!J$14=0,0,MIN(AC227,MAX(0,$E227-SUMPRODUCT($V227:$AG227,'Calc base'!$C$14:$N$14,('Calc base'!$H227:$S227&gt;'Calc base'!O227)+('Calc base'!$H227:$S227='Calc base'!O227)*('Calc base'!$C$17:$N$17&lt;'Calc base'!J$17)))))</f>
        <v>0</v>
      </c>
      <c r="AP227">
        <f>IF('Calc base'!K$14=0,0,MIN(AD227,MAX(0,$E227-SUMPRODUCT($V227:$AG227,'Calc base'!$C$14:$N$14,('Calc base'!$H227:$S227&gt;'Calc base'!P227)+('Calc base'!$H227:$S227='Calc base'!P227)*('Calc base'!$C$17:$N$17&lt;'Calc base'!K$17)))))</f>
        <v>0</v>
      </c>
      <c r="AQ227">
        <f>IF('Calc base'!L$14=0,0,MIN(AE227,MAX(0,$E227-SUMPRODUCT($V227:$AG227,'Calc base'!$C$14:$N$14,('Calc base'!$H227:$S227&gt;'Calc base'!Q227)+('Calc base'!$H227:$S227='Calc base'!Q227)*('Calc base'!$C$17:$N$17&lt;'Calc base'!L$17)))))</f>
        <v>0</v>
      </c>
      <c r="AR227">
        <f>IF('Calc base'!M$14=0,0,MIN(AF227,MAX(0,$E227-SUMPRODUCT($V227:$AG227,'Calc base'!$C$14:$N$14,('Calc base'!$H227:$S227&gt;'Calc base'!R227)+('Calc base'!$H227:$S227='Calc base'!R227)*('Calc base'!$C$17:$N$17&lt;'Calc base'!M$17)))))</f>
        <v>0</v>
      </c>
      <c r="AS227">
        <f>IF('Calc base'!N$14=0,0,MIN(AG227,MAX(0,$E227-SUMPRODUCT($V227:$AG227,'Calc base'!$C$14:$N$14,('Calc base'!$H227:$S227&gt;'Calc base'!S227)+('Calc base'!$H227:$S227='Calc base'!S227)*('Calc base'!$C$17:$N$17&lt;'Calc base'!N$17)))))</f>
        <v>0</v>
      </c>
      <c r="AT227">
        <f>V227-AH227</f>
        <v>0</v>
      </c>
      <c r="AU227">
        <f>W227-AI227</f>
        <v>0</v>
      </c>
      <c r="AV227">
        <f>X227-AJ227</f>
        <v>0</v>
      </c>
      <c r="AW227">
        <f>Y227-AK227</f>
        <v>0</v>
      </c>
      <c r="AX227">
        <f>Z227-AL227</f>
        <v>0</v>
      </c>
      <c r="AY227">
        <f>AA227-AM227</f>
        <v>0</v>
      </c>
      <c r="AZ227">
        <f>AB227-AN227</f>
        <v>0</v>
      </c>
      <c r="BA227">
        <f>AC227-AO227</f>
        <v>0</v>
      </c>
      <c r="BB227">
        <f>AD227-AP227</f>
        <v>0</v>
      </c>
      <c r="BC227">
        <f>AE227-AQ227</f>
        <v>0</v>
      </c>
      <c r="BD227">
        <f>AF227-AR227</f>
        <v>0</v>
      </c>
      <c r="BE227">
        <f>AG227-AS227</f>
        <v>0</v>
      </c>
    </row>
    <row r="228">
      <c r="A228" t="n">
        <v>198</v>
      </c>
      <c r="B228">
        <f>SUMPRODUCT(ROUND($AT227:$BE227*(1+'Calc base'!$H228:$S228),2))</f>
        <v>0</v>
      </c>
      <c r="C228">
        <f>SUM(J228:U228)</f>
        <v>0</v>
      </c>
      <c r="D228">
        <f>SUM(V228:AG228)</f>
        <v>0</v>
      </c>
      <c r="E228">
        <f>MAX(0,IF(Impostazioni!$B$7="No",'Calc base'!$C228-$C$31,'Calc base'!$C228-C228)+'Calc base'!$G228+'Calc base'!$F228-(B228-C228-D228))</f>
        <v>900</v>
      </c>
      <c r="F228">
        <f>SUM(AH228:AS228)</f>
        <v>0</v>
      </c>
      <c r="G228">
        <f>SUM(AT228:BE228)</f>
        <v>0</v>
      </c>
      <c r="H228">
        <f>B228-G227</f>
        <v>0</v>
      </c>
      <c r="I228">
        <f>B228-G228</f>
        <v>0</v>
      </c>
      <c r="J228">
        <f>IF(AT227&lt;=0,0,IF(ROUND(AT227*(1+'Calc base'!H228),2)-MAX('Calc base'!C$12,ROUND('Calc base'!C$13*AT227,2))&lt;1,ROUND(AT227*(1+'Calc base'!H228),2),MAX('Calc base'!C$12,ROUND('Calc base'!C$13*AT227,2))))</f>
        <v>0</v>
      </c>
      <c r="K228">
        <f>IF(AU227&lt;=0,0,IF(ROUND(AU227*(1+'Calc base'!I228),2)-MAX('Calc base'!D$12,ROUND('Calc base'!D$13*AU227,2))&lt;1,ROUND(AU227*(1+'Calc base'!I228),2),MAX('Calc base'!D$12,ROUND('Calc base'!D$13*AU227,2))))</f>
        <v>0</v>
      </c>
      <c r="L228">
        <f>IF(AV227&lt;=0,0,IF(ROUND(AV227*(1+'Calc base'!J228),2)-MAX('Calc base'!E$12,ROUND('Calc base'!E$13*AV227,2))&lt;1,ROUND(AV227*(1+'Calc base'!J228),2),MAX('Calc base'!E$12,ROUND('Calc base'!E$13*AV227,2))))</f>
        <v>0</v>
      </c>
      <c r="M228">
        <f>IF(AW227&lt;=0,0,IF(ROUND(AW227*(1+'Calc base'!K228),2)-MAX('Calc base'!F$12,ROUND('Calc base'!F$13*AW227,2))&lt;1,ROUND(AW227*(1+'Calc base'!K228),2),MAX('Calc base'!F$12,ROUND('Calc base'!F$13*AW227,2))))</f>
        <v>0</v>
      </c>
      <c r="N228">
        <f>IF(AX227&lt;=0,0,IF(ROUND(AX227*(1+'Calc base'!L228),2)-MAX('Calc base'!G$12,ROUND('Calc base'!G$13*AX227,2))&lt;1,ROUND(AX227*(1+'Calc base'!L228),2),MAX('Calc base'!G$12,ROUND('Calc base'!G$13*AX227,2))))</f>
        <v>0</v>
      </c>
      <c r="O228">
        <f>IF(AY227&lt;=0,0,IF(ROUND(AY227*(1+'Calc base'!M228),2)-MAX('Calc base'!H$12,ROUND('Calc base'!H$13*AY227,2))&lt;1,ROUND(AY227*(1+'Calc base'!M228),2),MAX('Calc base'!H$12,ROUND('Calc base'!H$13*AY227,2))))</f>
        <v>0</v>
      </c>
      <c r="P228">
        <f>IF(AZ227&lt;=0,0,IF(ROUND(AZ227*(1+'Calc base'!N228),2)-MAX('Calc base'!I$12,ROUND('Calc base'!I$13*AZ227,2))&lt;1,ROUND(AZ227*(1+'Calc base'!N228),2),MAX('Calc base'!I$12,ROUND('Calc base'!I$13*AZ227,2))))</f>
        <v>0</v>
      </c>
      <c r="Q228">
        <f>IF(BA227&lt;=0,0,IF(ROUND(BA227*(1+'Calc base'!O228),2)-MAX('Calc base'!J$12,ROUND('Calc base'!J$13*BA227,2))&lt;1,ROUND(BA227*(1+'Calc base'!O228),2),MAX('Calc base'!J$12,ROUND('Calc base'!J$13*BA227,2))))</f>
        <v>0</v>
      </c>
      <c r="R228">
        <f>IF(BB227&lt;=0,0,IF(ROUND(BB227*(1+'Calc base'!P228),2)-MAX('Calc base'!K$12,ROUND('Calc base'!K$13*BB227,2))&lt;1,ROUND(BB227*(1+'Calc base'!P228),2),MAX('Calc base'!K$12,ROUND('Calc base'!K$13*BB227,2))))</f>
        <v>0</v>
      </c>
      <c r="S228">
        <f>IF(BC227&lt;=0,0,IF(ROUND(BC227*(1+'Calc base'!Q228),2)-MAX('Calc base'!L$12,ROUND('Calc base'!L$13*BC227,2))&lt;1,ROUND(BC227*(1+'Calc base'!Q228),2),MAX('Calc base'!L$12,ROUND('Calc base'!L$13*BC227,2))))</f>
        <v>0</v>
      </c>
      <c r="T228">
        <f>IF(BD227&lt;=0,0,IF(ROUND(BD227*(1+'Calc base'!R228),2)-MAX('Calc base'!M$12,ROUND('Calc base'!M$13*BD227,2))&lt;1,ROUND(BD227*(1+'Calc base'!R228),2),MAX('Calc base'!M$12,ROUND('Calc base'!M$13*BD227,2))))</f>
        <v>0</v>
      </c>
      <c r="U228">
        <f>IF(BE227&lt;=0,0,IF(ROUND(BE227*(1+'Calc base'!S228),2)-MAX('Calc base'!N$12,ROUND('Calc base'!N$13*BE227,2))&lt;1,ROUND(BE227*(1+'Calc base'!S228),2),MAX('Calc base'!N$12,ROUND('Calc base'!N$13*BE227,2))))</f>
        <v>0</v>
      </c>
      <c r="V228">
        <f>MAX(0,ROUND(AT227*(1+'Calc base'!H228),2)-J228-'Calc base'!T228)</f>
        <v>0</v>
      </c>
      <c r="W228">
        <f>MAX(0,ROUND(AU227*(1+'Calc base'!I228),2)-K228-'Calc base'!U228)</f>
        <v>0</v>
      </c>
      <c r="X228">
        <f>MAX(0,ROUND(AV227*(1+'Calc base'!J228),2)-L228-'Calc base'!V228)</f>
        <v>0</v>
      </c>
      <c r="Y228">
        <f>MAX(0,ROUND(AW227*(1+'Calc base'!K228),2)-M228-'Calc base'!W228)</f>
        <v>0</v>
      </c>
      <c r="Z228">
        <f>MAX(0,ROUND(AX227*(1+'Calc base'!L228),2)-N228-'Calc base'!X228)</f>
        <v>0</v>
      </c>
      <c r="AA228">
        <f>MAX(0,ROUND(AY227*(1+'Calc base'!M228),2)-O228-'Calc base'!Y228)</f>
        <v>0</v>
      </c>
      <c r="AB228">
        <f>MAX(0,ROUND(AZ227*(1+'Calc base'!N228),2)-P228-'Calc base'!Z228)</f>
        <v>0</v>
      </c>
      <c r="AC228">
        <f>MAX(0,ROUND(BA227*(1+'Calc base'!O228),2)-Q228-'Calc base'!AA228)</f>
        <v>0</v>
      </c>
      <c r="AD228">
        <f>MAX(0,ROUND(BB227*(1+'Calc base'!P228),2)-R228-'Calc base'!AB228)</f>
        <v>0</v>
      </c>
      <c r="AE228">
        <f>MAX(0,ROUND(BC227*(1+'Calc base'!Q228),2)-S228-'Calc base'!AC228)</f>
        <v>0</v>
      </c>
      <c r="AF228">
        <f>MAX(0,ROUND(BD227*(1+'Calc base'!R228),2)-T228-'Calc base'!AD228)</f>
        <v>0</v>
      </c>
      <c r="AG228">
        <f>MAX(0,ROUND(BE227*(1+'Calc base'!S228),2)-U228-'Calc base'!AE228)</f>
        <v>0</v>
      </c>
      <c r="AH228">
        <f>IF('Calc base'!C$14=0,0,MIN(V228,MAX(0,$E228-SUMPRODUCT($V228:$AG228,'Calc base'!$C$14:$N$14,('Calc base'!$H228:$S228&gt;'Calc base'!H228)+('Calc base'!$H228:$S228='Calc base'!H228)*('Calc base'!$C$17:$N$17&lt;'Calc base'!C$17)))))</f>
        <v>0</v>
      </c>
      <c r="AI228">
        <f>IF('Calc base'!D$14=0,0,MIN(W228,MAX(0,$E228-SUMPRODUCT($V228:$AG228,'Calc base'!$C$14:$N$14,('Calc base'!$H228:$S228&gt;'Calc base'!I228)+('Calc base'!$H228:$S228='Calc base'!I228)*('Calc base'!$C$17:$N$17&lt;'Calc base'!D$17)))))</f>
        <v>0</v>
      </c>
      <c r="AJ228">
        <f>IF('Calc base'!E$14=0,0,MIN(X228,MAX(0,$E228-SUMPRODUCT($V228:$AG228,'Calc base'!$C$14:$N$14,('Calc base'!$H228:$S228&gt;'Calc base'!J228)+('Calc base'!$H228:$S228='Calc base'!J228)*('Calc base'!$C$17:$N$17&lt;'Calc base'!E$17)))))</f>
        <v>0</v>
      </c>
      <c r="AK228">
        <f>IF('Calc base'!F$14=0,0,MIN(Y228,MAX(0,$E228-SUMPRODUCT($V228:$AG228,'Calc base'!$C$14:$N$14,('Calc base'!$H228:$S228&gt;'Calc base'!K228)+('Calc base'!$H228:$S228='Calc base'!K228)*('Calc base'!$C$17:$N$17&lt;'Calc base'!F$17)))))</f>
        <v>0</v>
      </c>
      <c r="AL228">
        <f>IF('Calc base'!G$14=0,0,MIN(Z228,MAX(0,$E228-SUMPRODUCT($V228:$AG228,'Calc base'!$C$14:$N$14,('Calc base'!$H228:$S228&gt;'Calc base'!L228)+('Calc base'!$H228:$S228='Calc base'!L228)*('Calc base'!$C$17:$N$17&lt;'Calc base'!G$17)))))</f>
        <v>0</v>
      </c>
      <c r="AM228">
        <f>IF('Calc base'!H$14=0,0,MIN(AA228,MAX(0,$E228-SUMPRODUCT($V228:$AG228,'Calc base'!$C$14:$N$14,('Calc base'!$H228:$S228&gt;'Calc base'!M228)+('Calc base'!$H228:$S228='Calc base'!M228)*('Calc base'!$C$17:$N$17&lt;'Calc base'!H$17)))))</f>
        <v>0</v>
      </c>
      <c r="AN228">
        <f>IF('Calc base'!I$14=0,0,MIN(AB228,MAX(0,$E228-SUMPRODUCT($V228:$AG228,'Calc base'!$C$14:$N$14,('Calc base'!$H228:$S228&gt;'Calc base'!N228)+('Calc base'!$H228:$S228='Calc base'!N228)*('Calc base'!$C$17:$N$17&lt;'Calc base'!I$17)))))</f>
        <v>0</v>
      </c>
      <c r="AO228">
        <f>IF('Calc base'!J$14=0,0,MIN(AC228,MAX(0,$E228-SUMPRODUCT($V228:$AG228,'Calc base'!$C$14:$N$14,('Calc base'!$H228:$S228&gt;'Calc base'!O228)+('Calc base'!$H228:$S228='Calc base'!O228)*('Calc base'!$C$17:$N$17&lt;'Calc base'!J$17)))))</f>
        <v>0</v>
      </c>
      <c r="AP228">
        <f>IF('Calc base'!K$14=0,0,MIN(AD228,MAX(0,$E228-SUMPRODUCT($V228:$AG228,'Calc base'!$C$14:$N$14,('Calc base'!$H228:$S228&gt;'Calc base'!P228)+('Calc base'!$H228:$S228='Calc base'!P228)*('Calc base'!$C$17:$N$17&lt;'Calc base'!K$17)))))</f>
        <v>0</v>
      </c>
      <c r="AQ228">
        <f>IF('Calc base'!L$14=0,0,MIN(AE228,MAX(0,$E228-SUMPRODUCT($V228:$AG228,'Calc base'!$C$14:$N$14,('Calc base'!$H228:$S228&gt;'Calc base'!Q228)+('Calc base'!$H228:$S228='Calc base'!Q228)*('Calc base'!$C$17:$N$17&lt;'Calc base'!L$17)))))</f>
        <v>0</v>
      </c>
      <c r="AR228">
        <f>IF('Calc base'!M$14=0,0,MIN(AF228,MAX(0,$E228-SUMPRODUCT($V228:$AG228,'Calc base'!$C$14:$N$14,('Calc base'!$H228:$S228&gt;'Calc base'!R228)+('Calc base'!$H228:$S228='Calc base'!R228)*('Calc base'!$C$17:$N$17&lt;'Calc base'!M$17)))))</f>
        <v>0</v>
      </c>
      <c r="AS228">
        <f>IF('Calc base'!N$14=0,0,MIN(AG228,MAX(0,$E228-SUMPRODUCT($V228:$AG228,'Calc base'!$C$14:$N$14,('Calc base'!$H228:$S228&gt;'Calc base'!S228)+('Calc base'!$H228:$S228='Calc base'!S228)*('Calc base'!$C$17:$N$17&lt;'Calc base'!N$17)))))</f>
        <v>0</v>
      </c>
      <c r="AT228">
        <f>V228-AH228</f>
        <v>0</v>
      </c>
      <c r="AU228">
        <f>W228-AI228</f>
        <v>0</v>
      </c>
      <c r="AV228">
        <f>X228-AJ228</f>
        <v>0</v>
      </c>
      <c r="AW228">
        <f>Y228-AK228</f>
        <v>0</v>
      </c>
      <c r="AX228">
        <f>Z228-AL228</f>
        <v>0</v>
      </c>
      <c r="AY228">
        <f>AA228-AM228</f>
        <v>0</v>
      </c>
      <c r="AZ228">
        <f>AB228-AN228</f>
        <v>0</v>
      </c>
      <c r="BA228">
        <f>AC228-AO228</f>
        <v>0</v>
      </c>
      <c r="BB228">
        <f>AD228-AP228</f>
        <v>0</v>
      </c>
      <c r="BC228">
        <f>AE228-AQ228</f>
        <v>0</v>
      </c>
      <c r="BD228">
        <f>AF228-AR228</f>
        <v>0</v>
      </c>
      <c r="BE228">
        <f>AG228-AS228</f>
        <v>0</v>
      </c>
    </row>
    <row r="229">
      <c r="A229" t="n">
        <v>199</v>
      </c>
      <c r="B229">
        <f>SUMPRODUCT(ROUND($AT228:$BE228*(1+'Calc base'!$H229:$S229),2))</f>
        <v>0</v>
      </c>
      <c r="C229">
        <f>SUM(J229:U229)</f>
        <v>0</v>
      </c>
      <c r="D229">
        <f>SUM(V229:AG229)</f>
        <v>0</v>
      </c>
      <c r="E229">
        <f>MAX(0,IF(Impostazioni!$B$7="No",'Calc base'!$C229-$C$31,'Calc base'!$C229-C229)+'Calc base'!$G229+'Calc base'!$F229-(B229-C229-D229))</f>
        <v>900</v>
      </c>
      <c r="F229">
        <f>SUM(AH229:AS229)</f>
        <v>0</v>
      </c>
      <c r="G229">
        <f>SUM(AT229:BE229)</f>
        <v>0</v>
      </c>
      <c r="H229">
        <f>B229-G228</f>
        <v>0</v>
      </c>
      <c r="I229">
        <f>B229-G229</f>
        <v>0</v>
      </c>
      <c r="J229">
        <f>IF(AT228&lt;=0,0,IF(ROUND(AT228*(1+'Calc base'!H229),2)-MAX('Calc base'!C$12,ROUND('Calc base'!C$13*AT228,2))&lt;1,ROUND(AT228*(1+'Calc base'!H229),2),MAX('Calc base'!C$12,ROUND('Calc base'!C$13*AT228,2))))</f>
        <v>0</v>
      </c>
      <c r="K229">
        <f>IF(AU228&lt;=0,0,IF(ROUND(AU228*(1+'Calc base'!I229),2)-MAX('Calc base'!D$12,ROUND('Calc base'!D$13*AU228,2))&lt;1,ROUND(AU228*(1+'Calc base'!I229),2),MAX('Calc base'!D$12,ROUND('Calc base'!D$13*AU228,2))))</f>
        <v>0</v>
      </c>
      <c r="L229">
        <f>IF(AV228&lt;=0,0,IF(ROUND(AV228*(1+'Calc base'!J229),2)-MAX('Calc base'!E$12,ROUND('Calc base'!E$13*AV228,2))&lt;1,ROUND(AV228*(1+'Calc base'!J229),2),MAX('Calc base'!E$12,ROUND('Calc base'!E$13*AV228,2))))</f>
        <v>0</v>
      </c>
      <c r="M229">
        <f>IF(AW228&lt;=0,0,IF(ROUND(AW228*(1+'Calc base'!K229),2)-MAX('Calc base'!F$12,ROUND('Calc base'!F$13*AW228,2))&lt;1,ROUND(AW228*(1+'Calc base'!K229),2),MAX('Calc base'!F$12,ROUND('Calc base'!F$13*AW228,2))))</f>
        <v>0</v>
      </c>
      <c r="N229">
        <f>IF(AX228&lt;=0,0,IF(ROUND(AX228*(1+'Calc base'!L229),2)-MAX('Calc base'!G$12,ROUND('Calc base'!G$13*AX228,2))&lt;1,ROUND(AX228*(1+'Calc base'!L229),2),MAX('Calc base'!G$12,ROUND('Calc base'!G$13*AX228,2))))</f>
        <v>0</v>
      </c>
      <c r="O229">
        <f>IF(AY228&lt;=0,0,IF(ROUND(AY228*(1+'Calc base'!M229),2)-MAX('Calc base'!H$12,ROUND('Calc base'!H$13*AY228,2))&lt;1,ROUND(AY228*(1+'Calc base'!M229),2),MAX('Calc base'!H$12,ROUND('Calc base'!H$13*AY228,2))))</f>
        <v>0</v>
      </c>
      <c r="P229">
        <f>IF(AZ228&lt;=0,0,IF(ROUND(AZ228*(1+'Calc base'!N229),2)-MAX('Calc base'!I$12,ROUND('Calc base'!I$13*AZ228,2))&lt;1,ROUND(AZ228*(1+'Calc base'!N229),2),MAX('Calc base'!I$12,ROUND('Calc base'!I$13*AZ228,2))))</f>
        <v>0</v>
      </c>
      <c r="Q229">
        <f>IF(BA228&lt;=0,0,IF(ROUND(BA228*(1+'Calc base'!O229),2)-MAX('Calc base'!J$12,ROUND('Calc base'!J$13*BA228,2))&lt;1,ROUND(BA228*(1+'Calc base'!O229),2),MAX('Calc base'!J$12,ROUND('Calc base'!J$13*BA228,2))))</f>
        <v>0</v>
      </c>
      <c r="R229">
        <f>IF(BB228&lt;=0,0,IF(ROUND(BB228*(1+'Calc base'!P229),2)-MAX('Calc base'!K$12,ROUND('Calc base'!K$13*BB228,2))&lt;1,ROUND(BB228*(1+'Calc base'!P229),2),MAX('Calc base'!K$12,ROUND('Calc base'!K$13*BB228,2))))</f>
        <v>0</v>
      </c>
      <c r="S229">
        <f>IF(BC228&lt;=0,0,IF(ROUND(BC228*(1+'Calc base'!Q229),2)-MAX('Calc base'!L$12,ROUND('Calc base'!L$13*BC228,2))&lt;1,ROUND(BC228*(1+'Calc base'!Q229),2),MAX('Calc base'!L$12,ROUND('Calc base'!L$13*BC228,2))))</f>
        <v>0</v>
      </c>
      <c r="T229">
        <f>IF(BD228&lt;=0,0,IF(ROUND(BD228*(1+'Calc base'!R229),2)-MAX('Calc base'!M$12,ROUND('Calc base'!M$13*BD228,2))&lt;1,ROUND(BD228*(1+'Calc base'!R229),2),MAX('Calc base'!M$12,ROUND('Calc base'!M$13*BD228,2))))</f>
        <v>0</v>
      </c>
      <c r="U229">
        <f>IF(BE228&lt;=0,0,IF(ROUND(BE228*(1+'Calc base'!S229),2)-MAX('Calc base'!N$12,ROUND('Calc base'!N$13*BE228,2))&lt;1,ROUND(BE228*(1+'Calc base'!S229),2),MAX('Calc base'!N$12,ROUND('Calc base'!N$13*BE228,2))))</f>
        <v>0</v>
      </c>
      <c r="V229">
        <f>MAX(0,ROUND(AT228*(1+'Calc base'!H229),2)-J229-'Calc base'!T229)</f>
        <v>0</v>
      </c>
      <c r="W229">
        <f>MAX(0,ROUND(AU228*(1+'Calc base'!I229),2)-K229-'Calc base'!U229)</f>
        <v>0</v>
      </c>
      <c r="X229">
        <f>MAX(0,ROUND(AV228*(1+'Calc base'!J229),2)-L229-'Calc base'!V229)</f>
        <v>0</v>
      </c>
      <c r="Y229">
        <f>MAX(0,ROUND(AW228*(1+'Calc base'!K229),2)-M229-'Calc base'!W229)</f>
        <v>0</v>
      </c>
      <c r="Z229">
        <f>MAX(0,ROUND(AX228*(1+'Calc base'!L229),2)-N229-'Calc base'!X229)</f>
        <v>0</v>
      </c>
      <c r="AA229">
        <f>MAX(0,ROUND(AY228*(1+'Calc base'!M229),2)-O229-'Calc base'!Y229)</f>
        <v>0</v>
      </c>
      <c r="AB229">
        <f>MAX(0,ROUND(AZ228*(1+'Calc base'!N229),2)-P229-'Calc base'!Z229)</f>
        <v>0</v>
      </c>
      <c r="AC229">
        <f>MAX(0,ROUND(BA228*(1+'Calc base'!O229),2)-Q229-'Calc base'!AA229)</f>
        <v>0</v>
      </c>
      <c r="AD229">
        <f>MAX(0,ROUND(BB228*(1+'Calc base'!P229),2)-R229-'Calc base'!AB229)</f>
        <v>0</v>
      </c>
      <c r="AE229">
        <f>MAX(0,ROUND(BC228*(1+'Calc base'!Q229),2)-S229-'Calc base'!AC229)</f>
        <v>0</v>
      </c>
      <c r="AF229">
        <f>MAX(0,ROUND(BD228*(1+'Calc base'!R229),2)-T229-'Calc base'!AD229)</f>
        <v>0</v>
      </c>
      <c r="AG229">
        <f>MAX(0,ROUND(BE228*(1+'Calc base'!S229),2)-U229-'Calc base'!AE229)</f>
        <v>0</v>
      </c>
      <c r="AH229">
        <f>IF('Calc base'!C$14=0,0,MIN(V229,MAX(0,$E229-SUMPRODUCT($V229:$AG229,'Calc base'!$C$14:$N$14,('Calc base'!$H229:$S229&gt;'Calc base'!H229)+('Calc base'!$H229:$S229='Calc base'!H229)*('Calc base'!$C$17:$N$17&lt;'Calc base'!C$17)))))</f>
        <v>0</v>
      </c>
      <c r="AI229">
        <f>IF('Calc base'!D$14=0,0,MIN(W229,MAX(0,$E229-SUMPRODUCT($V229:$AG229,'Calc base'!$C$14:$N$14,('Calc base'!$H229:$S229&gt;'Calc base'!I229)+('Calc base'!$H229:$S229='Calc base'!I229)*('Calc base'!$C$17:$N$17&lt;'Calc base'!D$17)))))</f>
        <v>0</v>
      </c>
      <c r="AJ229">
        <f>IF('Calc base'!E$14=0,0,MIN(X229,MAX(0,$E229-SUMPRODUCT($V229:$AG229,'Calc base'!$C$14:$N$14,('Calc base'!$H229:$S229&gt;'Calc base'!J229)+('Calc base'!$H229:$S229='Calc base'!J229)*('Calc base'!$C$17:$N$17&lt;'Calc base'!E$17)))))</f>
        <v>0</v>
      </c>
      <c r="AK229">
        <f>IF('Calc base'!F$14=0,0,MIN(Y229,MAX(0,$E229-SUMPRODUCT($V229:$AG229,'Calc base'!$C$14:$N$14,('Calc base'!$H229:$S229&gt;'Calc base'!K229)+('Calc base'!$H229:$S229='Calc base'!K229)*('Calc base'!$C$17:$N$17&lt;'Calc base'!F$17)))))</f>
        <v>0</v>
      </c>
      <c r="AL229">
        <f>IF('Calc base'!G$14=0,0,MIN(Z229,MAX(0,$E229-SUMPRODUCT($V229:$AG229,'Calc base'!$C$14:$N$14,('Calc base'!$H229:$S229&gt;'Calc base'!L229)+('Calc base'!$H229:$S229='Calc base'!L229)*('Calc base'!$C$17:$N$17&lt;'Calc base'!G$17)))))</f>
        <v>0</v>
      </c>
      <c r="AM229">
        <f>IF('Calc base'!H$14=0,0,MIN(AA229,MAX(0,$E229-SUMPRODUCT($V229:$AG229,'Calc base'!$C$14:$N$14,('Calc base'!$H229:$S229&gt;'Calc base'!M229)+('Calc base'!$H229:$S229='Calc base'!M229)*('Calc base'!$C$17:$N$17&lt;'Calc base'!H$17)))))</f>
        <v>0</v>
      </c>
      <c r="AN229">
        <f>IF('Calc base'!I$14=0,0,MIN(AB229,MAX(0,$E229-SUMPRODUCT($V229:$AG229,'Calc base'!$C$14:$N$14,('Calc base'!$H229:$S229&gt;'Calc base'!N229)+('Calc base'!$H229:$S229='Calc base'!N229)*('Calc base'!$C$17:$N$17&lt;'Calc base'!I$17)))))</f>
        <v>0</v>
      </c>
      <c r="AO229">
        <f>IF('Calc base'!J$14=0,0,MIN(AC229,MAX(0,$E229-SUMPRODUCT($V229:$AG229,'Calc base'!$C$14:$N$14,('Calc base'!$H229:$S229&gt;'Calc base'!O229)+('Calc base'!$H229:$S229='Calc base'!O229)*('Calc base'!$C$17:$N$17&lt;'Calc base'!J$17)))))</f>
        <v>0</v>
      </c>
      <c r="AP229">
        <f>IF('Calc base'!K$14=0,0,MIN(AD229,MAX(0,$E229-SUMPRODUCT($V229:$AG229,'Calc base'!$C$14:$N$14,('Calc base'!$H229:$S229&gt;'Calc base'!P229)+('Calc base'!$H229:$S229='Calc base'!P229)*('Calc base'!$C$17:$N$17&lt;'Calc base'!K$17)))))</f>
        <v>0</v>
      </c>
      <c r="AQ229">
        <f>IF('Calc base'!L$14=0,0,MIN(AE229,MAX(0,$E229-SUMPRODUCT($V229:$AG229,'Calc base'!$C$14:$N$14,('Calc base'!$H229:$S229&gt;'Calc base'!Q229)+('Calc base'!$H229:$S229='Calc base'!Q229)*('Calc base'!$C$17:$N$17&lt;'Calc base'!L$17)))))</f>
        <v>0</v>
      </c>
      <c r="AR229">
        <f>IF('Calc base'!M$14=0,0,MIN(AF229,MAX(0,$E229-SUMPRODUCT($V229:$AG229,'Calc base'!$C$14:$N$14,('Calc base'!$H229:$S229&gt;'Calc base'!R229)+('Calc base'!$H229:$S229='Calc base'!R229)*('Calc base'!$C$17:$N$17&lt;'Calc base'!M$17)))))</f>
        <v>0</v>
      </c>
      <c r="AS229">
        <f>IF('Calc base'!N$14=0,0,MIN(AG229,MAX(0,$E229-SUMPRODUCT($V229:$AG229,'Calc base'!$C$14:$N$14,('Calc base'!$H229:$S229&gt;'Calc base'!S229)+('Calc base'!$H229:$S229='Calc base'!S229)*('Calc base'!$C$17:$N$17&lt;'Calc base'!N$17)))))</f>
        <v>0</v>
      </c>
      <c r="AT229">
        <f>V229-AH229</f>
        <v>0</v>
      </c>
      <c r="AU229">
        <f>W229-AI229</f>
        <v>0</v>
      </c>
      <c r="AV229">
        <f>X229-AJ229</f>
        <v>0</v>
      </c>
      <c r="AW229">
        <f>Y229-AK229</f>
        <v>0</v>
      </c>
      <c r="AX229">
        <f>Z229-AL229</f>
        <v>0</v>
      </c>
      <c r="AY229">
        <f>AA229-AM229</f>
        <v>0</v>
      </c>
      <c r="AZ229">
        <f>AB229-AN229</f>
        <v>0</v>
      </c>
      <c r="BA229">
        <f>AC229-AO229</f>
        <v>0</v>
      </c>
      <c r="BB229">
        <f>AD229-AP229</f>
        <v>0</v>
      </c>
      <c r="BC229">
        <f>AE229-AQ229</f>
        <v>0</v>
      </c>
      <c r="BD229">
        <f>AF229-AR229</f>
        <v>0</v>
      </c>
      <c r="BE229">
        <f>AG229-AS229</f>
        <v>0</v>
      </c>
    </row>
    <row r="230">
      <c r="A230" t="n">
        <v>200</v>
      </c>
      <c r="B230">
        <f>SUMPRODUCT(ROUND($AT229:$BE229*(1+'Calc base'!$H230:$S230),2))</f>
        <v>0</v>
      </c>
      <c r="C230">
        <f>SUM(J230:U230)</f>
        <v>0</v>
      </c>
      <c r="D230">
        <f>SUM(V230:AG230)</f>
        <v>0</v>
      </c>
      <c r="E230">
        <f>MAX(0,IF(Impostazioni!$B$7="No",'Calc base'!$C230-$C$31,'Calc base'!$C230-C230)+'Calc base'!$G230+'Calc base'!$F230-(B230-C230-D230))</f>
        <v>900</v>
      </c>
      <c r="F230">
        <f>SUM(AH230:AS230)</f>
        <v>0</v>
      </c>
      <c r="G230">
        <f>SUM(AT230:BE230)</f>
        <v>0</v>
      </c>
      <c r="H230">
        <f>B230-G229</f>
        <v>0</v>
      </c>
      <c r="I230">
        <f>B230-G230</f>
        <v>0</v>
      </c>
      <c r="J230">
        <f>IF(AT229&lt;=0,0,IF(ROUND(AT229*(1+'Calc base'!H230),2)-MAX('Calc base'!C$12,ROUND('Calc base'!C$13*AT229,2))&lt;1,ROUND(AT229*(1+'Calc base'!H230),2),MAX('Calc base'!C$12,ROUND('Calc base'!C$13*AT229,2))))</f>
        <v>0</v>
      </c>
      <c r="K230">
        <f>IF(AU229&lt;=0,0,IF(ROUND(AU229*(1+'Calc base'!I230),2)-MAX('Calc base'!D$12,ROUND('Calc base'!D$13*AU229,2))&lt;1,ROUND(AU229*(1+'Calc base'!I230),2),MAX('Calc base'!D$12,ROUND('Calc base'!D$13*AU229,2))))</f>
        <v>0</v>
      </c>
      <c r="L230">
        <f>IF(AV229&lt;=0,0,IF(ROUND(AV229*(1+'Calc base'!J230),2)-MAX('Calc base'!E$12,ROUND('Calc base'!E$13*AV229,2))&lt;1,ROUND(AV229*(1+'Calc base'!J230),2),MAX('Calc base'!E$12,ROUND('Calc base'!E$13*AV229,2))))</f>
        <v>0</v>
      </c>
      <c r="M230">
        <f>IF(AW229&lt;=0,0,IF(ROUND(AW229*(1+'Calc base'!K230),2)-MAX('Calc base'!F$12,ROUND('Calc base'!F$13*AW229,2))&lt;1,ROUND(AW229*(1+'Calc base'!K230),2),MAX('Calc base'!F$12,ROUND('Calc base'!F$13*AW229,2))))</f>
        <v>0</v>
      </c>
      <c r="N230">
        <f>IF(AX229&lt;=0,0,IF(ROUND(AX229*(1+'Calc base'!L230),2)-MAX('Calc base'!G$12,ROUND('Calc base'!G$13*AX229,2))&lt;1,ROUND(AX229*(1+'Calc base'!L230),2),MAX('Calc base'!G$12,ROUND('Calc base'!G$13*AX229,2))))</f>
        <v>0</v>
      </c>
      <c r="O230">
        <f>IF(AY229&lt;=0,0,IF(ROUND(AY229*(1+'Calc base'!M230),2)-MAX('Calc base'!H$12,ROUND('Calc base'!H$13*AY229,2))&lt;1,ROUND(AY229*(1+'Calc base'!M230),2),MAX('Calc base'!H$12,ROUND('Calc base'!H$13*AY229,2))))</f>
        <v>0</v>
      </c>
      <c r="P230">
        <f>IF(AZ229&lt;=0,0,IF(ROUND(AZ229*(1+'Calc base'!N230),2)-MAX('Calc base'!I$12,ROUND('Calc base'!I$13*AZ229,2))&lt;1,ROUND(AZ229*(1+'Calc base'!N230),2),MAX('Calc base'!I$12,ROUND('Calc base'!I$13*AZ229,2))))</f>
        <v>0</v>
      </c>
      <c r="Q230">
        <f>IF(BA229&lt;=0,0,IF(ROUND(BA229*(1+'Calc base'!O230),2)-MAX('Calc base'!J$12,ROUND('Calc base'!J$13*BA229,2))&lt;1,ROUND(BA229*(1+'Calc base'!O230),2),MAX('Calc base'!J$12,ROUND('Calc base'!J$13*BA229,2))))</f>
        <v>0</v>
      </c>
      <c r="R230">
        <f>IF(BB229&lt;=0,0,IF(ROUND(BB229*(1+'Calc base'!P230),2)-MAX('Calc base'!K$12,ROUND('Calc base'!K$13*BB229,2))&lt;1,ROUND(BB229*(1+'Calc base'!P230),2),MAX('Calc base'!K$12,ROUND('Calc base'!K$13*BB229,2))))</f>
        <v>0</v>
      </c>
      <c r="S230">
        <f>IF(BC229&lt;=0,0,IF(ROUND(BC229*(1+'Calc base'!Q230),2)-MAX('Calc base'!L$12,ROUND('Calc base'!L$13*BC229,2))&lt;1,ROUND(BC229*(1+'Calc base'!Q230),2),MAX('Calc base'!L$12,ROUND('Calc base'!L$13*BC229,2))))</f>
        <v>0</v>
      </c>
      <c r="T230">
        <f>IF(BD229&lt;=0,0,IF(ROUND(BD229*(1+'Calc base'!R230),2)-MAX('Calc base'!M$12,ROUND('Calc base'!M$13*BD229,2))&lt;1,ROUND(BD229*(1+'Calc base'!R230),2),MAX('Calc base'!M$12,ROUND('Calc base'!M$13*BD229,2))))</f>
        <v>0</v>
      </c>
      <c r="U230">
        <f>IF(BE229&lt;=0,0,IF(ROUND(BE229*(1+'Calc base'!S230),2)-MAX('Calc base'!N$12,ROUND('Calc base'!N$13*BE229,2))&lt;1,ROUND(BE229*(1+'Calc base'!S230),2),MAX('Calc base'!N$12,ROUND('Calc base'!N$13*BE229,2))))</f>
        <v>0</v>
      </c>
      <c r="V230">
        <f>MAX(0,ROUND(AT229*(1+'Calc base'!H230),2)-J230-'Calc base'!T230)</f>
        <v>0</v>
      </c>
      <c r="W230">
        <f>MAX(0,ROUND(AU229*(1+'Calc base'!I230),2)-K230-'Calc base'!U230)</f>
        <v>0</v>
      </c>
      <c r="X230">
        <f>MAX(0,ROUND(AV229*(1+'Calc base'!J230),2)-L230-'Calc base'!V230)</f>
        <v>0</v>
      </c>
      <c r="Y230">
        <f>MAX(0,ROUND(AW229*(1+'Calc base'!K230),2)-M230-'Calc base'!W230)</f>
        <v>0</v>
      </c>
      <c r="Z230">
        <f>MAX(0,ROUND(AX229*(1+'Calc base'!L230),2)-N230-'Calc base'!X230)</f>
        <v>0</v>
      </c>
      <c r="AA230">
        <f>MAX(0,ROUND(AY229*(1+'Calc base'!M230),2)-O230-'Calc base'!Y230)</f>
        <v>0</v>
      </c>
      <c r="AB230">
        <f>MAX(0,ROUND(AZ229*(1+'Calc base'!N230),2)-P230-'Calc base'!Z230)</f>
        <v>0</v>
      </c>
      <c r="AC230">
        <f>MAX(0,ROUND(BA229*(1+'Calc base'!O230),2)-Q230-'Calc base'!AA230)</f>
        <v>0</v>
      </c>
      <c r="AD230">
        <f>MAX(0,ROUND(BB229*(1+'Calc base'!P230),2)-R230-'Calc base'!AB230)</f>
        <v>0</v>
      </c>
      <c r="AE230">
        <f>MAX(0,ROUND(BC229*(1+'Calc base'!Q230),2)-S230-'Calc base'!AC230)</f>
        <v>0</v>
      </c>
      <c r="AF230">
        <f>MAX(0,ROUND(BD229*(1+'Calc base'!R230),2)-T230-'Calc base'!AD230)</f>
        <v>0</v>
      </c>
      <c r="AG230">
        <f>MAX(0,ROUND(BE229*(1+'Calc base'!S230),2)-U230-'Calc base'!AE230)</f>
        <v>0</v>
      </c>
      <c r="AH230">
        <f>IF('Calc base'!C$14=0,0,MIN(V230,MAX(0,$E230-SUMPRODUCT($V230:$AG230,'Calc base'!$C$14:$N$14,('Calc base'!$H230:$S230&gt;'Calc base'!H230)+('Calc base'!$H230:$S230='Calc base'!H230)*('Calc base'!$C$17:$N$17&lt;'Calc base'!C$17)))))</f>
        <v>0</v>
      </c>
      <c r="AI230">
        <f>IF('Calc base'!D$14=0,0,MIN(W230,MAX(0,$E230-SUMPRODUCT($V230:$AG230,'Calc base'!$C$14:$N$14,('Calc base'!$H230:$S230&gt;'Calc base'!I230)+('Calc base'!$H230:$S230='Calc base'!I230)*('Calc base'!$C$17:$N$17&lt;'Calc base'!D$17)))))</f>
        <v>0</v>
      </c>
      <c r="AJ230">
        <f>IF('Calc base'!E$14=0,0,MIN(X230,MAX(0,$E230-SUMPRODUCT($V230:$AG230,'Calc base'!$C$14:$N$14,('Calc base'!$H230:$S230&gt;'Calc base'!J230)+('Calc base'!$H230:$S230='Calc base'!J230)*('Calc base'!$C$17:$N$17&lt;'Calc base'!E$17)))))</f>
        <v>0</v>
      </c>
      <c r="AK230">
        <f>IF('Calc base'!F$14=0,0,MIN(Y230,MAX(0,$E230-SUMPRODUCT($V230:$AG230,'Calc base'!$C$14:$N$14,('Calc base'!$H230:$S230&gt;'Calc base'!K230)+('Calc base'!$H230:$S230='Calc base'!K230)*('Calc base'!$C$17:$N$17&lt;'Calc base'!F$17)))))</f>
        <v>0</v>
      </c>
      <c r="AL230">
        <f>IF('Calc base'!G$14=0,0,MIN(Z230,MAX(0,$E230-SUMPRODUCT($V230:$AG230,'Calc base'!$C$14:$N$14,('Calc base'!$H230:$S230&gt;'Calc base'!L230)+('Calc base'!$H230:$S230='Calc base'!L230)*('Calc base'!$C$17:$N$17&lt;'Calc base'!G$17)))))</f>
        <v>0</v>
      </c>
      <c r="AM230">
        <f>IF('Calc base'!H$14=0,0,MIN(AA230,MAX(0,$E230-SUMPRODUCT($V230:$AG230,'Calc base'!$C$14:$N$14,('Calc base'!$H230:$S230&gt;'Calc base'!M230)+('Calc base'!$H230:$S230='Calc base'!M230)*('Calc base'!$C$17:$N$17&lt;'Calc base'!H$17)))))</f>
        <v>0</v>
      </c>
      <c r="AN230">
        <f>IF('Calc base'!I$14=0,0,MIN(AB230,MAX(0,$E230-SUMPRODUCT($V230:$AG230,'Calc base'!$C$14:$N$14,('Calc base'!$H230:$S230&gt;'Calc base'!N230)+('Calc base'!$H230:$S230='Calc base'!N230)*('Calc base'!$C$17:$N$17&lt;'Calc base'!I$17)))))</f>
        <v>0</v>
      </c>
      <c r="AO230">
        <f>IF('Calc base'!J$14=0,0,MIN(AC230,MAX(0,$E230-SUMPRODUCT($V230:$AG230,'Calc base'!$C$14:$N$14,('Calc base'!$H230:$S230&gt;'Calc base'!O230)+('Calc base'!$H230:$S230='Calc base'!O230)*('Calc base'!$C$17:$N$17&lt;'Calc base'!J$17)))))</f>
        <v>0</v>
      </c>
      <c r="AP230">
        <f>IF('Calc base'!K$14=0,0,MIN(AD230,MAX(0,$E230-SUMPRODUCT($V230:$AG230,'Calc base'!$C$14:$N$14,('Calc base'!$H230:$S230&gt;'Calc base'!P230)+('Calc base'!$H230:$S230='Calc base'!P230)*('Calc base'!$C$17:$N$17&lt;'Calc base'!K$17)))))</f>
        <v>0</v>
      </c>
      <c r="AQ230">
        <f>IF('Calc base'!L$14=0,0,MIN(AE230,MAX(0,$E230-SUMPRODUCT($V230:$AG230,'Calc base'!$C$14:$N$14,('Calc base'!$H230:$S230&gt;'Calc base'!Q230)+('Calc base'!$H230:$S230='Calc base'!Q230)*('Calc base'!$C$17:$N$17&lt;'Calc base'!L$17)))))</f>
        <v>0</v>
      </c>
      <c r="AR230">
        <f>IF('Calc base'!M$14=0,0,MIN(AF230,MAX(0,$E230-SUMPRODUCT($V230:$AG230,'Calc base'!$C$14:$N$14,('Calc base'!$H230:$S230&gt;'Calc base'!R230)+('Calc base'!$H230:$S230='Calc base'!R230)*('Calc base'!$C$17:$N$17&lt;'Calc base'!M$17)))))</f>
        <v>0</v>
      </c>
      <c r="AS230">
        <f>IF('Calc base'!N$14=0,0,MIN(AG230,MAX(0,$E230-SUMPRODUCT($V230:$AG230,'Calc base'!$C$14:$N$14,('Calc base'!$H230:$S230&gt;'Calc base'!S230)+('Calc base'!$H230:$S230='Calc base'!S230)*('Calc base'!$C$17:$N$17&lt;'Calc base'!N$17)))))</f>
        <v>0</v>
      </c>
      <c r="AT230">
        <f>V230-AH230</f>
        <v>0</v>
      </c>
      <c r="AU230">
        <f>W230-AI230</f>
        <v>0</v>
      </c>
      <c r="AV230">
        <f>X230-AJ230</f>
        <v>0</v>
      </c>
      <c r="AW230">
        <f>Y230-AK230</f>
        <v>0</v>
      </c>
      <c r="AX230">
        <f>Z230-AL230</f>
        <v>0</v>
      </c>
      <c r="AY230">
        <f>AA230-AM230</f>
        <v>0</v>
      </c>
      <c r="AZ230">
        <f>AB230-AN230</f>
        <v>0</v>
      </c>
      <c r="BA230">
        <f>AC230-AO230</f>
        <v>0</v>
      </c>
      <c r="BB230">
        <f>AD230-AP230</f>
        <v>0</v>
      </c>
      <c r="BC230">
        <f>AE230-AQ230</f>
        <v>0</v>
      </c>
      <c r="BD230">
        <f>AF230-AR230</f>
        <v>0</v>
      </c>
      <c r="BE230">
        <f>AG230-AS230</f>
        <v>0</v>
      </c>
    </row>
    <row r="231">
      <c r="A231" t="n">
        <v>201</v>
      </c>
      <c r="B231">
        <f>SUMPRODUCT(ROUND($AT230:$BE230*(1+'Calc base'!$H231:$S231),2))</f>
        <v>0</v>
      </c>
      <c r="C231">
        <f>SUM(J231:U231)</f>
        <v>0</v>
      </c>
      <c r="D231">
        <f>SUM(V231:AG231)</f>
        <v>0</v>
      </c>
      <c r="E231">
        <f>MAX(0,IF(Impostazioni!$B$7="No",'Calc base'!$C231-$C$31,'Calc base'!$C231-C231)+'Calc base'!$G231+'Calc base'!$F231-(B231-C231-D231))</f>
        <v>900</v>
      </c>
      <c r="F231">
        <f>SUM(AH231:AS231)</f>
        <v>0</v>
      </c>
      <c r="G231">
        <f>SUM(AT231:BE231)</f>
        <v>0</v>
      </c>
      <c r="H231">
        <f>B231-G230</f>
        <v>0</v>
      </c>
      <c r="I231">
        <f>B231-G231</f>
        <v>0</v>
      </c>
      <c r="J231">
        <f>IF(AT230&lt;=0,0,IF(ROUND(AT230*(1+'Calc base'!H231),2)-MAX('Calc base'!C$12,ROUND('Calc base'!C$13*AT230,2))&lt;1,ROUND(AT230*(1+'Calc base'!H231),2),MAX('Calc base'!C$12,ROUND('Calc base'!C$13*AT230,2))))</f>
        <v>0</v>
      </c>
      <c r="K231">
        <f>IF(AU230&lt;=0,0,IF(ROUND(AU230*(1+'Calc base'!I231),2)-MAX('Calc base'!D$12,ROUND('Calc base'!D$13*AU230,2))&lt;1,ROUND(AU230*(1+'Calc base'!I231),2),MAX('Calc base'!D$12,ROUND('Calc base'!D$13*AU230,2))))</f>
        <v>0</v>
      </c>
      <c r="L231">
        <f>IF(AV230&lt;=0,0,IF(ROUND(AV230*(1+'Calc base'!J231),2)-MAX('Calc base'!E$12,ROUND('Calc base'!E$13*AV230,2))&lt;1,ROUND(AV230*(1+'Calc base'!J231),2),MAX('Calc base'!E$12,ROUND('Calc base'!E$13*AV230,2))))</f>
        <v>0</v>
      </c>
      <c r="M231">
        <f>IF(AW230&lt;=0,0,IF(ROUND(AW230*(1+'Calc base'!K231),2)-MAX('Calc base'!F$12,ROUND('Calc base'!F$13*AW230,2))&lt;1,ROUND(AW230*(1+'Calc base'!K231),2),MAX('Calc base'!F$12,ROUND('Calc base'!F$13*AW230,2))))</f>
        <v>0</v>
      </c>
      <c r="N231">
        <f>IF(AX230&lt;=0,0,IF(ROUND(AX230*(1+'Calc base'!L231),2)-MAX('Calc base'!G$12,ROUND('Calc base'!G$13*AX230,2))&lt;1,ROUND(AX230*(1+'Calc base'!L231),2),MAX('Calc base'!G$12,ROUND('Calc base'!G$13*AX230,2))))</f>
        <v>0</v>
      </c>
      <c r="O231">
        <f>IF(AY230&lt;=0,0,IF(ROUND(AY230*(1+'Calc base'!M231),2)-MAX('Calc base'!H$12,ROUND('Calc base'!H$13*AY230,2))&lt;1,ROUND(AY230*(1+'Calc base'!M231),2),MAX('Calc base'!H$12,ROUND('Calc base'!H$13*AY230,2))))</f>
        <v>0</v>
      </c>
      <c r="P231">
        <f>IF(AZ230&lt;=0,0,IF(ROUND(AZ230*(1+'Calc base'!N231),2)-MAX('Calc base'!I$12,ROUND('Calc base'!I$13*AZ230,2))&lt;1,ROUND(AZ230*(1+'Calc base'!N231),2),MAX('Calc base'!I$12,ROUND('Calc base'!I$13*AZ230,2))))</f>
        <v>0</v>
      </c>
      <c r="Q231">
        <f>IF(BA230&lt;=0,0,IF(ROUND(BA230*(1+'Calc base'!O231),2)-MAX('Calc base'!J$12,ROUND('Calc base'!J$13*BA230,2))&lt;1,ROUND(BA230*(1+'Calc base'!O231),2),MAX('Calc base'!J$12,ROUND('Calc base'!J$13*BA230,2))))</f>
        <v>0</v>
      </c>
      <c r="R231">
        <f>IF(BB230&lt;=0,0,IF(ROUND(BB230*(1+'Calc base'!P231),2)-MAX('Calc base'!K$12,ROUND('Calc base'!K$13*BB230,2))&lt;1,ROUND(BB230*(1+'Calc base'!P231),2),MAX('Calc base'!K$12,ROUND('Calc base'!K$13*BB230,2))))</f>
        <v>0</v>
      </c>
      <c r="S231">
        <f>IF(BC230&lt;=0,0,IF(ROUND(BC230*(1+'Calc base'!Q231),2)-MAX('Calc base'!L$12,ROUND('Calc base'!L$13*BC230,2))&lt;1,ROUND(BC230*(1+'Calc base'!Q231),2),MAX('Calc base'!L$12,ROUND('Calc base'!L$13*BC230,2))))</f>
        <v>0</v>
      </c>
      <c r="T231">
        <f>IF(BD230&lt;=0,0,IF(ROUND(BD230*(1+'Calc base'!R231),2)-MAX('Calc base'!M$12,ROUND('Calc base'!M$13*BD230,2))&lt;1,ROUND(BD230*(1+'Calc base'!R231),2),MAX('Calc base'!M$12,ROUND('Calc base'!M$13*BD230,2))))</f>
        <v>0</v>
      </c>
      <c r="U231">
        <f>IF(BE230&lt;=0,0,IF(ROUND(BE230*(1+'Calc base'!S231),2)-MAX('Calc base'!N$12,ROUND('Calc base'!N$13*BE230,2))&lt;1,ROUND(BE230*(1+'Calc base'!S231),2),MAX('Calc base'!N$12,ROUND('Calc base'!N$13*BE230,2))))</f>
        <v>0</v>
      </c>
      <c r="V231">
        <f>MAX(0,ROUND(AT230*(1+'Calc base'!H231),2)-J231-'Calc base'!T231)</f>
        <v>0</v>
      </c>
      <c r="W231">
        <f>MAX(0,ROUND(AU230*(1+'Calc base'!I231),2)-K231-'Calc base'!U231)</f>
        <v>0</v>
      </c>
      <c r="X231">
        <f>MAX(0,ROUND(AV230*(1+'Calc base'!J231),2)-L231-'Calc base'!V231)</f>
        <v>0</v>
      </c>
      <c r="Y231">
        <f>MAX(0,ROUND(AW230*(1+'Calc base'!K231),2)-M231-'Calc base'!W231)</f>
        <v>0</v>
      </c>
      <c r="Z231">
        <f>MAX(0,ROUND(AX230*(1+'Calc base'!L231),2)-N231-'Calc base'!X231)</f>
        <v>0</v>
      </c>
      <c r="AA231">
        <f>MAX(0,ROUND(AY230*(1+'Calc base'!M231),2)-O231-'Calc base'!Y231)</f>
        <v>0</v>
      </c>
      <c r="AB231">
        <f>MAX(0,ROUND(AZ230*(1+'Calc base'!N231),2)-P231-'Calc base'!Z231)</f>
        <v>0</v>
      </c>
      <c r="AC231">
        <f>MAX(0,ROUND(BA230*(1+'Calc base'!O231),2)-Q231-'Calc base'!AA231)</f>
        <v>0</v>
      </c>
      <c r="AD231">
        <f>MAX(0,ROUND(BB230*(1+'Calc base'!P231),2)-R231-'Calc base'!AB231)</f>
        <v>0</v>
      </c>
      <c r="AE231">
        <f>MAX(0,ROUND(BC230*(1+'Calc base'!Q231),2)-S231-'Calc base'!AC231)</f>
        <v>0</v>
      </c>
      <c r="AF231">
        <f>MAX(0,ROUND(BD230*(1+'Calc base'!R231),2)-T231-'Calc base'!AD231)</f>
        <v>0</v>
      </c>
      <c r="AG231">
        <f>MAX(0,ROUND(BE230*(1+'Calc base'!S231),2)-U231-'Calc base'!AE231)</f>
        <v>0</v>
      </c>
      <c r="AH231">
        <f>IF('Calc base'!C$14=0,0,MIN(V231,MAX(0,$E231-SUMPRODUCT($V231:$AG231,'Calc base'!$C$14:$N$14,('Calc base'!$H231:$S231&gt;'Calc base'!H231)+('Calc base'!$H231:$S231='Calc base'!H231)*('Calc base'!$C$17:$N$17&lt;'Calc base'!C$17)))))</f>
        <v>0</v>
      </c>
      <c r="AI231">
        <f>IF('Calc base'!D$14=0,0,MIN(W231,MAX(0,$E231-SUMPRODUCT($V231:$AG231,'Calc base'!$C$14:$N$14,('Calc base'!$H231:$S231&gt;'Calc base'!I231)+('Calc base'!$H231:$S231='Calc base'!I231)*('Calc base'!$C$17:$N$17&lt;'Calc base'!D$17)))))</f>
        <v>0</v>
      </c>
      <c r="AJ231">
        <f>IF('Calc base'!E$14=0,0,MIN(X231,MAX(0,$E231-SUMPRODUCT($V231:$AG231,'Calc base'!$C$14:$N$14,('Calc base'!$H231:$S231&gt;'Calc base'!J231)+('Calc base'!$H231:$S231='Calc base'!J231)*('Calc base'!$C$17:$N$17&lt;'Calc base'!E$17)))))</f>
        <v>0</v>
      </c>
      <c r="AK231">
        <f>IF('Calc base'!F$14=0,0,MIN(Y231,MAX(0,$E231-SUMPRODUCT($V231:$AG231,'Calc base'!$C$14:$N$14,('Calc base'!$H231:$S231&gt;'Calc base'!K231)+('Calc base'!$H231:$S231='Calc base'!K231)*('Calc base'!$C$17:$N$17&lt;'Calc base'!F$17)))))</f>
        <v>0</v>
      </c>
      <c r="AL231">
        <f>IF('Calc base'!G$14=0,0,MIN(Z231,MAX(0,$E231-SUMPRODUCT($V231:$AG231,'Calc base'!$C$14:$N$14,('Calc base'!$H231:$S231&gt;'Calc base'!L231)+('Calc base'!$H231:$S231='Calc base'!L231)*('Calc base'!$C$17:$N$17&lt;'Calc base'!G$17)))))</f>
        <v>0</v>
      </c>
      <c r="AM231">
        <f>IF('Calc base'!H$14=0,0,MIN(AA231,MAX(0,$E231-SUMPRODUCT($V231:$AG231,'Calc base'!$C$14:$N$14,('Calc base'!$H231:$S231&gt;'Calc base'!M231)+('Calc base'!$H231:$S231='Calc base'!M231)*('Calc base'!$C$17:$N$17&lt;'Calc base'!H$17)))))</f>
        <v>0</v>
      </c>
      <c r="AN231">
        <f>IF('Calc base'!I$14=0,0,MIN(AB231,MAX(0,$E231-SUMPRODUCT($V231:$AG231,'Calc base'!$C$14:$N$14,('Calc base'!$H231:$S231&gt;'Calc base'!N231)+('Calc base'!$H231:$S231='Calc base'!N231)*('Calc base'!$C$17:$N$17&lt;'Calc base'!I$17)))))</f>
        <v>0</v>
      </c>
      <c r="AO231">
        <f>IF('Calc base'!J$14=0,0,MIN(AC231,MAX(0,$E231-SUMPRODUCT($V231:$AG231,'Calc base'!$C$14:$N$14,('Calc base'!$H231:$S231&gt;'Calc base'!O231)+('Calc base'!$H231:$S231='Calc base'!O231)*('Calc base'!$C$17:$N$17&lt;'Calc base'!J$17)))))</f>
        <v>0</v>
      </c>
      <c r="AP231">
        <f>IF('Calc base'!K$14=0,0,MIN(AD231,MAX(0,$E231-SUMPRODUCT($V231:$AG231,'Calc base'!$C$14:$N$14,('Calc base'!$H231:$S231&gt;'Calc base'!P231)+('Calc base'!$H231:$S231='Calc base'!P231)*('Calc base'!$C$17:$N$17&lt;'Calc base'!K$17)))))</f>
        <v>0</v>
      </c>
      <c r="AQ231">
        <f>IF('Calc base'!L$14=0,0,MIN(AE231,MAX(0,$E231-SUMPRODUCT($V231:$AG231,'Calc base'!$C$14:$N$14,('Calc base'!$H231:$S231&gt;'Calc base'!Q231)+('Calc base'!$H231:$S231='Calc base'!Q231)*('Calc base'!$C$17:$N$17&lt;'Calc base'!L$17)))))</f>
        <v>0</v>
      </c>
      <c r="AR231">
        <f>IF('Calc base'!M$14=0,0,MIN(AF231,MAX(0,$E231-SUMPRODUCT($V231:$AG231,'Calc base'!$C$14:$N$14,('Calc base'!$H231:$S231&gt;'Calc base'!R231)+('Calc base'!$H231:$S231='Calc base'!R231)*('Calc base'!$C$17:$N$17&lt;'Calc base'!M$17)))))</f>
        <v>0</v>
      </c>
      <c r="AS231">
        <f>IF('Calc base'!N$14=0,0,MIN(AG231,MAX(0,$E231-SUMPRODUCT($V231:$AG231,'Calc base'!$C$14:$N$14,('Calc base'!$H231:$S231&gt;'Calc base'!S231)+('Calc base'!$H231:$S231='Calc base'!S231)*('Calc base'!$C$17:$N$17&lt;'Calc base'!N$17)))))</f>
        <v>0</v>
      </c>
      <c r="AT231">
        <f>V231-AH231</f>
        <v>0</v>
      </c>
      <c r="AU231">
        <f>W231-AI231</f>
        <v>0</v>
      </c>
      <c r="AV231">
        <f>X231-AJ231</f>
        <v>0</v>
      </c>
      <c r="AW231">
        <f>Y231-AK231</f>
        <v>0</v>
      </c>
      <c r="AX231">
        <f>Z231-AL231</f>
        <v>0</v>
      </c>
      <c r="AY231">
        <f>AA231-AM231</f>
        <v>0</v>
      </c>
      <c r="AZ231">
        <f>AB231-AN231</f>
        <v>0</v>
      </c>
      <c r="BA231">
        <f>AC231-AO231</f>
        <v>0</v>
      </c>
      <c r="BB231">
        <f>AD231-AP231</f>
        <v>0</v>
      </c>
      <c r="BC231">
        <f>AE231-AQ231</f>
        <v>0</v>
      </c>
      <c r="BD231">
        <f>AF231-AR231</f>
        <v>0</v>
      </c>
      <c r="BE231">
        <f>AG231-AS231</f>
        <v>0</v>
      </c>
    </row>
    <row r="232">
      <c r="A232" t="n">
        <v>202</v>
      </c>
      <c r="B232">
        <f>SUMPRODUCT(ROUND($AT231:$BE231*(1+'Calc base'!$H232:$S232),2))</f>
        <v>0</v>
      </c>
      <c r="C232">
        <f>SUM(J232:U232)</f>
        <v>0</v>
      </c>
      <c r="D232">
        <f>SUM(V232:AG232)</f>
        <v>0</v>
      </c>
      <c r="E232">
        <f>MAX(0,IF(Impostazioni!$B$7="No",'Calc base'!$C232-$C$31,'Calc base'!$C232-C232)+'Calc base'!$G232+'Calc base'!$F232-(B232-C232-D232))</f>
        <v>900</v>
      </c>
      <c r="F232">
        <f>SUM(AH232:AS232)</f>
        <v>0</v>
      </c>
      <c r="G232">
        <f>SUM(AT232:BE232)</f>
        <v>0</v>
      </c>
      <c r="H232">
        <f>B232-G231</f>
        <v>0</v>
      </c>
      <c r="I232">
        <f>B232-G232</f>
        <v>0</v>
      </c>
      <c r="J232">
        <f>IF(AT231&lt;=0,0,IF(ROUND(AT231*(1+'Calc base'!H232),2)-MAX('Calc base'!C$12,ROUND('Calc base'!C$13*AT231,2))&lt;1,ROUND(AT231*(1+'Calc base'!H232),2),MAX('Calc base'!C$12,ROUND('Calc base'!C$13*AT231,2))))</f>
        <v>0</v>
      </c>
      <c r="K232">
        <f>IF(AU231&lt;=0,0,IF(ROUND(AU231*(1+'Calc base'!I232),2)-MAX('Calc base'!D$12,ROUND('Calc base'!D$13*AU231,2))&lt;1,ROUND(AU231*(1+'Calc base'!I232),2),MAX('Calc base'!D$12,ROUND('Calc base'!D$13*AU231,2))))</f>
        <v>0</v>
      </c>
      <c r="L232">
        <f>IF(AV231&lt;=0,0,IF(ROUND(AV231*(1+'Calc base'!J232),2)-MAX('Calc base'!E$12,ROUND('Calc base'!E$13*AV231,2))&lt;1,ROUND(AV231*(1+'Calc base'!J232),2),MAX('Calc base'!E$12,ROUND('Calc base'!E$13*AV231,2))))</f>
        <v>0</v>
      </c>
      <c r="M232">
        <f>IF(AW231&lt;=0,0,IF(ROUND(AW231*(1+'Calc base'!K232),2)-MAX('Calc base'!F$12,ROUND('Calc base'!F$13*AW231,2))&lt;1,ROUND(AW231*(1+'Calc base'!K232),2),MAX('Calc base'!F$12,ROUND('Calc base'!F$13*AW231,2))))</f>
        <v>0</v>
      </c>
      <c r="N232">
        <f>IF(AX231&lt;=0,0,IF(ROUND(AX231*(1+'Calc base'!L232),2)-MAX('Calc base'!G$12,ROUND('Calc base'!G$13*AX231,2))&lt;1,ROUND(AX231*(1+'Calc base'!L232),2),MAX('Calc base'!G$12,ROUND('Calc base'!G$13*AX231,2))))</f>
        <v>0</v>
      </c>
      <c r="O232">
        <f>IF(AY231&lt;=0,0,IF(ROUND(AY231*(1+'Calc base'!M232),2)-MAX('Calc base'!H$12,ROUND('Calc base'!H$13*AY231,2))&lt;1,ROUND(AY231*(1+'Calc base'!M232),2),MAX('Calc base'!H$12,ROUND('Calc base'!H$13*AY231,2))))</f>
        <v>0</v>
      </c>
      <c r="P232">
        <f>IF(AZ231&lt;=0,0,IF(ROUND(AZ231*(1+'Calc base'!N232),2)-MAX('Calc base'!I$12,ROUND('Calc base'!I$13*AZ231,2))&lt;1,ROUND(AZ231*(1+'Calc base'!N232),2),MAX('Calc base'!I$12,ROUND('Calc base'!I$13*AZ231,2))))</f>
        <v>0</v>
      </c>
      <c r="Q232">
        <f>IF(BA231&lt;=0,0,IF(ROUND(BA231*(1+'Calc base'!O232),2)-MAX('Calc base'!J$12,ROUND('Calc base'!J$13*BA231,2))&lt;1,ROUND(BA231*(1+'Calc base'!O232),2),MAX('Calc base'!J$12,ROUND('Calc base'!J$13*BA231,2))))</f>
        <v>0</v>
      </c>
      <c r="R232">
        <f>IF(BB231&lt;=0,0,IF(ROUND(BB231*(1+'Calc base'!P232),2)-MAX('Calc base'!K$12,ROUND('Calc base'!K$13*BB231,2))&lt;1,ROUND(BB231*(1+'Calc base'!P232),2),MAX('Calc base'!K$12,ROUND('Calc base'!K$13*BB231,2))))</f>
        <v>0</v>
      </c>
      <c r="S232">
        <f>IF(BC231&lt;=0,0,IF(ROUND(BC231*(1+'Calc base'!Q232),2)-MAX('Calc base'!L$12,ROUND('Calc base'!L$13*BC231,2))&lt;1,ROUND(BC231*(1+'Calc base'!Q232),2),MAX('Calc base'!L$12,ROUND('Calc base'!L$13*BC231,2))))</f>
        <v>0</v>
      </c>
      <c r="T232">
        <f>IF(BD231&lt;=0,0,IF(ROUND(BD231*(1+'Calc base'!R232),2)-MAX('Calc base'!M$12,ROUND('Calc base'!M$13*BD231,2))&lt;1,ROUND(BD231*(1+'Calc base'!R232),2),MAX('Calc base'!M$12,ROUND('Calc base'!M$13*BD231,2))))</f>
        <v>0</v>
      </c>
      <c r="U232">
        <f>IF(BE231&lt;=0,0,IF(ROUND(BE231*(1+'Calc base'!S232),2)-MAX('Calc base'!N$12,ROUND('Calc base'!N$13*BE231,2))&lt;1,ROUND(BE231*(1+'Calc base'!S232),2),MAX('Calc base'!N$12,ROUND('Calc base'!N$13*BE231,2))))</f>
        <v>0</v>
      </c>
      <c r="V232">
        <f>MAX(0,ROUND(AT231*(1+'Calc base'!H232),2)-J232-'Calc base'!T232)</f>
        <v>0</v>
      </c>
      <c r="W232">
        <f>MAX(0,ROUND(AU231*(1+'Calc base'!I232),2)-K232-'Calc base'!U232)</f>
        <v>0</v>
      </c>
      <c r="X232">
        <f>MAX(0,ROUND(AV231*(1+'Calc base'!J232),2)-L232-'Calc base'!V232)</f>
        <v>0</v>
      </c>
      <c r="Y232">
        <f>MAX(0,ROUND(AW231*(1+'Calc base'!K232),2)-M232-'Calc base'!W232)</f>
        <v>0</v>
      </c>
      <c r="Z232">
        <f>MAX(0,ROUND(AX231*(1+'Calc base'!L232),2)-N232-'Calc base'!X232)</f>
        <v>0</v>
      </c>
      <c r="AA232">
        <f>MAX(0,ROUND(AY231*(1+'Calc base'!M232),2)-O232-'Calc base'!Y232)</f>
        <v>0</v>
      </c>
      <c r="AB232">
        <f>MAX(0,ROUND(AZ231*(1+'Calc base'!N232),2)-P232-'Calc base'!Z232)</f>
        <v>0</v>
      </c>
      <c r="AC232">
        <f>MAX(0,ROUND(BA231*(1+'Calc base'!O232),2)-Q232-'Calc base'!AA232)</f>
        <v>0</v>
      </c>
      <c r="AD232">
        <f>MAX(0,ROUND(BB231*(1+'Calc base'!P232),2)-R232-'Calc base'!AB232)</f>
        <v>0</v>
      </c>
      <c r="AE232">
        <f>MAX(0,ROUND(BC231*(1+'Calc base'!Q232),2)-S232-'Calc base'!AC232)</f>
        <v>0</v>
      </c>
      <c r="AF232">
        <f>MAX(0,ROUND(BD231*(1+'Calc base'!R232),2)-T232-'Calc base'!AD232)</f>
        <v>0</v>
      </c>
      <c r="AG232">
        <f>MAX(0,ROUND(BE231*(1+'Calc base'!S232),2)-U232-'Calc base'!AE232)</f>
        <v>0</v>
      </c>
      <c r="AH232">
        <f>IF('Calc base'!C$14=0,0,MIN(V232,MAX(0,$E232-SUMPRODUCT($V232:$AG232,'Calc base'!$C$14:$N$14,('Calc base'!$H232:$S232&gt;'Calc base'!H232)+('Calc base'!$H232:$S232='Calc base'!H232)*('Calc base'!$C$17:$N$17&lt;'Calc base'!C$17)))))</f>
        <v>0</v>
      </c>
      <c r="AI232">
        <f>IF('Calc base'!D$14=0,0,MIN(W232,MAX(0,$E232-SUMPRODUCT($V232:$AG232,'Calc base'!$C$14:$N$14,('Calc base'!$H232:$S232&gt;'Calc base'!I232)+('Calc base'!$H232:$S232='Calc base'!I232)*('Calc base'!$C$17:$N$17&lt;'Calc base'!D$17)))))</f>
        <v>0</v>
      </c>
      <c r="AJ232">
        <f>IF('Calc base'!E$14=0,0,MIN(X232,MAX(0,$E232-SUMPRODUCT($V232:$AG232,'Calc base'!$C$14:$N$14,('Calc base'!$H232:$S232&gt;'Calc base'!J232)+('Calc base'!$H232:$S232='Calc base'!J232)*('Calc base'!$C$17:$N$17&lt;'Calc base'!E$17)))))</f>
        <v>0</v>
      </c>
      <c r="AK232">
        <f>IF('Calc base'!F$14=0,0,MIN(Y232,MAX(0,$E232-SUMPRODUCT($V232:$AG232,'Calc base'!$C$14:$N$14,('Calc base'!$H232:$S232&gt;'Calc base'!K232)+('Calc base'!$H232:$S232='Calc base'!K232)*('Calc base'!$C$17:$N$17&lt;'Calc base'!F$17)))))</f>
        <v>0</v>
      </c>
      <c r="AL232">
        <f>IF('Calc base'!G$14=0,0,MIN(Z232,MAX(0,$E232-SUMPRODUCT($V232:$AG232,'Calc base'!$C$14:$N$14,('Calc base'!$H232:$S232&gt;'Calc base'!L232)+('Calc base'!$H232:$S232='Calc base'!L232)*('Calc base'!$C$17:$N$17&lt;'Calc base'!G$17)))))</f>
        <v>0</v>
      </c>
      <c r="AM232">
        <f>IF('Calc base'!H$14=0,0,MIN(AA232,MAX(0,$E232-SUMPRODUCT($V232:$AG232,'Calc base'!$C$14:$N$14,('Calc base'!$H232:$S232&gt;'Calc base'!M232)+('Calc base'!$H232:$S232='Calc base'!M232)*('Calc base'!$C$17:$N$17&lt;'Calc base'!H$17)))))</f>
        <v>0</v>
      </c>
      <c r="AN232">
        <f>IF('Calc base'!I$14=0,0,MIN(AB232,MAX(0,$E232-SUMPRODUCT($V232:$AG232,'Calc base'!$C$14:$N$14,('Calc base'!$H232:$S232&gt;'Calc base'!N232)+('Calc base'!$H232:$S232='Calc base'!N232)*('Calc base'!$C$17:$N$17&lt;'Calc base'!I$17)))))</f>
        <v>0</v>
      </c>
      <c r="AO232">
        <f>IF('Calc base'!J$14=0,0,MIN(AC232,MAX(0,$E232-SUMPRODUCT($V232:$AG232,'Calc base'!$C$14:$N$14,('Calc base'!$H232:$S232&gt;'Calc base'!O232)+('Calc base'!$H232:$S232='Calc base'!O232)*('Calc base'!$C$17:$N$17&lt;'Calc base'!J$17)))))</f>
        <v>0</v>
      </c>
      <c r="AP232">
        <f>IF('Calc base'!K$14=0,0,MIN(AD232,MAX(0,$E232-SUMPRODUCT($V232:$AG232,'Calc base'!$C$14:$N$14,('Calc base'!$H232:$S232&gt;'Calc base'!P232)+('Calc base'!$H232:$S232='Calc base'!P232)*('Calc base'!$C$17:$N$17&lt;'Calc base'!K$17)))))</f>
        <v>0</v>
      </c>
      <c r="AQ232">
        <f>IF('Calc base'!L$14=0,0,MIN(AE232,MAX(0,$E232-SUMPRODUCT($V232:$AG232,'Calc base'!$C$14:$N$14,('Calc base'!$H232:$S232&gt;'Calc base'!Q232)+('Calc base'!$H232:$S232='Calc base'!Q232)*('Calc base'!$C$17:$N$17&lt;'Calc base'!L$17)))))</f>
        <v>0</v>
      </c>
      <c r="AR232">
        <f>IF('Calc base'!M$14=0,0,MIN(AF232,MAX(0,$E232-SUMPRODUCT($V232:$AG232,'Calc base'!$C$14:$N$14,('Calc base'!$H232:$S232&gt;'Calc base'!R232)+('Calc base'!$H232:$S232='Calc base'!R232)*('Calc base'!$C$17:$N$17&lt;'Calc base'!M$17)))))</f>
        <v>0</v>
      </c>
      <c r="AS232">
        <f>IF('Calc base'!N$14=0,0,MIN(AG232,MAX(0,$E232-SUMPRODUCT($V232:$AG232,'Calc base'!$C$14:$N$14,('Calc base'!$H232:$S232&gt;'Calc base'!S232)+('Calc base'!$H232:$S232='Calc base'!S232)*('Calc base'!$C$17:$N$17&lt;'Calc base'!N$17)))))</f>
        <v>0</v>
      </c>
      <c r="AT232">
        <f>V232-AH232</f>
        <v>0</v>
      </c>
      <c r="AU232">
        <f>W232-AI232</f>
        <v>0</v>
      </c>
      <c r="AV232">
        <f>X232-AJ232</f>
        <v>0</v>
      </c>
      <c r="AW232">
        <f>Y232-AK232</f>
        <v>0</v>
      </c>
      <c r="AX232">
        <f>Z232-AL232</f>
        <v>0</v>
      </c>
      <c r="AY232">
        <f>AA232-AM232</f>
        <v>0</v>
      </c>
      <c r="AZ232">
        <f>AB232-AN232</f>
        <v>0</v>
      </c>
      <c r="BA232">
        <f>AC232-AO232</f>
        <v>0</v>
      </c>
      <c r="BB232">
        <f>AD232-AP232</f>
        <v>0</v>
      </c>
      <c r="BC232">
        <f>AE232-AQ232</f>
        <v>0</v>
      </c>
      <c r="BD232">
        <f>AF232-AR232</f>
        <v>0</v>
      </c>
      <c r="BE232">
        <f>AG232-AS232</f>
        <v>0</v>
      </c>
    </row>
    <row r="233">
      <c r="A233" t="n">
        <v>203</v>
      </c>
      <c r="B233">
        <f>SUMPRODUCT(ROUND($AT232:$BE232*(1+'Calc base'!$H233:$S233),2))</f>
        <v>0</v>
      </c>
      <c r="C233">
        <f>SUM(J233:U233)</f>
        <v>0</v>
      </c>
      <c r="D233">
        <f>SUM(V233:AG233)</f>
        <v>0</v>
      </c>
      <c r="E233">
        <f>MAX(0,IF(Impostazioni!$B$7="No",'Calc base'!$C233-$C$31,'Calc base'!$C233-C233)+'Calc base'!$G233+'Calc base'!$F233-(B233-C233-D233))</f>
        <v>900</v>
      </c>
      <c r="F233">
        <f>SUM(AH233:AS233)</f>
        <v>0</v>
      </c>
      <c r="G233">
        <f>SUM(AT233:BE233)</f>
        <v>0</v>
      </c>
      <c r="H233">
        <f>B233-G232</f>
        <v>0</v>
      </c>
      <c r="I233">
        <f>B233-G233</f>
        <v>0</v>
      </c>
      <c r="J233">
        <f>IF(AT232&lt;=0,0,IF(ROUND(AT232*(1+'Calc base'!H233),2)-MAX('Calc base'!C$12,ROUND('Calc base'!C$13*AT232,2))&lt;1,ROUND(AT232*(1+'Calc base'!H233),2),MAX('Calc base'!C$12,ROUND('Calc base'!C$13*AT232,2))))</f>
        <v>0</v>
      </c>
      <c r="K233">
        <f>IF(AU232&lt;=0,0,IF(ROUND(AU232*(1+'Calc base'!I233),2)-MAX('Calc base'!D$12,ROUND('Calc base'!D$13*AU232,2))&lt;1,ROUND(AU232*(1+'Calc base'!I233),2),MAX('Calc base'!D$12,ROUND('Calc base'!D$13*AU232,2))))</f>
        <v>0</v>
      </c>
      <c r="L233">
        <f>IF(AV232&lt;=0,0,IF(ROUND(AV232*(1+'Calc base'!J233),2)-MAX('Calc base'!E$12,ROUND('Calc base'!E$13*AV232,2))&lt;1,ROUND(AV232*(1+'Calc base'!J233),2),MAX('Calc base'!E$12,ROUND('Calc base'!E$13*AV232,2))))</f>
        <v>0</v>
      </c>
      <c r="M233">
        <f>IF(AW232&lt;=0,0,IF(ROUND(AW232*(1+'Calc base'!K233),2)-MAX('Calc base'!F$12,ROUND('Calc base'!F$13*AW232,2))&lt;1,ROUND(AW232*(1+'Calc base'!K233),2),MAX('Calc base'!F$12,ROUND('Calc base'!F$13*AW232,2))))</f>
        <v>0</v>
      </c>
      <c r="N233">
        <f>IF(AX232&lt;=0,0,IF(ROUND(AX232*(1+'Calc base'!L233),2)-MAX('Calc base'!G$12,ROUND('Calc base'!G$13*AX232,2))&lt;1,ROUND(AX232*(1+'Calc base'!L233),2),MAX('Calc base'!G$12,ROUND('Calc base'!G$13*AX232,2))))</f>
        <v>0</v>
      </c>
      <c r="O233">
        <f>IF(AY232&lt;=0,0,IF(ROUND(AY232*(1+'Calc base'!M233),2)-MAX('Calc base'!H$12,ROUND('Calc base'!H$13*AY232,2))&lt;1,ROUND(AY232*(1+'Calc base'!M233),2),MAX('Calc base'!H$12,ROUND('Calc base'!H$13*AY232,2))))</f>
        <v>0</v>
      </c>
      <c r="P233">
        <f>IF(AZ232&lt;=0,0,IF(ROUND(AZ232*(1+'Calc base'!N233),2)-MAX('Calc base'!I$12,ROUND('Calc base'!I$13*AZ232,2))&lt;1,ROUND(AZ232*(1+'Calc base'!N233),2),MAX('Calc base'!I$12,ROUND('Calc base'!I$13*AZ232,2))))</f>
        <v>0</v>
      </c>
      <c r="Q233">
        <f>IF(BA232&lt;=0,0,IF(ROUND(BA232*(1+'Calc base'!O233),2)-MAX('Calc base'!J$12,ROUND('Calc base'!J$13*BA232,2))&lt;1,ROUND(BA232*(1+'Calc base'!O233),2),MAX('Calc base'!J$12,ROUND('Calc base'!J$13*BA232,2))))</f>
        <v>0</v>
      </c>
      <c r="R233">
        <f>IF(BB232&lt;=0,0,IF(ROUND(BB232*(1+'Calc base'!P233),2)-MAX('Calc base'!K$12,ROUND('Calc base'!K$13*BB232,2))&lt;1,ROUND(BB232*(1+'Calc base'!P233),2),MAX('Calc base'!K$12,ROUND('Calc base'!K$13*BB232,2))))</f>
        <v>0</v>
      </c>
      <c r="S233">
        <f>IF(BC232&lt;=0,0,IF(ROUND(BC232*(1+'Calc base'!Q233),2)-MAX('Calc base'!L$12,ROUND('Calc base'!L$13*BC232,2))&lt;1,ROUND(BC232*(1+'Calc base'!Q233),2),MAX('Calc base'!L$12,ROUND('Calc base'!L$13*BC232,2))))</f>
        <v>0</v>
      </c>
      <c r="T233">
        <f>IF(BD232&lt;=0,0,IF(ROUND(BD232*(1+'Calc base'!R233),2)-MAX('Calc base'!M$12,ROUND('Calc base'!M$13*BD232,2))&lt;1,ROUND(BD232*(1+'Calc base'!R233),2),MAX('Calc base'!M$12,ROUND('Calc base'!M$13*BD232,2))))</f>
        <v>0</v>
      </c>
      <c r="U233">
        <f>IF(BE232&lt;=0,0,IF(ROUND(BE232*(1+'Calc base'!S233),2)-MAX('Calc base'!N$12,ROUND('Calc base'!N$13*BE232,2))&lt;1,ROUND(BE232*(1+'Calc base'!S233),2),MAX('Calc base'!N$12,ROUND('Calc base'!N$13*BE232,2))))</f>
        <v>0</v>
      </c>
      <c r="V233">
        <f>MAX(0,ROUND(AT232*(1+'Calc base'!H233),2)-J233-'Calc base'!T233)</f>
        <v>0</v>
      </c>
      <c r="W233">
        <f>MAX(0,ROUND(AU232*(1+'Calc base'!I233),2)-K233-'Calc base'!U233)</f>
        <v>0</v>
      </c>
      <c r="X233">
        <f>MAX(0,ROUND(AV232*(1+'Calc base'!J233),2)-L233-'Calc base'!V233)</f>
        <v>0</v>
      </c>
      <c r="Y233">
        <f>MAX(0,ROUND(AW232*(1+'Calc base'!K233),2)-M233-'Calc base'!W233)</f>
        <v>0</v>
      </c>
      <c r="Z233">
        <f>MAX(0,ROUND(AX232*(1+'Calc base'!L233),2)-N233-'Calc base'!X233)</f>
        <v>0</v>
      </c>
      <c r="AA233">
        <f>MAX(0,ROUND(AY232*(1+'Calc base'!M233),2)-O233-'Calc base'!Y233)</f>
        <v>0</v>
      </c>
      <c r="AB233">
        <f>MAX(0,ROUND(AZ232*(1+'Calc base'!N233),2)-P233-'Calc base'!Z233)</f>
        <v>0</v>
      </c>
      <c r="AC233">
        <f>MAX(0,ROUND(BA232*(1+'Calc base'!O233),2)-Q233-'Calc base'!AA233)</f>
        <v>0</v>
      </c>
      <c r="AD233">
        <f>MAX(0,ROUND(BB232*(1+'Calc base'!P233),2)-R233-'Calc base'!AB233)</f>
        <v>0</v>
      </c>
      <c r="AE233">
        <f>MAX(0,ROUND(BC232*(1+'Calc base'!Q233),2)-S233-'Calc base'!AC233)</f>
        <v>0</v>
      </c>
      <c r="AF233">
        <f>MAX(0,ROUND(BD232*(1+'Calc base'!R233),2)-T233-'Calc base'!AD233)</f>
        <v>0</v>
      </c>
      <c r="AG233">
        <f>MAX(0,ROUND(BE232*(1+'Calc base'!S233),2)-U233-'Calc base'!AE233)</f>
        <v>0</v>
      </c>
      <c r="AH233">
        <f>IF('Calc base'!C$14=0,0,MIN(V233,MAX(0,$E233-SUMPRODUCT($V233:$AG233,'Calc base'!$C$14:$N$14,('Calc base'!$H233:$S233&gt;'Calc base'!H233)+('Calc base'!$H233:$S233='Calc base'!H233)*('Calc base'!$C$17:$N$17&lt;'Calc base'!C$17)))))</f>
        <v>0</v>
      </c>
      <c r="AI233">
        <f>IF('Calc base'!D$14=0,0,MIN(W233,MAX(0,$E233-SUMPRODUCT($V233:$AG233,'Calc base'!$C$14:$N$14,('Calc base'!$H233:$S233&gt;'Calc base'!I233)+('Calc base'!$H233:$S233='Calc base'!I233)*('Calc base'!$C$17:$N$17&lt;'Calc base'!D$17)))))</f>
        <v>0</v>
      </c>
      <c r="AJ233">
        <f>IF('Calc base'!E$14=0,0,MIN(X233,MAX(0,$E233-SUMPRODUCT($V233:$AG233,'Calc base'!$C$14:$N$14,('Calc base'!$H233:$S233&gt;'Calc base'!J233)+('Calc base'!$H233:$S233='Calc base'!J233)*('Calc base'!$C$17:$N$17&lt;'Calc base'!E$17)))))</f>
        <v>0</v>
      </c>
      <c r="AK233">
        <f>IF('Calc base'!F$14=0,0,MIN(Y233,MAX(0,$E233-SUMPRODUCT($V233:$AG233,'Calc base'!$C$14:$N$14,('Calc base'!$H233:$S233&gt;'Calc base'!K233)+('Calc base'!$H233:$S233='Calc base'!K233)*('Calc base'!$C$17:$N$17&lt;'Calc base'!F$17)))))</f>
        <v>0</v>
      </c>
      <c r="AL233">
        <f>IF('Calc base'!G$14=0,0,MIN(Z233,MAX(0,$E233-SUMPRODUCT($V233:$AG233,'Calc base'!$C$14:$N$14,('Calc base'!$H233:$S233&gt;'Calc base'!L233)+('Calc base'!$H233:$S233='Calc base'!L233)*('Calc base'!$C$17:$N$17&lt;'Calc base'!G$17)))))</f>
        <v>0</v>
      </c>
      <c r="AM233">
        <f>IF('Calc base'!H$14=0,0,MIN(AA233,MAX(0,$E233-SUMPRODUCT($V233:$AG233,'Calc base'!$C$14:$N$14,('Calc base'!$H233:$S233&gt;'Calc base'!M233)+('Calc base'!$H233:$S233='Calc base'!M233)*('Calc base'!$C$17:$N$17&lt;'Calc base'!H$17)))))</f>
        <v>0</v>
      </c>
      <c r="AN233">
        <f>IF('Calc base'!I$14=0,0,MIN(AB233,MAX(0,$E233-SUMPRODUCT($V233:$AG233,'Calc base'!$C$14:$N$14,('Calc base'!$H233:$S233&gt;'Calc base'!N233)+('Calc base'!$H233:$S233='Calc base'!N233)*('Calc base'!$C$17:$N$17&lt;'Calc base'!I$17)))))</f>
        <v>0</v>
      </c>
      <c r="AO233">
        <f>IF('Calc base'!J$14=0,0,MIN(AC233,MAX(0,$E233-SUMPRODUCT($V233:$AG233,'Calc base'!$C$14:$N$14,('Calc base'!$H233:$S233&gt;'Calc base'!O233)+('Calc base'!$H233:$S233='Calc base'!O233)*('Calc base'!$C$17:$N$17&lt;'Calc base'!J$17)))))</f>
        <v>0</v>
      </c>
      <c r="AP233">
        <f>IF('Calc base'!K$14=0,0,MIN(AD233,MAX(0,$E233-SUMPRODUCT($V233:$AG233,'Calc base'!$C$14:$N$14,('Calc base'!$H233:$S233&gt;'Calc base'!P233)+('Calc base'!$H233:$S233='Calc base'!P233)*('Calc base'!$C$17:$N$17&lt;'Calc base'!K$17)))))</f>
        <v>0</v>
      </c>
      <c r="AQ233">
        <f>IF('Calc base'!L$14=0,0,MIN(AE233,MAX(0,$E233-SUMPRODUCT($V233:$AG233,'Calc base'!$C$14:$N$14,('Calc base'!$H233:$S233&gt;'Calc base'!Q233)+('Calc base'!$H233:$S233='Calc base'!Q233)*('Calc base'!$C$17:$N$17&lt;'Calc base'!L$17)))))</f>
        <v>0</v>
      </c>
      <c r="AR233">
        <f>IF('Calc base'!M$14=0,0,MIN(AF233,MAX(0,$E233-SUMPRODUCT($V233:$AG233,'Calc base'!$C$14:$N$14,('Calc base'!$H233:$S233&gt;'Calc base'!R233)+('Calc base'!$H233:$S233='Calc base'!R233)*('Calc base'!$C$17:$N$17&lt;'Calc base'!M$17)))))</f>
        <v>0</v>
      </c>
      <c r="AS233">
        <f>IF('Calc base'!N$14=0,0,MIN(AG233,MAX(0,$E233-SUMPRODUCT($V233:$AG233,'Calc base'!$C$14:$N$14,('Calc base'!$H233:$S233&gt;'Calc base'!S233)+('Calc base'!$H233:$S233='Calc base'!S233)*('Calc base'!$C$17:$N$17&lt;'Calc base'!N$17)))))</f>
        <v>0</v>
      </c>
      <c r="AT233">
        <f>V233-AH233</f>
        <v>0</v>
      </c>
      <c r="AU233">
        <f>W233-AI233</f>
        <v>0</v>
      </c>
      <c r="AV233">
        <f>X233-AJ233</f>
        <v>0</v>
      </c>
      <c r="AW233">
        <f>Y233-AK233</f>
        <v>0</v>
      </c>
      <c r="AX233">
        <f>Z233-AL233</f>
        <v>0</v>
      </c>
      <c r="AY233">
        <f>AA233-AM233</f>
        <v>0</v>
      </c>
      <c r="AZ233">
        <f>AB233-AN233</f>
        <v>0</v>
      </c>
      <c r="BA233">
        <f>AC233-AO233</f>
        <v>0</v>
      </c>
      <c r="BB233">
        <f>AD233-AP233</f>
        <v>0</v>
      </c>
      <c r="BC233">
        <f>AE233-AQ233</f>
        <v>0</v>
      </c>
      <c r="BD233">
        <f>AF233-AR233</f>
        <v>0</v>
      </c>
      <c r="BE233">
        <f>AG233-AS233</f>
        <v>0</v>
      </c>
    </row>
    <row r="234">
      <c r="A234" t="n">
        <v>204</v>
      </c>
      <c r="B234">
        <f>SUMPRODUCT(ROUND($AT233:$BE233*(1+'Calc base'!$H234:$S234),2))</f>
        <v>0</v>
      </c>
      <c r="C234">
        <f>SUM(J234:U234)</f>
        <v>0</v>
      </c>
      <c r="D234">
        <f>SUM(V234:AG234)</f>
        <v>0</v>
      </c>
      <c r="E234">
        <f>MAX(0,IF(Impostazioni!$B$7="No",'Calc base'!$C234-$C$31,'Calc base'!$C234-C234)+'Calc base'!$G234+'Calc base'!$F234-(B234-C234-D234))</f>
        <v>900</v>
      </c>
      <c r="F234">
        <f>SUM(AH234:AS234)</f>
        <v>0</v>
      </c>
      <c r="G234">
        <f>SUM(AT234:BE234)</f>
        <v>0</v>
      </c>
      <c r="H234">
        <f>B234-G233</f>
        <v>0</v>
      </c>
      <c r="I234">
        <f>B234-G234</f>
        <v>0</v>
      </c>
      <c r="J234">
        <f>IF(AT233&lt;=0,0,IF(ROUND(AT233*(1+'Calc base'!H234),2)-MAX('Calc base'!C$12,ROUND('Calc base'!C$13*AT233,2))&lt;1,ROUND(AT233*(1+'Calc base'!H234),2),MAX('Calc base'!C$12,ROUND('Calc base'!C$13*AT233,2))))</f>
        <v>0</v>
      </c>
      <c r="K234">
        <f>IF(AU233&lt;=0,0,IF(ROUND(AU233*(1+'Calc base'!I234),2)-MAX('Calc base'!D$12,ROUND('Calc base'!D$13*AU233,2))&lt;1,ROUND(AU233*(1+'Calc base'!I234),2),MAX('Calc base'!D$12,ROUND('Calc base'!D$13*AU233,2))))</f>
        <v>0</v>
      </c>
      <c r="L234">
        <f>IF(AV233&lt;=0,0,IF(ROUND(AV233*(1+'Calc base'!J234),2)-MAX('Calc base'!E$12,ROUND('Calc base'!E$13*AV233,2))&lt;1,ROUND(AV233*(1+'Calc base'!J234),2),MAX('Calc base'!E$12,ROUND('Calc base'!E$13*AV233,2))))</f>
        <v>0</v>
      </c>
      <c r="M234">
        <f>IF(AW233&lt;=0,0,IF(ROUND(AW233*(1+'Calc base'!K234),2)-MAX('Calc base'!F$12,ROUND('Calc base'!F$13*AW233,2))&lt;1,ROUND(AW233*(1+'Calc base'!K234),2),MAX('Calc base'!F$12,ROUND('Calc base'!F$13*AW233,2))))</f>
        <v>0</v>
      </c>
      <c r="N234">
        <f>IF(AX233&lt;=0,0,IF(ROUND(AX233*(1+'Calc base'!L234),2)-MAX('Calc base'!G$12,ROUND('Calc base'!G$13*AX233,2))&lt;1,ROUND(AX233*(1+'Calc base'!L234),2),MAX('Calc base'!G$12,ROUND('Calc base'!G$13*AX233,2))))</f>
        <v>0</v>
      </c>
      <c r="O234">
        <f>IF(AY233&lt;=0,0,IF(ROUND(AY233*(1+'Calc base'!M234),2)-MAX('Calc base'!H$12,ROUND('Calc base'!H$13*AY233,2))&lt;1,ROUND(AY233*(1+'Calc base'!M234),2),MAX('Calc base'!H$12,ROUND('Calc base'!H$13*AY233,2))))</f>
        <v>0</v>
      </c>
      <c r="P234">
        <f>IF(AZ233&lt;=0,0,IF(ROUND(AZ233*(1+'Calc base'!N234),2)-MAX('Calc base'!I$12,ROUND('Calc base'!I$13*AZ233,2))&lt;1,ROUND(AZ233*(1+'Calc base'!N234),2),MAX('Calc base'!I$12,ROUND('Calc base'!I$13*AZ233,2))))</f>
        <v>0</v>
      </c>
      <c r="Q234">
        <f>IF(BA233&lt;=0,0,IF(ROUND(BA233*(1+'Calc base'!O234),2)-MAX('Calc base'!J$12,ROUND('Calc base'!J$13*BA233,2))&lt;1,ROUND(BA233*(1+'Calc base'!O234),2),MAX('Calc base'!J$12,ROUND('Calc base'!J$13*BA233,2))))</f>
        <v>0</v>
      </c>
      <c r="R234">
        <f>IF(BB233&lt;=0,0,IF(ROUND(BB233*(1+'Calc base'!P234),2)-MAX('Calc base'!K$12,ROUND('Calc base'!K$13*BB233,2))&lt;1,ROUND(BB233*(1+'Calc base'!P234),2),MAX('Calc base'!K$12,ROUND('Calc base'!K$13*BB233,2))))</f>
        <v>0</v>
      </c>
      <c r="S234">
        <f>IF(BC233&lt;=0,0,IF(ROUND(BC233*(1+'Calc base'!Q234),2)-MAX('Calc base'!L$12,ROUND('Calc base'!L$13*BC233,2))&lt;1,ROUND(BC233*(1+'Calc base'!Q234),2),MAX('Calc base'!L$12,ROUND('Calc base'!L$13*BC233,2))))</f>
        <v>0</v>
      </c>
      <c r="T234">
        <f>IF(BD233&lt;=0,0,IF(ROUND(BD233*(1+'Calc base'!R234),2)-MAX('Calc base'!M$12,ROUND('Calc base'!M$13*BD233,2))&lt;1,ROUND(BD233*(1+'Calc base'!R234),2),MAX('Calc base'!M$12,ROUND('Calc base'!M$13*BD233,2))))</f>
        <v>0</v>
      </c>
      <c r="U234">
        <f>IF(BE233&lt;=0,0,IF(ROUND(BE233*(1+'Calc base'!S234),2)-MAX('Calc base'!N$12,ROUND('Calc base'!N$13*BE233,2))&lt;1,ROUND(BE233*(1+'Calc base'!S234),2),MAX('Calc base'!N$12,ROUND('Calc base'!N$13*BE233,2))))</f>
        <v>0</v>
      </c>
      <c r="V234">
        <f>MAX(0,ROUND(AT233*(1+'Calc base'!H234),2)-J234-'Calc base'!T234)</f>
        <v>0</v>
      </c>
      <c r="W234">
        <f>MAX(0,ROUND(AU233*(1+'Calc base'!I234),2)-K234-'Calc base'!U234)</f>
        <v>0</v>
      </c>
      <c r="X234">
        <f>MAX(0,ROUND(AV233*(1+'Calc base'!J234),2)-L234-'Calc base'!V234)</f>
        <v>0</v>
      </c>
      <c r="Y234">
        <f>MAX(0,ROUND(AW233*(1+'Calc base'!K234),2)-M234-'Calc base'!W234)</f>
        <v>0</v>
      </c>
      <c r="Z234">
        <f>MAX(0,ROUND(AX233*(1+'Calc base'!L234),2)-N234-'Calc base'!X234)</f>
        <v>0</v>
      </c>
      <c r="AA234">
        <f>MAX(0,ROUND(AY233*(1+'Calc base'!M234),2)-O234-'Calc base'!Y234)</f>
        <v>0</v>
      </c>
      <c r="AB234">
        <f>MAX(0,ROUND(AZ233*(1+'Calc base'!N234),2)-P234-'Calc base'!Z234)</f>
        <v>0</v>
      </c>
      <c r="AC234">
        <f>MAX(0,ROUND(BA233*(1+'Calc base'!O234),2)-Q234-'Calc base'!AA234)</f>
        <v>0</v>
      </c>
      <c r="AD234">
        <f>MAX(0,ROUND(BB233*(1+'Calc base'!P234),2)-R234-'Calc base'!AB234)</f>
        <v>0</v>
      </c>
      <c r="AE234">
        <f>MAX(0,ROUND(BC233*(1+'Calc base'!Q234),2)-S234-'Calc base'!AC234)</f>
        <v>0</v>
      </c>
      <c r="AF234">
        <f>MAX(0,ROUND(BD233*(1+'Calc base'!R234),2)-T234-'Calc base'!AD234)</f>
        <v>0</v>
      </c>
      <c r="AG234">
        <f>MAX(0,ROUND(BE233*(1+'Calc base'!S234),2)-U234-'Calc base'!AE234)</f>
        <v>0</v>
      </c>
      <c r="AH234">
        <f>IF('Calc base'!C$14=0,0,MIN(V234,MAX(0,$E234-SUMPRODUCT($V234:$AG234,'Calc base'!$C$14:$N$14,('Calc base'!$H234:$S234&gt;'Calc base'!H234)+('Calc base'!$H234:$S234='Calc base'!H234)*('Calc base'!$C$17:$N$17&lt;'Calc base'!C$17)))))</f>
        <v>0</v>
      </c>
      <c r="AI234">
        <f>IF('Calc base'!D$14=0,0,MIN(W234,MAX(0,$E234-SUMPRODUCT($V234:$AG234,'Calc base'!$C$14:$N$14,('Calc base'!$H234:$S234&gt;'Calc base'!I234)+('Calc base'!$H234:$S234='Calc base'!I234)*('Calc base'!$C$17:$N$17&lt;'Calc base'!D$17)))))</f>
        <v>0</v>
      </c>
      <c r="AJ234">
        <f>IF('Calc base'!E$14=0,0,MIN(X234,MAX(0,$E234-SUMPRODUCT($V234:$AG234,'Calc base'!$C$14:$N$14,('Calc base'!$H234:$S234&gt;'Calc base'!J234)+('Calc base'!$H234:$S234='Calc base'!J234)*('Calc base'!$C$17:$N$17&lt;'Calc base'!E$17)))))</f>
        <v>0</v>
      </c>
      <c r="AK234">
        <f>IF('Calc base'!F$14=0,0,MIN(Y234,MAX(0,$E234-SUMPRODUCT($V234:$AG234,'Calc base'!$C$14:$N$14,('Calc base'!$H234:$S234&gt;'Calc base'!K234)+('Calc base'!$H234:$S234='Calc base'!K234)*('Calc base'!$C$17:$N$17&lt;'Calc base'!F$17)))))</f>
        <v>0</v>
      </c>
      <c r="AL234">
        <f>IF('Calc base'!G$14=0,0,MIN(Z234,MAX(0,$E234-SUMPRODUCT($V234:$AG234,'Calc base'!$C$14:$N$14,('Calc base'!$H234:$S234&gt;'Calc base'!L234)+('Calc base'!$H234:$S234='Calc base'!L234)*('Calc base'!$C$17:$N$17&lt;'Calc base'!G$17)))))</f>
        <v>0</v>
      </c>
      <c r="AM234">
        <f>IF('Calc base'!H$14=0,0,MIN(AA234,MAX(0,$E234-SUMPRODUCT($V234:$AG234,'Calc base'!$C$14:$N$14,('Calc base'!$H234:$S234&gt;'Calc base'!M234)+('Calc base'!$H234:$S234='Calc base'!M234)*('Calc base'!$C$17:$N$17&lt;'Calc base'!H$17)))))</f>
        <v>0</v>
      </c>
      <c r="AN234">
        <f>IF('Calc base'!I$14=0,0,MIN(AB234,MAX(0,$E234-SUMPRODUCT($V234:$AG234,'Calc base'!$C$14:$N$14,('Calc base'!$H234:$S234&gt;'Calc base'!N234)+('Calc base'!$H234:$S234='Calc base'!N234)*('Calc base'!$C$17:$N$17&lt;'Calc base'!I$17)))))</f>
        <v>0</v>
      </c>
      <c r="AO234">
        <f>IF('Calc base'!J$14=0,0,MIN(AC234,MAX(0,$E234-SUMPRODUCT($V234:$AG234,'Calc base'!$C$14:$N$14,('Calc base'!$H234:$S234&gt;'Calc base'!O234)+('Calc base'!$H234:$S234='Calc base'!O234)*('Calc base'!$C$17:$N$17&lt;'Calc base'!J$17)))))</f>
        <v>0</v>
      </c>
      <c r="AP234">
        <f>IF('Calc base'!K$14=0,0,MIN(AD234,MAX(0,$E234-SUMPRODUCT($V234:$AG234,'Calc base'!$C$14:$N$14,('Calc base'!$H234:$S234&gt;'Calc base'!P234)+('Calc base'!$H234:$S234='Calc base'!P234)*('Calc base'!$C$17:$N$17&lt;'Calc base'!K$17)))))</f>
        <v>0</v>
      </c>
      <c r="AQ234">
        <f>IF('Calc base'!L$14=0,0,MIN(AE234,MAX(0,$E234-SUMPRODUCT($V234:$AG234,'Calc base'!$C$14:$N$14,('Calc base'!$H234:$S234&gt;'Calc base'!Q234)+('Calc base'!$H234:$S234='Calc base'!Q234)*('Calc base'!$C$17:$N$17&lt;'Calc base'!L$17)))))</f>
        <v>0</v>
      </c>
      <c r="AR234">
        <f>IF('Calc base'!M$14=0,0,MIN(AF234,MAX(0,$E234-SUMPRODUCT($V234:$AG234,'Calc base'!$C$14:$N$14,('Calc base'!$H234:$S234&gt;'Calc base'!R234)+('Calc base'!$H234:$S234='Calc base'!R234)*('Calc base'!$C$17:$N$17&lt;'Calc base'!M$17)))))</f>
        <v>0</v>
      </c>
      <c r="AS234">
        <f>IF('Calc base'!N$14=0,0,MIN(AG234,MAX(0,$E234-SUMPRODUCT($V234:$AG234,'Calc base'!$C$14:$N$14,('Calc base'!$H234:$S234&gt;'Calc base'!S234)+('Calc base'!$H234:$S234='Calc base'!S234)*('Calc base'!$C$17:$N$17&lt;'Calc base'!N$17)))))</f>
        <v>0</v>
      </c>
      <c r="AT234">
        <f>V234-AH234</f>
        <v>0</v>
      </c>
      <c r="AU234">
        <f>W234-AI234</f>
        <v>0</v>
      </c>
      <c r="AV234">
        <f>X234-AJ234</f>
        <v>0</v>
      </c>
      <c r="AW234">
        <f>Y234-AK234</f>
        <v>0</v>
      </c>
      <c r="AX234">
        <f>Z234-AL234</f>
        <v>0</v>
      </c>
      <c r="AY234">
        <f>AA234-AM234</f>
        <v>0</v>
      </c>
      <c r="AZ234">
        <f>AB234-AN234</f>
        <v>0</v>
      </c>
      <c r="BA234">
        <f>AC234-AO234</f>
        <v>0</v>
      </c>
      <c r="BB234">
        <f>AD234-AP234</f>
        <v>0</v>
      </c>
      <c r="BC234">
        <f>AE234-AQ234</f>
        <v>0</v>
      </c>
      <c r="BD234">
        <f>AF234-AR234</f>
        <v>0</v>
      </c>
      <c r="BE234">
        <f>AG234-AS234</f>
        <v>0</v>
      </c>
    </row>
    <row r="235">
      <c r="A235" t="n">
        <v>205</v>
      </c>
      <c r="B235">
        <f>SUMPRODUCT(ROUND($AT234:$BE234*(1+'Calc base'!$H235:$S235),2))</f>
        <v>0</v>
      </c>
      <c r="C235">
        <f>SUM(J235:U235)</f>
        <v>0</v>
      </c>
      <c r="D235">
        <f>SUM(V235:AG235)</f>
        <v>0</v>
      </c>
      <c r="E235">
        <f>MAX(0,IF(Impostazioni!$B$7="No",'Calc base'!$C235-$C$31,'Calc base'!$C235-C235)+'Calc base'!$G235+'Calc base'!$F235-(B235-C235-D235))</f>
        <v>900</v>
      </c>
      <c r="F235">
        <f>SUM(AH235:AS235)</f>
        <v>0</v>
      </c>
      <c r="G235">
        <f>SUM(AT235:BE235)</f>
        <v>0</v>
      </c>
      <c r="H235">
        <f>B235-G234</f>
        <v>0</v>
      </c>
      <c r="I235">
        <f>B235-G235</f>
        <v>0</v>
      </c>
      <c r="J235">
        <f>IF(AT234&lt;=0,0,IF(ROUND(AT234*(1+'Calc base'!H235),2)-MAX('Calc base'!C$12,ROUND('Calc base'!C$13*AT234,2))&lt;1,ROUND(AT234*(1+'Calc base'!H235),2),MAX('Calc base'!C$12,ROUND('Calc base'!C$13*AT234,2))))</f>
        <v>0</v>
      </c>
      <c r="K235">
        <f>IF(AU234&lt;=0,0,IF(ROUND(AU234*(1+'Calc base'!I235),2)-MAX('Calc base'!D$12,ROUND('Calc base'!D$13*AU234,2))&lt;1,ROUND(AU234*(1+'Calc base'!I235),2),MAX('Calc base'!D$12,ROUND('Calc base'!D$13*AU234,2))))</f>
        <v>0</v>
      </c>
      <c r="L235">
        <f>IF(AV234&lt;=0,0,IF(ROUND(AV234*(1+'Calc base'!J235),2)-MAX('Calc base'!E$12,ROUND('Calc base'!E$13*AV234,2))&lt;1,ROUND(AV234*(1+'Calc base'!J235),2),MAX('Calc base'!E$12,ROUND('Calc base'!E$13*AV234,2))))</f>
        <v>0</v>
      </c>
      <c r="M235">
        <f>IF(AW234&lt;=0,0,IF(ROUND(AW234*(1+'Calc base'!K235),2)-MAX('Calc base'!F$12,ROUND('Calc base'!F$13*AW234,2))&lt;1,ROUND(AW234*(1+'Calc base'!K235),2),MAX('Calc base'!F$12,ROUND('Calc base'!F$13*AW234,2))))</f>
        <v>0</v>
      </c>
      <c r="N235">
        <f>IF(AX234&lt;=0,0,IF(ROUND(AX234*(1+'Calc base'!L235),2)-MAX('Calc base'!G$12,ROUND('Calc base'!G$13*AX234,2))&lt;1,ROUND(AX234*(1+'Calc base'!L235),2),MAX('Calc base'!G$12,ROUND('Calc base'!G$13*AX234,2))))</f>
        <v>0</v>
      </c>
      <c r="O235">
        <f>IF(AY234&lt;=0,0,IF(ROUND(AY234*(1+'Calc base'!M235),2)-MAX('Calc base'!H$12,ROUND('Calc base'!H$13*AY234,2))&lt;1,ROUND(AY234*(1+'Calc base'!M235),2),MAX('Calc base'!H$12,ROUND('Calc base'!H$13*AY234,2))))</f>
        <v>0</v>
      </c>
      <c r="P235">
        <f>IF(AZ234&lt;=0,0,IF(ROUND(AZ234*(1+'Calc base'!N235),2)-MAX('Calc base'!I$12,ROUND('Calc base'!I$13*AZ234,2))&lt;1,ROUND(AZ234*(1+'Calc base'!N235),2),MAX('Calc base'!I$12,ROUND('Calc base'!I$13*AZ234,2))))</f>
        <v>0</v>
      </c>
      <c r="Q235">
        <f>IF(BA234&lt;=0,0,IF(ROUND(BA234*(1+'Calc base'!O235),2)-MAX('Calc base'!J$12,ROUND('Calc base'!J$13*BA234,2))&lt;1,ROUND(BA234*(1+'Calc base'!O235),2),MAX('Calc base'!J$12,ROUND('Calc base'!J$13*BA234,2))))</f>
        <v>0</v>
      </c>
      <c r="R235">
        <f>IF(BB234&lt;=0,0,IF(ROUND(BB234*(1+'Calc base'!P235),2)-MAX('Calc base'!K$12,ROUND('Calc base'!K$13*BB234,2))&lt;1,ROUND(BB234*(1+'Calc base'!P235),2),MAX('Calc base'!K$12,ROUND('Calc base'!K$13*BB234,2))))</f>
        <v>0</v>
      </c>
      <c r="S235">
        <f>IF(BC234&lt;=0,0,IF(ROUND(BC234*(1+'Calc base'!Q235),2)-MAX('Calc base'!L$12,ROUND('Calc base'!L$13*BC234,2))&lt;1,ROUND(BC234*(1+'Calc base'!Q235),2),MAX('Calc base'!L$12,ROUND('Calc base'!L$13*BC234,2))))</f>
        <v>0</v>
      </c>
      <c r="T235">
        <f>IF(BD234&lt;=0,0,IF(ROUND(BD234*(1+'Calc base'!R235),2)-MAX('Calc base'!M$12,ROUND('Calc base'!M$13*BD234,2))&lt;1,ROUND(BD234*(1+'Calc base'!R235),2),MAX('Calc base'!M$12,ROUND('Calc base'!M$13*BD234,2))))</f>
        <v>0</v>
      </c>
      <c r="U235">
        <f>IF(BE234&lt;=0,0,IF(ROUND(BE234*(1+'Calc base'!S235),2)-MAX('Calc base'!N$12,ROUND('Calc base'!N$13*BE234,2))&lt;1,ROUND(BE234*(1+'Calc base'!S235),2),MAX('Calc base'!N$12,ROUND('Calc base'!N$13*BE234,2))))</f>
        <v>0</v>
      </c>
      <c r="V235">
        <f>MAX(0,ROUND(AT234*(1+'Calc base'!H235),2)-J235-'Calc base'!T235)</f>
        <v>0</v>
      </c>
      <c r="W235">
        <f>MAX(0,ROUND(AU234*(1+'Calc base'!I235),2)-K235-'Calc base'!U235)</f>
        <v>0</v>
      </c>
      <c r="X235">
        <f>MAX(0,ROUND(AV234*(1+'Calc base'!J235),2)-L235-'Calc base'!V235)</f>
        <v>0</v>
      </c>
      <c r="Y235">
        <f>MAX(0,ROUND(AW234*(1+'Calc base'!K235),2)-M235-'Calc base'!W235)</f>
        <v>0</v>
      </c>
      <c r="Z235">
        <f>MAX(0,ROUND(AX234*(1+'Calc base'!L235),2)-N235-'Calc base'!X235)</f>
        <v>0</v>
      </c>
      <c r="AA235">
        <f>MAX(0,ROUND(AY234*(1+'Calc base'!M235),2)-O235-'Calc base'!Y235)</f>
        <v>0</v>
      </c>
      <c r="AB235">
        <f>MAX(0,ROUND(AZ234*(1+'Calc base'!N235),2)-P235-'Calc base'!Z235)</f>
        <v>0</v>
      </c>
      <c r="AC235">
        <f>MAX(0,ROUND(BA234*(1+'Calc base'!O235),2)-Q235-'Calc base'!AA235)</f>
        <v>0</v>
      </c>
      <c r="AD235">
        <f>MAX(0,ROUND(BB234*(1+'Calc base'!P235),2)-R235-'Calc base'!AB235)</f>
        <v>0</v>
      </c>
      <c r="AE235">
        <f>MAX(0,ROUND(BC234*(1+'Calc base'!Q235),2)-S235-'Calc base'!AC235)</f>
        <v>0</v>
      </c>
      <c r="AF235">
        <f>MAX(0,ROUND(BD234*(1+'Calc base'!R235),2)-T235-'Calc base'!AD235)</f>
        <v>0</v>
      </c>
      <c r="AG235">
        <f>MAX(0,ROUND(BE234*(1+'Calc base'!S235),2)-U235-'Calc base'!AE235)</f>
        <v>0</v>
      </c>
      <c r="AH235">
        <f>IF('Calc base'!C$14=0,0,MIN(V235,MAX(0,$E235-SUMPRODUCT($V235:$AG235,'Calc base'!$C$14:$N$14,('Calc base'!$H235:$S235&gt;'Calc base'!H235)+('Calc base'!$H235:$S235='Calc base'!H235)*('Calc base'!$C$17:$N$17&lt;'Calc base'!C$17)))))</f>
        <v>0</v>
      </c>
      <c r="AI235">
        <f>IF('Calc base'!D$14=0,0,MIN(W235,MAX(0,$E235-SUMPRODUCT($V235:$AG235,'Calc base'!$C$14:$N$14,('Calc base'!$H235:$S235&gt;'Calc base'!I235)+('Calc base'!$H235:$S235='Calc base'!I235)*('Calc base'!$C$17:$N$17&lt;'Calc base'!D$17)))))</f>
        <v>0</v>
      </c>
      <c r="AJ235">
        <f>IF('Calc base'!E$14=0,0,MIN(X235,MAX(0,$E235-SUMPRODUCT($V235:$AG235,'Calc base'!$C$14:$N$14,('Calc base'!$H235:$S235&gt;'Calc base'!J235)+('Calc base'!$H235:$S235='Calc base'!J235)*('Calc base'!$C$17:$N$17&lt;'Calc base'!E$17)))))</f>
        <v>0</v>
      </c>
      <c r="AK235">
        <f>IF('Calc base'!F$14=0,0,MIN(Y235,MAX(0,$E235-SUMPRODUCT($V235:$AG235,'Calc base'!$C$14:$N$14,('Calc base'!$H235:$S235&gt;'Calc base'!K235)+('Calc base'!$H235:$S235='Calc base'!K235)*('Calc base'!$C$17:$N$17&lt;'Calc base'!F$17)))))</f>
        <v>0</v>
      </c>
      <c r="AL235">
        <f>IF('Calc base'!G$14=0,0,MIN(Z235,MAX(0,$E235-SUMPRODUCT($V235:$AG235,'Calc base'!$C$14:$N$14,('Calc base'!$H235:$S235&gt;'Calc base'!L235)+('Calc base'!$H235:$S235='Calc base'!L235)*('Calc base'!$C$17:$N$17&lt;'Calc base'!G$17)))))</f>
        <v>0</v>
      </c>
      <c r="AM235">
        <f>IF('Calc base'!H$14=0,0,MIN(AA235,MAX(0,$E235-SUMPRODUCT($V235:$AG235,'Calc base'!$C$14:$N$14,('Calc base'!$H235:$S235&gt;'Calc base'!M235)+('Calc base'!$H235:$S235='Calc base'!M235)*('Calc base'!$C$17:$N$17&lt;'Calc base'!H$17)))))</f>
        <v>0</v>
      </c>
      <c r="AN235">
        <f>IF('Calc base'!I$14=0,0,MIN(AB235,MAX(0,$E235-SUMPRODUCT($V235:$AG235,'Calc base'!$C$14:$N$14,('Calc base'!$H235:$S235&gt;'Calc base'!N235)+('Calc base'!$H235:$S235='Calc base'!N235)*('Calc base'!$C$17:$N$17&lt;'Calc base'!I$17)))))</f>
        <v>0</v>
      </c>
      <c r="AO235">
        <f>IF('Calc base'!J$14=0,0,MIN(AC235,MAX(0,$E235-SUMPRODUCT($V235:$AG235,'Calc base'!$C$14:$N$14,('Calc base'!$H235:$S235&gt;'Calc base'!O235)+('Calc base'!$H235:$S235='Calc base'!O235)*('Calc base'!$C$17:$N$17&lt;'Calc base'!J$17)))))</f>
        <v>0</v>
      </c>
      <c r="AP235">
        <f>IF('Calc base'!K$14=0,0,MIN(AD235,MAX(0,$E235-SUMPRODUCT($V235:$AG235,'Calc base'!$C$14:$N$14,('Calc base'!$H235:$S235&gt;'Calc base'!P235)+('Calc base'!$H235:$S235='Calc base'!P235)*('Calc base'!$C$17:$N$17&lt;'Calc base'!K$17)))))</f>
        <v>0</v>
      </c>
      <c r="AQ235">
        <f>IF('Calc base'!L$14=0,0,MIN(AE235,MAX(0,$E235-SUMPRODUCT($V235:$AG235,'Calc base'!$C$14:$N$14,('Calc base'!$H235:$S235&gt;'Calc base'!Q235)+('Calc base'!$H235:$S235='Calc base'!Q235)*('Calc base'!$C$17:$N$17&lt;'Calc base'!L$17)))))</f>
        <v>0</v>
      </c>
      <c r="AR235">
        <f>IF('Calc base'!M$14=0,0,MIN(AF235,MAX(0,$E235-SUMPRODUCT($V235:$AG235,'Calc base'!$C$14:$N$14,('Calc base'!$H235:$S235&gt;'Calc base'!R235)+('Calc base'!$H235:$S235='Calc base'!R235)*('Calc base'!$C$17:$N$17&lt;'Calc base'!M$17)))))</f>
        <v>0</v>
      </c>
      <c r="AS235">
        <f>IF('Calc base'!N$14=0,0,MIN(AG235,MAX(0,$E235-SUMPRODUCT($V235:$AG235,'Calc base'!$C$14:$N$14,('Calc base'!$H235:$S235&gt;'Calc base'!S235)+('Calc base'!$H235:$S235='Calc base'!S235)*('Calc base'!$C$17:$N$17&lt;'Calc base'!N$17)))))</f>
        <v>0</v>
      </c>
      <c r="AT235">
        <f>V235-AH235</f>
        <v>0</v>
      </c>
      <c r="AU235">
        <f>W235-AI235</f>
        <v>0</v>
      </c>
      <c r="AV235">
        <f>X235-AJ235</f>
        <v>0</v>
      </c>
      <c r="AW235">
        <f>Y235-AK235</f>
        <v>0</v>
      </c>
      <c r="AX235">
        <f>Z235-AL235</f>
        <v>0</v>
      </c>
      <c r="AY235">
        <f>AA235-AM235</f>
        <v>0</v>
      </c>
      <c r="AZ235">
        <f>AB235-AN235</f>
        <v>0</v>
      </c>
      <c r="BA235">
        <f>AC235-AO235</f>
        <v>0</v>
      </c>
      <c r="BB235">
        <f>AD235-AP235</f>
        <v>0</v>
      </c>
      <c r="BC235">
        <f>AE235-AQ235</f>
        <v>0</v>
      </c>
      <c r="BD235">
        <f>AF235-AR235</f>
        <v>0</v>
      </c>
      <c r="BE235">
        <f>AG235-AS235</f>
        <v>0</v>
      </c>
    </row>
    <row r="236">
      <c r="A236" t="n">
        <v>206</v>
      </c>
      <c r="B236">
        <f>SUMPRODUCT(ROUND($AT235:$BE235*(1+'Calc base'!$H236:$S236),2))</f>
        <v>0</v>
      </c>
      <c r="C236">
        <f>SUM(J236:U236)</f>
        <v>0</v>
      </c>
      <c r="D236">
        <f>SUM(V236:AG236)</f>
        <v>0</v>
      </c>
      <c r="E236">
        <f>MAX(0,IF(Impostazioni!$B$7="No",'Calc base'!$C236-$C$31,'Calc base'!$C236-C236)+'Calc base'!$G236+'Calc base'!$F236-(B236-C236-D236))</f>
        <v>900</v>
      </c>
      <c r="F236">
        <f>SUM(AH236:AS236)</f>
        <v>0</v>
      </c>
      <c r="G236">
        <f>SUM(AT236:BE236)</f>
        <v>0</v>
      </c>
      <c r="H236">
        <f>B236-G235</f>
        <v>0</v>
      </c>
      <c r="I236">
        <f>B236-G236</f>
        <v>0</v>
      </c>
      <c r="J236">
        <f>IF(AT235&lt;=0,0,IF(ROUND(AT235*(1+'Calc base'!H236),2)-MAX('Calc base'!C$12,ROUND('Calc base'!C$13*AT235,2))&lt;1,ROUND(AT235*(1+'Calc base'!H236),2),MAX('Calc base'!C$12,ROUND('Calc base'!C$13*AT235,2))))</f>
        <v>0</v>
      </c>
      <c r="K236">
        <f>IF(AU235&lt;=0,0,IF(ROUND(AU235*(1+'Calc base'!I236),2)-MAX('Calc base'!D$12,ROUND('Calc base'!D$13*AU235,2))&lt;1,ROUND(AU235*(1+'Calc base'!I236),2),MAX('Calc base'!D$12,ROUND('Calc base'!D$13*AU235,2))))</f>
        <v>0</v>
      </c>
      <c r="L236">
        <f>IF(AV235&lt;=0,0,IF(ROUND(AV235*(1+'Calc base'!J236),2)-MAX('Calc base'!E$12,ROUND('Calc base'!E$13*AV235,2))&lt;1,ROUND(AV235*(1+'Calc base'!J236),2),MAX('Calc base'!E$12,ROUND('Calc base'!E$13*AV235,2))))</f>
        <v>0</v>
      </c>
      <c r="M236">
        <f>IF(AW235&lt;=0,0,IF(ROUND(AW235*(1+'Calc base'!K236),2)-MAX('Calc base'!F$12,ROUND('Calc base'!F$13*AW235,2))&lt;1,ROUND(AW235*(1+'Calc base'!K236),2),MAX('Calc base'!F$12,ROUND('Calc base'!F$13*AW235,2))))</f>
        <v>0</v>
      </c>
      <c r="N236">
        <f>IF(AX235&lt;=0,0,IF(ROUND(AX235*(1+'Calc base'!L236),2)-MAX('Calc base'!G$12,ROUND('Calc base'!G$13*AX235,2))&lt;1,ROUND(AX235*(1+'Calc base'!L236),2),MAX('Calc base'!G$12,ROUND('Calc base'!G$13*AX235,2))))</f>
        <v>0</v>
      </c>
      <c r="O236">
        <f>IF(AY235&lt;=0,0,IF(ROUND(AY235*(1+'Calc base'!M236),2)-MAX('Calc base'!H$12,ROUND('Calc base'!H$13*AY235,2))&lt;1,ROUND(AY235*(1+'Calc base'!M236),2),MAX('Calc base'!H$12,ROUND('Calc base'!H$13*AY235,2))))</f>
        <v>0</v>
      </c>
      <c r="P236">
        <f>IF(AZ235&lt;=0,0,IF(ROUND(AZ235*(1+'Calc base'!N236),2)-MAX('Calc base'!I$12,ROUND('Calc base'!I$13*AZ235,2))&lt;1,ROUND(AZ235*(1+'Calc base'!N236),2),MAX('Calc base'!I$12,ROUND('Calc base'!I$13*AZ235,2))))</f>
        <v>0</v>
      </c>
      <c r="Q236">
        <f>IF(BA235&lt;=0,0,IF(ROUND(BA235*(1+'Calc base'!O236),2)-MAX('Calc base'!J$12,ROUND('Calc base'!J$13*BA235,2))&lt;1,ROUND(BA235*(1+'Calc base'!O236),2),MAX('Calc base'!J$12,ROUND('Calc base'!J$13*BA235,2))))</f>
        <v>0</v>
      </c>
      <c r="R236">
        <f>IF(BB235&lt;=0,0,IF(ROUND(BB235*(1+'Calc base'!P236),2)-MAX('Calc base'!K$12,ROUND('Calc base'!K$13*BB235,2))&lt;1,ROUND(BB235*(1+'Calc base'!P236),2),MAX('Calc base'!K$12,ROUND('Calc base'!K$13*BB235,2))))</f>
        <v>0</v>
      </c>
      <c r="S236">
        <f>IF(BC235&lt;=0,0,IF(ROUND(BC235*(1+'Calc base'!Q236),2)-MAX('Calc base'!L$12,ROUND('Calc base'!L$13*BC235,2))&lt;1,ROUND(BC235*(1+'Calc base'!Q236),2),MAX('Calc base'!L$12,ROUND('Calc base'!L$13*BC235,2))))</f>
        <v>0</v>
      </c>
      <c r="T236">
        <f>IF(BD235&lt;=0,0,IF(ROUND(BD235*(1+'Calc base'!R236),2)-MAX('Calc base'!M$12,ROUND('Calc base'!M$13*BD235,2))&lt;1,ROUND(BD235*(1+'Calc base'!R236),2),MAX('Calc base'!M$12,ROUND('Calc base'!M$13*BD235,2))))</f>
        <v>0</v>
      </c>
      <c r="U236">
        <f>IF(BE235&lt;=0,0,IF(ROUND(BE235*(1+'Calc base'!S236),2)-MAX('Calc base'!N$12,ROUND('Calc base'!N$13*BE235,2))&lt;1,ROUND(BE235*(1+'Calc base'!S236),2),MAX('Calc base'!N$12,ROUND('Calc base'!N$13*BE235,2))))</f>
        <v>0</v>
      </c>
      <c r="V236">
        <f>MAX(0,ROUND(AT235*(1+'Calc base'!H236),2)-J236-'Calc base'!T236)</f>
        <v>0</v>
      </c>
      <c r="W236">
        <f>MAX(0,ROUND(AU235*(1+'Calc base'!I236),2)-K236-'Calc base'!U236)</f>
        <v>0</v>
      </c>
      <c r="X236">
        <f>MAX(0,ROUND(AV235*(1+'Calc base'!J236),2)-L236-'Calc base'!V236)</f>
        <v>0</v>
      </c>
      <c r="Y236">
        <f>MAX(0,ROUND(AW235*(1+'Calc base'!K236),2)-M236-'Calc base'!W236)</f>
        <v>0</v>
      </c>
      <c r="Z236">
        <f>MAX(0,ROUND(AX235*(1+'Calc base'!L236),2)-N236-'Calc base'!X236)</f>
        <v>0</v>
      </c>
      <c r="AA236">
        <f>MAX(0,ROUND(AY235*(1+'Calc base'!M236),2)-O236-'Calc base'!Y236)</f>
        <v>0</v>
      </c>
      <c r="AB236">
        <f>MAX(0,ROUND(AZ235*(1+'Calc base'!N236),2)-P236-'Calc base'!Z236)</f>
        <v>0</v>
      </c>
      <c r="AC236">
        <f>MAX(0,ROUND(BA235*(1+'Calc base'!O236),2)-Q236-'Calc base'!AA236)</f>
        <v>0</v>
      </c>
      <c r="AD236">
        <f>MAX(0,ROUND(BB235*(1+'Calc base'!P236),2)-R236-'Calc base'!AB236)</f>
        <v>0</v>
      </c>
      <c r="AE236">
        <f>MAX(0,ROUND(BC235*(1+'Calc base'!Q236),2)-S236-'Calc base'!AC236)</f>
        <v>0</v>
      </c>
      <c r="AF236">
        <f>MAX(0,ROUND(BD235*(1+'Calc base'!R236),2)-T236-'Calc base'!AD236)</f>
        <v>0</v>
      </c>
      <c r="AG236">
        <f>MAX(0,ROUND(BE235*(1+'Calc base'!S236),2)-U236-'Calc base'!AE236)</f>
        <v>0</v>
      </c>
      <c r="AH236">
        <f>IF('Calc base'!C$14=0,0,MIN(V236,MAX(0,$E236-SUMPRODUCT($V236:$AG236,'Calc base'!$C$14:$N$14,('Calc base'!$H236:$S236&gt;'Calc base'!H236)+('Calc base'!$H236:$S236='Calc base'!H236)*('Calc base'!$C$17:$N$17&lt;'Calc base'!C$17)))))</f>
        <v>0</v>
      </c>
      <c r="AI236">
        <f>IF('Calc base'!D$14=0,0,MIN(W236,MAX(0,$E236-SUMPRODUCT($V236:$AG236,'Calc base'!$C$14:$N$14,('Calc base'!$H236:$S236&gt;'Calc base'!I236)+('Calc base'!$H236:$S236='Calc base'!I236)*('Calc base'!$C$17:$N$17&lt;'Calc base'!D$17)))))</f>
        <v>0</v>
      </c>
      <c r="AJ236">
        <f>IF('Calc base'!E$14=0,0,MIN(X236,MAX(0,$E236-SUMPRODUCT($V236:$AG236,'Calc base'!$C$14:$N$14,('Calc base'!$H236:$S236&gt;'Calc base'!J236)+('Calc base'!$H236:$S236='Calc base'!J236)*('Calc base'!$C$17:$N$17&lt;'Calc base'!E$17)))))</f>
        <v>0</v>
      </c>
      <c r="AK236">
        <f>IF('Calc base'!F$14=0,0,MIN(Y236,MAX(0,$E236-SUMPRODUCT($V236:$AG236,'Calc base'!$C$14:$N$14,('Calc base'!$H236:$S236&gt;'Calc base'!K236)+('Calc base'!$H236:$S236='Calc base'!K236)*('Calc base'!$C$17:$N$17&lt;'Calc base'!F$17)))))</f>
        <v>0</v>
      </c>
      <c r="AL236">
        <f>IF('Calc base'!G$14=0,0,MIN(Z236,MAX(0,$E236-SUMPRODUCT($V236:$AG236,'Calc base'!$C$14:$N$14,('Calc base'!$H236:$S236&gt;'Calc base'!L236)+('Calc base'!$H236:$S236='Calc base'!L236)*('Calc base'!$C$17:$N$17&lt;'Calc base'!G$17)))))</f>
        <v>0</v>
      </c>
      <c r="AM236">
        <f>IF('Calc base'!H$14=0,0,MIN(AA236,MAX(0,$E236-SUMPRODUCT($V236:$AG236,'Calc base'!$C$14:$N$14,('Calc base'!$H236:$S236&gt;'Calc base'!M236)+('Calc base'!$H236:$S236='Calc base'!M236)*('Calc base'!$C$17:$N$17&lt;'Calc base'!H$17)))))</f>
        <v>0</v>
      </c>
      <c r="AN236">
        <f>IF('Calc base'!I$14=0,0,MIN(AB236,MAX(0,$E236-SUMPRODUCT($V236:$AG236,'Calc base'!$C$14:$N$14,('Calc base'!$H236:$S236&gt;'Calc base'!N236)+('Calc base'!$H236:$S236='Calc base'!N236)*('Calc base'!$C$17:$N$17&lt;'Calc base'!I$17)))))</f>
        <v>0</v>
      </c>
      <c r="AO236">
        <f>IF('Calc base'!J$14=0,0,MIN(AC236,MAX(0,$E236-SUMPRODUCT($V236:$AG236,'Calc base'!$C$14:$N$14,('Calc base'!$H236:$S236&gt;'Calc base'!O236)+('Calc base'!$H236:$S236='Calc base'!O236)*('Calc base'!$C$17:$N$17&lt;'Calc base'!J$17)))))</f>
        <v>0</v>
      </c>
      <c r="AP236">
        <f>IF('Calc base'!K$14=0,0,MIN(AD236,MAX(0,$E236-SUMPRODUCT($V236:$AG236,'Calc base'!$C$14:$N$14,('Calc base'!$H236:$S236&gt;'Calc base'!P236)+('Calc base'!$H236:$S236='Calc base'!P236)*('Calc base'!$C$17:$N$17&lt;'Calc base'!K$17)))))</f>
        <v>0</v>
      </c>
      <c r="AQ236">
        <f>IF('Calc base'!L$14=0,0,MIN(AE236,MAX(0,$E236-SUMPRODUCT($V236:$AG236,'Calc base'!$C$14:$N$14,('Calc base'!$H236:$S236&gt;'Calc base'!Q236)+('Calc base'!$H236:$S236='Calc base'!Q236)*('Calc base'!$C$17:$N$17&lt;'Calc base'!L$17)))))</f>
        <v>0</v>
      </c>
      <c r="AR236">
        <f>IF('Calc base'!M$14=0,0,MIN(AF236,MAX(0,$E236-SUMPRODUCT($V236:$AG236,'Calc base'!$C$14:$N$14,('Calc base'!$H236:$S236&gt;'Calc base'!R236)+('Calc base'!$H236:$S236='Calc base'!R236)*('Calc base'!$C$17:$N$17&lt;'Calc base'!M$17)))))</f>
        <v>0</v>
      </c>
      <c r="AS236">
        <f>IF('Calc base'!N$14=0,0,MIN(AG236,MAX(0,$E236-SUMPRODUCT($V236:$AG236,'Calc base'!$C$14:$N$14,('Calc base'!$H236:$S236&gt;'Calc base'!S236)+('Calc base'!$H236:$S236='Calc base'!S236)*('Calc base'!$C$17:$N$17&lt;'Calc base'!N$17)))))</f>
        <v>0</v>
      </c>
      <c r="AT236">
        <f>V236-AH236</f>
        <v>0</v>
      </c>
      <c r="AU236">
        <f>W236-AI236</f>
        <v>0</v>
      </c>
      <c r="AV236">
        <f>X236-AJ236</f>
        <v>0</v>
      </c>
      <c r="AW236">
        <f>Y236-AK236</f>
        <v>0</v>
      </c>
      <c r="AX236">
        <f>Z236-AL236</f>
        <v>0</v>
      </c>
      <c r="AY236">
        <f>AA236-AM236</f>
        <v>0</v>
      </c>
      <c r="AZ236">
        <f>AB236-AN236</f>
        <v>0</v>
      </c>
      <c r="BA236">
        <f>AC236-AO236</f>
        <v>0</v>
      </c>
      <c r="BB236">
        <f>AD236-AP236</f>
        <v>0</v>
      </c>
      <c r="BC236">
        <f>AE236-AQ236</f>
        <v>0</v>
      </c>
      <c r="BD236">
        <f>AF236-AR236</f>
        <v>0</v>
      </c>
      <c r="BE236">
        <f>AG236-AS236</f>
        <v>0</v>
      </c>
    </row>
    <row r="237">
      <c r="A237" t="n">
        <v>207</v>
      </c>
      <c r="B237">
        <f>SUMPRODUCT(ROUND($AT236:$BE236*(1+'Calc base'!$H237:$S237),2))</f>
        <v>0</v>
      </c>
      <c r="C237">
        <f>SUM(J237:U237)</f>
        <v>0</v>
      </c>
      <c r="D237">
        <f>SUM(V237:AG237)</f>
        <v>0</v>
      </c>
      <c r="E237">
        <f>MAX(0,IF(Impostazioni!$B$7="No",'Calc base'!$C237-$C$31,'Calc base'!$C237-C237)+'Calc base'!$G237+'Calc base'!$F237-(B237-C237-D237))</f>
        <v>900</v>
      </c>
      <c r="F237">
        <f>SUM(AH237:AS237)</f>
        <v>0</v>
      </c>
      <c r="G237">
        <f>SUM(AT237:BE237)</f>
        <v>0</v>
      </c>
      <c r="H237">
        <f>B237-G236</f>
        <v>0</v>
      </c>
      <c r="I237">
        <f>B237-G237</f>
        <v>0</v>
      </c>
      <c r="J237">
        <f>IF(AT236&lt;=0,0,IF(ROUND(AT236*(1+'Calc base'!H237),2)-MAX('Calc base'!C$12,ROUND('Calc base'!C$13*AT236,2))&lt;1,ROUND(AT236*(1+'Calc base'!H237),2),MAX('Calc base'!C$12,ROUND('Calc base'!C$13*AT236,2))))</f>
        <v>0</v>
      </c>
      <c r="K237">
        <f>IF(AU236&lt;=0,0,IF(ROUND(AU236*(1+'Calc base'!I237),2)-MAX('Calc base'!D$12,ROUND('Calc base'!D$13*AU236,2))&lt;1,ROUND(AU236*(1+'Calc base'!I237),2),MAX('Calc base'!D$12,ROUND('Calc base'!D$13*AU236,2))))</f>
        <v>0</v>
      </c>
      <c r="L237">
        <f>IF(AV236&lt;=0,0,IF(ROUND(AV236*(1+'Calc base'!J237),2)-MAX('Calc base'!E$12,ROUND('Calc base'!E$13*AV236,2))&lt;1,ROUND(AV236*(1+'Calc base'!J237),2),MAX('Calc base'!E$12,ROUND('Calc base'!E$13*AV236,2))))</f>
        <v>0</v>
      </c>
      <c r="M237">
        <f>IF(AW236&lt;=0,0,IF(ROUND(AW236*(1+'Calc base'!K237),2)-MAX('Calc base'!F$12,ROUND('Calc base'!F$13*AW236,2))&lt;1,ROUND(AW236*(1+'Calc base'!K237),2),MAX('Calc base'!F$12,ROUND('Calc base'!F$13*AW236,2))))</f>
        <v>0</v>
      </c>
      <c r="N237">
        <f>IF(AX236&lt;=0,0,IF(ROUND(AX236*(1+'Calc base'!L237),2)-MAX('Calc base'!G$12,ROUND('Calc base'!G$13*AX236,2))&lt;1,ROUND(AX236*(1+'Calc base'!L237),2),MAX('Calc base'!G$12,ROUND('Calc base'!G$13*AX236,2))))</f>
        <v>0</v>
      </c>
      <c r="O237">
        <f>IF(AY236&lt;=0,0,IF(ROUND(AY236*(1+'Calc base'!M237),2)-MAX('Calc base'!H$12,ROUND('Calc base'!H$13*AY236,2))&lt;1,ROUND(AY236*(1+'Calc base'!M237),2),MAX('Calc base'!H$12,ROUND('Calc base'!H$13*AY236,2))))</f>
        <v>0</v>
      </c>
      <c r="P237">
        <f>IF(AZ236&lt;=0,0,IF(ROUND(AZ236*(1+'Calc base'!N237),2)-MAX('Calc base'!I$12,ROUND('Calc base'!I$13*AZ236,2))&lt;1,ROUND(AZ236*(1+'Calc base'!N237),2),MAX('Calc base'!I$12,ROUND('Calc base'!I$13*AZ236,2))))</f>
        <v>0</v>
      </c>
      <c r="Q237">
        <f>IF(BA236&lt;=0,0,IF(ROUND(BA236*(1+'Calc base'!O237),2)-MAX('Calc base'!J$12,ROUND('Calc base'!J$13*BA236,2))&lt;1,ROUND(BA236*(1+'Calc base'!O237),2),MAX('Calc base'!J$12,ROUND('Calc base'!J$13*BA236,2))))</f>
        <v>0</v>
      </c>
      <c r="R237">
        <f>IF(BB236&lt;=0,0,IF(ROUND(BB236*(1+'Calc base'!P237),2)-MAX('Calc base'!K$12,ROUND('Calc base'!K$13*BB236,2))&lt;1,ROUND(BB236*(1+'Calc base'!P237),2),MAX('Calc base'!K$12,ROUND('Calc base'!K$13*BB236,2))))</f>
        <v>0</v>
      </c>
      <c r="S237">
        <f>IF(BC236&lt;=0,0,IF(ROUND(BC236*(1+'Calc base'!Q237),2)-MAX('Calc base'!L$12,ROUND('Calc base'!L$13*BC236,2))&lt;1,ROUND(BC236*(1+'Calc base'!Q237),2),MAX('Calc base'!L$12,ROUND('Calc base'!L$13*BC236,2))))</f>
        <v>0</v>
      </c>
      <c r="T237">
        <f>IF(BD236&lt;=0,0,IF(ROUND(BD236*(1+'Calc base'!R237),2)-MAX('Calc base'!M$12,ROUND('Calc base'!M$13*BD236,2))&lt;1,ROUND(BD236*(1+'Calc base'!R237),2),MAX('Calc base'!M$12,ROUND('Calc base'!M$13*BD236,2))))</f>
        <v>0</v>
      </c>
      <c r="U237">
        <f>IF(BE236&lt;=0,0,IF(ROUND(BE236*(1+'Calc base'!S237),2)-MAX('Calc base'!N$12,ROUND('Calc base'!N$13*BE236,2))&lt;1,ROUND(BE236*(1+'Calc base'!S237),2),MAX('Calc base'!N$12,ROUND('Calc base'!N$13*BE236,2))))</f>
        <v>0</v>
      </c>
      <c r="V237">
        <f>MAX(0,ROUND(AT236*(1+'Calc base'!H237),2)-J237-'Calc base'!T237)</f>
        <v>0</v>
      </c>
      <c r="W237">
        <f>MAX(0,ROUND(AU236*(1+'Calc base'!I237),2)-K237-'Calc base'!U237)</f>
        <v>0</v>
      </c>
      <c r="X237">
        <f>MAX(0,ROUND(AV236*(1+'Calc base'!J237),2)-L237-'Calc base'!V237)</f>
        <v>0</v>
      </c>
      <c r="Y237">
        <f>MAX(0,ROUND(AW236*(1+'Calc base'!K237),2)-M237-'Calc base'!W237)</f>
        <v>0</v>
      </c>
      <c r="Z237">
        <f>MAX(0,ROUND(AX236*(1+'Calc base'!L237),2)-N237-'Calc base'!X237)</f>
        <v>0</v>
      </c>
      <c r="AA237">
        <f>MAX(0,ROUND(AY236*(1+'Calc base'!M237),2)-O237-'Calc base'!Y237)</f>
        <v>0</v>
      </c>
      <c r="AB237">
        <f>MAX(0,ROUND(AZ236*(1+'Calc base'!N237),2)-P237-'Calc base'!Z237)</f>
        <v>0</v>
      </c>
      <c r="AC237">
        <f>MAX(0,ROUND(BA236*(1+'Calc base'!O237),2)-Q237-'Calc base'!AA237)</f>
        <v>0</v>
      </c>
      <c r="AD237">
        <f>MAX(0,ROUND(BB236*(1+'Calc base'!P237),2)-R237-'Calc base'!AB237)</f>
        <v>0</v>
      </c>
      <c r="AE237">
        <f>MAX(0,ROUND(BC236*(1+'Calc base'!Q237),2)-S237-'Calc base'!AC237)</f>
        <v>0</v>
      </c>
      <c r="AF237">
        <f>MAX(0,ROUND(BD236*(1+'Calc base'!R237),2)-T237-'Calc base'!AD237)</f>
        <v>0</v>
      </c>
      <c r="AG237">
        <f>MAX(0,ROUND(BE236*(1+'Calc base'!S237),2)-U237-'Calc base'!AE237)</f>
        <v>0</v>
      </c>
      <c r="AH237">
        <f>IF('Calc base'!C$14=0,0,MIN(V237,MAX(0,$E237-SUMPRODUCT($V237:$AG237,'Calc base'!$C$14:$N$14,('Calc base'!$H237:$S237&gt;'Calc base'!H237)+('Calc base'!$H237:$S237='Calc base'!H237)*('Calc base'!$C$17:$N$17&lt;'Calc base'!C$17)))))</f>
        <v>0</v>
      </c>
      <c r="AI237">
        <f>IF('Calc base'!D$14=0,0,MIN(W237,MAX(0,$E237-SUMPRODUCT($V237:$AG237,'Calc base'!$C$14:$N$14,('Calc base'!$H237:$S237&gt;'Calc base'!I237)+('Calc base'!$H237:$S237='Calc base'!I237)*('Calc base'!$C$17:$N$17&lt;'Calc base'!D$17)))))</f>
        <v>0</v>
      </c>
      <c r="AJ237">
        <f>IF('Calc base'!E$14=0,0,MIN(X237,MAX(0,$E237-SUMPRODUCT($V237:$AG237,'Calc base'!$C$14:$N$14,('Calc base'!$H237:$S237&gt;'Calc base'!J237)+('Calc base'!$H237:$S237='Calc base'!J237)*('Calc base'!$C$17:$N$17&lt;'Calc base'!E$17)))))</f>
        <v>0</v>
      </c>
      <c r="AK237">
        <f>IF('Calc base'!F$14=0,0,MIN(Y237,MAX(0,$E237-SUMPRODUCT($V237:$AG237,'Calc base'!$C$14:$N$14,('Calc base'!$H237:$S237&gt;'Calc base'!K237)+('Calc base'!$H237:$S237='Calc base'!K237)*('Calc base'!$C$17:$N$17&lt;'Calc base'!F$17)))))</f>
        <v>0</v>
      </c>
      <c r="AL237">
        <f>IF('Calc base'!G$14=0,0,MIN(Z237,MAX(0,$E237-SUMPRODUCT($V237:$AG237,'Calc base'!$C$14:$N$14,('Calc base'!$H237:$S237&gt;'Calc base'!L237)+('Calc base'!$H237:$S237='Calc base'!L237)*('Calc base'!$C$17:$N$17&lt;'Calc base'!G$17)))))</f>
        <v>0</v>
      </c>
      <c r="AM237">
        <f>IF('Calc base'!H$14=0,0,MIN(AA237,MAX(0,$E237-SUMPRODUCT($V237:$AG237,'Calc base'!$C$14:$N$14,('Calc base'!$H237:$S237&gt;'Calc base'!M237)+('Calc base'!$H237:$S237='Calc base'!M237)*('Calc base'!$C$17:$N$17&lt;'Calc base'!H$17)))))</f>
        <v>0</v>
      </c>
      <c r="AN237">
        <f>IF('Calc base'!I$14=0,0,MIN(AB237,MAX(0,$E237-SUMPRODUCT($V237:$AG237,'Calc base'!$C$14:$N$14,('Calc base'!$H237:$S237&gt;'Calc base'!N237)+('Calc base'!$H237:$S237='Calc base'!N237)*('Calc base'!$C$17:$N$17&lt;'Calc base'!I$17)))))</f>
        <v>0</v>
      </c>
      <c r="AO237">
        <f>IF('Calc base'!J$14=0,0,MIN(AC237,MAX(0,$E237-SUMPRODUCT($V237:$AG237,'Calc base'!$C$14:$N$14,('Calc base'!$H237:$S237&gt;'Calc base'!O237)+('Calc base'!$H237:$S237='Calc base'!O237)*('Calc base'!$C$17:$N$17&lt;'Calc base'!J$17)))))</f>
        <v>0</v>
      </c>
      <c r="AP237">
        <f>IF('Calc base'!K$14=0,0,MIN(AD237,MAX(0,$E237-SUMPRODUCT($V237:$AG237,'Calc base'!$C$14:$N$14,('Calc base'!$H237:$S237&gt;'Calc base'!P237)+('Calc base'!$H237:$S237='Calc base'!P237)*('Calc base'!$C$17:$N$17&lt;'Calc base'!K$17)))))</f>
        <v>0</v>
      </c>
      <c r="AQ237">
        <f>IF('Calc base'!L$14=0,0,MIN(AE237,MAX(0,$E237-SUMPRODUCT($V237:$AG237,'Calc base'!$C$14:$N$14,('Calc base'!$H237:$S237&gt;'Calc base'!Q237)+('Calc base'!$H237:$S237='Calc base'!Q237)*('Calc base'!$C$17:$N$17&lt;'Calc base'!L$17)))))</f>
        <v>0</v>
      </c>
      <c r="AR237">
        <f>IF('Calc base'!M$14=0,0,MIN(AF237,MAX(0,$E237-SUMPRODUCT($V237:$AG237,'Calc base'!$C$14:$N$14,('Calc base'!$H237:$S237&gt;'Calc base'!R237)+('Calc base'!$H237:$S237='Calc base'!R237)*('Calc base'!$C$17:$N$17&lt;'Calc base'!M$17)))))</f>
        <v>0</v>
      </c>
      <c r="AS237">
        <f>IF('Calc base'!N$14=0,0,MIN(AG237,MAX(0,$E237-SUMPRODUCT($V237:$AG237,'Calc base'!$C$14:$N$14,('Calc base'!$H237:$S237&gt;'Calc base'!S237)+('Calc base'!$H237:$S237='Calc base'!S237)*('Calc base'!$C$17:$N$17&lt;'Calc base'!N$17)))))</f>
        <v>0</v>
      </c>
      <c r="AT237">
        <f>V237-AH237</f>
        <v>0</v>
      </c>
      <c r="AU237">
        <f>W237-AI237</f>
        <v>0</v>
      </c>
      <c r="AV237">
        <f>X237-AJ237</f>
        <v>0</v>
      </c>
      <c r="AW237">
        <f>Y237-AK237</f>
        <v>0</v>
      </c>
      <c r="AX237">
        <f>Z237-AL237</f>
        <v>0</v>
      </c>
      <c r="AY237">
        <f>AA237-AM237</f>
        <v>0</v>
      </c>
      <c r="AZ237">
        <f>AB237-AN237</f>
        <v>0</v>
      </c>
      <c r="BA237">
        <f>AC237-AO237</f>
        <v>0</v>
      </c>
      <c r="BB237">
        <f>AD237-AP237</f>
        <v>0</v>
      </c>
      <c r="BC237">
        <f>AE237-AQ237</f>
        <v>0</v>
      </c>
      <c r="BD237">
        <f>AF237-AR237</f>
        <v>0</v>
      </c>
      <c r="BE237">
        <f>AG237-AS237</f>
        <v>0</v>
      </c>
    </row>
    <row r="238">
      <c r="A238" t="n">
        <v>208</v>
      </c>
      <c r="B238">
        <f>SUMPRODUCT(ROUND($AT237:$BE237*(1+'Calc base'!$H238:$S238),2))</f>
        <v>0</v>
      </c>
      <c r="C238">
        <f>SUM(J238:U238)</f>
        <v>0</v>
      </c>
      <c r="D238">
        <f>SUM(V238:AG238)</f>
        <v>0</v>
      </c>
      <c r="E238">
        <f>MAX(0,IF(Impostazioni!$B$7="No",'Calc base'!$C238-$C$31,'Calc base'!$C238-C238)+'Calc base'!$G238+'Calc base'!$F238-(B238-C238-D238))</f>
        <v>900</v>
      </c>
      <c r="F238">
        <f>SUM(AH238:AS238)</f>
        <v>0</v>
      </c>
      <c r="G238">
        <f>SUM(AT238:BE238)</f>
        <v>0</v>
      </c>
      <c r="H238">
        <f>B238-G237</f>
        <v>0</v>
      </c>
      <c r="I238">
        <f>B238-G238</f>
        <v>0</v>
      </c>
      <c r="J238">
        <f>IF(AT237&lt;=0,0,IF(ROUND(AT237*(1+'Calc base'!H238),2)-MAX('Calc base'!C$12,ROUND('Calc base'!C$13*AT237,2))&lt;1,ROUND(AT237*(1+'Calc base'!H238),2),MAX('Calc base'!C$12,ROUND('Calc base'!C$13*AT237,2))))</f>
        <v>0</v>
      </c>
      <c r="K238">
        <f>IF(AU237&lt;=0,0,IF(ROUND(AU237*(1+'Calc base'!I238),2)-MAX('Calc base'!D$12,ROUND('Calc base'!D$13*AU237,2))&lt;1,ROUND(AU237*(1+'Calc base'!I238),2),MAX('Calc base'!D$12,ROUND('Calc base'!D$13*AU237,2))))</f>
        <v>0</v>
      </c>
      <c r="L238">
        <f>IF(AV237&lt;=0,0,IF(ROUND(AV237*(1+'Calc base'!J238),2)-MAX('Calc base'!E$12,ROUND('Calc base'!E$13*AV237,2))&lt;1,ROUND(AV237*(1+'Calc base'!J238),2),MAX('Calc base'!E$12,ROUND('Calc base'!E$13*AV237,2))))</f>
        <v>0</v>
      </c>
      <c r="M238">
        <f>IF(AW237&lt;=0,0,IF(ROUND(AW237*(1+'Calc base'!K238),2)-MAX('Calc base'!F$12,ROUND('Calc base'!F$13*AW237,2))&lt;1,ROUND(AW237*(1+'Calc base'!K238),2),MAX('Calc base'!F$12,ROUND('Calc base'!F$13*AW237,2))))</f>
        <v>0</v>
      </c>
      <c r="N238">
        <f>IF(AX237&lt;=0,0,IF(ROUND(AX237*(1+'Calc base'!L238),2)-MAX('Calc base'!G$12,ROUND('Calc base'!G$13*AX237,2))&lt;1,ROUND(AX237*(1+'Calc base'!L238),2),MAX('Calc base'!G$12,ROUND('Calc base'!G$13*AX237,2))))</f>
        <v>0</v>
      </c>
      <c r="O238">
        <f>IF(AY237&lt;=0,0,IF(ROUND(AY237*(1+'Calc base'!M238),2)-MAX('Calc base'!H$12,ROUND('Calc base'!H$13*AY237,2))&lt;1,ROUND(AY237*(1+'Calc base'!M238),2),MAX('Calc base'!H$12,ROUND('Calc base'!H$13*AY237,2))))</f>
        <v>0</v>
      </c>
      <c r="P238">
        <f>IF(AZ237&lt;=0,0,IF(ROUND(AZ237*(1+'Calc base'!N238),2)-MAX('Calc base'!I$12,ROUND('Calc base'!I$13*AZ237,2))&lt;1,ROUND(AZ237*(1+'Calc base'!N238),2),MAX('Calc base'!I$12,ROUND('Calc base'!I$13*AZ237,2))))</f>
        <v>0</v>
      </c>
      <c r="Q238">
        <f>IF(BA237&lt;=0,0,IF(ROUND(BA237*(1+'Calc base'!O238),2)-MAX('Calc base'!J$12,ROUND('Calc base'!J$13*BA237,2))&lt;1,ROUND(BA237*(1+'Calc base'!O238),2),MAX('Calc base'!J$12,ROUND('Calc base'!J$13*BA237,2))))</f>
        <v>0</v>
      </c>
      <c r="R238">
        <f>IF(BB237&lt;=0,0,IF(ROUND(BB237*(1+'Calc base'!P238),2)-MAX('Calc base'!K$12,ROUND('Calc base'!K$13*BB237,2))&lt;1,ROUND(BB237*(1+'Calc base'!P238),2),MAX('Calc base'!K$12,ROUND('Calc base'!K$13*BB237,2))))</f>
        <v>0</v>
      </c>
      <c r="S238">
        <f>IF(BC237&lt;=0,0,IF(ROUND(BC237*(1+'Calc base'!Q238),2)-MAX('Calc base'!L$12,ROUND('Calc base'!L$13*BC237,2))&lt;1,ROUND(BC237*(1+'Calc base'!Q238),2),MAX('Calc base'!L$12,ROUND('Calc base'!L$13*BC237,2))))</f>
        <v>0</v>
      </c>
      <c r="T238">
        <f>IF(BD237&lt;=0,0,IF(ROUND(BD237*(1+'Calc base'!R238),2)-MAX('Calc base'!M$12,ROUND('Calc base'!M$13*BD237,2))&lt;1,ROUND(BD237*(1+'Calc base'!R238),2),MAX('Calc base'!M$12,ROUND('Calc base'!M$13*BD237,2))))</f>
        <v>0</v>
      </c>
      <c r="U238">
        <f>IF(BE237&lt;=0,0,IF(ROUND(BE237*(1+'Calc base'!S238),2)-MAX('Calc base'!N$12,ROUND('Calc base'!N$13*BE237,2))&lt;1,ROUND(BE237*(1+'Calc base'!S238),2),MAX('Calc base'!N$12,ROUND('Calc base'!N$13*BE237,2))))</f>
        <v>0</v>
      </c>
      <c r="V238">
        <f>MAX(0,ROUND(AT237*(1+'Calc base'!H238),2)-J238-'Calc base'!T238)</f>
        <v>0</v>
      </c>
      <c r="W238">
        <f>MAX(0,ROUND(AU237*(1+'Calc base'!I238),2)-K238-'Calc base'!U238)</f>
        <v>0</v>
      </c>
      <c r="X238">
        <f>MAX(0,ROUND(AV237*(1+'Calc base'!J238),2)-L238-'Calc base'!V238)</f>
        <v>0</v>
      </c>
      <c r="Y238">
        <f>MAX(0,ROUND(AW237*(1+'Calc base'!K238),2)-M238-'Calc base'!W238)</f>
        <v>0</v>
      </c>
      <c r="Z238">
        <f>MAX(0,ROUND(AX237*(1+'Calc base'!L238),2)-N238-'Calc base'!X238)</f>
        <v>0</v>
      </c>
      <c r="AA238">
        <f>MAX(0,ROUND(AY237*(1+'Calc base'!M238),2)-O238-'Calc base'!Y238)</f>
        <v>0</v>
      </c>
      <c r="AB238">
        <f>MAX(0,ROUND(AZ237*(1+'Calc base'!N238),2)-P238-'Calc base'!Z238)</f>
        <v>0</v>
      </c>
      <c r="AC238">
        <f>MAX(0,ROUND(BA237*(1+'Calc base'!O238),2)-Q238-'Calc base'!AA238)</f>
        <v>0</v>
      </c>
      <c r="AD238">
        <f>MAX(0,ROUND(BB237*(1+'Calc base'!P238),2)-R238-'Calc base'!AB238)</f>
        <v>0</v>
      </c>
      <c r="AE238">
        <f>MAX(0,ROUND(BC237*(1+'Calc base'!Q238),2)-S238-'Calc base'!AC238)</f>
        <v>0</v>
      </c>
      <c r="AF238">
        <f>MAX(0,ROUND(BD237*(1+'Calc base'!R238),2)-T238-'Calc base'!AD238)</f>
        <v>0</v>
      </c>
      <c r="AG238">
        <f>MAX(0,ROUND(BE237*(1+'Calc base'!S238),2)-U238-'Calc base'!AE238)</f>
        <v>0</v>
      </c>
      <c r="AH238">
        <f>IF('Calc base'!C$14=0,0,MIN(V238,MAX(0,$E238-SUMPRODUCT($V238:$AG238,'Calc base'!$C$14:$N$14,('Calc base'!$H238:$S238&gt;'Calc base'!H238)+('Calc base'!$H238:$S238='Calc base'!H238)*('Calc base'!$C$17:$N$17&lt;'Calc base'!C$17)))))</f>
        <v>0</v>
      </c>
      <c r="AI238">
        <f>IF('Calc base'!D$14=0,0,MIN(W238,MAX(0,$E238-SUMPRODUCT($V238:$AG238,'Calc base'!$C$14:$N$14,('Calc base'!$H238:$S238&gt;'Calc base'!I238)+('Calc base'!$H238:$S238='Calc base'!I238)*('Calc base'!$C$17:$N$17&lt;'Calc base'!D$17)))))</f>
        <v>0</v>
      </c>
      <c r="AJ238">
        <f>IF('Calc base'!E$14=0,0,MIN(X238,MAX(0,$E238-SUMPRODUCT($V238:$AG238,'Calc base'!$C$14:$N$14,('Calc base'!$H238:$S238&gt;'Calc base'!J238)+('Calc base'!$H238:$S238='Calc base'!J238)*('Calc base'!$C$17:$N$17&lt;'Calc base'!E$17)))))</f>
        <v>0</v>
      </c>
      <c r="AK238">
        <f>IF('Calc base'!F$14=0,0,MIN(Y238,MAX(0,$E238-SUMPRODUCT($V238:$AG238,'Calc base'!$C$14:$N$14,('Calc base'!$H238:$S238&gt;'Calc base'!K238)+('Calc base'!$H238:$S238='Calc base'!K238)*('Calc base'!$C$17:$N$17&lt;'Calc base'!F$17)))))</f>
        <v>0</v>
      </c>
      <c r="AL238">
        <f>IF('Calc base'!G$14=0,0,MIN(Z238,MAX(0,$E238-SUMPRODUCT($V238:$AG238,'Calc base'!$C$14:$N$14,('Calc base'!$H238:$S238&gt;'Calc base'!L238)+('Calc base'!$H238:$S238='Calc base'!L238)*('Calc base'!$C$17:$N$17&lt;'Calc base'!G$17)))))</f>
        <v>0</v>
      </c>
      <c r="AM238">
        <f>IF('Calc base'!H$14=0,0,MIN(AA238,MAX(0,$E238-SUMPRODUCT($V238:$AG238,'Calc base'!$C$14:$N$14,('Calc base'!$H238:$S238&gt;'Calc base'!M238)+('Calc base'!$H238:$S238='Calc base'!M238)*('Calc base'!$C$17:$N$17&lt;'Calc base'!H$17)))))</f>
        <v>0</v>
      </c>
      <c r="AN238">
        <f>IF('Calc base'!I$14=0,0,MIN(AB238,MAX(0,$E238-SUMPRODUCT($V238:$AG238,'Calc base'!$C$14:$N$14,('Calc base'!$H238:$S238&gt;'Calc base'!N238)+('Calc base'!$H238:$S238='Calc base'!N238)*('Calc base'!$C$17:$N$17&lt;'Calc base'!I$17)))))</f>
        <v>0</v>
      </c>
      <c r="AO238">
        <f>IF('Calc base'!J$14=0,0,MIN(AC238,MAX(0,$E238-SUMPRODUCT($V238:$AG238,'Calc base'!$C$14:$N$14,('Calc base'!$H238:$S238&gt;'Calc base'!O238)+('Calc base'!$H238:$S238='Calc base'!O238)*('Calc base'!$C$17:$N$17&lt;'Calc base'!J$17)))))</f>
        <v>0</v>
      </c>
      <c r="AP238">
        <f>IF('Calc base'!K$14=0,0,MIN(AD238,MAX(0,$E238-SUMPRODUCT($V238:$AG238,'Calc base'!$C$14:$N$14,('Calc base'!$H238:$S238&gt;'Calc base'!P238)+('Calc base'!$H238:$S238='Calc base'!P238)*('Calc base'!$C$17:$N$17&lt;'Calc base'!K$17)))))</f>
        <v>0</v>
      </c>
      <c r="AQ238">
        <f>IF('Calc base'!L$14=0,0,MIN(AE238,MAX(0,$E238-SUMPRODUCT($V238:$AG238,'Calc base'!$C$14:$N$14,('Calc base'!$H238:$S238&gt;'Calc base'!Q238)+('Calc base'!$H238:$S238='Calc base'!Q238)*('Calc base'!$C$17:$N$17&lt;'Calc base'!L$17)))))</f>
        <v>0</v>
      </c>
      <c r="AR238">
        <f>IF('Calc base'!M$14=0,0,MIN(AF238,MAX(0,$E238-SUMPRODUCT($V238:$AG238,'Calc base'!$C$14:$N$14,('Calc base'!$H238:$S238&gt;'Calc base'!R238)+('Calc base'!$H238:$S238='Calc base'!R238)*('Calc base'!$C$17:$N$17&lt;'Calc base'!M$17)))))</f>
        <v>0</v>
      </c>
      <c r="AS238">
        <f>IF('Calc base'!N$14=0,0,MIN(AG238,MAX(0,$E238-SUMPRODUCT($V238:$AG238,'Calc base'!$C$14:$N$14,('Calc base'!$H238:$S238&gt;'Calc base'!S238)+('Calc base'!$H238:$S238='Calc base'!S238)*('Calc base'!$C$17:$N$17&lt;'Calc base'!N$17)))))</f>
        <v>0</v>
      </c>
      <c r="AT238">
        <f>V238-AH238</f>
        <v>0</v>
      </c>
      <c r="AU238">
        <f>W238-AI238</f>
        <v>0</v>
      </c>
      <c r="AV238">
        <f>X238-AJ238</f>
        <v>0</v>
      </c>
      <c r="AW238">
        <f>Y238-AK238</f>
        <v>0</v>
      </c>
      <c r="AX238">
        <f>Z238-AL238</f>
        <v>0</v>
      </c>
      <c r="AY238">
        <f>AA238-AM238</f>
        <v>0</v>
      </c>
      <c r="AZ238">
        <f>AB238-AN238</f>
        <v>0</v>
      </c>
      <c r="BA238">
        <f>AC238-AO238</f>
        <v>0</v>
      </c>
      <c r="BB238">
        <f>AD238-AP238</f>
        <v>0</v>
      </c>
      <c r="BC238">
        <f>AE238-AQ238</f>
        <v>0</v>
      </c>
      <c r="BD238">
        <f>AF238-AR238</f>
        <v>0</v>
      </c>
      <c r="BE238">
        <f>AG238-AS238</f>
        <v>0</v>
      </c>
    </row>
    <row r="239">
      <c r="A239" t="n">
        <v>209</v>
      </c>
      <c r="B239">
        <f>SUMPRODUCT(ROUND($AT238:$BE238*(1+'Calc base'!$H239:$S239),2))</f>
        <v>0</v>
      </c>
      <c r="C239">
        <f>SUM(J239:U239)</f>
        <v>0</v>
      </c>
      <c r="D239">
        <f>SUM(V239:AG239)</f>
        <v>0</v>
      </c>
      <c r="E239">
        <f>MAX(0,IF(Impostazioni!$B$7="No",'Calc base'!$C239-$C$31,'Calc base'!$C239-C239)+'Calc base'!$G239+'Calc base'!$F239-(B239-C239-D239))</f>
        <v>900</v>
      </c>
      <c r="F239">
        <f>SUM(AH239:AS239)</f>
        <v>0</v>
      </c>
      <c r="G239">
        <f>SUM(AT239:BE239)</f>
        <v>0</v>
      </c>
      <c r="H239">
        <f>B239-G238</f>
        <v>0</v>
      </c>
      <c r="I239">
        <f>B239-G239</f>
        <v>0</v>
      </c>
      <c r="J239">
        <f>IF(AT238&lt;=0,0,IF(ROUND(AT238*(1+'Calc base'!H239),2)-MAX('Calc base'!C$12,ROUND('Calc base'!C$13*AT238,2))&lt;1,ROUND(AT238*(1+'Calc base'!H239),2),MAX('Calc base'!C$12,ROUND('Calc base'!C$13*AT238,2))))</f>
        <v>0</v>
      </c>
      <c r="K239">
        <f>IF(AU238&lt;=0,0,IF(ROUND(AU238*(1+'Calc base'!I239),2)-MAX('Calc base'!D$12,ROUND('Calc base'!D$13*AU238,2))&lt;1,ROUND(AU238*(1+'Calc base'!I239),2),MAX('Calc base'!D$12,ROUND('Calc base'!D$13*AU238,2))))</f>
        <v>0</v>
      </c>
      <c r="L239">
        <f>IF(AV238&lt;=0,0,IF(ROUND(AV238*(1+'Calc base'!J239),2)-MAX('Calc base'!E$12,ROUND('Calc base'!E$13*AV238,2))&lt;1,ROUND(AV238*(1+'Calc base'!J239),2),MAX('Calc base'!E$12,ROUND('Calc base'!E$13*AV238,2))))</f>
        <v>0</v>
      </c>
      <c r="M239">
        <f>IF(AW238&lt;=0,0,IF(ROUND(AW238*(1+'Calc base'!K239),2)-MAX('Calc base'!F$12,ROUND('Calc base'!F$13*AW238,2))&lt;1,ROUND(AW238*(1+'Calc base'!K239),2),MAX('Calc base'!F$12,ROUND('Calc base'!F$13*AW238,2))))</f>
        <v>0</v>
      </c>
      <c r="N239">
        <f>IF(AX238&lt;=0,0,IF(ROUND(AX238*(1+'Calc base'!L239),2)-MAX('Calc base'!G$12,ROUND('Calc base'!G$13*AX238,2))&lt;1,ROUND(AX238*(1+'Calc base'!L239),2),MAX('Calc base'!G$12,ROUND('Calc base'!G$13*AX238,2))))</f>
        <v>0</v>
      </c>
      <c r="O239">
        <f>IF(AY238&lt;=0,0,IF(ROUND(AY238*(1+'Calc base'!M239),2)-MAX('Calc base'!H$12,ROUND('Calc base'!H$13*AY238,2))&lt;1,ROUND(AY238*(1+'Calc base'!M239),2),MAX('Calc base'!H$12,ROUND('Calc base'!H$13*AY238,2))))</f>
        <v>0</v>
      </c>
      <c r="P239">
        <f>IF(AZ238&lt;=0,0,IF(ROUND(AZ238*(1+'Calc base'!N239),2)-MAX('Calc base'!I$12,ROUND('Calc base'!I$13*AZ238,2))&lt;1,ROUND(AZ238*(1+'Calc base'!N239),2),MAX('Calc base'!I$12,ROUND('Calc base'!I$13*AZ238,2))))</f>
        <v>0</v>
      </c>
      <c r="Q239">
        <f>IF(BA238&lt;=0,0,IF(ROUND(BA238*(1+'Calc base'!O239),2)-MAX('Calc base'!J$12,ROUND('Calc base'!J$13*BA238,2))&lt;1,ROUND(BA238*(1+'Calc base'!O239),2),MAX('Calc base'!J$12,ROUND('Calc base'!J$13*BA238,2))))</f>
        <v>0</v>
      </c>
      <c r="R239">
        <f>IF(BB238&lt;=0,0,IF(ROUND(BB238*(1+'Calc base'!P239),2)-MAX('Calc base'!K$12,ROUND('Calc base'!K$13*BB238,2))&lt;1,ROUND(BB238*(1+'Calc base'!P239),2),MAX('Calc base'!K$12,ROUND('Calc base'!K$13*BB238,2))))</f>
        <v>0</v>
      </c>
      <c r="S239">
        <f>IF(BC238&lt;=0,0,IF(ROUND(BC238*(1+'Calc base'!Q239),2)-MAX('Calc base'!L$12,ROUND('Calc base'!L$13*BC238,2))&lt;1,ROUND(BC238*(1+'Calc base'!Q239),2),MAX('Calc base'!L$12,ROUND('Calc base'!L$13*BC238,2))))</f>
        <v>0</v>
      </c>
      <c r="T239">
        <f>IF(BD238&lt;=0,0,IF(ROUND(BD238*(1+'Calc base'!R239),2)-MAX('Calc base'!M$12,ROUND('Calc base'!M$13*BD238,2))&lt;1,ROUND(BD238*(1+'Calc base'!R239),2),MAX('Calc base'!M$12,ROUND('Calc base'!M$13*BD238,2))))</f>
        <v>0</v>
      </c>
      <c r="U239">
        <f>IF(BE238&lt;=0,0,IF(ROUND(BE238*(1+'Calc base'!S239),2)-MAX('Calc base'!N$12,ROUND('Calc base'!N$13*BE238,2))&lt;1,ROUND(BE238*(1+'Calc base'!S239),2),MAX('Calc base'!N$12,ROUND('Calc base'!N$13*BE238,2))))</f>
        <v>0</v>
      </c>
      <c r="V239">
        <f>MAX(0,ROUND(AT238*(1+'Calc base'!H239),2)-J239-'Calc base'!T239)</f>
        <v>0</v>
      </c>
      <c r="W239">
        <f>MAX(0,ROUND(AU238*(1+'Calc base'!I239),2)-K239-'Calc base'!U239)</f>
        <v>0</v>
      </c>
      <c r="X239">
        <f>MAX(0,ROUND(AV238*(1+'Calc base'!J239),2)-L239-'Calc base'!V239)</f>
        <v>0</v>
      </c>
      <c r="Y239">
        <f>MAX(0,ROUND(AW238*(1+'Calc base'!K239),2)-M239-'Calc base'!W239)</f>
        <v>0</v>
      </c>
      <c r="Z239">
        <f>MAX(0,ROUND(AX238*(1+'Calc base'!L239),2)-N239-'Calc base'!X239)</f>
        <v>0</v>
      </c>
      <c r="AA239">
        <f>MAX(0,ROUND(AY238*(1+'Calc base'!M239),2)-O239-'Calc base'!Y239)</f>
        <v>0</v>
      </c>
      <c r="AB239">
        <f>MAX(0,ROUND(AZ238*(1+'Calc base'!N239),2)-P239-'Calc base'!Z239)</f>
        <v>0</v>
      </c>
      <c r="AC239">
        <f>MAX(0,ROUND(BA238*(1+'Calc base'!O239),2)-Q239-'Calc base'!AA239)</f>
        <v>0</v>
      </c>
      <c r="AD239">
        <f>MAX(0,ROUND(BB238*(1+'Calc base'!P239),2)-R239-'Calc base'!AB239)</f>
        <v>0</v>
      </c>
      <c r="AE239">
        <f>MAX(0,ROUND(BC238*(1+'Calc base'!Q239),2)-S239-'Calc base'!AC239)</f>
        <v>0</v>
      </c>
      <c r="AF239">
        <f>MAX(0,ROUND(BD238*(1+'Calc base'!R239),2)-T239-'Calc base'!AD239)</f>
        <v>0</v>
      </c>
      <c r="AG239">
        <f>MAX(0,ROUND(BE238*(1+'Calc base'!S239),2)-U239-'Calc base'!AE239)</f>
        <v>0</v>
      </c>
      <c r="AH239">
        <f>IF('Calc base'!C$14=0,0,MIN(V239,MAX(0,$E239-SUMPRODUCT($V239:$AG239,'Calc base'!$C$14:$N$14,('Calc base'!$H239:$S239&gt;'Calc base'!H239)+('Calc base'!$H239:$S239='Calc base'!H239)*('Calc base'!$C$17:$N$17&lt;'Calc base'!C$17)))))</f>
        <v>0</v>
      </c>
      <c r="AI239">
        <f>IF('Calc base'!D$14=0,0,MIN(W239,MAX(0,$E239-SUMPRODUCT($V239:$AG239,'Calc base'!$C$14:$N$14,('Calc base'!$H239:$S239&gt;'Calc base'!I239)+('Calc base'!$H239:$S239='Calc base'!I239)*('Calc base'!$C$17:$N$17&lt;'Calc base'!D$17)))))</f>
        <v>0</v>
      </c>
      <c r="AJ239">
        <f>IF('Calc base'!E$14=0,0,MIN(X239,MAX(0,$E239-SUMPRODUCT($V239:$AG239,'Calc base'!$C$14:$N$14,('Calc base'!$H239:$S239&gt;'Calc base'!J239)+('Calc base'!$H239:$S239='Calc base'!J239)*('Calc base'!$C$17:$N$17&lt;'Calc base'!E$17)))))</f>
        <v>0</v>
      </c>
      <c r="AK239">
        <f>IF('Calc base'!F$14=0,0,MIN(Y239,MAX(0,$E239-SUMPRODUCT($V239:$AG239,'Calc base'!$C$14:$N$14,('Calc base'!$H239:$S239&gt;'Calc base'!K239)+('Calc base'!$H239:$S239='Calc base'!K239)*('Calc base'!$C$17:$N$17&lt;'Calc base'!F$17)))))</f>
        <v>0</v>
      </c>
      <c r="AL239">
        <f>IF('Calc base'!G$14=0,0,MIN(Z239,MAX(0,$E239-SUMPRODUCT($V239:$AG239,'Calc base'!$C$14:$N$14,('Calc base'!$H239:$S239&gt;'Calc base'!L239)+('Calc base'!$H239:$S239='Calc base'!L239)*('Calc base'!$C$17:$N$17&lt;'Calc base'!G$17)))))</f>
        <v>0</v>
      </c>
      <c r="AM239">
        <f>IF('Calc base'!H$14=0,0,MIN(AA239,MAX(0,$E239-SUMPRODUCT($V239:$AG239,'Calc base'!$C$14:$N$14,('Calc base'!$H239:$S239&gt;'Calc base'!M239)+('Calc base'!$H239:$S239='Calc base'!M239)*('Calc base'!$C$17:$N$17&lt;'Calc base'!H$17)))))</f>
        <v>0</v>
      </c>
      <c r="AN239">
        <f>IF('Calc base'!I$14=0,0,MIN(AB239,MAX(0,$E239-SUMPRODUCT($V239:$AG239,'Calc base'!$C$14:$N$14,('Calc base'!$H239:$S239&gt;'Calc base'!N239)+('Calc base'!$H239:$S239='Calc base'!N239)*('Calc base'!$C$17:$N$17&lt;'Calc base'!I$17)))))</f>
        <v>0</v>
      </c>
      <c r="AO239">
        <f>IF('Calc base'!J$14=0,0,MIN(AC239,MAX(0,$E239-SUMPRODUCT($V239:$AG239,'Calc base'!$C$14:$N$14,('Calc base'!$H239:$S239&gt;'Calc base'!O239)+('Calc base'!$H239:$S239='Calc base'!O239)*('Calc base'!$C$17:$N$17&lt;'Calc base'!J$17)))))</f>
        <v>0</v>
      </c>
      <c r="AP239">
        <f>IF('Calc base'!K$14=0,0,MIN(AD239,MAX(0,$E239-SUMPRODUCT($V239:$AG239,'Calc base'!$C$14:$N$14,('Calc base'!$H239:$S239&gt;'Calc base'!P239)+('Calc base'!$H239:$S239='Calc base'!P239)*('Calc base'!$C$17:$N$17&lt;'Calc base'!K$17)))))</f>
        <v>0</v>
      </c>
      <c r="AQ239">
        <f>IF('Calc base'!L$14=0,0,MIN(AE239,MAX(0,$E239-SUMPRODUCT($V239:$AG239,'Calc base'!$C$14:$N$14,('Calc base'!$H239:$S239&gt;'Calc base'!Q239)+('Calc base'!$H239:$S239='Calc base'!Q239)*('Calc base'!$C$17:$N$17&lt;'Calc base'!L$17)))))</f>
        <v>0</v>
      </c>
      <c r="AR239">
        <f>IF('Calc base'!M$14=0,0,MIN(AF239,MAX(0,$E239-SUMPRODUCT($V239:$AG239,'Calc base'!$C$14:$N$14,('Calc base'!$H239:$S239&gt;'Calc base'!R239)+('Calc base'!$H239:$S239='Calc base'!R239)*('Calc base'!$C$17:$N$17&lt;'Calc base'!M$17)))))</f>
        <v>0</v>
      </c>
      <c r="AS239">
        <f>IF('Calc base'!N$14=0,0,MIN(AG239,MAX(0,$E239-SUMPRODUCT($V239:$AG239,'Calc base'!$C$14:$N$14,('Calc base'!$H239:$S239&gt;'Calc base'!S239)+('Calc base'!$H239:$S239='Calc base'!S239)*('Calc base'!$C$17:$N$17&lt;'Calc base'!N$17)))))</f>
        <v>0</v>
      </c>
      <c r="AT239">
        <f>V239-AH239</f>
        <v>0</v>
      </c>
      <c r="AU239">
        <f>W239-AI239</f>
        <v>0</v>
      </c>
      <c r="AV239">
        <f>X239-AJ239</f>
        <v>0</v>
      </c>
      <c r="AW239">
        <f>Y239-AK239</f>
        <v>0</v>
      </c>
      <c r="AX239">
        <f>Z239-AL239</f>
        <v>0</v>
      </c>
      <c r="AY239">
        <f>AA239-AM239</f>
        <v>0</v>
      </c>
      <c r="AZ239">
        <f>AB239-AN239</f>
        <v>0</v>
      </c>
      <c r="BA239">
        <f>AC239-AO239</f>
        <v>0</v>
      </c>
      <c r="BB239">
        <f>AD239-AP239</f>
        <v>0</v>
      </c>
      <c r="BC239">
        <f>AE239-AQ239</f>
        <v>0</v>
      </c>
      <c r="BD239">
        <f>AF239-AR239</f>
        <v>0</v>
      </c>
      <c r="BE239">
        <f>AG239-AS239</f>
        <v>0</v>
      </c>
    </row>
    <row r="240">
      <c r="A240" t="n">
        <v>210</v>
      </c>
      <c r="B240">
        <f>SUMPRODUCT(ROUND($AT239:$BE239*(1+'Calc base'!$H240:$S240),2))</f>
        <v>0</v>
      </c>
      <c r="C240">
        <f>SUM(J240:U240)</f>
        <v>0</v>
      </c>
      <c r="D240">
        <f>SUM(V240:AG240)</f>
        <v>0</v>
      </c>
      <c r="E240">
        <f>MAX(0,IF(Impostazioni!$B$7="No",'Calc base'!$C240-$C$31,'Calc base'!$C240-C240)+'Calc base'!$G240+'Calc base'!$F240-(B240-C240-D240))</f>
        <v>900</v>
      </c>
      <c r="F240">
        <f>SUM(AH240:AS240)</f>
        <v>0</v>
      </c>
      <c r="G240">
        <f>SUM(AT240:BE240)</f>
        <v>0</v>
      </c>
      <c r="H240">
        <f>B240-G239</f>
        <v>0</v>
      </c>
      <c r="I240">
        <f>B240-G240</f>
        <v>0</v>
      </c>
      <c r="J240">
        <f>IF(AT239&lt;=0,0,IF(ROUND(AT239*(1+'Calc base'!H240),2)-MAX('Calc base'!C$12,ROUND('Calc base'!C$13*AT239,2))&lt;1,ROUND(AT239*(1+'Calc base'!H240),2),MAX('Calc base'!C$12,ROUND('Calc base'!C$13*AT239,2))))</f>
        <v>0</v>
      </c>
      <c r="K240">
        <f>IF(AU239&lt;=0,0,IF(ROUND(AU239*(1+'Calc base'!I240),2)-MAX('Calc base'!D$12,ROUND('Calc base'!D$13*AU239,2))&lt;1,ROUND(AU239*(1+'Calc base'!I240),2),MAX('Calc base'!D$12,ROUND('Calc base'!D$13*AU239,2))))</f>
        <v>0</v>
      </c>
      <c r="L240">
        <f>IF(AV239&lt;=0,0,IF(ROUND(AV239*(1+'Calc base'!J240),2)-MAX('Calc base'!E$12,ROUND('Calc base'!E$13*AV239,2))&lt;1,ROUND(AV239*(1+'Calc base'!J240),2),MAX('Calc base'!E$12,ROUND('Calc base'!E$13*AV239,2))))</f>
        <v>0</v>
      </c>
      <c r="M240">
        <f>IF(AW239&lt;=0,0,IF(ROUND(AW239*(1+'Calc base'!K240),2)-MAX('Calc base'!F$12,ROUND('Calc base'!F$13*AW239,2))&lt;1,ROUND(AW239*(1+'Calc base'!K240),2),MAX('Calc base'!F$12,ROUND('Calc base'!F$13*AW239,2))))</f>
        <v>0</v>
      </c>
      <c r="N240">
        <f>IF(AX239&lt;=0,0,IF(ROUND(AX239*(1+'Calc base'!L240),2)-MAX('Calc base'!G$12,ROUND('Calc base'!G$13*AX239,2))&lt;1,ROUND(AX239*(1+'Calc base'!L240),2),MAX('Calc base'!G$12,ROUND('Calc base'!G$13*AX239,2))))</f>
        <v>0</v>
      </c>
      <c r="O240">
        <f>IF(AY239&lt;=0,0,IF(ROUND(AY239*(1+'Calc base'!M240),2)-MAX('Calc base'!H$12,ROUND('Calc base'!H$13*AY239,2))&lt;1,ROUND(AY239*(1+'Calc base'!M240),2),MAX('Calc base'!H$12,ROUND('Calc base'!H$13*AY239,2))))</f>
        <v>0</v>
      </c>
      <c r="P240">
        <f>IF(AZ239&lt;=0,0,IF(ROUND(AZ239*(1+'Calc base'!N240),2)-MAX('Calc base'!I$12,ROUND('Calc base'!I$13*AZ239,2))&lt;1,ROUND(AZ239*(1+'Calc base'!N240),2),MAX('Calc base'!I$12,ROUND('Calc base'!I$13*AZ239,2))))</f>
        <v>0</v>
      </c>
      <c r="Q240">
        <f>IF(BA239&lt;=0,0,IF(ROUND(BA239*(1+'Calc base'!O240),2)-MAX('Calc base'!J$12,ROUND('Calc base'!J$13*BA239,2))&lt;1,ROUND(BA239*(1+'Calc base'!O240),2),MAX('Calc base'!J$12,ROUND('Calc base'!J$13*BA239,2))))</f>
        <v>0</v>
      </c>
      <c r="R240">
        <f>IF(BB239&lt;=0,0,IF(ROUND(BB239*(1+'Calc base'!P240),2)-MAX('Calc base'!K$12,ROUND('Calc base'!K$13*BB239,2))&lt;1,ROUND(BB239*(1+'Calc base'!P240),2),MAX('Calc base'!K$12,ROUND('Calc base'!K$13*BB239,2))))</f>
        <v>0</v>
      </c>
      <c r="S240">
        <f>IF(BC239&lt;=0,0,IF(ROUND(BC239*(1+'Calc base'!Q240),2)-MAX('Calc base'!L$12,ROUND('Calc base'!L$13*BC239,2))&lt;1,ROUND(BC239*(1+'Calc base'!Q240),2),MAX('Calc base'!L$12,ROUND('Calc base'!L$13*BC239,2))))</f>
        <v>0</v>
      </c>
      <c r="T240">
        <f>IF(BD239&lt;=0,0,IF(ROUND(BD239*(1+'Calc base'!R240),2)-MAX('Calc base'!M$12,ROUND('Calc base'!M$13*BD239,2))&lt;1,ROUND(BD239*(1+'Calc base'!R240),2),MAX('Calc base'!M$12,ROUND('Calc base'!M$13*BD239,2))))</f>
        <v>0</v>
      </c>
      <c r="U240">
        <f>IF(BE239&lt;=0,0,IF(ROUND(BE239*(1+'Calc base'!S240),2)-MAX('Calc base'!N$12,ROUND('Calc base'!N$13*BE239,2))&lt;1,ROUND(BE239*(1+'Calc base'!S240),2),MAX('Calc base'!N$12,ROUND('Calc base'!N$13*BE239,2))))</f>
        <v>0</v>
      </c>
      <c r="V240">
        <f>MAX(0,ROUND(AT239*(1+'Calc base'!H240),2)-J240-'Calc base'!T240)</f>
        <v>0</v>
      </c>
      <c r="W240">
        <f>MAX(0,ROUND(AU239*(1+'Calc base'!I240),2)-K240-'Calc base'!U240)</f>
        <v>0</v>
      </c>
      <c r="X240">
        <f>MAX(0,ROUND(AV239*(1+'Calc base'!J240),2)-L240-'Calc base'!V240)</f>
        <v>0</v>
      </c>
      <c r="Y240">
        <f>MAX(0,ROUND(AW239*(1+'Calc base'!K240),2)-M240-'Calc base'!W240)</f>
        <v>0</v>
      </c>
      <c r="Z240">
        <f>MAX(0,ROUND(AX239*(1+'Calc base'!L240),2)-N240-'Calc base'!X240)</f>
        <v>0</v>
      </c>
      <c r="AA240">
        <f>MAX(0,ROUND(AY239*(1+'Calc base'!M240),2)-O240-'Calc base'!Y240)</f>
        <v>0</v>
      </c>
      <c r="AB240">
        <f>MAX(0,ROUND(AZ239*(1+'Calc base'!N240),2)-P240-'Calc base'!Z240)</f>
        <v>0</v>
      </c>
      <c r="AC240">
        <f>MAX(0,ROUND(BA239*(1+'Calc base'!O240),2)-Q240-'Calc base'!AA240)</f>
        <v>0</v>
      </c>
      <c r="AD240">
        <f>MAX(0,ROUND(BB239*(1+'Calc base'!P240),2)-R240-'Calc base'!AB240)</f>
        <v>0</v>
      </c>
      <c r="AE240">
        <f>MAX(0,ROUND(BC239*(1+'Calc base'!Q240),2)-S240-'Calc base'!AC240)</f>
        <v>0</v>
      </c>
      <c r="AF240">
        <f>MAX(0,ROUND(BD239*(1+'Calc base'!R240),2)-T240-'Calc base'!AD240)</f>
        <v>0</v>
      </c>
      <c r="AG240">
        <f>MAX(0,ROUND(BE239*(1+'Calc base'!S240),2)-U240-'Calc base'!AE240)</f>
        <v>0</v>
      </c>
      <c r="AH240">
        <f>IF('Calc base'!C$14=0,0,MIN(V240,MAX(0,$E240-SUMPRODUCT($V240:$AG240,'Calc base'!$C$14:$N$14,('Calc base'!$H240:$S240&gt;'Calc base'!H240)+('Calc base'!$H240:$S240='Calc base'!H240)*('Calc base'!$C$17:$N$17&lt;'Calc base'!C$17)))))</f>
        <v>0</v>
      </c>
      <c r="AI240">
        <f>IF('Calc base'!D$14=0,0,MIN(W240,MAX(0,$E240-SUMPRODUCT($V240:$AG240,'Calc base'!$C$14:$N$14,('Calc base'!$H240:$S240&gt;'Calc base'!I240)+('Calc base'!$H240:$S240='Calc base'!I240)*('Calc base'!$C$17:$N$17&lt;'Calc base'!D$17)))))</f>
        <v>0</v>
      </c>
      <c r="AJ240">
        <f>IF('Calc base'!E$14=0,0,MIN(X240,MAX(0,$E240-SUMPRODUCT($V240:$AG240,'Calc base'!$C$14:$N$14,('Calc base'!$H240:$S240&gt;'Calc base'!J240)+('Calc base'!$H240:$S240='Calc base'!J240)*('Calc base'!$C$17:$N$17&lt;'Calc base'!E$17)))))</f>
        <v>0</v>
      </c>
      <c r="AK240">
        <f>IF('Calc base'!F$14=0,0,MIN(Y240,MAX(0,$E240-SUMPRODUCT($V240:$AG240,'Calc base'!$C$14:$N$14,('Calc base'!$H240:$S240&gt;'Calc base'!K240)+('Calc base'!$H240:$S240='Calc base'!K240)*('Calc base'!$C$17:$N$17&lt;'Calc base'!F$17)))))</f>
        <v>0</v>
      </c>
      <c r="AL240">
        <f>IF('Calc base'!G$14=0,0,MIN(Z240,MAX(0,$E240-SUMPRODUCT($V240:$AG240,'Calc base'!$C$14:$N$14,('Calc base'!$H240:$S240&gt;'Calc base'!L240)+('Calc base'!$H240:$S240='Calc base'!L240)*('Calc base'!$C$17:$N$17&lt;'Calc base'!G$17)))))</f>
        <v>0</v>
      </c>
      <c r="AM240">
        <f>IF('Calc base'!H$14=0,0,MIN(AA240,MAX(0,$E240-SUMPRODUCT($V240:$AG240,'Calc base'!$C$14:$N$14,('Calc base'!$H240:$S240&gt;'Calc base'!M240)+('Calc base'!$H240:$S240='Calc base'!M240)*('Calc base'!$C$17:$N$17&lt;'Calc base'!H$17)))))</f>
        <v>0</v>
      </c>
      <c r="AN240">
        <f>IF('Calc base'!I$14=0,0,MIN(AB240,MAX(0,$E240-SUMPRODUCT($V240:$AG240,'Calc base'!$C$14:$N$14,('Calc base'!$H240:$S240&gt;'Calc base'!N240)+('Calc base'!$H240:$S240='Calc base'!N240)*('Calc base'!$C$17:$N$17&lt;'Calc base'!I$17)))))</f>
        <v>0</v>
      </c>
      <c r="AO240">
        <f>IF('Calc base'!J$14=0,0,MIN(AC240,MAX(0,$E240-SUMPRODUCT($V240:$AG240,'Calc base'!$C$14:$N$14,('Calc base'!$H240:$S240&gt;'Calc base'!O240)+('Calc base'!$H240:$S240='Calc base'!O240)*('Calc base'!$C$17:$N$17&lt;'Calc base'!J$17)))))</f>
        <v>0</v>
      </c>
      <c r="AP240">
        <f>IF('Calc base'!K$14=0,0,MIN(AD240,MAX(0,$E240-SUMPRODUCT($V240:$AG240,'Calc base'!$C$14:$N$14,('Calc base'!$H240:$S240&gt;'Calc base'!P240)+('Calc base'!$H240:$S240='Calc base'!P240)*('Calc base'!$C$17:$N$17&lt;'Calc base'!K$17)))))</f>
        <v>0</v>
      </c>
      <c r="AQ240">
        <f>IF('Calc base'!L$14=0,0,MIN(AE240,MAX(0,$E240-SUMPRODUCT($V240:$AG240,'Calc base'!$C$14:$N$14,('Calc base'!$H240:$S240&gt;'Calc base'!Q240)+('Calc base'!$H240:$S240='Calc base'!Q240)*('Calc base'!$C$17:$N$17&lt;'Calc base'!L$17)))))</f>
        <v>0</v>
      </c>
      <c r="AR240">
        <f>IF('Calc base'!M$14=0,0,MIN(AF240,MAX(0,$E240-SUMPRODUCT($V240:$AG240,'Calc base'!$C$14:$N$14,('Calc base'!$H240:$S240&gt;'Calc base'!R240)+('Calc base'!$H240:$S240='Calc base'!R240)*('Calc base'!$C$17:$N$17&lt;'Calc base'!M$17)))))</f>
        <v>0</v>
      </c>
      <c r="AS240">
        <f>IF('Calc base'!N$14=0,0,MIN(AG240,MAX(0,$E240-SUMPRODUCT($V240:$AG240,'Calc base'!$C$14:$N$14,('Calc base'!$H240:$S240&gt;'Calc base'!S240)+('Calc base'!$H240:$S240='Calc base'!S240)*('Calc base'!$C$17:$N$17&lt;'Calc base'!N$17)))))</f>
        <v>0</v>
      </c>
      <c r="AT240">
        <f>V240-AH240</f>
        <v>0</v>
      </c>
      <c r="AU240">
        <f>W240-AI240</f>
        <v>0</v>
      </c>
      <c r="AV240">
        <f>X240-AJ240</f>
        <v>0</v>
      </c>
      <c r="AW240">
        <f>Y240-AK240</f>
        <v>0</v>
      </c>
      <c r="AX240">
        <f>Z240-AL240</f>
        <v>0</v>
      </c>
      <c r="AY240">
        <f>AA240-AM240</f>
        <v>0</v>
      </c>
      <c r="AZ240">
        <f>AB240-AN240</f>
        <v>0</v>
      </c>
      <c r="BA240">
        <f>AC240-AO240</f>
        <v>0</v>
      </c>
      <c r="BB240">
        <f>AD240-AP240</f>
        <v>0</v>
      </c>
      <c r="BC240">
        <f>AE240-AQ240</f>
        <v>0</v>
      </c>
      <c r="BD240">
        <f>AF240-AR240</f>
        <v>0</v>
      </c>
      <c r="BE240">
        <f>AG240-AS240</f>
        <v>0</v>
      </c>
    </row>
    <row r="241">
      <c r="A241" t="n">
        <v>211</v>
      </c>
      <c r="B241">
        <f>SUMPRODUCT(ROUND($AT240:$BE240*(1+'Calc base'!$H241:$S241),2))</f>
        <v>0</v>
      </c>
      <c r="C241">
        <f>SUM(J241:U241)</f>
        <v>0</v>
      </c>
      <c r="D241">
        <f>SUM(V241:AG241)</f>
        <v>0</v>
      </c>
      <c r="E241">
        <f>MAX(0,IF(Impostazioni!$B$7="No",'Calc base'!$C241-$C$31,'Calc base'!$C241-C241)+'Calc base'!$G241+'Calc base'!$F241-(B241-C241-D241))</f>
        <v>900</v>
      </c>
      <c r="F241">
        <f>SUM(AH241:AS241)</f>
        <v>0</v>
      </c>
      <c r="G241">
        <f>SUM(AT241:BE241)</f>
        <v>0</v>
      </c>
      <c r="H241">
        <f>B241-G240</f>
        <v>0</v>
      </c>
      <c r="I241">
        <f>B241-G241</f>
        <v>0</v>
      </c>
      <c r="J241">
        <f>IF(AT240&lt;=0,0,IF(ROUND(AT240*(1+'Calc base'!H241),2)-MAX('Calc base'!C$12,ROUND('Calc base'!C$13*AT240,2))&lt;1,ROUND(AT240*(1+'Calc base'!H241),2),MAX('Calc base'!C$12,ROUND('Calc base'!C$13*AT240,2))))</f>
        <v>0</v>
      </c>
      <c r="K241">
        <f>IF(AU240&lt;=0,0,IF(ROUND(AU240*(1+'Calc base'!I241),2)-MAX('Calc base'!D$12,ROUND('Calc base'!D$13*AU240,2))&lt;1,ROUND(AU240*(1+'Calc base'!I241),2),MAX('Calc base'!D$12,ROUND('Calc base'!D$13*AU240,2))))</f>
        <v>0</v>
      </c>
      <c r="L241">
        <f>IF(AV240&lt;=0,0,IF(ROUND(AV240*(1+'Calc base'!J241),2)-MAX('Calc base'!E$12,ROUND('Calc base'!E$13*AV240,2))&lt;1,ROUND(AV240*(1+'Calc base'!J241),2),MAX('Calc base'!E$12,ROUND('Calc base'!E$13*AV240,2))))</f>
        <v>0</v>
      </c>
      <c r="M241">
        <f>IF(AW240&lt;=0,0,IF(ROUND(AW240*(1+'Calc base'!K241),2)-MAX('Calc base'!F$12,ROUND('Calc base'!F$13*AW240,2))&lt;1,ROUND(AW240*(1+'Calc base'!K241),2),MAX('Calc base'!F$12,ROUND('Calc base'!F$13*AW240,2))))</f>
        <v>0</v>
      </c>
      <c r="N241">
        <f>IF(AX240&lt;=0,0,IF(ROUND(AX240*(1+'Calc base'!L241),2)-MAX('Calc base'!G$12,ROUND('Calc base'!G$13*AX240,2))&lt;1,ROUND(AX240*(1+'Calc base'!L241),2),MAX('Calc base'!G$12,ROUND('Calc base'!G$13*AX240,2))))</f>
        <v>0</v>
      </c>
      <c r="O241">
        <f>IF(AY240&lt;=0,0,IF(ROUND(AY240*(1+'Calc base'!M241),2)-MAX('Calc base'!H$12,ROUND('Calc base'!H$13*AY240,2))&lt;1,ROUND(AY240*(1+'Calc base'!M241),2),MAX('Calc base'!H$12,ROUND('Calc base'!H$13*AY240,2))))</f>
        <v>0</v>
      </c>
      <c r="P241">
        <f>IF(AZ240&lt;=0,0,IF(ROUND(AZ240*(1+'Calc base'!N241),2)-MAX('Calc base'!I$12,ROUND('Calc base'!I$13*AZ240,2))&lt;1,ROUND(AZ240*(1+'Calc base'!N241),2),MAX('Calc base'!I$12,ROUND('Calc base'!I$13*AZ240,2))))</f>
        <v>0</v>
      </c>
      <c r="Q241">
        <f>IF(BA240&lt;=0,0,IF(ROUND(BA240*(1+'Calc base'!O241),2)-MAX('Calc base'!J$12,ROUND('Calc base'!J$13*BA240,2))&lt;1,ROUND(BA240*(1+'Calc base'!O241),2),MAX('Calc base'!J$12,ROUND('Calc base'!J$13*BA240,2))))</f>
        <v>0</v>
      </c>
      <c r="R241">
        <f>IF(BB240&lt;=0,0,IF(ROUND(BB240*(1+'Calc base'!P241),2)-MAX('Calc base'!K$12,ROUND('Calc base'!K$13*BB240,2))&lt;1,ROUND(BB240*(1+'Calc base'!P241),2),MAX('Calc base'!K$12,ROUND('Calc base'!K$13*BB240,2))))</f>
        <v>0</v>
      </c>
      <c r="S241">
        <f>IF(BC240&lt;=0,0,IF(ROUND(BC240*(1+'Calc base'!Q241),2)-MAX('Calc base'!L$12,ROUND('Calc base'!L$13*BC240,2))&lt;1,ROUND(BC240*(1+'Calc base'!Q241),2),MAX('Calc base'!L$12,ROUND('Calc base'!L$13*BC240,2))))</f>
        <v>0</v>
      </c>
      <c r="T241">
        <f>IF(BD240&lt;=0,0,IF(ROUND(BD240*(1+'Calc base'!R241),2)-MAX('Calc base'!M$12,ROUND('Calc base'!M$13*BD240,2))&lt;1,ROUND(BD240*(1+'Calc base'!R241),2),MAX('Calc base'!M$12,ROUND('Calc base'!M$13*BD240,2))))</f>
        <v>0</v>
      </c>
      <c r="U241">
        <f>IF(BE240&lt;=0,0,IF(ROUND(BE240*(1+'Calc base'!S241),2)-MAX('Calc base'!N$12,ROUND('Calc base'!N$13*BE240,2))&lt;1,ROUND(BE240*(1+'Calc base'!S241),2),MAX('Calc base'!N$12,ROUND('Calc base'!N$13*BE240,2))))</f>
        <v>0</v>
      </c>
      <c r="V241">
        <f>MAX(0,ROUND(AT240*(1+'Calc base'!H241),2)-J241-'Calc base'!T241)</f>
        <v>0</v>
      </c>
      <c r="W241">
        <f>MAX(0,ROUND(AU240*(1+'Calc base'!I241),2)-K241-'Calc base'!U241)</f>
        <v>0</v>
      </c>
      <c r="X241">
        <f>MAX(0,ROUND(AV240*(1+'Calc base'!J241),2)-L241-'Calc base'!V241)</f>
        <v>0</v>
      </c>
      <c r="Y241">
        <f>MAX(0,ROUND(AW240*(1+'Calc base'!K241),2)-M241-'Calc base'!W241)</f>
        <v>0</v>
      </c>
      <c r="Z241">
        <f>MAX(0,ROUND(AX240*(1+'Calc base'!L241),2)-N241-'Calc base'!X241)</f>
        <v>0</v>
      </c>
      <c r="AA241">
        <f>MAX(0,ROUND(AY240*(1+'Calc base'!M241),2)-O241-'Calc base'!Y241)</f>
        <v>0</v>
      </c>
      <c r="AB241">
        <f>MAX(0,ROUND(AZ240*(1+'Calc base'!N241),2)-P241-'Calc base'!Z241)</f>
        <v>0</v>
      </c>
      <c r="AC241">
        <f>MAX(0,ROUND(BA240*(1+'Calc base'!O241),2)-Q241-'Calc base'!AA241)</f>
        <v>0</v>
      </c>
      <c r="AD241">
        <f>MAX(0,ROUND(BB240*(1+'Calc base'!P241),2)-R241-'Calc base'!AB241)</f>
        <v>0</v>
      </c>
      <c r="AE241">
        <f>MAX(0,ROUND(BC240*(1+'Calc base'!Q241),2)-S241-'Calc base'!AC241)</f>
        <v>0</v>
      </c>
      <c r="AF241">
        <f>MAX(0,ROUND(BD240*(1+'Calc base'!R241),2)-T241-'Calc base'!AD241)</f>
        <v>0</v>
      </c>
      <c r="AG241">
        <f>MAX(0,ROUND(BE240*(1+'Calc base'!S241),2)-U241-'Calc base'!AE241)</f>
        <v>0</v>
      </c>
      <c r="AH241">
        <f>IF('Calc base'!C$14=0,0,MIN(V241,MAX(0,$E241-SUMPRODUCT($V241:$AG241,'Calc base'!$C$14:$N$14,('Calc base'!$H241:$S241&gt;'Calc base'!H241)+('Calc base'!$H241:$S241='Calc base'!H241)*('Calc base'!$C$17:$N$17&lt;'Calc base'!C$17)))))</f>
        <v>0</v>
      </c>
      <c r="AI241">
        <f>IF('Calc base'!D$14=0,0,MIN(W241,MAX(0,$E241-SUMPRODUCT($V241:$AG241,'Calc base'!$C$14:$N$14,('Calc base'!$H241:$S241&gt;'Calc base'!I241)+('Calc base'!$H241:$S241='Calc base'!I241)*('Calc base'!$C$17:$N$17&lt;'Calc base'!D$17)))))</f>
        <v>0</v>
      </c>
      <c r="AJ241">
        <f>IF('Calc base'!E$14=0,0,MIN(X241,MAX(0,$E241-SUMPRODUCT($V241:$AG241,'Calc base'!$C$14:$N$14,('Calc base'!$H241:$S241&gt;'Calc base'!J241)+('Calc base'!$H241:$S241='Calc base'!J241)*('Calc base'!$C$17:$N$17&lt;'Calc base'!E$17)))))</f>
        <v>0</v>
      </c>
      <c r="AK241">
        <f>IF('Calc base'!F$14=0,0,MIN(Y241,MAX(0,$E241-SUMPRODUCT($V241:$AG241,'Calc base'!$C$14:$N$14,('Calc base'!$H241:$S241&gt;'Calc base'!K241)+('Calc base'!$H241:$S241='Calc base'!K241)*('Calc base'!$C$17:$N$17&lt;'Calc base'!F$17)))))</f>
        <v>0</v>
      </c>
      <c r="AL241">
        <f>IF('Calc base'!G$14=0,0,MIN(Z241,MAX(0,$E241-SUMPRODUCT($V241:$AG241,'Calc base'!$C$14:$N$14,('Calc base'!$H241:$S241&gt;'Calc base'!L241)+('Calc base'!$H241:$S241='Calc base'!L241)*('Calc base'!$C$17:$N$17&lt;'Calc base'!G$17)))))</f>
        <v>0</v>
      </c>
      <c r="AM241">
        <f>IF('Calc base'!H$14=0,0,MIN(AA241,MAX(0,$E241-SUMPRODUCT($V241:$AG241,'Calc base'!$C$14:$N$14,('Calc base'!$H241:$S241&gt;'Calc base'!M241)+('Calc base'!$H241:$S241='Calc base'!M241)*('Calc base'!$C$17:$N$17&lt;'Calc base'!H$17)))))</f>
        <v>0</v>
      </c>
      <c r="AN241">
        <f>IF('Calc base'!I$14=0,0,MIN(AB241,MAX(0,$E241-SUMPRODUCT($V241:$AG241,'Calc base'!$C$14:$N$14,('Calc base'!$H241:$S241&gt;'Calc base'!N241)+('Calc base'!$H241:$S241='Calc base'!N241)*('Calc base'!$C$17:$N$17&lt;'Calc base'!I$17)))))</f>
        <v>0</v>
      </c>
      <c r="AO241">
        <f>IF('Calc base'!J$14=0,0,MIN(AC241,MAX(0,$E241-SUMPRODUCT($V241:$AG241,'Calc base'!$C$14:$N$14,('Calc base'!$H241:$S241&gt;'Calc base'!O241)+('Calc base'!$H241:$S241='Calc base'!O241)*('Calc base'!$C$17:$N$17&lt;'Calc base'!J$17)))))</f>
        <v>0</v>
      </c>
      <c r="AP241">
        <f>IF('Calc base'!K$14=0,0,MIN(AD241,MAX(0,$E241-SUMPRODUCT($V241:$AG241,'Calc base'!$C$14:$N$14,('Calc base'!$H241:$S241&gt;'Calc base'!P241)+('Calc base'!$H241:$S241='Calc base'!P241)*('Calc base'!$C$17:$N$17&lt;'Calc base'!K$17)))))</f>
        <v>0</v>
      </c>
      <c r="AQ241">
        <f>IF('Calc base'!L$14=0,0,MIN(AE241,MAX(0,$E241-SUMPRODUCT($V241:$AG241,'Calc base'!$C$14:$N$14,('Calc base'!$H241:$S241&gt;'Calc base'!Q241)+('Calc base'!$H241:$S241='Calc base'!Q241)*('Calc base'!$C$17:$N$17&lt;'Calc base'!L$17)))))</f>
        <v>0</v>
      </c>
      <c r="AR241">
        <f>IF('Calc base'!M$14=0,0,MIN(AF241,MAX(0,$E241-SUMPRODUCT($V241:$AG241,'Calc base'!$C$14:$N$14,('Calc base'!$H241:$S241&gt;'Calc base'!R241)+('Calc base'!$H241:$S241='Calc base'!R241)*('Calc base'!$C$17:$N$17&lt;'Calc base'!M$17)))))</f>
        <v>0</v>
      </c>
      <c r="AS241">
        <f>IF('Calc base'!N$14=0,0,MIN(AG241,MAX(0,$E241-SUMPRODUCT($V241:$AG241,'Calc base'!$C$14:$N$14,('Calc base'!$H241:$S241&gt;'Calc base'!S241)+('Calc base'!$H241:$S241='Calc base'!S241)*('Calc base'!$C$17:$N$17&lt;'Calc base'!N$17)))))</f>
        <v>0</v>
      </c>
      <c r="AT241">
        <f>V241-AH241</f>
        <v>0</v>
      </c>
      <c r="AU241">
        <f>W241-AI241</f>
        <v>0</v>
      </c>
      <c r="AV241">
        <f>X241-AJ241</f>
        <v>0</v>
      </c>
      <c r="AW241">
        <f>Y241-AK241</f>
        <v>0</v>
      </c>
      <c r="AX241">
        <f>Z241-AL241</f>
        <v>0</v>
      </c>
      <c r="AY241">
        <f>AA241-AM241</f>
        <v>0</v>
      </c>
      <c r="AZ241">
        <f>AB241-AN241</f>
        <v>0</v>
      </c>
      <c r="BA241">
        <f>AC241-AO241</f>
        <v>0</v>
      </c>
      <c r="BB241">
        <f>AD241-AP241</f>
        <v>0</v>
      </c>
      <c r="BC241">
        <f>AE241-AQ241</f>
        <v>0</v>
      </c>
      <c r="BD241">
        <f>AF241-AR241</f>
        <v>0</v>
      </c>
      <c r="BE241">
        <f>AG241-AS241</f>
        <v>0</v>
      </c>
    </row>
    <row r="242">
      <c r="A242" t="n">
        <v>212</v>
      </c>
      <c r="B242">
        <f>SUMPRODUCT(ROUND($AT241:$BE241*(1+'Calc base'!$H242:$S242),2))</f>
        <v>0</v>
      </c>
      <c r="C242">
        <f>SUM(J242:U242)</f>
        <v>0</v>
      </c>
      <c r="D242">
        <f>SUM(V242:AG242)</f>
        <v>0</v>
      </c>
      <c r="E242">
        <f>MAX(0,IF(Impostazioni!$B$7="No",'Calc base'!$C242-$C$31,'Calc base'!$C242-C242)+'Calc base'!$G242+'Calc base'!$F242-(B242-C242-D242))</f>
        <v>900</v>
      </c>
      <c r="F242">
        <f>SUM(AH242:AS242)</f>
        <v>0</v>
      </c>
      <c r="G242">
        <f>SUM(AT242:BE242)</f>
        <v>0</v>
      </c>
      <c r="H242">
        <f>B242-G241</f>
        <v>0</v>
      </c>
      <c r="I242">
        <f>B242-G242</f>
        <v>0</v>
      </c>
      <c r="J242">
        <f>IF(AT241&lt;=0,0,IF(ROUND(AT241*(1+'Calc base'!H242),2)-MAX('Calc base'!C$12,ROUND('Calc base'!C$13*AT241,2))&lt;1,ROUND(AT241*(1+'Calc base'!H242),2),MAX('Calc base'!C$12,ROUND('Calc base'!C$13*AT241,2))))</f>
        <v>0</v>
      </c>
      <c r="K242">
        <f>IF(AU241&lt;=0,0,IF(ROUND(AU241*(1+'Calc base'!I242),2)-MAX('Calc base'!D$12,ROUND('Calc base'!D$13*AU241,2))&lt;1,ROUND(AU241*(1+'Calc base'!I242),2),MAX('Calc base'!D$12,ROUND('Calc base'!D$13*AU241,2))))</f>
        <v>0</v>
      </c>
      <c r="L242">
        <f>IF(AV241&lt;=0,0,IF(ROUND(AV241*(1+'Calc base'!J242),2)-MAX('Calc base'!E$12,ROUND('Calc base'!E$13*AV241,2))&lt;1,ROUND(AV241*(1+'Calc base'!J242),2),MAX('Calc base'!E$12,ROUND('Calc base'!E$13*AV241,2))))</f>
        <v>0</v>
      </c>
      <c r="M242">
        <f>IF(AW241&lt;=0,0,IF(ROUND(AW241*(1+'Calc base'!K242),2)-MAX('Calc base'!F$12,ROUND('Calc base'!F$13*AW241,2))&lt;1,ROUND(AW241*(1+'Calc base'!K242),2),MAX('Calc base'!F$12,ROUND('Calc base'!F$13*AW241,2))))</f>
        <v>0</v>
      </c>
      <c r="N242">
        <f>IF(AX241&lt;=0,0,IF(ROUND(AX241*(1+'Calc base'!L242),2)-MAX('Calc base'!G$12,ROUND('Calc base'!G$13*AX241,2))&lt;1,ROUND(AX241*(1+'Calc base'!L242),2),MAX('Calc base'!G$12,ROUND('Calc base'!G$13*AX241,2))))</f>
        <v>0</v>
      </c>
      <c r="O242">
        <f>IF(AY241&lt;=0,0,IF(ROUND(AY241*(1+'Calc base'!M242),2)-MAX('Calc base'!H$12,ROUND('Calc base'!H$13*AY241,2))&lt;1,ROUND(AY241*(1+'Calc base'!M242),2),MAX('Calc base'!H$12,ROUND('Calc base'!H$13*AY241,2))))</f>
        <v>0</v>
      </c>
      <c r="P242">
        <f>IF(AZ241&lt;=0,0,IF(ROUND(AZ241*(1+'Calc base'!N242),2)-MAX('Calc base'!I$12,ROUND('Calc base'!I$13*AZ241,2))&lt;1,ROUND(AZ241*(1+'Calc base'!N242),2),MAX('Calc base'!I$12,ROUND('Calc base'!I$13*AZ241,2))))</f>
        <v>0</v>
      </c>
      <c r="Q242">
        <f>IF(BA241&lt;=0,0,IF(ROUND(BA241*(1+'Calc base'!O242),2)-MAX('Calc base'!J$12,ROUND('Calc base'!J$13*BA241,2))&lt;1,ROUND(BA241*(1+'Calc base'!O242),2),MAX('Calc base'!J$12,ROUND('Calc base'!J$13*BA241,2))))</f>
        <v>0</v>
      </c>
      <c r="R242">
        <f>IF(BB241&lt;=0,0,IF(ROUND(BB241*(1+'Calc base'!P242),2)-MAX('Calc base'!K$12,ROUND('Calc base'!K$13*BB241,2))&lt;1,ROUND(BB241*(1+'Calc base'!P242),2),MAX('Calc base'!K$12,ROUND('Calc base'!K$13*BB241,2))))</f>
        <v>0</v>
      </c>
      <c r="S242">
        <f>IF(BC241&lt;=0,0,IF(ROUND(BC241*(1+'Calc base'!Q242),2)-MAX('Calc base'!L$12,ROUND('Calc base'!L$13*BC241,2))&lt;1,ROUND(BC241*(1+'Calc base'!Q242),2),MAX('Calc base'!L$12,ROUND('Calc base'!L$13*BC241,2))))</f>
        <v>0</v>
      </c>
      <c r="T242">
        <f>IF(BD241&lt;=0,0,IF(ROUND(BD241*(1+'Calc base'!R242),2)-MAX('Calc base'!M$12,ROUND('Calc base'!M$13*BD241,2))&lt;1,ROUND(BD241*(1+'Calc base'!R242),2),MAX('Calc base'!M$12,ROUND('Calc base'!M$13*BD241,2))))</f>
        <v>0</v>
      </c>
      <c r="U242">
        <f>IF(BE241&lt;=0,0,IF(ROUND(BE241*(1+'Calc base'!S242),2)-MAX('Calc base'!N$12,ROUND('Calc base'!N$13*BE241,2))&lt;1,ROUND(BE241*(1+'Calc base'!S242),2),MAX('Calc base'!N$12,ROUND('Calc base'!N$13*BE241,2))))</f>
        <v>0</v>
      </c>
      <c r="V242">
        <f>MAX(0,ROUND(AT241*(1+'Calc base'!H242),2)-J242-'Calc base'!T242)</f>
        <v>0</v>
      </c>
      <c r="W242">
        <f>MAX(0,ROUND(AU241*(1+'Calc base'!I242),2)-K242-'Calc base'!U242)</f>
        <v>0</v>
      </c>
      <c r="X242">
        <f>MAX(0,ROUND(AV241*(1+'Calc base'!J242),2)-L242-'Calc base'!V242)</f>
        <v>0</v>
      </c>
      <c r="Y242">
        <f>MAX(0,ROUND(AW241*(1+'Calc base'!K242),2)-M242-'Calc base'!W242)</f>
        <v>0</v>
      </c>
      <c r="Z242">
        <f>MAX(0,ROUND(AX241*(1+'Calc base'!L242),2)-N242-'Calc base'!X242)</f>
        <v>0</v>
      </c>
      <c r="AA242">
        <f>MAX(0,ROUND(AY241*(1+'Calc base'!M242),2)-O242-'Calc base'!Y242)</f>
        <v>0</v>
      </c>
      <c r="AB242">
        <f>MAX(0,ROUND(AZ241*(1+'Calc base'!N242),2)-P242-'Calc base'!Z242)</f>
        <v>0</v>
      </c>
      <c r="AC242">
        <f>MAX(0,ROUND(BA241*(1+'Calc base'!O242),2)-Q242-'Calc base'!AA242)</f>
        <v>0</v>
      </c>
      <c r="AD242">
        <f>MAX(0,ROUND(BB241*(1+'Calc base'!P242),2)-R242-'Calc base'!AB242)</f>
        <v>0</v>
      </c>
      <c r="AE242">
        <f>MAX(0,ROUND(BC241*(1+'Calc base'!Q242),2)-S242-'Calc base'!AC242)</f>
        <v>0</v>
      </c>
      <c r="AF242">
        <f>MAX(0,ROUND(BD241*(1+'Calc base'!R242),2)-T242-'Calc base'!AD242)</f>
        <v>0</v>
      </c>
      <c r="AG242">
        <f>MAX(0,ROUND(BE241*(1+'Calc base'!S242),2)-U242-'Calc base'!AE242)</f>
        <v>0</v>
      </c>
      <c r="AH242">
        <f>IF('Calc base'!C$14=0,0,MIN(V242,MAX(0,$E242-SUMPRODUCT($V242:$AG242,'Calc base'!$C$14:$N$14,('Calc base'!$H242:$S242&gt;'Calc base'!H242)+('Calc base'!$H242:$S242='Calc base'!H242)*('Calc base'!$C$17:$N$17&lt;'Calc base'!C$17)))))</f>
        <v>0</v>
      </c>
      <c r="AI242">
        <f>IF('Calc base'!D$14=0,0,MIN(W242,MAX(0,$E242-SUMPRODUCT($V242:$AG242,'Calc base'!$C$14:$N$14,('Calc base'!$H242:$S242&gt;'Calc base'!I242)+('Calc base'!$H242:$S242='Calc base'!I242)*('Calc base'!$C$17:$N$17&lt;'Calc base'!D$17)))))</f>
        <v>0</v>
      </c>
      <c r="AJ242">
        <f>IF('Calc base'!E$14=0,0,MIN(X242,MAX(0,$E242-SUMPRODUCT($V242:$AG242,'Calc base'!$C$14:$N$14,('Calc base'!$H242:$S242&gt;'Calc base'!J242)+('Calc base'!$H242:$S242='Calc base'!J242)*('Calc base'!$C$17:$N$17&lt;'Calc base'!E$17)))))</f>
        <v>0</v>
      </c>
      <c r="AK242">
        <f>IF('Calc base'!F$14=0,0,MIN(Y242,MAX(0,$E242-SUMPRODUCT($V242:$AG242,'Calc base'!$C$14:$N$14,('Calc base'!$H242:$S242&gt;'Calc base'!K242)+('Calc base'!$H242:$S242='Calc base'!K242)*('Calc base'!$C$17:$N$17&lt;'Calc base'!F$17)))))</f>
        <v>0</v>
      </c>
      <c r="AL242">
        <f>IF('Calc base'!G$14=0,0,MIN(Z242,MAX(0,$E242-SUMPRODUCT($V242:$AG242,'Calc base'!$C$14:$N$14,('Calc base'!$H242:$S242&gt;'Calc base'!L242)+('Calc base'!$H242:$S242='Calc base'!L242)*('Calc base'!$C$17:$N$17&lt;'Calc base'!G$17)))))</f>
        <v>0</v>
      </c>
      <c r="AM242">
        <f>IF('Calc base'!H$14=0,0,MIN(AA242,MAX(0,$E242-SUMPRODUCT($V242:$AG242,'Calc base'!$C$14:$N$14,('Calc base'!$H242:$S242&gt;'Calc base'!M242)+('Calc base'!$H242:$S242='Calc base'!M242)*('Calc base'!$C$17:$N$17&lt;'Calc base'!H$17)))))</f>
        <v>0</v>
      </c>
      <c r="AN242">
        <f>IF('Calc base'!I$14=0,0,MIN(AB242,MAX(0,$E242-SUMPRODUCT($V242:$AG242,'Calc base'!$C$14:$N$14,('Calc base'!$H242:$S242&gt;'Calc base'!N242)+('Calc base'!$H242:$S242='Calc base'!N242)*('Calc base'!$C$17:$N$17&lt;'Calc base'!I$17)))))</f>
        <v>0</v>
      </c>
      <c r="AO242">
        <f>IF('Calc base'!J$14=0,0,MIN(AC242,MAX(0,$E242-SUMPRODUCT($V242:$AG242,'Calc base'!$C$14:$N$14,('Calc base'!$H242:$S242&gt;'Calc base'!O242)+('Calc base'!$H242:$S242='Calc base'!O242)*('Calc base'!$C$17:$N$17&lt;'Calc base'!J$17)))))</f>
        <v>0</v>
      </c>
      <c r="AP242">
        <f>IF('Calc base'!K$14=0,0,MIN(AD242,MAX(0,$E242-SUMPRODUCT($V242:$AG242,'Calc base'!$C$14:$N$14,('Calc base'!$H242:$S242&gt;'Calc base'!P242)+('Calc base'!$H242:$S242='Calc base'!P242)*('Calc base'!$C$17:$N$17&lt;'Calc base'!K$17)))))</f>
        <v>0</v>
      </c>
      <c r="AQ242">
        <f>IF('Calc base'!L$14=0,0,MIN(AE242,MAX(0,$E242-SUMPRODUCT($V242:$AG242,'Calc base'!$C$14:$N$14,('Calc base'!$H242:$S242&gt;'Calc base'!Q242)+('Calc base'!$H242:$S242='Calc base'!Q242)*('Calc base'!$C$17:$N$17&lt;'Calc base'!L$17)))))</f>
        <v>0</v>
      </c>
      <c r="AR242">
        <f>IF('Calc base'!M$14=0,0,MIN(AF242,MAX(0,$E242-SUMPRODUCT($V242:$AG242,'Calc base'!$C$14:$N$14,('Calc base'!$H242:$S242&gt;'Calc base'!R242)+('Calc base'!$H242:$S242='Calc base'!R242)*('Calc base'!$C$17:$N$17&lt;'Calc base'!M$17)))))</f>
        <v>0</v>
      </c>
      <c r="AS242">
        <f>IF('Calc base'!N$14=0,0,MIN(AG242,MAX(0,$E242-SUMPRODUCT($V242:$AG242,'Calc base'!$C$14:$N$14,('Calc base'!$H242:$S242&gt;'Calc base'!S242)+('Calc base'!$H242:$S242='Calc base'!S242)*('Calc base'!$C$17:$N$17&lt;'Calc base'!N$17)))))</f>
        <v>0</v>
      </c>
      <c r="AT242">
        <f>V242-AH242</f>
        <v>0</v>
      </c>
      <c r="AU242">
        <f>W242-AI242</f>
        <v>0</v>
      </c>
      <c r="AV242">
        <f>X242-AJ242</f>
        <v>0</v>
      </c>
      <c r="AW242">
        <f>Y242-AK242</f>
        <v>0</v>
      </c>
      <c r="AX242">
        <f>Z242-AL242</f>
        <v>0</v>
      </c>
      <c r="AY242">
        <f>AA242-AM242</f>
        <v>0</v>
      </c>
      <c r="AZ242">
        <f>AB242-AN242</f>
        <v>0</v>
      </c>
      <c r="BA242">
        <f>AC242-AO242</f>
        <v>0</v>
      </c>
      <c r="BB242">
        <f>AD242-AP242</f>
        <v>0</v>
      </c>
      <c r="BC242">
        <f>AE242-AQ242</f>
        <v>0</v>
      </c>
      <c r="BD242">
        <f>AF242-AR242</f>
        <v>0</v>
      </c>
      <c r="BE242">
        <f>AG242-AS242</f>
        <v>0</v>
      </c>
    </row>
    <row r="243">
      <c r="A243" t="n">
        <v>213</v>
      </c>
      <c r="B243">
        <f>SUMPRODUCT(ROUND($AT242:$BE242*(1+'Calc base'!$H243:$S243),2))</f>
        <v>0</v>
      </c>
      <c r="C243">
        <f>SUM(J243:U243)</f>
        <v>0</v>
      </c>
      <c r="D243">
        <f>SUM(V243:AG243)</f>
        <v>0</v>
      </c>
      <c r="E243">
        <f>MAX(0,IF(Impostazioni!$B$7="No",'Calc base'!$C243-$C$31,'Calc base'!$C243-C243)+'Calc base'!$G243+'Calc base'!$F243-(B243-C243-D243))</f>
        <v>900</v>
      </c>
      <c r="F243">
        <f>SUM(AH243:AS243)</f>
        <v>0</v>
      </c>
      <c r="G243">
        <f>SUM(AT243:BE243)</f>
        <v>0</v>
      </c>
      <c r="H243">
        <f>B243-G242</f>
        <v>0</v>
      </c>
      <c r="I243">
        <f>B243-G243</f>
        <v>0</v>
      </c>
      <c r="J243">
        <f>IF(AT242&lt;=0,0,IF(ROUND(AT242*(1+'Calc base'!H243),2)-MAX('Calc base'!C$12,ROUND('Calc base'!C$13*AT242,2))&lt;1,ROUND(AT242*(1+'Calc base'!H243),2),MAX('Calc base'!C$12,ROUND('Calc base'!C$13*AT242,2))))</f>
        <v>0</v>
      </c>
      <c r="K243">
        <f>IF(AU242&lt;=0,0,IF(ROUND(AU242*(1+'Calc base'!I243),2)-MAX('Calc base'!D$12,ROUND('Calc base'!D$13*AU242,2))&lt;1,ROUND(AU242*(1+'Calc base'!I243),2),MAX('Calc base'!D$12,ROUND('Calc base'!D$13*AU242,2))))</f>
        <v>0</v>
      </c>
      <c r="L243">
        <f>IF(AV242&lt;=0,0,IF(ROUND(AV242*(1+'Calc base'!J243),2)-MAX('Calc base'!E$12,ROUND('Calc base'!E$13*AV242,2))&lt;1,ROUND(AV242*(1+'Calc base'!J243),2),MAX('Calc base'!E$12,ROUND('Calc base'!E$13*AV242,2))))</f>
        <v>0</v>
      </c>
      <c r="M243">
        <f>IF(AW242&lt;=0,0,IF(ROUND(AW242*(1+'Calc base'!K243),2)-MAX('Calc base'!F$12,ROUND('Calc base'!F$13*AW242,2))&lt;1,ROUND(AW242*(1+'Calc base'!K243),2),MAX('Calc base'!F$12,ROUND('Calc base'!F$13*AW242,2))))</f>
        <v>0</v>
      </c>
      <c r="N243">
        <f>IF(AX242&lt;=0,0,IF(ROUND(AX242*(1+'Calc base'!L243),2)-MAX('Calc base'!G$12,ROUND('Calc base'!G$13*AX242,2))&lt;1,ROUND(AX242*(1+'Calc base'!L243),2),MAX('Calc base'!G$12,ROUND('Calc base'!G$13*AX242,2))))</f>
        <v>0</v>
      </c>
      <c r="O243">
        <f>IF(AY242&lt;=0,0,IF(ROUND(AY242*(1+'Calc base'!M243),2)-MAX('Calc base'!H$12,ROUND('Calc base'!H$13*AY242,2))&lt;1,ROUND(AY242*(1+'Calc base'!M243),2),MAX('Calc base'!H$12,ROUND('Calc base'!H$13*AY242,2))))</f>
        <v>0</v>
      </c>
      <c r="P243">
        <f>IF(AZ242&lt;=0,0,IF(ROUND(AZ242*(1+'Calc base'!N243),2)-MAX('Calc base'!I$12,ROUND('Calc base'!I$13*AZ242,2))&lt;1,ROUND(AZ242*(1+'Calc base'!N243),2),MAX('Calc base'!I$12,ROUND('Calc base'!I$13*AZ242,2))))</f>
        <v>0</v>
      </c>
      <c r="Q243">
        <f>IF(BA242&lt;=0,0,IF(ROUND(BA242*(1+'Calc base'!O243),2)-MAX('Calc base'!J$12,ROUND('Calc base'!J$13*BA242,2))&lt;1,ROUND(BA242*(1+'Calc base'!O243),2),MAX('Calc base'!J$12,ROUND('Calc base'!J$13*BA242,2))))</f>
        <v>0</v>
      </c>
      <c r="R243">
        <f>IF(BB242&lt;=0,0,IF(ROUND(BB242*(1+'Calc base'!P243),2)-MAX('Calc base'!K$12,ROUND('Calc base'!K$13*BB242,2))&lt;1,ROUND(BB242*(1+'Calc base'!P243),2),MAX('Calc base'!K$12,ROUND('Calc base'!K$13*BB242,2))))</f>
        <v>0</v>
      </c>
      <c r="S243">
        <f>IF(BC242&lt;=0,0,IF(ROUND(BC242*(1+'Calc base'!Q243),2)-MAX('Calc base'!L$12,ROUND('Calc base'!L$13*BC242,2))&lt;1,ROUND(BC242*(1+'Calc base'!Q243),2),MAX('Calc base'!L$12,ROUND('Calc base'!L$13*BC242,2))))</f>
        <v>0</v>
      </c>
      <c r="T243">
        <f>IF(BD242&lt;=0,0,IF(ROUND(BD242*(1+'Calc base'!R243),2)-MAX('Calc base'!M$12,ROUND('Calc base'!M$13*BD242,2))&lt;1,ROUND(BD242*(1+'Calc base'!R243),2),MAX('Calc base'!M$12,ROUND('Calc base'!M$13*BD242,2))))</f>
        <v>0</v>
      </c>
      <c r="U243">
        <f>IF(BE242&lt;=0,0,IF(ROUND(BE242*(1+'Calc base'!S243),2)-MAX('Calc base'!N$12,ROUND('Calc base'!N$13*BE242,2))&lt;1,ROUND(BE242*(1+'Calc base'!S243),2),MAX('Calc base'!N$12,ROUND('Calc base'!N$13*BE242,2))))</f>
        <v>0</v>
      </c>
      <c r="V243">
        <f>MAX(0,ROUND(AT242*(1+'Calc base'!H243),2)-J243-'Calc base'!T243)</f>
        <v>0</v>
      </c>
      <c r="W243">
        <f>MAX(0,ROUND(AU242*(1+'Calc base'!I243),2)-K243-'Calc base'!U243)</f>
        <v>0</v>
      </c>
      <c r="X243">
        <f>MAX(0,ROUND(AV242*(1+'Calc base'!J243),2)-L243-'Calc base'!V243)</f>
        <v>0</v>
      </c>
      <c r="Y243">
        <f>MAX(0,ROUND(AW242*(1+'Calc base'!K243),2)-M243-'Calc base'!W243)</f>
        <v>0</v>
      </c>
      <c r="Z243">
        <f>MAX(0,ROUND(AX242*(1+'Calc base'!L243),2)-N243-'Calc base'!X243)</f>
        <v>0</v>
      </c>
      <c r="AA243">
        <f>MAX(0,ROUND(AY242*(1+'Calc base'!M243),2)-O243-'Calc base'!Y243)</f>
        <v>0</v>
      </c>
      <c r="AB243">
        <f>MAX(0,ROUND(AZ242*(1+'Calc base'!N243),2)-P243-'Calc base'!Z243)</f>
        <v>0</v>
      </c>
      <c r="AC243">
        <f>MAX(0,ROUND(BA242*(1+'Calc base'!O243),2)-Q243-'Calc base'!AA243)</f>
        <v>0</v>
      </c>
      <c r="AD243">
        <f>MAX(0,ROUND(BB242*(1+'Calc base'!P243),2)-R243-'Calc base'!AB243)</f>
        <v>0</v>
      </c>
      <c r="AE243">
        <f>MAX(0,ROUND(BC242*(1+'Calc base'!Q243),2)-S243-'Calc base'!AC243)</f>
        <v>0</v>
      </c>
      <c r="AF243">
        <f>MAX(0,ROUND(BD242*(1+'Calc base'!R243),2)-T243-'Calc base'!AD243)</f>
        <v>0</v>
      </c>
      <c r="AG243">
        <f>MAX(0,ROUND(BE242*(1+'Calc base'!S243),2)-U243-'Calc base'!AE243)</f>
        <v>0</v>
      </c>
      <c r="AH243">
        <f>IF('Calc base'!C$14=0,0,MIN(V243,MAX(0,$E243-SUMPRODUCT($V243:$AG243,'Calc base'!$C$14:$N$14,('Calc base'!$H243:$S243&gt;'Calc base'!H243)+('Calc base'!$H243:$S243='Calc base'!H243)*('Calc base'!$C$17:$N$17&lt;'Calc base'!C$17)))))</f>
        <v>0</v>
      </c>
      <c r="AI243">
        <f>IF('Calc base'!D$14=0,0,MIN(W243,MAX(0,$E243-SUMPRODUCT($V243:$AG243,'Calc base'!$C$14:$N$14,('Calc base'!$H243:$S243&gt;'Calc base'!I243)+('Calc base'!$H243:$S243='Calc base'!I243)*('Calc base'!$C$17:$N$17&lt;'Calc base'!D$17)))))</f>
        <v>0</v>
      </c>
      <c r="AJ243">
        <f>IF('Calc base'!E$14=0,0,MIN(X243,MAX(0,$E243-SUMPRODUCT($V243:$AG243,'Calc base'!$C$14:$N$14,('Calc base'!$H243:$S243&gt;'Calc base'!J243)+('Calc base'!$H243:$S243='Calc base'!J243)*('Calc base'!$C$17:$N$17&lt;'Calc base'!E$17)))))</f>
        <v>0</v>
      </c>
      <c r="AK243">
        <f>IF('Calc base'!F$14=0,0,MIN(Y243,MAX(0,$E243-SUMPRODUCT($V243:$AG243,'Calc base'!$C$14:$N$14,('Calc base'!$H243:$S243&gt;'Calc base'!K243)+('Calc base'!$H243:$S243='Calc base'!K243)*('Calc base'!$C$17:$N$17&lt;'Calc base'!F$17)))))</f>
        <v>0</v>
      </c>
      <c r="AL243">
        <f>IF('Calc base'!G$14=0,0,MIN(Z243,MAX(0,$E243-SUMPRODUCT($V243:$AG243,'Calc base'!$C$14:$N$14,('Calc base'!$H243:$S243&gt;'Calc base'!L243)+('Calc base'!$H243:$S243='Calc base'!L243)*('Calc base'!$C$17:$N$17&lt;'Calc base'!G$17)))))</f>
        <v>0</v>
      </c>
      <c r="AM243">
        <f>IF('Calc base'!H$14=0,0,MIN(AA243,MAX(0,$E243-SUMPRODUCT($V243:$AG243,'Calc base'!$C$14:$N$14,('Calc base'!$H243:$S243&gt;'Calc base'!M243)+('Calc base'!$H243:$S243='Calc base'!M243)*('Calc base'!$C$17:$N$17&lt;'Calc base'!H$17)))))</f>
        <v>0</v>
      </c>
      <c r="AN243">
        <f>IF('Calc base'!I$14=0,0,MIN(AB243,MAX(0,$E243-SUMPRODUCT($V243:$AG243,'Calc base'!$C$14:$N$14,('Calc base'!$H243:$S243&gt;'Calc base'!N243)+('Calc base'!$H243:$S243='Calc base'!N243)*('Calc base'!$C$17:$N$17&lt;'Calc base'!I$17)))))</f>
        <v>0</v>
      </c>
      <c r="AO243">
        <f>IF('Calc base'!J$14=0,0,MIN(AC243,MAX(0,$E243-SUMPRODUCT($V243:$AG243,'Calc base'!$C$14:$N$14,('Calc base'!$H243:$S243&gt;'Calc base'!O243)+('Calc base'!$H243:$S243='Calc base'!O243)*('Calc base'!$C$17:$N$17&lt;'Calc base'!J$17)))))</f>
        <v>0</v>
      </c>
      <c r="AP243">
        <f>IF('Calc base'!K$14=0,0,MIN(AD243,MAX(0,$E243-SUMPRODUCT($V243:$AG243,'Calc base'!$C$14:$N$14,('Calc base'!$H243:$S243&gt;'Calc base'!P243)+('Calc base'!$H243:$S243='Calc base'!P243)*('Calc base'!$C$17:$N$17&lt;'Calc base'!K$17)))))</f>
        <v>0</v>
      </c>
      <c r="AQ243">
        <f>IF('Calc base'!L$14=0,0,MIN(AE243,MAX(0,$E243-SUMPRODUCT($V243:$AG243,'Calc base'!$C$14:$N$14,('Calc base'!$H243:$S243&gt;'Calc base'!Q243)+('Calc base'!$H243:$S243='Calc base'!Q243)*('Calc base'!$C$17:$N$17&lt;'Calc base'!L$17)))))</f>
        <v>0</v>
      </c>
      <c r="AR243">
        <f>IF('Calc base'!M$14=0,0,MIN(AF243,MAX(0,$E243-SUMPRODUCT($V243:$AG243,'Calc base'!$C$14:$N$14,('Calc base'!$H243:$S243&gt;'Calc base'!R243)+('Calc base'!$H243:$S243='Calc base'!R243)*('Calc base'!$C$17:$N$17&lt;'Calc base'!M$17)))))</f>
        <v>0</v>
      </c>
      <c r="AS243">
        <f>IF('Calc base'!N$14=0,0,MIN(AG243,MAX(0,$E243-SUMPRODUCT($V243:$AG243,'Calc base'!$C$14:$N$14,('Calc base'!$H243:$S243&gt;'Calc base'!S243)+('Calc base'!$H243:$S243='Calc base'!S243)*('Calc base'!$C$17:$N$17&lt;'Calc base'!N$17)))))</f>
        <v>0</v>
      </c>
      <c r="AT243">
        <f>V243-AH243</f>
        <v>0</v>
      </c>
      <c r="AU243">
        <f>W243-AI243</f>
        <v>0</v>
      </c>
      <c r="AV243">
        <f>X243-AJ243</f>
        <v>0</v>
      </c>
      <c r="AW243">
        <f>Y243-AK243</f>
        <v>0</v>
      </c>
      <c r="AX243">
        <f>Z243-AL243</f>
        <v>0</v>
      </c>
      <c r="AY243">
        <f>AA243-AM243</f>
        <v>0</v>
      </c>
      <c r="AZ243">
        <f>AB243-AN243</f>
        <v>0</v>
      </c>
      <c r="BA243">
        <f>AC243-AO243</f>
        <v>0</v>
      </c>
      <c r="BB243">
        <f>AD243-AP243</f>
        <v>0</v>
      </c>
      <c r="BC243">
        <f>AE243-AQ243</f>
        <v>0</v>
      </c>
      <c r="BD243">
        <f>AF243-AR243</f>
        <v>0</v>
      </c>
      <c r="BE243">
        <f>AG243-AS243</f>
        <v>0</v>
      </c>
    </row>
    <row r="244">
      <c r="A244" t="n">
        <v>214</v>
      </c>
      <c r="B244">
        <f>SUMPRODUCT(ROUND($AT243:$BE243*(1+'Calc base'!$H244:$S244),2))</f>
        <v>0</v>
      </c>
      <c r="C244">
        <f>SUM(J244:U244)</f>
        <v>0</v>
      </c>
      <c r="D244">
        <f>SUM(V244:AG244)</f>
        <v>0</v>
      </c>
      <c r="E244">
        <f>MAX(0,IF(Impostazioni!$B$7="No",'Calc base'!$C244-$C$31,'Calc base'!$C244-C244)+'Calc base'!$G244+'Calc base'!$F244-(B244-C244-D244))</f>
        <v>900</v>
      </c>
      <c r="F244">
        <f>SUM(AH244:AS244)</f>
        <v>0</v>
      </c>
      <c r="G244">
        <f>SUM(AT244:BE244)</f>
        <v>0</v>
      </c>
      <c r="H244">
        <f>B244-G243</f>
        <v>0</v>
      </c>
      <c r="I244">
        <f>B244-G244</f>
        <v>0</v>
      </c>
      <c r="J244">
        <f>IF(AT243&lt;=0,0,IF(ROUND(AT243*(1+'Calc base'!H244),2)-MAX('Calc base'!C$12,ROUND('Calc base'!C$13*AT243,2))&lt;1,ROUND(AT243*(1+'Calc base'!H244),2),MAX('Calc base'!C$12,ROUND('Calc base'!C$13*AT243,2))))</f>
        <v>0</v>
      </c>
      <c r="K244">
        <f>IF(AU243&lt;=0,0,IF(ROUND(AU243*(1+'Calc base'!I244),2)-MAX('Calc base'!D$12,ROUND('Calc base'!D$13*AU243,2))&lt;1,ROUND(AU243*(1+'Calc base'!I244),2),MAX('Calc base'!D$12,ROUND('Calc base'!D$13*AU243,2))))</f>
        <v>0</v>
      </c>
      <c r="L244">
        <f>IF(AV243&lt;=0,0,IF(ROUND(AV243*(1+'Calc base'!J244),2)-MAX('Calc base'!E$12,ROUND('Calc base'!E$13*AV243,2))&lt;1,ROUND(AV243*(1+'Calc base'!J244),2),MAX('Calc base'!E$12,ROUND('Calc base'!E$13*AV243,2))))</f>
        <v>0</v>
      </c>
      <c r="M244">
        <f>IF(AW243&lt;=0,0,IF(ROUND(AW243*(1+'Calc base'!K244),2)-MAX('Calc base'!F$12,ROUND('Calc base'!F$13*AW243,2))&lt;1,ROUND(AW243*(1+'Calc base'!K244),2),MAX('Calc base'!F$12,ROUND('Calc base'!F$13*AW243,2))))</f>
        <v>0</v>
      </c>
      <c r="N244">
        <f>IF(AX243&lt;=0,0,IF(ROUND(AX243*(1+'Calc base'!L244),2)-MAX('Calc base'!G$12,ROUND('Calc base'!G$13*AX243,2))&lt;1,ROUND(AX243*(1+'Calc base'!L244),2),MAX('Calc base'!G$12,ROUND('Calc base'!G$13*AX243,2))))</f>
        <v>0</v>
      </c>
      <c r="O244">
        <f>IF(AY243&lt;=0,0,IF(ROUND(AY243*(1+'Calc base'!M244),2)-MAX('Calc base'!H$12,ROUND('Calc base'!H$13*AY243,2))&lt;1,ROUND(AY243*(1+'Calc base'!M244),2),MAX('Calc base'!H$12,ROUND('Calc base'!H$13*AY243,2))))</f>
        <v>0</v>
      </c>
      <c r="P244">
        <f>IF(AZ243&lt;=0,0,IF(ROUND(AZ243*(1+'Calc base'!N244),2)-MAX('Calc base'!I$12,ROUND('Calc base'!I$13*AZ243,2))&lt;1,ROUND(AZ243*(1+'Calc base'!N244),2),MAX('Calc base'!I$12,ROUND('Calc base'!I$13*AZ243,2))))</f>
        <v>0</v>
      </c>
      <c r="Q244">
        <f>IF(BA243&lt;=0,0,IF(ROUND(BA243*(1+'Calc base'!O244),2)-MAX('Calc base'!J$12,ROUND('Calc base'!J$13*BA243,2))&lt;1,ROUND(BA243*(1+'Calc base'!O244),2),MAX('Calc base'!J$12,ROUND('Calc base'!J$13*BA243,2))))</f>
        <v>0</v>
      </c>
      <c r="R244">
        <f>IF(BB243&lt;=0,0,IF(ROUND(BB243*(1+'Calc base'!P244),2)-MAX('Calc base'!K$12,ROUND('Calc base'!K$13*BB243,2))&lt;1,ROUND(BB243*(1+'Calc base'!P244),2),MAX('Calc base'!K$12,ROUND('Calc base'!K$13*BB243,2))))</f>
        <v>0</v>
      </c>
      <c r="S244">
        <f>IF(BC243&lt;=0,0,IF(ROUND(BC243*(1+'Calc base'!Q244),2)-MAX('Calc base'!L$12,ROUND('Calc base'!L$13*BC243,2))&lt;1,ROUND(BC243*(1+'Calc base'!Q244),2),MAX('Calc base'!L$12,ROUND('Calc base'!L$13*BC243,2))))</f>
        <v>0</v>
      </c>
      <c r="T244">
        <f>IF(BD243&lt;=0,0,IF(ROUND(BD243*(1+'Calc base'!R244),2)-MAX('Calc base'!M$12,ROUND('Calc base'!M$13*BD243,2))&lt;1,ROUND(BD243*(1+'Calc base'!R244),2),MAX('Calc base'!M$12,ROUND('Calc base'!M$13*BD243,2))))</f>
        <v>0</v>
      </c>
      <c r="U244">
        <f>IF(BE243&lt;=0,0,IF(ROUND(BE243*(1+'Calc base'!S244),2)-MAX('Calc base'!N$12,ROUND('Calc base'!N$13*BE243,2))&lt;1,ROUND(BE243*(1+'Calc base'!S244),2),MAX('Calc base'!N$12,ROUND('Calc base'!N$13*BE243,2))))</f>
        <v>0</v>
      </c>
      <c r="V244">
        <f>MAX(0,ROUND(AT243*(1+'Calc base'!H244),2)-J244-'Calc base'!T244)</f>
        <v>0</v>
      </c>
      <c r="W244">
        <f>MAX(0,ROUND(AU243*(1+'Calc base'!I244),2)-K244-'Calc base'!U244)</f>
        <v>0</v>
      </c>
      <c r="X244">
        <f>MAX(0,ROUND(AV243*(1+'Calc base'!J244),2)-L244-'Calc base'!V244)</f>
        <v>0</v>
      </c>
      <c r="Y244">
        <f>MAX(0,ROUND(AW243*(1+'Calc base'!K244),2)-M244-'Calc base'!W244)</f>
        <v>0</v>
      </c>
      <c r="Z244">
        <f>MAX(0,ROUND(AX243*(1+'Calc base'!L244),2)-N244-'Calc base'!X244)</f>
        <v>0</v>
      </c>
      <c r="AA244">
        <f>MAX(0,ROUND(AY243*(1+'Calc base'!M244),2)-O244-'Calc base'!Y244)</f>
        <v>0</v>
      </c>
      <c r="AB244">
        <f>MAX(0,ROUND(AZ243*(1+'Calc base'!N244),2)-P244-'Calc base'!Z244)</f>
        <v>0</v>
      </c>
      <c r="AC244">
        <f>MAX(0,ROUND(BA243*(1+'Calc base'!O244),2)-Q244-'Calc base'!AA244)</f>
        <v>0</v>
      </c>
      <c r="AD244">
        <f>MAX(0,ROUND(BB243*(1+'Calc base'!P244),2)-R244-'Calc base'!AB244)</f>
        <v>0</v>
      </c>
      <c r="AE244">
        <f>MAX(0,ROUND(BC243*(1+'Calc base'!Q244),2)-S244-'Calc base'!AC244)</f>
        <v>0</v>
      </c>
      <c r="AF244">
        <f>MAX(0,ROUND(BD243*(1+'Calc base'!R244),2)-T244-'Calc base'!AD244)</f>
        <v>0</v>
      </c>
      <c r="AG244">
        <f>MAX(0,ROUND(BE243*(1+'Calc base'!S244),2)-U244-'Calc base'!AE244)</f>
        <v>0</v>
      </c>
      <c r="AH244">
        <f>IF('Calc base'!C$14=0,0,MIN(V244,MAX(0,$E244-SUMPRODUCT($V244:$AG244,'Calc base'!$C$14:$N$14,('Calc base'!$H244:$S244&gt;'Calc base'!H244)+('Calc base'!$H244:$S244='Calc base'!H244)*('Calc base'!$C$17:$N$17&lt;'Calc base'!C$17)))))</f>
        <v>0</v>
      </c>
      <c r="AI244">
        <f>IF('Calc base'!D$14=0,0,MIN(W244,MAX(0,$E244-SUMPRODUCT($V244:$AG244,'Calc base'!$C$14:$N$14,('Calc base'!$H244:$S244&gt;'Calc base'!I244)+('Calc base'!$H244:$S244='Calc base'!I244)*('Calc base'!$C$17:$N$17&lt;'Calc base'!D$17)))))</f>
        <v>0</v>
      </c>
      <c r="AJ244">
        <f>IF('Calc base'!E$14=0,0,MIN(X244,MAX(0,$E244-SUMPRODUCT($V244:$AG244,'Calc base'!$C$14:$N$14,('Calc base'!$H244:$S244&gt;'Calc base'!J244)+('Calc base'!$H244:$S244='Calc base'!J244)*('Calc base'!$C$17:$N$17&lt;'Calc base'!E$17)))))</f>
        <v>0</v>
      </c>
      <c r="AK244">
        <f>IF('Calc base'!F$14=0,0,MIN(Y244,MAX(0,$E244-SUMPRODUCT($V244:$AG244,'Calc base'!$C$14:$N$14,('Calc base'!$H244:$S244&gt;'Calc base'!K244)+('Calc base'!$H244:$S244='Calc base'!K244)*('Calc base'!$C$17:$N$17&lt;'Calc base'!F$17)))))</f>
        <v>0</v>
      </c>
      <c r="AL244">
        <f>IF('Calc base'!G$14=0,0,MIN(Z244,MAX(0,$E244-SUMPRODUCT($V244:$AG244,'Calc base'!$C$14:$N$14,('Calc base'!$H244:$S244&gt;'Calc base'!L244)+('Calc base'!$H244:$S244='Calc base'!L244)*('Calc base'!$C$17:$N$17&lt;'Calc base'!G$17)))))</f>
        <v>0</v>
      </c>
      <c r="AM244">
        <f>IF('Calc base'!H$14=0,0,MIN(AA244,MAX(0,$E244-SUMPRODUCT($V244:$AG244,'Calc base'!$C$14:$N$14,('Calc base'!$H244:$S244&gt;'Calc base'!M244)+('Calc base'!$H244:$S244='Calc base'!M244)*('Calc base'!$C$17:$N$17&lt;'Calc base'!H$17)))))</f>
        <v>0</v>
      </c>
      <c r="AN244">
        <f>IF('Calc base'!I$14=0,0,MIN(AB244,MAX(0,$E244-SUMPRODUCT($V244:$AG244,'Calc base'!$C$14:$N$14,('Calc base'!$H244:$S244&gt;'Calc base'!N244)+('Calc base'!$H244:$S244='Calc base'!N244)*('Calc base'!$C$17:$N$17&lt;'Calc base'!I$17)))))</f>
        <v>0</v>
      </c>
      <c r="AO244">
        <f>IF('Calc base'!J$14=0,0,MIN(AC244,MAX(0,$E244-SUMPRODUCT($V244:$AG244,'Calc base'!$C$14:$N$14,('Calc base'!$H244:$S244&gt;'Calc base'!O244)+('Calc base'!$H244:$S244='Calc base'!O244)*('Calc base'!$C$17:$N$17&lt;'Calc base'!J$17)))))</f>
        <v>0</v>
      </c>
      <c r="AP244">
        <f>IF('Calc base'!K$14=0,0,MIN(AD244,MAX(0,$E244-SUMPRODUCT($V244:$AG244,'Calc base'!$C$14:$N$14,('Calc base'!$H244:$S244&gt;'Calc base'!P244)+('Calc base'!$H244:$S244='Calc base'!P244)*('Calc base'!$C$17:$N$17&lt;'Calc base'!K$17)))))</f>
        <v>0</v>
      </c>
      <c r="AQ244">
        <f>IF('Calc base'!L$14=0,0,MIN(AE244,MAX(0,$E244-SUMPRODUCT($V244:$AG244,'Calc base'!$C$14:$N$14,('Calc base'!$H244:$S244&gt;'Calc base'!Q244)+('Calc base'!$H244:$S244='Calc base'!Q244)*('Calc base'!$C$17:$N$17&lt;'Calc base'!L$17)))))</f>
        <v>0</v>
      </c>
      <c r="AR244">
        <f>IF('Calc base'!M$14=0,0,MIN(AF244,MAX(0,$E244-SUMPRODUCT($V244:$AG244,'Calc base'!$C$14:$N$14,('Calc base'!$H244:$S244&gt;'Calc base'!R244)+('Calc base'!$H244:$S244='Calc base'!R244)*('Calc base'!$C$17:$N$17&lt;'Calc base'!M$17)))))</f>
        <v>0</v>
      </c>
      <c r="AS244">
        <f>IF('Calc base'!N$14=0,0,MIN(AG244,MAX(0,$E244-SUMPRODUCT($V244:$AG244,'Calc base'!$C$14:$N$14,('Calc base'!$H244:$S244&gt;'Calc base'!S244)+('Calc base'!$H244:$S244='Calc base'!S244)*('Calc base'!$C$17:$N$17&lt;'Calc base'!N$17)))))</f>
        <v>0</v>
      </c>
      <c r="AT244">
        <f>V244-AH244</f>
        <v>0</v>
      </c>
      <c r="AU244">
        <f>W244-AI244</f>
        <v>0</v>
      </c>
      <c r="AV244">
        <f>X244-AJ244</f>
        <v>0</v>
      </c>
      <c r="AW244">
        <f>Y244-AK244</f>
        <v>0</v>
      </c>
      <c r="AX244">
        <f>Z244-AL244</f>
        <v>0</v>
      </c>
      <c r="AY244">
        <f>AA244-AM244</f>
        <v>0</v>
      </c>
      <c r="AZ244">
        <f>AB244-AN244</f>
        <v>0</v>
      </c>
      <c r="BA244">
        <f>AC244-AO244</f>
        <v>0</v>
      </c>
      <c r="BB244">
        <f>AD244-AP244</f>
        <v>0</v>
      </c>
      <c r="BC244">
        <f>AE244-AQ244</f>
        <v>0</v>
      </c>
      <c r="BD244">
        <f>AF244-AR244</f>
        <v>0</v>
      </c>
      <c r="BE244">
        <f>AG244-AS244</f>
        <v>0</v>
      </c>
    </row>
    <row r="245">
      <c r="A245" t="n">
        <v>215</v>
      </c>
      <c r="B245">
        <f>SUMPRODUCT(ROUND($AT244:$BE244*(1+'Calc base'!$H245:$S245),2))</f>
        <v>0</v>
      </c>
      <c r="C245">
        <f>SUM(J245:U245)</f>
        <v>0</v>
      </c>
      <c r="D245">
        <f>SUM(V245:AG245)</f>
        <v>0</v>
      </c>
      <c r="E245">
        <f>MAX(0,IF(Impostazioni!$B$7="No",'Calc base'!$C245-$C$31,'Calc base'!$C245-C245)+'Calc base'!$G245+'Calc base'!$F245-(B245-C245-D245))</f>
        <v>900</v>
      </c>
      <c r="F245">
        <f>SUM(AH245:AS245)</f>
        <v>0</v>
      </c>
      <c r="G245">
        <f>SUM(AT245:BE245)</f>
        <v>0</v>
      </c>
      <c r="H245">
        <f>B245-G244</f>
        <v>0</v>
      </c>
      <c r="I245">
        <f>B245-G245</f>
        <v>0</v>
      </c>
      <c r="J245">
        <f>IF(AT244&lt;=0,0,IF(ROUND(AT244*(1+'Calc base'!H245),2)-MAX('Calc base'!C$12,ROUND('Calc base'!C$13*AT244,2))&lt;1,ROUND(AT244*(1+'Calc base'!H245),2),MAX('Calc base'!C$12,ROUND('Calc base'!C$13*AT244,2))))</f>
        <v>0</v>
      </c>
      <c r="K245">
        <f>IF(AU244&lt;=0,0,IF(ROUND(AU244*(1+'Calc base'!I245),2)-MAX('Calc base'!D$12,ROUND('Calc base'!D$13*AU244,2))&lt;1,ROUND(AU244*(1+'Calc base'!I245),2),MAX('Calc base'!D$12,ROUND('Calc base'!D$13*AU244,2))))</f>
        <v>0</v>
      </c>
      <c r="L245">
        <f>IF(AV244&lt;=0,0,IF(ROUND(AV244*(1+'Calc base'!J245),2)-MAX('Calc base'!E$12,ROUND('Calc base'!E$13*AV244,2))&lt;1,ROUND(AV244*(1+'Calc base'!J245),2),MAX('Calc base'!E$12,ROUND('Calc base'!E$13*AV244,2))))</f>
        <v>0</v>
      </c>
      <c r="M245">
        <f>IF(AW244&lt;=0,0,IF(ROUND(AW244*(1+'Calc base'!K245),2)-MAX('Calc base'!F$12,ROUND('Calc base'!F$13*AW244,2))&lt;1,ROUND(AW244*(1+'Calc base'!K245),2),MAX('Calc base'!F$12,ROUND('Calc base'!F$13*AW244,2))))</f>
        <v>0</v>
      </c>
      <c r="N245">
        <f>IF(AX244&lt;=0,0,IF(ROUND(AX244*(1+'Calc base'!L245),2)-MAX('Calc base'!G$12,ROUND('Calc base'!G$13*AX244,2))&lt;1,ROUND(AX244*(1+'Calc base'!L245),2),MAX('Calc base'!G$12,ROUND('Calc base'!G$13*AX244,2))))</f>
        <v>0</v>
      </c>
      <c r="O245">
        <f>IF(AY244&lt;=0,0,IF(ROUND(AY244*(1+'Calc base'!M245),2)-MAX('Calc base'!H$12,ROUND('Calc base'!H$13*AY244,2))&lt;1,ROUND(AY244*(1+'Calc base'!M245),2),MAX('Calc base'!H$12,ROUND('Calc base'!H$13*AY244,2))))</f>
        <v>0</v>
      </c>
      <c r="P245">
        <f>IF(AZ244&lt;=0,0,IF(ROUND(AZ244*(1+'Calc base'!N245),2)-MAX('Calc base'!I$12,ROUND('Calc base'!I$13*AZ244,2))&lt;1,ROUND(AZ244*(1+'Calc base'!N245),2),MAX('Calc base'!I$12,ROUND('Calc base'!I$13*AZ244,2))))</f>
        <v>0</v>
      </c>
      <c r="Q245">
        <f>IF(BA244&lt;=0,0,IF(ROUND(BA244*(1+'Calc base'!O245),2)-MAX('Calc base'!J$12,ROUND('Calc base'!J$13*BA244,2))&lt;1,ROUND(BA244*(1+'Calc base'!O245),2),MAX('Calc base'!J$12,ROUND('Calc base'!J$13*BA244,2))))</f>
        <v>0</v>
      </c>
      <c r="R245">
        <f>IF(BB244&lt;=0,0,IF(ROUND(BB244*(1+'Calc base'!P245),2)-MAX('Calc base'!K$12,ROUND('Calc base'!K$13*BB244,2))&lt;1,ROUND(BB244*(1+'Calc base'!P245),2),MAX('Calc base'!K$12,ROUND('Calc base'!K$13*BB244,2))))</f>
        <v>0</v>
      </c>
      <c r="S245">
        <f>IF(BC244&lt;=0,0,IF(ROUND(BC244*(1+'Calc base'!Q245),2)-MAX('Calc base'!L$12,ROUND('Calc base'!L$13*BC244,2))&lt;1,ROUND(BC244*(1+'Calc base'!Q245),2),MAX('Calc base'!L$12,ROUND('Calc base'!L$13*BC244,2))))</f>
        <v>0</v>
      </c>
      <c r="T245">
        <f>IF(BD244&lt;=0,0,IF(ROUND(BD244*(1+'Calc base'!R245),2)-MAX('Calc base'!M$12,ROUND('Calc base'!M$13*BD244,2))&lt;1,ROUND(BD244*(1+'Calc base'!R245),2),MAX('Calc base'!M$12,ROUND('Calc base'!M$13*BD244,2))))</f>
        <v>0</v>
      </c>
      <c r="U245">
        <f>IF(BE244&lt;=0,0,IF(ROUND(BE244*(1+'Calc base'!S245),2)-MAX('Calc base'!N$12,ROUND('Calc base'!N$13*BE244,2))&lt;1,ROUND(BE244*(1+'Calc base'!S245),2),MAX('Calc base'!N$12,ROUND('Calc base'!N$13*BE244,2))))</f>
        <v>0</v>
      </c>
      <c r="V245">
        <f>MAX(0,ROUND(AT244*(1+'Calc base'!H245),2)-J245-'Calc base'!T245)</f>
        <v>0</v>
      </c>
      <c r="W245">
        <f>MAX(0,ROUND(AU244*(1+'Calc base'!I245),2)-K245-'Calc base'!U245)</f>
        <v>0</v>
      </c>
      <c r="X245">
        <f>MAX(0,ROUND(AV244*(1+'Calc base'!J245),2)-L245-'Calc base'!V245)</f>
        <v>0</v>
      </c>
      <c r="Y245">
        <f>MAX(0,ROUND(AW244*(1+'Calc base'!K245),2)-M245-'Calc base'!W245)</f>
        <v>0</v>
      </c>
      <c r="Z245">
        <f>MAX(0,ROUND(AX244*(1+'Calc base'!L245),2)-N245-'Calc base'!X245)</f>
        <v>0</v>
      </c>
      <c r="AA245">
        <f>MAX(0,ROUND(AY244*(1+'Calc base'!M245),2)-O245-'Calc base'!Y245)</f>
        <v>0</v>
      </c>
      <c r="AB245">
        <f>MAX(0,ROUND(AZ244*(1+'Calc base'!N245),2)-P245-'Calc base'!Z245)</f>
        <v>0</v>
      </c>
      <c r="AC245">
        <f>MAX(0,ROUND(BA244*(1+'Calc base'!O245),2)-Q245-'Calc base'!AA245)</f>
        <v>0</v>
      </c>
      <c r="AD245">
        <f>MAX(0,ROUND(BB244*(1+'Calc base'!P245),2)-R245-'Calc base'!AB245)</f>
        <v>0</v>
      </c>
      <c r="AE245">
        <f>MAX(0,ROUND(BC244*(1+'Calc base'!Q245),2)-S245-'Calc base'!AC245)</f>
        <v>0</v>
      </c>
      <c r="AF245">
        <f>MAX(0,ROUND(BD244*(1+'Calc base'!R245),2)-T245-'Calc base'!AD245)</f>
        <v>0</v>
      </c>
      <c r="AG245">
        <f>MAX(0,ROUND(BE244*(1+'Calc base'!S245),2)-U245-'Calc base'!AE245)</f>
        <v>0</v>
      </c>
      <c r="AH245">
        <f>IF('Calc base'!C$14=0,0,MIN(V245,MAX(0,$E245-SUMPRODUCT($V245:$AG245,'Calc base'!$C$14:$N$14,('Calc base'!$H245:$S245&gt;'Calc base'!H245)+('Calc base'!$H245:$S245='Calc base'!H245)*('Calc base'!$C$17:$N$17&lt;'Calc base'!C$17)))))</f>
        <v>0</v>
      </c>
      <c r="AI245">
        <f>IF('Calc base'!D$14=0,0,MIN(W245,MAX(0,$E245-SUMPRODUCT($V245:$AG245,'Calc base'!$C$14:$N$14,('Calc base'!$H245:$S245&gt;'Calc base'!I245)+('Calc base'!$H245:$S245='Calc base'!I245)*('Calc base'!$C$17:$N$17&lt;'Calc base'!D$17)))))</f>
        <v>0</v>
      </c>
      <c r="AJ245">
        <f>IF('Calc base'!E$14=0,0,MIN(X245,MAX(0,$E245-SUMPRODUCT($V245:$AG245,'Calc base'!$C$14:$N$14,('Calc base'!$H245:$S245&gt;'Calc base'!J245)+('Calc base'!$H245:$S245='Calc base'!J245)*('Calc base'!$C$17:$N$17&lt;'Calc base'!E$17)))))</f>
        <v>0</v>
      </c>
      <c r="AK245">
        <f>IF('Calc base'!F$14=0,0,MIN(Y245,MAX(0,$E245-SUMPRODUCT($V245:$AG245,'Calc base'!$C$14:$N$14,('Calc base'!$H245:$S245&gt;'Calc base'!K245)+('Calc base'!$H245:$S245='Calc base'!K245)*('Calc base'!$C$17:$N$17&lt;'Calc base'!F$17)))))</f>
        <v>0</v>
      </c>
      <c r="AL245">
        <f>IF('Calc base'!G$14=0,0,MIN(Z245,MAX(0,$E245-SUMPRODUCT($V245:$AG245,'Calc base'!$C$14:$N$14,('Calc base'!$H245:$S245&gt;'Calc base'!L245)+('Calc base'!$H245:$S245='Calc base'!L245)*('Calc base'!$C$17:$N$17&lt;'Calc base'!G$17)))))</f>
        <v>0</v>
      </c>
      <c r="AM245">
        <f>IF('Calc base'!H$14=0,0,MIN(AA245,MAX(0,$E245-SUMPRODUCT($V245:$AG245,'Calc base'!$C$14:$N$14,('Calc base'!$H245:$S245&gt;'Calc base'!M245)+('Calc base'!$H245:$S245='Calc base'!M245)*('Calc base'!$C$17:$N$17&lt;'Calc base'!H$17)))))</f>
        <v>0</v>
      </c>
      <c r="AN245">
        <f>IF('Calc base'!I$14=0,0,MIN(AB245,MAX(0,$E245-SUMPRODUCT($V245:$AG245,'Calc base'!$C$14:$N$14,('Calc base'!$H245:$S245&gt;'Calc base'!N245)+('Calc base'!$H245:$S245='Calc base'!N245)*('Calc base'!$C$17:$N$17&lt;'Calc base'!I$17)))))</f>
        <v>0</v>
      </c>
      <c r="AO245">
        <f>IF('Calc base'!J$14=0,0,MIN(AC245,MAX(0,$E245-SUMPRODUCT($V245:$AG245,'Calc base'!$C$14:$N$14,('Calc base'!$H245:$S245&gt;'Calc base'!O245)+('Calc base'!$H245:$S245='Calc base'!O245)*('Calc base'!$C$17:$N$17&lt;'Calc base'!J$17)))))</f>
        <v>0</v>
      </c>
      <c r="AP245">
        <f>IF('Calc base'!K$14=0,0,MIN(AD245,MAX(0,$E245-SUMPRODUCT($V245:$AG245,'Calc base'!$C$14:$N$14,('Calc base'!$H245:$S245&gt;'Calc base'!P245)+('Calc base'!$H245:$S245='Calc base'!P245)*('Calc base'!$C$17:$N$17&lt;'Calc base'!K$17)))))</f>
        <v>0</v>
      </c>
      <c r="AQ245">
        <f>IF('Calc base'!L$14=0,0,MIN(AE245,MAX(0,$E245-SUMPRODUCT($V245:$AG245,'Calc base'!$C$14:$N$14,('Calc base'!$H245:$S245&gt;'Calc base'!Q245)+('Calc base'!$H245:$S245='Calc base'!Q245)*('Calc base'!$C$17:$N$17&lt;'Calc base'!L$17)))))</f>
        <v>0</v>
      </c>
      <c r="AR245">
        <f>IF('Calc base'!M$14=0,0,MIN(AF245,MAX(0,$E245-SUMPRODUCT($V245:$AG245,'Calc base'!$C$14:$N$14,('Calc base'!$H245:$S245&gt;'Calc base'!R245)+('Calc base'!$H245:$S245='Calc base'!R245)*('Calc base'!$C$17:$N$17&lt;'Calc base'!M$17)))))</f>
        <v>0</v>
      </c>
      <c r="AS245">
        <f>IF('Calc base'!N$14=0,0,MIN(AG245,MAX(0,$E245-SUMPRODUCT($V245:$AG245,'Calc base'!$C$14:$N$14,('Calc base'!$H245:$S245&gt;'Calc base'!S245)+('Calc base'!$H245:$S245='Calc base'!S245)*('Calc base'!$C$17:$N$17&lt;'Calc base'!N$17)))))</f>
        <v>0</v>
      </c>
      <c r="AT245">
        <f>V245-AH245</f>
        <v>0</v>
      </c>
      <c r="AU245">
        <f>W245-AI245</f>
        <v>0</v>
      </c>
      <c r="AV245">
        <f>X245-AJ245</f>
        <v>0</v>
      </c>
      <c r="AW245">
        <f>Y245-AK245</f>
        <v>0</v>
      </c>
      <c r="AX245">
        <f>Z245-AL245</f>
        <v>0</v>
      </c>
      <c r="AY245">
        <f>AA245-AM245</f>
        <v>0</v>
      </c>
      <c r="AZ245">
        <f>AB245-AN245</f>
        <v>0</v>
      </c>
      <c r="BA245">
        <f>AC245-AO245</f>
        <v>0</v>
      </c>
      <c r="BB245">
        <f>AD245-AP245</f>
        <v>0</v>
      </c>
      <c r="BC245">
        <f>AE245-AQ245</f>
        <v>0</v>
      </c>
      <c r="BD245">
        <f>AF245-AR245</f>
        <v>0</v>
      </c>
      <c r="BE245">
        <f>AG245-AS245</f>
        <v>0</v>
      </c>
    </row>
    <row r="246">
      <c r="A246" t="n">
        <v>216</v>
      </c>
      <c r="B246">
        <f>SUMPRODUCT(ROUND($AT245:$BE245*(1+'Calc base'!$H246:$S246),2))</f>
        <v>0</v>
      </c>
      <c r="C246">
        <f>SUM(J246:U246)</f>
        <v>0</v>
      </c>
      <c r="D246">
        <f>SUM(V246:AG246)</f>
        <v>0</v>
      </c>
      <c r="E246">
        <f>MAX(0,IF(Impostazioni!$B$7="No",'Calc base'!$C246-$C$31,'Calc base'!$C246-C246)+'Calc base'!$G246+'Calc base'!$F246-(B246-C246-D246))</f>
        <v>900</v>
      </c>
      <c r="F246">
        <f>SUM(AH246:AS246)</f>
        <v>0</v>
      </c>
      <c r="G246">
        <f>SUM(AT246:BE246)</f>
        <v>0</v>
      </c>
      <c r="H246">
        <f>B246-G245</f>
        <v>0</v>
      </c>
      <c r="I246">
        <f>B246-G246</f>
        <v>0</v>
      </c>
      <c r="J246">
        <f>IF(AT245&lt;=0,0,IF(ROUND(AT245*(1+'Calc base'!H246),2)-MAX('Calc base'!C$12,ROUND('Calc base'!C$13*AT245,2))&lt;1,ROUND(AT245*(1+'Calc base'!H246),2),MAX('Calc base'!C$12,ROUND('Calc base'!C$13*AT245,2))))</f>
        <v>0</v>
      </c>
      <c r="K246">
        <f>IF(AU245&lt;=0,0,IF(ROUND(AU245*(1+'Calc base'!I246),2)-MAX('Calc base'!D$12,ROUND('Calc base'!D$13*AU245,2))&lt;1,ROUND(AU245*(1+'Calc base'!I246),2),MAX('Calc base'!D$12,ROUND('Calc base'!D$13*AU245,2))))</f>
        <v>0</v>
      </c>
      <c r="L246">
        <f>IF(AV245&lt;=0,0,IF(ROUND(AV245*(1+'Calc base'!J246),2)-MAX('Calc base'!E$12,ROUND('Calc base'!E$13*AV245,2))&lt;1,ROUND(AV245*(1+'Calc base'!J246),2),MAX('Calc base'!E$12,ROUND('Calc base'!E$13*AV245,2))))</f>
        <v>0</v>
      </c>
      <c r="M246">
        <f>IF(AW245&lt;=0,0,IF(ROUND(AW245*(1+'Calc base'!K246),2)-MAX('Calc base'!F$12,ROUND('Calc base'!F$13*AW245,2))&lt;1,ROUND(AW245*(1+'Calc base'!K246),2),MAX('Calc base'!F$12,ROUND('Calc base'!F$13*AW245,2))))</f>
        <v>0</v>
      </c>
      <c r="N246">
        <f>IF(AX245&lt;=0,0,IF(ROUND(AX245*(1+'Calc base'!L246),2)-MAX('Calc base'!G$12,ROUND('Calc base'!G$13*AX245,2))&lt;1,ROUND(AX245*(1+'Calc base'!L246),2),MAX('Calc base'!G$12,ROUND('Calc base'!G$13*AX245,2))))</f>
        <v>0</v>
      </c>
      <c r="O246">
        <f>IF(AY245&lt;=0,0,IF(ROUND(AY245*(1+'Calc base'!M246),2)-MAX('Calc base'!H$12,ROUND('Calc base'!H$13*AY245,2))&lt;1,ROUND(AY245*(1+'Calc base'!M246),2),MAX('Calc base'!H$12,ROUND('Calc base'!H$13*AY245,2))))</f>
        <v>0</v>
      </c>
      <c r="P246">
        <f>IF(AZ245&lt;=0,0,IF(ROUND(AZ245*(1+'Calc base'!N246),2)-MAX('Calc base'!I$12,ROUND('Calc base'!I$13*AZ245,2))&lt;1,ROUND(AZ245*(1+'Calc base'!N246),2),MAX('Calc base'!I$12,ROUND('Calc base'!I$13*AZ245,2))))</f>
        <v>0</v>
      </c>
      <c r="Q246">
        <f>IF(BA245&lt;=0,0,IF(ROUND(BA245*(1+'Calc base'!O246),2)-MAX('Calc base'!J$12,ROUND('Calc base'!J$13*BA245,2))&lt;1,ROUND(BA245*(1+'Calc base'!O246),2),MAX('Calc base'!J$12,ROUND('Calc base'!J$13*BA245,2))))</f>
        <v>0</v>
      </c>
      <c r="R246">
        <f>IF(BB245&lt;=0,0,IF(ROUND(BB245*(1+'Calc base'!P246),2)-MAX('Calc base'!K$12,ROUND('Calc base'!K$13*BB245,2))&lt;1,ROUND(BB245*(1+'Calc base'!P246),2),MAX('Calc base'!K$12,ROUND('Calc base'!K$13*BB245,2))))</f>
        <v>0</v>
      </c>
      <c r="S246">
        <f>IF(BC245&lt;=0,0,IF(ROUND(BC245*(1+'Calc base'!Q246),2)-MAX('Calc base'!L$12,ROUND('Calc base'!L$13*BC245,2))&lt;1,ROUND(BC245*(1+'Calc base'!Q246),2),MAX('Calc base'!L$12,ROUND('Calc base'!L$13*BC245,2))))</f>
        <v>0</v>
      </c>
      <c r="T246">
        <f>IF(BD245&lt;=0,0,IF(ROUND(BD245*(1+'Calc base'!R246),2)-MAX('Calc base'!M$12,ROUND('Calc base'!M$13*BD245,2))&lt;1,ROUND(BD245*(1+'Calc base'!R246),2),MAX('Calc base'!M$12,ROUND('Calc base'!M$13*BD245,2))))</f>
        <v>0</v>
      </c>
      <c r="U246">
        <f>IF(BE245&lt;=0,0,IF(ROUND(BE245*(1+'Calc base'!S246),2)-MAX('Calc base'!N$12,ROUND('Calc base'!N$13*BE245,2))&lt;1,ROUND(BE245*(1+'Calc base'!S246),2),MAX('Calc base'!N$12,ROUND('Calc base'!N$13*BE245,2))))</f>
        <v>0</v>
      </c>
      <c r="V246">
        <f>MAX(0,ROUND(AT245*(1+'Calc base'!H246),2)-J246-'Calc base'!T246)</f>
        <v>0</v>
      </c>
      <c r="W246">
        <f>MAX(0,ROUND(AU245*(1+'Calc base'!I246),2)-K246-'Calc base'!U246)</f>
        <v>0</v>
      </c>
      <c r="X246">
        <f>MAX(0,ROUND(AV245*(1+'Calc base'!J246),2)-L246-'Calc base'!V246)</f>
        <v>0</v>
      </c>
      <c r="Y246">
        <f>MAX(0,ROUND(AW245*(1+'Calc base'!K246),2)-M246-'Calc base'!W246)</f>
        <v>0</v>
      </c>
      <c r="Z246">
        <f>MAX(0,ROUND(AX245*(1+'Calc base'!L246),2)-N246-'Calc base'!X246)</f>
        <v>0</v>
      </c>
      <c r="AA246">
        <f>MAX(0,ROUND(AY245*(1+'Calc base'!M246),2)-O246-'Calc base'!Y246)</f>
        <v>0</v>
      </c>
      <c r="AB246">
        <f>MAX(0,ROUND(AZ245*(1+'Calc base'!N246),2)-P246-'Calc base'!Z246)</f>
        <v>0</v>
      </c>
      <c r="AC246">
        <f>MAX(0,ROUND(BA245*(1+'Calc base'!O246),2)-Q246-'Calc base'!AA246)</f>
        <v>0</v>
      </c>
      <c r="AD246">
        <f>MAX(0,ROUND(BB245*(1+'Calc base'!P246),2)-R246-'Calc base'!AB246)</f>
        <v>0</v>
      </c>
      <c r="AE246">
        <f>MAX(0,ROUND(BC245*(1+'Calc base'!Q246),2)-S246-'Calc base'!AC246)</f>
        <v>0</v>
      </c>
      <c r="AF246">
        <f>MAX(0,ROUND(BD245*(1+'Calc base'!R246),2)-T246-'Calc base'!AD246)</f>
        <v>0</v>
      </c>
      <c r="AG246">
        <f>MAX(0,ROUND(BE245*(1+'Calc base'!S246),2)-U246-'Calc base'!AE246)</f>
        <v>0</v>
      </c>
      <c r="AH246">
        <f>IF('Calc base'!C$14=0,0,MIN(V246,MAX(0,$E246-SUMPRODUCT($V246:$AG246,'Calc base'!$C$14:$N$14,('Calc base'!$H246:$S246&gt;'Calc base'!H246)+('Calc base'!$H246:$S246='Calc base'!H246)*('Calc base'!$C$17:$N$17&lt;'Calc base'!C$17)))))</f>
        <v>0</v>
      </c>
      <c r="AI246">
        <f>IF('Calc base'!D$14=0,0,MIN(W246,MAX(0,$E246-SUMPRODUCT($V246:$AG246,'Calc base'!$C$14:$N$14,('Calc base'!$H246:$S246&gt;'Calc base'!I246)+('Calc base'!$H246:$S246='Calc base'!I246)*('Calc base'!$C$17:$N$17&lt;'Calc base'!D$17)))))</f>
        <v>0</v>
      </c>
      <c r="AJ246">
        <f>IF('Calc base'!E$14=0,0,MIN(X246,MAX(0,$E246-SUMPRODUCT($V246:$AG246,'Calc base'!$C$14:$N$14,('Calc base'!$H246:$S246&gt;'Calc base'!J246)+('Calc base'!$H246:$S246='Calc base'!J246)*('Calc base'!$C$17:$N$17&lt;'Calc base'!E$17)))))</f>
        <v>0</v>
      </c>
      <c r="AK246">
        <f>IF('Calc base'!F$14=0,0,MIN(Y246,MAX(0,$E246-SUMPRODUCT($V246:$AG246,'Calc base'!$C$14:$N$14,('Calc base'!$H246:$S246&gt;'Calc base'!K246)+('Calc base'!$H246:$S246='Calc base'!K246)*('Calc base'!$C$17:$N$17&lt;'Calc base'!F$17)))))</f>
        <v>0</v>
      </c>
      <c r="AL246">
        <f>IF('Calc base'!G$14=0,0,MIN(Z246,MAX(0,$E246-SUMPRODUCT($V246:$AG246,'Calc base'!$C$14:$N$14,('Calc base'!$H246:$S246&gt;'Calc base'!L246)+('Calc base'!$H246:$S246='Calc base'!L246)*('Calc base'!$C$17:$N$17&lt;'Calc base'!G$17)))))</f>
        <v>0</v>
      </c>
      <c r="AM246">
        <f>IF('Calc base'!H$14=0,0,MIN(AA246,MAX(0,$E246-SUMPRODUCT($V246:$AG246,'Calc base'!$C$14:$N$14,('Calc base'!$H246:$S246&gt;'Calc base'!M246)+('Calc base'!$H246:$S246='Calc base'!M246)*('Calc base'!$C$17:$N$17&lt;'Calc base'!H$17)))))</f>
        <v>0</v>
      </c>
      <c r="AN246">
        <f>IF('Calc base'!I$14=0,0,MIN(AB246,MAX(0,$E246-SUMPRODUCT($V246:$AG246,'Calc base'!$C$14:$N$14,('Calc base'!$H246:$S246&gt;'Calc base'!N246)+('Calc base'!$H246:$S246='Calc base'!N246)*('Calc base'!$C$17:$N$17&lt;'Calc base'!I$17)))))</f>
        <v>0</v>
      </c>
      <c r="AO246">
        <f>IF('Calc base'!J$14=0,0,MIN(AC246,MAX(0,$E246-SUMPRODUCT($V246:$AG246,'Calc base'!$C$14:$N$14,('Calc base'!$H246:$S246&gt;'Calc base'!O246)+('Calc base'!$H246:$S246='Calc base'!O246)*('Calc base'!$C$17:$N$17&lt;'Calc base'!J$17)))))</f>
        <v>0</v>
      </c>
      <c r="AP246">
        <f>IF('Calc base'!K$14=0,0,MIN(AD246,MAX(0,$E246-SUMPRODUCT($V246:$AG246,'Calc base'!$C$14:$N$14,('Calc base'!$H246:$S246&gt;'Calc base'!P246)+('Calc base'!$H246:$S246='Calc base'!P246)*('Calc base'!$C$17:$N$17&lt;'Calc base'!K$17)))))</f>
        <v>0</v>
      </c>
      <c r="AQ246">
        <f>IF('Calc base'!L$14=0,0,MIN(AE246,MAX(0,$E246-SUMPRODUCT($V246:$AG246,'Calc base'!$C$14:$N$14,('Calc base'!$H246:$S246&gt;'Calc base'!Q246)+('Calc base'!$H246:$S246='Calc base'!Q246)*('Calc base'!$C$17:$N$17&lt;'Calc base'!L$17)))))</f>
        <v>0</v>
      </c>
      <c r="AR246">
        <f>IF('Calc base'!M$14=0,0,MIN(AF246,MAX(0,$E246-SUMPRODUCT($V246:$AG246,'Calc base'!$C$14:$N$14,('Calc base'!$H246:$S246&gt;'Calc base'!R246)+('Calc base'!$H246:$S246='Calc base'!R246)*('Calc base'!$C$17:$N$17&lt;'Calc base'!M$17)))))</f>
        <v>0</v>
      </c>
      <c r="AS246">
        <f>IF('Calc base'!N$14=0,0,MIN(AG246,MAX(0,$E246-SUMPRODUCT($V246:$AG246,'Calc base'!$C$14:$N$14,('Calc base'!$H246:$S246&gt;'Calc base'!S246)+('Calc base'!$H246:$S246='Calc base'!S246)*('Calc base'!$C$17:$N$17&lt;'Calc base'!N$17)))))</f>
        <v>0</v>
      </c>
      <c r="AT246">
        <f>V246-AH246</f>
        <v>0</v>
      </c>
      <c r="AU246">
        <f>W246-AI246</f>
        <v>0</v>
      </c>
      <c r="AV246">
        <f>X246-AJ246</f>
        <v>0</v>
      </c>
      <c r="AW246">
        <f>Y246-AK246</f>
        <v>0</v>
      </c>
      <c r="AX246">
        <f>Z246-AL246</f>
        <v>0</v>
      </c>
      <c r="AY246">
        <f>AA246-AM246</f>
        <v>0</v>
      </c>
      <c r="AZ246">
        <f>AB246-AN246</f>
        <v>0</v>
      </c>
      <c r="BA246">
        <f>AC246-AO246</f>
        <v>0</v>
      </c>
      <c r="BB246">
        <f>AD246-AP246</f>
        <v>0</v>
      </c>
      <c r="BC246">
        <f>AE246-AQ246</f>
        <v>0</v>
      </c>
      <c r="BD246">
        <f>AF246-AR246</f>
        <v>0</v>
      </c>
      <c r="BE246">
        <f>AG246-AS246</f>
        <v>0</v>
      </c>
    </row>
    <row r="247">
      <c r="A247" t="n">
        <v>217</v>
      </c>
      <c r="B247">
        <f>SUMPRODUCT(ROUND($AT246:$BE246*(1+'Calc base'!$H247:$S247),2))</f>
        <v>0</v>
      </c>
      <c r="C247">
        <f>SUM(J247:U247)</f>
        <v>0</v>
      </c>
      <c r="D247">
        <f>SUM(V247:AG247)</f>
        <v>0</v>
      </c>
      <c r="E247">
        <f>MAX(0,IF(Impostazioni!$B$7="No",'Calc base'!$C247-$C$31,'Calc base'!$C247-C247)+'Calc base'!$G247+'Calc base'!$F247-(B247-C247-D247))</f>
        <v>900</v>
      </c>
      <c r="F247">
        <f>SUM(AH247:AS247)</f>
        <v>0</v>
      </c>
      <c r="G247">
        <f>SUM(AT247:BE247)</f>
        <v>0</v>
      </c>
      <c r="H247">
        <f>B247-G246</f>
        <v>0</v>
      </c>
      <c r="I247">
        <f>B247-G247</f>
        <v>0</v>
      </c>
      <c r="J247">
        <f>IF(AT246&lt;=0,0,IF(ROUND(AT246*(1+'Calc base'!H247),2)-MAX('Calc base'!C$12,ROUND('Calc base'!C$13*AT246,2))&lt;1,ROUND(AT246*(1+'Calc base'!H247),2),MAX('Calc base'!C$12,ROUND('Calc base'!C$13*AT246,2))))</f>
        <v>0</v>
      </c>
      <c r="K247">
        <f>IF(AU246&lt;=0,0,IF(ROUND(AU246*(1+'Calc base'!I247),2)-MAX('Calc base'!D$12,ROUND('Calc base'!D$13*AU246,2))&lt;1,ROUND(AU246*(1+'Calc base'!I247),2),MAX('Calc base'!D$12,ROUND('Calc base'!D$13*AU246,2))))</f>
        <v>0</v>
      </c>
      <c r="L247">
        <f>IF(AV246&lt;=0,0,IF(ROUND(AV246*(1+'Calc base'!J247),2)-MAX('Calc base'!E$12,ROUND('Calc base'!E$13*AV246,2))&lt;1,ROUND(AV246*(1+'Calc base'!J247),2),MAX('Calc base'!E$12,ROUND('Calc base'!E$13*AV246,2))))</f>
        <v>0</v>
      </c>
      <c r="M247">
        <f>IF(AW246&lt;=0,0,IF(ROUND(AW246*(1+'Calc base'!K247),2)-MAX('Calc base'!F$12,ROUND('Calc base'!F$13*AW246,2))&lt;1,ROUND(AW246*(1+'Calc base'!K247),2),MAX('Calc base'!F$12,ROUND('Calc base'!F$13*AW246,2))))</f>
        <v>0</v>
      </c>
      <c r="N247">
        <f>IF(AX246&lt;=0,0,IF(ROUND(AX246*(1+'Calc base'!L247),2)-MAX('Calc base'!G$12,ROUND('Calc base'!G$13*AX246,2))&lt;1,ROUND(AX246*(1+'Calc base'!L247),2),MAX('Calc base'!G$12,ROUND('Calc base'!G$13*AX246,2))))</f>
        <v>0</v>
      </c>
      <c r="O247">
        <f>IF(AY246&lt;=0,0,IF(ROUND(AY246*(1+'Calc base'!M247),2)-MAX('Calc base'!H$12,ROUND('Calc base'!H$13*AY246,2))&lt;1,ROUND(AY246*(1+'Calc base'!M247),2),MAX('Calc base'!H$12,ROUND('Calc base'!H$13*AY246,2))))</f>
        <v>0</v>
      </c>
      <c r="P247">
        <f>IF(AZ246&lt;=0,0,IF(ROUND(AZ246*(1+'Calc base'!N247),2)-MAX('Calc base'!I$12,ROUND('Calc base'!I$13*AZ246,2))&lt;1,ROUND(AZ246*(1+'Calc base'!N247),2),MAX('Calc base'!I$12,ROUND('Calc base'!I$13*AZ246,2))))</f>
        <v>0</v>
      </c>
      <c r="Q247">
        <f>IF(BA246&lt;=0,0,IF(ROUND(BA246*(1+'Calc base'!O247),2)-MAX('Calc base'!J$12,ROUND('Calc base'!J$13*BA246,2))&lt;1,ROUND(BA246*(1+'Calc base'!O247),2),MAX('Calc base'!J$12,ROUND('Calc base'!J$13*BA246,2))))</f>
        <v>0</v>
      </c>
      <c r="R247">
        <f>IF(BB246&lt;=0,0,IF(ROUND(BB246*(1+'Calc base'!P247),2)-MAX('Calc base'!K$12,ROUND('Calc base'!K$13*BB246,2))&lt;1,ROUND(BB246*(1+'Calc base'!P247),2),MAX('Calc base'!K$12,ROUND('Calc base'!K$13*BB246,2))))</f>
        <v>0</v>
      </c>
      <c r="S247">
        <f>IF(BC246&lt;=0,0,IF(ROUND(BC246*(1+'Calc base'!Q247),2)-MAX('Calc base'!L$12,ROUND('Calc base'!L$13*BC246,2))&lt;1,ROUND(BC246*(1+'Calc base'!Q247),2),MAX('Calc base'!L$12,ROUND('Calc base'!L$13*BC246,2))))</f>
        <v>0</v>
      </c>
      <c r="T247">
        <f>IF(BD246&lt;=0,0,IF(ROUND(BD246*(1+'Calc base'!R247),2)-MAX('Calc base'!M$12,ROUND('Calc base'!M$13*BD246,2))&lt;1,ROUND(BD246*(1+'Calc base'!R247),2),MAX('Calc base'!M$12,ROUND('Calc base'!M$13*BD246,2))))</f>
        <v>0</v>
      </c>
      <c r="U247">
        <f>IF(BE246&lt;=0,0,IF(ROUND(BE246*(1+'Calc base'!S247),2)-MAX('Calc base'!N$12,ROUND('Calc base'!N$13*BE246,2))&lt;1,ROUND(BE246*(1+'Calc base'!S247),2),MAX('Calc base'!N$12,ROUND('Calc base'!N$13*BE246,2))))</f>
        <v>0</v>
      </c>
      <c r="V247">
        <f>MAX(0,ROUND(AT246*(1+'Calc base'!H247),2)-J247-'Calc base'!T247)</f>
        <v>0</v>
      </c>
      <c r="W247">
        <f>MAX(0,ROUND(AU246*(1+'Calc base'!I247),2)-K247-'Calc base'!U247)</f>
        <v>0</v>
      </c>
      <c r="X247">
        <f>MAX(0,ROUND(AV246*(1+'Calc base'!J247),2)-L247-'Calc base'!V247)</f>
        <v>0</v>
      </c>
      <c r="Y247">
        <f>MAX(0,ROUND(AW246*(1+'Calc base'!K247),2)-M247-'Calc base'!W247)</f>
        <v>0</v>
      </c>
      <c r="Z247">
        <f>MAX(0,ROUND(AX246*(1+'Calc base'!L247),2)-N247-'Calc base'!X247)</f>
        <v>0</v>
      </c>
      <c r="AA247">
        <f>MAX(0,ROUND(AY246*(1+'Calc base'!M247),2)-O247-'Calc base'!Y247)</f>
        <v>0</v>
      </c>
      <c r="AB247">
        <f>MAX(0,ROUND(AZ246*(1+'Calc base'!N247),2)-P247-'Calc base'!Z247)</f>
        <v>0</v>
      </c>
      <c r="AC247">
        <f>MAX(0,ROUND(BA246*(1+'Calc base'!O247),2)-Q247-'Calc base'!AA247)</f>
        <v>0</v>
      </c>
      <c r="AD247">
        <f>MAX(0,ROUND(BB246*(1+'Calc base'!P247),2)-R247-'Calc base'!AB247)</f>
        <v>0</v>
      </c>
      <c r="AE247">
        <f>MAX(0,ROUND(BC246*(1+'Calc base'!Q247),2)-S247-'Calc base'!AC247)</f>
        <v>0</v>
      </c>
      <c r="AF247">
        <f>MAX(0,ROUND(BD246*(1+'Calc base'!R247),2)-T247-'Calc base'!AD247)</f>
        <v>0</v>
      </c>
      <c r="AG247">
        <f>MAX(0,ROUND(BE246*(1+'Calc base'!S247),2)-U247-'Calc base'!AE247)</f>
        <v>0</v>
      </c>
      <c r="AH247">
        <f>IF('Calc base'!C$14=0,0,MIN(V247,MAX(0,$E247-SUMPRODUCT($V247:$AG247,'Calc base'!$C$14:$N$14,('Calc base'!$H247:$S247&gt;'Calc base'!H247)+('Calc base'!$H247:$S247='Calc base'!H247)*('Calc base'!$C$17:$N$17&lt;'Calc base'!C$17)))))</f>
        <v>0</v>
      </c>
      <c r="AI247">
        <f>IF('Calc base'!D$14=0,0,MIN(W247,MAX(0,$E247-SUMPRODUCT($V247:$AG247,'Calc base'!$C$14:$N$14,('Calc base'!$H247:$S247&gt;'Calc base'!I247)+('Calc base'!$H247:$S247='Calc base'!I247)*('Calc base'!$C$17:$N$17&lt;'Calc base'!D$17)))))</f>
        <v>0</v>
      </c>
      <c r="AJ247">
        <f>IF('Calc base'!E$14=0,0,MIN(X247,MAX(0,$E247-SUMPRODUCT($V247:$AG247,'Calc base'!$C$14:$N$14,('Calc base'!$H247:$S247&gt;'Calc base'!J247)+('Calc base'!$H247:$S247='Calc base'!J247)*('Calc base'!$C$17:$N$17&lt;'Calc base'!E$17)))))</f>
        <v>0</v>
      </c>
      <c r="AK247">
        <f>IF('Calc base'!F$14=0,0,MIN(Y247,MAX(0,$E247-SUMPRODUCT($V247:$AG247,'Calc base'!$C$14:$N$14,('Calc base'!$H247:$S247&gt;'Calc base'!K247)+('Calc base'!$H247:$S247='Calc base'!K247)*('Calc base'!$C$17:$N$17&lt;'Calc base'!F$17)))))</f>
        <v>0</v>
      </c>
      <c r="AL247">
        <f>IF('Calc base'!G$14=0,0,MIN(Z247,MAX(0,$E247-SUMPRODUCT($V247:$AG247,'Calc base'!$C$14:$N$14,('Calc base'!$H247:$S247&gt;'Calc base'!L247)+('Calc base'!$H247:$S247='Calc base'!L247)*('Calc base'!$C$17:$N$17&lt;'Calc base'!G$17)))))</f>
        <v>0</v>
      </c>
      <c r="AM247">
        <f>IF('Calc base'!H$14=0,0,MIN(AA247,MAX(0,$E247-SUMPRODUCT($V247:$AG247,'Calc base'!$C$14:$N$14,('Calc base'!$H247:$S247&gt;'Calc base'!M247)+('Calc base'!$H247:$S247='Calc base'!M247)*('Calc base'!$C$17:$N$17&lt;'Calc base'!H$17)))))</f>
        <v>0</v>
      </c>
      <c r="AN247">
        <f>IF('Calc base'!I$14=0,0,MIN(AB247,MAX(0,$E247-SUMPRODUCT($V247:$AG247,'Calc base'!$C$14:$N$14,('Calc base'!$H247:$S247&gt;'Calc base'!N247)+('Calc base'!$H247:$S247='Calc base'!N247)*('Calc base'!$C$17:$N$17&lt;'Calc base'!I$17)))))</f>
        <v>0</v>
      </c>
      <c r="AO247">
        <f>IF('Calc base'!J$14=0,0,MIN(AC247,MAX(0,$E247-SUMPRODUCT($V247:$AG247,'Calc base'!$C$14:$N$14,('Calc base'!$H247:$S247&gt;'Calc base'!O247)+('Calc base'!$H247:$S247='Calc base'!O247)*('Calc base'!$C$17:$N$17&lt;'Calc base'!J$17)))))</f>
        <v>0</v>
      </c>
      <c r="AP247">
        <f>IF('Calc base'!K$14=0,0,MIN(AD247,MAX(0,$E247-SUMPRODUCT($V247:$AG247,'Calc base'!$C$14:$N$14,('Calc base'!$H247:$S247&gt;'Calc base'!P247)+('Calc base'!$H247:$S247='Calc base'!P247)*('Calc base'!$C$17:$N$17&lt;'Calc base'!K$17)))))</f>
        <v>0</v>
      </c>
      <c r="AQ247">
        <f>IF('Calc base'!L$14=0,0,MIN(AE247,MAX(0,$E247-SUMPRODUCT($V247:$AG247,'Calc base'!$C$14:$N$14,('Calc base'!$H247:$S247&gt;'Calc base'!Q247)+('Calc base'!$H247:$S247='Calc base'!Q247)*('Calc base'!$C$17:$N$17&lt;'Calc base'!L$17)))))</f>
        <v>0</v>
      </c>
      <c r="AR247">
        <f>IF('Calc base'!M$14=0,0,MIN(AF247,MAX(0,$E247-SUMPRODUCT($V247:$AG247,'Calc base'!$C$14:$N$14,('Calc base'!$H247:$S247&gt;'Calc base'!R247)+('Calc base'!$H247:$S247='Calc base'!R247)*('Calc base'!$C$17:$N$17&lt;'Calc base'!M$17)))))</f>
        <v>0</v>
      </c>
      <c r="AS247">
        <f>IF('Calc base'!N$14=0,0,MIN(AG247,MAX(0,$E247-SUMPRODUCT($V247:$AG247,'Calc base'!$C$14:$N$14,('Calc base'!$H247:$S247&gt;'Calc base'!S247)+('Calc base'!$H247:$S247='Calc base'!S247)*('Calc base'!$C$17:$N$17&lt;'Calc base'!N$17)))))</f>
        <v>0</v>
      </c>
      <c r="AT247">
        <f>V247-AH247</f>
        <v>0</v>
      </c>
      <c r="AU247">
        <f>W247-AI247</f>
        <v>0</v>
      </c>
      <c r="AV247">
        <f>X247-AJ247</f>
        <v>0</v>
      </c>
      <c r="AW247">
        <f>Y247-AK247</f>
        <v>0</v>
      </c>
      <c r="AX247">
        <f>Z247-AL247</f>
        <v>0</v>
      </c>
      <c r="AY247">
        <f>AA247-AM247</f>
        <v>0</v>
      </c>
      <c r="AZ247">
        <f>AB247-AN247</f>
        <v>0</v>
      </c>
      <c r="BA247">
        <f>AC247-AO247</f>
        <v>0</v>
      </c>
      <c r="BB247">
        <f>AD247-AP247</f>
        <v>0</v>
      </c>
      <c r="BC247">
        <f>AE247-AQ247</f>
        <v>0</v>
      </c>
      <c r="BD247">
        <f>AF247-AR247</f>
        <v>0</v>
      </c>
      <c r="BE247">
        <f>AG247-AS247</f>
        <v>0</v>
      </c>
    </row>
    <row r="248">
      <c r="A248" t="n">
        <v>218</v>
      </c>
      <c r="B248">
        <f>SUMPRODUCT(ROUND($AT247:$BE247*(1+'Calc base'!$H248:$S248),2))</f>
        <v>0</v>
      </c>
      <c r="C248">
        <f>SUM(J248:U248)</f>
        <v>0</v>
      </c>
      <c r="D248">
        <f>SUM(V248:AG248)</f>
        <v>0</v>
      </c>
      <c r="E248">
        <f>MAX(0,IF(Impostazioni!$B$7="No",'Calc base'!$C248-$C$31,'Calc base'!$C248-C248)+'Calc base'!$G248+'Calc base'!$F248-(B248-C248-D248))</f>
        <v>900</v>
      </c>
      <c r="F248">
        <f>SUM(AH248:AS248)</f>
        <v>0</v>
      </c>
      <c r="G248">
        <f>SUM(AT248:BE248)</f>
        <v>0</v>
      </c>
      <c r="H248">
        <f>B248-G247</f>
        <v>0</v>
      </c>
      <c r="I248">
        <f>B248-G248</f>
        <v>0</v>
      </c>
      <c r="J248">
        <f>IF(AT247&lt;=0,0,IF(ROUND(AT247*(1+'Calc base'!H248),2)-MAX('Calc base'!C$12,ROUND('Calc base'!C$13*AT247,2))&lt;1,ROUND(AT247*(1+'Calc base'!H248),2),MAX('Calc base'!C$12,ROUND('Calc base'!C$13*AT247,2))))</f>
        <v>0</v>
      </c>
      <c r="K248">
        <f>IF(AU247&lt;=0,0,IF(ROUND(AU247*(1+'Calc base'!I248),2)-MAX('Calc base'!D$12,ROUND('Calc base'!D$13*AU247,2))&lt;1,ROUND(AU247*(1+'Calc base'!I248),2),MAX('Calc base'!D$12,ROUND('Calc base'!D$13*AU247,2))))</f>
        <v>0</v>
      </c>
      <c r="L248">
        <f>IF(AV247&lt;=0,0,IF(ROUND(AV247*(1+'Calc base'!J248),2)-MAX('Calc base'!E$12,ROUND('Calc base'!E$13*AV247,2))&lt;1,ROUND(AV247*(1+'Calc base'!J248),2),MAX('Calc base'!E$12,ROUND('Calc base'!E$13*AV247,2))))</f>
        <v>0</v>
      </c>
      <c r="M248">
        <f>IF(AW247&lt;=0,0,IF(ROUND(AW247*(1+'Calc base'!K248),2)-MAX('Calc base'!F$12,ROUND('Calc base'!F$13*AW247,2))&lt;1,ROUND(AW247*(1+'Calc base'!K248),2),MAX('Calc base'!F$12,ROUND('Calc base'!F$13*AW247,2))))</f>
        <v>0</v>
      </c>
      <c r="N248">
        <f>IF(AX247&lt;=0,0,IF(ROUND(AX247*(1+'Calc base'!L248),2)-MAX('Calc base'!G$12,ROUND('Calc base'!G$13*AX247,2))&lt;1,ROUND(AX247*(1+'Calc base'!L248),2),MAX('Calc base'!G$12,ROUND('Calc base'!G$13*AX247,2))))</f>
        <v>0</v>
      </c>
      <c r="O248">
        <f>IF(AY247&lt;=0,0,IF(ROUND(AY247*(1+'Calc base'!M248),2)-MAX('Calc base'!H$12,ROUND('Calc base'!H$13*AY247,2))&lt;1,ROUND(AY247*(1+'Calc base'!M248),2),MAX('Calc base'!H$12,ROUND('Calc base'!H$13*AY247,2))))</f>
        <v>0</v>
      </c>
      <c r="P248">
        <f>IF(AZ247&lt;=0,0,IF(ROUND(AZ247*(1+'Calc base'!N248),2)-MAX('Calc base'!I$12,ROUND('Calc base'!I$13*AZ247,2))&lt;1,ROUND(AZ247*(1+'Calc base'!N248),2),MAX('Calc base'!I$12,ROUND('Calc base'!I$13*AZ247,2))))</f>
        <v>0</v>
      </c>
      <c r="Q248">
        <f>IF(BA247&lt;=0,0,IF(ROUND(BA247*(1+'Calc base'!O248),2)-MAX('Calc base'!J$12,ROUND('Calc base'!J$13*BA247,2))&lt;1,ROUND(BA247*(1+'Calc base'!O248),2),MAX('Calc base'!J$12,ROUND('Calc base'!J$13*BA247,2))))</f>
        <v>0</v>
      </c>
      <c r="R248">
        <f>IF(BB247&lt;=0,0,IF(ROUND(BB247*(1+'Calc base'!P248),2)-MAX('Calc base'!K$12,ROUND('Calc base'!K$13*BB247,2))&lt;1,ROUND(BB247*(1+'Calc base'!P248),2),MAX('Calc base'!K$12,ROUND('Calc base'!K$13*BB247,2))))</f>
        <v>0</v>
      </c>
      <c r="S248">
        <f>IF(BC247&lt;=0,0,IF(ROUND(BC247*(1+'Calc base'!Q248),2)-MAX('Calc base'!L$12,ROUND('Calc base'!L$13*BC247,2))&lt;1,ROUND(BC247*(1+'Calc base'!Q248),2),MAX('Calc base'!L$12,ROUND('Calc base'!L$13*BC247,2))))</f>
        <v>0</v>
      </c>
      <c r="T248">
        <f>IF(BD247&lt;=0,0,IF(ROUND(BD247*(1+'Calc base'!R248),2)-MAX('Calc base'!M$12,ROUND('Calc base'!M$13*BD247,2))&lt;1,ROUND(BD247*(1+'Calc base'!R248),2),MAX('Calc base'!M$12,ROUND('Calc base'!M$13*BD247,2))))</f>
        <v>0</v>
      </c>
      <c r="U248">
        <f>IF(BE247&lt;=0,0,IF(ROUND(BE247*(1+'Calc base'!S248),2)-MAX('Calc base'!N$12,ROUND('Calc base'!N$13*BE247,2))&lt;1,ROUND(BE247*(1+'Calc base'!S248),2),MAX('Calc base'!N$12,ROUND('Calc base'!N$13*BE247,2))))</f>
        <v>0</v>
      </c>
      <c r="V248">
        <f>MAX(0,ROUND(AT247*(1+'Calc base'!H248),2)-J248-'Calc base'!T248)</f>
        <v>0</v>
      </c>
      <c r="W248">
        <f>MAX(0,ROUND(AU247*(1+'Calc base'!I248),2)-K248-'Calc base'!U248)</f>
        <v>0</v>
      </c>
      <c r="X248">
        <f>MAX(0,ROUND(AV247*(1+'Calc base'!J248),2)-L248-'Calc base'!V248)</f>
        <v>0</v>
      </c>
      <c r="Y248">
        <f>MAX(0,ROUND(AW247*(1+'Calc base'!K248),2)-M248-'Calc base'!W248)</f>
        <v>0</v>
      </c>
      <c r="Z248">
        <f>MAX(0,ROUND(AX247*(1+'Calc base'!L248),2)-N248-'Calc base'!X248)</f>
        <v>0</v>
      </c>
      <c r="AA248">
        <f>MAX(0,ROUND(AY247*(1+'Calc base'!M248),2)-O248-'Calc base'!Y248)</f>
        <v>0</v>
      </c>
      <c r="AB248">
        <f>MAX(0,ROUND(AZ247*(1+'Calc base'!N248),2)-P248-'Calc base'!Z248)</f>
        <v>0</v>
      </c>
      <c r="AC248">
        <f>MAX(0,ROUND(BA247*(1+'Calc base'!O248),2)-Q248-'Calc base'!AA248)</f>
        <v>0</v>
      </c>
      <c r="AD248">
        <f>MAX(0,ROUND(BB247*(1+'Calc base'!P248),2)-R248-'Calc base'!AB248)</f>
        <v>0</v>
      </c>
      <c r="AE248">
        <f>MAX(0,ROUND(BC247*(1+'Calc base'!Q248),2)-S248-'Calc base'!AC248)</f>
        <v>0</v>
      </c>
      <c r="AF248">
        <f>MAX(0,ROUND(BD247*(1+'Calc base'!R248),2)-T248-'Calc base'!AD248)</f>
        <v>0</v>
      </c>
      <c r="AG248">
        <f>MAX(0,ROUND(BE247*(1+'Calc base'!S248),2)-U248-'Calc base'!AE248)</f>
        <v>0</v>
      </c>
      <c r="AH248">
        <f>IF('Calc base'!C$14=0,0,MIN(V248,MAX(0,$E248-SUMPRODUCT($V248:$AG248,'Calc base'!$C$14:$N$14,('Calc base'!$H248:$S248&gt;'Calc base'!H248)+('Calc base'!$H248:$S248='Calc base'!H248)*('Calc base'!$C$17:$N$17&lt;'Calc base'!C$17)))))</f>
        <v>0</v>
      </c>
      <c r="AI248">
        <f>IF('Calc base'!D$14=0,0,MIN(W248,MAX(0,$E248-SUMPRODUCT($V248:$AG248,'Calc base'!$C$14:$N$14,('Calc base'!$H248:$S248&gt;'Calc base'!I248)+('Calc base'!$H248:$S248='Calc base'!I248)*('Calc base'!$C$17:$N$17&lt;'Calc base'!D$17)))))</f>
        <v>0</v>
      </c>
      <c r="AJ248">
        <f>IF('Calc base'!E$14=0,0,MIN(X248,MAX(0,$E248-SUMPRODUCT($V248:$AG248,'Calc base'!$C$14:$N$14,('Calc base'!$H248:$S248&gt;'Calc base'!J248)+('Calc base'!$H248:$S248='Calc base'!J248)*('Calc base'!$C$17:$N$17&lt;'Calc base'!E$17)))))</f>
        <v>0</v>
      </c>
      <c r="AK248">
        <f>IF('Calc base'!F$14=0,0,MIN(Y248,MAX(0,$E248-SUMPRODUCT($V248:$AG248,'Calc base'!$C$14:$N$14,('Calc base'!$H248:$S248&gt;'Calc base'!K248)+('Calc base'!$H248:$S248='Calc base'!K248)*('Calc base'!$C$17:$N$17&lt;'Calc base'!F$17)))))</f>
        <v>0</v>
      </c>
      <c r="AL248">
        <f>IF('Calc base'!G$14=0,0,MIN(Z248,MAX(0,$E248-SUMPRODUCT($V248:$AG248,'Calc base'!$C$14:$N$14,('Calc base'!$H248:$S248&gt;'Calc base'!L248)+('Calc base'!$H248:$S248='Calc base'!L248)*('Calc base'!$C$17:$N$17&lt;'Calc base'!G$17)))))</f>
        <v>0</v>
      </c>
      <c r="AM248">
        <f>IF('Calc base'!H$14=0,0,MIN(AA248,MAX(0,$E248-SUMPRODUCT($V248:$AG248,'Calc base'!$C$14:$N$14,('Calc base'!$H248:$S248&gt;'Calc base'!M248)+('Calc base'!$H248:$S248='Calc base'!M248)*('Calc base'!$C$17:$N$17&lt;'Calc base'!H$17)))))</f>
        <v>0</v>
      </c>
      <c r="AN248">
        <f>IF('Calc base'!I$14=0,0,MIN(AB248,MAX(0,$E248-SUMPRODUCT($V248:$AG248,'Calc base'!$C$14:$N$14,('Calc base'!$H248:$S248&gt;'Calc base'!N248)+('Calc base'!$H248:$S248='Calc base'!N248)*('Calc base'!$C$17:$N$17&lt;'Calc base'!I$17)))))</f>
        <v>0</v>
      </c>
      <c r="AO248">
        <f>IF('Calc base'!J$14=0,0,MIN(AC248,MAX(0,$E248-SUMPRODUCT($V248:$AG248,'Calc base'!$C$14:$N$14,('Calc base'!$H248:$S248&gt;'Calc base'!O248)+('Calc base'!$H248:$S248='Calc base'!O248)*('Calc base'!$C$17:$N$17&lt;'Calc base'!J$17)))))</f>
        <v>0</v>
      </c>
      <c r="AP248">
        <f>IF('Calc base'!K$14=0,0,MIN(AD248,MAX(0,$E248-SUMPRODUCT($V248:$AG248,'Calc base'!$C$14:$N$14,('Calc base'!$H248:$S248&gt;'Calc base'!P248)+('Calc base'!$H248:$S248='Calc base'!P248)*('Calc base'!$C$17:$N$17&lt;'Calc base'!K$17)))))</f>
        <v>0</v>
      </c>
      <c r="AQ248">
        <f>IF('Calc base'!L$14=0,0,MIN(AE248,MAX(0,$E248-SUMPRODUCT($V248:$AG248,'Calc base'!$C$14:$N$14,('Calc base'!$H248:$S248&gt;'Calc base'!Q248)+('Calc base'!$H248:$S248='Calc base'!Q248)*('Calc base'!$C$17:$N$17&lt;'Calc base'!L$17)))))</f>
        <v>0</v>
      </c>
      <c r="AR248">
        <f>IF('Calc base'!M$14=0,0,MIN(AF248,MAX(0,$E248-SUMPRODUCT($V248:$AG248,'Calc base'!$C$14:$N$14,('Calc base'!$H248:$S248&gt;'Calc base'!R248)+('Calc base'!$H248:$S248='Calc base'!R248)*('Calc base'!$C$17:$N$17&lt;'Calc base'!M$17)))))</f>
        <v>0</v>
      </c>
      <c r="AS248">
        <f>IF('Calc base'!N$14=0,0,MIN(AG248,MAX(0,$E248-SUMPRODUCT($V248:$AG248,'Calc base'!$C$14:$N$14,('Calc base'!$H248:$S248&gt;'Calc base'!S248)+('Calc base'!$H248:$S248='Calc base'!S248)*('Calc base'!$C$17:$N$17&lt;'Calc base'!N$17)))))</f>
        <v>0</v>
      </c>
      <c r="AT248">
        <f>V248-AH248</f>
        <v>0</v>
      </c>
      <c r="AU248">
        <f>W248-AI248</f>
        <v>0</v>
      </c>
      <c r="AV248">
        <f>X248-AJ248</f>
        <v>0</v>
      </c>
      <c r="AW248">
        <f>Y248-AK248</f>
        <v>0</v>
      </c>
      <c r="AX248">
        <f>Z248-AL248</f>
        <v>0</v>
      </c>
      <c r="AY248">
        <f>AA248-AM248</f>
        <v>0</v>
      </c>
      <c r="AZ248">
        <f>AB248-AN248</f>
        <v>0</v>
      </c>
      <c r="BA248">
        <f>AC248-AO248</f>
        <v>0</v>
      </c>
      <c r="BB248">
        <f>AD248-AP248</f>
        <v>0</v>
      </c>
      <c r="BC248">
        <f>AE248-AQ248</f>
        <v>0</v>
      </c>
      <c r="BD248">
        <f>AF248-AR248</f>
        <v>0</v>
      </c>
      <c r="BE248">
        <f>AG248-AS248</f>
        <v>0</v>
      </c>
    </row>
    <row r="249">
      <c r="A249" t="n">
        <v>219</v>
      </c>
      <c r="B249">
        <f>SUMPRODUCT(ROUND($AT248:$BE248*(1+'Calc base'!$H249:$S249),2))</f>
        <v>0</v>
      </c>
      <c r="C249">
        <f>SUM(J249:U249)</f>
        <v>0</v>
      </c>
      <c r="D249">
        <f>SUM(V249:AG249)</f>
        <v>0</v>
      </c>
      <c r="E249">
        <f>MAX(0,IF(Impostazioni!$B$7="No",'Calc base'!$C249-$C$31,'Calc base'!$C249-C249)+'Calc base'!$G249+'Calc base'!$F249-(B249-C249-D249))</f>
        <v>900</v>
      </c>
      <c r="F249">
        <f>SUM(AH249:AS249)</f>
        <v>0</v>
      </c>
      <c r="G249">
        <f>SUM(AT249:BE249)</f>
        <v>0</v>
      </c>
      <c r="H249">
        <f>B249-G248</f>
        <v>0</v>
      </c>
      <c r="I249">
        <f>B249-G249</f>
        <v>0</v>
      </c>
      <c r="J249">
        <f>IF(AT248&lt;=0,0,IF(ROUND(AT248*(1+'Calc base'!H249),2)-MAX('Calc base'!C$12,ROUND('Calc base'!C$13*AT248,2))&lt;1,ROUND(AT248*(1+'Calc base'!H249),2),MAX('Calc base'!C$12,ROUND('Calc base'!C$13*AT248,2))))</f>
        <v>0</v>
      </c>
      <c r="K249">
        <f>IF(AU248&lt;=0,0,IF(ROUND(AU248*(1+'Calc base'!I249),2)-MAX('Calc base'!D$12,ROUND('Calc base'!D$13*AU248,2))&lt;1,ROUND(AU248*(1+'Calc base'!I249),2),MAX('Calc base'!D$12,ROUND('Calc base'!D$13*AU248,2))))</f>
        <v>0</v>
      </c>
      <c r="L249">
        <f>IF(AV248&lt;=0,0,IF(ROUND(AV248*(1+'Calc base'!J249),2)-MAX('Calc base'!E$12,ROUND('Calc base'!E$13*AV248,2))&lt;1,ROUND(AV248*(1+'Calc base'!J249),2),MAX('Calc base'!E$12,ROUND('Calc base'!E$13*AV248,2))))</f>
        <v>0</v>
      </c>
      <c r="M249">
        <f>IF(AW248&lt;=0,0,IF(ROUND(AW248*(1+'Calc base'!K249),2)-MAX('Calc base'!F$12,ROUND('Calc base'!F$13*AW248,2))&lt;1,ROUND(AW248*(1+'Calc base'!K249),2),MAX('Calc base'!F$12,ROUND('Calc base'!F$13*AW248,2))))</f>
        <v>0</v>
      </c>
      <c r="N249">
        <f>IF(AX248&lt;=0,0,IF(ROUND(AX248*(1+'Calc base'!L249),2)-MAX('Calc base'!G$12,ROUND('Calc base'!G$13*AX248,2))&lt;1,ROUND(AX248*(1+'Calc base'!L249),2),MAX('Calc base'!G$12,ROUND('Calc base'!G$13*AX248,2))))</f>
        <v>0</v>
      </c>
      <c r="O249">
        <f>IF(AY248&lt;=0,0,IF(ROUND(AY248*(1+'Calc base'!M249),2)-MAX('Calc base'!H$12,ROUND('Calc base'!H$13*AY248,2))&lt;1,ROUND(AY248*(1+'Calc base'!M249),2),MAX('Calc base'!H$12,ROUND('Calc base'!H$13*AY248,2))))</f>
        <v>0</v>
      </c>
      <c r="P249">
        <f>IF(AZ248&lt;=0,0,IF(ROUND(AZ248*(1+'Calc base'!N249),2)-MAX('Calc base'!I$12,ROUND('Calc base'!I$13*AZ248,2))&lt;1,ROUND(AZ248*(1+'Calc base'!N249),2),MAX('Calc base'!I$12,ROUND('Calc base'!I$13*AZ248,2))))</f>
        <v>0</v>
      </c>
      <c r="Q249">
        <f>IF(BA248&lt;=0,0,IF(ROUND(BA248*(1+'Calc base'!O249),2)-MAX('Calc base'!J$12,ROUND('Calc base'!J$13*BA248,2))&lt;1,ROUND(BA248*(1+'Calc base'!O249),2),MAX('Calc base'!J$12,ROUND('Calc base'!J$13*BA248,2))))</f>
        <v>0</v>
      </c>
      <c r="R249">
        <f>IF(BB248&lt;=0,0,IF(ROUND(BB248*(1+'Calc base'!P249),2)-MAX('Calc base'!K$12,ROUND('Calc base'!K$13*BB248,2))&lt;1,ROUND(BB248*(1+'Calc base'!P249),2),MAX('Calc base'!K$12,ROUND('Calc base'!K$13*BB248,2))))</f>
        <v>0</v>
      </c>
      <c r="S249">
        <f>IF(BC248&lt;=0,0,IF(ROUND(BC248*(1+'Calc base'!Q249),2)-MAX('Calc base'!L$12,ROUND('Calc base'!L$13*BC248,2))&lt;1,ROUND(BC248*(1+'Calc base'!Q249),2),MAX('Calc base'!L$12,ROUND('Calc base'!L$13*BC248,2))))</f>
        <v>0</v>
      </c>
      <c r="T249">
        <f>IF(BD248&lt;=0,0,IF(ROUND(BD248*(1+'Calc base'!R249),2)-MAX('Calc base'!M$12,ROUND('Calc base'!M$13*BD248,2))&lt;1,ROUND(BD248*(1+'Calc base'!R249),2),MAX('Calc base'!M$12,ROUND('Calc base'!M$13*BD248,2))))</f>
        <v>0</v>
      </c>
      <c r="U249">
        <f>IF(BE248&lt;=0,0,IF(ROUND(BE248*(1+'Calc base'!S249),2)-MAX('Calc base'!N$12,ROUND('Calc base'!N$13*BE248,2))&lt;1,ROUND(BE248*(1+'Calc base'!S249),2),MAX('Calc base'!N$12,ROUND('Calc base'!N$13*BE248,2))))</f>
        <v>0</v>
      </c>
      <c r="V249">
        <f>MAX(0,ROUND(AT248*(1+'Calc base'!H249),2)-J249-'Calc base'!T249)</f>
        <v>0</v>
      </c>
      <c r="W249">
        <f>MAX(0,ROUND(AU248*(1+'Calc base'!I249),2)-K249-'Calc base'!U249)</f>
        <v>0</v>
      </c>
      <c r="X249">
        <f>MAX(0,ROUND(AV248*(1+'Calc base'!J249),2)-L249-'Calc base'!V249)</f>
        <v>0</v>
      </c>
      <c r="Y249">
        <f>MAX(0,ROUND(AW248*(1+'Calc base'!K249),2)-M249-'Calc base'!W249)</f>
        <v>0</v>
      </c>
      <c r="Z249">
        <f>MAX(0,ROUND(AX248*(1+'Calc base'!L249),2)-N249-'Calc base'!X249)</f>
        <v>0</v>
      </c>
      <c r="AA249">
        <f>MAX(0,ROUND(AY248*(1+'Calc base'!M249),2)-O249-'Calc base'!Y249)</f>
        <v>0</v>
      </c>
      <c r="AB249">
        <f>MAX(0,ROUND(AZ248*(1+'Calc base'!N249),2)-P249-'Calc base'!Z249)</f>
        <v>0</v>
      </c>
      <c r="AC249">
        <f>MAX(0,ROUND(BA248*(1+'Calc base'!O249),2)-Q249-'Calc base'!AA249)</f>
        <v>0</v>
      </c>
      <c r="AD249">
        <f>MAX(0,ROUND(BB248*(1+'Calc base'!P249),2)-R249-'Calc base'!AB249)</f>
        <v>0</v>
      </c>
      <c r="AE249">
        <f>MAX(0,ROUND(BC248*(1+'Calc base'!Q249),2)-S249-'Calc base'!AC249)</f>
        <v>0</v>
      </c>
      <c r="AF249">
        <f>MAX(0,ROUND(BD248*(1+'Calc base'!R249),2)-T249-'Calc base'!AD249)</f>
        <v>0</v>
      </c>
      <c r="AG249">
        <f>MAX(0,ROUND(BE248*(1+'Calc base'!S249),2)-U249-'Calc base'!AE249)</f>
        <v>0</v>
      </c>
      <c r="AH249">
        <f>IF('Calc base'!C$14=0,0,MIN(V249,MAX(0,$E249-SUMPRODUCT($V249:$AG249,'Calc base'!$C$14:$N$14,('Calc base'!$H249:$S249&gt;'Calc base'!H249)+('Calc base'!$H249:$S249='Calc base'!H249)*('Calc base'!$C$17:$N$17&lt;'Calc base'!C$17)))))</f>
        <v>0</v>
      </c>
      <c r="AI249">
        <f>IF('Calc base'!D$14=0,0,MIN(W249,MAX(0,$E249-SUMPRODUCT($V249:$AG249,'Calc base'!$C$14:$N$14,('Calc base'!$H249:$S249&gt;'Calc base'!I249)+('Calc base'!$H249:$S249='Calc base'!I249)*('Calc base'!$C$17:$N$17&lt;'Calc base'!D$17)))))</f>
        <v>0</v>
      </c>
      <c r="AJ249">
        <f>IF('Calc base'!E$14=0,0,MIN(X249,MAX(0,$E249-SUMPRODUCT($V249:$AG249,'Calc base'!$C$14:$N$14,('Calc base'!$H249:$S249&gt;'Calc base'!J249)+('Calc base'!$H249:$S249='Calc base'!J249)*('Calc base'!$C$17:$N$17&lt;'Calc base'!E$17)))))</f>
        <v>0</v>
      </c>
      <c r="AK249">
        <f>IF('Calc base'!F$14=0,0,MIN(Y249,MAX(0,$E249-SUMPRODUCT($V249:$AG249,'Calc base'!$C$14:$N$14,('Calc base'!$H249:$S249&gt;'Calc base'!K249)+('Calc base'!$H249:$S249='Calc base'!K249)*('Calc base'!$C$17:$N$17&lt;'Calc base'!F$17)))))</f>
        <v>0</v>
      </c>
      <c r="AL249">
        <f>IF('Calc base'!G$14=0,0,MIN(Z249,MAX(0,$E249-SUMPRODUCT($V249:$AG249,'Calc base'!$C$14:$N$14,('Calc base'!$H249:$S249&gt;'Calc base'!L249)+('Calc base'!$H249:$S249='Calc base'!L249)*('Calc base'!$C$17:$N$17&lt;'Calc base'!G$17)))))</f>
        <v>0</v>
      </c>
      <c r="AM249">
        <f>IF('Calc base'!H$14=0,0,MIN(AA249,MAX(0,$E249-SUMPRODUCT($V249:$AG249,'Calc base'!$C$14:$N$14,('Calc base'!$H249:$S249&gt;'Calc base'!M249)+('Calc base'!$H249:$S249='Calc base'!M249)*('Calc base'!$C$17:$N$17&lt;'Calc base'!H$17)))))</f>
        <v>0</v>
      </c>
      <c r="AN249">
        <f>IF('Calc base'!I$14=0,0,MIN(AB249,MAX(0,$E249-SUMPRODUCT($V249:$AG249,'Calc base'!$C$14:$N$14,('Calc base'!$H249:$S249&gt;'Calc base'!N249)+('Calc base'!$H249:$S249='Calc base'!N249)*('Calc base'!$C$17:$N$17&lt;'Calc base'!I$17)))))</f>
        <v>0</v>
      </c>
      <c r="AO249">
        <f>IF('Calc base'!J$14=0,0,MIN(AC249,MAX(0,$E249-SUMPRODUCT($V249:$AG249,'Calc base'!$C$14:$N$14,('Calc base'!$H249:$S249&gt;'Calc base'!O249)+('Calc base'!$H249:$S249='Calc base'!O249)*('Calc base'!$C$17:$N$17&lt;'Calc base'!J$17)))))</f>
        <v>0</v>
      </c>
      <c r="AP249">
        <f>IF('Calc base'!K$14=0,0,MIN(AD249,MAX(0,$E249-SUMPRODUCT($V249:$AG249,'Calc base'!$C$14:$N$14,('Calc base'!$H249:$S249&gt;'Calc base'!P249)+('Calc base'!$H249:$S249='Calc base'!P249)*('Calc base'!$C$17:$N$17&lt;'Calc base'!K$17)))))</f>
        <v>0</v>
      </c>
      <c r="AQ249">
        <f>IF('Calc base'!L$14=0,0,MIN(AE249,MAX(0,$E249-SUMPRODUCT($V249:$AG249,'Calc base'!$C$14:$N$14,('Calc base'!$H249:$S249&gt;'Calc base'!Q249)+('Calc base'!$H249:$S249='Calc base'!Q249)*('Calc base'!$C$17:$N$17&lt;'Calc base'!L$17)))))</f>
        <v>0</v>
      </c>
      <c r="AR249">
        <f>IF('Calc base'!M$14=0,0,MIN(AF249,MAX(0,$E249-SUMPRODUCT($V249:$AG249,'Calc base'!$C$14:$N$14,('Calc base'!$H249:$S249&gt;'Calc base'!R249)+('Calc base'!$H249:$S249='Calc base'!R249)*('Calc base'!$C$17:$N$17&lt;'Calc base'!M$17)))))</f>
        <v>0</v>
      </c>
      <c r="AS249">
        <f>IF('Calc base'!N$14=0,0,MIN(AG249,MAX(0,$E249-SUMPRODUCT($V249:$AG249,'Calc base'!$C$14:$N$14,('Calc base'!$H249:$S249&gt;'Calc base'!S249)+('Calc base'!$H249:$S249='Calc base'!S249)*('Calc base'!$C$17:$N$17&lt;'Calc base'!N$17)))))</f>
        <v>0</v>
      </c>
      <c r="AT249">
        <f>V249-AH249</f>
        <v>0</v>
      </c>
      <c r="AU249">
        <f>W249-AI249</f>
        <v>0</v>
      </c>
      <c r="AV249">
        <f>X249-AJ249</f>
        <v>0</v>
      </c>
      <c r="AW249">
        <f>Y249-AK249</f>
        <v>0</v>
      </c>
      <c r="AX249">
        <f>Z249-AL249</f>
        <v>0</v>
      </c>
      <c r="AY249">
        <f>AA249-AM249</f>
        <v>0</v>
      </c>
      <c r="AZ249">
        <f>AB249-AN249</f>
        <v>0</v>
      </c>
      <c r="BA249">
        <f>AC249-AO249</f>
        <v>0</v>
      </c>
      <c r="BB249">
        <f>AD249-AP249</f>
        <v>0</v>
      </c>
      <c r="BC249">
        <f>AE249-AQ249</f>
        <v>0</v>
      </c>
      <c r="BD249">
        <f>AF249-AR249</f>
        <v>0</v>
      </c>
      <c r="BE249">
        <f>AG249-AS249</f>
        <v>0</v>
      </c>
    </row>
    <row r="250">
      <c r="A250" t="n">
        <v>220</v>
      </c>
      <c r="B250">
        <f>SUMPRODUCT(ROUND($AT249:$BE249*(1+'Calc base'!$H250:$S250),2))</f>
        <v>0</v>
      </c>
      <c r="C250">
        <f>SUM(J250:U250)</f>
        <v>0</v>
      </c>
      <c r="D250">
        <f>SUM(V250:AG250)</f>
        <v>0</v>
      </c>
      <c r="E250">
        <f>MAX(0,IF(Impostazioni!$B$7="No",'Calc base'!$C250-$C$31,'Calc base'!$C250-C250)+'Calc base'!$G250+'Calc base'!$F250-(B250-C250-D250))</f>
        <v>900</v>
      </c>
      <c r="F250">
        <f>SUM(AH250:AS250)</f>
        <v>0</v>
      </c>
      <c r="G250">
        <f>SUM(AT250:BE250)</f>
        <v>0</v>
      </c>
      <c r="H250">
        <f>B250-G249</f>
        <v>0</v>
      </c>
      <c r="I250">
        <f>B250-G250</f>
        <v>0</v>
      </c>
      <c r="J250">
        <f>IF(AT249&lt;=0,0,IF(ROUND(AT249*(1+'Calc base'!H250),2)-MAX('Calc base'!C$12,ROUND('Calc base'!C$13*AT249,2))&lt;1,ROUND(AT249*(1+'Calc base'!H250),2),MAX('Calc base'!C$12,ROUND('Calc base'!C$13*AT249,2))))</f>
        <v>0</v>
      </c>
      <c r="K250">
        <f>IF(AU249&lt;=0,0,IF(ROUND(AU249*(1+'Calc base'!I250),2)-MAX('Calc base'!D$12,ROUND('Calc base'!D$13*AU249,2))&lt;1,ROUND(AU249*(1+'Calc base'!I250),2),MAX('Calc base'!D$12,ROUND('Calc base'!D$13*AU249,2))))</f>
        <v>0</v>
      </c>
      <c r="L250">
        <f>IF(AV249&lt;=0,0,IF(ROUND(AV249*(1+'Calc base'!J250),2)-MAX('Calc base'!E$12,ROUND('Calc base'!E$13*AV249,2))&lt;1,ROUND(AV249*(1+'Calc base'!J250),2),MAX('Calc base'!E$12,ROUND('Calc base'!E$13*AV249,2))))</f>
        <v>0</v>
      </c>
      <c r="M250">
        <f>IF(AW249&lt;=0,0,IF(ROUND(AW249*(1+'Calc base'!K250),2)-MAX('Calc base'!F$12,ROUND('Calc base'!F$13*AW249,2))&lt;1,ROUND(AW249*(1+'Calc base'!K250),2),MAX('Calc base'!F$12,ROUND('Calc base'!F$13*AW249,2))))</f>
        <v>0</v>
      </c>
      <c r="N250">
        <f>IF(AX249&lt;=0,0,IF(ROUND(AX249*(1+'Calc base'!L250),2)-MAX('Calc base'!G$12,ROUND('Calc base'!G$13*AX249,2))&lt;1,ROUND(AX249*(1+'Calc base'!L250),2),MAX('Calc base'!G$12,ROUND('Calc base'!G$13*AX249,2))))</f>
        <v>0</v>
      </c>
      <c r="O250">
        <f>IF(AY249&lt;=0,0,IF(ROUND(AY249*(1+'Calc base'!M250),2)-MAX('Calc base'!H$12,ROUND('Calc base'!H$13*AY249,2))&lt;1,ROUND(AY249*(1+'Calc base'!M250),2),MAX('Calc base'!H$12,ROUND('Calc base'!H$13*AY249,2))))</f>
        <v>0</v>
      </c>
      <c r="P250">
        <f>IF(AZ249&lt;=0,0,IF(ROUND(AZ249*(1+'Calc base'!N250),2)-MAX('Calc base'!I$12,ROUND('Calc base'!I$13*AZ249,2))&lt;1,ROUND(AZ249*(1+'Calc base'!N250),2),MAX('Calc base'!I$12,ROUND('Calc base'!I$13*AZ249,2))))</f>
        <v>0</v>
      </c>
      <c r="Q250">
        <f>IF(BA249&lt;=0,0,IF(ROUND(BA249*(1+'Calc base'!O250),2)-MAX('Calc base'!J$12,ROUND('Calc base'!J$13*BA249,2))&lt;1,ROUND(BA249*(1+'Calc base'!O250),2),MAX('Calc base'!J$12,ROUND('Calc base'!J$13*BA249,2))))</f>
        <v>0</v>
      </c>
      <c r="R250">
        <f>IF(BB249&lt;=0,0,IF(ROUND(BB249*(1+'Calc base'!P250),2)-MAX('Calc base'!K$12,ROUND('Calc base'!K$13*BB249,2))&lt;1,ROUND(BB249*(1+'Calc base'!P250),2),MAX('Calc base'!K$12,ROUND('Calc base'!K$13*BB249,2))))</f>
        <v>0</v>
      </c>
      <c r="S250">
        <f>IF(BC249&lt;=0,0,IF(ROUND(BC249*(1+'Calc base'!Q250),2)-MAX('Calc base'!L$12,ROUND('Calc base'!L$13*BC249,2))&lt;1,ROUND(BC249*(1+'Calc base'!Q250),2),MAX('Calc base'!L$12,ROUND('Calc base'!L$13*BC249,2))))</f>
        <v>0</v>
      </c>
      <c r="T250">
        <f>IF(BD249&lt;=0,0,IF(ROUND(BD249*(1+'Calc base'!R250),2)-MAX('Calc base'!M$12,ROUND('Calc base'!M$13*BD249,2))&lt;1,ROUND(BD249*(1+'Calc base'!R250),2),MAX('Calc base'!M$12,ROUND('Calc base'!M$13*BD249,2))))</f>
        <v>0</v>
      </c>
      <c r="U250">
        <f>IF(BE249&lt;=0,0,IF(ROUND(BE249*(1+'Calc base'!S250),2)-MAX('Calc base'!N$12,ROUND('Calc base'!N$13*BE249,2))&lt;1,ROUND(BE249*(1+'Calc base'!S250),2),MAX('Calc base'!N$12,ROUND('Calc base'!N$13*BE249,2))))</f>
        <v>0</v>
      </c>
      <c r="V250">
        <f>MAX(0,ROUND(AT249*(1+'Calc base'!H250),2)-J250-'Calc base'!T250)</f>
        <v>0</v>
      </c>
      <c r="W250">
        <f>MAX(0,ROUND(AU249*(1+'Calc base'!I250),2)-K250-'Calc base'!U250)</f>
        <v>0</v>
      </c>
      <c r="X250">
        <f>MAX(0,ROUND(AV249*(1+'Calc base'!J250),2)-L250-'Calc base'!V250)</f>
        <v>0</v>
      </c>
      <c r="Y250">
        <f>MAX(0,ROUND(AW249*(1+'Calc base'!K250),2)-M250-'Calc base'!W250)</f>
        <v>0</v>
      </c>
      <c r="Z250">
        <f>MAX(0,ROUND(AX249*(1+'Calc base'!L250),2)-N250-'Calc base'!X250)</f>
        <v>0</v>
      </c>
      <c r="AA250">
        <f>MAX(0,ROUND(AY249*(1+'Calc base'!M250),2)-O250-'Calc base'!Y250)</f>
        <v>0</v>
      </c>
      <c r="AB250">
        <f>MAX(0,ROUND(AZ249*(1+'Calc base'!N250),2)-P250-'Calc base'!Z250)</f>
        <v>0</v>
      </c>
      <c r="AC250">
        <f>MAX(0,ROUND(BA249*(1+'Calc base'!O250),2)-Q250-'Calc base'!AA250)</f>
        <v>0</v>
      </c>
      <c r="AD250">
        <f>MAX(0,ROUND(BB249*(1+'Calc base'!P250),2)-R250-'Calc base'!AB250)</f>
        <v>0</v>
      </c>
      <c r="AE250">
        <f>MAX(0,ROUND(BC249*(1+'Calc base'!Q250),2)-S250-'Calc base'!AC250)</f>
        <v>0</v>
      </c>
      <c r="AF250">
        <f>MAX(0,ROUND(BD249*(1+'Calc base'!R250),2)-T250-'Calc base'!AD250)</f>
        <v>0</v>
      </c>
      <c r="AG250">
        <f>MAX(0,ROUND(BE249*(1+'Calc base'!S250),2)-U250-'Calc base'!AE250)</f>
        <v>0</v>
      </c>
      <c r="AH250">
        <f>IF('Calc base'!C$14=0,0,MIN(V250,MAX(0,$E250-SUMPRODUCT($V250:$AG250,'Calc base'!$C$14:$N$14,('Calc base'!$H250:$S250&gt;'Calc base'!H250)+('Calc base'!$H250:$S250='Calc base'!H250)*('Calc base'!$C$17:$N$17&lt;'Calc base'!C$17)))))</f>
        <v>0</v>
      </c>
      <c r="AI250">
        <f>IF('Calc base'!D$14=0,0,MIN(W250,MAX(0,$E250-SUMPRODUCT($V250:$AG250,'Calc base'!$C$14:$N$14,('Calc base'!$H250:$S250&gt;'Calc base'!I250)+('Calc base'!$H250:$S250='Calc base'!I250)*('Calc base'!$C$17:$N$17&lt;'Calc base'!D$17)))))</f>
        <v>0</v>
      </c>
      <c r="AJ250">
        <f>IF('Calc base'!E$14=0,0,MIN(X250,MAX(0,$E250-SUMPRODUCT($V250:$AG250,'Calc base'!$C$14:$N$14,('Calc base'!$H250:$S250&gt;'Calc base'!J250)+('Calc base'!$H250:$S250='Calc base'!J250)*('Calc base'!$C$17:$N$17&lt;'Calc base'!E$17)))))</f>
        <v>0</v>
      </c>
      <c r="AK250">
        <f>IF('Calc base'!F$14=0,0,MIN(Y250,MAX(0,$E250-SUMPRODUCT($V250:$AG250,'Calc base'!$C$14:$N$14,('Calc base'!$H250:$S250&gt;'Calc base'!K250)+('Calc base'!$H250:$S250='Calc base'!K250)*('Calc base'!$C$17:$N$17&lt;'Calc base'!F$17)))))</f>
        <v>0</v>
      </c>
      <c r="AL250">
        <f>IF('Calc base'!G$14=0,0,MIN(Z250,MAX(0,$E250-SUMPRODUCT($V250:$AG250,'Calc base'!$C$14:$N$14,('Calc base'!$H250:$S250&gt;'Calc base'!L250)+('Calc base'!$H250:$S250='Calc base'!L250)*('Calc base'!$C$17:$N$17&lt;'Calc base'!G$17)))))</f>
        <v>0</v>
      </c>
      <c r="AM250">
        <f>IF('Calc base'!H$14=0,0,MIN(AA250,MAX(0,$E250-SUMPRODUCT($V250:$AG250,'Calc base'!$C$14:$N$14,('Calc base'!$H250:$S250&gt;'Calc base'!M250)+('Calc base'!$H250:$S250='Calc base'!M250)*('Calc base'!$C$17:$N$17&lt;'Calc base'!H$17)))))</f>
        <v>0</v>
      </c>
      <c r="AN250">
        <f>IF('Calc base'!I$14=0,0,MIN(AB250,MAX(0,$E250-SUMPRODUCT($V250:$AG250,'Calc base'!$C$14:$N$14,('Calc base'!$H250:$S250&gt;'Calc base'!N250)+('Calc base'!$H250:$S250='Calc base'!N250)*('Calc base'!$C$17:$N$17&lt;'Calc base'!I$17)))))</f>
        <v>0</v>
      </c>
      <c r="AO250">
        <f>IF('Calc base'!J$14=0,0,MIN(AC250,MAX(0,$E250-SUMPRODUCT($V250:$AG250,'Calc base'!$C$14:$N$14,('Calc base'!$H250:$S250&gt;'Calc base'!O250)+('Calc base'!$H250:$S250='Calc base'!O250)*('Calc base'!$C$17:$N$17&lt;'Calc base'!J$17)))))</f>
        <v>0</v>
      </c>
      <c r="AP250">
        <f>IF('Calc base'!K$14=0,0,MIN(AD250,MAX(0,$E250-SUMPRODUCT($V250:$AG250,'Calc base'!$C$14:$N$14,('Calc base'!$H250:$S250&gt;'Calc base'!P250)+('Calc base'!$H250:$S250='Calc base'!P250)*('Calc base'!$C$17:$N$17&lt;'Calc base'!K$17)))))</f>
        <v>0</v>
      </c>
      <c r="AQ250">
        <f>IF('Calc base'!L$14=0,0,MIN(AE250,MAX(0,$E250-SUMPRODUCT($V250:$AG250,'Calc base'!$C$14:$N$14,('Calc base'!$H250:$S250&gt;'Calc base'!Q250)+('Calc base'!$H250:$S250='Calc base'!Q250)*('Calc base'!$C$17:$N$17&lt;'Calc base'!L$17)))))</f>
        <v>0</v>
      </c>
      <c r="AR250">
        <f>IF('Calc base'!M$14=0,0,MIN(AF250,MAX(0,$E250-SUMPRODUCT($V250:$AG250,'Calc base'!$C$14:$N$14,('Calc base'!$H250:$S250&gt;'Calc base'!R250)+('Calc base'!$H250:$S250='Calc base'!R250)*('Calc base'!$C$17:$N$17&lt;'Calc base'!M$17)))))</f>
        <v>0</v>
      </c>
      <c r="AS250">
        <f>IF('Calc base'!N$14=0,0,MIN(AG250,MAX(0,$E250-SUMPRODUCT($V250:$AG250,'Calc base'!$C$14:$N$14,('Calc base'!$H250:$S250&gt;'Calc base'!S250)+('Calc base'!$H250:$S250='Calc base'!S250)*('Calc base'!$C$17:$N$17&lt;'Calc base'!N$17)))))</f>
        <v>0</v>
      </c>
      <c r="AT250">
        <f>V250-AH250</f>
        <v>0</v>
      </c>
      <c r="AU250">
        <f>W250-AI250</f>
        <v>0</v>
      </c>
      <c r="AV250">
        <f>X250-AJ250</f>
        <v>0</v>
      </c>
      <c r="AW250">
        <f>Y250-AK250</f>
        <v>0</v>
      </c>
      <c r="AX250">
        <f>Z250-AL250</f>
        <v>0</v>
      </c>
      <c r="AY250">
        <f>AA250-AM250</f>
        <v>0</v>
      </c>
      <c r="AZ250">
        <f>AB250-AN250</f>
        <v>0</v>
      </c>
      <c r="BA250">
        <f>AC250-AO250</f>
        <v>0</v>
      </c>
      <c r="BB250">
        <f>AD250-AP250</f>
        <v>0</v>
      </c>
      <c r="BC250">
        <f>AE250-AQ250</f>
        <v>0</v>
      </c>
      <c r="BD250">
        <f>AF250-AR250</f>
        <v>0</v>
      </c>
      <c r="BE250">
        <f>AG250-AS250</f>
        <v>0</v>
      </c>
    </row>
    <row r="251">
      <c r="A251" t="n">
        <v>221</v>
      </c>
      <c r="B251">
        <f>SUMPRODUCT(ROUND($AT250:$BE250*(1+'Calc base'!$H251:$S251),2))</f>
        <v>0</v>
      </c>
      <c r="C251">
        <f>SUM(J251:U251)</f>
        <v>0</v>
      </c>
      <c r="D251">
        <f>SUM(V251:AG251)</f>
        <v>0</v>
      </c>
      <c r="E251">
        <f>MAX(0,IF(Impostazioni!$B$7="No",'Calc base'!$C251-$C$31,'Calc base'!$C251-C251)+'Calc base'!$G251+'Calc base'!$F251-(B251-C251-D251))</f>
        <v>900</v>
      </c>
      <c r="F251">
        <f>SUM(AH251:AS251)</f>
        <v>0</v>
      </c>
      <c r="G251">
        <f>SUM(AT251:BE251)</f>
        <v>0</v>
      </c>
      <c r="H251">
        <f>B251-G250</f>
        <v>0</v>
      </c>
      <c r="I251">
        <f>B251-G251</f>
        <v>0</v>
      </c>
      <c r="J251">
        <f>IF(AT250&lt;=0,0,IF(ROUND(AT250*(1+'Calc base'!H251),2)-MAX('Calc base'!C$12,ROUND('Calc base'!C$13*AT250,2))&lt;1,ROUND(AT250*(1+'Calc base'!H251),2),MAX('Calc base'!C$12,ROUND('Calc base'!C$13*AT250,2))))</f>
        <v>0</v>
      </c>
      <c r="K251">
        <f>IF(AU250&lt;=0,0,IF(ROUND(AU250*(1+'Calc base'!I251),2)-MAX('Calc base'!D$12,ROUND('Calc base'!D$13*AU250,2))&lt;1,ROUND(AU250*(1+'Calc base'!I251),2),MAX('Calc base'!D$12,ROUND('Calc base'!D$13*AU250,2))))</f>
        <v>0</v>
      </c>
      <c r="L251">
        <f>IF(AV250&lt;=0,0,IF(ROUND(AV250*(1+'Calc base'!J251),2)-MAX('Calc base'!E$12,ROUND('Calc base'!E$13*AV250,2))&lt;1,ROUND(AV250*(1+'Calc base'!J251),2),MAX('Calc base'!E$12,ROUND('Calc base'!E$13*AV250,2))))</f>
        <v>0</v>
      </c>
      <c r="M251">
        <f>IF(AW250&lt;=0,0,IF(ROUND(AW250*(1+'Calc base'!K251),2)-MAX('Calc base'!F$12,ROUND('Calc base'!F$13*AW250,2))&lt;1,ROUND(AW250*(1+'Calc base'!K251),2),MAX('Calc base'!F$12,ROUND('Calc base'!F$13*AW250,2))))</f>
        <v>0</v>
      </c>
      <c r="N251">
        <f>IF(AX250&lt;=0,0,IF(ROUND(AX250*(1+'Calc base'!L251),2)-MAX('Calc base'!G$12,ROUND('Calc base'!G$13*AX250,2))&lt;1,ROUND(AX250*(1+'Calc base'!L251),2),MAX('Calc base'!G$12,ROUND('Calc base'!G$13*AX250,2))))</f>
        <v>0</v>
      </c>
      <c r="O251">
        <f>IF(AY250&lt;=0,0,IF(ROUND(AY250*(1+'Calc base'!M251),2)-MAX('Calc base'!H$12,ROUND('Calc base'!H$13*AY250,2))&lt;1,ROUND(AY250*(1+'Calc base'!M251),2),MAX('Calc base'!H$12,ROUND('Calc base'!H$13*AY250,2))))</f>
        <v>0</v>
      </c>
      <c r="P251">
        <f>IF(AZ250&lt;=0,0,IF(ROUND(AZ250*(1+'Calc base'!N251),2)-MAX('Calc base'!I$12,ROUND('Calc base'!I$13*AZ250,2))&lt;1,ROUND(AZ250*(1+'Calc base'!N251),2),MAX('Calc base'!I$12,ROUND('Calc base'!I$13*AZ250,2))))</f>
        <v>0</v>
      </c>
      <c r="Q251">
        <f>IF(BA250&lt;=0,0,IF(ROUND(BA250*(1+'Calc base'!O251),2)-MAX('Calc base'!J$12,ROUND('Calc base'!J$13*BA250,2))&lt;1,ROUND(BA250*(1+'Calc base'!O251),2),MAX('Calc base'!J$12,ROUND('Calc base'!J$13*BA250,2))))</f>
        <v>0</v>
      </c>
      <c r="R251">
        <f>IF(BB250&lt;=0,0,IF(ROUND(BB250*(1+'Calc base'!P251),2)-MAX('Calc base'!K$12,ROUND('Calc base'!K$13*BB250,2))&lt;1,ROUND(BB250*(1+'Calc base'!P251),2),MAX('Calc base'!K$12,ROUND('Calc base'!K$13*BB250,2))))</f>
        <v>0</v>
      </c>
      <c r="S251">
        <f>IF(BC250&lt;=0,0,IF(ROUND(BC250*(1+'Calc base'!Q251),2)-MAX('Calc base'!L$12,ROUND('Calc base'!L$13*BC250,2))&lt;1,ROUND(BC250*(1+'Calc base'!Q251),2),MAX('Calc base'!L$12,ROUND('Calc base'!L$13*BC250,2))))</f>
        <v>0</v>
      </c>
      <c r="T251">
        <f>IF(BD250&lt;=0,0,IF(ROUND(BD250*(1+'Calc base'!R251),2)-MAX('Calc base'!M$12,ROUND('Calc base'!M$13*BD250,2))&lt;1,ROUND(BD250*(1+'Calc base'!R251),2),MAX('Calc base'!M$12,ROUND('Calc base'!M$13*BD250,2))))</f>
        <v>0</v>
      </c>
      <c r="U251">
        <f>IF(BE250&lt;=0,0,IF(ROUND(BE250*(1+'Calc base'!S251),2)-MAX('Calc base'!N$12,ROUND('Calc base'!N$13*BE250,2))&lt;1,ROUND(BE250*(1+'Calc base'!S251),2),MAX('Calc base'!N$12,ROUND('Calc base'!N$13*BE250,2))))</f>
        <v>0</v>
      </c>
      <c r="V251">
        <f>MAX(0,ROUND(AT250*(1+'Calc base'!H251),2)-J251-'Calc base'!T251)</f>
        <v>0</v>
      </c>
      <c r="W251">
        <f>MAX(0,ROUND(AU250*(1+'Calc base'!I251),2)-K251-'Calc base'!U251)</f>
        <v>0</v>
      </c>
      <c r="X251">
        <f>MAX(0,ROUND(AV250*(1+'Calc base'!J251),2)-L251-'Calc base'!V251)</f>
        <v>0</v>
      </c>
      <c r="Y251">
        <f>MAX(0,ROUND(AW250*(1+'Calc base'!K251),2)-M251-'Calc base'!W251)</f>
        <v>0</v>
      </c>
      <c r="Z251">
        <f>MAX(0,ROUND(AX250*(1+'Calc base'!L251),2)-N251-'Calc base'!X251)</f>
        <v>0</v>
      </c>
      <c r="AA251">
        <f>MAX(0,ROUND(AY250*(1+'Calc base'!M251),2)-O251-'Calc base'!Y251)</f>
        <v>0</v>
      </c>
      <c r="AB251">
        <f>MAX(0,ROUND(AZ250*(1+'Calc base'!N251),2)-P251-'Calc base'!Z251)</f>
        <v>0</v>
      </c>
      <c r="AC251">
        <f>MAX(0,ROUND(BA250*(1+'Calc base'!O251),2)-Q251-'Calc base'!AA251)</f>
        <v>0</v>
      </c>
      <c r="AD251">
        <f>MAX(0,ROUND(BB250*(1+'Calc base'!P251),2)-R251-'Calc base'!AB251)</f>
        <v>0</v>
      </c>
      <c r="AE251">
        <f>MAX(0,ROUND(BC250*(1+'Calc base'!Q251),2)-S251-'Calc base'!AC251)</f>
        <v>0</v>
      </c>
      <c r="AF251">
        <f>MAX(0,ROUND(BD250*(1+'Calc base'!R251),2)-T251-'Calc base'!AD251)</f>
        <v>0</v>
      </c>
      <c r="AG251">
        <f>MAX(0,ROUND(BE250*(1+'Calc base'!S251),2)-U251-'Calc base'!AE251)</f>
        <v>0</v>
      </c>
      <c r="AH251">
        <f>IF('Calc base'!C$14=0,0,MIN(V251,MAX(0,$E251-SUMPRODUCT($V251:$AG251,'Calc base'!$C$14:$N$14,('Calc base'!$H251:$S251&gt;'Calc base'!H251)+('Calc base'!$H251:$S251='Calc base'!H251)*('Calc base'!$C$17:$N$17&lt;'Calc base'!C$17)))))</f>
        <v>0</v>
      </c>
      <c r="AI251">
        <f>IF('Calc base'!D$14=0,0,MIN(W251,MAX(0,$E251-SUMPRODUCT($V251:$AG251,'Calc base'!$C$14:$N$14,('Calc base'!$H251:$S251&gt;'Calc base'!I251)+('Calc base'!$H251:$S251='Calc base'!I251)*('Calc base'!$C$17:$N$17&lt;'Calc base'!D$17)))))</f>
        <v>0</v>
      </c>
      <c r="AJ251">
        <f>IF('Calc base'!E$14=0,0,MIN(X251,MAX(0,$E251-SUMPRODUCT($V251:$AG251,'Calc base'!$C$14:$N$14,('Calc base'!$H251:$S251&gt;'Calc base'!J251)+('Calc base'!$H251:$S251='Calc base'!J251)*('Calc base'!$C$17:$N$17&lt;'Calc base'!E$17)))))</f>
        <v>0</v>
      </c>
      <c r="AK251">
        <f>IF('Calc base'!F$14=0,0,MIN(Y251,MAX(0,$E251-SUMPRODUCT($V251:$AG251,'Calc base'!$C$14:$N$14,('Calc base'!$H251:$S251&gt;'Calc base'!K251)+('Calc base'!$H251:$S251='Calc base'!K251)*('Calc base'!$C$17:$N$17&lt;'Calc base'!F$17)))))</f>
        <v>0</v>
      </c>
      <c r="AL251">
        <f>IF('Calc base'!G$14=0,0,MIN(Z251,MAX(0,$E251-SUMPRODUCT($V251:$AG251,'Calc base'!$C$14:$N$14,('Calc base'!$H251:$S251&gt;'Calc base'!L251)+('Calc base'!$H251:$S251='Calc base'!L251)*('Calc base'!$C$17:$N$17&lt;'Calc base'!G$17)))))</f>
        <v>0</v>
      </c>
      <c r="AM251">
        <f>IF('Calc base'!H$14=0,0,MIN(AA251,MAX(0,$E251-SUMPRODUCT($V251:$AG251,'Calc base'!$C$14:$N$14,('Calc base'!$H251:$S251&gt;'Calc base'!M251)+('Calc base'!$H251:$S251='Calc base'!M251)*('Calc base'!$C$17:$N$17&lt;'Calc base'!H$17)))))</f>
        <v>0</v>
      </c>
      <c r="AN251">
        <f>IF('Calc base'!I$14=0,0,MIN(AB251,MAX(0,$E251-SUMPRODUCT($V251:$AG251,'Calc base'!$C$14:$N$14,('Calc base'!$H251:$S251&gt;'Calc base'!N251)+('Calc base'!$H251:$S251='Calc base'!N251)*('Calc base'!$C$17:$N$17&lt;'Calc base'!I$17)))))</f>
        <v>0</v>
      </c>
      <c r="AO251">
        <f>IF('Calc base'!J$14=0,0,MIN(AC251,MAX(0,$E251-SUMPRODUCT($V251:$AG251,'Calc base'!$C$14:$N$14,('Calc base'!$H251:$S251&gt;'Calc base'!O251)+('Calc base'!$H251:$S251='Calc base'!O251)*('Calc base'!$C$17:$N$17&lt;'Calc base'!J$17)))))</f>
        <v>0</v>
      </c>
      <c r="AP251">
        <f>IF('Calc base'!K$14=0,0,MIN(AD251,MAX(0,$E251-SUMPRODUCT($V251:$AG251,'Calc base'!$C$14:$N$14,('Calc base'!$H251:$S251&gt;'Calc base'!P251)+('Calc base'!$H251:$S251='Calc base'!P251)*('Calc base'!$C$17:$N$17&lt;'Calc base'!K$17)))))</f>
        <v>0</v>
      </c>
      <c r="AQ251">
        <f>IF('Calc base'!L$14=0,0,MIN(AE251,MAX(0,$E251-SUMPRODUCT($V251:$AG251,'Calc base'!$C$14:$N$14,('Calc base'!$H251:$S251&gt;'Calc base'!Q251)+('Calc base'!$H251:$S251='Calc base'!Q251)*('Calc base'!$C$17:$N$17&lt;'Calc base'!L$17)))))</f>
        <v>0</v>
      </c>
      <c r="AR251">
        <f>IF('Calc base'!M$14=0,0,MIN(AF251,MAX(0,$E251-SUMPRODUCT($V251:$AG251,'Calc base'!$C$14:$N$14,('Calc base'!$H251:$S251&gt;'Calc base'!R251)+('Calc base'!$H251:$S251='Calc base'!R251)*('Calc base'!$C$17:$N$17&lt;'Calc base'!M$17)))))</f>
        <v>0</v>
      </c>
      <c r="AS251">
        <f>IF('Calc base'!N$14=0,0,MIN(AG251,MAX(0,$E251-SUMPRODUCT($V251:$AG251,'Calc base'!$C$14:$N$14,('Calc base'!$H251:$S251&gt;'Calc base'!S251)+('Calc base'!$H251:$S251='Calc base'!S251)*('Calc base'!$C$17:$N$17&lt;'Calc base'!N$17)))))</f>
        <v>0</v>
      </c>
      <c r="AT251">
        <f>V251-AH251</f>
        <v>0</v>
      </c>
      <c r="AU251">
        <f>W251-AI251</f>
        <v>0</v>
      </c>
      <c r="AV251">
        <f>X251-AJ251</f>
        <v>0</v>
      </c>
      <c r="AW251">
        <f>Y251-AK251</f>
        <v>0</v>
      </c>
      <c r="AX251">
        <f>Z251-AL251</f>
        <v>0</v>
      </c>
      <c r="AY251">
        <f>AA251-AM251</f>
        <v>0</v>
      </c>
      <c r="AZ251">
        <f>AB251-AN251</f>
        <v>0</v>
      </c>
      <c r="BA251">
        <f>AC251-AO251</f>
        <v>0</v>
      </c>
      <c r="BB251">
        <f>AD251-AP251</f>
        <v>0</v>
      </c>
      <c r="BC251">
        <f>AE251-AQ251</f>
        <v>0</v>
      </c>
      <c r="BD251">
        <f>AF251-AR251</f>
        <v>0</v>
      </c>
      <c r="BE251">
        <f>AG251-AS251</f>
        <v>0</v>
      </c>
    </row>
    <row r="252">
      <c r="A252" t="n">
        <v>222</v>
      </c>
      <c r="B252">
        <f>SUMPRODUCT(ROUND($AT251:$BE251*(1+'Calc base'!$H252:$S252),2))</f>
        <v>0</v>
      </c>
      <c r="C252">
        <f>SUM(J252:U252)</f>
        <v>0</v>
      </c>
      <c r="D252">
        <f>SUM(V252:AG252)</f>
        <v>0</v>
      </c>
      <c r="E252">
        <f>MAX(0,IF(Impostazioni!$B$7="No",'Calc base'!$C252-$C$31,'Calc base'!$C252-C252)+'Calc base'!$G252+'Calc base'!$F252-(B252-C252-D252))</f>
        <v>900</v>
      </c>
      <c r="F252">
        <f>SUM(AH252:AS252)</f>
        <v>0</v>
      </c>
      <c r="G252">
        <f>SUM(AT252:BE252)</f>
        <v>0</v>
      </c>
      <c r="H252">
        <f>B252-G251</f>
        <v>0</v>
      </c>
      <c r="I252">
        <f>B252-G252</f>
        <v>0</v>
      </c>
      <c r="J252">
        <f>IF(AT251&lt;=0,0,IF(ROUND(AT251*(1+'Calc base'!H252),2)-MAX('Calc base'!C$12,ROUND('Calc base'!C$13*AT251,2))&lt;1,ROUND(AT251*(1+'Calc base'!H252),2),MAX('Calc base'!C$12,ROUND('Calc base'!C$13*AT251,2))))</f>
        <v>0</v>
      </c>
      <c r="K252">
        <f>IF(AU251&lt;=0,0,IF(ROUND(AU251*(1+'Calc base'!I252),2)-MAX('Calc base'!D$12,ROUND('Calc base'!D$13*AU251,2))&lt;1,ROUND(AU251*(1+'Calc base'!I252),2),MAX('Calc base'!D$12,ROUND('Calc base'!D$13*AU251,2))))</f>
        <v>0</v>
      </c>
      <c r="L252">
        <f>IF(AV251&lt;=0,0,IF(ROUND(AV251*(1+'Calc base'!J252),2)-MAX('Calc base'!E$12,ROUND('Calc base'!E$13*AV251,2))&lt;1,ROUND(AV251*(1+'Calc base'!J252),2),MAX('Calc base'!E$12,ROUND('Calc base'!E$13*AV251,2))))</f>
        <v>0</v>
      </c>
      <c r="M252">
        <f>IF(AW251&lt;=0,0,IF(ROUND(AW251*(1+'Calc base'!K252),2)-MAX('Calc base'!F$12,ROUND('Calc base'!F$13*AW251,2))&lt;1,ROUND(AW251*(1+'Calc base'!K252),2),MAX('Calc base'!F$12,ROUND('Calc base'!F$13*AW251,2))))</f>
        <v>0</v>
      </c>
      <c r="N252">
        <f>IF(AX251&lt;=0,0,IF(ROUND(AX251*(1+'Calc base'!L252),2)-MAX('Calc base'!G$12,ROUND('Calc base'!G$13*AX251,2))&lt;1,ROUND(AX251*(1+'Calc base'!L252),2),MAX('Calc base'!G$12,ROUND('Calc base'!G$13*AX251,2))))</f>
        <v>0</v>
      </c>
      <c r="O252">
        <f>IF(AY251&lt;=0,0,IF(ROUND(AY251*(1+'Calc base'!M252),2)-MAX('Calc base'!H$12,ROUND('Calc base'!H$13*AY251,2))&lt;1,ROUND(AY251*(1+'Calc base'!M252),2),MAX('Calc base'!H$12,ROUND('Calc base'!H$13*AY251,2))))</f>
        <v>0</v>
      </c>
      <c r="P252">
        <f>IF(AZ251&lt;=0,0,IF(ROUND(AZ251*(1+'Calc base'!N252),2)-MAX('Calc base'!I$12,ROUND('Calc base'!I$13*AZ251,2))&lt;1,ROUND(AZ251*(1+'Calc base'!N252),2),MAX('Calc base'!I$12,ROUND('Calc base'!I$13*AZ251,2))))</f>
        <v>0</v>
      </c>
      <c r="Q252">
        <f>IF(BA251&lt;=0,0,IF(ROUND(BA251*(1+'Calc base'!O252),2)-MAX('Calc base'!J$12,ROUND('Calc base'!J$13*BA251,2))&lt;1,ROUND(BA251*(1+'Calc base'!O252),2),MAX('Calc base'!J$12,ROUND('Calc base'!J$13*BA251,2))))</f>
        <v>0</v>
      </c>
      <c r="R252">
        <f>IF(BB251&lt;=0,0,IF(ROUND(BB251*(1+'Calc base'!P252),2)-MAX('Calc base'!K$12,ROUND('Calc base'!K$13*BB251,2))&lt;1,ROUND(BB251*(1+'Calc base'!P252),2),MAX('Calc base'!K$12,ROUND('Calc base'!K$13*BB251,2))))</f>
        <v>0</v>
      </c>
      <c r="S252">
        <f>IF(BC251&lt;=0,0,IF(ROUND(BC251*(1+'Calc base'!Q252),2)-MAX('Calc base'!L$12,ROUND('Calc base'!L$13*BC251,2))&lt;1,ROUND(BC251*(1+'Calc base'!Q252),2),MAX('Calc base'!L$12,ROUND('Calc base'!L$13*BC251,2))))</f>
        <v>0</v>
      </c>
      <c r="T252">
        <f>IF(BD251&lt;=0,0,IF(ROUND(BD251*(1+'Calc base'!R252),2)-MAX('Calc base'!M$12,ROUND('Calc base'!M$13*BD251,2))&lt;1,ROUND(BD251*(1+'Calc base'!R252),2),MAX('Calc base'!M$12,ROUND('Calc base'!M$13*BD251,2))))</f>
        <v>0</v>
      </c>
      <c r="U252">
        <f>IF(BE251&lt;=0,0,IF(ROUND(BE251*(1+'Calc base'!S252),2)-MAX('Calc base'!N$12,ROUND('Calc base'!N$13*BE251,2))&lt;1,ROUND(BE251*(1+'Calc base'!S252),2),MAX('Calc base'!N$12,ROUND('Calc base'!N$13*BE251,2))))</f>
        <v>0</v>
      </c>
      <c r="V252">
        <f>MAX(0,ROUND(AT251*(1+'Calc base'!H252),2)-J252-'Calc base'!T252)</f>
        <v>0</v>
      </c>
      <c r="W252">
        <f>MAX(0,ROUND(AU251*(1+'Calc base'!I252),2)-K252-'Calc base'!U252)</f>
        <v>0</v>
      </c>
      <c r="X252">
        <f>MAX(0,ROUND(AV251*(1+'Calc base'!J252),2)-L252-'Calc base'!V252)</f>
        <v>0</v>
      </c>
      <c r="Y252">
        <f>MAX(0,ROUND(AW251*(1+'Calc base'!K252),2)-M252-'Calc base'!W252)</f>
        <v>0</v>
      </c>
      <c r="Z252">
        <f>MAX(0,ROUND(AX251*(1+'Calc base'!L252),2)-N252-'Calc base'!X252)</f>
        <v>0</v>
      </c>
      <c r="AA252">
        <f>MAX(0,ROUND(AY251*(1+'Calc base'!M252),2)-O252-'Calc base'!Y252)</f>
        <v>0</v>
      </c>
      <c r="AB252">
        <f>MAX(0,ROUND(AZ251*(1+'Calc base'!N252),2)-P252-'Calc base'!Z252)</f>
        <v>0</v>
      </c>
      <c r="AC252">
        <f>MAX(0,ROUND(BA251*(1+'Calc base'!O252),2)-Q252-'Calc base'!AA252)</f>
        <v>0</v>
      </c>
      <c r="AD252">
        <f>MAX(0,ROUND(BB251*(1+'Calc base'!P252),2)-R252-'Calc base'!AB252)</f>
        <v>0</v>
      </c>
      <c r="AE252">
        <f>MAX(0,ROUND(BC251*(1+'Calc base'!Q252),2)-S252-'Calc base'!AC252)</f>
        <v>0</v>
      </c>
      <c r="AF252">
        <f>MAX(0,ROUND(BD251*(1+'Calc base'!R252),2)-T252-'Calc base'!AD252)</f>
        <v>0</v>
      </c>
      <c r="AG252">
        <f>MAX(0,ROUND(BE251*(1+'Calc base'!S252),2)-U252-'Calc base'!AE252)</f>
        <v>0</v>
      </c>
      <c r="AH252">
        <f>IF('Calc base'!C$14=0,0,MIN(V252,MAX(0,$E252-SUMPRODUCT($V252:$AG252,'Calc base'!$C$14:$N$14,('Calc base'!$H252:$S252&gt;'Calc base'!H252)+('Calc base'!$H252:$S252='Calc base'!H252)*('Calc base'!$C$17:$N$17&lt;'Calc base'!C$17)))))</f>
        <v>0</v>
      </c>
      <c r="AI252">
        <f>IF('Calc base'!D$14=0,0,MIN(W252,MAX(0,$E252-SUMPRODUCT($V252:$AG252,'Calc base'!$C$14:$N$14,('Calc base'!$H252:$S252&gt;'Calc base'!I252)+('Calc base'!$H252:$S252='Calc base'!I252)*('Calc base'!$C$17:$N$17&lt;'Calc base'!D$17)))))</f>
        <v>0</v>
      </c>
      <c r="AJ252">
        <f>IF('Calc base'!E$14=0,0,MIN(X252,MAX(0,$E252-SUMPRODUCT($V252:$AG252,'Calc base'!$C$14:$N$14,('Calc base'!$H252:$S252&gt;'Calc base'!J252)+('Calc base'!$H252:$S252='Calc base'!J252)*('Calc base'!$C$17:$N$17&lt;'Calc base'!E$17)))))</f>
        <v>0</v>
      </c>
      <c r="AK252">
        <f>IF('Calc base'!F$14=0,0,MIN(Y252,MAX(0,$E252-SUMPRODUCT($V252:$AG252,'Calc base'!$C$14:$N$14,('Calc base'!$H252:$S252&gt;'Calc base'!K252)+('Calc base'!$H252:$S252='Calc base'!K252)*('Calc base'!$C$17:$N$17&lt;'Calc base'!F$17)))))</f>
        <v>0</v>
      </c>
      <c r="AL252">
        <f>IF('Calc base'!G$14=0,0,MIN(Z252,MAX(0,$E252-SUMPRODUCT($V252:$AG252,'Calc base'!$C$14:$N$14,('Calc base'!$H252:$S252&gt;'Calc base'!L252)+('Calc base'!$H252:$S252='Calc base'!L252)*('Calc base'!$C$17:$N$17&lt;'Calc base'!G$17)))))</f>
        <v>0</v>
      </c>
      <c r="AM252">
        <f>IF('Calc base'!H$14=0,0,MIN(AA252,MAX(0,$E252-SUMPRODUCT($V252:$AG252,'Calc base'!$C$14:$N$14,('Calc base'!$H252:$S252&gt;'Calc base'!M252)+('Calc base'!$H252:$S252='Calc base'!M252)*('Calc base'!$C$17:$N$17&lt;'Calc base'!H$17)))))</f>
        <v>0</v>
      </c>
      <c r="AN252">
        <f>IF('Calc base'!I$14=0,0,MIN(AB252,MAX(0,$E252-SUMPRODUCT($V252:$AG252,'Calc base'!$C$14:$N$14,('Calc base'!$H252:$S252&gt;'Calc base'!N252)+('Calc base'!$H252:$S252='Calc base'!N252)*('Calc base'!$C$17:$N$17&lt;'Calc base'!I$17)))))</f>
        <v>0</v>
      </c>
      <c r="AO252">
        <f>IF('Calc base'!J$14=0,0,MIN(AC252,MAX(0,$E252-SUMPRODUCT($V252:$AG252,'Calc base'!$C$14:$N$14,('Calc base'!$H252:$S252&gt;'Calc base'!O252)+('Calc base'!$H252:$S252='Calc base'!O252)*('Calc base'!$C$17:$N$17&lt;'Calc base'!J$17)))))</f>
        <v>0</v>
      </c>
      <c r="AP252">
        <f>IF('Calc base'!K$14=0,0,MIN(AD252,MAX(0,$E252-SUMPRODUCT($V252:$AG252,'Calc base'!$C$14:$N$14,('Calc base'!$H252:$S252&gt;'Calc base'!P252)+('Calc base'!$H252:$S252='Calc base'!P252)*('Calc base'!$C$17:$N$17&lt;'Calc base'!K$17)))))</f>
        <v>0</v>
      </c>
      <c r="AQ252">
        <f>IF('Calc base'!L$14=0,0,MIN(AE252,MAX(0,$E252-SUMPRODUCT($V252:$AG252,'Calc base'!$C$14:$N$14,('Calc base'!$H252:$S252&gt;'Calc base'!Q252)+('Calc base'!$H252:$S252='Calc base'!Q252)*('Calc base'!$C$17:$N$17&lt;'Calc base'!L$17)))))</f>
        <v>0</v>
      </c>
      <c r="AR252">
        <f>IF('Calc base'!M$14=0,0,MIN(AF252,MAX(0,$E252-SUMPRODUCT($V252:$AG252,'Calc base'!$C$14:$N$14,('Calc base'!$H252:$S252&gt;'Calc base'!R252)+('Calc base'!$H252:$S252='Calc base'!R252)*('Calc base'!$C$17:$N$17&lt;'Calc base'!M$17)))))</f>
        <v>0</v>
      </c>
      <c r="AS252">
        <f>IF('Calc base'!N$14=0,0,MIN(AG252,MAX(0,$E252-SUMPRODUCT($V252:$AG252,'Calc base'!$C$14:$N$14,('Calc base'!$H252:$S252&gt;'Calc base'!S252)+('Calc base'!$H252:$S252='Calc base'!S252)*('Calc base'!$C$17:$N$17&lt;'Calc base'!N$17)))))</f>
        <v>0</v>
      </c>
      <c r="AT252">
        <f>V252-AH252</f>
        <v>0</v>
      </c>
      <c r="AU252">
        <f>W252-AI252</f>
        <v>0</v>
      </c>
      <c r="AV252">
        <f>X252-AJ252</f>
        <v>0</v>
      </c>
      <c r="AW252">
        <f>Y252-AK252</f>
        <v>0</v>
      </c>
      <c r="AX252">
        <f>Z252-AL252</f>
        <v>0</v>
      </c>
      <c r="AY252">
        <f>AA252-AM252</f>
        <v>0</v>
      </c>
      <c r="AZ252">
        <f>AB252-AN252</f>
        <v>0</v>
      </c>
      <c r="BA252">
        <f>AC252-AO252</f>
        <v>0</v>
      </c>
      <c r="BB252">
        <f>AD252-AP252</f>
        <v>0</v>
      </c>
      <c r="BC252">
        <f>AE252-AQ252</f>
        <v>0</v>
      </c>
      <c r="BD252">
        <f>AF252-AR252</f>
        <v>0</v>
      </c>
      <c r="BE252">
        <f>AG252-AS252</f>
        <v>0</v>
      </c>
    </row>
    <row r="253">
      <c r="A253" t="n">
        <v>223</v>
      </c>
      <c r="B253">
        <f>SUMPRODUCT(ROUND($AT252:$BE252*(1+'Calc base'!$H253:$S253),2))</f>
        <v>0</v>
      </c>
      <c r="C253">
        <f>SUM(J253:U253)</f>
        <v>0</v>
      </c>
      <c r="D253">
        <f>SUM(V253:AG253)</f>
        <v>0</v>
      </c>
      <c r="E253">
        <f>MAX(0,IF(Impostazioni!$B$7="No",'Calc base'!$C253-$C$31,'Calc base'!$C253-C253)+'Calc base'!$G253+'Calc base'!$F253-(B253-C253-D253))</f>
        <v>900</v>
      </c>
      <c r="F253">
        <f>SUM(AH253:AS253)</f>
        <v>0</v>
      </c>
      <c r="G253">
        <f>SUM(AT253:BE253)</f>
        <v>0</v>
      </c>
      <c r="H253">
        <f>B253-G252</f>
        <v>0</v>
      </c>
      <c r="I253">
        <f>B253-G253</f>
        <v>0</v>
      </c>
      <c r="J253">
        <f>IF(AT252&lt;=0,0,IF(ROUND(AT252*(1+'Calc base'!H253),2)-MAX('Calc base'!C$12,ROUND('Calc base'!C$13*AT252,2))&lt;1,ROUND(AT252*(1+'Calc base'!H253),2),MAX('Calc base'!C$12,ROUND('Calc base'!C$13*AT252,2))))</f>
        <v>0</v>
      </c>
      <c r="K253">
        <f>IF(AU252&lt;=0,0,IF(ROUND(AU252*(1+'Calc base'!I253),2)-MAX('Calc base'!D$12,ROUND('Calc base'!D$13*AU252,2))&lt;1,ROUND(AU252*(1+'Calc base'!I253),2),MAX('Calc base'!D$12,ROUND('Calc base'!D$13*AU252,2))))</f>
        <v>0</v>
      </c>
      <c r="L253">
        <f>IF(AV252&lt;=0,0,IF(ROUND(AV252*(1+'Calc base'!J253),2)-MAX('Calc base'!E$12,ROUND('Calc base'!E$13*AV252,2))&lt;1,ROUND(AV252*(1+'Calc base'!J253),2),MAX('Calc base'!E$12,ROUND('Calc base'!E$13*AV252,2))))</f>
        <v>0</v>
      </c>
      <c r="M253">
        <f>IF(AW252&lt;=0,0,IF(ROUND(AW252*(1+'Calc base'!K253),2)-MAX('Calc base'!F$12,ROUND('Calc base'!F$13*AW252,2))&lt;1,ROUND(AW252*(1+'Calc base'!K253),2),MAX('Calc base'!F$12,ROUND('Calc base'!F$13*AW252,2))))</f>
        <v>0</v>
      </c>
      <c r="N253">
        <f>IF(AX252&lt;=0,0,IF(ROUND(AX252*(1+'Calc base'!L253),2)-MAX('Calc base'!G$12,ROUND('Calc base'!G$13*AX252,2))&lt;1,ROUND(AX252*(1+'Calc base'!L253),2),MAX('Calc base'!G$12,ROUND('Calc base'!G$13*AX252,2))))</f>
        <v>0</v>
      </c>
      <c r="O253">
        <f>IF(AY252&lt;=0,0,IF(ROUND(AY252*(1+'Calc base'!M253),2)-MAX('Calc base'!H$12,ROUND('Calc base'!H$13*AY252,2))&lt;1,ROUND(AY252*(1+'Calc base'!M253),2),MAX('Calc base'!H$12,ROUND('Calc base'!H$13*AY252,2))))</f>
        <v>0</v>
      </c>
      <c r="P253">
        <f>IF(AZ252&lt;=0,0,IF(ROUND(AZ252*(1+'Calc base'!N253),2)-MAX('Calc base'!I$12,ROUND('Calc base'!I$13*AZ252,2))&lt;1,ROUND(AZ252*(1+'Calc base'!N253),2),MAX('Calc base'!I$12,ROUND('Calc base'!I$13*AZ252,2))))</f>
        <v>0</v>
      </c>
      <c r="Q253">
        <f>IF(BA252&lt;=0,0,IF(ROUND(BA252*(1+'Calc base'!O253),2)-MAX('Calc base'!J$12,ROUND('Calc base'!J$13*BA252,2))&lt;1,ROUND(BA252*(1+'Calc base'!O253),2),MAX('Calc base'!J$12,ROUND('Calc base'!J$13*BA252,2))))</f>
        <v>0</v>
      </c>
      <c r="R253">
        <f>IF(BB252&lt;=0,0,IF(ROUND(BB252*(1+'Calc base'!P253),2)-MAX('Calc base'!K$12,ROUND('Calc base'!K$13*BB252,2))&lt;1,ROUND(BB252*(1+'Calc base'!P253),2),MAX('Calc base'!K$12,ROUND('Calc base'!K$13*BB252,2))))</f>
        <v>0</v>
      </c>
      <c r="S253">
        <f>IF(BC252&lt;=0,0,IF(ROUND(BC252*(1+'Calc base'!Q253),2)-MAX('Calc base'!L$12,ROUND('Calc base'!L$13*BC252,2))&lt;1,ROUND(BC252*(1+'Calc base'!Q253),2),MAX('Calc base'!L$12,ROUND('Calc base'!L$13*BC252,2))))</f>
        <v>0</v>
      </c>
      <c r="T253">
        <f>IF(BD252&lt;=0,0,IF(ROUND(BD252*(1+'Calc base'!R253),2)-MAX('Calc base'!M$12,ROUND('Calc base'!M$13*BD252,2))&lt;1,ROUND(BD252*(1+'Calc base'!R253),2),MAX('Calc base'!M$12,ROUND('Calc base'!M$13*BD252,2))))</f>
        <v>0</v>
      </c>
      <c r="U253">
        <f>IF(BE252&lt;=0,0,IF(ROUND(BE252*(1+'Calc base'!S253),2)-MAX('Calc base'!N$12,ROUND('Calc base'!N$13*BE252,2))&lt;1,ROUND(BE252*(1+'Calc base'!S253),2),MAX('Calc base'!N$12,ROUND('Calc base'!N$13*BE252,2))))</f>
        <v>0</v>
      </c>
      <c r="V253">
        <f>MAX(0,ROUND(AT252*(1+'Calc base'!H253),2)-J253-'Calc base'!T253)</f>
        <v>0</v>
      </c>
      <c r="W253">
        <f>MAX(0,ROUND(AU252*(1+'Calc base'!I253),2)-K253-'Calc base'!U253)</f>
        <v>0</v>
      </c>
      <c r="X253">
        <f>MAX(0,ROUND(AV252*(1+'Calc base'!J253),2)-L253-'Calc base'!V253)</f>
        <v>0</v>
      </c>
      <c r="Y253">
        <f>MAX(0,ROUND(AW252*(1+'Calc base'!K253),2)-M253-'Calc base'!W253)</f>
        <v>0</v>
      </c>
      <c r="Z253">
        <f>MAX(0,ROUND(AX252*(1+'Calc base'!L253),2)-N253-'Calc base'!X253)</f>
        <v>0</v>
      </c>
      <c r="AA253">
        <f>MAX(0,ROUND(AY252*(1+'Calc base'!M253),2)-O253-'Calc base'!Y253)</f>
        <v>0</v>
      </c>
      <c r="AB253">
        <f>MAX(0,ROUND(AZ252*(1+'Calc base'!N253),2)-P253-'Calc base'!Z253)</f>
        <v>0</v>
      </c>
      <c r="AC253">
        <f>MAX(0,ROUND(BA252*(1+'Calc base'!O253),2)-Q253-'Calc base'!AA253)</f>
        <v>0</v>
      </c>
      <c r="AD253">
        <f>MAX(0,ROUND(BB252*(1+'Calc base'!P253),2)-R253-'Calc base'!AB253)</f>
        <v>0</v>
      </c>
      <c r="AE253">
        <f>MAX(0,ROUND(BC252*(1+'Calc base'!Q253),2)-S253-'Calc base'!AC253)</f>
        <v>0</v>
      </c>
      <c r="AF253">
        <f>MAX(0,ROUND(BD252*(1+'Calc base'!R253),2)-T253-'Calc base'!AD253)</f>
        <v>0</v>
      </c>
      <c r="AG253">
        <f>MAX(0,ROUND(BE252*(1+'Calc base'!S253),2)-U253-'Calc base'!AE253)</f>
        <v>0</v>
      </c>
      <c r="AH253">
        <f>IF('Calc base'!C$14=0,0,MIN(V253,MAX(0,$E253-SUMPRODUCT($V253:$AG253,'Calc base'!$C$14:$N$14,('Calc base'!$H253:$S253&gt;'Calc base'!H253)+('Calc base'!$H253:$S253='Calc base'!H253)*('Calc base'!$C$17:$N$17&lt;'Calc base'!C$17)))))</f>
        <v>0</v>
      </c>
      <c r="AI253">
        <f>IF('Calc base'!D$14=0,0,MIN(W253,MAX(0,$E253-SUMPRODUCT($V253:$AG253,'Calc base'!$C$14:$N$14,('Calc base'!$H253:$S253&gt;'Calc base'!I253)+('Calc base'!$H253:$S253='Calc base'!I253)*('Calc base'!$C$17:$N$17&lt;'Calc base'!D$17)))))</f>
        <v>0</v>
      </c>
      <c r="AJ253">
        <f>IF('Calc base'!E$14=0,0,MIN(X253,MAX(0,$E253-SUMPRODUCT($V253:$AG253,'Calc base'!$C$14:$N$14,('Calc base'!$H253:$S253&gt;'Calc base'!J253)+('Calc base'!$H253:$S253='Calc base'!J253)*('Calc base'!$C$17:$N$17&lt;'Calc base'!E$17)))))</f>
        <v>0</v>
      </c>
      <c r="AK253">
        <f>IF('Calc base'!F$14=0,0,MIN(Y253,MAX(0,$E253-SUMPRODUCT($V253:$AG253,'Calc base'!$C$14:$N$14,('Calc base'!$H253:$S253&gt;'Calc base'!K253)+('Calc base'!$H253:$S253='Calc base'!K253)*('Calc base'!$C$17:$N$17&lt;'Calc base'!F$17)))))</f>
        <v>0</v>
      </c>
      <c r="AL253">
        <f>IF('Calc base'!G$14=0,0,MIN(Z253,MAX(0,$E253-SUMPRODUCT($V253:$AG253,'Calc base'!$C$14:$N$14,('Calc base'!$H253:$S253&gt;'Calc base'!L253)+('Calc base'!$H253:$S253='Calc base'!L253)*('Calc base'!$C$17:$N$17&lt;'Calc base'!G$17)))))</f>
        <v>0</v>
      </c>
      <c r="AM253">
        <f>IF('Calc base'!H$14=0,0,MIN(AA253,MAX(0,$E253-SUMPRODUCT($V253:$AG253,'Calc base'!$C$14:$N$14,('Calc base'!$H253:$S253&gt;'Calc base'!M253)+('Calc base'!$H253:$S253='Calc base'!M253)*('Calc base'!$C$17:$N$17&lt;'Calc base'!H$17)))))</f>
        <v>0</v>
      </c>
      <c r="AN253">
        <f>IF('Calc base'!I$14=0,0,MIN(AB253,MAX(0,$E253-SUMPRODUCT($V253:$AG253,'Calc base'!$C$14:$N$14,('Calc base'!$H253:$S253&gt;'Calc base'!N253)+('Calc base'!$H253:$S253='Calc base'!N253)*('Calc base'!$C$17:$N$17&lt;'Calc base'!I$17)))))</f>
        <v>0</v>
      </c>
      <c r="AO253">
        <f>IF('Calc base'!J$14=0,0,MIN(AC253,MAX(0,$E253-SUMPRODUCT($V253:$AG253,'Calc base'!$C$14:$N$14,('Calc base'!$H253:$S253&gt;'Calc base'!O253)+('Calc base'!$H253:$S253='Calc base'!O253)*('Calc base'!$C$17:$N$17&lt;'Calc base'!J$17)))))</f>
        <v>0</v>
      </c>
      <c r="AP253">
        <f>IF('Calc base'!K$14=0,0,MIN(AD253,MAX(0,$E253-SUMPRODUCT($V253:$AG253,'Calc base'!$C$14:$N$14,('Calc base'!$H253:$S253&gt;'Calc base'!P253)+('Calc base'!$H253:$S253='Calc base'!P253)*('Calc base'!$C$17:$N$17&lt;'Calc base'!K$17)))))</f>
        <v>0</v>
      </c>
      <c r="AQ253">
        <f>IF('Calc base'!L$14=0,0,MIN(AE253,MAX(0,$E253-SUMPRODUCT($V253:$AG253,'Calc base'!$C$14:$N$14,('Calc base'!$H253:$S253&gt;'Calc base'!Q253)+('Calc base'!$H253:$S253='Calc base'!Q253)*('Calc base'!$C$17:$N$17&lt;'Calc base'!L$17)))))</f>
        <v>0</v>
      </c>
      <c r="AR253">
        <f>IF('Calc base'!M$14=0,0,MIN(AF253,MAX(0,$E253-SUMPRODUCT($V253:$AG253,'Calc base'!$C$14:$N$14,('Calc base'!$H253:$S253&gt;'Calc base'!R253)+('Calc base'!$H253:$S253='Calc base'!R253)*('Calc base'!$C$17:$N$17&lt;'Calc base'!M$17)))))</f>
        <v>0</v>
      </c>
      <c r="AS253">
        <f>IF('Calc base'!N$14=0,0,MIN(AG253,MAX(0,$E253-SUMPRODUCT($V253:$AG253,'Calc base'!$C$14:$N$14,('Calc base'!$H253:$S253&gt;'Calc base'!S253)+('Calc base'!$H253:$S253='Calc base'!S253)*('Calc base'!$C$17:$N$17&lt;'Calc base'!N$17)))))</f>
        <v>0</v>
      </c>
      <c r="AT253">
        <f>V253-AH253</f>
        <v>0</v>
      </c>
      <c r="AU253">
        <f>W253-AI253</f>
        <v>0</v>
      </c>
      <c r="AV253">
        <f>X253-AJ253</f>
        <v>0</v>
      </c>
      <c r="AW253">
        <f>Y253-AK253</f>
        <v>0</v>
      </c>
      <c r="AX253">
        <f>Z253-AL253</f>
        <v>0</v>
      </c>
      <c r="AY253">
        <f>AA253-AM253</f>
        <v>0</v>
      </c>
      <c r="AZ253">
        <f>AB253-AN253</f>
        <v>0</v>
      </c>
      <c r="BA253">
        <f>AC253-AO253</f>
        <v>0</v>
      </c>
      <c r="BB253">
        <f>AD253-AP253</f>
        <v>0</v>
      </c>
      <c r="BC253">
        <f>AE253-AQ253</f>
        <v>0</v>
      </c>
      <c r="BD253">
        <f>AF253-AR253</f>
        <v>0</v>
      </c>
      <c r="BE253">
        <f>AG253-AS253</f>
        <v>0</v>
      </c>
    </row>
    <row r="254">
      <c r="A254" t="n">
        <v>224</v>
      </c>
      <c r="B254">
        <f>SUMPRODUCT(ROUND($AT253:$BE253*(1+'Calc base'!$H254:$S254),2))</f>
        <v>0</v>
      </c>
      <c r="C254">
        <f>SUM(J254:U254)</f>
        <v>0</v>
      </c>
      <c r="D254">
        <f>SUM(V254:AG254)</f>
        <v>0</v>
      </c>
      <c r="E254">
        <f>MAX(0,IF(Impostazioni!$B$7="No",'Calc base'!$C254-$C$31,'Calc base'!$C254-C254)+'Calc base'!$G254+'Calc base'!$F254-(B254-C254-D254))</f>
        <v>900</v>
      </c>
      <c r="F254">
        <f>SUM(AH254:AS254)</f>
        <v>0</v>
      </c>
      <c r="G254">
        <f>SUM(AT254:BE254)</f>
        <v>0</v>
      </c>
      <c r="H254">
        <f>B254-G253</f>
        <v>0</v>
      </c>
      <c r="I254">
        <f>B254-G254</f>
        <v>0</v>
      </c>
      <c r="J254">
        <f>IF(AT253&lt;=0,0,IF(ROUND(AT253*(1+'Calc base'!H254),2)-MAX('Calc base'!C$12,ROUND('Calc base'!C$13*AT253,2))&lt;1,ROUND(AT253*(1+'Calc base'!H254),2),MAX('Calc base'!C$12,ROUND('Calc base'!C$13*AT253,2))))</f>
        <v>0</v>
      </c>
      <c r="K254">
        <f>IF(AU253&lt;=0,0,IF(ROUND(AU253*(1+'Calc base'!I254),2)-MAX('Calc base'!D$12,ROUND('Calc base'!D$13*AU253,2))&lt;1,ROUND(AU253*(1+'Calc base'!I254),2),MAX('Calc base'!D$12,ROUND('Calc base'!D$13*AU253,2))))</f>
        <v>0</v>
      </c>
      <c r="L254">
        <f>IF(AV253&lt;=0,0,IF(ROUND(AV253*(1+'Calc base'!J254),2)-MAX('Calc base'!E$12,ROUND('Calc base'!E$13*AV253,2))&lt;1,ROUND(AV253*(1+'Calc base'!J254),2),MAX('Calc base'!E$12,ROUND('Calc base'!E$13*AV253,2))))</f>
        <v>0</v>
      </c>
      <c r="M254">
        <f>IF(AW253&lt;=0,0,IF(ROUND(AW253*(1+'Calc base'!K254),2)-MAX('Calc base'!F$12,ROUND('Calc base'!F$13*AW253,2))&lt;1,ROUND(AW253*(1+'Calc base'!K254),2),MAX('Calc base'!F$12,ROUND('Calc base'!F$13*AW253,2))))</f>
        <v>0</v>
      </c>
      <c r="N254">
        <f>IF(AX253&lt;=0,0,IF(ROUND(AX253*(1+'Calc base'!L254),2)-MAX('Calc base'!G$12,ROUND('Calc base'!G$13*AX253,2))&lt;1,ROUND(AX253*(1+'Calc base'!L254),2),MAX('Calc base'!G$12,ROUND('Calc base'!G$13*AX253,2))))</f>
        <v>0</v>
      </c>
      <c r="O254">
        <f>IF(AY253&lt;=0,0,IF(ROUND(AY253*(1+'Calc base'!M254),2)-MAX('Calc base'!H$12,ROUND('Calc base'!H$13*AY253,2))&lt;1,ROUND(AY253*(1+'Calc base'!M254),2),MAX('Calc base'!H$12,ROUND('Calc base'!H$13*AY253,2))))</f>
        <v>0</v>
      </c>
      <c r="P254">
        <f>IF(AZ253&lt;=0,0,IF(ROUND(AZ253*(1+'Calc base'!N254),2)-MAX('Calc base'!I$12,ROUND('Calc base'!I$13*AZ253,2))&lt;1,ROUND(AZ253*(1+'Calc base'!N254),2),MAX('Calc base'!I$12,ROUND('Calc base'!I$13*AZ253,2))))</f>
        <v>0</v>
      </c>
      <c r="Q254">
        <f>IF(BA253&lt;=0,0,IF(ROUND(BA253*(1+'Calc base'!O254),2)-MAX('Calc base'!J$12,ROUND('Calc base'!J$13*BA253,2))&lt;1,ROUND(BA253*(1+'Calc base'!O254),2),MAX('Calc base'!J$12,ROUND('Calc base'!J$13*BA253,2))))</f>
        <v>0</v>
      </c>
      <c r="R254">
        <f>IF(BB253&lt;=0,0,IF(ROUND(BB253*(1+'Calc base'!P254),2)-MAX('Calc base'!K$12,ROUND('Calc base'!K$13*BB253,2))&lt;1,ROUND(BB253*(1+'Calc base'!P254),2),MAX('Calc base'!K$12,ROUND('Calc base'!K$13*BB253,2))))</f>
        <v>0</v>
      </c>
      <c r="S254">
        <f>IF(BC253&lt;=0,0,IF(ROUND(BC253*(1+'Calc base'!Q254),2)-MAX('Calc base'!L$12,ROUND('Calc base'!L$13*BC253,2))&lt;1,ROUND(BC253*(1+'Calc base'!Q254),2),MAX('Calc base'!L$12,ROUND('Calc base'!L$13*BC253,2))))</f>
        <v>0</v>
      </c>
      <c r="T254">
        <f>IF(BD253&lt;=0,0,IF(ROUND(BD253*(1+'Calc base'!R254),2)-MAX('Calc base'!M$12,ROUND('Calc base'!M$13*BD253,2))&lt;1,ROUND(BD253*(1+'Calc base'!R254),2),MAX('Calc base'!M$12,ROUND('Calc base'!M$13*BD253,2))))</f>
        <v>0</v>
      </c>
      <c r="U254">
        <f>IF(BE253&lt;=0,0,IF(ROUND(BE253*(1+'Calc base'!S254),2)-MAX('Calc base'!N$12,ROUND('Calc base'!N$13*BE253,2))&lt;1,ROUND(BE253*(1+'Calc base'!S254),2),MAX('Calc base'!N$12,ROUND('Calc base'!N$13*BE253,2))))</f>
        <v>0</v>
      </c>
      <c r="V254">
        <f>MAX(0,ROUND(AT253*(1+'Calc base'!H254),2)-J254-'Calc base'!T254)</f>
        <v>0</v>
      </c>
      <c r="W254">
        <f>MAX(0,ROUND(AU253*(1+'Calc base'!I254),2)-K254-'Calc base'!U254)</f>
        <v>0</v>
      </c>
      <c r="X254">
        <f>MAX(0,ROUND(AV253*(1+'Calc base'!J254),2)-L254-'Calc base'!V254)</f>
        <v>0</v>
      </c>
      <c r="Y254">
        <f>MAX(0,ROUND(AW253*(1+'Calc base'!K254),2)-M254-'Calc base'!W254)</f>
        <v>0</v>
      </c>
      <c r="Z254">
        <f>MAX(0,ROUND(AX253*(1+'Calc base'!L254),2)-N254-'Calc base'!X254)</f>
        <v>0</v>
      </c>
      <c r="AA254">
        <f>MAX(0,ROUND(AY253*(1+'Calc base'!M254),2)-O254-'Calc base'!Y254)</f>
        <v>0</v>
      </c>
      <c r="AB254">
        <f>MAX(0,ROUND(AZ253*(1+'Calc base'!N254),2)-P254-'Calc base'!Z254)</f>
        <v>0</v>
      </c>
      <c r="AC254">
        <f>MAX(0,ROUND(BA253*(1+'Calc base'!O254),2)-Q254-'Calc base'!AA254)</f>
        <v>0</v>
      </c>
      <c r="AD254">
        <f>MAX(0,ROUND(BB253*(1+'Calc base'!P254),2)-R254-'Calc base'!AB254)</f>
        <v>0</v>
      </c>
      <c r="AE254">
        <f>MAX(0,ROUND(BC253*(1+'Calc base'!Q254),2)-S254-'Calc base'!AC254)</f>
        <v>0</v>
      </c>
      <c r="AF254">
        <f>MAX(0,ROUND(BD253*(1+'Calc base'!R254),2)-T254-'Calc base'!AD254)</f>
        <v>0</v>
      </c>
      <c r="AG254">
        <f>MAX(0,ROUND(BE253*(1+'Calc base'!S254),2)-U254-'Calc base'!AE254)</f>
        <v>0</v>
      </c>
      <c r="AH254">
        <f>IF('Calc base'!C$14=0,0,MIN(V254,MAX(0,$E254-SUMPRODUCT($V254:$AG254,'Calc base'!$C$14:$N$14,('Calc base'!$H254:$S254&gt;'Calc base'!H254)+('Calc base'!$H254:$S254='Calc base'!H254)*('Calc base'!$C$17:$N$17&lt;'Calc base'!C$17)))))</f>
        <v>0</v>
      </c>
      <c r="AI254">
        <f>IF('Calc base'!D$14=0,0,MIN(W254,MAX(0,$E254-SUMPRODUCT($V254:$AG254,'Calc base'!$C$14:$N$14,('Calc base'!$H254:$S254&gt;'Calc base'!I254)+('Calc base'!$H254:$S254='Calc base'!I254)*('Calc base'!$C$17:$N$17&lt;'Calc base'!D$17)))))</f>
        <v>0</v>
      </c>
      <c r="AJ254">
        <f>IF('Calc base'!E$14=0,0,MIN(X254,MAX(0,$E254-SUMPRODUCT($V254:$AG254,'Calc base'!$C$14:$N$14,('Calc base'!$H254:$S254&gt;'Calc base'!J254)+('Calc base'!$H254:$S254='Calc base'!J254)*('Calc base'!$C$17:$N$17&lt;'Calc base'!E$17)))))</f>
        <v>0</v>
      </c>
      <c r="AK254">
        <f>IF('Calc base'!F$14=0,0,MIN(Y254,MAX(0,$E254-SUMPRODUCT($V254:$AG254,'Calc base'!$C$14:$N$14,('Calc base'!$H254:$S254&gt;'Calc base'!K254)+('Calc base'!$H254:$S254='Calc base'!K254)*('Calc base'!$C$17:$N$17&lt;'Calc base'!F$17)))))</f>
        <v>0</v>
      </c>
      <c r="AL254">
        <f>IF('Calc base'!G$14=0,0,MIN(Z254,MAX(0,$E254-SUMPRODUCT($V254:$AG254,'Calc base'!$C$14:$N$14,('Calc base'!$H254:$S254&gt;'Calc base'!L254)+('Calc base'!$H254:$S254='Calc base'!L254)*('Calc base'!$C$17:$N$17&lt;'Calc base'!G$17)))))</f>
        <v>0</v>
      </c>
      <c r="AM254">
        <f>IF('Calc base'!H$14=0,0,MIN(AA254,MAX(0,$E254-SUMPRODUCT($V254:$AG254,'Calc base'!$C$14:$N$14,('Calc base'!$H254:$S254&gt;'Calc base'!M254)+('Calc base'!$H254:$S254='Calc base'!M254)*('Calc base'!$C$17:$N$17&lt;'Calc base'!H$17)))))</f>
        <v>0</v>
      </c>
      <c r="AN254">
        <f>IF('Calc base'!I$14=0,0,MIN(AB254,MAX(0,$E254-SUMPRODUCT($V254:$AG254,'Calc base'!$C$14:$N$14,('Calc base'!$H254:$S254&gt;'Calc base'!N254)+('Calc base'!$H254:$S254='Calc base'!N254)*('Calc base'!$C$17:$N$17&lt;'Calc base'!I$17)))))</f>
        <v>0</v>
      </c>
      <c r="AO254">
        <f>IF('Calc base'!J$14=0,0,MIN(AC254,MAX(0,$E254-SUMPRODUCT($V254:$AG254,'Calc base'!$C$14:$N$14,('Calc base'!$H254:$S254&gt;'Calc base'!O254)+('Calc base'!$H254:$S254='Calc base'!O254)*('Calc base'!$C$17:$N$17&lt;'Calc base'!J$17)))))</f>
        <v>0</v>
      </c>
      <c r="AP254">
        <f>IF('Calc base'!K$14=0,0,MIN(AD254,MAX(0,$E254-SUMPRODUCT($V254:$AG254,'Calc base'!$C$14:$N$14,('Calc base'!$H254:$S254&gt;'Calc base'!P254)+('Calc base'!$H254:$S254='Calc base'!P254)*('Calc base'!$C$17:$N$17&lt;'Calc base'!K$17)))))</f>
        <v>0</v>
      </c>
      <c r="AQ254">
        <f>IF('Calc base'!L$14=0,0,MIN(AE254,MAX(0,$E254-SUMPRODUCT($V254:$AG254,'Calc base'!$C$14:$N$14,('Calc base'!$H254:$S254&gt;'Calc base'!Q254)+('Calc base'!$H254:$S254='Calc base'!Q254)*('Calc base'!$C$17:$N$17&lt;'Calc base'!L$17)))))</f>
        <v>0</v>
      </c>
      <c r="AR254">
        <f>IF('Calc base'!M$14=0,0,MIN(AF254,MAX(0,$E254-SUMPRODUCT($V254:$AG254,'Calc base'!$C$14:$N$14,('Calc base'!$H254:$S254&gt;'Calc base'!R254)+('Calc base'!$H254:$S254='Calc base'!R254)*('Calc base'!$C$17:$N$17&lt;'Calc base'!M$17)))))</f>
        <v>0</v>
      </c>
      <c r="AS254">
        <f>IF('Calc base'!N$14=0,0,MIN(AG254,MAX(0,$E254-SUMPRODUCT($V254:$AG254,'Calc base'!$C$14:$N$14,('Calc base'!$H254:$S254&gt;'Calc base'!S254)+('Calc base'!$H254:$S254='Calc base'!S254)*('Calc base'!$C$17:$N$17&lt;'Calc base'!N$17)))))</f>
        <v>0</v>
      </c>
      <c r="AT254">
        <f>V254-AH254</f>
        <v>0</v>
      </c>
      <c r="AU254">
        <f>W254-AI254</f>
        <v>0</v>
      </c>
      <c r="AV254">
        <f>X254-AJ254</f>
        <v>0</v>
      </c>
      <c r="AW254">
        <f>Y254-AK254</f>
        <v>0</v>
      </c>
      <c r="AX254">
        <f>Z254-AL254</f>
        <v>0</v>
      </c>
      <c r="AY254">
        <f>AA254-AM254</f>
        <v>0</v>
      </c>
      <c r="AZ254">
        <f>AB254-AN254</f>
        <v>0</v>
      </c>
      <c r="BA254">
        <f>AC254-AO254</f>
        <v>0</v>
      </c>
      <c r="BB254">
        <f>AD254-AP254</f>
        <v>0</v>
      </c>
      <c r="BC254">
        <f>AE254-AQ254</f>
        <v>0</v>
      </c>
      <c r="BD254">
        <f>AF254-AR254</f>
        <v>0</v>
      </c>
      <c r="BE254">
        <f>AG254-AS254</f>
        <v>0</v>
      </c>
    </row>
    <row r="255">
      <c r="A255" t="n">
        <v>225</v>
      </c>
      <c r="B255">
        <f>SUMPRODUCT(ROUND($AT254:$BE254*(1+'Calc base'!$H255:$S255),2))</f>
        <v>0</v>
      </c>
      <c r="C255">
        <f>SUM(J255:U255)</f>
        <v>0</v>
      </c>
      <c r="D255">
        <f>SUM(V255:AG255)</f>
        <v>0</v>
      </c>
      <c r="E255">
        <f>MAX(0,IF(Impostazioni!$B$7="No",'Calc base'!$C255-$C$31,'Calc base'!$C255-C255)+'Calc base'!$G255+'Calc base'!$F255-(B255-C255-D255))</f>
        <v>900</v>
      </c>
      <c r="F255">
        <f>SUM(AH255:AS255)</f>
        <v>0</v>
      </c>
      <c r="G255">
        <f>SUM(AT255:BE255)</f>
        <v>0</v>
      </c>
      <c r="H255">
        <f>B255-G254</f>
        <v>0</v>
      </c>
      <c r="I255">
        <f>B255-G255</f>
        <v>0</v>
      </c>
      <c r="J255">
        <f>IF(AT254&lt;=0,0,IF(ROUND(AT254*(1+'Calc base'!H255),2)-MAX('Calc base'!C$12,ROUND('Calc base'!C$13*AT254,2))&lt;1,ROUND(AT254*(1+'Calc base'!H255),2),MAX('Calc base'!C$12,ROUND('Calc base'!C$13*AT254,2))))</f>
        <v>0</v>
      </c>
      <c r="K255">
        <f>IF(AU254&lt;=0,0,IF(ROUND(AU254*(1+'Calc base'!I255),2)-MAX('Calc base'!D$12,ROUND('Calc base'!D$13*AU254,2))&lt;1,ROUND(AU254*(1+'Calc base'!I255),2),MAX('Calc base'!D$12,ROUND('Calc base'!D$13*AU254,2))))</f>
        <v>0</v>
      </c>
      <c r="L255">
        <f>IF(AV254&lt;=0,0,IF(ROUND(AV254*(1+'Calc base'!J255),2)-MAX('Calc base'!E$12,ROUND('Calc base'!E$13*AV254,2))&lt;1,ROUND(AV254*(1+'Calc base'!J255),2),MAX('Calc base'!E$12,ROUND('Calc base'!E$13*AV254,2))))</f>
        <v>0</v>
      </c>
      <c r="M255">
        <f>IF(AW254&lt;=0,0,IF(ROUND(AW254*(1+'Calc base'!K255),2)-MAX('Calc base'!F$12,ROUND('Calc base'!F$13*AW254,2))&lt;1,ROUND(AW254*(1+'Calc base'!K255),2),MAX('Calc base'!F$12,ROUND('Calc base'!F$13*AW254,2))))</f>
        <v>0</v>
      </c>
      <c r="N255">
        <f>IF(AX254&lt;=0,0,IF(ROUND(AX254*(1+'Calc base'!L255),2)-MAX('Calc base'!G$12,ROUND('Calc base'!G$13*AX254,2))&lt;1,ROUND(AX254*(1+'Calc base'!L255),2),MAX('Calc base'!G$12,ROUND('Calc base'!G$13*AX254,2))))</f>
        <v>0</v>
      </c>
      <c r="O255">
        <f>IF(AY254&lt;=0,0,IF(ROUND(AY254*(1+'Calc base'!M255),2)-MAX('Calc base'!H$12,ROUND('Calc base'!H$13*AY254,2))&lt;1,ROUND(AY254*(1+'Calc base'!M255),2),MAX('Calc base'!H$12,ROUND('Calc base'!H$13*AY254,2))))</f>
        <v>0</v>
      </c>
      <c r="P255">
        <f>IF(AZ254&lt;=0,0,IF(ROUND(AZ254*(1+'Calc base'!N255),2)-MAX('Calc base'!I$12,ROUND('Calc base'!I$13*AZ254,2))&lt;1,ROUND(AZ254*(1+'Calc base'!N255),2),MAX('Calc base'!I$12,ROUND('Calc base'!I$13*AZ254,2))))</f>
        <v>0</v>
      </c>
      <c r="Q255">
        <f>IF(BA254&lt;=0,0,IF(ROUND(BA254*(1+'Calc base'!O255),2)-MAX('Calc base'!J$12,ROUND('Calc base'!J$13*BA254,2))&lt;1,ROUND(BA254*(1+'Calc base'!O255),2),MAX('Calc base'!J$12,ROUND('Calc base'!J$13*BA254,2))))</f>
        <v>0</v>
      </c>
      <c r="R255">
        <f>IF(BB254&lt;=0,0,IF(ROUND(BB254*(1+'Calc base'!P255),2)-MAX('Calc base'!K$12,ROUND('Calc base'!K$13*BB254,2))&lt;1,ROUND(BB254*(1+'Calc base'!P255),2),MAX('Calc base'!K$12,ROUND('Calc base'!K$13*BB254,2))))</f>
        <v>0</v>
      </c>
      <c r="S255">
        <f>IF(BC254&lt;=0,0,IF(ROUND(BC254*(1+'Calc base'!Q255),2)-MAX('Calc base'!L$12,ROUND('Calc base'!L$13*BC254,2))&lt;1,ROUND(BC254*(1+'Calc base'!Q255),2),MAX('Calc base'!L$12,ROUND('Calc base'!L$13*BC254,2))))</f>
        <v>0</v>
      </c>
      <c r="T255">
        <f>IF(BD254&lt;=0,0,IF(ROUND(BD254*(1+'Calc base'!R255),2)-MAX('Calc base'!M$12,ROUND('Calc base'!M$13*BD254,2))&lt;1,ROUND(BD254*(1+'Calc base'!R255),2),MAX('Calc base'!M$12,ROUND('Calc base'!M$13*BD254,2))))</f>
        <v>0</v>
      </c>
      <c r="U255">
        <f>IF(BE254&lt;=0,0,IF(ROUND(BE254*(1+'Calc base'!S255),2)-MAX('Calc base'!N$12,ROUND('Calc base'!N$13*BE254,2))&lt;1,ROUND(BE254*(1+'Calc base'!S255),2),MAX('Calc base'!N$12,ROUND('Calc base'!N$13*BE254,2))))</f>
        <v>0</v>
      </c>
      <c r="V255">
        <f>MAX(0,ROUND(AT254*(1+'Calc base'!H255),2)-J255-'Calc base'!T255)</f>
        <v>0</v>
      </c>
      <c r="W255">
        <f>MAX(0,ROUND(AU254*(1+'Calc base'!I255),2)-K255-'Calc base'!U255)</f>
        <v>0</v>
      </c>
      <c r="X255">
        <f>MAX(0,ROUND(AV254*(1+'Calc base'!J255),2)-L255-'Calc base'!V255)</f>
        <v>0</v>
      </c>
      <c r="Y255">
        <f>MAX(0,ROUND(AW254*(1+'Calc base'!K255),2)-M255-'Calc base'!W255)</f>
        <v>0</v>
      </c>
      <c r="Z255">
        <f>MAX(0,ROUND(AX254*(1+'Calc base'!L255),2)-N255-'Calc base'!X255)</f>
        <v>0</v>
      </c>
      <c r="AA255">
        <f>MAX(0,ROUND(AY254*(1+'Calc base'!M255),2)-O255-'Calc base'!Y255)</f>
        <v>0</v>
      </c>
      <c r="AB255">
        <f>MAX(0,ROUND(AZ254*(1+'Calc base'!N255),2)-P255-'Calc base'!Z255)</f>
        <v>0</v>
      </c>
      <c r="AC255">
        <f>MAX(0,ROUND(BA254*(1+'Calc base'!O255),2)-Q255-'Calc base'!AA255)</f>
        <v>0</v>
      </c>
      <c r="AD255">
        <f>MAX(0,ROUND(BB254*(1+'Calc base'!P255),2)-R255-'Calc base'!AB255)</f>
        <v>0</v>
      </c>
      <c r="AE255">
        <f>MAX(0,ROUND(BC254*(1+'Calc base'!Q255),2)-S255-'Calc base'!AC255)</f>
        <v>0</v>
      </c>
      <c r="AF255">
        <f>MAX(0,ROUND(BD254*(1+'Calc base'!R255),2)-T255-'Calc base'!AD255)</f>
        <v>0</v>
      </c>
      <c r="AG255">
        <f>MAX(0,ROUND(BE254*(1+'Calc base'!S255),2)-U255-'Calc base'!AE255)</f>
        <v>0</v>
      </c>
      <c r="AH255">
        <f>IF('Calc base'!C$14=0,0,MIN(V255,MAX(0,$E255-SUMPRODUCT($V255:$AG255,'Calc base'!$C$14:$N$14,('Calc base'!$H255:$S255&gt;'Calc base'!H255)+('Calc base'!$H255:$S255='Calc base'!H255)*('Calc base'!$C$17:$N$17&lt;'Calc base'!C$17)))))</f>
        <v>0</v>
      </c>
      <c r="AI255">
        <f>IF('Calc base'!D$14=0,0,MIN(W255,MAX(0,$E255-SUMPRODUCT($V255:$AG255,'Calc base'!$C$14:$N$14,('Calc base'!$H255:$S255&gt;'Calc base'!I255)+('Calc base'!$H255:$S255='Calc base'!I255)*('Calc base'!$C$17:$N$17&lt;'Calc base'!D$17)))))</f>
        <v>0</v>
      </c>
      <c r="AJ255">
        <f>IF('Calc base'!E$14=0,0,MIN(X255,MAX(0,$E255-SUMPRODUCT($V255:$AG255,'Calc base'!$C$14:$N$14,('Calc base'!$H255:$S255&gt;'Calc base'!J255)+('Calc base'!$H255:$S255='Calc base'!J255)*('Calc base'!$C$17:$N$17&lt;'Calc base'!E$17)))))</f>
        <v>0</v>
      </c>
      <c r="AK255">
        <f>IF('Calc base'!F$14=0,0,MIN(Y255,MAX(0,$E255-SUMPRODUCT($V255:$AG255,'Calc base'!$C$14:$N$14,('Calc base'!$H255:$S255&gt;'Calc base'!K255)+('Calc base'!$H255:$S255='Calc base'!K255)*('Calc base'!$C$17:$N$17&lt;'Calc base'!F$17)))))</f>
        <v>0</v>
      </c>
      <c r="AL255">
        <f>IF('Calc base'!G$14=0,0,MIN(Z255,MAX(0,$E255-SUMPRODUCT($V255:$AG255,'Calc base'!$C$14:$N$14,('Calc base'!$H255:$S255&gt;'Calc base'!L255)+('Calc base'!$H255:$S255='Calc base'!L255)*('Calc base'!$C$17:$N$17&lt;'Calc base'!G$17)))))</f>
        <v>0</v>
      </c>
      <c r="AM255">
        <f>IF('Calc base'!H$14=0,0,MIN(AA255,MAX(0,$E255-SUMPRODUCT($V255:$AG255,'Calc base'!$C$14:$N$14,('Calc base'!$H255:$S255&gt;'Calc base'!M255)+('Calc base'!$H255:$S255='Calc base'!M255)*('Calc base'!$C$17:$N$17&lt;'Calc base'!H$17)))))</f>
        <v>0</v>
      </c>
      <c r="AN255">
        <f>IF('Calc base'!I$14=0,0,MIN(AB255,MAX(0,$E255-SUMPRODUCT($V255:$AG255,'Calc base'!$C$14:$N$14,('Calc base'!$H255:$S255&gt;'Calc base'!N255)+('Calc base'!$H255:$S255='Calc base'!N255)*('Calc base'!$C$17:$N$17&lt;'Calc base'!I$17)))))</f>
        <v>0</v>
      </c>
      <c r="AO255">
        <f>IF('Calc base'!J$14=0,0,MIN(AC255,MAX(0,$E255-SUMPRODUCT($V255:$AG255,'Calc base'!$C$14:$N$14,('Calc base'!$H255:$S255&gt;'Calc base'!O255)+('Calc base'!$H255:$S255='Calc base'!O255)*('Calc base'!$C$17:$N$17&lt;'Calc base'!J$17)))))</f>
        <v>0</v>
      </c>
      <c r="AP255">
        <f>IF('Calc base'!K$14=0,0,MIN(AD255,MAX(0,$E255-SUMPRODUCT($V255:$AG255,'Calc base'!$C$14:$N$14,('Calc base'!$H255:$S255&gt;'Calc base'!P255)+('Calc base'!$H255:$S255='Calc base'!P255)*('Calc base'!$C$17:$N$17&lt;'Calc base'!K$17)))))</f>
        <v>0</v>
      </c>
      <c r="AQ255">
        <f>IF('Calc base'!L$14=0,0,MIN(AE255,MAX(0,$E255-SUMPRODUCT($V255:$AG255,'Calc base'!$C$14:$N$14,('Calc base'!$H255:$S255&gt;'Calc base'!Q255)+('Calc base'!$H255:$S255='Calc base'!Q255)*('Calc base'!$C$17:$N$17&lt;'Calc base'!L$17)))))</f>
        <v>0</v>
      </c>
      <c r="AR255">
        <f>IF('Calc base'!M$14=0,0,MIN(AF255,MAX(0,$E255-SUMPRODUCT($V255:$AG255,'Calc base'!$C$14:$N$14,('Calc base'!$H255:$S255&gt;'Calc base'!R255)+('Calc base'!$H255:$S255='Calc base'!R255)*('Calc base'!$C$17:$N$17&lt;'Calc base'!M$17)))))</f>
        <v>0</v>
      </c>
      <c r="AS255">
        <f>IF('Calc base'!N$14=0,0,MIN(AG255,MAX(0,$E255-SUMPRODUCT($V255:$AG255,'Calc base'!$C$14:$N$14,('Calc base'!$H255:$S255&gt;'Calc base'!S255)+('Calc base'!$H255:$S255='Calc base'!S255)*('Calc base'!$C$17:$N$17&lt;'Calc base'!N$17)))))</f>
        <v>0</v>
      </c>
      <c r="AT255">
        <f>V255-AH255</f>
        <v>0</v>
      </c>
      <c r="AU255">
        <f>W255-AI255</f>
        <v>0</v>
      </c>
      <c r="AV255">
        <f>X255-AJ255</f>
        <v>0</v>
      </c>
      <c r="AW255">
        <f>Y255-AK255</f>
        <v>0</v>
      </c>
      <c r="AX255">
        <f>Z255-AL255</f>
        <v>0</v>
      </c>
      <c r="AY255">
        <f>AA255-AM255</f>
        <v>0</v>
      </c>
      <c r="AZ255">
        <f>AB255-AN255</f>
        <v>0</v>
      </c>
      <c r="BA255">
        <f>AC255-AO255</f>
        <v>0</v>
      </c>
      <c r="BB255">
        <f>AD255-AP255</f>
        <v>0</v>
      </c>
      <c r="BC255">
        <f>AE255-AQ255</f>
        <v>0</v>
      </c>
      <c r="BD255">
        <f>AF255-AR255</f>
        <v>0</v>
      </c>
      <c r="BE255">
        <f>AG255-AS255</f>
        <v>0</v>
      </c>
    </row>
    <row r="256">
      <c r="A256" t="n">
        <v>226</v>
      </c>
      <c r="B256">
        <f>SUMPRODUCT(ROUND($AT255:$BE255*(1+'Calc base'!$H256:$S256),2))</f>
        <v>0</v>
      </c>
      <c r="C256">
        <f>SUM(J256:U256)</f>
        <v>0</v>
      </c>
      <c r="D256">
        <f>SUM(V256:AG256)</f>
        <v>0</v>
      </c>
      <c r="E256">
        <f>MAX(0,IF(Impostazioni!$B$7="No",'Calc base'!$C256-$C$31,'Calc base'!$C256-C256)+'Calc base'!$G256+'Calc base'!$F256-(B256-C256-D256))</f>
        <v>900</v>
      </c>
      <c r="F256">
        <f>SUM(AH256:AS256)</f>
        <v>0</v>
      </c>
      <c r="G256">
        <f>SUM(AT256:BE256)</f>
        <v>0</v>
      </c>
      <c r="H256">
        <f>B256-G255</f>
        <v>0</v>
      </c>
      <c r="I256">
        <f>B256-G256</f>
        <v>0</v>
      </c>
      <c r="J256">
        <f>IF(AT255&lt;=0,0,IF(ROUND(AT255*(1+'Calc base'!H256),2)-MAX('Calc base'!C$12,ROUND('Calc base'!C$13*AT255,2))&lt;1,ROUND(AT255*(1+'Calc base'!H256),2),MAX('Calc base'!C$12,ROUND('Calc base'!C$13*AT255,2))))</f>
        <v>0</v>
      </c>
      <c r="K256">
        <f>IF(AU255&lt;=0,0,IF(ROUND(AU255*(1+'Calc base'!I256),2)-MAX('Calc base'!D$12,ROUND('Calc base'!D$13*AU255,2))&lt;1,ROUND(AU255*(1+'Calc base'!I256),2),MAX('Calc base'!D$12,ROUND('Calc base'!D$13*AU255,2))))</f>
        <v>0</v>
      </c>
      <c r="L256">
        <f>IF(AV255&lt;=0,0,IF(ROUND(AV255*(1+'Calc base'!J256),2)-MAX('Calc base'!E$12,ROUND('Calc base'!E$13*AV255,2))&lt;1,ROUND(AV255*(1+'Calc base'!J256),2),MAX('Calc base'!E$12,ROUND('Calc base'!E$13*AV255,2))))</f>
        <v>0</v>
      </c>
      <c r="M256">
        <f>IF(AW255&lt;=0,0,IF(ROUND(AW255*(1+'Calc base'!K256),2)-MAX('Calc base'!F$12,ROUND('Calc base'!F$13*AW255,2))&lt;1,ROUND(AW255*(1+'Calc base'!K256),2),MAX('Calc base'!F$12,ROUND('Calc base'!F$13*AW255,2))))</f>
        <v>0</v>
      </c>
      <c r="N256">
        <f>IF(AX255&lt;=0,0,IF(ROUND(AX255*(1+'Calc base'!L256),2)-MAX('Calc base'!G$12,ROUND('Calc base'!G$13*AX255,2))&lt;1,ROUND(AX255*(1+'Calc base'!L256),2),MAX('Calc base'!G$12,ROUND('Calc base'!G$13*AX255,2))))</f>
        <v>0</v>
      </c>
      <c r="O256">
        <f>IF(AY255&lt;=0,0,IF(ROUND(AY255*(1+'Calc base'!M256),2)-MAX('Calc base'!H$12,ROUND('Calc base'!H$13*AY255,2))&lt;1,ROUND(AY255*(1+'Calc base'!M256),2),MAX('Calc base'!H$12,ROUND('Calc base'!H$13*AY255,2))))</f>
        <v>0</v>
      </c>
      <c r="P256">
        <f>IF(AZ255&lt;=0,0,IF(ROUND(AZ255*(1+'Calc base'!N256),2)-MAX('Calc base'!I$12,ROUND('Calc base'!I$13*AZ255,2))&lt;1,ROUND(AZ255*(1+'Calc base'!N256),2),MAX('Calc base'!I$12,ROUND('Calc base'!I$13*AZ255,2))))</f>
        <v>0</v>
      </c>
      <c r="Q256">
        <f>IF(BA255&lt;=0,0,IF(ROUND(BA255*(1+'Calc base'!O256),2)-MAX('Calc base'!J$12,ROUND('Calc base'!J$13*BA255,2))&lt;1,ROUND(BA255*(1+'Calc base'!O256),2),MAX('Calc base'!J$12,ROUND('Calc base'!J$13*BA255,2))))</f>
        <v>0</v>
      </c>
      <c r="R256">
        <f>IF(BB255&lt;=0,0,IF(ROUND(BB255*(1+'Calc base'!P256),2)-MAX('Calc base'!K$12,ROUND('Calc base'!K$13*BB255,2))&lt;1,ROUND(BB255*(1+'Calc base'!P256),2),MAX('Calc base'!K$12,ROUND('Calc base'!K$13*BB255,2))))</f>
        <v>0</v>
      </c>
      <c r="S256">
        <f>IF(BC255&lt;=0,0,IF(ROUND(BC255*(1+'Calc base'!Q256),2)-MAX('Calc base'!L$12,ROUND('Calc base'!L$13*BC255,2))&lt;1,ROUND(BC255*(1+'Calc base'!Q256),2),MAX('Calc base'!L$12,ROUND('Calc base'!L$13*BC255,2))))</f>
        <v>0</v>
      </c>
      <c r="T256">
        <f>IF(BD255&lt;=0,0,IF(ROUND(BD255*(1+'Calc base'!R256),2)-MAX('Calc base'!M$12,ROUND('Calc base'!M$13*BD255,2))&lt;1,ROUND(BD255*(1+'Calc base'!R256),2),MAX('Calc base'!M$12,ROUND('Calc base'!M$13*BD255,2))))</f>
        <v>0</v>
      </c>
      <c r="U256">
        <f>IF(BE255&lt;=0,0,IF(ROUND(BE255*(1+'Calc base'!S256),2)-MAX('Calc base'!N$12,ROUND('Calc base'!N$13*BE255,2))&lt;1,ROUND(BE255*(1+'Calc base'!S256),2),MAX('Calc base'!N$12,ROUND('Calc base'!N$13*BE255,2))))</f>
        <v>0</v>
      </c>
      <c r="V256">
        <f>MAX(0,ROUND(AT255*(1+'Calc base'!H256),2)-J256-'Calc base'!T256)</f>
        <v>0</v>
      </c>
      <c r="W256">
        <f>MAX(0,ROUND(AU255*(1+'Calc base'!I256),2)-K256-'Calc base'!U256)</f>
        <v>0</v>
      </c>
      <c r="X256">
        <f>MAX(0,ROUND(AV255*(1+'Calc base'!J256),2)-L256-'Calc base'!V256)</f>
        <v>0</v>
      </c>
      <c r="Y256">
        <f>MAX(0,ROUND(AW255*(1+'Calc base'!K256),2)-M256-'Calc base'!W256)</f>
        <v>0</v>
      </c>
      <c r="Z256">
        <f>MAX(0,ROUND(AX255*(1+'Calc base'!L256),2)-N256-'Calc base'!X256)</f>
        <v>0</v>
      </c>
      <c r="AA256">
        <f>MAX(0,ROUND(AY255*(1+'Calc base'!M256),2)-O256-'Calc base'!Y256)</f>
        <v>0</v>
      </c>
      <c r="AB256">
        <f>MAX(0,ROUND(AZ255*(1+'Calc base'!N256),2)-P256-'Calc base'!Z256)</f>
        <v>0</v>
      </c>
      <c r="AC256">
        <f>MAX(0,ROUND(BA255*(1+'Calc base'!O256),2)-Q256-'Calc base'!AA256)</f>
        <v>0</v>
      </c>
      <c r="AD256">
        <f>MAX(0,ROUND(BB255*(1+'Calc base'!P256),2)-R256-'Calc base'!AB256)</f>
        <v>0</v>
      </c>
      <c r="AE256">
        <f>MAX(0,ROUND(BC255*(1+'Calc base'!Q256),2)-S256-'Calc base'!AC256)</f>
        <v>0</v>
      </c>
      <c r="AF256">
        <f>MAX(0,ROUND(BD255*(1+'Calc base'!R256),2)-T256-'Calc base'!AD256)</f>
        <v>0</v>
      </c>
      <c r="AG256">
        <f>MAX(0,ROUND(BE255*(1+'Calc base'!S256),2)-U256-'Calc base'!AE256)</f>
        <v>0</v>
      </c>
      <c r="AH256">
        <f>IF('Calc base'!C$14=0,0,MIN(V256,MAX(0,$E256-SUMPRODUCT($V256:$AG256,'Calc base'!$C$14:$N$14,('Calc base'!$H256:$S256&gt;'Calc base'!H256)+('Calc base'!$H256:$S256='Calc base'!H256)*('Calc base'!$C$17:$N$17&lt;'Calc base'!C$17)))))</f>
        <v>0</v>
      </c>
      <c r="AI256">
        <f>IF('Calc base'!D$14=0,0,MIN(W256,MAX(0,$E256-SUMPRODUCT($V256:$AG256,'Calc base'!$C$14:$N$14,('Calc base'!$H256:$S256&gt;'Calc base'!I256)+('Calc base'!$H256:$S256='Calc base'!I256)*('Calc base'!$C$17:$N$17&lt;'Calc base'!D$17)))))</f>
        <v>0</v>
      </c>
      <c r="AJ256">
        <f>IF('Calc base'!E$14=0,0,MIN(X256,MAX(0,$E256-SUMPRODUCT($V256:$AG256,'Calc base'!$C$14:$N$14,('Calc base'!$H256:$S256&gt;'Calc base'!J256)+('Calc base'!$H256:$S256='Calc base'!J256)*('Calc base'!$C$17:$N$17&lt;'Calc base'!E$17)))))</f>
        <v>0</v>
      </c>
      <c r="AK256">
        <f>IF('Calc base'!F$14=0,0,MIN(Y256,MAX(0,$E256-SUMPRODUCT($V256:$AG256,'Calc base'!$C$14:$N$14,('Calc base'!$H256:$S256&gt;'Calc base'!K256)+('Calc base'!$H256:$S256='Calc base'!K256)*('Calc base'!$C$17:$N$17&lt;'Calc base'!F$17)))))</f>
        <v>0</v>
      </c>
      <c r="AL256">
        <f>IF('Calc base'!G$14=0,0,MIN(Z256,MAX(0,$E256-SUMPRODUCT($V256:$AG256,'Calc base'!$C$14:$N$14,('Calc base'!$H256:$S256&gt;'Calc base'!L256)+('Calc base'!$H256:$S256='Calc base'!L256)*('Calc base'!$C$17:$N$17&lt;'Calc base'!G$17)))))</f>
        <v>0</v>
      </c>
      <c r="AM256">
        <f>IF('Calc base'!H$14=0,0,MIN(AA256,MAX(0,$E256-SUMPRODUCT($V256:$AG256,'Calc base'!$C$14:$N$14,('Calc base'!$H256:$S256&gt;'Calc base'!M256)+('Calc base'!$H256:$S256='Calc base'!M256)*('Calc base'!$C$17:$N$17&lt;'Calc base'!H$17)))))</f>
        <v>0</v>
      </c>
      <c r="AN256">
        <f>IF('Calc base'!I$14=0,0,MIN(AB256,MAX(0,$E256-SUMPRODUCT($V256:$AG256,'Calc base'!$C$14:$N$14,('Calc base'!$H256:$S256&gt;'Calc base'!N256)+('Calc base'!$H256:$S256='Calc base'!N256)*('Calc base'!$C$17:$N$17&lt;'Calc base'!I$17)))))</f>
        <v>0</v>
      </c>
      <c r="AO256">
        <f>IF('Calc base'!J$14=0,0,MIN(AC256,MAX(0,$E256-SUMPRODUCT($V256:$AG256,'Calc base'!$C$14:$N$14,('Calc base'!$H256:$S256&gt;'Calc base'!O256)+('Calc base'!$H256:$S256='Calc base'!O256)*('Calc base'!$C$17:$N$17&lt;'Calc base'!J$17)))))</f>
        <v>0</v>
      </c>
      <c r="AP256">
        <f>IF('Calc base'!K$14=0,0,MIN(AD256,MAX(0,$E256-SUMPRODUCT($V256:$AG256,'Calc base'!$C$14:$N$14,('Calc base'!$H256:$S256&gt;'Calc base'!P256)+('Calc base'!$H256:$S256='Calc base'!P256)*('Calc base'!$C$17:$N$17&lt;'Calc base'!K$17)))))</f>
        <v>0</v>
      </c>
      <c r="AQ256">
        <f>IF('Calc base'!L$14=0,0,MIN(AE256,MAX(0,$E256-SUMPRODUCT($V256:$AG256,'Calc base'!$C$14:$N$14,('Calc base'!$H256:$S256&gt;'Calc base'!Q256)+('Calc base'!$H256:$S256='Calc base'!Q256)*('Calc base'!$C$17:$N$17&lt;'Calc base'!L$17)))))</f>
        <v>0</v>
      </c>
      <c r="AR256">
        <f>IF('Calc base'!M$14=0,0,MIN(AF256,MAX(0,$E256-SUMPRODUCT($V256:$AG256,'Calc base'!$C$14:$N$14,('Calc base'!$H256:$S256&gt;'Calc base'!R256)+('Calc base'!$H256:$S256='Calc base'!R256)*('Calc base'!$C$17:$N$17&lt;'Calc base'!M$17)))))</f>
        <v>0</v>
      </c>
      <c r="AS256">
        <f>IF('Calc base'!N$14=0,0,MIN(AG256,MAX(0,$E256-SUMPRODUCT($V256:$AG256,'Calc base'!$C$14:$N$14,('Calc base'!$H256:$S256&gt;'Calc base'!S256)+('Calc base'!$H256:$S256='Calc base'!S256)*('Calc base'!$C$17:$N$17&lt;'Calc base'!N$17)))))</f>
        <v>0</v>
      </c>
      <c r="AT256">
        <f>V256-AH256</f>
        <v>0</v>
      </c>
      <c r="AU256">
        <f>W256-AI256</f>
        <v>0</v>
      </c>
      <c r="AV256">
        <f>X256-AJ256</f>
        <v>0</v>
      </c>
      <c r="AW256">
        <f>Y256-AK256</f>
        <v>0</v>
      </c>
      <c r="AX256">
        <f>Z256-AL256</f>
        <v>0</v>
      </c>
      <c r="AY256">
        <f>AA256-AM256</f>
        <v>0</v>
      </c>
      <c r="AZ256">
        <f>AB256-AN256</f>
        <v>0</v>
      </c>
      <c r="BA256">
        <f>AC256-AO256</f>
        <v>0</v>
      </c>
      <c r="BB256">
        <f>AD256-AP256</f>
        <v>0</v>
      </c>
      <c r="BC256">
        <f>AE256-AQ256</f>
        <v>0</v>
      </c>
      <c r="BD256">
        <f>AF256-AR256</f>
        <v>0</v>
      </c>
      <c r="BE256">
        <f>AG256-AS256</f>
        <v>0</v>
      </c>
    </row>
    <row r="257">
      <c r="A257" t="n">
        <v>227</v>
      </c>
      <c r="B257">
        <f>SUMPRODUCT(ROUND($AT256:$BE256*(1+'Calc base'!$H257:$S257),2))</f>
        <v>0</v>
      </c>
      <c r="C257">
        <f>SUM(J257:U257)</f>
        <v>0</v>
      </c>
      <c r="D257">
        <f>SUM(V257:AG257)</f>
        <v>0</v>
      </c>
      <c r="E257">
        <f>MAX(0,IF(Impostazioni!$B$7="No",'Calc base'!$C257-$C$31,'Calc base'!$C257-C257)+'Calc base'!$G257+'Calc base'!$F257-(B257-C257-D257))</f>
        <v>900</v>
      </c>
      <c r="F257">
        <f>SUM(AH257:AS257)</f>
        <v>0</v>
      </c>
      <c r="G257">
        <f>SUM(AT257:BE257)</f>
        <v>0</v>
      </c>
      <c r="H257">
        <f>B257-G256</f>
        <v>0</v>
      </c>
      <c r="I257">
        <f>B257-G257</f>
        <v>0</v>
      </c>
      <c r="J257">
        <f>IF(AT256&lt;=0,0,IF(ROUND(AT256*(1+'Calc base'!H257),2)-MAX('Calc base'!C$12,ROUND('Calc base'!C$13*AT256,2))&lt;1,ROUND(AT256*(1+'Calc base'!H257),2),MAX('Calc base'!C$12,ROUND('Calc base'!C$13*AT256,2))))</f>
        <v>0</v>
      </c>
      <c r="K257">
        <f>IF(AU256&lt;=0,0,IF(ROUND(AU256*(1+'Calc base'!I257),2)-MAX('Calc base'!D$12,ROUND('Calc base'!D$13*AU256,2))&lt;1,ROUND(AU256*(1+'Calc base'!I257),2),MAX('Calc base'!D$12,ROUND('Calc base'!D$13*AU256,2))))</f>
        <v>0</v>
      </c>
      <c r="L257">
        <f>IF(AV256&lt;=0,0,IF(ROUND(AV256*(1+'Calc base'!J257),2)-MAX('Calc base'!E$12,ROUND('Calc base'!E$13*AV256,2))&lt;1,ROUND(AV256*(1+'Calc base'!J257),2),MAX('Calc base'!E$12,ROUND('Calc base'!E$13*AV256,2))))</f>
        <v>0</v>
      </c>
      <c r="M257">
        <f>IF(AW256&lt;=0,0,IF(ROUND(AW256*(1+'Calc base'!K257),2)-MAX('Calc base'!F$12,ROUND('Calc base'!F$13*AW256,2))&lt;1,ROUND(AW256*(1+'Calc base'!K257),2),MAX('Calc base'!F$12,ROUND('Calc base'!F$13*AW256,2))))</f>
        <v>0</v>
      </c>
      <c r="N257">
        <f>IF(AX256&lt;=0,0,IF(ROUND(AX256*(1+'Calc base'!L257),2)-MAX('Calc base'!G$12,ROUND('Calc base'!G$13*AX256,2))&lt;1,ROUND(AX256*(1+'Calc base'!L257),2),MAX('Calc base'!G$12,ROUND('Calc base'!G$13*AX256,2))))</f>
        <v>0</v>
      </c>
      <c r="O257">
        <f>IF(AY256&lt;=0,0,IF(ROUND(AY256*(1+'Calc base'!M257),2)-MAX('Calc base'!H$12,ROUND('Calc base'!H$13*AY256,2))&lt;1,ROUND(AY256*(1+'Calc base'!M257),2),MAX('Calc base'!H$12,ROUND('Calc base'!H$13*AY256,2))))</f>
        <v>0</v>
      </c>
      <c r="P257">
        <f>IF(AZ256&lt;=0,0,IF(ROUND(AZ256*(1+'Calc base'!N257),2)-MAX('Calc base'!I$12,ROUND('Calc base'!I$13*AZ256,2))&lt;1,ROUND(AZ256*(1+'Calc base'!N257),2),MAX('Calc base'!I$12,ROUND('Calc base'!I$13*AZ256,2))))</f>
        <v>0</v>
      </c>
      <c r="Q257">
        <f>IF(BA256&lt;=0,0,IF(ROUND(BA256*(1+'Calc base'!O257),2)-MAX('Calc base'!J$12,ROUND('Calc base'!J$13*BA256,2))&lt;1,ROUND(BA256*(1+'Calc base'!O257),2),MAX('Calc base'!J$12,ROUND('Calc base'!J$13*BA256,2))))</f>
        <v>0</v>
      </c>
      <c r="R257">
        <f>IF(BB256&lt;=0,0,IF(ROUND(BB256*(1+'Calc base'!P257),2)-MAX('Calc base'!K$12,ROUND('Calc base'!K$13*BB256,2))&lt;1,ROUND(BB256*(1+'Calc base'!P257),2),MAX('Calc base'!K$12,ROUND('Calc base'!K$13*BB256,2))))</f>
        <v>0</v>
      </c>
      <c r="S257">
        <f>IF(BC256&lt;=0,0,IF(ROUND(BC256*(1+'Calc base'!Q257),2)-MAX('Calc base'!L$12,ROUND('Calc base'!L$13*BC256,2))&lt;1,ROUND(BC256*(1+'Calc base'!Q257),2),MAX('Calc base'!L$12,ROUND('Calc base'!L$13*BC256,2))))</f>
        <v>0</v>
      </c>
      <c r="T257">
        <f>IF(BD256&lt;=0,0,IF(ROUND(BD256*(1+'Calc base'!R257),2)-MAX('Calc base'!M$12,ROUND('Calc base'!M$13*BD256,2))&lt;1,ROUND(BD256*(1+'Calc base'!R257),2),MAX('Calc base'!M$12,ROUND('Calc base'!M$13*BD256,2))))</f>
        <v>0</v>
      </c>
      <c r="U257">
        <f>IF(BE256&lt;=0,0,IF(ROUND(BE256*(1+'Calc base'!S257),2)-MAX('Calc base'!N$12,ROUND('Calc base'!N$13*BE256,2))&lt;1,ROUND(BE256*(1+'Calc base'!S257),2),MAX('Calc base'!N$12,ROUND('Calc base'!N$13*BE256,2))))</f>
        <v>0</v>
      </c>
      <c r="V257">
        <f>MAX(0,ROUND(AT256*(1+'Calc base'!H257),2)-J257-'Calc base'!T257)</f>
        <v>0</v>
      </c>
      <c r="W257">
        <f>MAX(0,ROUND(AU256*(1+'Calc base'!I257),2)-K257-'Calc base'!U257)</f>
        <v>0</v>
      </c>
      <c r="X257">
        <f>MAX(0,ROUND(AV256*(1+'Calc base'!J257),2)-L257-'Calc base'!V257)</f>
        <v>0</v>
      </c>
      <c r="Y257">
        <f>MAX(0,ROUND(AW256*(1+'Calc base'!K257),2)-M257-'Calc base'!W257)</f>
        <v>0</v>
      </c>
      <c r="Z257">
        <f>MAX(0,ROUND(AX256*(1+'Calc base'!L257),2)-N257-'Calc base'!X257)</f>
        <v>0</v>
      </c>
      <c r="AA257">
        <f>MAX(0,ROUND(AY256*(1+'Calc base'!M257),2)-O257-'Calc base'!Y257)</f>
        <v>0</v>
      </c>
      <c r="AB257">
        <f>MAX(0,ROUND(AZ256*(1+'Calc base'!N257),2)-P257-'Calc base'!Z257)</f>
        <v>0</v>
      </c>
      <c r="AC257">
        <f>MAX(0,ROUND(BA256*(1+'Calc base'!O257),2)-Q257-'Calc base'!AA257)</f>
        <v>0</v>
      </c>
      <c r="AD257">
        <f>MAX(0,ROUND(BB256*(1+'Calc base'!P257),2)-R257-'Calc base'!AB257)</f>
        <v>0</v>
      </c>
      <c r="AE257">
        <f>MAX(0,ROUND(BC256*(1+'Calc base'!Q257),2)-S257-'Calc base'!AC257)</f>
        <v>0</v>
      </c>
      <c r="AF257">
        <f>MAX(0,ROUND(BD256*(1+'Calc base'!R257),2)-T257-'Calc base'!AD257)</f>
        <v>0</v>
      </c>
      <c r="AG257">
        <f>MAX(0,ROUND(BE256*(1+'Calc base'!S257),2)-U257-'Calc base'!AE257)</f>
        <v>0</v>
      </c>
      <c r="AH257">
        <f>IF('Calc base'!C$14=0,0,MIN(V257,MAX(0,$E257-SUMPRODUCT($V257:$AG257,'Calc base'!$C$14:$N$14,('Calc base'!$H257:$S257&gt;'Calc base'!H257)+('Calc base'!$H257:$S257='Calc base'!H257)*('Calc base'!$C$17:$N$17&lt;'Calc base'!C$17)))))</f>
        <v>0</v>
      </c>
      <c r="AI257">
        <f>IF('Calc base'!D$14=0,0,MIN(W257,MAX(0,$E257-SUMPRODUCT($V257:$AG257,'Calc base'!$C$14:$N$14,('Calc base'!$H257:$S257&gt;'Calc base'!I257)+('Calc base'!$H257:$S257='Calc base'!I257)*('Calc base'!$C$17:$N$17&lt;'Calc base'!D$17)))))</f>
        <v>0</v>
      </c>
      <c r="AJ257">
        <f>IF('Calc base'!E$14=0,0,MIN(X257,MAX(0,$E257-SUMPRODUCT($V257:$AG257,'Calc base'!$C$14:$N$14,('Calc base'!$H257:$S257&gt;'Calc base'!J257)+('Calc base'!$H257:$S257='Calc base'!J257)*('Calc base'!$C$17:$N$17&lt;'Calc base'!E$17)))))</f>
        <v>0</v>
      </c>
      <c r="AK257">
        <f>IF('Calc base'!F$14=0,0,MIN(Y257,MAX(0,$E257-SUMPRODUCT($V257:$AG257,'Calc base'!$C$14:$N$14,('Calc base'!$H257:$S257&gt;'Calc base'!K257)+('Calc base'!$H257:$S257='Calc base'!K257)*('Calc base'!$C$17:$N$17&lt;'Calc base'!F$17)))))</f>
        <v>0</v>
      </c>
      <c r="AL257">
        <f>IF('Calc base'!G$14=0,0,MIN(Z257,MAX(0,$E257-SUMPRODUCT($V257:$AG257,'Calc base'!$C$14:$N$14,('Calc base'!$H257:$S257&gt;'Calc base'!L257)+('Calc base'!$H257:$S257='Calc base'!L257)*('Calc base'!$C$17:$N$17&lt;'Calc base'!G$17)))))</f>
        <v>0</v>
      </c>
      <c r="AM257">
        <f>IF('Calc base'!H$14=0,0,MIN(AA257,MAX(0,$E257-SUMPRODUCT($V257:$AG257,'Calc base'!$C$14:$N$14,('Calc base'!$H257:$S257&gt;'Calc base'!M257)+('Calc base'!$H257:$S257='Calc base'!M257)*('Calc base'!$C$17:$N$17&lt;'Calc base'!H$17)))))</f>
        <v>0</v>
      </c>
      <c r="AN257">
        <f>IF('Calc base'!I$14=0,0,MIN(AB257,MAX(0,$E257-SUMPRODUCT($V257:$AG257,'Calc base'!$C$14:$N$14,('Calc base'!$H257:$S257&gt;'Calc base'!N257)+('Calc base'!$H257:$S257='Calc base'!N257)*('Calc base'!$C$17:$N$17&lt;'Calc base'!I$17)))))</f>
        <v>0</v>
      </c>
      <c r="AO257">
        <f>IF('Calc base'!J$14=0,0,MIN(AC257,MAX(0,$E257-SUMPRODUCT($V257:$AG257,'Calc base'!$C$14:$N$14,('Calc base'!$H257:$S257&gt;'Calc base'!O257)+('Calc base'!$H257:$S257='Calc base'!O257)*('Calc base'!$C$17:$N$17&lt;'Calc base'!J$17)))))</f>
        <v>0</v>
      </c>
      <c r="AP257">
        <f>IF('Calc base'!K$14=0,0,MIN(AD257,MAX(0,$E257-SUMPRODUCT($V257:$AG257,'Calc base'!$C$14:$N$14,('Calc base'!$H257:$S257&gt;'Calc base'!P257)+('Calc base'!$H257:$S257='Calc base'!P257)*('Calc base'!$C$17:$N$17&lt;'Calc base'!K$17)))))</f>
        <v>0</v>
      </c>
      <c r="AQ257">
        <f>IF('Calc base'!L$14=0,0,MIN(AE257,MAX(0,$E257-SUMPRODUCT($V257:$AG257,'Calc base'!$C$14:$N$14,('Calc base'!$H257:$S257&gt;'Calc base'!Q257)+('Calc base'!$H257:$S257='Calc base'!Q257)*('Calc base'!$C$17:$N$17&lt;'Calc base'!L$17)))))</f>
        <v>0</v>
      </c>
      <c r="AR257">
        <f>IF('Calc base'!M$14=0,0,MIN(AF257,MAX(0,$E257-SUMPRODUCT($V257:$AG257,'Calc base'!$C$14:$N$14,('Calc base'!$H257:$S257&gt;'Calc base'!R257)+('Calc base'!$H257:$S257='Calc base'!R257)*('Calc base'!$C$17:$N$17&lt;'Calc base'!M$17)))))</f>
        <v>0</v>
      </c>
      <c r="AS257">
        <f>IF('Calc base'!N$14=0,0,MIN(AG257,MAX(0,$E257-SUMPRODUCT($V257:$AG257,'Calc base'!$C$14:$N$14,('Calc base'!$H257:$S257&gt;'Calc base'!S257)+('Calc base'!$H257:$S257='Calc base'!S257)*('Calc base'!$C$17:$N$17&lt;'Calc base'!N$17)))))</f>
        <v>0</v>
      </c>
      <c r="AT257">
        <f>V257-AH257</f>
        <v>0</v>
      </c>
      <c r="AU257">
        <f>W257-AI257</f>
        <v>0</v>
      </c>
      <c r="AV257">
        <f>X257-AJ257</f>
        <v>0</v>
      </c>
      <c r="AW257">
        <f>Y257-AK257</f>
        <v>0</v>
      </c>
      <c r="AX257">
        <f>Z257-AL257</f>
        <v>0</v>
      </c>
      <c r="AY257">
        <f>AA257-AM257</f>
        <v>0</v>
      </c>
      <c r="AZ257">
        <f>AB257-AN257</f>
        <v>0</v>
      </c>
      <c r="BA257">
        <f>AC257-AO257</f>
        <v>0</v>
      </c>
      <c r="BB257">
        <f>AD257-AP257</f>
        <v>0</v>
      </c>
      <c r="BC257">
        <f>AE257-AQ257</f>
        <v>0</v>
      </c>
      <c r="BD257">
        <f>AF257-AR257</f>
        <v>0</v>
      </c>
      <c r="BE257">
        <f>AG257-AS257</f>
        <v>0</v>
      </c>
    </row>
    <row r="258">
      <c r="A258" t="n">
        <v>228</v>
      </c>
      <c r="B258">
        <f>SUMPRODUCT(ROUND($AT257:$BE257*(1+'Calc base'!$H258:$S258),2))</f>
        <v>0</v>
      </c>
      <c r="C258">
        <f>SUM(J258:U258)</f>
        <v>0</v>
      </c>
      <c r="D258">
        <f>SUM(V258:AG258)</f>
        <v>0</v>
      </c>
      <c r="E258">
        <f>MAX(0,IF(Impostazioni!$B$7="No",'Calc base'!$C258-$C$31,'Calc base'!$C258-C258)+'Calc base'!$G258+'Calc base'!$F258-(B258-C258-D258))</f>
        <v>900</v>
      </c>
      <c r="F258">
        <f>SUM(AH258:AS258)</f>
        <v>0</v>
      </c>
      <c r="G258">
        <f>SUM(AT258:BE258)</f>
        <v>0</v>
      </c>
      <c r="H258">
        <f>B258-G257</f>
        <v>0</v>
      </c>
      <c r="I258">
        <f>B258-G258</f>
        <v>0</v>
      </c>
      <c r="J258">
        <f>IF(AT257&lt;=0,0,IF(ROUND(AT257*(1+'Calc base'!H258),2)-MAX('Calc base'!C$12,ROUND('Calc base'!C$13*AT257,2))&lt;1,ROUND(AT257*(1+'Calc base'!H258),2),MAX('Calc base'!C$12,ROUND('Calc base'!C$13*AT257,2))))</f>
        <v>0</v>
      </c>
      <c r="K258">
        <f>IF(AU257&lt;=0,0,IF(ROUND(AU257*(1+'Calc base'!I258),2)-MAX('Calc base'!D$12,ROUND('Calc base'!D$13*AU257,2))&lt;1,ROUND(AU257*(1+'Calc base'!I258),2),MAX('Calc base'!D$12,ROUND('Calc base'!D$13*AU257,2))))</f>
        <v>0</v>
      </c>
      <c r="L258">
        <f>IF(AV257&lt;=0,0,IF(ROUND(AV257*(1+'Calc base'!J258),2)-MAX('Calc base'!E$12,ROUND('Calc base'!E$13*AV257,2))&lt;1,ROUND(AV257*(1+'Calc base'!J258),2),MAX('Calc base'!E$12,ROUND('Calc base'!E$13*AV257,2))))</f>
        <v>0</v>
      </c>
      <c r="M258">
        <f>IF(AW257&lt;=0,0,IF(ROUND(AW257*(1+'Calc base'!K258),2)-MAX('Calc base'!F$12,ROUND('Calc base'!F$13*AW257,2))&lt;1,ROUND(AW257*(1+'Calc base'!K258),2),MAX('Calc base'!F$12,ROUND('Calc base'!F$13*AW257,2))))</f>
        <v>0</v>
      </c>
      <c r="N258">
        <f>IF(AX257&lt;=0,0,IF(ROUND(AX257*(1+'Calc base'!L258),2)-MAX('Calc base'!G$12,ROUND('Calc base'!G$13*AX257,2))&lt;1,ROUND(AX257*(1+'Calc base'!L258),2),MAX('Calc base'!G$12,ROUND('Calc base'!G$13*AX257,2))))</f>
        <v>0</v>
      </c>
      <c r="O258">
        <f>IF(AY257&lt;=0,0,IF(ROUND(AY257*(1+'Calc base'!M258),2)-MAX('Calc base'!H$12,ROUND('Calc base'!H$13*AY257,2))&lt;1,ROUND(AY257*(1+'Calc base'!M258),2),MAX('Calc base'!H$12,ROUND('Calc base'!H$13*AY257,2))))</f>
        <v>0</v>
      </c>
      <c r="P258">
        <f>IF(AZ257&lt;=0,0,IF(ROUND(AZ257*(1+'Calc base'!N258),2)-MAX('Calc base'!I$12,ROUND('Calc base'!I$13*AZ257,2))&lt;1,ROUND(AZ257*(1+'Calc base'!N258),2),MAX('Calc base'!I$12,ROUND('Calc base'!I$13*AZ257,2))))</f>
        <v>0</v>
      </c>
      <c r="Q258">
        <f>IF(BA257&lt;=0,0,IF(ROUND(BA257*(1+'Calc base'!O258),2)-MAX('Calc base'!J$12,ROUND('Calc base'!J$13*BA257,2))&lt;1,ROUND(BA257*(1+'Calc base'!O258),2),MAX('Calc base'!J$12,ROUND('Calc base'!J$13*BA257,2))))</f>
        <v>0</v>
      </c>
      <c r="R258">
        <f>IF(BB257&lt;=0,0,IF(ROUND(BB257*(1+'Calc base'!P258),2)-MAX('Calc base'!K$12,ROUND('Calc base'!K$13*BB257,2))&lt;1,ROUND(BB257*(1+'Calc base'!P258),2),MAX('Calc base'!K$12,ROUND('Calc base'!K$13*BB257,2))))</f>
        <v>0</v>
      </c>
      <c r="S258">
        <f>IF(BC257&lt;=0,0,IF(ROUND(BC257*(1+'Calc base'!Q258),2)-MAX('Calc base'!L$12,ROUND('Calc base'!L$13*BC257,2))&lt;1,ROUND(BC257*(1+'Calc base'!Q258),2),MAX('Calc base'!L$12,ROUND('Calc base'!L$13*BC257,2))))</f>
        <v>0</v>
      </c>
      <c r="T258">
        <f>IF(BD257&lt;=0,0,IF(ROUND(BD257*(1+'Calc base'!R258),2)-MAX('Calc base'!M$12,ROUND('Calc base'!M$13*BD257,2))&lt;1,ROUND(BD257*(1+'Calc base'!R258),2),MAX('Calc base'!M$12,ROUND('Calc base'!M$13*BD257,2))))</f>
        <v>0</v>
      </c>
      <c r="U258">
        <f>IF(BE257&lt;=0,0,IF(ROUND(BE257*(1+'Calc base'!S258),2)-MAX('Calc base'!N$12,ROUND('Calc base'!N$13*BE257,2))&lt;1,ROUND(BE257*(1+'Calc base'!S258),2),MAX('Calc base'!N$12,ROUND('Calc base'!N$13*BE257,2))))</f>
        <v>0</v>
      </c>
      <c r="V258">
        <f>MAX(0,ROUND(AT257*(1+'Calc base'!H258),2)-J258-'Calc base'!T258)</f>
        <v>0</v>
      </c>
      <c r="W258">
        <f>MAX(0,ROUND(AU257*(1+'Calc base'!I258),2)-K258-'Calc base'!U258)</f>
        <v>0</v>
      </c>
      <c r="X258">
        <f>MAX(0,ROUND(AV257*(1+'Calc base'!J258),2)-L258-'Calc base'!V258)</f>
        <v>0</v>
      </c>
      <c r="Y258">
        <f>MAX(0,ROUND(AW257*(1+'Calc base'!K258),2)-M258-'Calc base'!W258)</f>
        <v>0</v>
      </c>
      <c r="Z258">
        <f>MAX(0,ROUND(AX257*(1+'Calc base'!L258),2)-N258-'Calc base'!X258)</f>
        <v>0</v>
      </c>
      <c r="AA258">
        <f>MAX(0,ROUND(AY257*(1+'Calc base'!M258),2)-O258-'Calc base'!Y258)</f>
        <v>0</v>
      </c>
      <c r="AB258">
        <f>MAX(0,ROUND(AZ257*(1+'Calc base'!N258),2)-P258-'Calc base'!Z258)</f>
        <v>0</v>
      </c>
      <c r="AC258">
        <f>MAX(0,ROUND(BA257*(1+'Calc base'!O258),2)-Q258-'Calc base'!AA258)</f>
        <v>0</v>
      </c>
      <c r="AD258">
        <f>MAX(0,ROUND(BB257*(1+'Calc base'!P258),2)-R258-'Calc base'!AB258)</f>
        <v>0</v>
      </c>
      <c r="AE258">
        <f>MAX(0,ROUND(BC257*(1+'Calc base'!Q258),2)-S258-'Calc base'!AC258)</f>
        <v>0</v>
      </c>
      <c r="AF258">
        <f>MAX(0,ROUND(BD257*(1+'Calc base'!R258),2)-T258-'Calc base'!AD258)</f>
        <v>0</v>
      </c>
      <c r="AG258">
        <f>MAX(0,ROUND(BE257*(1+'Calc base'!S258),2)-U258-'Calc base'!AE258)</f>
        <v>0</v>
      </c>
      <c r="AH258">
        <f>IF('Calc base'!C$14=0,0,MIN(V258,MAX(0,$E258-SUMPRODUCT($V258:$AG258,'Calc base'!$C$14:$N$14,('Calc base'!$H258:$S258&gt;'Calc base'!H258)+('Calc base'!$H258:$S258='Calc base'!H258)*('Calc base'!$C$17:$N$17&lt;'Calc base'!C$17)))))</f>
        <v>0</v>
      </c>
      <c r="AI258">
        <f>IF('Calc base'!D$14=0,0,MIN(W258,MAX(0,$E258-SUMPRODUCT($V258:$AG258,'Calc base'!$C$14:$N$14,('Calc base'!$H258:$S258&gt;'Calc base'!I258)+('Calc base'!$H258:$S258='Calc base'!I258)*('Calc base'!$C$17:$N$17&lt;'Calc base'!D$17)))))</f>
        <v>0</v>
      </c>
      <c r="AJ258">
        <f>IF('Calc base'!E$14=0,0,MIN(X258,MAX(0,$E258-SUMPRODUCT($V258:$AG258,'Calc base'!$C$14:$N$14,('Calc base'!$H258:$S258&gt;'Calc base'!J258)+('Calc base'!$H258:$S258='Calc base'!J258)*('Calc base'!$C$17:$N$17&lt;'Calc base'!E$17)))))</f>
        <v>0</v>
      </c>
      <c r="AK258">
        <f>IF('Calc base'!F$14=0,0,MIN(Y258,MAX(0,$E258-SUMPRODUCT($V258:$AG258,'Calc base'!$C$14:$N$14,('Calc base'!$H258:$S258&gt;'Calc base'!K258)+('Calc base'!$H258:$S258='Calc base'!K258)*('Calc base'!$C$17:$N$17&lt;'Calc base'!F$17)))))</f>
        <v>0</v>
      </c>
      <c r="AL258">
        <f>IF('Calc base'!G$14=0,0,MIN(Z258,MAX(0,$E258-SUMPRODUCT($V258:$AG258,'Calc base'!$C$14:$N$14,('Calc base'!$H258:$S258&gt;'Calc base'!L258)+('Calc base'!$H258:$S258='Calc base'!L258)*('Calc base'!$C$17:$N$17&lt;'Calc base'!G$17)))))</f>
        <v>0</v>
      </c>
      <c r="AM258">
        <f>IF('Calc base'!H$14=0,0,MIN(AA258,MAX(0,$E258-SUMPRODUCT($V258:$AG258,'Calc base'!$C$14:$N$14,('Calc base'!$H258:$S258&gt;'Calc base'!M258)+('Calc base'!$H258:$S258='Calc base'!M258)*('Calc base'!$C$17:$N$17&lt;'Calc base'!H$17)))))</f>
        <v>0</v>
      </c>
      <c r="AN258">
        <f>IF('Calc base'!I$14=0,0,MIN(AB258,MAX(0,$E258-SUMPRODUCT($V258:$AG258,'Calc base'!$C$14:$N$14,('Calc base'!$H258:$S258&gt;'Calc base'!N258)+('Calc base'!$H258:$S258='Calc base'!N258)*('Calc base'!$C$17:$N$17&lt;'Calc base'!I$17)))))</f>
        <v>0</v>
      </c>
      <c r="AO258">
        <f>IF('Calc base'!J$14=0,0,MIN(AC258,MAX(0,$E258-SUMPRODUCT($V258:$AG258,'Calc base'!$C$14:$N$14,('Calc base'!$H258:$S258&gt;'Calc base'!O258)+('Calc base'!$H258:$S258='Calc base'!O258)*('Calc base'!$C$17:$N$17&lt;'Calc base'!J$17)))))</f>
        <v>0</v>
      </c>
      <c r="AP258">
        <f>IF('Calc base'!K$14=0,0,MIN(AD258,MAX(0,$E258-SUMPRODUCT($V258:$AG258,'Calc base'!$C$14:$N$14,('Calc base'!$H258:$S258&gt;'Calc base'!P258)+('Calc base'!$H258:$S258='Calc base'!P258)*('Calc base'!$C$17:$N$17&lt;'Calc base'!K$17)))))</f>
        <v>0</v>
      </c>
      <c r="AQ258">
        <f>IF('Calc base'!L$14=0,0,MIN(AE258,MAX(0,$E258-SUMPRODUCT($V258:$AG258,'Calc base'!$C$14:$N$14,('Calc base'!$H258:$S258&gt;'Calc base'!Q258)+('Calc base'!$H258:$S258='Calc base'!Q258)*('Calc base'!$C$17:$N$17&lt;'Calc base'!L$17)))))</f>
        <v>0</v>
      </c>
      <c r="AR258">
        <f>IF('Calc base'!M$14=0,0,MIN(AF258,MAX(0,$E258-SUMPRODUCT($V258:$AG258,'Calc base'!$C$14:$N$14,('Calc base'!$H258:$S258&gt;'Calc base'!R258)+('Calc base'!$H258:$S258='Calc base'!R258)*('Calc base'!$C$17:$N$17&lt;'Calc base'!M$17)))))</f>
        <v>0</v>
      </c>
      <c r="AS258">
        <f>IF('Calc base'!N$14=0,0,MIN(AG258,MAX(0,$E258-SUMPRODUCT($V258:$AG258,'Calc base'!$C$14:$N$14,('Calc base'!$H258:$S258&gt;'Calc base'!S258)+('Calc base'!$H258:$S258='Calc base'!S258)*('Calc base'!$C$17:$N$17&lt;'Calc base'!N$17)))))</f>
        <v>0</v>
      </c>
      <c r="AT258">
        <f>V258-AH258</f>
        <v>0</v>
      </c>
      <c r="AU258">
        <f>W258-AI258</f>
        <v>0</v>
      </c>
      <c r="AV258">
        <f>X258-AJ258</f>
        <v>0</v>
      </c>
      <c r="AW258">
        <f>Y258-AK258</f>
        <v>0</v>
      </c>
      <c r="AX258">
        <f>Z258-AL258</f>
        <v>0</v>
      </c>
      <c r="AY258">
        <f>AA258-AM258</f>
        <v>0</v>
      </c>
      <c r="AZ258">
        <f>AB258-AN258</f>
        <v>0</v>
      </c>
      <c r="BA258">
        <f>AC258-AO258</f>
        <v>0</v>
      </c>
      <c r="BB258">
        <f>AD258-AP258</f>
        <v>0</v>
      </c>
      <c r="BC258">
        <f>AE258-AQ258</f>
        <v>0</v>
      </c>
      <c r="BD258">
        <f>AF258-AR258</f>
        <v>0</v>
      </c>
      <c r="BE258">
        <f>AG258-AS258</f>
        <v>0</v>
      </c>
    </row>
    <row r="259">
      <c r="A259" t="n">
        <v>229</v>
      </c>
      <c r="B259">
        <f>SUMPRODUCT(ROUND($AT258:$BE258*(1+'Calc base'!$H259:$S259),2))</f>
        <v>0</v>
      </c>
      <c r="C259">
        <f>SUM(J259:U259)</f>
        <v>0</v>
      </c>
      <c r="D259">
        <f>SUM(V259:AG259)</f>
        <v>0</v>
      </c>
      <c r="E259">
        <f>MAX(0,IF(Impostazioni!$B$7="No",'Calc base'!$C259-$C$31,'Calc base'!$C259-C259)+'Calc base'!$G259+'Calc base'!$F259-(B259-C259-D259))</f>
        <v>900</v>
      </c>
      <c r="F259">
        <f>SUM(AH259:AS259)</f>
        <v>0</v>
      </c>
      <c r="G259">
        <f>SUM(AT259:BE259)</f>
        <v>0</v>
      </c>
      <c r="H259">
        <f>B259-G258</f>
        <v>0</v>
      </c>
      <c r="I259">
        <f>B259-G259</f>
        <v>0</v>
      </c>
      <c r="J259">
        <f>IF(AT258&lt;=0,0,IF(ROUND(AT258*(1+'Calc base'!H259),2)-MAX('Calc base'!C$12,ROUND('Calc base'!C$13*AT258,2))&lt;1,ROUND(AT258*(1+'Calc base'!H259),2),MAX('Calc base'!C$12,ROUND('Calc base'!C$13*AT258,2))))</f>
        <v>0</v>
      </c>
      <c r="K259">
        <f>IF(AU258&lt;=0,0,IF(ROUND(AU258*(1+'Calc base'!I259),2)-MAX('Calc base'!D$12,ROUND('Calc base'!D$13*AU258,2))&lt;1,ROUND(AU258*(1+'Calc base'!I259),2),MAX('Calc base'!D$12,ROUND('Calc base'!D$13*AU258,2))))</f>
        <v>0</v>
      </c>
      <c r="L259">
        <f>IF(AV258&lt;=0,0,IF(ROUND(AV258*(1+'Calc base'!J259),2)-MAX('Calc base'!E$12,ROUND('Calc base'!E$13*AV258,2))&lt;1,ROUND(AV258*(1+'Calc base'!J259),2),MAX('Calc base'!E$12,ROUND('Calc base'!E$13*AV258,2))))</f>
        <v>0</v>
      </c>
      <c r="M259">
        <f>IF(AW258&lt;=0,0,IF(ROUND(AW258*(1+'Calc base'!K259),2)-MAX('Calc base'!F$12,ROUND('Calc base'!F$13*AW258,2))&lt;1,ROUND(AW258*(1+'Calc base'!K259),2),MAX('Calc base'!F$12,ROUND('Calc base'!F$13*AW258,2))))</f>
        <v>0</v>
      </c>
      <c r="N259">
        <f>IF(AX258&lt;=0,0,IF(ROUND(AX258*(1+'Calc base'!L259),2)-MAX('Calc base'!G$12,ROUND('Calc base'!G$13*AX258,2))&lt;1,ROUND(AX258*(1+'Calc base'!L259),2),MAX('Calc base'!G$12,ROUND('Calc base'!G$13*AX258,2))))</f>
        <v>0</v>
      </c>
      <c r="O259">
        <f>IF(AY258&lt;=0,0,IF(ROUND(AY258*(1+'Calc base'!M259),2)-MAX('Calc base'!H$12,ROUND('Calc base'!H$13*AY258,2))&lt;1,ROUND(AY258*(1+'Calc base'!M259),2),MAX('Calc base'!H$12,ROUND('Calc base'!H$13*AY258,2))))</f>
        <v>0</v>
      </c>
      <c r="P259">
        <f>IF(AZ258&lt;=0,0,IF(ROUND(AZ258*(1+'Calc base'!N259),2)-MAX('Calc base'!I$12,ROUND('Calc base'!I$13*AZ258,2))&lt;1,ROUND(AZ258*(1+'Calc base'!N259),2),MAX('Calc base'!I$12,ROUND('Calc base'!I$13*AZ258,2))))</f>
        <v>0</v>
      </c>
      <c r="Q259">
        <f>IF(BA258&lt;=0,0,IF(ROUND(BA258*(1+'Calc base'!O259),2)-MAX('Calc base'!J$12,ROUND('Calc base'!J$13*BA258,2))&lt;1,ROUND(BA258*(1+'Calc base'!O259),2),MAX('Calc base'!J$12,ROUND('Calc base'!J$13*BA258,2))))</f>
        <v>0</v>
      </c>
      <c r="R259">
        <f>IF(BB258&lt;=0,0,IF(ROUND(BB258*(1+'Calc base'!P259),2)-MAX('Calc base'!K$12,ROUND('Calc base'!K$13*BB258,2))&lt;1,ROUND(BB258*(1+'Calc base'!P259),2),MAX('Calc base'!K$12,ROUND('Calc base'!K$13*BB258,2))))</f>
        <v>0</v>
      </c>
      <c r="S259">
        <f>IF(BC258&lt;=0,0,IF(ROUND(BC258*(1+'Calc base'!Q259),2)-MAX('Calc base'!L$12,ROUND('Calc base'!L$13*BC258,2))&lt;1,ROUND(BC258*(1+'Calc base'!Q259),2),MAX('Calc base'!L$12,ROUND('Calc base'!L$13*BC258,2))))</f>
        <v>0</v>
      </c>
      <c r="T259">
        <f>IF(BD258&lt;=0,0,IF(ROUND(BD258*(1+'Calc base'!R259),2)-MAX('Calc base'!M$12,ROUND('Calc base'!M$13*BD258,2))&lt;1,ROUND(BD258*(1+'Calc base'!R259),2),MAX('Calc base'!M$12,ROUND('Calc base'!M$13*BD258,2))))</f>
        <v>0</v>
      </c>
      <c r="U259">
        <f>IF(BE258&lt;=0,0,IF(ROUND(BE258*(1+'Calc base'!S259),2)-MAX('Calc base'!N$12,ROUND('Calc base'!N$13*BE258,2))&lt;1,ROUND(BE258*(1+'Calc base'!S259),2),MAX('Calc base'!N$12,ROUND('Calc base'!N$13*BE258,2))))</f>
        <v>0</v>
      </c>
      <c r="V259">
        <f>MAX(0,ROUND(AT258*(1+'Calc base'!H259),2)-J259-'Calc base'!T259)</f>
        <v>0</v>
      </c>
      <c r="W259">
        <f>MAX(0,ROUND(AU258*(1+'Calc base'!I259),2)-K259-'Calc base'!U259)</f>
        <v>0</v>
      </c>
      <c r="X259">
        <f>MAX(0,ROUND(AV258*(1+'Calc base'!J259),2)-L259-'Calc base'!V259)</f>
        <v>0</v>
      </c>
      <c r="Y259">
        <f>MAX(0,ROUND(AW258*(1+'Calc base'!K259),2)-M259-'Calc base'!W259)</f>
        <v>0</v>
      </c>
      <c r="Z259">
        <f>MAX(0,ROUND(AX258*(1+'Calc base'!L259),2)-N259-'Calc base'!X259)</f>
        <v>0</v>
      </c>
      <c r="AA259">
        <f>MAX(0,ROUND(AY258*(1+'Calc base'!M259),2)-O259-'Calc base'!Y259)</f>
        <v>0</v>
      </c>
      <c r="AB259">
        <f>MAX(0,ROUND(AZ258*(1+'Calc base'!N259),2)-P259-'Calc base'!Z259)</f>
        <v>0</v>
      </c>
      <c r="AC259">
        <f>MAX(0,ROUND(BA258*(1+'Calc base'!O259),2)-Q259-'Calc base'!AA259)</f>
        <v>0</v>
      </c>
      <c r="AD259">
        <f>MAX(0,ROUND(BB258*(1+'Calc base'!P259),2)-R259-'Calc base'!AB259)</f>
        <v>0</v>
      </c>
      <c r="AE259">
        <f>MAX(0,ROUND(BC258*(1+'Calc base'!Q259),2)-S259-'Calc base'!AC259)</f>
        <v>0</v>
      </c>
      <c r="AF259">
        <f>MAX(0,ROUND(BD258*(1+'Calc base'!R259),2)-T259-'Calc base'!AD259)</f>
        <v>0</v>
      </c>
      <c r="AG259">
        <f>MAX(0,ROUND(BE258*(1+'Calc base'!S259),2)-U259-'Calc base'!AE259)</f>
        <v>0</v>
      </c>
      <c r="AH259">
        <f>IF('Calc base'!C$14=0,0,MIN(V259,MAX(0,$E259-SUMPRODUCT($V259:$AG259,'Calc base'!$C$14:$N$14,('Calc base'!$H259:$S259&gt;'Calc base'!H259)+('Calc base'!$H259:$S259='Calc base'!H259)*('Calc base'!$C$17:$N$17&lt;'Calc base'!C$17)))))</f>
        <v>0</v>
      </c>
      <c r="AI259">
        <f>IF('Calc base'!D$14=0,0,MIN(W259,MAX(0,$E259-SUMPRODUCT($V259:$AG259,'Calc base'!$C$14:$N$14,('Calc base'!$H259:$S259&gt;'Calc base'!I259)+('Calc base'!$H259:$S259='Calc base'!I259)*('Calc base'!$C$17:$N$17&lt;'Calc base'!D$17)))))</f>
        <v>0</v>
      </c>
      <c r="AJ259">
        <f>IF('Calc base'!E$14=0,0,MIN(X259,MAX(0,$E259-SUMPRODUCT($V259:$AG259,'Calc base'!$C$14:$N$14,('Calc base'!$H259:$S259&gt;'Calc base'!J259)+('Calc base'!$H259:$S259='Calc base'!J259)*('Calc base'!$C$17:$N$17&lt;'Calc base'!E$17)))))</f>
        <v>0</v>
      </c>
      <c r="AK259">
        <f>IF('Calc base'!F$14=0,0,MIN(Y259,MAX(0,$E259-SUMPRODUCT($V259:$AG259,'Calc base'!$C$14:$N$14,('Calc base'!$H259:$S259&gt;'Calc base'!K259)+('Calc base'!$H259:$S259='Calc base'!K259)*('Calc base'!$C$17:$N$17&lt;'Calc base'!F$17)))))</f>
        <v>0</v>
      </c>
      <c r="AL259">
        <f>IF('Calc base'!G$14=0,0,MIN(Z259,MAX(0,$E259-SUMPRODUCT($V259:$AG259,'Calc base'!$C$14:$N$14,('Calc base'!$H259:$S259&gt;'Calc base'!L259)+('Calc base'!$H259:$S259='Calc base'!L259)*('Calc base'!$C$17:$N$17&lt;'Calc base'!G$17)))))</f>
        <v>0</v>
      </c>
      <c r="AM259">
        <f>IF('Calc base'!H$14=0,0,MIN(AA259,MAX(0,$E259-SUMPRODUCT($V259:$AG259,'Calc base'!$C$14:$N$14,('Calc base'!$H259:$S259&gt;'Calc base'!M259)+('Calc base'!$H259:$S259='Calc base'!M259)*('Calc base'!$C$17:$N$17&lt;'Calc base'!H$17)))))</f>
        <v>0</v>
      </c>
      <c r="AN259">
        <f>IF('Calc base'!I$14=0,0,MIN(AB259,MAX(0,$E259-SUMPRODUCT($V259:$AG259,'Calc base'!$C$14:$N$14,('Calc base'!$H259:$S259&gt;'Calc base'!N259)+('Calc base'!$H259:$S259='Calc base'!N259)*('Calc base'!$C$17:$N$17&lt;'Calc base'!I$17)))))</f>
        <v>0</v>
      </c>
      <c r="AO259">
        <f>IF('Calc base'!J$14=0,0,MIN(AC259,MAX(0,$E259-SUMPRODUCT($V259:$AG259,'Calc base'!$C$14:$N$14,('Calc base'!$H259:$S259&gt;'Calc base'!O259)+('Calc base'!$H259:$S259='Calc base'!O259)*('Calc base'!$C$17:$N$17&lt;'Calc base'!J$17)))))</f>
        <v>0</v>
      </c>
      <c r="AP259">
        <f>IF('Calc base'!K$14=0,0,MIN(AD259,MAX(0,$E259-SUMPRODUCT($V259:$AG259,'Calc base'!$C$14:$N$14,('Calc base'!$H259:$S259&gt;'Calc base'!P259)+('Calc base'!$H259:$S259='Calc base'!P259)*('Calc base'!$C$17:$N$17&lt;'Calc base'!K$17)))))</f>
        <v>0</v>
      </c>
      <c r="AQ259">
        <f>IF('Calc base'!L$14=0,0,MIN(AE259,MAX(0,$E259-SUMPRODUCT($V259:$AG259,'Calc base'!$C$14:$N$14,('Calc base'!$H259:$S259&gt;'Calc base'!Q259)+('Calc base'!$H259:$S259='Calc base'!Q259)*('Calc base'!$C$17:$N$17&lt;'Calc base'!L$17)))))</f>
        <v>0</v>
      </c>
      <c r="AR259">
        <f>IF('Calc base'!M$14=0,0,MIN(AF259,MAX(0,$E259-SUMPRODUCT($V259:$AG259,'Calc base'!$C$14:$N$14,('Calc base'!$H259:$S259&gt;'Calc base'!R259)+('Calc base'!$H259:$S259='Calc base'!R259)*('Calc base'!$C$17:$N$17&lt;'Calc base'!M$17)))))</f>
        <v>0</v>
      </c>
      <c r="AS259">
        <f>IF('Calc base'!N$14=0,0,MIN(AG259,MAX(0,$E259-SUMPRODUCT($V259:$AG259,'Calc base'!$C$14:$N$14,('Calc base'!$H259:$S259&gt;'Calc base'!S259)+('Calc base'!$H259:$S259='Calc base'!S259)*('Calc base'!$C$17:$N$17&lt;'Calc base'!N$17)))))</f>
        <v>0</v>
      </c>
      <c r="AT259">
        <f>V259-AH259</f>
        <v>0</v>
      </c>
      <c r="AU259">
        <f>W259-AI259</f>
        <v>0</v>
      </c>
      <c r="AV259">
        <f>X259-AJ259</f>
        <v>0</v>
      </c>
      <c r="AW259">
        <f>Y259-AK259</f>
        <v>0</v>
      </c>
      <c r="AX259">
        <f>Z259-AL259</f>
        <v>0</v>
      </c>
      <c r="AY259">
        <f>AA259-AM259</f>
        <v>0</v>
      </c>
      <c r="AZ259">
        <f>AB259-AN259</f>
        <v>0</v>
      </c>
      <c r="BA259">
        <f>AC259-AO259</f>
        <v>0</v>
      </c>
      <c r="BB259">
        <f>AD259-AP259</f>
        <v>0</v>
      </c>
      <c r="BC259">
        <f>AE259-AQ259</f>
        <v>0</v>
      </c>
      <c r="BD259">
        <f>AF259-AR259</f>
        <v>0</v>
      </c>
      <c r="BE259">
        <f>AG259-AS259</f>
        <v>0</v>
      </c>
    </row>
    <row r="260">
      <c r="A260" t="n">
        <v>230</v>
      </c>
      <c r="B260">
        <f>SUMPRODUCT(ROUND($AT259:$BE259*(1+'Calc base'!$H260:$S260),2))</f>
        <v>0</v>
      </c>
      <c r="C260">
        <f>SUM(J260:U260)</f>
        <v>0</v>
      </c>
      <c r="D260">
        <f>SUM(V260:AG260)</f>
        <v>0</v>
      </c>
      <c r="E260">
        <f>MAX(0,IF(Impostazioni!$B$7="No",'Calc base'!$C260-$C$31,'Calc base'!$C260-C260)+'Calc base'!$G260+'Calc base'!$F260-(B260-C260-D260))</f>
        <v>900</v>
      </c>
      <c r="F260">
        <f>SUM(AH260:AS260)</f>
        <v>0</v>
      </c>
      <c r="G260">
        <f>SUM(AT260:BE260)</f>
        <v>0</v>
      </c>
      <c r="H260">
        <f>B260-G259</f>
        <v>0</v>
      </c>
      <c r="I260">
        <f>B260-G260</f>
        <v>0</v>
      </c>
      <c r="J260">
        <f>IF(AT259&lt;=0,0,IF(ROUND(AT259*(1+'Calc base'!H260),2)-MAX('Calc base'!C$12,ROUND('Calc base'!C$13*AT259,2))&lt;1,ROUND(AT259*(1+'Calc base'!H260),2),MAX('Calc base'!C$12,ROUND('Calc base'!C$13*AT259,2))))</f>
        <v>0</v>
      </c>
      <c r="K260">
        <f>IF(AU259&lt;=0,0,IF(ROUND(AU259*(1+'Calc base'!I260),2)-MAX('Calc base'!D$12,ROUND('Calc base'!D$13*AU259,2))&lt;1,ROUND(AU259*(1+'Calc base'!I260),2),MAX('Calc base'!D$12,ROUND('Calc base'!D$13*AU259,2))))</f>
        <v>0</v>
      </c>
      <c r="L260">
        <f>IF(AV259&lt;=0,0,IF(ROUND(AV259*(1+'Calc base'!J260),2)-MAX('Calc base'!E$12,ROUND('Calc base'!E$13*AV259,2))&lt;1,ROUND(AV259*(1+'Calc base'!J260),2),MAX('Calc base'!E$12,ROUND('Calc base'!E$13*AV259,2))))</f>
        <v>0</v>
      </c>
      <c r="M260">
        <f>IF(AW259&lt;=0,0,IF(ROUND(AW259*(1+'Calc base'!K260),2)-MAX('Calc base'!F$12,ROUND('Calc base'!F$13*AW259,2))&lt;1,ROUND(AW259*(1+'Calc base'!K260),2),MAX('Calc base'!F$12,ROUND('Calc base'!F$13*AW259,2))))</f>
        <v>0</v>
      </c>
      <c r="N260">
        <f>IF(AX259&lt;=0,0,IF(ROUND(AX259*(1+'Calc base'!L260),2)-MAX('Calc base'!G$12,ROUND('Calc base'!G$13*AX259,2))&lt;1,ROUND(AX259*(1+'Calc base'!L260),2),MAX('Calc base'!G$12,ROUND('Calc base'!G$13*AX259,2))))</f>
        <v>0</v>
      </c>
      <c r="O260">
        <f>IF(AY259&lt;=0,0,IF(ROUND(AY259*(1+'Calc base'!M260),2)-MAX('Calc base'!H$12,ROUND('Calc base'!H$13*AY259,2))&lt;1,ROUND(AY259*(1+'Calc base'!M260),2),MAX('Calc base'!H$12,ROUND('Calc base'!H$13*AY259,2))))</f>
        <v>0</v>
      </c>
      <c r="P260">
        <f>IF(AZ259&lt;=0,0,IF(ROUND(AZ259*(1+'Calc base'!N260),2)-MAX('Calc base'!I$12,ROUND('Calc base'!I$13*AZ259,2))&lt;1,ROUND(AZ259*(1+'Calc base'!N260),2),MAX('Calc base'!I$12,ROUND('Calc base'!I$13*AZ259,2))))</f>
        <v>0</v>
      </c>
      <c r="Q260">
        <f>IF(BA259&lt;=0,0,IF(ROUND(BA259*(1+'Calc base'!O260),2)-MAX('Calc base'!J$12,ROUND('Calc base'!J$13*BA259,2))&lt;1,ROUND(BA259*(1+'Calc base'!O260),2),MAX('Calc base'!J$12,ROUND('Calc base'!J$13*BA259,2))))</f>
        <v>0</v>
      </c>
      <c r="R260">
        <f>IF(BB259&lt;=0,0,IF(ROUND(BB259*(1+'Calc base'!P260),2)-MAX('Calc base'!K$12,ROUND('Calc base'!K$13*BB259,2))&lt;1,ROUND(BB259*(1+'Calc base'!P260),2),MAX('Calc base'!K$12,ROUND('Calc base'!K$13*BB259,2))))</f>
        <v>0</v>
      </c>
      <c r="S260">
        <f>IF(BC259&lt;=0,0,IF(ROUND(BC259*(1+'Calc base'!Q260),2)-MAX('Calc base'!L$12,ROUND('Calc base'!L$13*BC259,2))&lt;1,ROUND(BC259*(1+'Calc base'!Q260),2),MAX('Calc base'!L$12,ROUND('Calc base'!L$13*BC259,2))))</f>
        <v>0</v>
      </c>
      <c r="T260">
        <f>IF(BD259&lt;=0,0,IF(ROUND(BD259*(1+'Calc base'!R260),2)-MAX('Calc base'!M$12,ROUND('Calc base'!M$13*BD259,2))&lt;1,ROUND(BD259*(1+'Calc base'!R260),2),MAX('Calc base'!M$12,ROUND('Calc base'!M$13*BD259,2))))</f>
        <v>0</v>
      </c>
      <c r="U260">
        <f>IF(BE259&lt;=0,0,IF(ROUND(BE259*(1+'Calc base'!S260),2)-MAX('Calc base'!N$12,ROUND('Calc base'!N$13*BE259,2))&lt;1,ROUND(BE259*(1+'Calc base'!S260),2),MAX('Calc base'!N$12,ROUND('Calc base'!N$13*BE259,2))))</f>
        <v>0</v>
      </c>
      <c r="V260">
        <f>MAX(0,ROUND(AT259*(1+'Calc base'!H260),2)-J260-'Calc base'!T260)</f>
        <v>0</v>
      </c>
      <c r="W260">
        <f>MAX(0,ROUND(AU259*(1+'Calc base'!I260),2)-K260-'Calc base'!U260)</f>
        <v>0</v>
      </c>
      <c r="X260">
        <f>MAX(0,ROUND(AV259*(1+'Calc base'!J260),2)-L260-'Calc base'!V260)</f>
        <v>0</v>
      </c>
      <c r="Y260">
        <f>MAX(0,ROUND(AW259*(1+'Calc base'!K260),2)-M260-'Calc base'!W260)</f>
        <v>0</v>
      </c>
      <c r="Z260">
        <f>MAX(0,ROUND(AX259*(1+'Calc base'!L260),2)-N260-'Calc base'!X260)</f>
        <v>0</v>
      </c>
      <c r="AA260">
        <f>MAX(0,ROUND(AY259*(1+'Calc base'!M260),2)-O260-'Calc base'!Y260)</f>
        <v>0</v>
      </c>
      <c r="AB260">
        <f>MAX(0,ROUND(AZ259*(1+'Calc base'!N260),2)-P260-'Calc base'!Z260)</f>
        <v>0</v>
      </c>
      <c r="AC260">
        <f>MAX(0,ROUND(BA259*(1+'Calc base'!O260),2)-Q260-'Calc base'!AA260)</f>
        <v>0</v>
      </c>
      <c r="AD260">
        <f>MAX(0,ROUND(BB259*(1+'Calc base'!P260),2)-R260-'Calc base'!AB260)</f>
        <v>0</v>
      </c>
      <c r="AE260">
        <f>MAX(0,ROUND(BC259*(1+'Calc base'!Q260),2)-S260-'Calc base'!AC260)</f>
        <v>0</v>
      </c>
      <c r="AF260">
        <f>MAX(0,ROUND(BD259*(1+'Calc base'!R260),2)-T260-'Calc base'!AD260)</f>
        <v>0</v>
      </c>
      <c r="AG260">
        <f>MAX(0,ROUND(BE259*(1+'Calc base'!S260),2)-U260-'Calc base'!AE260)</f>
        <v>0</v>
      </c>
      <c r="AH260">
        <f>IF('Calc base'!C$14=0,0,MIN(V260,MAX(0,$E260-SUMPRODUCT($V260:$AG260,'Calc base'!$C$14:$N$14,('Calc base'!$H260:$S260&gt;'Calc base'!H260)+('Calc base'!$H260:$S260='Calc base'!H260)*('Calc base'!$C$17:$N$17&lt;'Calc base'!C$17)))))</f>
        <v>0</v>
      </c>
      <c r="AI260">
        <f>IF('Calc base'!D$14=0,0,MIN(W260,MAX(0,$E260-SUMPRODUCT($V260:$AG260,'Calc base'!$C$14:$N$14,('Calc base'!$H260:$S260&gt;'Calc base'!I260)+('Calc base'!$H260:$S260='Calc base'!I260)*('Calc base'!$C$17:$N$17&lt;'Calc base'!D$17)))))</f>
        <v>0</v>
      </c>
      <c r="AJ260">
        <f>IF('Calc base'!E$14=0,0,MIN(X260,MAX(0,$E260-SUMPRODUCT($V260:$AG260,'Calc base'!$C$14:$N$14,('Calc base'!$H260:$S260&gt;'Calc base'!J260)+('Calc base'!$H260:$S260='Calc base'!J260)*('Calc base'!$C$17:$N$17&lt;'Calc base'!E$17)))))</f>
        <v>0</v>
      </c>
      <c r="AK260">
        <f>IF('Calc base'!F$14=0,0,MIN(Y260,MAX(0,$E260-SUMPRODUCT($V260:$AG260,'Calc base'!$C$14:$N$14,('Calc base'!$H260:$S260&gt;'Calc base'!K260)+('Calc base'!$H260:$S260='Calc base'!K260)*('Calc base'!$C$17:$N$17&lt;'Calc base'!F$17)))))</f>
        <v>0</v>
      </c>
      <c r="AL260">
        <f>IF('Calc base'!G$14=0,0,MIN(Z260,MAX(0,$E260-SUMPRODUCT($V260:$AG260,'Calc base'!$C$14:$N$14,('Calc base'!$H260:$S260&gt;'Calc base'!L260)+('Calc base'!$H260:$S260='Calc base'!L260)*('Calc base'!$C$17:$N$17&lt;'Calc base'!G$17)))))</f>
        <v>0</v>
      </c>
      <c r="AM260">
        <f>IF('Calc base'!H$14=0,0,MIN(AA260,MAX(0,$E260-SUMPRODUCT($V260:$AG260,'Calc base'!$C$14:$N$14,('Calc base'!$H260:$S260&gt;'Calc base'!M260)+('Calc base'!$H260:$S260='Calc base'!M260)*('Calc base'!$C$17:$N$17&lt;'Calc base'!H$17)))))</f>
        <v>0</v>
      </c>
      <c r="AN260">
        <f>IF('Calc base'!I$14=0,0,MIN(AB260,MAX(0,$E260-SUMPRODUCT($V260:$AG260,'Calc base'!$C$14:$N$14,('Calc base'!$H260:$S260&gt;'Calc base'!N260)+('Calc base'!$H260:$S260='Calc base'!N260)*('Calc base'!$C$17:$N$17&lt;'Calc base'!I$17)))))</f>
        <v>0</v>
      </c>
      <c r="AO260">
        <f>IF('Calc base'!J$14=0,0,MIN(AC260,MAX(0,$E260-SUMPRODUCT($V260:$AG260,'Calc base'!$C$14:$N$14,('Calc base'!$H260:$S260&gt;'Calc base'!O260)+('Calc base'!$H260:$S260='Calc base'!O260)*('Calc base'!$C$17:$N$17&lt;'Calc base'!J$17)))))</f>
        <v>0</v>
      </c>
      <c r="AP260">
        <f>IF('Calc base'!K$14=0,0,MIN(AD260,MAX(0,$E260-SUMPRODUCT($V260:$AG260,'Calc base'!$C$14:$N$14,('Calc base'!$H260:$S260&gt;'Calc base'!P260)+('Calc base'!$H260:$S260='Calc base'!P260)*('Calc base'!$C$17:$N$17&lt;'Calc base'!K$17)))))</f>
        <v>0</v>
      </c>
      <c r="AQ260">
        <f>IF('Calc base'!L$14=0,0,MIN(AE260,MAX(0,$E260-SUMPRODUCT($V260:$AG260,'Calc base'!$C$14:$N$14,('Calc base'!$H260:$S260&gt;'Calc base'!Q260)+('Calc base'!$H260:$S260='Calc base'!Q260)*('Calc base'!$C$17:$N$17&lt;'Calc base'!L$17)))))</f>
        <v>0</v>
      </c>
      <c r="AR260">
        <f>IF('Calc base'!M$14=0,0,MIN(AF260,MAX(0,$E260-SUMPRODUCT($V260:$AG260,'Calc base'!$C$14:$N$14,('Calc base'!$H260:$S260&gt;'Calc base'!R260)+('Calc base'!$H260:$S260='Calc base'!R260)*('Calc base'!$C$17:$N$17&lt;'Calc base'!M$17)))))</f>
        <v>0</v>
      </c>
      <c r="AS260">
        <f>IF('Calc base'!N$14=0,0,MIN(AG260,MAX(0,$E260-SUMPRODUCT($V260:$AG260,'Calc base'!$C$14:$N$14,('Calc base'!$H260:$S260&gt;'Calc base'!S260)+('Calc base'!$H260:$S260='Calc base'!S260)*('Calc base'!$C$17:$N$17&lt;'Calc base'!N$17)))))</f>
        <v>0</v>
      </c>
      <c r="AT260">
        <f>V260-AH260</f>
        <v>0</v>
      </c>
      <c r="AU260">
        <f>W260-AI260</f>
        <v>0</v>
      </c>
      <c r="AV260">
        <f>X260-AJ260</f>
        <v>0</v>
      </c>
      <c r="AW260">
        <f>Y260-AK260</f>
        <v>0</v>
      </c>
      <c r="AX260">
        <f>Z260-AL260</f>
        <v>0</v>
      </c>
      <c r="AY260">
        <f>AA260-AM260</f>
        <v>0</v>
      </c>
      <c r="AZ260">
        <f>AB260-AN260</f>
        <v>0</v>
      </c>
      <c r="BA260">
        <f>AC260-AO260</f>
        <v>0</v>
      </c>
      <c r="BB260">
        <f>AD260-AP260</f>
        <v>0</v>
      </c>
      <c r="BC260">
        <f>AE260-AQ260</f>
        <v>0</v>
      </c>
      <c r="BD260">
        <f>AF260-AR260</f>
        <v>0</v>
      </c>
      <c r="BE260">
        <f>AG260-AS260</f>
        <v>0</v>
      </c>
    </row>
    <row r="261">
      <c r="A261" t="n">
        <v>231</v>
      </c>
      <c r="B261">
        <f>SUMPRODUCT(ROUND($AT260:$BE260*(1+'Calc base'!$H261:$S261),2))</f>
        <v>0</v>
      </c>
      <c r="C261">
        <f>SUM(J261:U261)</f>
        <v>0</v>
      </c>
      <c r="D261">
        <f>SUM(V261:AG261)</f>
        <v>0</v>
      </c>
      <c r="E261">
        <f>MAX(0,IF(Impostazioni!$B$7="No",'Calc base'!$C261-$C$31,'Calc base'!$C261-C261)+'Calc base'!$G261+'Calc base'!$F261-(B261-C261-D261))</f>
        <v>900</v>
      </c>
      <c r="F261">
        <f>SUM(AH261:AS261)</f>
        <v>0</v>
      </c>
      <c r="G261">
        <f>SUM(AT261:BE261)</f>
        <v>0</v>
      </c>
      <c r="H261">
        <f>B261-G260</f>
        <v>0</v>
      </c>
      <c r="I261">
        <f>B261-G261</f>
        <v>0</v>
      </c>
      <c r="J261">
        <f>IF(AT260&lt;=0,0,IF(ROUND(AT260*(1+'Calc base'!H261),2)-MAX('Calc base'!C$12,ROUND('Calc base'!C$13*AT260,2))&lt;1,ROUND(AT260*(1+'Calc base'!H261),2),MAX('Calc base'!C$12,ROUND('Calc base'!C$13*AT260,2))))</f>
        <v>0</v>
      </c>
      <c r="K261">
        <f>IF(AU260&lt;=0,0,IF(ROUND(AU260*(1+'Calc base'!I261),2)-MAX('Calc base'!D$12,ROUND('Calc base'!D$13*AU260,2))&lt;1,ROUND(AU260*(1+'Calc base'!I261),2),MAX('Calc base'!D$12,ROUND('Calc base'!D$13*AU260,2))))</f>
        <v>0</v>
      </c>
      <c r="L261">
        <f>IF(AV260&lt;=0,0,IF(ROUND(AV260*(1+'Calc base'!J261),2)-MAX('Calc base'!E$12,ROUND('Calc base'!E$13*AV260,2))&lt;1,ROUND(AV260*(1+'Calc base'!J261),2),MAX('Calc base'!E$12,ROUND('Calc base'!E$13*AV260,2))))</f>
        <v>0</v>
      </c>
      <c r="M261">
        <f>IF(AW260&lt;=0,0,IF(ROUND(AW260*(1+'Calc base'!K261),2)-MAX('Calc base'!F$12,ROUND('Calc base'!F$13*AW260,2))&lt;1,ROUND(AW260*(1+'Calc base'!K261),2),MAX('Calc base'!F$12,ROUND('Calc base'!F$13*AW260,2))))</f>
        <v>0</v>
      </c>
      <c r="N261">
        <f>IF(AX260&lt;=0,0,IF(ROUND(AX260*(1+'Calc base'!L261),2)-MAX('Calc base'!G$12,ROUND('Calc base'!G$13*AX260,2))&lt;1,ROUND(AX260*(1+'Calc base'!L261),2),MAX('Calc base'!G$12,ROUND('Calc base'!G$13*AX260,2))))</f>
        <v>0</v>
      </c>
      <c r="O261">
        <f>IF(AY260&lt;=0,0,IF(ROUND(AY260*(1+'Calc base'!M261),2)-MAX('Calc base'!H$12,ROUND('Calc base'!H$13*AY260,2))&lt;1,ROUND(AY260*(1+'Calc base'!M261),2),MAX('Calc base'!H$12,ROUND('Calc base'!H$13*AY260,2))))</f>
        <v>0</v>
      </c>
      <c r="P261">
        <f>IF(AZ260&lt;=0,0,IF(ROUND(AZ260*(1+'Calc base'!N261),2)-MAX('Calc base'!I$12,ROUND('Calc base'!I$13*AZ260,2))&lt;1,ROUND(AZ260*(1+'Calc base'!N261),2),MAX('Calc base'!I$12,ROUND('Calc base'!I$13*AZ260,2))))</f>
        <v>0</v>
      </c>
      <c r="Q261">
        <f>IF(BA260&lt;=0,0,IF(ROUND(BA260*(1+'Calc base'!O261),2)-MAX('Calc base'!J$12,ROUND('Calc base'!J$13*BA260,2))&lt;1,ROUND(BA260*(1+'Calc base'!O261),2),MAX('Calc base'!J$12,ROUND('Calc base'!J$13*BA260,2))))</f>
        <v>0</v>
      </c>
      <c r="R261">
        <f>IF(BB260&lt;=0,0,IF(ROUND(BB260*(1+'Calc base'!P261),2)-MAX('Calc base'!K$12,ROUND('Calc base'!K$13*BB260,2))&lt;1,ROUND(BB260*(1+'Calc base'!P261),2),MAX('Calc base'!K$12,ROUND('Calc base'!K$13*BB260,2))))</f>
        <v>0</v>
      </c>
      <c r="S261">
        <f>IF(BC260&lt;=0,0,IF(ROUND(BC260*(1+'Calc base'!Q261),2)-MAX('Calc base'!L$12,ROUND('Calc base'!L$13*BC260,2))&lt;1,ROUND(BC260*(1+'Calc base'!Q261),2),MAX('Calc base'!L$12,ROUND('Calc base'!L$13*BC260,2))))</f>
        <v>0</v>
      </c>
      <c r="T261">
        <f>IF(BD260&lt;=0,0,IF(ROUND(BD260*(1+'Calc base'!R261),2)-MAX('Calc base'!M$12,ROUND('Calc base'!M$13*BD260,2))&lt;1,ROUND(BD260*(1+'Calc base'!R261),2),MAX('Calc base'!M$12,ROUND('Calc base'!M$13*BD260,2))))</f>
        <v>0</v>
      </c>
      <c r="U261">
        <f>IF(BE260&lt;=0,0,IF(ROUND(BE260*(1+'Calc base'!S261),2)-MAX('Calc base'!N$12,ROUND('Calc base'!N$13*BE260,2))&lt;1,ROUND(BE260*(1+'Calc base'!S261),2),MAX('Calc base'!N$12,ROUND('Calc base'!N$13*BE260,2))))</f>
        <v>0</v>
      </c>
      <c r="V261">
        <f>MAX(0,ROUND(AT260*(1+'Calc base'!H261),2)-J261-'Calc base'!T261)</f>
        <v>0</v>
      </c>
      <c r="W261">
        <f>MAX(0,ROUND(AU260*(1+'Calc base'!I261),2)-K261-'Calc base'!U261)</f>
        <v>0</v>
      </c>
      <c r="X261">
        <f>MAX(0,ROUND(AV260*(1+'Calc base'!J261),2)-L261-'Calc base'!V261)</f>
        <v>0</v>
      </c>
      <c r="Y261">
        <f>MAX(0,ROUND(AW260*(1+'Calc base'!K261),2)-M261-'Calc base'!W261)</f>
        <v>0</v>
      </c>
      <c r="Z261">
        <f>MAX(0,ROUND(AX260*(1+'Calc base'!L261),2)-N261-'Calc base'!X261)</f>
        <v>0</v>
      </c>
      <c r="AA261">
        <f>MAX(0,ROUND(AY260*(1+'Calc base'!M261),2)-O261-'Calc base'!Y261)</f>
        <v>0</v>
      </c>
      <c r="AB261">
        <f>MAX(0,ROUND(AZ260*(1+'Calc base'!N261),2)-P261-'Calc base'!Z261)</f>
        <v>0</v>
      </c>
      <c r="AC261">
        <f>MAX(0,ROUND(BA260*(1+'Calc base'!O261),2)-Q261-'Calc base'!AA261)</f>
        <v>0</v>
      </c>
      <c r="AD261">
        <f>MAX(0,ROUND(BB260*(1+'Calc base'!P261),2)-R261-'Calc base'!AB261)</f>
        <v>0</v>
      </c>
      <c r="AE261">
        <f>MAX(0,ROUND(BC260*(1+'Calc base'!Q261),2)-S261-'Calc base'!AC261)</f>
        <v>0</v>
      </c>
      <c r="AF261">
        <f>MAX(0,ROUND(BD260*(1+'Calc base'!R261),2)-T261-'Calc base'!AD261)</f>
        <v>0</v>
      </c>
      <c r="AG261">
        <f>MAX(0,ROUND(BE260*(1+'Calc base'!S261),2)-U261-'Calc base'!AE261)</f>
        <v>0</v>
      </c>
      <c r="AH261">
        <f>IF('Calc base'!C$14=0,0,MIN(V261,MAX(0,$E261-SUMPRODUCT($V261:$AG261,'Calc base'!$C$14:$N$14,('Calc base'!$H261:$S261&gt;'Calc base'!H261)+('Calc base'!$H261:$S261='Calc base'!H261)*('Calc base'!$C$17:$N$17&lt;'Calc base'!C$17)))))</f>
        <v>0</v>
      </c>
      <c r="AI261">
        <f>IF('Calc base'!D$14=0,0,MIN(W261,MAX(0,$E261-SUMPRODUCT($V261:$AG261,'Calc base'!$C$14:$N$14,('Calc base'!$H261:$S261&gt;'Calc base'!I261)+('Calc base'!$H261:$S261='Calc base'!I261)*('Calc base'!$C$17:$N$17&lt;'Calc base'!D$17)))))</f>
        <v>0</v>
      </c>
      <c r="AJ261">
        <f>IF('Calc base'!E$14=0,0,MIN(X261,MAX(0,$E261-SUMPRODUCT($V261:$AG261,'Calc base'!$C$14:$N$14,('Calc base'!$H261:$S261&gt;'Calc base'!J261)+('Calc base'!$H261:$S261='Calc base'!J261)*('Calc base'!$C$17:$N$17&lt;'Calc base'!E$17)))))</f>
        <v>0</v>
      </c>
      <c r="AK261">
        <f>IF('Calc base'!F$14=0,0,MIN(Y261,MAX(0,$E261-SUMPRODUCT($V261:$AG261,'Calc base'!$C$14:$N$14,('Calc base'!$H261:$S261&gt;'Calc base'!K261)+('Calc base'!$H261:$S261='Calc base'!K261)*('Calc base'!$C$17:$N$17&lt;'Calc base'!F$17)))))</f>
        <v>0</v>
      </c>
      <c r="AL261">
        <f>IF('Calc base'!G$14=0,0,MIN(Z261,MAX(0,$E261-SUMPRODUCT($V261:$AG261,'Calc base'!$C$14:$N$14,('Calc base'!$H261:$S261&gt;'Calc base'!L261)+('Calc base'!$H261:$S261='Calc base'!L261)*('Calc base'!$C$17:$N$17&lt;'Calc base'!G$17)))))</f>
        <v>0</v>
      </c>
      <c r="AM261">
        <f>IF('Calc base'!H$14=0,0,MIN(AA261,MAX(0,$E261-SUMPRODUCT($V261:$AG261,'Calc base'!$C$14:$N$14,('Calc base'!$H261:$S261&gt;'Calc base'!M261)+('Calc base'!$H261:$S261='Calc base'!M261)*('Calc base'!$C$17:$N$17&lt;'Calc base'!H$17)))))</f>
        <v>0</v>
      </c>
      <c r="AN261">
        <f>IF('Calc base'!I$14=0,0,MIN(AB261,MAX(0,$E261-SUMPRODUCT($V261:$AG261,'Calc base'!$C$14:$N$14,('Calc base'!$H261:$S261&gt;'Calc base'!N261)+('Calc base'!$H261:$S261='Calc base'!N261)*('Calc base'!$C$17:$N$17&lt;'Calc base'!I$17)))))</f>
        <v>0</v>
      </c>
      <c r="AO261">
        <f>IF('Calc base'!J$14=0,0,MIN(AC261,MAX(0,$E261-SUMPRODUCT($V261:$AG261,'Calc base'!$C$14:$N$14,('Calc base'!$H261:$S261&gt;'Calc base'!O261)+('Calc base'!$H261:$S261='Calc base'!O261)*('Calc base'!$C$17:$N$17&lt;'Calc base'!J$17)))))</f>
        <v>0</v>
      </c>
      <c r="AP261">
        <f>IF('Calc base'!K$14=0,0,MIN(AD261,MAX(0,$E261-SUMPRODUCT($V261:$AG261,'Calc base'!$C$14:$N$14,('Calc base'!$H261:$S261&gt;'Calc base'!P261)+('Calc base'!$H261:$S261='Calc base'!P261)*('Calc base'!$C$17:$N$17&lt;'Calc base'!K$17)))))</f>
        <v>0</v>
      </c>
      <c r="AQ261">
        <f>IF('Calc base'!L$14=0,0,MIN(AE261,MAX(0,$E261-SUMPRODUCT($V261:$AG261,'Calc base'!$C$14:$N$14,('Calc base'!$H261:$S261&gt;'Calc base'!Q261)+('Calc base'!$H261:$S261='Calc base'!Q261)*('Calc base'!$C$17:$N$17&lt;'Calc base'!L$17)))))</f>
        <v>0</v>
      </c>
      <c r="AR261">
        <f>IF('Calc base'!M$14=0,0,MIN(AF261,MAX(0,$E261-SUMPRODUCT($V261:$AG261,'Calc base'!$C$14:$N$14,('Calc base'!$H261:$S261&gt;'Calc base'!R261)+('Calc base'!$H261:$S261='Calc base'!R261)*('Calc base'!$C$17:$N$17&lt;'Calc base'!M$17)))))</f>
        <v>0</v>
      </c>
      <c r="AS261">
        <f>IF('Calc base'!N$14=0,0,MIN(AG261,MAX(0,$E261-SUMPRODUCT($V261:$AG261,'Calc base'!$C$14:$N$14,('Calc base'!$H261:$S261&gt;'Calc base'!S261)+('Calc base'!$H261:$S261='Calc base'!S261)*('Calc base'!$C$17:$N$17&lt;'Calc base'!N$17)))))</f>
        <v>0</v>
      </c>
      <c r="AT261">
        <f>V261-AH261</f>
        <v>0</v>
      </c>
      <c r="AU261">
        <f>W261-AI261</f>
        <v>0</v>
      </c>
      <c r="AV261">
        <f>X261-AJ261</f>
        <v>0</v>
      </c>
      <c r="AW261">
        <f>Y261-AK261</f>
        <v>0</v>
      </c>
      <c r="AX261">
        <f>Z261-AL261</f>
        <v>0</v>
      </c>
      <c r="AY261">
        <f>AA261-AM261</f>
        <v>0</v>
      </c>
      <c r="AZ261">
        <f>AB261-AN261</f>
        <v>0</v>
      </c>
      <c r="BA261">
        <f>AC261-AO261</f>
        <v>0</v>
      </c>
      <c r="BB261">
        <f>AD261-AP261</f>
        <v>0</v>
      </c>
      <c r="BC261">
        <f>AE261-AQ261</f>
        <v>0</v>
      </c>
      <c r="BD261">
        <f>AF261-AR261</f>
        <v>0</v>
      </c>
      <c r="BE261">
        <f>AG261-AS261</f>
        <v>0</v>
      </c>
    </row>
    <row r="262">
      <c r="A262" t="n">
        <v>232</v>
      </c>
      <c r="B262">
        <f>SUMPRODUCT(ROUND($AT261:$BE261*(1+'Calc base'!$H262:$S262),2))</f>
        <v>0</v>
      </c>
      <c r="C262">
        <f>SUM(J262:U262)</f>
        <v>0</v>
      </c>
      <c r="D262">
        <f>SUM(V262:AG262)</f>
        <v>0</v>
      </c>
      <c r="E262">
        <f>MAX(0,IF(Impostazioni!$B$7="No",'Calc base'!$C262-$C$31,'Calc base'!$C262-C262)+'Calc base'!$G262+'Calc base'!$F262-(B262-C262-D262))</f>
        <v>900</v>
      </c>
      <c r="F262">
        <f>SUM(AH262:AS262)</f>
        <v>0</v>
      </c>
      <c r="G262">
        <f>SUM(AT262:BE262)</f>
        <v>0</v>
      </c>
      <c r="H262">
        <f>B262-G261</f>
        <v>0</v>
      </c>
      <c r="I262">
        <f>B262-G262</f>
        <v>0</v>
      </c>
      <c r="J262">
        <f>IF(AT261&lt;=0,0,IF(ROUND(AT261*(1+'Calc base'!H262),2)-MAX('Calc base'!C$12,ROUND('Calc base'!C$13*AT261,2))&lt;1,ROUND(AT261*(1+'Calc base'!H262),2),MAX('Calc base'!C$12,ROUND('Calc base'!C$13*AT261,2))))</f>
        <v>0</v>
      </c>
      <c r="K262">
        <f>IF(AU261&lt;=0,0,IF(ROUND(AU261*(1+'Calc base'!I262),2)-MAX('Calc base'!D$12,ROUND('Calc base'!D$13*AU261,2))&lt;1,ROUND(AU261*(1+'Calc base'!I262),2),MAX('Calc base'!D$12,ROUND('Calc base'!D$13*AU261,2))))</f>
        <v>0</v>
      </c>
      <c r="L262">
        <f>IF(AV261&lt;=0,0,IF(ROUND(AV261*(1+'Calc base'!J262),2)-MAX('Calc base'!E$12,ROUND('Calc base'!E$13*AV261,2))&lt;1,ROUND(AV261*(1+'Calc base'!J262),2),MAX('Calc base'!E$12,ROUND('Calc base'!E$13*AV261,2))))</f>
        <v>0</v>
      </c>
      <c r="M262">
        <f>IF(AW261&lt;=0,0,IF(ROUND(AW261*(1+'Calc base'!K262),2)-MAX('Calc base'!F$12,ROUND('Calc base'!F$13*AW261,2))&lt;1,ROUND(AW261*(1+'Calc base'!K262),2),MAX('Calc base'!F$12,ROUND('Calc base'!F$13*AW261,2))))</f>
        <v>0</v>
      </c>
      <c r="N262">
        <f>IF(AX261&lt;=0,0,IF(ROUND(AX261*(1+'Calc base'!L262),2)-MAX('Calc base'!G$12,ROUND('Calc base'!G$13*AX261,2))&lt;1,ROUND(AX261*(1+'Calc base'!L262),2),MAX('Calc base'!G$12,ROUND('Calc base'!G$13*AX261,2))))</f>
        <v>0</v>
      </c>
      <c r="O262">
        <f>IF(AY261&lt;=0,0,IF(ROUND(AY261*(1+'Calc base'!M262),2)-MAX('Calc base'!H$12,ROUND('Calc base'!H$13*AY261,2))&lt;1,ROUND(AY261*(1+'Calc base'!M262),2),MAX('Calc base'!H$12,ROUND('Calc base'!H$13*AY261,2))))</f>
        <v>0</v>
      </c>
      <c r="P262">
        <f>IF(AZ261&lt;=0,0,IF(ROUND(AZ261*(1+'Calc base'!N262),2)-MAX('Calc base'!I$12,ROUND('Calc base'!I$13*AZ261,2))&lt;1,ROUND(AZ261*(1+'Calc base'!N262),2),MAX('Calc base'!I$12,ROUND('Calc base'!I$13*AZ261,2))))</f>
        <v>0</v>
      </c>
      <c r="Q262">
        <f>IF(BA261&lt;=0,0,IF(ROUND(BA261*(1+'Calc base'!O262),2)-MAX('Calc base'!J$12,ROUND('Calc base'!J$13*BA261,2))&lt;1,ROUND(BA261*(1+'Calc base'!O262),2),MAX('Calc base'!J$12,ROUND('Calc base'!J$13*BA261,2))))</f>
        <v>0</v>
      </c>
      <c r="R262">
        <f>IF(BB261&lt;=0,0,IF(ROUND(BB261*(1+'Calc base'!P262),2)-MAX('Calc base'!K$12,ROUND('Calc base'!K$13*BB261,2))&lt;1,ROUND(BB261*(1+'Calc base'!P262),2),MAX('Calc base'!K$12,ROUND('Calc base'!K$13*BB261,2))))</f>
        <v>0</v>
      </c>
      <c r="S262">
        <f>IF(BC261&lt;=0,0,IF(ROUND(BC261*(1+'Calc base'!Q262),2)-MAX('Calc base'!L$12,ROUND('Calc base'!L$13*BC261,2))&lt;1,ROUND(BC261*(1+'Calc base'!Q262),2),MAX('Calc base'!L$12,ROUND('Calc base'!L$13*BC261,2))))</f>
        <v>0</v>
      </c>
      <c r="T262">
        <f>IF(BD261&lt;=0,0,IF(ROUND(BD261*(1+'Calc base'!R262),2)-MAX('Calc base'!M$12,ROUND('Calc base'!M$13*BD261,2))&lt;1,ROUND(BD261*(1+'Calc base'!R262),2),MAX('Calc base'!M$12,ROUND('Calc base'!M$13*BD261,2))))</f>
        <v>0</v>
      </c>
      <c r="U262">
        <f>IF(BE261&lt;=0,0,IF(ROUND(BE261*(1+'Calc base'!S262),2)-MAX('Calc base'!N$12,ROUND('Calc base'!N$13*BE261,2))&lt;1,ROUND(BE261*(1+'Calc base'!S262),2),MAX('Calc base'!N$12,ROUND('Calc base'!N$13*BE261,2))))</f>
        <v>0</v>
      </c>
      <c r="V262">
        <f>MAX(0,ROUND(AT261*(1+'Calc base'!H262),2)-J262-'Calc base'!T262)</f>
        <v>0</v>
      </c>
      <c r="W262">
        <f>MAX(0,ROUND(AU261*(1+'Calc base'!I262),2)-K262-'Calc base'!U262)</f>
        <v>0</v>
      </c>
      <c r="X262">
        <f>MAX(0,ROUND(AV261*(1+'Calc base'!J262),2)-L262-'Calc base'!V262)</f>
        <v>0</v>
      </c>
      <c r="Y262">
        <f>MAX(0,ROUND(AW261*(1+'Calc base'!K262),2)-M262-'Calc base'!W262)</f>
        <v>0</v>
      </c>
      <c r="Z262">
        <f>MAX(0,ROUND(AX261*(1+'Calc base'!L262),2)-N262-'Calc base'!X262)</f>
        <v>0</v>
      </c>
      <c r="AA262">
        <f>MAX(0,ROUND(AY261*(1+'Calc base'!M262),2)-O262-'Calc base'!Y262)</f>
        <v>0</v>
      </c>
      <c r="AB262">
        <f>MAX(0,ROUND(AZ261*(1+'Calc base'!N262),2)-P262-'Calc base'!Z262)</f>
        <v>0</v>
      </c>
      <c r="AC262">
        <f>MAX(0,ROUND(BA261*(1+'Calc base'!O262),2)-Q262-'Calc base'!AA262)</f>
        <v>0</v>
      </c>
      <c r="AD262">
        <f>MAX(0,ROUND(BB261*(1+'Calc base'!P262),2)-R262-'Calc base'!AB262)</f>
        <v>0</v>
      </c>
      <c r="AE262">
        <f>MAX(0,ROUND(BC261*(1+'Calc base'!Q262),2)-S262-'Calc base'!AC262)</f>
        <v>0</v>
      </c>
      <c r="AF262">
        <f>MAX(0,ROUND(BD261*(1+'Calc base'!R262),2)-T262-'Calc base'!AD262)</f>
        <v>0</v>
      </c>
      <c r="AG262">
        <f>MAX(0,ROUND(BE261*(1+'Calc base'!S262),2)-U262-'Calc base'!AE262)</f>
        <v>0</v>
      </c>
      <c r="AH262">
        <f>IF('Calc base'!C$14=0,0,MIN(V262,MAX(0,$E262-SUMPRODUCT($V262:$AG262,'Calc base'!$C$14:$N$14,('Calc base'!$H262:$S262&gt;'Calc base'!H262)+('Calc base'!$H262:$S262='Calc base'!H262)*('Calc base'!$C$17:$N$17&lt;'Calc base'!C$17)))))</f>
        <v>0</v>
      </c>
      <c r="AI262">
        <f>IF('Calc base'!D$14=0,0,MIN(W262,MAX(0,$E262-SUMPRODUCT($V262:$AG262,'Calc base'!$C$14:$N$14,('Calc base'!$H262:$S262&gt;'Calc base'!I262)+('Calc base'!$H262:$S262='Calc base'!I262)*('Calc base'!$C$17:$N$17&lt;'Calc base'!D$17)))))</f>
        <v>0</v>
      </c>
      <c r="AJ262">
        <f>IF('Calc base'!E$14=0,0,MIN(X262,MAX(0,$E262-SUMPRODUCT($V262:$AG262,'Calc base'!$C$14:$N$14,('Calc base'!$H262:$S262&gt;'Calc base'!J262)+('Calc base'!$H262:$S262='Calc base'!J262)*('Calc base'!$C$17:$N$17&lt;'Calc base'!E$17)))))</f>
        <v>0</v>
      </c>
      <c r="AK262">
        <f>IF('Calc base'!F$14=0,0,MIN(Y262,MAX(0,$E262-SUMPRODUCT($V262:$AG262,'Calc base'!$C$14:$N$14,('Calc base'!$H262:$S262&gt;'Calc base'!K262)+('Calc base'!$H262:$S262='Calc base'!K262)*('Calc base'!$C$17:$N$17&lt;'Calc base'!F$17)))))</f>
        <v>0</v>
      </c>
      <c r="AL262">
        <f>IF('Calc base'!G$14=0,0,MIN(Z262,MAX(0,$E262-SUMPRODUCT($V262:$AG262,'Calc base'!$C$14:$N$14,('Calc base'!$H262:$S262&gt;'Calc base'!L262)+('Calc base'!$H262:$S262='Calc base'!L262)*('Calc base'!$C$17:$N$17&lt;'Calc base'!G$17)))))</f>
        <v>0</v>
      </c>
      <c r="AM262">
        <f>IF('Calc base'!H$14=0,0,MIN(AA262,MAX(0,$E262-SUMPRODUCT($V262:$AG262,'Calc base'!$C$14:$N$14,('Calc base'!$H262:$S262&gt;'Calc base'!M262)+('Calc base'!$H262:$S262='Calc base'!M262)*('Calc base'!$C$17:$N$17&lt;'Calc base'!H$17)))))</f>
        <v>0</v>
      </c>
      <c r="AN262">
        <f>IF('Calc base'!I$14=0,0,MIN(AB262,MAX(0,$E262-SUMPRODUCT($V262:$AG262,'Calc base'!$C$14:$N$14,('Calc base'!$H262:$S262&gt;'Calc base'!N262)+('Calc base'!$H262:$S262='Calc base'!N262)*('Calc base'!$C$17:$N$17&lt;'Calc base'!I$17)))))</f>
        <v>0</v>
      </c>
      <c r="AO262">
        <f>IF('Calc base'!J$14=0,0,MIN(AC262,MAX(0,$E262-SUMPRODUCT($V262:$AG262,'Calc base'!$C$14:$N$14,('Calc base'!$H262:$S262&gt;'Calc base'!O262)+('Calc base'!$H262:$S262='Calc base'!O262)*('Calc base'!$C$17:$N$17&lt;'Calc base'!J$17)))))</f>
        <v>0</v>
      </c>
      <c r="AP262">
        <f>IF('Calc base'!K$14=0,0,MIN(AD262,MAX(0,$E262-SUMPRODUCT($V262:$AG262,'Calc base'!$C$14:$N$14,('Calc base'!$H262:$S262&gt;'Calc base'!P262)+('Calc base'!$H262:$S262='Calc base'!P262)*('Calc base'!$C$17:$N$17&lt;'Calc base'!K$17)))))</f>
        <v>0</v>
      </c>
      <c r="AQ262">
        <f>IF('Calc base'!L$14=0,0,MIN(AE262,MAX(0,$E262-SUMPRODUCT($V262:$AG262,'Calc base'!$C$14:$N$14,('Calc base'!$H262:$S262&gt;'Calc base'!Q262)+('Calc base'!$H262:$S262='Calc base'!Q262)*('Calc base'!$C$17:$N$17&lt;'Calc base'!L$17)))))</f>
        <v>0</v>
      </c>
      <c r="AR262">
        <f>IF('Calc base'!M$14=0,0,MIN(AF262,MAX(0,$E262-SUMPRODUCT($V262:$AG262,'Calc base'!$C$14:$N$14,('Calc base'!$H262:$S262&gt;'Calc base'!R262)+('Calc base'!$H262:$S262='Calc base'!R262)*('Calc base'!$C$17:$N$17&lt;'Calc base'!M$17)))))</f>
        <v>0</v>
      </c>
      <c r="AS262">
        <f>IF('Calc base'!N$14=0,0,MIN(AG262,MAX(0,$E262-SUMPRODUCT($V262:$AG262,'Calc base'!$C$14:$N$14,('Calc base'!$H262:$S262&gt;'Calc base'!S262)+('Calc base'!$H262:$S262='Calc base'!S262)*('Calc base'!$C$17:$N$17&lt;'Calc base'!N$17)))))</f>
        <v>0</v>
      </c>
      <c r="AT262">
        <f>V262-AH262</f>
        <v>0</v>
      </c>
      <c r="AU262">
        <f>W262-AI262</f>
        <v>0</v>
      </c>
      <c r="AV262">
        <f>X262-AJ262</f>
        <v>0</v>
      </c>
      <c r="AW262">
        <f>Y262-AK262</f>
        <v>0</v>
      </c>
      <c r="AX262">
        <f>Z262-AL262</f>
        <v>0</v>
      </c>
      <c r="AY262">
        <f>AA262-AM262</f>
        <v>0</v>
      </c>
      <c r="AZ262">
        <f>AB262-AN262</f>
        <v>0</v>
      </c>
      <c r="BA262">
        <f>AC262-AO262</f>
        <v>0</v>
      </c>
      <c r="BB262">
        <f>AD262-AP262</f>
        <v>0</v>
      </c>
      <c r="BC262">
        <f>AE262-AQ262</f>
        <v>0</v>
      </c>
      <c r="BD262">
        <f>AF262-AR262</f>
        <v>0</v>
      </c>
      <c r="BE262">
        <f>AG262-AS262</f>
        <v>0</v>
      </c>
    </row>
    <row r="263">
      <c r="A263" t="n">
        <v>233</v>
      </c>
      <c r="B263">
        <f>SUMPRODUCT(ROUND($AT262:$BE262*(1+'Calc base'!$H263:$S263),2))</f>
        <v>0</v>
      </c>
      <c r="C263">
        <f>SUM(J263:U263)</f>
        <v>0</v>
      </c>
      <c r="D263">
        <f>SUM(V263:AG263)</f>
        <v>0</v>
      </c>
      <c r="E263">
        <f>MAX(0,IF(Impostazioni!$B$7="No",'Calc base'!$C263-$C$31,'Calc base'!$C263-C263)+'Calc base'!$G263+'Calc base'!$F263-(B263-C263-D263))</f>
        <v>900</v>
      </c>
      <c r="F263">
        <f>SUM(AH263:AS263)</f>
        <v>0</v>
      </c>
      <c r="G263">
        <f>SUM(AT263:BE263)</f>
        <v>0</v>
      </c>
      <c r="H263">
        <f>B263-G262</f>
        <v>0</v>
      </c>
      <c r="I263">
        <f>B263-G263</f>
        <v>0</v>
      </c>
      <c r="J263">
        <f>IF(AT262&lt;=0,0,IF(ROUND(AT262*(1+'Calc base'!H263),2)-MAX('Calc base'!C$12,ROUND('Calc base'!C$13*AT262,2))&lt;1,ROUND(AT262*(1+'Calc base'!H263),2),MAX('Calc base'!C$12,ROUND('Calc base'!C$13*AT262,2))))</f>
        <v>0</v>
      </c>
      <c r="K263">
        <f>IF(AU262&lt;=0,0,IF(ROUND(AU262*(1+'Calc base'!I263),2)-MAX('Calc base'!D$12,ROUND('Calc base'!D$13*AU262,2))&lt;1,ROUND(AU262*(1+'Calc base'!I263),2),MAX('Calc base'!D$12,ROUND('Calc base'!D$13*AU262,2))))</f>
        <v>0</v>
      </c>
      <c r="L263">
        <f>IF(AV262&lt;=0,0,IF(ROUND(AV262*(1+'Calc base'!J263),2)-MAX('Calc base'!E$12,ROUND('Calc base'!E$13*AV262,2))&lt;1,ROUND(AV262*(1+'Calc base'!J263),2),MAX('Calc base'!E$12,ROUND('Calc base'!E$13*AV262,2))))</f>
        <v>0</v>
      </c>
      <c r="M263">
        <f>IF(AW262&lt;=0,0,IF(ROUND(AW262*(1+'Calc base'!K263),2)-MAX('Calc base'!F$12,ROUND('Calc base'!F$13*AW262,2))&lt;1,ROUND(AW262*(1+'Calc base'!K263),2),MAX('Calc base'!F$12,ROUND('Calc base'!F$13*AW262,2))))</f>
        <v>0</v>
      </c>
      <c r="N263">
        <f>IF(AX262&lt;=0,0,IF(ROUND(AX262*(1+'Calc base'!L263),2)-MAX('Calc base'!G$12,ROUND('Calc base'!G$13*AX262,2))&lt;1,ROUND(AX262*(1+'Calc base'!L263),2),MAX('Calc base'!G$12,ROUND('Calc base'!G$13*AX262,2))))</f>
        <v>0</v>
      </c>
      <c r="O263">
        <f>IF(AY262&lt;=0,0,IF(ROUND(AY262*(1+'Calc base'!M263),2)-MAX('Calc base'!H$12,ROUND('Calc base'!H$13*AY262,2))&lt;1,ROUND(AY262*(1+'Calc base'!M263),2),MAX('Calc base'!H$12,ROUND('Calc base'!H$13*AY262,2))))</f>
        <v>0</v>
      </c>
      <c r="P263">
        <f>IF(AZ262&lt;=0,0,IF(ROUND(AZ262*(1+'Calc base'!N263),2)-MAX('Calc base'!I$12,ROUND('Calc base'!I$13*AZ262,2))&lt;1,ROUND(AZ262*(1+'Calc base'!N263),2),MAX('Calc base'!I$12,ROUND('Calc base'!I$13*AZ262,2))))</f>
        <v>0</v>
      </c>
      <c r="Q263">
        <f>IF(BA262&lt;=0,0,IF(ROUND(BA262*(1+'Calc base'!O263),2)-MAX('Calc base'!J$12,ROUND('Calc base'!J$13*BA262,2))&lt;1,ROUND(BA262*(1+'Calc base'!O263),2),MAX('Calc base'!J$12,ROUND('Calc base'!J$13*BA262,2))))</f>
        <v>0</v>
      </c>
      <c r="R263">
        <f>IF(BB262&lt;=0,0,IF(ROUND(BB262*(1+'Calc base'!P263),2)-MAX('Calc base'!K$12,ROUND('Calc base'!K$13*BB262,2))&lt;1,ROUND(BB262*(1+'Calc base'!P263),2),MAX('Calc base'!K$12,ROUND('Calc base'!K$13*BB262,2))))</f>
        <v>0</v>
      </c>
      <c r="S263">
        <f>IF(BC262&lt;=0,0,IF(ROUND(BC262*(1+'Calc base'!Q263),2)-MAX('Calc base'!L$12,ROUND('Calc base'!L$13*BC262,2))&lt;1,ROUND(BC262*(1+'Calc base'!Q263),2),MAX('Calc base'!L$12,ROUND('Calc base'!L$13*BC262,2))))</f>
        <v>0</v>
      </c>
      <c r="T263">
        <f>IF(BD262&lt;=0,0,IF(ROUND(BD262*(1+'Calc base'!R263),2)-MAX('Calc base'!M$12,ROUND('Calc base'!M$13*BD262,2))&lt;1,ROUND(BD262*(1+'Calc base'!R263),2),MAX('Calc base'!M$12,ROUND('Calc base'!M$13*BD262,2))))</f>
        <v>0</v>
      </c>
      <c r="U263">
        <f>IF(BE262&lt;=0,0,IF(ROUND(BE262*(1+'Calc base'!S263),2)-MAX('Calc base'!N$12,ROUND('Calc base'!N$13*BE262,2))&lt;1,ROUND(BE262*(1+'Calc base'!S263),2),MAX('Calc base'!N$12,ROUND('Calc base'!N$13*BE262,2))))</f>
        <v>0</v>
      </c>
      <c r="V263">
        <f>MAX(0,ROUND(AT262*(1+'Calc base'!H263),2)-J263-'Calc base'!T263)</f>
        <v>0</v>
      </c>
      <c r="W263">
        <f>MAX(0,ROUND(AU262*(1+'Calc base'!I263),2)-K263-'Calc base'!U263)</f>
        <v>0</v>
      </c>
      <c r="X263">
        <f>MAX(0,ROUND(AV262*(1+'Calc base'!J263),2)-L263-'Calc base'!V263)</f>
        <v>0</v>
      </c>
      <c r="Y263">
        <f>MAX(0,ROUND(AW262*(1+'Calc base'!K263),2)-M263-'Calc base'!W263)</f>
        <v>0</v>
      </c>
      <c r="Z263">
        <f>MAX(0,ROUND(AX262*(1+'Calc base'!L263),2)-N263-'Calc base'!X263)</f>
        <v>0</v>
      </c>
      <c r="AA263">
        <f>MAX(0,ROUND(AY262*(1+'Calc base'!M263),2)-O263-'Calc base'!Y263)</f>
        <v>0</v>
      </c>
      <c r="AB263">
        <f>MAX(0,ROUND(AZ262*(1+'Calc base'!N263),2)-P263-'Calc base'!Z263)</f>
        <v>0</v>
      </c>
      <c r="AC263">
        <f>MAX(0,ROUND(BA262*(1+'Calc base'!O263),2)-Q263-'Calc base'!AA263)</f>
        <v>0</v>
      </c>
      <c r="AD263">
        <f>MAX(0,ROUND(BB262*(1+'Calc base'!P263),2)-R263-'Calc base'!AB263)</f>
        <v>0</v>
      </c>
      <c r="AE263">
        <f>MAX(0,ROUND(BC262*(1+'Calc base'!Q263),2)-S263-'Calc base'!AC263)</f>
        <v>0</v>
      </c>
      <c r="AF263">
        <f>MAX(0,ROUND(BD262*(1+'Calc base'!R263),2)-T263-'Calc base'!AD263)</f>
        <v>0</v>
      </c>
      <c r="AG263">
        <f>MAX(0,ROUND(BE262*(1+'Calc base'!S263),2)-U263-'Calc base'!AE263)</f>
        <v>0</v>
      </c>
      <c r="AH263">
        <f>IF('Calc base'!C$14=0,0,MIN(V263,MAX(0,$E263-SUMPRODUCT($V263:$AG263,'Calc base'!$C$14:$N$14,('Calc base'!$H263:$S263&gt;'Calc base'!H263)+('Calc base'!$H263:$S263='Calc base'!H263)*('Calc base'!$C$17:$N$17&lt;'Calc base'!C$17)))))</f>
        <v>0</v>
      </c>
      <c r="AI263">
        <f>IF('Calc base'!D$14=0,0,MIN(W263,MAX(0,$E263-SUMPRODUCT($V263:$AG263,'Calc base'!$C$14:$N$14,('Calc base'!$H263:$S263&gt;'Calc base'!I263)+('Calc base'!$H263:$S263='Calc base'!I263)*('Calc base'!$C$17:$N$17&lt;'Calc base'!D$17)))))</f>
        <v>0</v>
      </c>
      <c r="AJ263">
        <f>IF('Calc base'!E$14=0,0,MIN(X263,MAX(0,$E263-SUMPRODUCT($V263:$AG263,'Calc base'!$C$14:$N$14,('Calc base'!$H263:$S263&gt;'Calc base'!J263)+('Calc base'!$H263:$S263='Calc base'!J263)*('Calc base'!$C$17:$N$17&lt;'Calc base'!E$17)))))</f>
        <v>0</v>
      </c>
      <c r="AK263">
        <f>IF('Calc base'!F$14=0,0,MIN(Y263,MAX(0,$E263-SUMPRODUCT($V263:$AG263,'Calc base'!$C$14:$N$14,('Calc base'!$H263:$S263&gt;'Calc base'!K263)+('Calc base'!$H263:$S263='Calc base'!K263)*('Calc base'!$C$17:$N$17&lt;'Calc base'!F$17)))))</f>
        <v>0</v>
      </c>
      <c r="AL263">
        <f>IF('Calc base'!G$14=0,0,MIN(Z263,MAX(0,$E263-SUMPRODUCT($V263:$AG263,'Calc base'!$C$14:$N$14,('Calc base'!$H263:$S263&gt;'Calc base'!L263)+('Calc base'!$H263:$S263='Calc base'!L263)*('Calc base'!$C$17:$N$17&lt;'Calc base'!G$17)))))</f>
        <v>0</v>
      </c>
      <c r="AM263">
        <f>IF('Calc base'!H$14=0,0,MIN(AA263,MAX(0,$E263-SUMPRODUCT($V263:$AG263,'Calc base'!$C$14:$N$14,('Calc base'!$H263:$S263&gt;'Calc base'!M263)+('Calc base'!$H263:$S263='Calc base'!M263)*('Calc base'!$C$17:$N$17&lt;'Calc base'!H$17)))))</f>
        <v>0</v>
      </c>
      <c r="AN263">
        <f>IF('Calc base'!I$14=0,0,MIN(AB263,MAX(0,$E263-SUMPRODUCT($V263:$AG263,'Calc base'!$C$14:$N$14,('Calc base'!$H263:$S263&gt;'Calc base'!N263)+('Calc base'!$H263:$S263='Calc base'!N263)*('Calc base'!$C$17:$N$17&lt;'Calc base'!I$17)))))</f>
        <v>0</v>
      </c>
      <c r="AO263">
        <f>IF('Calc base'!J$14=0,0,MIN(AC263,MAX(0,$E263-SUMPRODUCT($V263:$AG263,'Calc base'!$C$14:$N$14,('Calc base'!$H263:$S263&gt;'Calc base'!O263)+('Calc base'!$H263:$S263='Calc base'!O263)*('Calc base'!$C$17:$N$17&lt;'Calc base'!J$17)))))</f>
        <v>0</v>
      </c>
      <c r="AP263">
        <f>IF('Calc base'!K$14=0,0,MIN(AD263,MAX(0,$E263-SUMPRODUCT($V263:$AG263,'Calc base'!$C$14:$N$14,('Calc base'!$H263:$S263&gt;'Calc base'!P263)+('Calc base'!$H263:$S263='Calc base'!P263)*('Calc base'!$C$17:$N$17&lt;'Calc base'!K$17)))))</f>
        <v>0</v>
      </c>
      <c r="AQ263">
        <f>IF('Calc base'!L$14=0,0,MIN(AE263,MAX(0,$E263-SUMPRODUCT($V263:$AG263,'Calc base'!$C$14:$N$14,('Calc base'!$H263:$S263&gt;'Calc base'!Q263)+('Calc base'!$H263:$S263='Calc base'!Q263)*('Calc base'!$C$17:$N$17&lt;'Calc base'!L$17)))))</f>
        <v>0</v>
      </c>
      <c r="AR263">
        <f>IF('Calc base'!M$14=0,0,MIN(AF263,MAX(0,$E263-SUMPRODUCT($V263:$AG263,'Calc base'!$C$14:$N$14,('Calc base'!$H263:$S263&gt;'Calc base'!R263)+('Calc base'!$H263:$S263='Calc base'!R263)*('Calc base'!$C$17:$N$17&lt;'Calc base'!M$17)))))</f>
        <v>0</v>
      </c>
      <c r="AS263">
        <f>IF('Calc base'!N$14=0,0,MIN(AG263,MAX(0,$E263-SUMPRODUCT($V263:$AG263,'Calc base'!$C$14:$N$14,('Calc base'!$H263:$S263&gt;'Calc base'!S263)+('Calc base'!$H263:$S263='Calc base'!S263)*('Calc base'!$C$17:$N$17&lt;'Calc base'!N$17)))))</f>
        <v>0</v>
      </c>
      <c r="AT263">
        <f>V263-AH263</f>
        <v>0</v>
      </c>
      <c r="AU263">
        <f>W263-AI263</f>
        <v>0</v>
      </c>
      <c r="AV263">
        <f>X263-AJ263</f>
        <v>0</v>
      </c>
      <c r="AW263">
        <f>Y263-AK263</f>
        <v>0</v>
      </c>
      <c r="AX263">
        <f>Z263-AL263</f>
        <v>0</v>
      </c>
      <c r="AY263">
        <f>AA263-AM263</f>
        <v>0</v>
      </c>
      <c r="AZ263">
        <f>AB263-AN263</f>
        <v>0</v>
      </c>
      <c r="BA263">
        <f>AC263-AO263</f>
        <v>0</v>
      </c>
      <c r="BB263">
        <f>AD263-AP263</f>
        <v>0</v>
      </c>
      <c r="BC263">
        <f>AE263-AQ263</f>
        <v>0</v>
      </c>
      <c r="BD263">
        <f>AF263-AR263</f>
        <v>0</v>
      </c>
      <c r="BE263">
        <f>AG263-AS263</f>
        <v>0</v>
      </c>
    </row>
    <row r="264">
      <c r="A264" t="n">
        <v>234</v>
      </c>
      <c r="B264">
        <f>SUMPRODUCT(ROUND($AT263:$BE263*(1+'Calc base'!$H264:$S264),2))</f>
        <v>0</v>
      </c>
      <c r="C264">
        <f>SUM(J264:U264)</f>
        <v>0</v>
      </c>
      <c r="D264">
        <f>SUM(V264:AG264)</f>
        <v>0</v>
      </c>
      <c r="E264">
        <f>MAX(0,IF(Impostazioni!$B$7="No",'Calc base'!$C264-$C$31,'Calc base'!$C264-C264)+'Calc base'!$G264+'Calc base'!$F264-(B264-C264-D264))</f>
        <v>900</v>
      </c>
      <c r="F264">
        <f>SUM(AH264:AS264)</f>
        <v>0</v>
      </c>
      <c r="G264">
        <f>SUM(AT264:BE264)</f>
        <v>0</v>
      </c>
      <c r="H264">
        <f>B264-G263</f>
        <v>0</v>
      </c>
      <c r="I264">
        <f>B264-G264</f>
        <v>0</v>
      </c>
      <c r="J264">
        <f>IF(AT263&lt;=0,0,IF(ROUND(AT263*(1+'Calc base'!H264),2)-MAX('Calc base'!C$12,ROUND('Calc base'!C$13*AT263,2))&lt;1,ROUND(AT263*(1+'Calc base'!H264),2),MAX('Calc base'!C$12,ROUND('Calc base'!C$13*AT263,2))))</f>
        <v>0</v>
      </c>
      <c r="K264">
        <f>IF(AU263&lt;=0,0,IF(ROUND(AU263*(1+'Calc base'!I264),2)-MAX('Calc base'!D$12,ROUND('Calc base'!D$13*AU263,2))&lt;1,ROUND(AU263*(1+'Calc base'!I264),2),MAX('Calc base'!D$12,ROUND('Calc base'!D$13*AU263,2))))</f>
        <v>0</v>
      </c>
      <c r="L264">
        <f>IF(AV263&lt;=0,0,IF(ROUND(AV263*(1+'Calc base'!J264),2)-MAX('Calc base'!E$12,ROUND('Calc base'!E$13*AV263,2))&lt;1,ROUND(AV263*(1+'Calc base'!J264),2),MAX('Calc base'!E$12,ROUND('Calc base'!E$13*AV263,2))))</f>
        <v>0</v>
      </c>
      <c r="M264">
        <f>IF(AW263&lt;=0,0,IF(ROUND(AW263*(1+'Calc base'!K264),2)-MAX('Calc base'!F$12,ROUND('Calc base'!F$13*AW263,2))&lt;1,ROUND(AW263*(1+'Calc base'!K264),2),MAX('Calc base'!F$12,ROUND('Calc base'!F$13*AW263,2))))</f>
        <v>0</v>
      </c>
      <c r="N264">
        <f>IF(AX263&lt;=0,0,IF(ROUND(AX263*(1+'Calc base'!L264),2)-MAX('Calc base'!G$12,ROUND('Calc base'!G$13*AX263,2))&lt;1,ROUND(AX263*(1+'Calc base'!L264),2),MAX('Calc base'!G$12,ROUND('Calc base'!G$13*AX263,2))))</f>
        <v>0</v>
      </c>
      <c r="O264">
        <f>IF(AY263&lt;=0,0,IF(ROUND(AY263*(1+'Calc base'!M264),2)-MAX('Calc base'!H$12,ROUND('Calc base'!H$13*AY263,2))&lt;1,ROUND(AY263*(1+'Calc base'!M264),2),MAX('Calc base'!H$12,ROUND('Calc base'!H$13*AY263,2))))</f>
        <v>0</v>
      </c>
      <c r="P264">
        <f>IF(AZ263&lt;=0,0,IF(ROUND(AZ263*(1+'Calc base'!N264),2)-MAX('Calc base'!I$12,ROUND('Calc base'!I$13*AZ263,2))&lt;1,ROUND(AZ263*(1+'Calc base'!N264),2),MAX('Calc base'!I$12,ROUND('Calc base'!I$13*AZ263,2))))</f>
        <v>0</v>
      </c>
      <c r="Q264">
        <f>IF(BA263&lt;=0,0,IF(ROUND(BA263*(1+'Calc base'!O264),2)-MAX('Calc base'!J$12,ROUND('Calc base'!J$13*BA263,2))&lt;1,ROUND(BA263*(1+'Calc base'!O264),2),MAX('Calc base'!J$12,ROUND('Calc base'!J$13*BA263,2))))</f>
        <v>0</v>
      </c>
      <c r="R264">
        <f>IF(BB263&lt;=0,0,IF(ROUND(BB263*(1+'Calc base'!P264),2)-MAX('Calc base'!K$12,ROUND('Calc base'!K$13*BB263,2))&lt;1,ROUND(BB263*(1+'Calc base'!P264),2),MAX('Calc base'!K$12,ROUND('Calc base'!K$13*BB263,2))))</f>
        <v>0</v>
      </c>
      <c r="S264">
        <f>IF(BC263&lt;=0,0,IF(ROUND(BC263*(1+'Calc base'!Q264),2)-MAX('Calc base'!L$12,ROUND('Calc base'!L$13*BC263,2))&lt;1,ROUND(BC263*(1+'Calc base'!Q264),2),MAX('Calc base'!L$12,ROUND('Calc base'!L$13*BC263,2))))</f>
        <v>0</v>
      </c>
      <c r="T264">
        <f>IF(BD263&lt;=0,0,IF(ROUND(BD263*(1+'Calc base'!R264),2)-MAX('Calc base'!M$12,ROUND('Calc base'!M$13*BD263,2))&lt;1,ROUND(BD263*(1+'Calc base'!R264),2),MAX('Calc base'!M$12,ROUND('Calc base'!M$13*BD263,2))))</f>
        <v>0</v>
      </c>
      <c r="U264">
        <f>IF(BE263&lt;=0,0,IF(ROUND(BE263*(1+'Calc base'!S264),2)-MAX('Calc base'!N$12,ROUND('Calc base'!N$13*BE263,2))&lt;1,ROUND(BE263*(1+'Calc base'!S264),2),MAX('Calc base'!N$12,ROUND('Calc base'!N$13*BE263,2))))</f>
        <v>0</v>
      </c>
      <c r="V264">
        <f>MAX(0,ROUND(AT263*(1+'Calc base'!H264),2)-J264-'Calc base'!T264)</f>
        <v>0</v>
      </c>
      <c r="W264">
        <f>MAX(0,ROUND(AU263*(1+'Calc base'!I264),2)-K264-'Calc base'!U264)</f>
        <v>0</v>
      </c>
      <c r="X264">
        <f>MAX(0,ROUND(AV263*(1+'Calc base'!J264),2)-L264-'Calc base'!V264)</f>
        <v>0</v>
      </c>
      <c r="Y264">
        <f>MAX(0,ROUND(AW263*(1+'Calc base'!K264),2)-M264-'Calc base'!W264)</f>
        <v>0</v>
      </c>
      <c r="Z264">
        <f>MAX(0,ROUND(AX263*(1+'Calc base'!L264),2)-N264-'Calc base'!X264)</f>
        <v>0</v>
      </c>
      <c r="AA264">
        <f>MAX(0,ROUND(AY263*(1+'Calc base'!M264),2)-O264-'Calc base'!Y264)</f>
        <v>0</v>
      </c>
      <c r="AB264">
        <f>MAX(0,ROUND(AZ263*(1+'Calc base'!N264),2)-P264-'Calc base'!Z264)</f>
        <v>0</v>
      </c>
      <c r="AC264">
        <f>MAX(0,ROUND(BA263*(1+'Calc base'!O264),2)-Q264-'Calc base'!AA264)</f>
        <v>0</v>
      </c>
      <c r="AD264">
        <f>MAX(0,ROUND(BB263*(1+'Calc base'!P264),2)-R264-'Calc base'!AB264)</f>
        <v>0</v>
      </c>
      <c r="AE264">
        <f>MAX(0,ROUND(BC263*(1+'Calc base'!Q264),2)-S264-'Calc base'!AC264)</f>
        <v>0</v>
      </c>
      <c r="AF264">
        <f>MAX(0,ROUND(BD263*(1+'Calc base'!R264),2)-T264-'Calc base'!AD264)</f>
        <v>0</v>
      </c>
      <c r="AG264">
        <f>MAX(0,ROUND(BE263*(1+'Calc base'!S264),2)-U264-'Calc base'!AE264)</f>
        <v>0</v>
      </c>
      <c r="AH264">
        <f>IF('Calc base'!C$14=0,0,MIN(V264,MAX(0,$E264-SUMPRODUCT($V264:$AG264,'Calc base'!$C$14:$N$14,('Calc base'!$H264:$S264&gt;'Calc base'!H264)+('Calc base'!$H264:$S264='Calc base'!H264)*('Calc base'!$C$17:$N$17&lt;'Calc base'!C$17)))))</f>
        <v>0</v>
      </c>
      <c r="AI264">
        <f>IF('Calc base'!D$14=0,0,MIN(W264,MAX(0,$E264-SUMPRODUCT($V264:$AG264,'Calc base'!$C$14:$N$14,('Calc base'!$H264:$S264&gt;'Calc base'!I264)+('Calc base'!$H264:$S264='Calc base'!I264)*('Calc base'!$C$17:$N$17&lt;'Calc base'!D$17)))))</f>
        <v>0</v>
      </c>
      <c r="AJ264">
        <f>IF('Calc base'!E$14=0,0,MIN(X264,MAX(0,$E264-SUMPRODUCT($V264:$AG264,'Calc base'!$C$14:$N$14,('Calc base'!$H264:$S264&gt;'Calc base'!J264)+('Calc base'!$H264:$S264='Calc base'!J264)*('Calc base'!$C$17:$N$17&lt;'Calc base'!E$17)))))</f>
        <v>0</v>
      </c>
      <c r="AK264">
        <f>IF('Calc base'!F$14=0,0,MIN(Y264,MAX(0,$E264-SUMPRODUCT($V264:$AG264,'Calc base'!$C$14:$N$14,('Calc base'!$H264:$S264&gt;'Calc base'!K264)+('Calc base'!$H264:$S264='Calc base'!K264)*('Calc base'!$C$17:$N$17&lt;'Calc base'!F$17)))))</f>
        <v>0</v>
      </c>
      <c r="AL264">
        <f>IF('Calc base'!G$14=0,0,MIN(Z264,MAX(0,$E264-SUMPRODUCT($V264:$AG264,'Calc base'!$C$14:$N$14,('Calc base'!$H264:$S264&gt;'Calc base'!L264)+('Calc base'!$H264:$S264='Calc base'!L264)*('Calc base'!$C$17:$N$17&lt;'Calc base'!G$17)))))</f>
        <v>0</v>
      </c>
      <c r="AM264">
        <f>IF('Calc base'!H$14=0,0,MIN(AA264,MAX(0,$E264-SUMPRODUCT($V264:$AG264,'Calc base'!$C$14:$N$14,('Calc base'!$H264:$S264&gt;'Calc base'!M264)+('Calc base'!$H264:$S264='Calc base'!M264)*('Calc base'!$C$17:$N$17&lt;'Calc base'!H$17)))))</f>
        <v>0</v>
      </c>
      <c r="AN264">
        <f>IF('Calc base'!I$14=0,0,MIN(AB264,MAX(0,$E264-SUMPRODUCT($V264:$AG264,'Calc base'!$C$14:$N$14,('Calc base'!$H264:$S264&gt;'Calc base'!N264)+('Calc base'!$H264:$S264='Calc base'!N264)*('Calc base'!$C$17:$N$17&lt;'Calc base'!I$17)))))</f>
        <v>0</v>
      </c>
      <c r="AO264">
        <f>IF('Calc base'!J$14=0,0,MIN(AC264,MAX(0,$E264-SUMPRODUCT($V264:$AG264,'Calc base'!$C$14:$N$14,('Calc base'!$H264:$S264&gt;'Calc base'!O264)+('Calc base'!$H264:$S264='Calc base'!O264)*('Calc base'!$C$17:$N$17&lt;'Calc base'!J$17)))))</f>
        <v>0</v>
      </c>
      <c r="AP264">
        <f>IF('Calc base'!K$14=0,0,MIN(AD264,MAX(0,$E264-SUMPRODUCT($V264:$AG264,'Calc base'!$C$14:$N$14,('Calc base'!$H264:$S264&gt;'Calc base'!P264)+('Calc base'!$H264:$S264='Calc base'!P264)*('Calc base'!$C$17:$N$17&lt;'Calc base'!K$17)))))</f>
        <v>0</v>
      </c>
      <c r="AQ264">
        <f>IF('Calc base'!L$14=0,0,MIN(AE264,MAX(0,$E264-SUMPRODUCT($V264:$AG264,'Calc base'!$C$14:$N$14,('Calc base'!$H264:$S264&gt;'Calc base'!Q264)+('Calc base'!$H264:$S264='Calc base'!Q264)*('Calc base'!$C$17:$N$17&lt;'Calc base'!L$17)))))</f>
        <v>0</v>
      </c>
      <c r="AR264">
        <f>IF('Calc base'!M$14=0,0,MIN(AF264,MAX(0,$E264-SUMPRODUCT($V264:$AG264,'Calc base'!$C$14:$N$14,('Calc base'!$H264:$S264&gt;'Calc base'!R264)+('Calc base'!$H264:$S264='Calc base'!R264)*('Calc base'!$C$17:$N$17&lt;'Calc base'!M$17)))))</f>
        <v>0</v>
      </c>
      <c r="AS264">
        <f>IF('Calc base'!N$14=0,0,MIN(AG264,MAX(0,$E264-SUMPRODUCT($V264:$AG264,'Calc base'!$C$14:$N$14,('Calc base'!$H264:$S264&gt;'Calc base'!S264)+('Calc base'!$H264:$S264='Calc base'!S264)*('Calc base'!$C$17:$N$17&lt;'Calc base'!N$17)))))</f>
        <v>0</v>
      </c>
      <c r="AT264">
        <f>V264-AH264</f>
        <v>0</v>
      </c>
      <c r="AU264">
        <f>W264-AI264</f>
        <v>0</v>
      </c>
      <c r="AV264">
        <f>X264-AJ264</f>
        <v>0</v>
      </c>
      <c r="AW264">
        <f>Y264-AK264</f>
        <v>0</v>
      </c>
      <c r="AX264">
        <f>Z264-AL264</f>
        <v>0</v>
      </c>
      <c r="AY264">
        <f>AA264-AM264</f>
        <v>0</v>
      </c>
      <c r="AZ264">
        <f>AB264-AN264</f>
        <v>0</v>
      </c>
      <c r="BA264">
        <f>AC264-AO264</f>
        <v>0</v>
      </c>
      <c r="BB264">
        <f>AD264-AP264</f>
        <v>0</v>
      </c>
      <c r="BC264">
        <f>AE264-AQ264</f>
        <v>0</v>
      </c>
      <c r="BD264">
        <f>AF264-AR264</f>
        <v>0</v>
      </c>
      <c r="BE264">
        <f>AG264-AS264</f>
        <v>0</v>
      </c>
    </row>
    <row r="265">
      <c r="A265" t="n">
        <v>235</v>
      </c>
      <c r="B265">
        <f>SUMPRODUCT(ROUND($AT264:$BE264*(1+'Calc base'!$H265:$S265),2))</f>
        <v>0</v>
      </c>
      <c r="C265">
        <f>SUM(J265:U265)</f>
        <v>0</v>
      </c>
      <c r="D265">
        <f>SUM(V265:AG265)</f>
        <v>0</v>
      </c>
      <c r="E265">
        <f>MAX(0,IF(Impostazioni!$B$7="No",'Calc base'!$C265-$C$31,'Calc base'!$C265-C265)+'Calc base'!$G265+'Calc base'!$F265-(B265-C265-D265))</f>
        <v>900</v>
      </c>
      <c r="F265">
        <f>SUM(AH265:AS265)</f>
        <v>0</v>
      </c>
      <c r="G265">
        <f>SUM(AT265:BE265)</f>
        <v>0</v>
      </c>
      <c r="H265">
        <f>B265-G264</f>
        <v>0</v>
      </c>
      <c r="I265">
        <f>B265-G265</f>
        <v>0</v>
      </c>
      <c r="J265">
        <f>IF(AT264&lt;=0,0,IF(ROUND(AT264*(1+'Calc base'!H265),2)-MAX('Calc base'!C$12,ROUND('Calc base'!C$13*AT264,2))&lt;1,ROUND(AT264*(1+'Calc base'!H265),2),MAX('Calc base'!C$12,ROUND('Calc base'!C$13*AT264,2))))</f>
        <v>0</v>
      </c>
      <c r="K265">
        <f>IF(AU264&lt;=0,0,IF(ROUND(AU264*(1+'Calc base'!I265),2)-MAX('Calc base'!D$12,ROUND('Calc base'!D$13*AU264,2))&lt;1,ROUND(AU264*(1+'Calc base'!I265),2),MAX('Calc base'!D$12,ROUND('Calc base'!D$13*AU264,2))))</f>
        <v>0</v>
      </c>
      <c r="L265">
        <f>IF(AV264&lt;=0,0,IF(ROUND(AV264*(1+'Calc base'!J265),2)-MAX('Calc base'!E$12,ROUND('Calc base'!E$13*AV264,2))&lt;1,ROUND(AV264*(1+'Calc base'!J265),2),MAX('Calc base'!E$12,ROUND('Calc base'!E$13*AV264,2))))</f>
        <v>0</v>
      </c>
      <c r="M265">
        <f>IF(AW264&lt;=0,0,IF(ROUND(AW264*(1+'Calc base'!K265),2)-MAX('Calc base'!F$12,ROUND('Calc base'!F$13*AW264,2))&lt;1,ROUND(AW264*(1+'Calc base'!K265),2),MAX('Calc base'!F$12,ROUND('Calc base'!F$13*AW264,2))))</f>
        <v>0</v>
      </c>
      <c r="N265">
        <f>IF(AX264&lt;=0,0,IF(ROUND(AX264*(1+'Calc base'!L265),2)-MAX('Calc base'!G$12,ROUND('Calc base'!G$13*AX264,2))&lt;1,ROUND(AX264*(1+'Calc base'!L265),2),MAX('Calc base'!G$12,ROUND('Calc base'!G$13*AX264,2))))</f>
        <v>0</v>
      </c>
      <c r="O265">
        <f>IF(AY264&lt;=0,0,IF(ROUND(AY264*(1+'Calc base'!M265),2)-MAX('Calc base'!H$12,ROUND('Calc base'!H$13*AY264,2))&lt;1,ROUND(AY264*(1+'Calc base'!M265),2),MAX('Calc base'!H$12,ROUND('Calc base'!H$13*AY264,2))))</f>
        <v>0</v>
      </c>
      <c r="P265">
        <f>IF(AZ264&lt;=0,0,IF(ROUND(AZ264*(1+'Calc base'!N265),2)-MAX('Calc base'!I$12,ROUND('Calc base'!I$13*AZ264,2))&lt;1,ROUND(AZ264*(1+'Calc base'!N265),2),MAX('Calc base'!I$12,ROUND('Calc base'!I$13*AZ264,2))))</f>
        <v>0</v>
      </c>
      <c r="Q265">
        <f>IF(BA264&lt;=0,0,IF(ROUND(BA264*(1+'Calc base'!O265),2)-MAX('Calc base'!J$12,ROUND('Calc base'!J$13*BA264,2))&lt;1,ROUND(BA264*(1+'Calc base'!O265),2),MAX('Calc base'!J$12,ROUND('Calc base'!J$13*BA264,2))))</f>
        <v>0</v>
      </c>
      <c r="R265">
        <f>IF(BB264&lt;=0,0,IF(ROUND(BB264*(1+'Calc base'!P265),2)-MAX('Calc base'!K$12,ROUND('Calc base'!K$13*BB264,2))&lt;1,ROUND(BB264*(1+'Calc base'!P265),2),MAX('Calc base'!K$12,ROUND('Calc base'!K$13*BB264,2))))</f>
        <v>0</v>
      </c>
      <c r="S265">
        <f>IF(BC264&lt;=0,0,IF(ROUND(BC264*(1+'Calc base'!Q265),2)-MAX('Calc base'!L$12,ROUND('Calc base'!L$13*BC264,2))&lt;1,ROUND(BC264*(1+'Calc base'!Q265),2),MAX('Calc base'!L$12,ROUND('Calc base'!L$13*BC264,2))))</f>
        <v>0</v>
      </c>
      <c r="T265">
        <f>IF(BD264&lt;=0,0,IF(ROUND(BD264*(1+'Calc base'!R265),2)-MAX('Calc base'!M$12,ROUND('Calc base'!M$13*BD264,2))&lt;1,ROUND(BD264*(1+'Calc base'!R265),2),MAX('Calc base'!M$12,ROUND('Calc base'!M$13*BD264,2))))</f>
        <v>0</v>
      </c>
      <c r="U265">
        <f>IF(BE264&lt;=0,0,IF(ROUND(BE264*(1+'Calc base'!S265),2)-MAX('Calc base'!N$12,ROUND('Calc base'!N$13*BE264,2))&lt;1,ROUND(BE264*(1+'Calc base'!S265),2),MAX('Calc base'!N$12,ROUND('Calc base'!N$13*BE264,2))))</f>
        <v>0</v>
      </c>
      <c r="V265">
        <f>MAX(0,ROUND(AT264*(1+'Calc base'!H265),2)-J265-'Calc base'!T265)</f>
        <v>0</v>
      </c>
      <c r="W265">
        <f>MAX(0,ROUND(AU264*(1+'Calc base'!I265),2)-K265-'Calc base'!U265)</f>
        <v>0</v>
      </c>
      <c r="X265">
        <f>MAX(0,ROUND(AV264*(1+'Calc base'!J265),2)-L265-'Calc base'!V265)</f>
        <v>0</v>
      </c>
      <c r="Y265">
        <f>MAX(0,ROUND(AW264*(1+'Calc base'!K265),2)-M265-'Calc base'!W265)</f>
        <v>0</v>
      </c>
      <c r="Z265">
        <f>MAX(0,ROUND(AX264*(1+'Calc base'!L265),2)-N265-'Calc base'!X265)</f>
        <v>0</v>
      </c>
      <c r="AA265">
        <f>MAX(0,ROUND(AY264*(1+'Calc base'!M265),2)-O265-'Calc base'!Y265)</f>
        <v>0</v>
      </c>
      <c r="AB265">
        <f>MAX(0,ROUND(AZ264*(1+'Calc base'!N265),2)-P265-'Calc base'!Z265)</f>
        <v>0</v>
      </c>
      <c r="AC265">
        <f>MAX(0,ROUND(BA264*(1+'Calc base'!O265),2)-Q265-'Calc base'!AA265)</f>
        <v>0</v>
      </c>
      <c r="AD265">
        <f>MAX(0,ROUND(BB264*(1+'Calc base'!P265),2)-R265-'Calc base'!AB265)</f>
        <v>0</v>
      </c>
      <c r="AE265">
        <f>MAX(0,ROUND(BC264*(1+'Calc base'!Q265),2)-S265-'Calc base'!AC265)</f>
        <v>0</v>
      </c>
      <c r="AF265">
        <f>MAX(0,ROUND(BD264*(1+'Calc base'!R265),2)-T265-'Calc base'!AD265)</f>
        <v>0</v>
      </c>
      <c r="AG265">
        <f>MAX(0,ROUND(BE264*(1+'Calc base'!S265),2)-U265-'Calc base'!AE265)</f>
        <v>0</v>
      </c>
      <c r="AH265">
        <f>IF('Calc base'!C$14=0,0,MIN(V265,MAX(0,$E265-SUMPRODUCT($V265:$AG265,'Calc base'!$C$14:$N$14,('Calc base'!$H265:$S265&gt;'Calc base'!H265)+('Calc base'!$H265:$S265='Calc base'!H265)*('Calc base'!$C$17:$N$17&lt;'Calc base'!C$17)))))</f>
        <v>0</v>
      </c>
      <c r="AI265">
        <f>IF('Calc base'!D$14=0,0,MIN(W265,MAX(0,$E265-SUMPRODUCT($V265:$AG265,'Calc base'!$C$14:$N$14,('Calc base'!$H265:$S265&gt;'Calc base'!I265)+('Calc base'!$H265:$S265='Calc base'!I265)*('Calc base'!$C$17:$N$17&lt;'Calc base'!D$17)))))</f>
        <v>0</v>
      </c>
      <c r="AJ265">
        <f>IF('Calc base'!E$14=0,0,MIN(X265,MAX(0,$E265-SUMPRODUCT($V265:$AG265,'Calc base'!$C$14:$N$14,('Calc base'!$H265:$S265&gt;'Calc base'!J265)+('Calc base'!$H265:$S265='Calc base'!J265)*('Calc base'!$C$17:$N$17&lt;'Calc base'!E$17)))))</f>
        <v>0</v>
      </c>
      <c r="AK265">
        <f>IF('Calc base'!F$14=0,0,MIN(Y265,MAX(0,$E265-SUMPRODUCT($V265:$AG265,'Calc base'!$C$14:$N$14,('Calc base'!$H265:$S265&gt;'Calc base'!K265)+('Calc base'!$H265:$S265='Calc base'!K265)*('Calc base'!$C$17:$N$17&lt;'Calc base'!F$17)))))</f>
        <v>0</v>
      </c>
      <c r="AL265">
        <f>IF('Calc base'!G$14=0,0,MIN(Z265,MAX(0,$E265-SUMPRODUCT($V265:$AG265,'Calc base'!$C$14:$N$14,('Calc base'!$H265:$S265&gt;'Calc base'!L265)+('Calc base'!$H265:$S265='Calc base'!L265)*('Calc base'!$C$17:$N$17&lt;'Calc base'!G$17)))))</f>
        <v>0</v>
      </c>
      <c r="AM265">
        <f>IF('Calc base'!H$14=0,0,MIN(AA265,MAX(0,$E265-SUMPRODUCT($V265:$AG265,'Calc base'!$C$14:$N$14,('Calc base'!$H265:$S265&gt;'Calc base'!M265)+('Calc base'!$H265:$S265='Calc base'!M265)*('Calc base'!$C$17:$N$17&lt;'Calc base'!H$17)))))</f>
        <v>0</v>
      </c>
      <c r="AN265">
        <f>IF('Calc base'!I$14=0,0,MIN(AB265,MAX(0,$E265-SUMPRODUCT($V265:$AG265,'Calc base'!$C$14:$N$14,('Calc base'!$H265:$S265&gt;'Calc base'!N265)+('Calc base'!$H265:$S265='Calc base'!N265)*('Calc base'!$C$17:$N$17&lt;'Calc base'!I$17)))))</f>
        <v>0</v>
      </c>
      <c r="AO265">
        <f>IF('Calc base'!J$14=0,0,MIN(AC265,MAX(0,$E265-SUMPRODUCT($V265:$AG265,'Calc base'!$C$14:$N$14,('Calc base'!$H265:$S265&gt;'Calc base'!O265)+('Calc base'!$H265:$S265='Calc base'!O265)*('Calc base'!$C$17:$N$17&lt;'Calc base'!J$17)))))</f>
        <v>0</v>
      </c>
      <c r="AP265">
        <f>IF('Calc base'!K$14=0,0,MIN(AD265,MAX(0,$E265-SUMPRODUCT($V265:$AG265,'Calc base'!$C$14:$N$14,('Calc base'!$H265:$S265&gt;'Calc base'!P265)+('Calc base'!$H265:$S265='Calc base'!P265)*('Calc base'!$C$17:$N$17&lt;'Calc base'!K$17)))))</f>
        <v>0</v>
      </c>
      <c r="AQ265">
        <f>IF('Calc base'!L$14=0,0,MIN(AE265,MAX(0,$E265-SUMPRODUCT($V265:$AG265,'Calc base'!$C$14:$N$14,('Calc base'!$H265:$S265&gt;'Calc base'!Q265)+('Calc base'!$H265:$S265='Calc base'!Q265)*('Calc base'!$C$17:$N$17&lt;'Calc base'!L$17)))))</f>
        <v>0</v>
      </c>
      <c r="AR265">
        <f>IF('Calc base'!M$14=0,0,MIN(AF265,MAX(0,$E265-SUMPRODUCT($V265:$AG265,'Calc base'!$C$14:$N$14,('Calc base'!$H265:$S265&gt;'Calc base'!R265)+('Calc base'!$H265:$S265='Calc base'!R265)*('Calc base'!$C$17:$N$17&lt;'Calc base'!M$17)))))</f>
        <v>0</v>
      </c>
      <c r="AS265">
        <f>IF('Calc base'!N$14=0,0,MIN(AG265,MAX(0,$E265-SUMPRODUCT($V265:$AG265,'Calc base'!$C$14:$N$14,('Calc base'!$H265:$S265&gt;'Calc base'!S265)+('Calc base'!$H265:$S265='Calc base'!S265)*('Calc base'!$C$17:$N$17&lt;'Calc base'!N$17)))))</f>
        <v>0</v>
      </c>
      <c r="AT265">
        <f>V265-AH265</f>
        <v>0</v>
      </c>
      <c r="AU265">
        <f>W265-AI265</f>
        <v>0</v>
      </c>
      <c r="AV265">
        <f>X265-AJ265</f>
        <v>0</v>
      </c>
      <c r="AW265">
        <f>Y265-AK265</f>
        <v>0</v>
      </c>
      <c r="AX265">
        <f>Z265-AL265</f>
        <v>0</v>
      </c>
      <c r="AY265">
        <f>AA265-AM265</f>
        <v>0</v>
      </c>
      <c r="AZ265">
        <f>AB265-AN265</f>
        <v>0</v>
      </c>
      <c r="BA265">
        <f>AC265-AO265</f>
        <v>0</v>
      </c>
      <c r="BB265">
        <f>AD265-AP265</f>
        <v>0</v>
      </c>
      <c r="BC265">
        <f>AE265-AQ265</f>
        <v>0</v>
      </c>
      <c r="BD265">
        <f>AF265-AR265</f>
        <v>0</v>
      </c>
      <c r="BE265">
        <f>AG265-AS265</f>
        <v>0</v>
      </c>
    </row>
    <row r="266">
      <c r="A266" t="n">
        <v>236</v>
      </c>
      <c r="B266">
        <f>SUMPRODUCT(ROUND($AT265:$BE265*(1+'Calc base'!$H266:$S266),2))</f>
        <v>0</v>
      </c>
      <c r="C266">
        <f>SUM(J266:U266)</f>
        <v>0</v>
      </c>
      <c r="D266">
        <f>SUM(V266:AG266)</f>
        <v>0</v>
      </c>
      <c r="E266">
        <f>MAX(0,IF(Impostazioni!$B$7="No",'Calc base'!$C266-$C$31,'Calc base'!$C266-C266)+'Calc base'!$G266+'Calc base'!$F266-(B266-C266-D266))</f>
        <v>900</v>
      </c>
      <c r="F266">
        <f>SUM(AH266:AS266)</f>
        <v>0</v>
      </c>
      <c r="G266">
        <f>SUM(AT266:BE266)</f>
        <v>0</v>
      </c>
      <c r="H266">
        <f>B266-G265</f>
        <v>0</v>
      </c>
      <c r="I266">
        <f>B266-G266</f>
        <v>0</v>
      </c>
      <c r="J266">
        <f>IF(AT265&lt;=0,0,IF(ROUND(AT265*(1+'Calc base'!H266),2)-MAX('Calc base'!C$12,ROUND('Calc base'!C$13*AT265,2))&lt;1,ROUND(AT265*(1+'Calc base'!H266),2),MAX('Calc base'!C$12,ROUND('Calc base'!C$13*AT265,2))))</f>
        <v>0</v>
      </c>
      <c r="K266">
        <f>IF(AU265&lt;=0,0,IF(ROUND(AU265*(1+'Calc base'!I266),2)-MAX('Calc base'!D$12,ROUND('Calc base'!D$13*AU265,2))&lt;1,ROUND(AU265*(1+'Calc base'!I266),2),MAX('Calc base'!D$12,ROUND('Calc base'!D$13*AU265,2))))</f>
        <v>0</v>
      </c>
      <c r="L266">
        <f>IF(AV265&lt;=0,0,IF(ROUND(AV265*(1+'Calc base'!J266),2)-MAX('Calc base'!E$12,ROUND('Calc base'!E$13*AV265,2))&lt;1,ROUND(AV265*(1+'Calc base'!J266),2),MAX('Calc base'!E$12,ROUND('Calc base'!E$13*AV265,2))))</f>
        <v>0</v>
      </c>
      <c r="M266">
        <f>IF(AW265&lt;=0,0,IF(ROUND(AW265*(1+'Calc base'!K266),2)-MAX('Calc base'!F$12,ROUND('Calc base'!F$13*AW265,2))&lt;1,ROUND(AW265*(1+'Calc base'!K266),2),MAX('Calc base'!F$12,ROUND('Calc base'!F$13*AW265,2))))</f>
        <v>0</v>
      </c>
      <c r="N266">
        <f>IF(AX265&lt;=0,0,IF(ROUND(AX265*(1+'Calc base'!L266),2)-MAX('Calc base'!G$12,ROUND('Calc base'!G$13*AX265,2))&lt;1,ROUND(AX265*(1+'Calc base'!L266),2),MAX('Calc base'!G$12,ROUND('Calc base'!G$13*AX265,2))))</f>
        <v>0</v>
      </c>
      <c r="O266">
        <f>IF(AY265&lt;=0,0,IF(ROUND(AY265*(1+'Calc base'!M266),2)-MAX('Calc base'!H$12,ROUND('Calc base'!H$13*AY265,2))&lt;1,ROUND(AY265*(1+'Calc base'!M266),2),MAX('Calc base'!H$12,ROUND('Calc base'!H$13*AY265,2))))</f>
        <v>0</v>
      </c>
      <c r="P266">
        <f>IF(AZ265&lt;=0,0,IF(ROUND(AZ265*(1+'Calc base'!N266),2)-MAX('Calc base'!I$12,ROUND('Calc base'!I$13*AZ265,2))&lt;1,ROUND(AZ265*(1+'Calc base'!N266),2),MAX('Calc base'!I$12,ROUND('Calc base'!I$13*AZ265,2))))</f>
        <v>0</v>
      </c>
      <c r="Q266">
        <f>IF(BA265&lt;=0,0,IF(ROUND(BA265*(1+'Calc base'!O266),2)-MAX('Calc base'!J$12,ROUND('Calc base'!J$13*BA265,2))&lt;1,ROUND(BA265*(1+'Calc base'!O266),2),MAX('Calc base'!J$12,ROUND('Calc base'!J$13*BA265,2))))</f>
        <v>0</v>
      </c>
      <c r="R266">
        <f>IF(BB265&lt;=0,0,IF(ROUND(BB265*(1+'Calc base'!P266),2)-MAX('Calc base'!K$12,ROUND('Calc base'!K$13*BB265,2))&lt;1,ROUND(BB265*(1+'Calc base'!P266),2),MAX('Calc base'!K$12,ROUND('Calc base'!K$13*BB265,2))))</f>
        <v>0</v>
      </c>
      <c r="S266">
        <f>IF(BC265&lt;=0,0,IF(ROUND(BC265*(1+'Calc base'!Q266),2)-MAX('Calc base'!L$12,ROUND('Calc base'!L$13*BC265,2))&lt;1,ROUND(BC265*(1+'Calc base'!Q266),2),MAX('Calc base'!L$12,ROUND('Calc base'!L$13*BC265,2))))</f>
        <v>0</v>
      </c>
      <c r="T266">
        <f>IF(BD265&lt;=0,0,IF(ROUND(BD265*(1+'Calc base'!R266),2)-MAX('Calc base'!M$12,ROUND('Calc base'!M$13*BD265,2))&lt;1,ROUND(BD265*(1+'Calc base'!R266),2),MAX('Calc base'!M$12,ROUND('Calc base'!M$13*BD265,2))))</f>
        <v>0</v>
      </c>
      <c r="U266">
        <f>IF(BE265&lt;=0,0,IF(ROUND(BE265*(1+'Calc base'!S266),2)-MAX('Calc base'!N$12,ROUND('Calc base'!N$13*BE265,2))&lt;1,ROUND(BE265*(1+'Calc base'!S266),2),MAX('Calc base'!N$12,ROUND('Calc base'!N$13*BE265,2))))</f>
        <v>0</v>
      </c>
      <c r="V266">
        <f>MAX(0,ROUND(AT265*(1+'Calc base'!H266),2)-J266-'Calc base'!T266)</f>
        <v>0</v>
      </c>
      <c r="W266">
        <f>MAX(0,ROUND(AU265*(1+'Calc base'!I266),2)-K266-'Calc base'!U266)</f>
        <v>0</v>
      </c>
      <c r="X266">
        <f>MAX(0,ROUND(AV265*(1+'Calc base'!J266),2)-L266-'Calc base'!V266)</f>
        <v>0</v>
      </c>
      <c r="Y266">
        <f>MAX(0,ROUND(AW265*(1+'Calc base'!K266),2)-M266-'Calc base'!W266)</f>
        <v>0</v>
      </c>
      <c r="Z266">
        <f>MAX(0,ROUND(AX265*(1+'Calc base'!L266),2)-N266-'Calc base'!X266)</f>
        <v>0</v>
      </c>
      <c r="AA266">
        <f>MAX(0,ROUND(AY265*(1+'Calc base'!M266),2)-O266-'Calc base'!Y266)</f>
        <v>0</v>
      </c>
      <c r="AB266">
        <f>MAX(0,ROUND(AZ265*(1+'Calc base'!N266),2)-P266-'Calc base'!Z266)</f>
        <v>0</v>
      </c>
      <c r="AC266">
        <f>MAX(0,ROUND(BA265*(1+'Calc base'!O266),2)-Q266-'Calc base'!AA266)</f>
        <v>0</v>
      </c>
      <c r="AD266">
        <f>MAX(0,ROUND(BB265*(1+'Calc base'!P266),2)-R266-'Calc base'!AB266)</f>
        <v>0</v>
      </c>
      <c r="AE266">
        <f>MAX(0,ROUND(BC265*(1+'Calc base'!Q266),2)-S266-'Calc base'!AC266)</f>
        <v>0</v>
      </c>
      <c r="AF266">
        <f>MAX(0,ROUND(BD265*(1+'Calc base'!R266),2)-T266-'Calc base'!AD266)</f>
        <v>0</v>
      </c>
      <c r="AG266">
        <f>MAX(0,ROUND(BE265*(1+'Calc base'!S266),2)-U266-'Calc base'!AE266)</f>
        <v>0</v>
      </c>
      <c r="AH266">
        <f>IF('Calc base'!C$14=0,0,MIN(V266,MAX(0,$E266-SUMPRODUCT($V266:$AG266,'Calc base'!$C$14:$N$14,('Calc base'!$H266:$S266&gt;'Calc base'!H266)+('Calc base'!$H266:$S266='Calc base'!H266)*('Calc base'!$C$17:$N$17&lt;'Calc base'!C$17)))))</f>
        <v>0</v>
      </c>
      <c r="AI266">
        <f>IF('Calc base'!D$14=0,0,MIN(W266,MAX(0,$E266-SUMPRODUCT($V266:$AG266,'Calc base'!$C$14:$N$14,('Calc base'!$H266:$S266&gt;'Calc base'!I266)+('Calc base'!$H266:$S266='Calc base'!I266)*('Calc base'!$C$17:$N$17&lt;'Calc base'!D$17)))))</f>
        <v>0</v>
      </c>
      <c r="AJ266">
        <f>IF('Calc base'!E$14=0,0,MIN(X266,MAX(0,$E266-SUMPRODUCT($V266:$AG266,'Calc base'!$C$14:$N$14,('Calc base'!$H266:$S266&gt;'Calc base'!J266)+('Calc base'!$H266:$S266='Calc base'!J266)*('Calc base'!$C$17:$N$17&lt;'Calc base'!E$17)))))</f>
        <v>0</v>
      </c>
      <c r="AK266">
        <f>IF('Calc base'!F$14=0,0,MIN(Y266,MAX(0,$E266-SUMPRODUCT($V266:$AG266,'Calc base'!$C$14:$N$14,('Calc base'!$H266:$S266&gt;'Calc base'!K266)+('Calc base'!$H266:$S266='Calc base'!K266)*('Calc base'!$C$17:$N$17&lt;'Calc base'!F$17)))))</f>
        <v>0</v>
      </c>
      <c r="AL266">
        <f>IF('Calc base'!G$14=0,0,MIN(Z266,MAX(0,$E266-SUMPRODUCT($V266:$AG266,'Calc base'!$C$14:$N$14,('Calc base'!$H266:$S266&gt;'Calc base'!L266)+('Calc base'!$H266:$S266='Calc base'!L266)*('Calc base'!$C$17:$N$17&lt;'Calc base'!G$17)))))</f>
        <v>0</v>
      </c>
      <c r="AM266">
        <f>IF('Calc base'!H$14=0,0,MIN(AA266,MAX(0,$E266-SUMPRODUCT($V266:$AG266,'Calc base'!$C$14:$N$14,('Calc base'!$H266:$S266&gt;'Calc base'!M266)+('Calc base'!$H266:$S266='Calc base'!M266)*('Calc base'!$C$17:$N$17&lt;'Calc base'!H$17)))))</f>
        <v>0</v>
      </c>
      <c r="AN266">
        <f>IF('Calc base'!I$14=0,0,MIN(AB266,MAX(0,$E266-SUMPRODUCT($V266:$AG266,'Calc base'!$C$14:$N$14,('Calc base'!$H266:$S266&gt;'Calc base'!N266)+('Calc base'!$H266:$S266='Calc base'!N266)*('Calc base'!$C$17:$N$17&lt;'Calc base'!I$17)))))</f>
        <v>0</v>
      </c>
      <c r="AO266">
        <f>IF('Calc base'!J$14=0,0,MIN(AC266,MAX(0,$E266-SUMPRODUCT($V266:$AG266,'Calc base'!$C$14:$N$14,('Calc base'!$H266:$S266&gt;'Calc base'!O266)+('Calc base'!$H266:$S266='Calc base'!O266)*('Calc base'!$C$17:$N$17&lt;'Calc base'!J$17)))))</f>
        <v>0</v>
      </c>
      <c r="AP266">
        <f>IF('Calc base'!K$14=0,0,MIN(AD266,MAX(0,$E266-SUMPRODUCT($V266:$AG266,'Calc base'!$C$14:$N$14,('Calc base'!$H266:$S266&gt;'Calc base'!P266)+('Calc base'!$H266:$S266='Calc base'!P266)*('Calc base'!$C$17:$N$17&lt;'Calc base'!K$17)))))</f>
        <v>0</v>
      </c>
      <c r="AQ266">
        <f>IF('Calc base'!L$14=0,0,MIN(AE266,MAX(0,$E266-SUMPRODUCT($V266:$AG266,'Calc base'!$C$14:$N$14,('Calc base'!$H266:$S266&gt;'Calc base'!Q266)+('Calc base'!$H266:$S266='Calc base'!Q266)*('Calc base'!$C$17:$N$17&lt;'Calc base'!L$17)))))</f>
        <v>0</v>
      </c>
      <c r="AR266">
        <f>IF('Calc base'!M$14=0,0,MIN(AF266,MAX(0,$E266-SUMPRODUCT($V266:$AG266,'Calc base'!$C$14:$N$14,('Calc base'!$H266:$S266&gt;'Calc base'!R266)+('Calc base'!$H266:$S266='Calc base'!R266)*('Calc base'!$C$17:$N$17&lt;'Calc base'!M$17)))))</f>
        <v>0</v>
      </c>
      <c r="AS266">
        <f>IF('Calc base'!N$14=0,0,MIN(AG266,MAX(0,$E266-SUMPRODUCT($V266:$AG266,'Calc base'!$C$14:$N$14,('Calc base'!$H266:$S266&gt;'Calc base'!S266)+('Calc base'!$H266:$S266='Calc base'!S266)*('Calc base'!$C$17:$N$17&lt;'Calc base'!N$17)))))</f>
        <v>0</v>
      </c>
      <c r="AT266">
        <f>V266-AH266</f>
        <v>0</v>
      </c>
      <c r="AU266">
        <f>W266-AI266</f>
        <v>0</v>
      </c>
      <c r="AV266">
        <f>X266-AJ266</f>
        <v>0</v>
      </c>
      <c r="AW266">
        <f>Y266-AK266</f>
        <v>0</v>
      </c>
      <c r="AX266">
        <f>Z266-AL266</f>
        <v>0</v>
      </c>
      <c r="AY266">
        <f>AA266-AM266</f>
        <v>0</v>
      </c>
      <c r="AZ266">
        <f>AB266-AN266</f>
        <v>0</v>
      </c>
      <c r="BA266">
        <f>AC266-AO266</f>
        <v>0</v>
      </c>
      <c r="BB266">
        <f>AD266-AP266</f>
        <v>0</v>
      </c>
      <c r="BC266">
        <f>AE266-AQ266</f>
        <v>0</v>
      </c>
      <c r="BD266">
        <f>AF266-AR266</f>
        <v>0</v>
      </c>
      <c r="BE266">
        <f>AG266-AS266</f>
        <v>0</v>
      </c>
    </row>
    <row r="267">
      <c r="A267" t="n">
        <v>237</v>
      </c>
      <c r="B267">
        <f>SUMPRODUCT(ROUND($AT266:$BE266*(1+'Calc base'!$H267:$S267),2))</f>
        <v>0</v>
      </c>
      <c r="C267">
        <f>SUM(J267:U267)</f>
        <v>0</v>
      </c>
      <c r="D267">
        <f>SUM(V267:AG267)</f>
        <v>0</v>
      </c>
      <c r="E267">
        <f>MAX(0,IF(Impostazioni!$B$7="No",'Calc base'!$C267-$C$31,'Calc base'!$C267-C267)+'Calc base'!$G267+'Calc base'!$F267-(B267-C267-D267))</f>
        <v>900</v>
      </c>
      <c r="F267">
        <f>SUM(AH267:AS267)</f>
        <v>0</v>
      </c>
      <c r="G267">
        <f>SUM(AT267:BE267)</f>
        <v>0</v>
      </c>
      <c r="H267">
        <f>B267-G266</f>
        <v>0</v>
      </c>
      <c r="I267">
        <f>B267-G267</f>
        <v>0</v>
      </c>
      <c r="J267">
        <f>IF(AT266&lt;=0,0,IF(ROUND(AT266*(1+'Calc base'!H267),2)-MAX('Calc base'!C$12,ROUND('Calc base'!C$13*AT266,2))&lt;1,ROUND(AT266*(1+'Calc base'!H267),2),MAX('Calc base'!C$12,ROUND('Calc base'!C$13*AT266,2))))</f>
        <v>0</v>
      </c>
      <c r="K267">
        <f>IF(AU266&lt;=0,0,IF(ROUND(AU266*(1+'Calc base'!I267),2)-MAX('Calc base'!D$12,ROUND('Calc base'!D$13*AU266,2))&lt;1,ROUND(AU266*(1+'Calc base'!I267),2),MAX('Calc base'!D$12,ROUND('Calc base'!D$13*AU266,2))))</f>
        <v>0</v>
      </c>
      <c r="L267">
        <f>IF(AV266&lt;=0,0,IF(ROUND(AV266*(1+'Calc base'!J267),2)-MAX('Calc base'!E$12,ROUND('Calc base'!E$13*AV266,2))&lt;1,ROUND(AV266*(1+'Calc base'!J267),2),MAX('Calc base'!E$12,ROUND('Calc base'!E$13*AV266,2))))</f>
        <v>0</v>
      </c>
      <c r="M267">
        <f>IF(AW266&lt;=0,0,IF(ROUND(AW266*(1+'Calc base'!K267),2)-MAX('Calc base'!F$12,ROUND('Calc base'!F$13*AW266,2))&lt;1,ROUND(AW266*(1+'Calc base'!K267),2),MAX('Calc base'!F$12,ROUND('Calc base'!F$13*AW266,2))))</f>
        <v>0</v>
      </c>
      <c r="N267">
        <f>IF(AX266&lt;=0,0,IF(ROUND(AX266*(1+'Calc base'!L267),2)-MAX('Calc base'!G$12,ROUND('Calc base'!G$13*AX266,2))&lt;1,ROUND(AX266*(1+'Calc base'!L267),2),MAX('Calc base'!G$12,ROUND('Calc base'!G$13*AX266,2))))</f>
        <v>0</v>
      </c>
      <c r="O267">
        <f>IF(AY266&lt;=0,0,IF(ROUND(AY266*(1+'Calc base'!M267),2)-MAX('Calc base'!H$12,ROUND('Calc base'!H$13*AY266,2))&lt;1,ROUND(AY266*(1+'Calc base'!M267),2),MAX('Calc base'!H$12,ROUND('Calc base'!H$13*AY266,2))))</f>
        <v>0</v>
      </c>
      <c r="P267">
        <f>IF(AZ266&lt;=0,0,IF(ROUND(AZ266*(1+'Calc base'!N267),2)-MAX('Calc base'!I$12,ROUND('Calc base'!I$13*AZ266,2))&lt;1,ROUND(AZ266*(1+'Calc base'!N267),2),MAX('Calc base'!I$12,ROUND('Calc base'!I$13*AZ266,2))))</f>
        <v>0</v>
      </c>
      <c r="Q267">
        <f>IF(BA266&lt;=0,0,IF(ROUND(BA266*(1+'Calc base'!O267),2)-MAX('Calc base'!J$12,ROUND('Calc base'!J$13*BA266,2))&lt;1,ROUND(BA266*(1+'Calc base'!O267),2),MAX('Calc base'!J$12,ROUND('Calc base'!J$13*BA266,2))))</f>
        <v>0</v>
      </c>
      <c r="R267">
        <f>IF(BB266&lt;=0,0,IF(ROUND(BB266*(1+'Calc base'!P267),2)-MAX('Calc base'!K$12,ROUND('Calc base'!K$13*BB266,2))&lt;1,ROUND(BB266*(1+'Calc base'!P267),2),MAX('Calc base'!K$12,ROUND('Calc base'!K$13*BB266,2))))</f>
        <v>0</v>
      </c>
      <c r="S267">
        <f>IF(BC266&lt;=0,0,IF(ROUND(BC266*(1+'Calc base'!Q267),2)-MAX('Calc base'!L$12,ROUND('Calc base'!L$13*BC266,2))&lt;1,ROUND(BC266*(1+'Calc base'!Q267),2),MAX('Calc base'!L$12,ROUND('Calc base'!L$13*BC266,2))))</f>
        <v>0</v>
      </c>
      <c r="T267">
        <f>IF(BD266&lt;=0,0,IF(ROUND(BD266*(1+'Calc base'!R267),2)-MAX('Calc base'!M$12,ROUND('Calc base'!M$13*BD266,2))&lt;1,ROUND(BD266*(1+'Calc base'!R267),2),MAX('Calc base'!M$12,ROUND('Calc base'!M$13*BD266,2))))</f>
        <v>0</v>
      </c>
      <c r="U267">
        <f>IF(BE266&lt;=0,0,IF(ROUND(BE266*(1+'Calc base'!S267),2)-MAX('Calc base'!N$12,ROUND('Calc base'!N$13*BE266,2))&lt;1,ROUND(BE266*(1+'Calc base'!S267),2),MAX('Calc base'!N$12,ROUND('Calc base'!N$13*BE266,2))))</f>
        <v>0</v>
      </c>
      <c r="V267">
        <f>MAX(0,ROUND(AT266*(1+'Calc base'!H267),2)-J267-'Calc base'!T267)</f>
        <v>0</v>
      </c>
      <c r="W267">
        <f>MAX(0,ROUND(AU266*(1+'Calc base'!I267),2)-K267-'Calc base'!U267)</f>
        <v>0</v>
      </c>
      <c r="X267">
        <f>MAX(0,ROUND(AV266*(1+'Calc base'!J267),2)-L267-'Calc base'!V267)</f>
        <v>0</v>
      </c>
      <c r="Y267">
        <f>MAX(0,ROUND(AW266*(1+'Calc base'!K267),2)-M267-'Calc base'!W267)</f>
        <v>0</v>
      </c>
      <c r="Z267">
        <f>MAX(0,ROUND(AX266*(1+'Calc base'!L267),2)-N267-'Calc base'!X267)</f>
        <v>0</v>
      </c>
      <c r="AA267">
        <f>MAX(0,ROUND(AY266*(1+'Calc base'!M267),2)-O267-'Calc base'!Y267)</f>
        <v>0</v>
      </c>
      <c r="AB267">
        <f>MAX(0,ROUND(AZ266*(1+'Calc base'!N267),2)-P267-'Calc base'!Z267)</f>
        <v>0</v>
      </c>
      <c r="AC267">
        <f>MAX(0,ROUND(BA266*(1+'Calc base'!O267),2)-Q267-'Calc base'!AA267)</f>
        <v>0</v>
      </c>
      <c r="AD267">
        <f>MAX(0,ROUND(BB266*(1+'Calc base'!P267),2)-R267-'Calc base'!AB267)</f>
        <v>0</v>
      </c>
      <c r="AE267">
        <f>MAX(0,ROUND(BC266*(1+'Calc base'!Q267),2)-S267-'Calc base'!AC267)</f>
        <v>0</v>
      </c>
      <c r="AF267">
        <f>MAX(0,ROUND(BD266*(1+'Calc base'!R267),2)-T267-'Calc base'!AD267)</f>
        <v>0</v>
      </c>
      <c r="AG267">
        <f>MAX(0,ROUND(BE266*(1+'Calc base'!S267),2)-U267-'Calc base'!AE267)</f>
        <v>0</v>
      </c>
      <c r="AH267">
        <f>IF('Calc base'!C$14=0,0,MIN(V267,MAX(0,$E267-SUMPRODUCT($V267:$AG267,'Calc base'!$C$14:$N$14,('Calc base'!$H267:$S267&gt;'Calc base'!H267)+('Calc base'!$H267:$S267='Calc base'!H267)*('Calc base'!$C$17:$N$17&lt;'Calc base'!C$17)))))</f>
        <v>0</v>
      </c>
      <c r="AI267">
        <f>IF('Calc base'!D$14=0,0,MIN(W267,MAX(0,$E267-SUMPRODUCT($V267:$AG267,'Calc base'!$C$14:$N$14,('Calc base'!$H267:$S267&gt;'Calc base'!I267)+('Calc base'!$H267:$S267='Calc base'!I267)*('Calc base'!$C$17:$N$17&lt;'Calc base'!D$17)))))</f>
        <v>0</v>
      </c>
      <c r="AJ267">
        <f>IF('Calc base'!E$14=0,0,MIN(X267,MAX(0,$E267-SUMPRODUCT($V267:$AG267,'Calc base'!$C$14:$N$14,('Calc base'!$H267:$S267&gt;'Calc base'!J267)+('Calc base'!$H267:$S267='Calc base'!J267)*('Calc base'!$C$17:$N$17&lt;'Calc base'!E$17)))))</f>
        <v>0</v>
      </c>
      <c r="AK267">
        <f>IF('Calc base'!F$14=0,0,MIN(Y267,MAX(0,$E267-SUMPRODUCT($V267:$AG267,'Calc base'!$C$14:$N$14,('Calc base'!$H267:$S267&gt;'Calc base'!K267)+('Calc base'!$H267:$S267='Calc base'!K267)*('Calc base'!$C$17:$N$17&lt;'Calc base'!F$17)))))</f>
        <v>0</v>
      </c>
      <c r="AL267">
        <f>IF('Calc base'!G$14=0,0,MIN(Z267,MAX(0,$E267-SUMPRODUCT($V267:$AG267,'Calc base'!$C$14:$N$14,('Calc base'!$H267:$S267&gt;'Calc base'!L267)+('Calc base'!$H267:$S267='Calc base'!L267)*('Calc base'!$C$17:$N$17&lt;'Calc base'!G$17)))))</f>
        <v>0</v>
      </c>
      <c r="AM267">
        <f>IF('Calc base'!H$14=0,0,MIN(AA267,MAX(0,$E267-SUMPRODUCT($V267:$AG267,'Calc base'!$C$14:$N$14,('Calc base'!$H267:$S267&gt;'Calc base'!M267)+('Calc base'!$H267:$S267='Calc base'!M267)*('Calc base'!$C$17:$N$17&lt;'Calc base'!H$17)))))</f>
        <v>0</v>
      </c>
      <c r="AN267">
        <f>IF('Calc base'!I$14=0,0,MIN(AB267,MAX(0,$E267-SUMPRODUCT($V267:$AG267,'Calc base'!$C$14:$N$14,('Calc base'!$H267:$S267&gt;'Calc base'!N267)+('Calc base'!$H267:$S267='Calc base'!N267)*('Calc base'!$C$17:$N$17&lt;'Calc base'!I$17)))))</f>
        <v>0</v>
      </c>
      <c r="AO267">
        <f>IF('Calc base'!J$14=0,0,MIN(AC267,MAX(0,$E267-SUMPRODUCT($V267:$AG267,'Calc base'!$C$14:$N$14,('Calc base'!$H267:$S267&gt;'Calc base'!O267)+('Calc base'!$H267:$S267='Calc base'!O267)*('Calc base'!$C$17:$N$17&lt;'Calc base'!J$17)))))</f>
        <v>0</v>
      </c>
      <c r="AP267">
        <f>IF('Calc base'!K$14=0,0,MIN(AD267,MAX(0,$E267-SUMPRODUCT($V267:$AG267,'Calc base'!$C$14:$N$14,('Calc base'!$H267:$S267&gt;'Calc base'!P267)+('Calc base'!$H267:$S267='Calc base'!P267)*('Calc base'!$C$17:$N$17&lt;'Calc base'!K$17)))))</f>
        <v>0</v>
      </c>
      <c r="AQ267">
        <f>IF('Calc base'!L$14=0,0,MIN(AE267,MAX(0,$E267-SUMPRODUCT($V267:$AG267,'Calc base'!$C$14:$N$14,('Calc base'!$H267:$S267&gt;'Calc base'!Q267)+('Calc base'!$H267:$S267='Calc base'!Q267)*('Calc base'!$C$17:$N$17&lt;'Calc base'!L$17)))))</f>
        <v>0</v>
      </c>
      <c r="AR267">
        <f>IF('Calc base'!M$14=0,0,MIN(AF267,MAX(0,$E267-SUMPRODUCT($V267:$AG267,'Calc base'!$C$14:$N$14,('Calc base'!$H267:$S267&gt;'Calc base'!R267)+('Calc base'!$H267:$S267='Calc base'!R267)*('Calc base'!$C$17:$N$17&lt;'Calc base'!M$17)))))</f>
        <v>0</v>
      </c>
      <c r="AS267">
        <f>IF('Calc base'!N$14=0,0,MIN(AG267,MAX(0,$E267-SUMPRODUCT($V267:$AG267,'Calc base'!$C$14:$N$14,('Calc base'!$H267:$S267&gt;'Calc base'!S267)+('Calc base'!$H267:$S267='Calc base'!S267)*('Calc base'!$C$17:$N$17&lt;'Calc base'!N$17)))))</f>
        <v>0</v>
      </c>
      <c r="AT267">
        <f>V267-AH267</f>
        <v>0</v>
      </c>
      <c r="AU267">
        <f>W267-AI267</f>
        <v>0</v>
      </c>
      <c r="AV267">
        <f>X267-AJ267</f>
        <v>0</v>
      </c>
      <c r="AW267">
        <f>Y267-AK267</f>
        <v>0</v>
      </c>
      <c r="AX267">
        <f>Z267-AL267</f>
        <v>0</v>
      </c>
      <c r="AY267">
        <f>AA267-AM267</f>
        <v>0</v>
      </c>
      <c r="AZ267">
        <f>AB267-AN267</f>
        <v>0</v>
      </c>
      <c r="BA267">
        <f>AC267-AO267</f>
        <v>0</v>
      </c>
      <c r="BB267">
        <f>AD267-AP267</f>
        <v>0</v>
      </c>
      <c r="BC267">
        <f>AE267-AQ267</f>
        <v>0</v>
      </c>
      <c r="BD267">
        <f>AF267-AR267</f>
        <v>0</v>
      </c>
      <c r="BE267">
        <f>AG267-AS267</f>
        <v>0</v>
      </c>
    </row>
    <row r="268">
      <c r="A268" t="n">
        <v>238</v>
      </c>
      <c r="B268">
        <f>SUMPRODUCT(ROUND($AT267:$BE267*(1+'Calc base'!$H268:$S268),2))</f>
        <v>0</v>
      </c>
      <c r="C268">
        <f>SUM(J268:U268)</f>
        <v>0</v>
      </c>
      <c r="D268">
        <f>SUM(V268:AG268)</f>
        <v>0</v>
      </c>
      <c r="E268">
        <f>MAX(0,IF(Impostazioni!$B$7="No",'Calc base'!$C268-$C$31,'Calc base'!$C268-C268)+'Calc base'!$G268+'Calc base'!$F268-(B268-C268-D268))</f>
        <v>900</v>
      </c>
      <c r="F268">
        <f>SUM(AH268:AS268)</f>
        <v>0</v>
      </c>
      <c r="G268">
        <f>SUM(AT268:BE268)</f>
        <v>0</v>
      </c>
      <c r="H268">
        <f>B268-G267</f>
        <v>0</v>
      </c>
      <c r="I268">
        <f>B268-G268</f>
        <v>0</v>
      </c>
      <c r="J268">
        <f>IF(AT267&lt;=0,0,IF(ROUND(AT267*(1+'Calc base'!H268),2)-MAX('Calc base'!C$12,ROUND('Calc base'!C$13*AT267,2))&lt;1,ROUND(AT267*(1+'Calc base'!H268),2),MAX('Calc base'!C$12,ROUND('Calc base'!C$13*AT267,2))))</f>
        <v>0</v>
      </c>
      <c r="K268">
        <f>IF(AU267&lt;=0,0,IF(ROUND(AU267*(1+'Calc base'!I268),2)-MAX('Calc base'!D$12,ROUND('Calc base'!D$13*AU267,2))&lt;1,ROUND(AU267*(1+'Calc base'!I268),2),MAX('Calc base'!D$12,ROUND('Calc base'!D$13*AU267,2))))</f>
        <v>0</v>
      </c>
      <c r="L268">
        <f>IF(AV267&lt;=0,0,IF(ROUND(AV267*(1+'Calc base'!J268),2)-MAX('Calc base'!E$12,ROUND('Calc base'!E$13*AV267,2))&lt;1,ROUND(AV267*(1+'Calc base'!J268),2),MAX('Calc base'!E$12,ROUND('Calc base'!E$13*AV267,2))))</f>
        <v>0</v>
      </c>
      <c r="M268">
        <f>IF(AW267&lt;=0,0,IF(ROUND(AW267*(1+'Calc base'!K268),2)-MAX('Calc base'!F$12,ROUND('Calc base'!F$13*AW267,2))&lt;1,ROUND(AW267*(1+'Calc base'!K268),2),MAX('Calc base'!F$12,ROUND('Calc base'!F$13*AW267,2))))</f>
        <v>0</v>
      </c>
      <c r="N268">
        <f>IF(AX267&lt;=0,0,IF(ROUND(AX267*(1+'Calc base'!L268),2)-MAX('Calc base'!G$12,ROUND('Calc base'!G$13*AX267,2))&lt;1,ROUND(AX267*(1+'Calc base'!L268),2),MAX('Calc base'!G$12,ROUND('Calc base'!G$13*AX267,2))))</f>
        <v>0</v>
      </c>
      <c r="O268">
        <f>IF(AY267&lt;=0,0,IF(ROUND(AY267*(1+'Calc base'!M268),2)-MAX('Calc base'!H$12,ROUND('Calc base'!H$13*AY267,2))&lt;1,ROUND(AY267*(1+'Calc base'!M268),2),MAX('Calc base'!H$12,ROUND('Calc base'!H$13*AY267,2))))</f>
        <v>0</v>
      </c>
      <c r="P268">
        <f>IF(AZ267&lt;=0,0,IF(ROUND(AZ267*(1+'Calc base'!N268),2)-MAX('Calc base'!I$12,ROUND('Calc base'!I$13*AZ267,2))&lt;1,ROUND(AZ267*(1+'Calc base'!N268),2),MAX('Calc base'!I$12,ROUND('Calc base'!I$13*AZ267,2))))</f>
        <v>0</v>
      </c>
      <c r="Q268">
        <f>IF(BA267&lt;=0,0,IF(ROUND(BA267*(1+'Calc base'!O268),2)-MAX('Calc base'!J$12,ROUND('Calc base'!J$13*BA267,2))&lt;1,ROUND(BA267*(1+'Calc base'!O268),2),MAX('Calc base'!J$12,ROUND('Calc base'!J$13*BA267,2))))</f>
        <v>0</v>
      </c>
      <c r="R268">
        <f>IF(BB267&lt;=0,0,IF(ROUND(BB267*(1+'Calc base'!P268),2)-MAX('Calc base'!K$12,ROUND('Calc base'!K$13*BB267,2))&lt;1,ROUND(BB267*(1+'Calc base'!P268),2),MAX('Calc base'!K$12,ROUND('Calc base'!K$13*BB267,2))))</f>
        <v>0</v>
      </c>
      <c r="S268">
        <f>IF(BC267&lt;=0,0,IF(ROUND(BC267*(1+'Calc base'!Q268),2)-MAX('Calc base'!L$12,ROUND('Calc base'!L$13*BC267,2))&lt;1,ROUND(BC267*(1+'Calc base'!Q268),2),MAX('Calc base'!L$12,ROUND('Calc base'!L$13*BC267,2))))</f>
        <v>0</v>
      </c>
      <c r="T268">
        <f>IF(BD267&lt;=0,0,IF(ROUND(BD267*(1+'Calc base'!R268),2)-MAX('Calc base'!M$12,ROUND('Calc base'!M$13*BD267,2))&lt;1,ROUND(BD267*(1+'Calc base'!R268),2),MAX('Calc base'!M$12,ROUND('Calc base'!M$13*BD267,2))))</f>
        <v>0</v>
      </c>
      <c r="U268">
        <f>IF(BE267&lt;=0,0,IF(ROUND(BE267*(1+'Calc base'!S268),2)-MAX('Calc base'!N$12,ROUND('Calc base'!N$13*BE267,2))&lt;1,ROUND(BE267*(1+'Calc base'!S268),2),MAX('Calc base'!N$12,ROUND('Calc base'!N$13*BE267,2))))</f>
        <v>0</v>
      </c>
      <c r="V268">
        <f>MAX(0,ROUND(AT267*(1+'Calc base'!H268),2)-J268-'Calc base'!T268)</f>
        <v>0</v>
      </c>
      <c r="W268">
        <f>MAX(0,ROUND(AU267*(1+'Calc base'!I268),2)-K268-'Calc base'!U268)</f>
        <v>0</v>
      </c>
      <c r="X268">
        <f>MAX(0,ROUND(AV267*(1+'Calc base'!J268),2)-L268-'Calc base'!V268)</f>
        <v>0</v>
      </c>
      <c r="Y268">
        <f>MAX(0,ROUND(AW267*(1+'Calc base'!K268),2)-M268-'Calc base'!W268)</f>
        <v>0</v>
      </c>
      <c r="Z268">
        <f>MAX(0,ROUND(AX267*(1+'Calc base'!L268),2)-N268-'Calc base'!X268)</f>
        <v>0</v>
      </c>
      <c r="AA268">
        <f>MAX(0,ROUND(AY267*(1+'Calc base'!M268),2)-O268-'Calc base'!Y268)</f>
        <v>0</v>
      </c>
      <c r="AB268">
        <f>MAX(0,ROUND(AZ267*(1+'Calc base'!N268),2)-P268-'Calc base'!Z268)</f>
        <v>0</v>
      </c>
      <c r="AC268">
        <f>MAX(0,ROUND(BA267*(1+'Calc base'!O268),2)-Q268-'Calc base'!AA268)</f>
        <v>0</v>
      </c>
      <c r="AD268">
        <f>MAX(0,ROUND(BB267*(1+'Calc base'!P268),2)-R268-'Calc base'!AB268)</f>
        <v>0</v>
      </c>
      <c r="AE268">
        <f>MAX(0,ROUND(BC267*(1+'Calc base'!Q268),2)-S268-'Calc base'!AC268)</f>
        <v>0</v>
      </c>
      <c r="AF268">
        <f>MAX(0,ROUND(BD267*(1+'Calc base'!R268),2)-T268-'Calc base'!AD268)</f>
        <v>0</v>
      </c>
      <c r="AG268">
        <f>MAX(0,ROUND(BE267*(1+'Calc base'!S268),2)-U268-'Calc base'!AE268)</f>
        <v>0</v>
      </c>
      <c r="AH268">
        <f>IF('Calc base'!C$14=0,0,MIN(V268,MAX(0,$E268-SUMPRODUCT($V268:$AG268,'Calc base'!$C$14:$N$14,('Calc base'!$H268:$S268&gt;'Calc base'!H268)+('Calc base'!$H268:$S268='Calc base'!H268)*('Calc base'!$C$17:$N$17&lt;'Calc base'!C$17)))))</f>
        <v>0</v>
      </c>
      <c r="AI268">
        <f>IF('Calc base'!D$14=0,0,MIN(W268,MAX(0,$E268-SUMPRODUCT($V268:$AG268,'Calc base'!$C$14:$N$14,('Calc base'!$H268:$S268&gt;'Calc base'!I268)+('Calc base'!$H268:$S268='Calc base'!I268)*('Calc base'!$C$17:$N$17&lt;'Calc base'!D$17)))))</f>
        <v>0</v>
      </c>
      <c r="AJ268">
        <f>IF('Calc base'!E$14=0,0,MIN(X268,MAX(0,$E268-SUMPRODUCT($V268:$AG268,'Calc base'!$C$14:$N$14,('Calc base'!$H268:$S268&gt;'Calc base'!J268)+('Calc base'!$H268:$S268='Calc base'!J268)*('Calc base'!$C$17:$N$17&lt;'Calc base'!E$17)))))</f>
        <v>0</v>
      </c>
      <c r="AK268">
        <f>IF('Calc base'!F$14=0,0,MIN(Y268,MAX(0,$E268-SUMPRODUCT($V268:$AG268,'Calc base'!$C$14:$N$14,('Calc base'!$H268:$S268&gt;'Calc base'!K268)+('Calc base'!$H268:$S268='Calc base'!K268)*('Calc base'!$C$17:$N$17&lt;'Calc base'!F$17)))))</f>
        <v>0</v>
      </c>
      <c r="AL268">
        <f>IF('Calc base'!G$14=0,0,MIN(Z268,MAX(0,$E268-SUMPRODUCT($V268:$AG268,'Calc base'!$C$14:$N$14,('Calc base'!$H268:$S268&gt;'Calc base'!L268)+('Calc base'!$H268:$S268='Calc base'!L268)*('Calc base'!$C$17:$N$17&lt;'Calc base'!G$17)))))</f>
        <v>0</v>
      </c>
      <c r="AM268">
        <f>IF('Calc base'!H$14=0,0,MIN(AA268,MAX(0,$E268-SUMPRODUCT($V268:$AG268,'Calc base'!$C$14:$N$14,('Calc base'!$H268:$S268&gt;'Calc base'!M268)+('Calc base'!$H268:$S268='Calc base'!M268)*('Calc base'!$C$17:$N$17&lt;'Calc base'!H$17)))))</f>
        <v>0</v>
      </c>
      <c r="AN268">
        <f>IF('Calc base'!I$14=0,0,MIN(AB268,MAX(0,$E268-SUMPRODUCT($V268:$AG268,'Calc base'!$C$14:$N$14,('Calc base'!$H268:$S268&gt;'Calc base'!N268)+('Calc base'!$H268:$S268='Calc base'!N268)*('Calc base'!$C$17:$N$17&lt;'Calc base'!I$17)))))</f>
        <v>0</v>
      </c>
      <c r="AO268">
        <f>IF('Calc base'!J$14=0,0,MIN(AC268,MAX(0,$E268-SUMPRODUCT($V268:$AG268,'Calc base'!$C$14:$N$14,('Calc base'!$H268:$S268&gt;'Calc base'!O268)+('Calc base'!$H268:$S268='Calc base'!O268)*('Calc base'!$C$17:$N$17&lt;'Calc base'!J$17)))))</f>
        <v>0</v>
      </c>
      <c r="AP268">
        <f>IF('Calc base'!K$14=0,0,MIN(AD268,MAX(0,$E268-SUMPRODUCT($V268:$AG268,'Calc base'!$C$14:$N$14,('Calc base'!$H268:$S268&gt;'Calc base'!P268)+('Calc base'!$H268:$S268='Calc base'!P268)*('Calc base'!$C$17:$N$17&lt;'Calc base'!K$17)))))</f>
        <v>0</v>
      </c>
      <c r="AQ268">
        <f>IF('Calc base'!L$14=0,0,MIN(AE268,MAX(0,$E268-SUMPRODUCT($V268:$AG268,'Calc base'!$C$14:$N$14,('Calc base'!$H268:$S268&gt;'Calc base'!Q268)+('Calc base'!$H268:$S268='Calc base'!Q268)*('Calc base'!$C$17:$N$17&lt;'Calc base'!L$17)))))</f>
        <v>0</v>
      </c>
      <c r="AR268">
        <f>IF('Calc base'!M$14=0,0,MIN(AF268,MAX(0,$E268-SUMPRODUCT($V268:$AG268,'Calc base'!$C$14:$N$14,('Calc base'!$H268:$S268&gt;'Calc base'!R268)+('Calc base'!$H268:$S268='Calc base'!R268)*('Calc base'!$C$17:$N$17&lt;'Calc base'!M$17)))))</f>
        <v>0</v>
      </c>
      <c r="AS268">
        <f>IF('Calc base'!N$14=0,0,MIN(AG268,MAX(0,$E268-SUMPRODUCT($V268:$AG268,'Calc base'!$C$14:$N$14,('Calc base'!$H268:$S268&gt;'Calc base'!S268)+('Calc base'!$H268:$S268='Calc base'!S268)*('Calc base'!$C$17:$N$17&lt;'Calc base'!N$17)))))</f>
        <v>0</v>
      </c>
      <c r="AT268">
        <f>V268-AH268</f>
        <v>0</v>
      </c>
      <c r="AU268">
        <f>W268-AI268</f>
        <v>0</v>
      </c>
      <c r="AV268">
        <f>X268-AJ268</f>
        <v>0</v>
      </c>
      <c r="AW268">
        <f>Y268-AK268</f>
        <v>0</v>
      </c>
      <c r="AX268">
        <f>Z268-AL268</f>
        <v>0</v>
      </c>
      <c r="AY268">
        <f>AA268-AM268</f>
        <v>0</v>
      </c>
      <c r="AZ268">
        <f>AB268-AN268</f>
        <v>0</v>
      </c>
      <c r="BA268">
        <f>AC268-AO268</f>
        <v>0</v>
      </c>
      <c r="BB268">
        <f>AD268-AP268</f>
        <v>0</v>
      </c>
      <c r="BC268">
        <f>AE268-AQ268</f>
        <v>0</v>
      </c>
      <c r="BD268">
        <f>AF268-AR268</f>
        <v>0</v>
      </c>
      <c r="BE268">
        <f>AG268-AS268</f>
        <v>0</v>
      </c>
    </row>
    <row r="269">
      <c r="A269" t="n">
        <v>239</v>
      </c>
      <c r="B269">
        <f>SUMPRODUCT(ROUND($AT268:$BE268*(1+'Calc base'!$H269:$S269),2))</f>
        <v>0</v>
      </c>
      <c r="C269">
        <f>SUM(J269:U269)</f>
        <v>0</v>
      </c>
      <c r="D269">
        <f>SUM(V269:AG269)</f>
        <v>0</v>
      </c>
      <c r="E269">
        <f>MAX(0,IF(Impostazioni!$B$7="No",'Calc base'!$C269-$C$31,'Calc base'!$C269-C269)+'Calc base'!$G269+'Calc base'!$F269-(B269-C269-D269))</f>
        <v>900</v>
      </c>
      <c r="F269">
        <f>SUM(AH269:AS269)</f>
        <v>0</v>
      </c>
      <c r="G269">
        <f>SUM(AT269:BE269)</f>
        <v>0</v>
      </c>
      <c r="H269">
        <f>B269-G268</f>
        <v>0</v>
      </c>
      <c r="I269">
        <f>B269-G269</f>
        <v>0</v>
      </c>
      <c r="J269">
        <f>IF(AT268&lt;=0,0,IF(ROUND(AT268*(1+'Calc base'!H269),2)-MAX('Calc base'!C$12,ROUND('Calc base'!C$13*AT268,2))&lt;1,ROUND(AT268*(1+'Calc base'!H269),2),MAX('Calc base'!C$12,ROUND('Calc base'!C$13*AT268,2))))</f>
        <v>0</v>
      </c>
      <c r="K269">
        <f>IF(AU268&lt;=0,0,IF(ROUND(AU268*(1+'Calc base'!I269),2)-MAX('Calc base'!D$12,ROUND('Calc base'!D$13*AU268,2))&lt;1,ROUND(AU268*(1+'Calc base'!I269),2),MAX('Calc base'!D$12,ROUND('Calc base'!D$13*AU268,2))))</f>
        <v>0</v>
      </c>
      <c r="L269">
        <f>IF(AV268&lt;=0,0,IF(ROUND(AV268*(1+'Calc base'!J269),2)-MAX('Calc base'!E$12,ROUND('Calc base'!E$13*AV268,2))&lt;1,ROUND(AV268*(1+'Calc base'!J269),2),MAX('Calc base'!E$12,ROUND('Calc base'!E$13*AV268,2))))</f>
        <v>0</v>
      </c>
      <c r="M269">
        <f>IF(AW268&lt;=0,0,IF(ROUND(AW268*(1+'Calc base'!K269),2)-MAX('Calc base'!F$12,ROUND('Calc base'!F$13*AW268,2))&lt;1,ROUND(AW268*(1+'Calc base'!K269),2),MAX('Calc base'!F$12,ROUND('Calc base'!F$13*AW268,2))))</f>
        <v>0</v>
      </c>
      <c r="N269">
        <f>IF(AX268&lt;=0,0,IF(ROUND(AX268*(1+'Calc base'!L269),2)-MAX('Calc base'!G$12,ROUND('Calc base'!G$13*AX268,2))&lt;1,ROUND(AX268*(1+'Calc base'!L269),2),MAX('Calc base'!G$12,ROUND('Calc base'!G$13*AX268,2))))</f>
        <v>0</v>
      </c>
      <c r="O269">
        <f>IF(AY268&lt;=0,0,IF(ROUND(AY268*(1+'Calc base'!M269),2)-MAX('Calc base'!H$12,ROUND('Calc base'!H$13*AY268,2))&lt;1,ROUND(AY268*(1+'Calc base'!M269),2),MAX('Calc base'!H$12,ROUND('Calc base'!H$13*AY268,2))))</f>
        <v>0</v>
      </c>
      <c r="P269">
        <f>IF(AZ268&lt;=0,0,IF(ROUND(AZ268*(1+'Calc base'!N269),2)-MAX('Calc base'!I$12,ROUND('Calc base'!I$13*AZ268,2))&lt;1,ROUND(AZ268*(1+'Calc base'!N269),2),MAX('Calc base'!I$12,ROUND('Calc base'!I$13*AZ268,2))))</f>
        <v>0</v>
      </c>
      <c r="Q269">
        <f>IF(BA268&lt;=0,0,IF(ROUND(BA268*(1+'Calc base'!O269),2)-MAX('Calc base'!J$12,ROUND('Calc base'!J$13*BA268,2))&lt;1,ROUND(BA268*(1+'Calc base'!O269),2),MAX('Calc base'!J$12,ROUND('Calc base'!J$13*BA268,2))))</f>
        <v>0</v>
      </c>
      <c r="R269">
        <f>IF(BB268&lt;=0,0,IF(ROUND(BB268*(1+'Calc base'!P269),2)-MAX('Calc base'!K$12,ROUND('Calc base'!K$13*BB268,2))&lt;1,ROUND(BB268*(1+'Calc base'!P269),2),MAX('Calc base'!K$12,ROUND('Calc base'!K$13*BB268,2))))</f>
        <v>0</v>
      </c>
      <c r="S269">
        <f>IF(BC268&lt;=0,0,IF(ROUND(BC268*(1+'Calc base'!Q269),2)-MAX('Calc base'!L$12,ROUND('Calc base'!L$13*BC268,2))&lt;1,ROUND(BC268*(1+'Calc base'!Q269),2),MAX('Calc base'!L$12,ROUND('Calc base'!L$13*BC268,2))))</f>
        <v>0</v>
      </c>
      <c r="T269">
        <f>IF(BD268&lt;=0,0,IF(ROUND(BD268*(1+'Calc base'!R269),2)-MAX('Calc base'!M$12,ROUND('Calc base'!M$13*BD268,2))&lt;1,ROUND(BD268*(1+'Calc base'!R269),2),MAX('Calc base'!M$12,ROUND('Calc base'!M$13*BD268,2))))</f>
        <v>0</v>
      </c>
      <c r="U269">
        <f>IF(BE268&lt;=0,0,IF(ROUND(BE268*(1+'Calc base'!S269),2)-MAX('Calc base'!N$12,ROUND('Calc base'!N$13*BE268,2))&lt;1,ROUND(BE268*(1+'Calc base'!S269),2),MAX('Calc base'!N$12,ROUND('Calc base'!N$13*BE268,2))))</f>
        <v>0</v>
      </c>
      <c r="V269">
        <f>MAX(0,ROUND(AT268*(1+'Calc base'!H269),2)-J269-'Calc base'!T269)</f>
        <v>0</v>
      </c>
      <c r="W269">
        <f>MAX(0,ROUND(AU268*(1+'Calc base'!I269),2)-K269-'Calc base'!U269)</f>
        <v>0</v>
      </c>
      <c r="X269">
        <f>MAX(0,ROUND(AV268*(1+'Calc base'!J269),2)-L269-'Calc base'!V269)</f>
        <v>0</v>
      </c>
      <c r="Y269">
        <f>MAX(0,ROUND(AW268*(1+'Calc base'!K269),2)-M269-'Calc base'!W269)</f>
        <v>0</v>
      </c>
      <c r="Z269">
        <f>MAX(0,ROUND(AX268*(1+'Calc base'!L269),2)-N269-'Calc base'!X269)</f>
        <v>0</v>
      </c>
      <c r="AA269">
        <f>MAX(0,ROUND(AY268*(1+'Calc base'!M269),2)-O269-'Calc base'!Y269)</f>
        <v>0</v>
      </c>
      <c r="AB269">
        <f>MAX(0,ROUND(AZ268*(1+'Calc base'!N269),2)-P269-'Calc base'!Z269)</f>
        <v>0</v>
      </c>
      <c r="AC269">
        <f>MAX(0,ROUND(BA268*(1+'Calc base'!O269),2)-Q269-'Calc base'!AA269)</f>
        <v>0</v>
      </c>
      <c r="AD269">
        <f>MAX(0,ROUND(BB268*(1+'Calc base'!P269),2)-R269-'Calc base'!AB269)</f>
        <v>0</v>
      </c>
      <c r="AE269">
        <f>MAX(0,ROUND(BC268*(1+'Calc base'!Q269),2)-S269-'Calc base'!AC269)</f>
        <v>0</v>
      </c>
      <c r="AF269">
        <f>MAX(0,ROUND(BD268*(1+'Calc base'!R269),2)-T269-'Calc base'!AD269)</f>
        <v>0</v>
      </c>
      <c r="AG269">
        <f>MAX(0,ROUND(BE268*(1+'Calc base'!S269),2)-U269-'Calc base'!AE269)</f>
        <v>0</v>
      </c>
      <c r="AH269">
        <f>IF('Calc base'!C$14=0,0,MIN(V269,MAX(0,$E269-SUMPRODUCT($V269:$AG269,'Calc base'!$C$14:$N$14,('Calc base'!$H269:$S269&gt;'Calc base'!H269)+('Calc base'!$H269:$S269='Calc base'!H269)*('Calc base'!$C$17:$N$17&lt;'Calc base'!C$17)))))</f>
        <v>0</v>
      </c>
      <c r="AI269">
        <f>IF('Calc base'!D$14=0,0,MIN(W269,MAX(0,$E269-SUMPRODUCT($V269:$AG269,'Calc base'!$C$14:$N$14,('Calc base'!$H269:$S269&gt;'Calc base'!I269)+('Calc base'!$H269:$S269='Calc base'!I269)*('Calc base'!$C$17:$N$17&lt;'Calc base'!D$17)))))</f>
        <v>0</v>
      </c>
      <c r="AJ269">
        <f>IF('Calc base'!E$14=0,0,MIN(X269,MAX(0,$E269-SUMPRODUCT($V269:$AG269,'Calc base'!$C$14:$N$14,('Calc base'!$H269:$S269&gt;'Calc base'!J269)+('Calc base'!$H269:$S269='Calc base'!J269)*('Calc base'!$C$17:$N$17&lt;'Calc base'!E$17)))))</f>
        <v>0</v>
      </c>
      <c r="AK269">
        <f>IF('Calc base'!F$14=0,0,MIN(Y269,MAX(0,$E269-SUMPRODUCT($V269:$AG269,'Calc base'!$C$14:$N$14,('Calc base'!$H269:$S269&gt;'Calc base'!K269)+('Calc base'!$H269:$S269='Calc base'!K269)*('Calc base'!$C$17:$N$17&lt;'Calc base'!F$17)))))</f>
        <v>0</v>
      </c>
      <c r="AL269">
        <f>IF('Calc base'!G$14=0,0,MIN(Z269,MAX(0,$E269-SUMPRODUCT($V269:$AG269,'Calc base'!$C$14:$N$14,('Calc base'!$H269:$S269&gt;'Calc base'!L269)+('Calc base'!$H269:$S269='Calc base'!L269)*('Calc base'!$C$17:$N$17&lt;'Calc base'!G$17)))))</f>
        <v>0</v>
      </c>
      <c r="AM269">
        <f>IF('Calc base'!H$14=0,0,MIN(AA269,MAX(0,$E269-SUMPRODUCT($V269:$AG269,'Calc base'!$C$14:$N$14,('Calc base'!$H269:$S269&gt;'Calc base'!M269)+('Calc base'!$H269:$S269='Calc base'!M269)*('Calc base'!$C$17:$N$17&lt;'Calc base'!H$17)))))</f>
        <v>0</v>
      </c>
      <c r="AN269">
        <f>IF('Calc base'!I$14=0,0,MIN(AB269,MAX(0,$E269-SUMPRODUCT($V269:$AG269,'Calc base'!$C$14:$N$14,('Calc base'!$H269:$S269&gt;'Calc base'!N269)+('Calc base'!$H269:$S269='Calc base'!N269)*('Calc base'!$C$17:$N$17&lt;'Calc base'!I$17)))))</f>
        <v>0</v>
      </c>
      <c r="AO269">
        <f>IF('Calc base'!J$14=0,0,MIN(AC269,MAX(0,$E269-SUMPRODUCT($V269:$AG269,'Calc base'!$C$14:$N$14,('Calc base'!$H269:$S269&gt;'Calc base'!O269)+('Calc base'!$H269:$S269='Calc base'!O269)*('Calc base'!$C$17:$N$17&lt;'Calc base'!J$17)))))</f>
        <v>0</v>
      </c>
      <c r="AP269">
        <f>IF('Calc base'!K$14=0,0,MIN(AD269,MAX(0,$E269-SUMPRODUCT($V269:$AG269,'Calc base'!$C$14:$N$14,('Calc base'!$H269:$S269&gt;'Calc base'!P269)+('Calc base'!$H269:$S269='Calc base'!P269)*('Calc base'!$C$17:$N$17&lt;'Calc base'!K$17)))))</f>
        <v>0</v>
      </c>
      <c r="AQ269">
        <f>IF('Calc base'!L$14=0,0,MIN(AE269,MAX(0,$E269-SUMPRODUCT($V269:$AG269,'Calc base'!$C$14:$N$14,('Calc base'!$H269:$S269&gt;'Calc base'!Q269)+('Calc base'!$H269:$S269='Calc base'!Q269)*('Calc base'!$C$17:$N$17&lt;'Calc base'!L$17)))))</f>
        <v>0</v>
      </c>
      <c r="AR269">
        <f>IF('Calc base'!M$14=0,0,MIN(AF269,MAX(0,$E269-SUMPRODUCT($V269:$AG269,'Calc base'!$C$14:$N$14,('Calc base'!$H269:$S269&gt;'Calc base'!R269)+('Calc base'!$H269:$S269='Calc base'!R269)*('Calc base'!$C$17:$N$17&lt;'Calc base'!M$17)))))</f>
        <v>0</v>
      </c>
      <c r="AS269">
        <f>IF('Calc base'!N$14=0,0,MIN(AG269,MAX(0,$E269-SUMPRODUCT($V269:$AG269,'Calc base'!$C$14:$N$14,('Calc base'!$H269:$S269&gt;'Calc base'!S269)+('Calc base'!$H269:$S269='Calc base'!S269)*('Calc base'!$C$17:$N$17&lt;'Calc base'!N$17)))))</f>
        <v>0</v>
      </c>
      <c r="AT269">
        <f>V269-AH269</f>
        <v>0</v>
      </c>
      <c r="AU269">
        <f>W269-AI269</f>
        <v>0</v>
      </c>
      <c r="AV269">
        <f>X269-AJ269</f>
        <v>0</v>
      </c>
      <c r="AW269">
        <f>Y269-AK269</f>
        <v>0</v>
      </c>
      <c r="AX269">
        <f>Z269-AL269</f>
        <v>0</v>
      </c>
      <c r="AY269">
        <f>AA269-AM269</f>
        <v>0</v>
      </c>
      <c r="AZ269">
        <f>AB269-AN269</f>
        <v>0</v>
      </c>
      <c r="BA269">
        <f>AC269-AO269</f>
        <v>0</v>
      </c>
      <c r="BB269">
        <f>AD269-AP269</f>
        <v>0</v>
      </c>
      <c r="BC269">
        <f>AE269-AQ269</f>
        <v>0</v>
      </c>
      <c r="BD269">
        <f>AF269-AR269</f>
        <v>0</v>
      </c>
      <c r="BE269">
        <f>AG269-AS269</f>
        <v>0</v>
      </c>
    </row>
    <row r="270">
      <c r="A270" t="n">
        <v>240</v>
      </c>
      <c r="B270">
        <f>SUMPRODUCT(ROUND($AT269:$BE269*(1+'Calc base'!$H270:$S270),2))</f>
        <v>0</v>
      </c>
      <c r="C270">
        <f>SUM(J270:U270)</f>
        <v>0</v>
      </c>
      <c r="D270">
        <f>SUM(V270:AG270)</f>
        <v>0</v>
      </c>
      <c r="E270">
        <f>MAX(0,IF(Impostazioni!$B$7="No",'Calc base'!$C270-$C$31,'Calc base'!$C270-C270)+'Calc base'!$G270+'Calc base'!$F270-(B270-C270-D270))</f>
        <v>900</v>
      </c>
      <c r="F270">
        <f>SUM(AH270:AS270)</f>
        <v>0</v>
      </c>
      <c r="G270">
        <f>SUM(AT270:BE270)</f>
        <v>0</v>
      </c>
      <c r="H270">
        <f>B270-G269</f>
        <v>0</v>
      </c>
      <c r="I270">
        <f>B270-G270</f>
        <v>0</v>
      </c>
      <c r="J270">
        <f>IF(AT269&lt;=0,0,IF(ROUND(AT269*(1+'Calc base'!H270),2)-MAX('Calc base'!C$12,ROUND('Calc base'!C$13*AT269,2))&lt;1,ROUND(AT269*(1+'Calc base'!H270),2),MAX('Calc base'!C$12,ROUND('Calc base'!C$13*AT269,2))))</f>
        <v>0</v>
      </c>
      <c r="K270">
        <f>IF(AU269&lt;=0,0,IF(ROUND(AU269*(1+'Calc base'!I270),2)-MAX('Calc base'!D$12,ROUND('Calc base'!D$13*AU269,2))&lt;1,ROUND(AU269*(1+'Calc base'!I270),2),MAX('Calc base'!D$12,ROUND('Calc base'!D$13*AU269,2))))</f>
        <v>0</v>
      </c>
      <c r="L270">
        <f>IF(AV269&lt;=0,0,IF(ROUND(AV269*(1+'Calc base'!J270),2)-MAX('Calc base'!E$12,ROUND('Calc base'!E$13*AV269,2))&lt;1,ROUND(AV269*(1+'Calc base'!J270),2),MAX('Calc base'!E$12,ROUND('Calc base'!E$13*AV269,2))))</f>
        <v>0</v>
      </c>
      <c r="M270">
        <f>IF(AW269&lt;=0,0,IF(ROUND(AW269*(1+'Calc base'!K270),2)-MAX('Calc base'!F$12,ROUND('Calc base'!F$13*AW269,2))&lt;1,ROUND(AW269*(1+'Calc base'!K270),2),MAX('Calc base'!F$12,ROUND('Calc base'!F$13*AW269,2))))</f>
        <v>0</v>
      </c>
      <c r="N270">
        <f>IF(AX269&lt;=0,0,IF(ROUND(AX269*(1+'Calc base'!L270),2)-MAX('Calc base'!G$12,ROUND('Calc base'!G$13*AX269,2))&lt;1,ROUND(AX269*(1+'Calc base'!L270),2),MAX('Calc base'!G$12,ROUND('Calc base'!G$13*AX269,2))))</f>
        <v>0</v>
      </c>
      <c r="O270">
        <f>IF(AY269&lt;=0,0,IF(ROUND(AY269*(1+'Calc base'!M270),2)-MAX('Calc base'!H$12,ROUND('Calc base'!H$13*AY269,2))&lt;1,ROUND(AY269*(1+'Calc base'!M270),2),MAX('Calc base'!H$12,ROUND('Calc base'!H$13*AY269,2))))</f>
        <v>0</v>
      </c>
      <c r="P270">
        <f>IF(AZ269&lt;=0,0,IF(ROUND(AZ269*(1+'Calc base'!N270),2)-MAX('Calc base'!I$12,ROUND('Calc base'!I$13*AZ269,2))&lt;1,ROUND(AZ269*(1+'Calc base'!N270),2),MAX('Calc base'!I$12,ROUND('Calc base'!I$13*AZ269,2))))</f>
        <v>0</v>
      </c>
      <c r="Q270">
        <f>IF(BA269&lt;=0,0,IF(ROUND(BA269*(1+'Calc base'!O270),2)-MAX('Calc base'!J$12,ROUND('Calc base'!J$13*BA269,2))&lt;1,ROUND(BA269*(1+'Calc base'!O270),2),MAX('Calc base'!J$12,ROUND('Calc base'!J$13*BA269,2))))</f>
        <v>0</v>
      </c>
      <c r="R270">
        <f>IF(BB269&lt;=0,0,IF(ROUND(BB269*(1+'Calc base'!P270),2)-MAX('Calc base'!K$12,ROUND('Calc base'!K$13*BB269,2))&lt;1,ROUND(BB269*(1+'Calc base'!P270),2),MAX('Calc base'!K$12,ROUND('Calc base'!K$13*BB269,2))))</f>
        <v>0</v>
      </c>
      <c r="S270">
        <f>IF(BC269&lt;=0,0,IF(ROUND(BC269*(1+'Calc base'!Q270),2)-MAX('Calc base'!L$12,ROUND('Calc base'!L$13*BC269,2))&lt;1,ROUND(BC269*(1+'Calc base'!Q270),2),MAX('Calc base'!L$12,ROUND('Calc base'!L$13*BC269,2))))</f>
        <v>0</v>
      </c>
      <c r="T270">
        <f>IF(BD269&lt;=0,0,IF(ROUND(BD269*(1+'Calc base'!R270),2)-MAX('Calc base'!M$12,ROUND('Calc base'!M$13*BD269,2))&lt;1,ROUND(BD269*(1+'Calc base'!R270),2),MAX('Calc base'!M$12,ROUND('Calc base'!M$13*BD269,2))))</f>
        <v>0</v>
      </c>
      <c r="U270">
        <f>IF(BE269&lt;=0,0,IF(ROUND(BE269*(1+'Calc base'!S270),2)-MAX('Calc base'!N$12,ROUND('Calc base'!N$13*BE269,2))&lt;1,ROUND(BE269*(1+'Calc base'!S270),2),MAX('Calc base'!N$12,ROUND('Calc base'!N$13*BE269,2))))</f>
        <v>0</v>
      </c>
      <c r="V270">
        <f>MAX(0,ROUND(AT269*(1+'Calc base'!H270),2)-J270-'Calc base'!T270)</f>
        <v>0</v>
      </c>
      <c r="W270">
        <f>MAX(0,ROUND(AU269*(1+'Calc base'!I270),2)-K270-'Calc base'!U270)</f>
        <v>0</v>
      </c>
      <c r="X270">
        <f>MAX(0,ROUND(AV269*(1+'Calc base'!J270),2)-L270-'Calc base'!V270)</f>
        <v>0</v>
      </c>
      <c r="Y270">
        <f>MAX(0,ROUND(AW269*(1+'Calc base'!K270),2)-M270-'Calc base'!W270)</f>
        <v>0</v>
      </c>
      <c r="Z270">
        <f>MAX(0,ROUND(AX269*(1+'Calc base'!L270),2)-N270-'Calc base'!X270)</f>
        <v>0</v>
      </c>
      <c r="AA270">
        <f>MAX(0,ROUND(AY269*(1+'Calc base'!M270),2)-O270-'Calc base'!Y270)</f>
        <v>0</v>
      </c>
      <c r="AB270">
        <f>MAX(0,ROUND(AZ269*(1+'Calc base'!N270),2)-P270-'Calc base'!Z270)</f>
        <v>0</v>
      </c>
      <c r="AC270">
        <f>MAX(0,ROUND(BA269*(1+'Calc base'!O270),2)-Q270-'Calc base'!AA270)</f>
        <v>0</v>
      </c>
      <c r="AD270">
        <f>MAX(0,ROUND(BB269*(1+'Calc base'!P270),2)-R270-'Calc base'!AB270)</f>
        <v>0</v>
      </c>
      <c r="AE270">
        <f>MAX(0,ROUND(BC269*(1+'Calc base'!Q270),2)-S270-'Calc base'!AC270)</f>
        <v>0</v>
      </c>
      <c r="AF270">
        <f>MAX(0,ROUND(BD269*(1+'Calc base'!R270),2)-T270-'Calc base'!AD270)</f>
        <v>0</v>
      </c>
      <c r="AG270">
        <f>MAX(0,ROUND(BE269*(1+'Calc base'!S270),2)-U270-'Calc base'!AE270)</f>
        <v>0</v>
      </c>
      <c r="AH270">
        <f>IF('Calc base'!C$14=0,0,MIN(V270,MAX(0,$E270-SUMPRODUCT($V270:$AG270,'Calc base'!$C$14:$N$14,('Calc base'!$H270:$S270&gt;'Calc base'!H270)+('Calc base'!$H270:$S270='Calc base'!H270)*('Calc base'!$C$17:$N$17&lt;'Calc base'!C$17)))))</f>
        <v>0</v>
      </c>
      <c r="AI270">
        <f>IF('Calc base'!D$14=0,0,MIN(W270,MAX(0,$E270-SUMPRODUCT($V270:$AG270,'Calc base'!$C$14:$N$14,('Calc base'!$H270:$S270&gt;'Calc base'!I270)+('Calc base'!$H270:$S270='Calc base'!I270)*('Calc base'!$C$17:$N$17&lt;'Calc base'!D$17)))))</f>
        <v>0</v>
      </c>
      <c r="AJ270">
        <f>IF('Calc base'!E$14=0,0,MIN(X270,MAX(0,$E270-SUMPRODUCT($V270:$AG270,'Calc base'!$C$14:$N$14,('Calc base'!$H270:$S270&gt;'Calc base'!J270)+('Calc base'!$H270:$S270='Calc base'!J270)*('Calc base'!$C$17:$N$17&lt;'Calc base'!E$17)))))</f>
        <v>0</v>
      </c>
      <c r="AK270">
        <f>IF('Calc base'!F$14=0,0,MIN(Y270,MAX(0,$E270-SUMPRODUCT($V270:$AG270,'Calc base'!$C$14:$N$14,('Calc base'!$H270:$S270&gt;'Calc base'!K270)+('Calc base'!$H270:$S270='Calc base'!K270)*('Calc base'!$C$17:$N$17&lt;'Calc base'!F$17)))))</f>
        <v>0</v>
      </c>
      <c r="AL270">
        <f>IF('Calc base'!G$14=0,0,MIN(Z270,MAX(0,$E270-SUMPRODUCT($V270:$AG270,'Calc base'!$C$14:$N$14,('Calc base'!$H270:$S270&gt;'Calc base'!L270)+('Calc base'!$H270:$S270='Calc base'!L270)*('Calc base'!$C$17:$N$17&lt;'Calc base'!G$17)))))</f>
        <v>0</v>
      </c>
      <c r="AM270">
        <f>IF('Calc base'!H$14=0,0,MIN(AA270,MAX(0,$E270-SUMPRODUCT($V270:$AG270,'Calc base'!$C$14:$N$14,('Calc base'!$H270:$S270&gt;'Calc base'!M270)+('Calc base'!$H270:$S270='Calc base'!M270)*('Calc base'!$C$17:$N$17&lt;'Calc base'!H$17)))))</f>
        <v>0</v>
      </c>
      <c r="AN270">
        <f>IF('Calc base'!I$14=0,0,MIN(AB270,MAX(0,$E270-SUMPRODUCT($V270:$AG270,'Calc base'!$C$14:$N$14,('Calc base'!$H270:$S270&gt;'Calc base'!N270)+('Calc base'!$H270:$S270='Calc base'!N270)*('Calc base'!$C$17:$N$17&lt;'Calc base'!I$17)))))</f>
        <v>0</v>
      </c>
      <c r="AO270">
        <f>IF('Calc base'!J$14=0,0,MIN(AC270,MAX(0,$E270-SUMPRODUCT($V270:$AG270,'Calc base'!$C$14:$N$14,('Calc base'!$H270:$S270&gt;'Calc base'!O270)+('Calc base'!$H270:$S270='Calc base'!O270)*('Calc base'!$C$17:$N$17&lt;'Calc base'!J$17)))))</f>
        <v>0</v>
      </c>
      <c r="AP270">
        <f>IF('Calc base'!K$14=0,0,MIN(AD270,MAX(0,$E270-SUMPRODUCT($V270:$AG270,'Calc base'!$C$14:$N$14,('Calc base'!$H270:$S270&gt;'Calc base'!P270)+('Calc base'!$H270:$S270='Calc base'!P270)*('Calc base'!$C$17:$N$17&lt;'Calc base'!K$17)))))</f>
        <v>0</v>
      </c>
      <c r="AQ270">
        <f>IF('Calc base'!L$14=0,0,MIN(AE270,MAX(0,$E270-SUMPRODUCT($V270:$AG270,'Calc base'!$C$14:$N$14,('Calc base'!$H270:$S270&gt;'Calc base'!Q270)+('Calc base'!$H270:$S270='Calc base'!Q270)*('Calc base'!$C$17:$N$17&lt;'Calc base'!L$17)))))</f>
        <v>0</v>
      </c>
      <c r="AR270">
        <f>IF('Calc base'!M$14=0,0,MIN(AF270,MAX(0,$E270-SUMPRODUCT($V270:$AG270,'Calc base'!$C$14:$N$14,('Calc base'!$H270:$S270&gt;'Calc base'!R270)+('Calc base'!$H270:$S270='Calc base'!R270)*('Calc base'!$C$17:$N$17&lt;'Calc base'!M$17)))))</f>
        <v>0</v>
      </c>
      <c r="AS270">
        <f>IF('Calc base'!N$14=0,0,MIN(AG270,MAX(0,$E270-SUMPRODUCT($V270:$AG270,'Calc base'!$C$14:$N$14,('Calc base'!$H270:$S270&gt;'Calc base'!S270)+('Calc base'!$H270:$S270='Calc base'!S270)*('Calc base'!$C$17:$N$17&lt;'Calc base'!N$17)))))</f>
        <v>0</v>
      </c>
      <c r="AT270">
        <f>V270-AH270</f>
        <v>0</v>
      </c>
      <c r="AU270">
        <f>W270-AI270</f>
        <v>0</v>
      </c>
      <c r="AV270">
        <f>X270-AJ270</f>
        <v>0</v>
      </c>
      <c r="AW270">
        <f>Y270-AK270</f>
        <v>0</v>
      </c>
      <c r="AX270">
        <f>Z270-AL270</f>
        <v>0</v>
      </c>
      <c r="AY270">
        <f>AA270-AM270</f>
        <v>0</v>
      </c>
      <c r="AZ270">
        <f>AB270-AN270</f>
        <v>0</v>
      </c>
      <c r="BA270">
        <f>AC270-AO270</f>
        <v>0</v>
      </c>
      <c r="BB270">
        <f>AD270-AP270</f>
        <v>0</v>
      </c>
      <c r="BC270">
        <f>AE270-AQ270</f>
        <v>0</v>
      </c>
      <c r="BD270">
        <f>AF270-AR270</f>
        <v>0</v>
      </c>
      <c r="BE270">
        <f>AG270-AS270</f>
        <v>0</v>
      </c>
    </row>
    <row r="271">
      <c r="A271" t="n">
        <v>241</v>
      </c>
      <c r="B271">
        <f>SUMPRODUCT(ROUND($AT270:$BE270*(1+'Calc base'!$H271:$S271),2))</f>
        <v>0</v>
      </c>
      <c r="C271">
        <f>SUM(J271:U271)</f>
        <v>0</v>
      </c>
      <c r="D271">
        <f>SUM(V271:AG271)</f>
        <v>0</v>
      </c>
      <c r="E271">
        <f>MAX(0,IF(Impostazioni!$B$7="No",'Calc base'!$C271-$C$31,'Calc base'!$C271-C271)+'Calc base'!$G271+'Calc base'!$F271-(B271-C271-D271))</f>
        <v>900</v>
      </c>
      <c r="F271">
        <f>SUM(AH271:AS271)</f>
        <v>0</v>
      </c>
      <c r="G271">
        <f>SUM(AT271:BE271)</f>
        <v>0</v>
      </c>
      <c r="H271">
        <f>B271-G270</f>
        <v>0</v>
      </c>
      <c r="I271">
        <f>B271-G271</f>
        <v>0</v>
      </c>
      <c r="J271">
        <f>IF(AT270&lt;=0,0,IF(ROUND(AT270*(1+'Calc base'!H271),2)-MAX('Calc base'!C$12,ROUND('Calc base'!C$13*AT270,2))&lt;1,ROUND(AT270*(1+'Calc base'!H271),2),MAX('Calc base'!C$12,ROUND('Calc base'!C$13*AT270,2))))</f>
        <v>0</v>
      </c>
      <c r="K271">
        <f>IF(AU270&lt;=0,0,IF(ROUND(AU270*(1+'Calc base'!I271),2)-MAX('Calc base'!D$12,ROUND('Calc base'!D$13*AU270,2))&lt;1,ROUND(AU270*(1+'Calc base'!I271),2),MAX('Calc base'!D$12,ROUND('Calc base'!D$13*AU270,2))))</f>
        <v>0</v>
      </c>
      <c r="L271">
        <f>IF(AV270&lt;=0,0,IF(ROUND(AV270*(1+'Calc base'!J271),2)-MAX('Calc base'!E$12,ROUND('Calc base'!E$13*AV270,2))&lt;1,ROUND(AV270*(1+'Calc base'!J271),2),MAX('Calc base'!E$12,ROUND('Calc base'!E$13*AV270,2))))</f>
        <v>0</v>
      </c>
      <c r="M271">
        <f>IF(AW270&lt;=0,0,IF(ROUND(AW270*(1+'Calc base'!K271),2)-MAX('Calc base'!F$12,ROUND('Calc base'!F$13*AW270,2))&lt;1,ROUND(AW270*(1+'Calc base'!K271),2),MAX('Calc base'!F$12,ROUND('Calc base'!F$13*AW270,2))))</f>
        <v>0</v>
      </c>
      <c r="N271">
        <f>IF(AX270&lt;=0,0,IF(ROUND(AX270*(1+'Calc base'!L271),2)-MAX('Calc base'!G$12,ROUND('Calc base'!G$13*AX270,2))&lt;1,ROUND(AX270*(1+'Calc base'!L271),2),MAX('Calc base'!G$12,ROUND('Calc base'!G$13*AX270,2))))</f>
        <v>0</v>
      </c>
      <c r="O271">
        <f>IF(AY270&lt;=0,0,IF(ROUND(AY270*(1+'Calc base'!M271),2)-MAX('Calc base'!H$12,ROUND('Calc base'!H$13*AY270,2))&lt;1,ROUND(AY270*(1+'Calc base'!M271),2),MAX('Calc base'!H$12,ROUND('Calc base'!H$13*AY270,2))))</f>
        <v>0</v>
      </c>
      <c r="P271">
        <f>IF(AZ270&lt;=0,0,IF(ROUND(AZ270*(1+'Calc base'!N271),2)-MAX('Calc base'!I$12,ROUND('Calc base'!I$13*AZ270,2))&lt;1,ROUND(AZ270*(1+'Calc base'!N271),2),MAX('Calc base'!I$12,ROUND('Calc base'!I$13*AZ270,2))))</f>
        <v>0</v>
      </c>
      <c r="Q271">
        <f>IF(BA270&lt;=0,0,IF(ROUND(BA270*(1+'Calc base'!O271),2)-MAX('Calc base'!J$12,ROUND('Calc base'!J$13*BA270,2))&lt;1,ROUND(BA270*(1+'Calc base'!O271),2),MAX('Calc base'!J$12,ROUND('Calc base'!J$13*BA270,2))))</f>
        <v>0</v>
      </c>
      <c r="R271">
        <f>IF(BB270&lt;=0,0,IF(ROUND(BB270*(1+'Calc base'!P271),2)-MAX('Calc base'!K$12,ROUND('Calc base'!K$13*BB270,2))&lt;1,ROUND(BB270*(1+'Calc base'!P271),2),MAX('Calc base'!K$12,ROUND('Calc base'!K$13*BB270,2))))</f>
        <v>0</v>
      </c>
      <c r="S271">
        <f>IF(BC270&lt;=0,0,IF(ROUND(BC270*(1+'Calc base'!Q271),2)-MAX('Calc base'!L$12,ROUND('Calc base'!L$13*BC270,2))&lt;1,ROUND(BC270*(1+'Calc base'!Q271),2),MAX('Calc base'!L$12,ROUND('Calc base'!L$13*BC270,2))))</f>
        <v>0</v>
      </c>
      <c r="T271">
        <f>IF(BD270&lt;=0,0,IF(ROUND(BD270*(1+'Calc base'!R271),2)-MAX('Calc base'!M$12,ROUND('Calc base'!M$13*BD270,2))&lt;1,ROUND(BD270*(1+'Calc base'!R271),2),MAX('Calc base'!M$12,ROUND('Calc base'!M$13*BD270,2))))</f>
        <v>0</v>
      </c>
      <c r="U271">
        <f>IF(BE270&lt;=0,0,IF(ROUND(BE270*(1+'Calc base'!S271),2)-MAX('Calc base'!N$12,ROUND('Calc base'!N$13*BE270,2))&lt;1,ROUND(BE270*(1+'Calc base'!S271),2),MAX('Calc base'!N$12,ROUND('Calc base'!N$13*BE270,2))))</f>
        <v>0</v>
      </c>
      <c r="V271">
        <f>MAX(0,ROUND(AT270*(1+'Calc base'!H271),2)-J271-'Calc base'!T271)</f>
        <v>0</v>
      </c>
      <c r="W271">
        <f>MAX(0,ROUND(AU270*(1+'Calc base'!I271),2)-K271-'Calc base'!U271)</f>
        <v>0</v>
      </c>
      <c r="X271">
        <f>MAX(0,ROUND(AV270*(1+'Calc base'!J271),2)-L271-'Calc base'!V271)</f>
        <v>0</v>
      </c>
      <c r="Y271">
        <f>MAX(0,ROUND(AW270*(1+'Calc base'!K271),2)-M271-'Calc base'!W271)</f>
        <v>0</v>
      </c>
      <c r="Z271">
        <f>MAX(0,ROUND(AX270*(1+'Calc base'!L271),2)-N271-'Calc base'!X271)</f>
        <v>0</v>
      </c>
      <c r="AA271">
        <f>MAX(0,ROUND(AY270*(1+'Calc base'!M271),2)-O271-'Calc base'!Y271)</f>
        <v>0</v>
      </c>
      <c r="AB271">
        <f>MAX(0,ROUND(AZ270*(1+'Calc base'!N271),2)-P271-'Calc base'!Z271)</f>
        <v>0</v>
      </c>
      <c r="AC271">
        <f>MAX(0,ROUND(BA270*(1+'Calc base'!O271),2)-Q271-'Calc base'!AA271)</f>
        <v>0</v>
      </c>
      <c r="AD271">
        <f>MAX(0,ROUND(BB270*(1+'Calc base'!P271),2)-R271-'Calc base'!AB271)</f>
        <v>0</v>
      </c>
      <c r="AE271">
        <f>MAX(0,ROUND(BC270*(1+'Calc base'!Q271),2)-S271-'Calc base'!AC271)</f>
        <v>0</v>
      </c>
      <c r="AF271">
        <f>MAX(0,ROUND(BD270*(1+'Calc base'!R271),2)-T271-'Calc base'!AD271)</f>
        <v>0</v>
      </c>
      <c r="AG271">
        <f>MAX(0,ROUND(BE270*(1+'Calc base'!S271),2)-U271-'Calc base'!AE271)</f>
        <v>0</v>
      </c>
      <c r="AH271">
        <f>IF('Calc base'!C$14=0,0,MIN(V271,MAX(0,$E271-SUMPRODUCT($V271:$AG271,'Calc base'!$C$14:$N$14,('Calc base'!$H271:$S271&gt;'Calc base'!H271)+('Calc base'!$H271:$S271='Calc base'!H271)*('Calc base'!$C$17:$N$17&lt;'Calc base'!C$17)))))</f>
        <v>0</v>
      </c>
      <c r="AI271">
        <f>IF('Calc base'!D$14=0,0,MIN(W271,MAX(0,$E271-SUMPRODUCT($V271:$AG271,'Calc base'!$C$14:$N$14,('Calc base'!$H271:$S271&gt;'Calc base'!I271)+('Calc base'!$H271:$S271='Calc base'!I271)*('Calc base'!$C$17:$N$17&lt;'Calc base'!D$17)))))</f>
        <v>0</v>
      </c>
      <c r="AJ271">
        <f>IF('Calc base'!E$14=0,0,MIN(X271,MAX(0,$E271-SUMPRODUCT($V271:$AG271,'Calc base'!$C$14:$N$14,('Calc base'!$H271:$S271&gt;'Calc base'!J271)+('Calc base'!$H271:$S271='Calc base'!J271)*('Calc base'!$C$17:$N$17&lt;'Calc base'!E$17)))))</f>
        <v>0</v>
      </c>
      <c r="AK271">
        <f>IF('Calc base'!F$14=0,0,MIN(Y271,MAX(0,$E271-SUMPRODUCT($V271:$AG271,'Calc base'!$C$14:$N$14,('Calc base'!$H271:$S271&gt;'Calc base'!K271)+('Calc base'!$H271:$S271='Calc base'!K271)*('Calc base'!$C$17:$N$17&lt;'Calc base'!F$17)))))</f>
        <v>0</v>
      </c>
      <c r="AL271">
        <f>IF('Calc base'!G$14=0,0,MIN(Z271,MAX(0,$E271-SUMPRODUCT($V271:$AG271,'Calc base'!$C$14:$N$14,('Calc base'!$H271:$S271&gt;'Calc base'!L271)+('Calc base'!$H271:$S271='Calc base'!L271)*('Calc base'!$C$17:$N$17&lt;'Calc base'!G$17)))))</f>
        <v>0</v>
      </c>
      <c r="AM271">
        <f>IF('Calc base'!H$14=0,0,MIN(AA271,MAX(0,$E271-SUMPRODUCT($V271:$AG271,'Calc base'!$C$14:$N$14,('Calc base'!$H271:$S271&gt;'Calc base'!M271)+('Calc base'!$H271:$S271='Calc base'!M271)*('Calc base'!$C$17:$N$17&lt;'Calc base'!H$17)))))</f>
        <v>0</v>
      </c>
      <c r="AN271">
        <f>IF('Calc base'!I$14=0,0,MIN(AB271,MAX(0,$E271-SUMPRODUCT($V271:$AG271,'Calc base'!$C$14:$N$14,('Calc base'!$H271:$S271&gt;'Calc base'!N271)+('Calc base'!$H271:$S271='Calc base'!N271)*('Calc base'!$C$17:$N$17&lt;'Calc base'!I$17)))))</f>
        <v>0</v>
      </c>
      <c r="AO271">
        <f>IF('Calc base'!J$14=0,0,MIN(AC271,MAX(0,$E271-SUMPRODUCT($V271:$AG271,'Calc base'!$C$14:$N$14,('Calc base'!$H271:$S271&gt;'Calc base'!O271)+('Calc base'!$H271:$S271='Calc base'!O271)*('Calc base'!$C$17:$N$17&lt;'Calc base'!J$17)))))</f>
        <v>0</v>
      </c>
      <c r="AP271">
        <f>IF('Calc base'!K$14=0,0,MIN(AD271,MAX(0,$E271-SUMPRODUCT($V271:$AG271,'Calc base'!$C$14:$N$14,('Calc base'!$H271:$S271&gt;'Calc base'!P271)+('Calc base'!$H271:$S271='Calc base'!P271)*('Calc base'!$C$17:$N$17&lt;'Calc base'!K$17)))))</f>
        <v>0</v>
      </c>
      <c r="AQ271">
        <f>IF('Calc base'!L$14=0,0,MIN(AE271,MAX(0,$E271-SUMPRODUCT($V271:$AG271,'Calc base'!$C$14:$N$14,('Calc base'!$H271:$S271&gt;'Calc base'!Q271)+('Calc base'!$H271:$S271='Calc base'!Q271)*('Calc base'!$C$17:$N$17&lt;'Calc base'!L$17)))))</f>
        <v>0</v>
      </c>
      <c r="AR271">
        <f>IF('Calc base'!M$14=0,0,MIN(AF271,MAX(0,$E271-SUMPRODUCT($V271:$AG271,'Calc base'!$C$14:$N$14,('Calc base'!$H271:$S271&gt;'Calc base'!R271)+('Calc base'!$H271:$S271='Calc base'!R271)*('Calc base'!$C$17:$N$17&lt;'Calc base'!M$17)))))</f>
        <v>0</v>
      </c>
      <c r="AS271">
        <f>IF('Calc base'!N$14=0,0,MIN(AG271,MAX(0,$E271-SUMPRODUCT($V271:$AG271,'Calc base'!$C$14:$N$14,('Calc base'!$H271:$S271&gt;'Calc base'!S271)+('Calc base'!$H271:$S271='Calc base'!S271)*('Calc base'!$C$17:$N$17&lt;'Calc base'!N$17)))))</f>
        <v>0</v>
      </c>
      <c r="AT271">
        <f>V271-AH271</f>
        <v>0</v>
      </c>
      <c r="AU271">
        <f>W271-AI271</f>
        <v>0</v>
      </c>
      <c r="AV271">
        <f>X271-AJ271</f>
        <v>0</v>
      </c>
      <c r="AW271">
        <f>Y271-AK271</f>
        <v>0</v>
      </c>
      <c r="AX271">
        <f>Z271-AL271</f>
        <v>0</v>
      </c>
      <c r="AY271">
        <f>AA271-AM271</f>
        <v>0</v>
      </c>
      <c r="AZ271">
        <f>AB271-AN271</f>
        <v>0</v>
      </c>
      <c r="BA271">
        <f>AC271-AO271</f>
        <v>0</v>
      </c>
      <c r="BB271">
        <f>AD271-AP271</f>
        <v>0</v>
      </c>
      <c r="BC271">
        <f>AE271-AQ271</f>
        <v>0</v>
      </c>
      <c r="BD271">
        <f>AF271-AR271</f>
        <v>0</v>
      </c>
      <c r="BE271">
        <f>AG271-AS271</f>
        <v>0</v>
      </c>
    </row>
    <row r="272">
      <c r="A272" t="n">
        <v>242</v>
      </c>
      <c r="B272">
        <f>SUMPRODUCT(ROUND($AT271:$BE271*(1+'Calc base'!$H272:$S272),2))</f>
        <v>0</v>
      </c>
      <c r="C272">
        <f>SUM(J272:U272)</f>
        <v>0</v>
      </c>
      <c r="D272">
        <f>SUM(V272:AG272)</f>
        <v>0</v>
      </c>
      <c r="E272">
        <f>MAX(0,IF(Impostazioni!$B$7="No",'Calc base'!$C272-$C$31,'Calc base'!$C272-C272)+'Calc base'!$G272+'Calc base'!$F272-(B272-C272-D272))</f>
        <v>900</v>
      </c>
      <c r="F272">
        <f>SUM(AH272:AS272)</f>
        <v>0</v>
      </c>
      <c r="G272">
        <f>SUM(AT272:BE272)</f>
        <v>0</v>
      </c>
      <c r="H272">
        <f>B272-G271</f>
        <v>0</v>
      </c>
      <c r="I272">
        <f>B272-G272</f>
        <v>0</v>
      </c>
      <c r="J272">
        <f>IF(AT271&lt;=0,0,IF(ROUND(AT271*(1+'Calc base'!H272),2)-MAX('Calc base'!C$12,ROUND('Calc base'!C$13*AT271,2))&lt;1,ROUND(AT271*(1+'Calc base'!H272),2),MAX('Calc base'!C$12,ROUND('Calc base'!C$13*AT271,2))))</f>
        <v>0</v>
      </c>
      <c r="K272">
        <f>IF(AU271&lt;=0,0,IF(ROUND(AU271*(1+'Calc base'!I272),2)-MAX('Calc base'!D$12,ROUND('Calc base'!D$13*AU271,2))&lt;1,ROUND(AU271*(1+'Calc base'!I272),2),MAX('Calc base'!D$12,ROUND('Calc base'!D$13*AU271,2))))</f>
        <v>0</v>
      </c>
      <c r="L272">
        <f>IF(AV271&lt;=0,0,IF(ROUND(AV271*(1+'Calc base'!J272),2)-MAX('Calc base'!E$12,ROUND('Calc base'!E$13*AV271,2))&lt;1,ROUND(AV271*(1+'Calc base'!J272),2),MAX('Calc base'!E$12,ROUND('Calc base'!E$13*AV271,2))))</f>
        <v>0</v>
      </c>
      <c r="M272">
        <f>IF(AW271&lt;=0,0,IF(ROUND(AW271*(1+'Calc base'!K272),2)-MAX('Calc base'!F$12,ROUND('Calc base'!F$13*AW271,2))&lt;1,ROUND(AW271*(1+'Calc base'!K272),2),MAX('Calc base'!F$12,ROUND('Calc base'!F$13*AW271,2))))</f>
        <v>0</v>
      </c>
      <c r="N272">
        <f>IF(AX271&lt;=0,0,IF(ROUND(AX271*(1+'Calc base'!L272),2)-MAX('Calc base'!G$12,ROUND('Calc base'!G$13*AX271,2))&lt;1,ROUND(AX271*(1+'Calc base'!L272),2),MAX('Calc base'!G$12,ROUND('Calc base'!G$13*AX271,2))))</f>
        <v>0</v>
      </c>
      <c r="O272">
        <f>IF(AY271&lt;=0,0,IF(ROUND(AY271*(1+'Calc base'!M272),2)-MAX('Calc base'!H$12,ROUND('Calc base'!H$13*AY271,2))&lt;1,ROUND(AY271*(1+'Calc base'!M272),2),MAX('Calc base'!H$12,ROUND('Calc base'!H$13*AY271,2))))</f>
        <v>0</v>
      </c>
      <c r="P272">
        <f>IF(AZ271&lt;=0,0,IF(ROUND(AZ271*(1+'Calc base'!N272),2)-MAX('Calc base'!I$12,ROUND('Calc base'!I$13*AZ271,2))&lt;1,ROUND(AZ271*(1+'Calc base'!N272),2),MAX('Calc base'!I$12,ROUND('Calc base'!I$13*AZ271,2))))</f>
        <v>0</v>
      </c>
      <c r="Q272">
        <f>IF(BA271&lt;=0,0,IF(ROUND(BA271*(1+'Calc base'!O272),2)-MAX('Calc base'!J$12,ROUND('Calc base'!J$13*BA271,2))&lt;1,ROUND(BA271*(1+'Calc base'!O272),2),MAX('Calc base'!J$12,ROUND('Calc base'!J$13*BA271,2))))</f>
        <v>0</v>
      </c>
      <c r="R272">
        <f>IF(BB271&lt;=0,0,IF(ROUND(BB271*(1+'Calc base'!P272),2)-MAX('Calc base'!K$12,ROUND('Calc base'!K$13*BB271,2))&lt;1,ROUND(BB271*(1+'Calc base'!P272),2),MAX('Calc base'!K$12,ROUND('Calc base'!K$13*BB271,2))))</f>
        <v>0</v>
      </c>
      <c r="S272">
        <f>IF(BC271&lt;=0,0,IF(ROUND(BC271*(1+'Calc base'!Q272),2)-MAX('Calc base'!L$12,ROUND('Calc base'!L$13*BC271,2))&lt;1,ROUND(BC271*(1+'Calc base'!Q272),2),MAX('Calc base'!L$12,ROUND('Calc base'!L$13*BC271,2))))</f>
        <v>0</v>
      </c>
      <c r="T272">
        <f>IF(BD271&lt;=0,0,IF(ROUND(BD271*(1+'Calc base'!R272),2)-MAX('Calc base'!M$12,ROUND('Calc base'!M$13*BD271,2))&lt;1,ROUND(BD271*(1+'Calc base'!R272),2),MAX('Calc base'!M$12,ROUND('Calc base'!M$13*BD271,2))))</f>
        <v>0</v>
      </c>
      <c r="U272">
        <f>IF(BE271&lt;=0,0,IF(ROUND(BE271*(1+'Calc base'!S272),2)-MAX('Calc base'!N$12,ROUND('Calc base'!N$13*BE271,2))&lt;1,ROUND(BE271*(1+'Calc base'!S272),2),MAX('Calc base'!N$12,ROUND('Calc base'!N$13*BE271,2))))</f>
        <v>0</v>
      </c>
      <c r="V272">
        <f>MAX(0,ROUND(AT271*(1+'Calc base'!H272),2)-J272-'Calc base'!T272)</f>
        <v>0</v>
      </c>
      <c r="W272">
        <f>MAX(0,ROUND(AU271*(1+'Calc base'!I272),2)-K272-'Calc base'!U272)</f>
        <v>0</v>
      </c>
      <c r="X272">
        <f>MAX(0,ROUND(AV271*(1+'Calc base'!J272),2)-L272-'Calc base'!V272)</f>
        <v>0</v>
      </c>
      <c r="Y272">
        <f>MAX(0,ROUND(AW271*(1+'Calc base'!K272),2)-M272-'Calc base'!W272)</f>
        <v>0</v>
      </c>
      <c r="Z272">
        <f>MAX(0,ROUND(AX271*(1+'Calc base'!L272),2)-N272-'Calc base'!X272)</f>
        <v>0</v>
      </c>
      <c r="AA272">
        <f>MAX(0,ROUND(AY271*(1+'Calc base'!M272),2)-O272-'Calc base'!Y272)</f>
        <v>0</v>
      </c>
      <c r="AB272">
        <f>MAX(0,ROUND(AZ271*(1+'Calc base'!N272),2)-P272-'Calc base'!Z272)</f>
        <v>0</v>
      </c>
      <c r="AC272">
        <f>MAX(0,ROUND(BA271*(1+'Calc base'!O272),2)-Q272-'Calc base'!AA272)</f>
        <v>0</v>
      </c>
      <c r="AD272">
        <f>MAX(0,ROUND(BB271*(1+'Calc base'!P272),2)-R272-'Calc base'!AB272)</f>
        <v>0</v>
      </c>
      <c r="AE272">
        <f>MAX(0,ROUND(BC271*(1+'Calc base'!Q272),2)-S272-'Calc base'!AC272)</f>
        <v>0</v>
      </c>
      <c r="AF272">
        <f>MAX(0,ROUND(BD271*(1+'Calc base'!R272),2)-T272-'Calc base'!AD272)</f>
        <v>0</v>
      </c>
      <c r="AG272">
        <f>MAX(0,ROUND(BE271*(1+'Calc base'!S272),2)-U272-'Calc base'!AE272)</f>
        <v>0</v>
      </c>
      <c r="AH272">
        <f>IF('Calc base'!C$14=0,0,MIN(V272,MAX(0,$E272-SUMPRODUCT($V272:$AG272,'Calc base'!$C$14:$N$14,('Calc base'!$H272:$S272&gt;'Calc base'!H272)+('Calc base'!$H272:$S272='Calc base'!H272)*('Calc base'!$C$17:$N$17&lt;'Calc base'!C$17)))))</f>
        <v>0</v>
      </c>
      <c r="AI272">
        <f>IF('Calc base'!D$14=0,0,MIN(W272,MAX(0,$E272-SUMPRODUCT($V272:$AG272,'Calc base'!$C$14:$N$14,('Calc base'!$H272:$S272&gt;'Calc base'!I272)+('Calc base'!$H272:$S272='Calc base'!I272)*('Calc base'!$C$17:$N$17&lt;'Calc base'!D$17)))))</f>
        <v>0</v>
      </c>
      <c r="AJ272">
        <f>IF('Calc base'!E$14=0,0,MIN(X272,MAX(0,$E272-SUMPRODUCT($V272:$AG272,'Calc base'!$C$14:$N$14,('Calc base'!$H272:$S272&gt;'Calc base'!J272)+('Calc base'!$H272:$S272='Calc base'!J272)*('Calc base'!$C$17:$N$17&lt;'Calc base'!E$17)))))</f>
        <v>0</v>
      </c>
      <c r="AK272">
        <f>IF('Calc base'!F$14=0,0,MIN(Y272,MAX(0,$E272-SUMPRODUCT($V272:$AG272,'Calc base'!$C$14:$N$14,('Calc base'!$H272:$S272&gt;'Calc base'!K272)+('Calc base'!$H272:$S272='Calc base'!K272)*('Calc base'!$C$17:$N$17&lt;'Calc base'!F$17)))))</f>
        <v>0</v>
      </c>
      <c r="AL272">
        <f>IF('Calc base'!G$14=0,0,MIN(Z272,MAX(0,$E272-SUMPRODUCT($V272:$AG272,'Calc base'!$C$14:$N$14,('Calc base'!$H272:$S272&gt;'Calc base'!L272)+('Calc base'!$H272:$S272='Calc base'!L272)*('Calc base'!$C$17:$N$17&lt;'Calc base'!G$17)))))</f>
        <v>0</v>
      </c>
      <c r="AM272">
        <f>IF('Calc base'!H$14=0,0,MIN(AA272,MAX(0,$E272-SUMPRODUCT($V272:$AG272,'Calc base'!$C$14:$N$14,('Calc base'!$H272:$S272&gt;'Calc base'!M272)+('Calc base'!$H272:$S272='Calc base'!M272)*('Calc base'!$C$17:$N$17&lt;'Calc base'!H$17)))))</f>
        <v>0</v>
      </c>
      <c r="AN272">
        <f>IF('Calc base'!I$14=0,0,MIN(AB272,MAX(0,$E272-SUMPRODUCT($V272:$AG272,'Calc base'!$C$14:$N$14,('Calc base'!$H272:$S272&gt;'Calc base'!N272)+('Calc base'!$H272:$S272='Calc base'!N272)*('Calc base'!$C$17:$N$17&lt;'Calc base'!I$17)))))</f>
        <v>0</v>
      </c>
      <c r="AO272">
        <f>IF('Calc base'!J$14=0,0,MIN(AC272,MAX(0,$E272-SUMPRODUCT($V272:$AG272,'Calc base'!$C$14:$N$14,('Calc base'!$H272:$S272&gt;'Calc base'!O272)+('Calc base'!$H272:$S272='Calc base'!O272)*('Calc base'!$C$17:$N$17&lt;'Calc base'!J$17)))))</f>
        <v>0</v>
      </c>
      <c r="AP272">
        <f>IF('Calc base'!K$14=0,0,MIN(AD272,MAX(0,$E272-SUMPRODUCT($V272:$AG272,'Calc base'!$C$14:$N$14,('Calc base'!$H272:$S272&gt;'Calc base'!P272)+('Calc base'!$H272:$S272='Calc base'!P272)*('Calc base'!$C$17:$N$17&lt;'Calc base'!K$17)))))</f>
        <v>0</v>
      </c>
      <c r="AQ272">
        <f>IF('Calc base'!L$14=0,0,MIN(AE272,MAX(0,$E272-SUMPRODUCT($V272:$AG272,'Calc base'!$C$14:$N$14,('Calc base'!$H272:$S272&gt;'Calc base'!Q272)+('Calc base'!$H272:$S272='Calc base'!Q272)*('Calc base'!$C$17:$N$17&lt;'Calc base'!L$17)))))</f>
        <v>0</v>
      </c>
      <c r="AR272">
        <f>IF('Calc base'!M$14=0,0,MIN(AF272,MAX(0,$E272-SUMPRODUCT($V272:$AG272,'Calc base'!$C$14:$N$14,('Calc base'!$H272:$S272&gt;'Calc base'!R272)+('Calc base'!$H272:$S272='Calc base'!R272)*('Calc base'!$C$17:$N$17&lt;'Calc base'!M$17)))))</f>
        <v>0</v>
      </c>
      <c r="AS272">
        <f>IF('Calc base'!N$14=0,0,MIN(AG272,MAX(0,$E272-SUMPRODUCT($V272:$AG272,'Calc base'!$C$14:$N$14,('Calc base'!$H272:$S272&gt;'Calc base'!S272)+('Calc base'!$H272:$S272='Calc base'!S272)*('Calc base'!$C$17:$N$17&lt;'Calc base'!N$17)))))</f>
        <v>0</v>
      </c>
      <c r="AT272">
        <f>V272-AH272</f>
        <v>0</v>
      </c>
      <c r="AU272">
        <f>W272-AI272</f>
        <v>0</v>
      </c>
      <c r="AV272">
        <f>X272-AJ272</f>
        <v>0</v>
      </c>
      <c r="AW272">
        <f>Y272-AK272</f>
        <v>0</v>
      </c>
      <c r="AX272">
        <f>Z272-AL272</f>
        <v>0</v>
      </c>
      <c r="AY272">
        <f>AA272-AM272</f>
        <v>0</v>
      </c>
      <c r="AZ272">
        <f>AB272-AN272</f>
        <v>0</v>
      </c>
      <c r="BA272">
        <f>AC272-AO272</f>
        <v>0</v>
      </c>
      <c r="BB272">
        <f>AD272-AP272</f>
        <v>0</v>
      </c>
      <c r="BC272">
        <f>AE272-AQ272</f>
        <v>0</v>
      </c>
      <c r="BD272">
        <f>AF272-AR272</f>
        <v>0</v>
      </c>
      <c r="BE272">
        <f>AG272-AS272</f>
        <v>0</v>
      </c>
    </row>
    <row r="273">
      <c r="A273" t="n">
        <v>243</v>
      </c>
      <c r="B273">
        <f>SUMPRODUCT(ROUND($AT272:$BE272*(1+'Calc base'!$H273:$S273),2))</f>
        <v>0</v>
      </c>
      <c r="C273">
        <f>SUM(J273:U273)</f>
        <v>0</v>
      </c>
      <c r="D273">
        <f>SUM(V273:AG273)</f>
        <v>0</v>
      </c>
      <c r="E273">
        <f>MAX(0,IF(Impostazioni!$B$7="No",'Calc base'!$C273-$C$31,'Calc base'!$C273-C273)+'Calc base'!$G273+'Calc base'!$F273-(B273-C273-D273))</f>
        <v>900</v>
      </c>
      <c r="F273">
        <f>SUM(AH273:AS273)</f>
        <v>0</v>
      </c>
      <c r="G273">
        <f>SUM(AT273:BE273)</f>
        <v>0</v>
      </c>
      <c r="H273">
        <f>B273-G272</f>
        <v>0</v>
      </c>
      <c r="I273">
        <f>B273-G273</f>
        <v>0</v>
      </c>
      <c r="J273">
        <f>IF(AT272&lt;=0,0,IF(ROUND(AT272*(1+'Calc base'!H273),2)-MAX('Calc base'!C$12,ROUND('Calc base'!C$13*AT272,2))&lt;1,ROUND(AT272*(1+'Calc base'!H273),2),MAX('Calc base'!C$12,ROUND('Calc base'!C$13*AT272,2))))</f>
        <v>0</v>
      </c>
      <c r="K273">
        <f>IF(AU272&lt;=0,0,IF(ROUND(AU272*(1+'Calc base'!I273),2)-MAX('Calc base'!D$12,ROUND('Calc base'!D$13*AU272,2))&lt;1,ROUND(AU272*(1+'Calc base'!I273),2),MAX('Calc base'!D$12,ROUND('Calc base'!D$13*AU272,2))))</f>
        <v>0</v>
      </c>
      <c r="L273">
        <f>IF(AV272&lt;=0,0,IF(ROUND(AV272*(1+'Calc base'!J273),2)-MAX('Calc base'!E$12,ROUND('Calc base'!E$13*AV272,2))&lt;1,ROUND(AV272*(1+'Calc base'!J273),2),MAX('Calc base'!E$12,ROUND('Calc base'!E$13*AV272,2))))</f>
        <v>0</v>
      </c>
      <c r="M273">
        <f>IF(AW272&lt;=0,0,IF(ROUND(AW272*(1+'Calc base'!K273),2)-MAX('Calc base'!F$12,ROUND('Calc base'!F$13*AW272,2))&lt;1,ROUND(AW272*(1+'Calc base'!K273),2),MAX('Calc base'!F$12,ROUND('Calc base'!F$13*AW272,2))))</f>
        <v>0</v>
      </c>
      <c r="N273">
        <f>IF(AX272&lt;=0,0,IF(ROUND(AX272*(1+'Calc base'!L273),2)-MAX('Calc base'!G$12,ROUND('Calc base'!G$13*AX272,2))&lt;1,ROUND(AX272*(1+'Calc base'!L273),2),MAX('Calc base'!G$12,ROUND('Calc base'!G$13*AX272,2))))</f>
        <v>0</v>
      </c>
      <c r="O273">
        <f>IF(AY272&lt;=0,0,IF(ROUND(AY272*(1+'Calc base'!M273),2)-MAX('Calc base'!H$12,ROUND('Calc base'!H$13*AY272,2))&lt;1,ROUND(AY272*(1+'Calc base'!M273),2),MAX('Calc base'!H$12,ROUND('Calc base'!H$13*AY272,2))))</f>
        <v>0</v>
      </c>
      <c r="P273">
        <f>IF(AZ272&lt;=0,0,IF(ROUND(AZ272*(1+'Calc base'!N273),2)-MAX('Calc base'!I$12,ROUND('Calc base'!I$13*AZ272,2))&lt;1,ROUND(AZ272*(1+'Calc base'!N273),2),MAX('Calc base'!I$12,ROUND('Calc base'!I$13*AZ272,2))))</f>
        <v>0</v>
      </c>
      <c r="Q273">
        <f>IF(BA272&lt;=0,0,IF(ROUND(BA272*(1+'Calc base'!O273),2)-MAX('Calc base'!J$12,ROUND('Calc base'!J$13*BA272,2))&lt;1,ROUND(BA272*(1+'Calc base'!O273),2),MAX('Calc base'!J$12,ROUND('Calc base'!J$13*BA272,2))))</f>
        <v>0</v>
      </c>
      <c r="R273">
        <f>IF(BB272&lt;=0,0,IF(ROUND(BB272*(1+'Calc base'!P273),2)-MAX('Calc base'!K$12,ROUND('Calc base'!K$13*BB272,2))&lt;1,ROUND(BB272*(1+'Calc base'!P273),2),MAX('Calc base'!K$12,ROUND('Calc base'!K$13*BB272,2))))</f>
        <v>0</v>
      </c>
      <c r="S273">
        <f>IF(BC272&lt;=0,0,IF(ROUND(BC272*(1+'Calc base'!Q273),2)-MAX('Calc base'!L$12,ROUND('Calc base'!L$13*BC272,2))&lt;1,ROUND(BC272*(1+'Calc base'!Q273),2),MAX('Calc base'!L$12,ROUND('Calc base'!L$13*BC272,2))))</f>
        <v>0</v>
      </c>
      <c r="T273">
        <f>IF(BD272&lt;=0,0,IF(ROUND(BD272*(1+'Calc base'!R273),2)-MAX('Calc base'!M$12,ROUND('Calc base'!M$13*BD272,2))&lt;1,ROUND(BD272*(1+'Calc base'!R273),2),MAX('Calc base'!M$12,ROUND('Calc base'!M$13*BD272,2))))</f>
        <v>0</v>
      </c>
      <c r="U273">
        <f>IF(BE272&lt;=0,0,IF(ROUND(BE272*(1+'Calc base'!S273),2)-MAX('Calc base'!N$12,ROUND('Calc base'!N$13*BE272,2))&lt;1,ROUND(BE272*(1+'Calc base'!S273),2),MAX('Calc base'!N$12,ROUND('Calc base'!N$13*BE272,2))))</f>
        <v>0</v>
      </c>
      <c r="V273">
        <f>MAX(0,ROUND(AT272*(1+'Calc base'!H273),2)-J273-'Calc base'!T273)</f>
        <v>0</v>
      </c>
      <c r="W273">
        <f>MAX(0,ROUND(AU272*(1+'Calc base'!I273),2)-K273-'Calc base'!U273)</f>
        <v>0</v>
      </c>
      <c r="X273">
        <f>MAX(0,ROUND(AV272*(1+'Calc base'!J273),2)-L273-'Calc base'!V273)</f>
        <v>0</v>
      </c>
      <c r="Y273">
        <f>MAX(0,ROUND(AW272*(1+'Calc base'!K273),2)-M273-'Calc base'!W273)</f>
        <v>0</v>
      </c>
      <c r="Z273">
        <f>MAX(0,ROUND(AX272*(1+'Calc base'!L273),2)-N273-'Calc base'!X273)</f>
        <v>0</v>
      </c>
      <c r="AA273">
        <f>MAX(0,ROUND(AY272*(1+'Calc base'!M273),2)-O273-'Calc base'!Y273)</f>
        <v>0</v>
      </c>
      <c r="AB273">
        <f>MAX(0,ROUND(AZ272*(1+'Calc base'!N273),2)-P273-'Calc base'!Z273)</f>
        <v>0</v>
      </c>
      <c r="AC273">
        <f>MAX(0,ROUND(BA272*(1+'Calc base'!O273),2)-Q273-'Calc base'!AA273)</f>
        <v>0</v>
      </c>
      <c r="AD273">
        <f>MAX(0,ROUND(BB272*(1+'Calc base'!P273),2)-R273-'Calc base'!AB273)</f>
        <v>0</v>
      </c>
      <c r="AE273">
        <f>MAX(0,ROUND(BC272*(1+'Calc base'!Q273),2)-S273-'Calc base'!AC273)</f>
        <v>0</v>
      </c>
      <c r="AF273">
        <f>MAX(0,ROUND(BD272*(1+'Calc base'!R273),2)-T273-'Calc base'!AD273)</f>
        <v>0</v>
      </c>
      <c r="AG273">
        <f>MAX(0,ROUND(BE272*(1+'Calc base'!S273),2)-U273-'Calc base'!AE273)</f>
        <v>0</v>
      </c>
      <c r="AH273">
        <f>IF('Calc base'!C$14=0,0,MIN(V273,MAX(0,$E273-SUMPRODUCT($V273:$AG273,'Calc base'!$C$14:$N$14,('Calc base'!$H273:$S273&gt;'Calc base'!H273)+('Calc base'!$H273:$S273='Calc base'!H273)*('Calc base'!$C$17:$N$17&lt;'Calc base'!C$17)))))</f>
        <v>0</v>
      </c>
      <c r="AI273">
        <f>IF('Calc base'!D$14=0,0,MIN(W273,MAX(0,$E273-SUMPRODUCT($V273:$AG273,'Calc base'!$C$14:$N$14,('Calc base'!$H273:$S273&gt;'Calc base'!I273)+('Calc base'!$H273:$S273='Calc base'!I273)*('Calc base'!$C$17:$N$17&lt;'Calc base'!D$17)))))</f>
        <v>0</v>
      </c>
      <c r="AJ273">
        <f>IF('Calc base'!E$14=0,0,MIN(X273,MAX(0,$E273-SUMPRODUCT($V273:$AG273,'Calc base'!$C$14:$N$14,('Calc base'!$H273:$S273&gt;'Calc base'!J273)+('Calc base'!$H273:$S273='Calc base'!J273)*('Calc base'!$C$17:$N$17&lt;'Calc base'!E$17)))))</f>
        <v>0</v>
      </c>
      <c r="AK273">
        <f>IF('Calc base'!F$14=0,0,MIN(Y273,MAX(0,$E273-SUMPRODUCT($V273:$AG273,'Calc base'!$C$14:$N$14,('Calc base'!$H273:$S273&gt;'Calc base'!K273)+('Calc base'!$H273:$S273='Calc base'!K273)*('Calc base'!$C$17:$N$17&lt;'Calc base'!F$17)))))</f>
        <v>0</v>
      </c>
      <c r="AL273">
        <f>IF('Calc base'!G$14=0,0,MIN(Z273,MAX(0,$E273-SUMPRODUCT($V273:$AG273,'Calc base'!$C$14:$N$14,('Calc base'!$H273:$S273&gt;'Calc base'!L273)+('Calc base'!$H273:$S273='Calc base'!L273)*('Calc base'!$C$17:$N$17&lt;'Calc base'!G$17)))))</f>
        <v>0</v>
      </c>
      <c r="AM273">
        <f>IF('Calc base'!H$14=0,0,MIN(AA273,MAX(0,$E273-SUMPRODUCT($V273:$AG273,'Calc base'!$C$14:$N$14,('Calc base'!$H273:$S273&gt;'Calc base'!M273)+('Calc base'!$H273:$S273='Calc base'!M273)*('Calc base'!$C$17:$N$17&lt;'Calc base'!H$17)))))</f>
        <v>0</v>
      </c>
      <c r="AN273">
        <f>IF('Calc base'!I$14=0,0,MIN(AB273,MAX(0,$E273-SUMPRODUCT($V273:$AG273,'Calc base'!$C$14:$N$14,('Calc base'!$H273:$S273&gt;'Calc base'!N273)+('Calc base'!$H273:$S273='Calc base'!N273)*('Calc base'!$C$17:$N$17&lt;'Calc base'!I$17)))))</f>
        <v>0</v>
      </c>
      <c r="AO273">
        <f>IF('Calc base'!J$14=0,0,MIN(AC273,MAX(0,$E273-SUMPRODUCT($V273:$AG273,'Calc base'!$C$14:$N$14,('Calc base'!$H273:$S273&gt;'Calc base'!O273)+('Calc base'!$H273:$S273='Calc base'!O273)*('Calc base'!$C$17:$N$17&lt;'Calc base'!J$17)))))</f>
        <v>0</v>
      </c>
      <c r="AP273">
        <f>IF('Calc base'!K$14=0,0,MIN(AD273,MAX(0,$E273-SUMPRODUCT($V273:$AG273,'Calc base'!$C$14:$N$14,('Calc base'!$H273:$S273&gt;'Calc base'!P273)+('Calc base'!$H273:$S273='Calc base'!P273)*('Calc base'!$C$17:$N$17&lt;'Calc base'!K$17)))))</f>
        <v>0</v>
      </c>
      <c r="AQ273">
        <f>IF('Calc base'!L$14=0,0,MIN(AE273,MAX(0,$E273-SUMPRODUCT($V273:$AG273,'Calc base'!$C$14:$N$14,('Calc base'!$H273:$S273&gt;'Calc base'!Q273)+('Calc base'!$H273:$S273='Calc base'!Q273)*('Calc base'!$C$17:$N$17&lt;'Calc base'!L$17)))))</f>
        <v>0</v>
      </c>
      <c r="AR273">
        <f>IF('Calc base'!M$14=0,0,MIN(AF273,MAX(0,$E273-SUMPRODUCT($V273:$AG273,'Calc base'!$C$14:$N$14,('Calc base'!$H273:$S273&gt;'Calc base'!R273)+('Calc base'!$H273:$S273='Calc base'!R273)*('Calc base'!$C$17:$N$17&lt;'Calc base'!M$17)))))</f>
        <v>0</v>
      </c>
      <c r="AS273">
        <f>IF('Calc base'!N$14=0,0,MIN(AG273,MAX(0,$E273-SUMPRODUCT($V273:$AG273,'Calc base'!$C$14:$N$14,('Calc base'!$H273:$S273&gt;'Calc base'!S273)+('Calc base'!$H273:$S273='Calc base'!S273)*('Calc base'!$C$17:$N$17&lt;'Calc base'!N$17)))))</f>
        <v>0</v>
      </c>
      <c r="AT273">
        <f>V273-AH273</f>
        <v>0</v>
      </c>
      <c r="AU273">
        <f>W273-AI273</f>
        <v>0</v>
      </c>
      <c r="AV273">
        <f>X273-AJ273</f>
        <v>0</v>
      </c>
      <c r="AW273">
        <f>Y273-AK273</f>
        <v>0</v>
      </c>
      <c r="AX273">
        <f>Z273-AL273</f>
        <v>0</v>
      </c>
      <c r="AY273">
        <f>AA273-AM273</f>
        <v>0</v>
      </c>
      <c r="AZ273">
        <f>AB273-AN273</f>
        <v>0</v>
      </c>
      <c r="BA273">
        <f>AC273-AO273</f>
        <v>0</v>
      </c>
      <c r="BB273">
        <f>AD273-AP273</f>
        <v>0</v>
      </c>
      <c r="BC273">
        <f>AE273-AQ273</f>
        <v>0</v>
      </c>
      <c r="BD273">
        <f>AF273-AR273</f>
        <v>0</v>
      </c>
      <c r="BE273">
        <f>AG273-AS273</f>
        <v>0</v>
      </c>
    </row>
    <row r="274">
      <c r="A274" t="n">
        <v>244</v>
      </c>
      <c r="B274">
        <f>SUMPRODUCT(ROUND($AT273:$BE273*(1+'Calc base'!$H274:$S274),2))</f>
        <v>0</v>
      </c>
      <c r="C274">
        <f>SUM(J274:U274)</f>
        <v>0</v>
      </c>
      <c r="D274">
        <f>SUM(V274:AG274)</f>
        <v>0</v>
      </c>
      <c r="E274">
        <f>MAX(0,IF(Impostazioni!$B$7="No",'Calc base'!$C274-$C$31,'Calc base'!$C274-C274)+'Calc base'!$G274+'Calc base'!$F274-(B274-C274-D274))</f>
        <v>900</v>
      </c>
      <c r="F274">
        <f>SUM(AH274:AS274)</f>
        <v>0</v>
      </c>
      <c r="G274">
        <f>SUM(AT274:BE274)</f>
        <v>0</v>
      </c>
      <c r="H274">
        <f>B274-G273</f>
        <v>0</v>
      </c>
      <c r="I274">
        <f>B274-G274</f>
        <v>0</v>
      </c>
      <c r="J274">
        <f>IF(AT273&lt;=0,0,IF(ROUND(AT273*(1+'Calc base'!H274),2)-MAX('Calc base'!C$12,ROUND('Calc base'!C$13*AT273,2))&lt;1,ROUND(AT273*(1+'Calc base'!H274),2),MAX('Calc base'!C$12,ROUND('Calc base'!C$13*AT273,2))))</f>
        <v>0</v>
      </c>
      <c r="K274">
        <f>IF(AU273&lt;=0,0,IF(ROUND(AU273*(1+'Calc base'!I274),2)-MAX('Calc base'!D$12,ROUND('Calc base'!D$13*AU273,2))&lt;1,ROUND(AU273*(1+'Calc base'!I274),2),MAX('Calc base'!D$12,ROUND('Calc base'!D$13*AU273,2))))</f>
        <v>0</v>
      </c>
      <c r="L274">
        <f>IF(AV273&lt;=0,0,IF(ROUND(AV273*(1+'Calc base'!J274),2)-MAX('Calc base'!E$12,ROUND('Calc base'!E$13*AV273,2))&lt;1,ROUND(AV273*(1+'Calc base'!J274),2),MAX('Calc base'!E$12,ROUND('Calc base'!E$13*AV273,2))))</f>
        <v>0</v>
      </c>
      <c r="M274">
        <f>IF(AW273&lt;=0,0,IF(ROUND(AW273*(1+'Calc base'!K274),2)-MAX('Calc base'!F$12,ROUND('Calc base'!F$13*AW273,2))&lt;1,ROUND(AW273*(1+'Calc base'!K274),2),MAX('Calc base'!F$12,ROUND('Calc base'!F$13*AW273,2))))</f>
        <v>0</v>
      </c>
      <c r="N274">
        <f>IF(AX273&lt;=0,0,IF(ROUND(AX273*(1+'Calc base'!L274),2)-MAX('Calc base'!G$12,ROUND('Calc base'!G$13*AX273,2))&lt;1,ROUND(AX273*(1+'Calc base'!L274),2),MAX('Calc base'!G$12,ROUND('Calc base'!G$13*AX273,2))))</f>
        <v>0</v>
      </c>
      <c r="O274">
        <f>IF(AY273&lt;=0,0,IF(ROUND(AY273*(1+'Calc base'!M274),2)-MAX('Calc base'!H$12,ROUND('Calc base'!H$13*AY273,2))&lt;1,ROUND(AY273*(1+'Calc base'!M274),2),MAX('Calc base'!H$12,ROUND('Calc base'!H$13*AY273,2))))</f>
        <v>0</v>
      </c>
      <c r="P274">
        <f>IF(AZ273&lt;=0,0,IF(ROUND(AZ273*(1+'Calc base'!N274),2)-MAX('Calc base'!I$12,ROUND('Calc base'!I$13*AZ273,2))&lt;1,ROUND(AZ273*(1+'Calc base'!N274),2),MAX('Calc base'!I$12,ROUND('Calc base'!I$13*AZ273,2))))</f>
        <v>0</v>
      </c>
      <c r="Q274">
        <f>IF(BA273&lt;=0,0,IF(ROUND(BA273*(1+'Calc base'!O274),2)-MAX('Calc base'!J$12,ROUND('Calc base'!J$13*BA273,2))&lt;1,ROUND(BA273*(1+'Calc base'!O274),2),MAX('Calc base'!J$12,ROUND('Calc base'!J$13*BA273,2))))</f>
        <v>0</v>
      </c>
      <c r="R274">
        <f>IF(BB273&lt;=0,0,IF(ROUND(BB273*(1+'Calc base'!P274),2)-MAX('Calc base'!K$12,ROUND('Calc base'!K$13*BB273,2))&lt;1,ROUND(BB273*(1+'Calc base'!P274),2),MAX('Calc base'!K$12,ROUND('Calc base'!K$13*BB273,2))))</f>
        <v>0</v>
      </c>
      <c r="S274">
        <f>IF(BC273&lt;=0,0,IF(ROUND(BC273*(1+'Calc base'!Q274),2)-MAX('Calc base'!L$12,ROUND('Calc base'!L$13*BC273,2))&lt;1,ROUND(BC273*(1+'Calc base'!Q274),2),MAX('Calc base'!L$12,ROUND('Calc base'!L$13*BC273,2))))</f>
        <v>0</v>
      </c>
      <c r="T274">
        <f>IF(BD273&lt;=0,0,IF(ROUND(BD273*(1+'Calc base'!R274),2)-MAX('Calc base'!M$12,ROUND('Calc base'!M$13*BD273,2))&lt;1,ROUND(BD273*(1+'Calc base'!R274),2),MAX('Calc base'!M$12,ROUND('Calc base'!M$13*BD273,2))))</f>
        <v>0</v>
      </c>
      <c r="U274">
        <f>IF(BE273&lt;=0,0,IF(ROUND(BE273*(1+'Calc base'!S274),2)-MAX('Calc base'!N$12,ROUND('Calc base'!N$13*BE273,2))&lt;1,ROUND(BE273*(1+'Calc base'!S274),2),MAX('Calc base'!N$12,ROUND('Calc base'!N$13*BE273,2))))</f>
        <v>0</v>
      </c>
      <c r="V274">
        <f>MAX(0,ROUND(AT273*(1+'Calc base'!H274),2)-J274-'Calc base'!T274)</f>
        <v>0</v>
      </c>
      <c r="W274">
        <f>MAX(0,ROUND(AU273*(1+'Calc base'!I274),2)-K274-'Calc base'!U274)</f>
        <v>0</v>
      </c>
      <c r="X274">
        <f>MAX(0,ROUND(AV273*(1+'Calc base'!J274),2)-L274-'Calc base'!V274)</f>
        <v>0</v>
      </c>
      <c r="Y274">
        <f>MAX(0,ROUND(AW273*(1+'Calc base'!K274),2)-M274-'Calc base'!W274)</f>
        <v>0</v>
      </c>
      <c r="Z274">
        <f>MAX(0,ROUND(AX273*(1+'Calc base'!L274),2)-N274-'Calc base'!X274)</f>
        <v>0</v>
      </c>
      <c r="AA274">
        <f>MAX(0,ROUND(AY273*(1+'Calc base'!M274),2)-O274-'Calc base'!Y274)</f>
        <v>0</v>
      </c>
      <c r="AB274">
        <f>MAX(0,ROUND(AZ273*(1+'Calc base'!N274),2)-P274-'Calc base'!Z274)</f>
        <v>0</v>
      </c>
      <c r="AC274">
        <f>MAX(0,ROUND(BA273*(1+'Calc base'!O274),2)-Q274-'Calc base'!AA274)</f>
        <v>0</v>
      </c>
      <c r="AD274">
        <f>MAX(0,ROUND(BB273*(1+'Calc base'!P274),2)-R274-'Calc base'!AB274)</f>
        <v>0</v>
      </c>
      <c r="AE274">
        <f>MAX(0,ROUND(BC273*(1+'Calc base'!Q274),2)-S274-'Calc base'!AC274)</f>
        <v>0</v>
      </c>
      <c r="AF274">
        <f>MAX(0,ROUND(BD273*(1+'Calc base'!R274),2)-T274-'Calc base'!AD274)</f>
        <v>0</v>
      </c>
      <c r="AG274">
        <f>MAX(0,ROUND(BE273*(1+'Calc base'!S274),2)-U274-'Calc base'!AE274)</f>
        <v>0</v>
      </c>
      <c r="AH274">
        <f>IF('Calc base'!C$14=0,0,MIN(V274,MAX(0,$E274-SUMPRODUCT($V274:$AG274,'Calc base'!$C$14:$N$14,('Calc base'!$H274:$S274&gt;'Calc base'!H274)+('Calc base'!$H274:$S274='Calc base'!H274)*('Calc base'!$C$17:$N$17&lt;'Calc base'!C$17)))))</f>
        <v>0</v>
      </c>
      <c r="AI274">
        <f>IF('Calc base'!D$14=0,0,MIN(W274,MAX(0,$E274-SUMPRODUCT($V274:$AG274,'Calc base'!$C$14:$N$14,('Calc base'!$H274:$S274&gt;'Calc base'!I274)+('Calc base'!$H274:$S274='Calc base'!I274)*('Calc base'!$C$17:$N$17&lt;'Calc base'!D$17)))))</f>
        <v>0</v>
      </c>
      <c r="AJ274">
        <f>IF('Calc base'!E$14=0,0,MIN(X274,MAX(0,$E274-SUMPRODUCT($V274:$AG274,'Calc base'!$C$14:$N$14,('Calc base'!$H274:$S274&gt;'Calc base'!J274)+('Calc base'!$H274:$S274='Calc base'!J274)*('Calc base'!$C$17:$N$17&lt;'Calc base'!E$17)))))</f>
        <v>0</v>
      </c>
      <c r="AK274">
        <f>IF('Calc base'!F$14=0,0,MIN(Y274,MAX(0,$E274-SUMPRODUCT($V274:$AG274,'Calc base'!$C$14:$N$14,('Calc base'!$H274:$S274&gt;'Calc base'!K274)+('Calc base'!$H274:$S274='Calc base'!K274)*('Calc base'!$C$17:$N$17&lt;'Calc base'!F$17)))))</f>
        <v>0</v>
      </c>
      <c r="AL274">
        <f>IF('Calc base'!G$14=0,0,MIN(Z274,MAX(0,$E274-SUMPRODUCT($V274:$AG274,'Calc base'!$C$14:$N$14,('Calc base'!$H274:$S274&gt;'Calc base'!L274)+('Calc base'!$H274:$S274='Calc base'!L274)*('Calc base'!$C$17:$N$17&lt;'Calc base'!G$17)))))</f>
        <v>0</v>
      </c>
      <c r="AM274">
        <f>IF('Calc base'!H$14=0,0,MIN(AA274,MAX(0,$E274-SUMPRODUCT($V274:$AG274,'Calc base'!$C$14:$N$14,('Calc base'!$H274:$S274&gt;'Calc base'!M274)+('Calc base'!$H274:$S274='Calc base'!M274)*('Calc base'!$C$17:$N$17&lt;'Calc base'!H$17)))))</f>
        <v>0</v>
      </c>
      <c r="AN274">
        <f>IF('Calc base'!I$14=0,0,MIN(AB274,MAX(0,$E274-SUMPRODUCT($V274:$AG274,'Calc base'!$C$14:$N$14,('Calc base'!$H274:$S274&gt;'Calc base'!N274)+('Calc base'!$H274:$S274='Calc base'!N274)*('Calc base'!$C$17:$N$17&lt;'Calc base'!I$17)))))</f>
        <v>0</v>
      </c>
      <c r="AO274">
        <f>IF('Calc base'!J$14=0,0,MIN(AC274,MAX(0,$E274-SUMPRODUCT($V274:$AG274,'Calc base'!$C$14:$N$14,('Calc base'!$H274:$S274&gt;'Calc base'!O274)+('Calc base'!$H274:$S274='Calc base'!O274)*('Calc base'!$C$17:$N$17&lt;'Calc base'!J$17)))))</f>
        <v>0</v>
      </c>
      <c r="AP274">
        <f>IF('Calc base'!K$14=0,0,MIN(AD274,MAX(0,$E274-SUMPRODUCT($V274:$AG274,'Calc base'!$C$14:$N$14,('Calc base'!$H274:$S274&gt;'Calc base'!P274)+('Calc base'!$H274:$S274='Calc base'!P274)*('Calc base'!$C$17:$N$17&lt;'Calc base'!K$17)))))</f>
        <v>0</v>
      </c>
      <c r="AQ274">
        <f>IF('Calc base'!L$14=0,0,MIN(AE274,MAX(0,$E274-SUMPRODUCT($V274:$AG274,'Calc base'!$C$14:$N$14,('Calc base'!$H274:$S274&gt;'Calc base'!Q274)+('Calc base'!$H274:$S274='Calc base'!Q274)*('Calc base'!$C$17:$N$17&lt;'Calc base'!L$17)))))</f>
        <v>0</v>
      </c>
      <c r="AR274">
        <f>IF('Calc base'!M$14=0,0,MIN(AF274,MAX(0,$E274-SUMPRODUCT($V274:$AG274,'Calc base'!$C$14:$N$14,('Calc base'!$H274:$S274&gt;'Calc base'!R274)+('Calc base'!$H274:$S274='Calc base'!R274)*('Calc base'!$C$17:$N$17&lt;'Calc base'!M$17)))))</f>
        <v>0</v>
      </c>
      <c r="AS274">
        <f>IF('Calc base'!N$14=0,0,MIN(AG274,MAX(0,$E274-SUMPRODUCT($V274:$AG274,'Calc base'!$C$14:$N$14,('Calc base'!$H274:$S274&gt;'Calc base'!S274)+('Calc base'!$H274:$S274='Calc base'!S274)*('Calc base'!$C$17:$N$17&lt;'Calc base'!N$17)))))</f>
        <v>0</v>
      </c>
      <c r="AT274">
        <f>V274-AH274</f>
        <v>0</v>
      </c>
      <c r="AU274">
        <f>W274-AI274</f>
        <v>0</v>
      </c>
      <c r="AV274">
        <f>X274-AJ274</f>
        <v>0</v>
      </c>
      <c r="AW274">
        <f>Y274-AK274</f>
        <v>0</v>
      </c>
      <c r="AX274">
        <f>Z274-AL274</f>
        <v>0</v>
      </c>
      <c r="AY274">
        <f>AA274-AM274</f>
        <v>0</v>
      </c>
      <c r="AZ274">
        <f>AB274-AN274</f>
        <v>0</v>
      </c>
      <c r="BA274">
        <f>AC274-AO274</f>
        <v>0</v>
      </c>
      <c r="BB274">
        <f>AD274-AP274</f>
        <v>0</v>
      </c>
      <c r="BC274">
        <f>AE274-AQ274</f>
        <v>0</v>
      </c>
      <c r="BD274">
        <f>AF274-AR274</f>
        <v>0</v>
      </c>
      <c r="BE274">
        <f>AG274-AS274</f>
        <v>0</v>
      </c>
    </row>
    <row r="275">
      <c r="A275" t="n">
        <v>245</v>
      </c>
      <c r="B275">
        <f>SUMPRODUCT(ROUND($AT274:$BE274*(1+'Calc base'!$H275:$S275),2))</f>
        <v>0</v>
      </c>
      <c r="C275">
        <f>SUM(J275:U275)</f>
        <v>0</v>
      </c>
      <c r="D275">
        <f>SUM(V275:AG275)</f>
        <v>0</v>
      </c>
      <c r="E275">
        <f>MAX(0,IF(Impostazioni!$B$7="No",'Calc base'!$C275-$C$31,'Calc base'!$C275-C275)+'Calc base'!$G275+'Calc base'!$F275-(B275-C275-D275))</f>
        <v>900</v>
      </c>
      <c r="F275">
        <f>SUM(AH275:AS275)</f>
        <v>0</v>
      </c>
      <c r="G275">
        <f>SUM(AT275:BE275)</f>
        <v>0</v>
      </c>
      <c r="H275">
        <f>B275-G274</f>
        <v>0</v>
      </c>
      <c r="I275">
        <f>B275-G275</f>
        <v>0</v>
      </c>
      <c r="J275">
        <f>IF(AT274&lt;=0,0,IF(ROUND(AT274*(1+'Calc base'!H275),2)-MAX('Calc base'!C$12,ROUND('Calc base'!C$13*AT274,2))&lt;1,ROUND(AT274*(1+'Calc base'!H275),2),MAX('Calc base'!C$12,ROUND('Calc base'!C$13*AT274,2))))</f>
        <v>0</v>
      </c>
      <c r="K275">
        <f>IF(AU274&lt;=0,0,IF(ROUND(AU274*(1+'Calc base'!I275),2)-MAX('Calc base'!D$12,ROUND('Calc base'!D$13*AU274,2))&lt;1,ROUND(AU274*(1+'Calc base'!I275),2),MAX('Calc base'!D$12,ROUND('Calc base'!D$13*AU274,2))))</f>
        <v>0</v>
      </c>
      <c r="L275">
        <f>IF(AV274&lt;=0,0,IF(ROUND(AV274*(1+'Calc base'!J275),2)-MAX('Calc base'!E$12,ROUND('Calc base'!E$13*AV274,2))&lt;1,ROUND(AV274*(1+'Calc base'!J275),2),MAX('Calc base'!E$12,ROUND('Calc base'!E$13*AV274,2))))</f>
        <v>0</v>
      </c>
      <c r="M275">
        <f>IF(AW274&lt;=0,0,IF(ROUND(AW274*(1+'Calc base'!K275),2)-MAX('Calc base'!F$12,ROUND('Calc base'!F$13*AW274,2))&lt;1,ROUND(AW274*(1+'Calc base'!K275),2),MAX('Calc base'!F$12,ROUND('Calc base'!F$13*AW274,2))))</f>
        <v>0</v>
      </c>
      <c r="N275">
        <f>IF(AX274&lt;=0,0,IF(ROUND(AX274*(1+'Calc base'!L275),2)-MAX('Calc base'!G$12,ROUND('Calc base'!G$13*AX274,2))&lt;1,ROUND(AX274*(1+'Calc base'!L275),2),MAX('Calc base'!G$12,ROUND('Calc base'!G$13*AX274,2))))</f>
        <v>0</v>
      </c>
      <c r="O275">
        <f>IF(AY274&lt;=0,0,IF(ROUND(AY274*(1+'Calc base'!M275),2)-MAX('Calc base'!H$12,ROUND('Calc base'!H$13*AY274,2))&lt;1,ROUND(AY274*(1+'Calc base'!M275),2),MAX('Calc base'!H$12,ROUND('Calc base'!H$13*AY274,2))))</f>
        <v>0</v>
      </c>
      <c r="P275">
        <f>IF(AZ274&lt;=0,0,IF(ROUND(AZ274*(1+'Calc base'!N275),2)-MAX('Calc base'!I$12,ROUND('Calc base'!I$13*AZ274,2))&lt;1,ROUND(AZ274*(1+'Calc base'!N275),2),MAX('Calc base'!I$12,ROUND('Calc base'!I$13*AZ274,2))))</f>
        <v>0</v>
      </c>
      <c r="Q275">
        <f>IF(BA274&lt;=0,0,IF(ROUND(BA274*(1+'Calc base'!O275),2)-MAX('Calc base'!J$12,ROUND('Calc base'!J$13*BA274,2))&lt;1,ROUND(BA274*(1+'Calc base'!O275),2),MAX('Calc base'!J$12,ROUND('Calc base'!J$13*BA274,2))))</f>
        <v>0</v>
      </c>
      <c r="R275">
        <f>IF(BB274&lt;=0,0,IF(ROUND(BB274*(1+'Calc base'!P275),2)-MAX('Calc base'!K$12,ROUND('Calc base'!K$13*BB274,2))&lt;1,ROUND(BB274*(1+'Calc base'!P275),2),MAX('Calc base'!K$12,ROUND('Calc base'!K$13*BB274,2))))</f>
        <v>0</v>
      </c>
      <c r="S275">
        <f>IF(BC274&lt;=0,0,IF(ROUND(BC274*(1+'Calc base'!Q275),2)-MAX('Calc base'!L$12,ROUND('Calc base'!L$13*BC274,2))&lt;1,ROUND(BC274*(1+'Calc base'!Q275),2),MAX('Calc base'!L$12,ROUND('Calc base'!L$13*BC274,2))))</f>
        <v>0</v>
      </c>
      <c r="T275">
        <f>IF(BD274&lt;=0,0,IF(ROUND(BD274*(1+'Calc base'!R275),2)-MAX('Calc base'!M$12,ROUND('Calc base'!M$13*BD274,2))&lt;1,ROUND(BD274*(1+'Calc base'!R275),2),MAX('Calc base'!M$12,ROUND('Calc base'!M$13*BD274,2))))</f>
        <v>0</v>
      </c>
      <c r="U275">
        <f>IF(BE274&lt;=0,0,IF(ROUND(BE274*(1+'Calc base'!S275),2)-MAX('Calc base'!N$12,ROUND('Calc base'!N$13*BE274,2))&lt;1,ROUND(BE274*(1+'Calc base'!S275),2),MAX('Calc base'!N$12,ROUND('Calc base'!N$13*BE274,2))))</f>
        <v>0</v>
      </c>
      <c r="V275">
        <f>MAX(0,ROUND(AT274*(1+'Calc base'!H275),2)-J275-'Calc base'!T275)</f>
        <v>0</v>
      </c>
      <c r="W275">
        <f>MAX(0,ROUND(AU274*(1+'Calc base'!I275),2)-K275-'Calc base'!U275)</f>
        <v>0</v>
      </c>
      <c r="X275">
        <f>MAX(0,ROUND(AV274*(1+'Calc base'!J275),2)-L275-'Calc base'!V275)</f>
        <v>0</v>
      </c>
      <c r="Y275">
        <f>MAX(0,ROUND(AW274*(1+'Calc base'!K275),2)-M275-'Calc base'!W275)</f>
        <v>0</v>
      </c>
      <c r="Z275">
        <f>MAX(0,ROUND(AX274*(1+'Calc base'!L275),2)-N275-'Calc base'!X275)</f>
        <v>0</v>
      </c>
      <c r="AA275">
        <f>MAX(0,ROUND(AY274*(1+'Calc base'!M275),2)-O275-'Calc base'!Y275)</f>
        <v>0</v>
      </c>
      <c r="AB275">
        <f>MAX(0,ROUND(AZ274*(1+'Calc base'!N275),2)-P275-'Calc base'!Z275)</f>
        <v>0</v>
      </c>
      <c r="AC275">
        <f>MAX(0,ROUND(BA274*(1+'Calc base'!O275),2)-Q275-'Calc base'!AA275)</f>
        <v>0</v>
      </c>
      <c r="AD275">
        <f>MAX(0,ROUND(BB274*(1+'Calc base'!P275),2)-R275-'Calc base'!AB275)</f>
        <v>0</v>
      </c>
      <c r="AE275">
        <f>MAX(0,ROUND(BC274*(1+'Calc base'!Q275),2)-S275-'Calc base'!AC275)</f>
        <v>0</v>
      </c>
      <c r="AF275">
        <f>MAX(0,ROUND(BD274*(1+'Calc base'!R275),2)-T275-'Calc base'!AD275)</f>
        <v>0</v>
      </c>
      <c r="AG275">
        <f>MAX(0,ROUND(BE274*(1+'Calc base'!S275),2)-U275-'Calc base'!AE275)</f>
        <v>0</v>
      </c>
      <c r="AH275">
        <f>IF('Calc base'!C$14=0,0,MIN(V275,MAX(0,$E275-SUMPRODUCT($V275:$AG275,'Calc base'!$C$14:$N$14,('Calc base'!$H275:$S275&gt;'Calc base'!H275)+('Calc base'!$H275:$S275='Calc base'!H275)*('Calc base'!$C$17:$N$17&lt;'Calc base'!C$17)))))</f>
        <v>0</v>
      </c>
      <c r="AI275">
        <f>IF('Calc base'!D$14=0,0,MIN(W275,MAX(0,$E275-SUMPRODUCT($V275:$AG275,'Calc base'!$C$14:$N$14,('Calc base'!$H275:$S275&gt;'Calc base'!I275)+('Calc base'!$H275:$S275='Calc base'!I275)*('Calc base'!$C$17:$N$17&lt;'Calc base'!D$17)))))</f>
        <v>0</v>
      </c>
      <c r="AJ275">
        <f>IF('Calc base'!E$14=0,0,MIN(X275,MAX(0,$E275-SUMPRODUCT($V275:$AG275,'Calc base'!$C$14:$N$14,('Calc base'!$H275:$S275&gt;'Calc base'!J275)+('Calc base'!$H275:$S275='Calc base'!J275)*('Calc base'!$C$17:$N$17&lt;'Calc base'!E$17)))))</f>
        <v>0</v>
      </c>
      <c r="AK275">
        <f>IF('Calc base'!F$14=0,0,MIN(Y275,MAX(0,$E275-SUMPRODUCT($V275:$AG275,'Calc base'!$C$14:$N$14,('Calc base'!$H275:$S275&gt;'Calc base'!K275)+('Calc base'!$H275:$S275='Calc base'!K275)*('Calc base'!$C$17:$N$17&lt;'Calc base'!F$17)))))</f>
        <v>0</v>
      </c>
      <c r="AL275">
        <f>IF('Calc base'!G$14=0,0,MIN(Z275,MAX(0,$E275-SUMPRODUCT($V275:$AG275,'Calc base'!$C$14:$N$14,('Calc base'!$H275:$S275&gt;'Calc base'!L275)+('Calc base'!$H275:$S275='Calc base'!L275)*('Calc base'!$C$17:$N$17&lt;'Calc base'!G$17)))))</f>
        <v>0</v>
      </c>
      <c r="AM275">
        <f>IF('Calc base'!H$14=0,0,MIN(AA275,MAX(0,$E275-SUMPRODUCT($V275:$AG275,'Calc base'!$C$14:$N$14,('Calc base'!$H275:$S275&gt;'Calc base'!M275)+('Calc base'!$H275:$S275='Calc base'!M275)*('Calc base'!$C$17:$N$17&lt;'Calc base'!H$17)))))</f>
        <v>0</v>
      </c>
      <c r="AN275">
        <f>IF('Calc base'!I$14=0,0,MIN(AB275,MAX(0,$E275-SUMPRODUCT($V275:$AG275,'Calc base'!$C$14:$N$14,('Calc base'!$H275:$S275&gt;'Calc base'!N275)+('Calc base'!$H275:$S275='Calc base'!N275)*('Calc base'!$C$17:$N$17&lt;'Calc base'!I$17)))))</f>
        <v>0</v>
      </c>
      <c r="AO275">
        <f>IF('Calc base'!J$14=0,0,MIN(AC275,MAX(0,$E275-SUMPRODUCT($V275:$AG275,'Calc base'!$C$14:$N$14,('Calc base'!$H275:$S275&gt;'Calc base'!O275)+('Calc base'!$H275:$S275='Calc base'!O275)*('Calc base'!$C$17:$N$17&lt;'Calc base'!J$17)))))</f>
        <v>0</v>
      </c>
      <c r="AP275">
        <f>IF('Calc base'!K$14=0,0,MIN(AD275,MAX(0,$E275-SUMPRODUCT($V275:$AG275,'Calc base'!$C$14:$N$14,('Calc base'!$H275:$S275&gt;'Calc base'!P275)+('Calc base'!$H275:$S275='Calc base'!P275)*('Calc base'!$C$17:$N$17&lt;'Calc base'!K$17)))))</f>
        <v>0</v>
      </c>
      <c r="AQ275">
        <f>IF('Calc base'!L$14=0,0,MIN(AE275,MAX(0,$E275-SUMPRODUCT($V275:$AG275,'Calc base'!$C$14:$N$14,('Calc base'!$H275:$S275&gt;'Calc base'!Q275)+('Calc base'!$H275:$S275='Calc base'!Q275)*('Calc base'!$C$17:$N$17&lt;'Calc base'!L$17)))))</f>
        <v>0</v>
      </c>
      <c r="AR275">
        <f>IF('Calc base'!M$14=0,0,MIN(AF275,MAX(0,$E275-SUMPRODUCT($V275:$AG275,'Calc base'!$C$14:$N$14,('Calc base'!$H275:$S275&gt;'Calc base'!R275)+('Calc base'!$H275:$S275='Calc base'!R275)*('Calc base'!$C$17:$N$17&lt;'Calc base'!M$17)))))</f>
        <v>0</v>
      </c>
      <c r="AS275">
        <f>IF('Calc base'!N$14=0,0,MIN(AG275,MAX(0,$E275-SUMPRODUCT($V275:$AG275,'Calc base'!$C$14:$N$14,('Calc base'!$H275:$S275&gt;'Calc base'!S275)+('Calc base'!$H275:$S275='Calc base'!S275)*('Calc base'!$C$17:$N$17&lt;'Calc base'!N$17)))))</f>
        <v>0</v>
      </c>
      <c r="AT275">
        <f>V275-AH275</f>
        <v>0</v>
      </c>
      <c r="AU275">
        <f>W275-AI275</f>
        <v>0</v>
      </c>
      <c r="AV275">
        <f>X275-AJ275</f>
        <v>0</v>
      </c>
      <c r="AW275">
        <f>Y275-AK275</f>
        <v>0</v>
      </c>
      <c r="AX275">
        <f>Z275-AL275</f>
        <v>0</v>
      </c>
      <c r="AY275">
        <f>AA275-AM275</f>
        <v>0</v>
      </c>
      <c r="AZ275">
        <f>AB275-AN275</f>
        <v>0</v>
      </c>
      <c r="BA275">
        <f>AC275-AO275</f>
        <v>0</v>
      </c>
      <c r="BB275">
        <f>AD275-AP275</f>
        <v>0</v>
      </c>
      <c r="BC275">
        <f>AE275-AQ275</f>
        <v>0</v>
      </c>
      <c r="BD275">
        <f>AF275-AR275</f>
        <v>0</v>
      </c>
      <c r="BE275">
        <f>AG275-AS275</f>
        <v>0</v>
      </c>
    </row>
    <row r="276">
      <c r="A276" t="n">
        <v>246</v>
      </c>
      <c r="B276">
        <f>SUMPRODUCT(ROUND($AT275:$BE275*(1+'Calc base'!$H276:$S276),2))</f>
        <v>0</v>
      </c>
      <c r="C276">
        <f>SUM(J276:U276)</f>
        <v>0</v>
      </c>
      <c r="D276">
        <f>SUM(V276:AG276)</f>
        <v>0</v>
      </c>
      <c r="E276">
        <f>MAX(0,IF(Impostazioni!$B$7="No",'Calc base'!$C276-$C$31,'Calc base'!$C276-C276)+'Calc base'!$G276+'Calc base'!$F276-(B276-C276-D276))</f>
        <v>900</v>
      </c>
      <c r="F276">
        <f>SUM(AH276:AS276)</f>
        <v>0</v>
      </c>
      <c r="G276">
        <f>SUM(AT276:BE276)</f>
        <v>0</v>
      </c>
      <c r="H276">
        <f>B276-G275</f>
        <v>0</v>
      </c>
      <c r="I276">
        <f>B276-G276</f>
        <v>0</v>
      </c>
      <c r="J276">
        <f>IF(AT275&lt;=0,0,IF(ROUND(AT275*(1+'Calc base'!H276),2)-MAX('Calc base'!C$12,ROUND('Calc base'!C$13*AT275,2))&lt;1,ROUND(AT275*(1+'Calc base'!H276),2),MAX('Calc base'!C$12,ROUND('Calc base'!C$13*AT275,2))))</f>
        <v>0</v>
      </c>
      <c r="K276">
        <f>IF(AU275&lt;=0,0,IF(ROUND(AU275*(1+'Calc base'!I276),2)-MAX('Calc base'!D$12,ROUND('Calc base'!D$13*AU275,2))&lt;1,ROUND(AU275*(1+'Calc base'!I276),2),MAX('Calc base'!D$12,ROUND('Calc base'!D$13*AU275,2))))</f>
        <v>0</v>
      </c>
      <c r="L276">
        <f>IF(AV275&lt;=0,0,IF(ROUND(AV275*(1+'Calc base'!J276),2)-MAX('Calc base'!E$12,ROUND('Calc base'!E$13*AV275,2))&lt;1,ROUND(AV275*(1+'Calc base'!J276),2),MAX('Calc base'!E$12,ROUND('Calc base'!E$13*AV275,2))))</f>
        <v>0</v>
      </c>
      <c r="M276">
        <f>IF(AW275&lt;=0,0,IF(ROUND(AW275*(1+'Calc base'!K276),2)-MAX('Calc base'!F$12,ROUND('Calc base'!F$13*AW275,2))&lt;1,ROUND(AW275*(1+'Calc base'!K276),2),MAX('Calc base'!F$12,ROUND('Calc base'!F$13*AW275,2))))</f>
        <v>0</v>
      </c>
      <c r="N276">
        <f>IF(AX275&lt;=0,0,IF(ROUND(AX275*(1+'Calc base'!L276),2)-MAX('Calc base'!G$12,ROUND('Calc base'!G$13*AX275,2))&lt;1,ROUND(AX275*(1+'Calc base'!L276),2),MAX('Calc base'!G$12,ROUND('Calc base'!G$13*AX275,2))))</f>
        <v>0</v>
      </c>
      <c r="O276">
        <f>IF(AY275&lt;=0,0,IF(ROUND(AY275*(1+'Calc base'!M276),2)-MAX('Calc base'!H$12,ROUND('Calc base'!H$13*AY275,2))&lt;1,ROUND(AY275*(1+'Calc base'!M276),2),MAX('Calc base'!H$12,ROUND('Calc base'!H$13*AY275,2))))</f>
        <v>0</v>
      </c>
      <c r="P276">
        <f>IF(AZ275&lt;=0,0,IF(ROUND(AZ275*(1+'Calc base'!N276),2)-MAX('Calc base'!I$12,ROUND('Calc base'!I$13*AZ275,2))&lt;1,ROUND(AZ275*(1+'Calc base'!N276),2),MAX('Calc base'!I$12,ROUND('Calc base'!I$13*AZ275,2))))</f>
        <v>0</v>
      </c>
      <c r="Q276">
        <f>IF(BA275&lt;=0,0,IF(ROUND(BA275*(1+'Calc base'!O276),2)-MAX('Calc base'!J$12,ROUND('Calc base'!J$13*BA275,2))&lt;1,ROUND(BA275*(1+'Calc base'!O276),2),MAX('Calc base'!J$12,ROUND('Calc base'!J$13*BA275,2))))</f>
        <v>0</v>
      </c>
      <c r="R276">
        <f>IF(BB275&lt;=0,0,IF(ROUND(BB275*(1+'Calc base'!P276),2)-MAX('Calc base'!K$12,ROUND('Calc base'!K$13*BB275,2))&lt;1,ROUND(BB275*(1+'Calc base'!P276),2),MAX('Calc base'!K$12,ROUND('Calc base'!K$13*BB275,2))))</f>
        <v>0</v>
      </c>
      <c r="S276">
        <f>IF(BC275&lt;=0,0,IF(ROUND(BC275*(1+'Calc base'!Q276),2)-MAX('Calc base'!L$12,ROUND('Calc base'!L$13*BC275,2))&lt;1,ROUND(BC275*(1+'Calc base'!Q276),2),MAX('Calc base'!L$12,ROUND('Calc base'!L$13*BC275,2))))</f>
        <v>0</v>
      </c>
      <c r="T276">
        <f>IF(BD275&lt;=0,0,IF(ROUND(BD275*(1+'Calc base'!R276),2)-MAX('Calc base'!M$12,ROUND('Calc base'!M$13*BD275,2))&lt;1,ROUND(BD275*(1+'Calc base'!R276),2),MAX('Calc base'!M$12,ROUND('Calc base'!M$13*BD275,2))))</f>
        <v>0</v>
      </c>
      <c r="U276">
        <f>IF(BE275&lt;=0,0,IF(ROUND(BE275*(1+'Calc base'!S276),2)-MAX('Calc base'!N$12,ROUND('Calc base'!N$13*BE275,2))&lt;1,ROUND(BE275*(1+'Calc base'!S276),2),MAX('Calc base'!N$12,ROUND('Calc base'!N$13*BE275,2))))</f>
        <v>0</v>
      </c>
      <c r="V276">
        <f>MAX(0,ROUND(AT275*(1+'Calc base'!H276),2)-J276-'Calc base'!T276)</f>
        <v>0</v>
      </c>
      <c r="W276">
        <f>MAX(0,ROUND(AU275*(1+'Calc base'!I276),2)-K276-'Calc base'!U276)</f>
        <v>0</v>
      </c>
      <c r="X276">
        <f>MAX(0,ROUND(AV275*(1+'Calc base'!J276),2)-L276-'Calc base'!V276)</f>
        <v>0</v>
      </c>
      <c r="Y276">
        <f>MAX(0,ROUND(AW275*(1+'Calc base'!K276),2)-M276-'Calc base'!W276)</f>
        <v>0</v>
      </c>
      <c r="Z276">
        <f>MAX(0,ROUND(AX275*(1+'Calc base'!L276),2)-N276-'Calc base'!X276)</f>
        <v>0</v>
      </c>
      <c r="AA276">
        <f>MAX(0,ROUND(AY275*(1+'Calc base'!M276),2)-O276-'Calc base'!Y276)</f>
        <v>0</v>
      </c>
      <c r="AB276">
        <f>MAX(0,ROUND(AZ275*(1+'Calc base'!N276),2)-P276-'Calc base'!Z276)</f>
        <v>0</v>
      </c>
      <c r="AC276">
        <f>MAX(0,ROUND(BA275*(1+'Calc base'!O276),2)-Q276-'Calc base'!AA276)</f>
        <v>0</v>
      </c>
      <c r="AD276">
        <f>MAX(0,ROUND(BB275*(1+'Calc base'!P276),2)-R276-'Calc base'!AB276)</f>
        <v>0</v>
      </c>
      <c r="AE276">
        <f>MAX(0,ROUND(BC275*(1+'Calc base'!Q276),2)-S276-'Calc base'!AC276)</f>
        <v>0</v>
      </c>
      <c r="AF276">
        <f>MAX(0,ROUND(BD275*(1+'Calc base'!R276),2)-T276-'Calc base'!AD276)</f>
        <v>0</v>
      </c>
      <c r="AG276">
        <f>MAX(0,ROUND(BE275*(1+'Calc base'!S276),2)-U276-'Calc base'!AE276)</f>
        <v>0</v>
      </c>
      <c r="AH276">
        <f>IF('Calc base'!C$14=0,0,MIN(V276,MAX(0,$E276-SUMPRODUCT($V276:$AG276,'Calc base'!$C$14:$N$14,('Calc base'!$H276:$S276&gt;'Calc base'!H276)+('Calc base'!$H276:$S276='Calc base'!H276)*('Calc base'!$C$17:$N$17&lt;'Calc base'!C$17)))))</f>
        <v>0</v>
      </c>
      <c r="AI276">
        <f>IF('Calc base'!D$14=0,0,MIN(W276,MAX(0,$E276-SUMPRODUCT($V276:$AG276,'Calc base'!$C$14:$N$14,('Calc base'!$H276:$S276&gt;'Calc base'!I276)+('Calc base'!$H276:$S276='Calc base'!I276)*('Calc base'!$C$17:$N$17&lt;'Calc base'!D$17)))))</f>
        <v>0</v>
      </c>
      <c r="AJ276">
        <f>IF('Calc base'!E$14=0,0,MIN(X276,MAX(0,$E276-SUMPRODUCT($V276:$AG276,'Calc base'!$C$14:$N$14,('Calc base'!$H276:$S276&gt;'Calc base'!J276)+('Calc base'!$H276:$S276='Calc base'!J276)*('Calc base'!$C$17:$N$17&lt;'Calc base'!E$17)))))</f>
        <v>0</v>
      </c>
      <c r="AK276">
        <f>IF('Calc base'!F$14=0,0,MIN(Y276,MAX(0,$E276-SUMPRODUCT($V276:$AG276,'Calc base'!$C$14:$N$14,('Calc base'!$H276:$S276&gt;'Calc base'!K276)+('Calc base'!$H276:$S276='Calc base'!K276)*('Calc base'!$C$17:$N$17&lt;'Calc base'!F$17)))))</f>
        <v>0</v>
      </c>
      <c r="AL276">
        <f>IF('Calc base'!G$14=0,0,MIN(Z276,MAX(0,$E276-SUMPRODUCT($V276:$AG276,'Calc base'!$C$14:$N$14,('Calc base'!$H276:$S276&gt;'Calc base'!L276)+('Calc base'!$H276:$S276='Calc base'!L276)*('Calc base'!$C$17:$N$17&lt;'Calc base'!G$17)))))</f>
        <v>0</v>
      </c>
      <c r="AM276">
        <f>IF('Calc base'!H$14=0,0,MIN(AA276,MAX(0,$E276-SUMPRODUCT($V276:$AG276,'Calc base'!$C$14:$N$14,('Calc base'!$H276:$S276&gt;'Calc base'!M276)+('Calc base'!$H276:$S276='Calc base'!M276)*('Calc base'!$C$17:$N$17&lt;'Calc base'!H$17)))))</f>
        <v>0</v>
      </c>
      <c r="AN276">
        <f>IF('Calc base'!I$14=0,0,MIN(AB276,MAX(0,$E276-SUMPRODUCT($V276:$AG276,'Calc base'!$C$14:$N$14,('Calc base'!$H276:$S276&gt;'Calc base'!N276)+('Calc base'!$H276:$S276='Calc base'!N276)*('Calc base'!$C$17:$N$17&lt;'Calc base'!I$17)))))</f>
        <v>0</v>
      </c>
      <c r="AO276">
        <f>IF('Calc base'!J$14=0,0,MIN(AC276,MAX(0,$E276-SUMPRODUCT($V276:$AG276,'Calc base'!$C$14:$N$14,('Calc base'!$H276:$S276&gt;'Calc base'!O276)+('Calc base'!$H276:$S276='Calc base'!O276)*('Calc base'!$C$17:$N$17&lt;'Calc base'!J$17)))))</f>
        <v>0</v>
      </c>
      <c r="AP276">
        <f>IF('Calc base'!K$14=0,0,MIN(AD276,MAX(0,$E276-SUMPRODUCT($V276:$AG276,'Calc base'!$C$14:$N$14,('Calc base'!$H276:$S276&gt;'Calc base'!P276)+('Calc base'!$H276:$S276='Calc base'!P276)*('Calc base'!$C$17:$N$17&lt;'Calc base'!K$17)))))</f>
        <v>0</v>
      </c>
      <c r="AQ276">
        <f>IF('Calc base'!L$14=0,0,MIN(AE276,MAX(0,$E276-SUMPRODUCT($V276:$AG276,'Calc base'!$C$14:$N$14,('Calc base'!$H276:$S276&gt;'Calc base'!Q276)+('Calc base'!$H276:$S276='Calc base'!Q276)*('Calc base'!$C$17:$N$17&lt;'Calc base'!L$17)))))</f>
        <v>0</v>
      </c>
      <c r="AR276">
        <f>IF('Calc base'!M$14=0,0,MIN(AF276,MAX(0,$E276-SUMPRODUCT($V276:$AG276,'Calc base'!$C$14:$N$14,('Calc base'!$H276:$S276&gt;'Calc base'!R276)+('Calc base'!$H276:$S276='Calc base'!R276)*('Calc base'!$C$17:$N$17&lt;'Calc base'!M$17)))))</f>
        <v>0</v>
      </c>
      <c r="AS276">
        <f>IF('Calc base'!N$14=0,0,MIN(AG276,MAX(0,$E276-SUMPRODUCT($V276:$AG276,'Calc base'!$C$14:$N$14,('Calc base'!$H276:$S276&gt;'Calc base'!S276)+('Calc base'!$H276:$S276='Calc base'!S276)*('Calc base'!$C$17:$N$17&lt;'Calc base'!N$17)))))</f>
        <v>0</v>
      </c>
      <c r="AT276">
        <f>V276-AH276</f>
        <v>0</v>
      </c>
      <c r="AU276">
        <f>W276-AI276</f>
        <v>0</v>
      </c>
      <c r="AV276">
        <f>X276-AJ276</f>
        <v>0</v>
      </c>
      <c r="AW276">
        <f>Y276-AK276</f>
        <v>0</v>
      </c>
      <c r="AX276">
        <f>Z276-AL276</f>
        <v>0</v>
      </c>
      <c r="AY276">
        <f>AA276-AM276</f>
        <v>0</v>
      </c>
      <c r="AZ276">
        <f>AB276-AN276</f>
        <v>0</v>
      </c>
      <c r="BA276">
        <f>AC276-AO276</f>
        <v>0</v>
      </c>
      <c r="BB276">
        <f>AD276-AP276</f>
        <v>0</v>
      </c>
      <c r="BC276">
        <f>AE276-AQ276</f>
        <v>0</v>
      </c>
      <c r="BD276">
        <f>AF276-AR276</f>
        <v>0</v>
      </c>
      <c r="BE276">
        <f>AG276-AS276</f>
        <v>0</v>
      </c>
    </row>
    <row r="277">
      <c r="A277" t="n">
        <v>247</v>
      </c>
      <c r="B277">
        <f>SUMPRODUCT(ROUND($AT276:$BE276*(1+'Calc base'!$H277:$S277),2))</f>
        <v>0</v>
      </c>
      <c r="C277">
        <f>SUM(J277:U277)</f>
        <v>0</v>
      </c>
      <c r="D277">
        <f>SUM(V277:AG277)</f>
        <v>0</v>
      </c>
      <c r="E277">
        <f>MAX(0,IF(Impostazioni!$B$7="No",'Calc base'!$C277-$C$31,'Calc base'!$C277-C277)+'Calc base'!$G277+'Calc base'!$F277-(B277-C277-D277))</f>
        <v>900</v>
      </c>
      <c r="F277">
        <f>SUM(AH277:AS277)</f>
        <v>0</v>
      </c>
      <c r="G277">
        <f>SUM(AT277:BE277)</f>
        <v>0</v>
      </c>
      <c r="H277">
        <f>B277-G276</f>
        <v>0</v>
      </c>
      <c r="I277">
        <f>B277-G277</f>
        <v>0</v>
      </c>
      <c r="J277">
        <f>IF(AT276&lt;=0,0,IF(ROUND(AT276*(1+'Calc base'!H277),2)-MAX('Calc base'!C$12,ROUND('Calc base'!C$13*AT276,2))&lt;1,ROUND(AT276*(1+'Calc base'!H277),2),MAX('Calc base'!C$12,ROUND('Calc base'!C$13*AT276,2))))</f>
        <v>0</v>
      </c>
      <c r="K277">
        <f>IF(AU276&lt;=0,0,IF(ROUND(AU276*(1+'Calc base'!I277),2)-MAX('Calc base'!D$12,ROUND('Calc base'!D$13*AU276,2))&lt;1,ROUND(AU276*(1+'Calc base'!I277),2),MAX('Calc base'!D$12,ROUND('Calc base'!D$13*AU276,2))))</f>
        <v>0</v>
      </c>
      <c r="L277">
        <f>IF(AV276&lt;=0,0,IF(ROUND(AV276*(1+'Calc base'!J277),2)-MAX('Calc base'!E$12,ROUND('Calc base'!E$13*AV276,2))&lt;1,ROUND(AV276*(1+'Calc base'!J277),2),MAX('Calc base'!E$12,ROUND('Calc base'!E$13*AV276,2))))</f>
        <v>0</v>
      </c>
      <c r="M277">
        <f>IF(AW276&lt;=0,0,IF(ROUND(AW276*(1+'Calc base'!K277),2)-MAX('Calc base'!F$12,ROUND('Calc base'!F$13*AW276,2))&lt;1,ROUND(AW276*(1+'Calc base'!K277),2),MAX('Calc base'!F$12,ROUND('Calc base'!F$13*AW276,2))))</f>
        <v>0</v>
      </c>
      <c r="N277">
        <f>IF(AX276&lt;=0,0,IF(ROUND(AX276*(1+'Calc base'!L277),2)-MAX('Calc base'!G$12,ROUND('Calc base'!G$13*AX276,2))&lt;1,ROUND(AX276*(1+'Calc base'!L277),2),MAX('Calc base'!G$12,ROUND('Calc base'!G$13*AX276,2))))</f>
        <v>0</v>
      </c>
      <c r="O277">
        <f>IF(AY276&lt;=0,0,IF(ROUND(AY276*(1+'Calc base'!M277),2)-MAX('Calc base'!H$12,ROUND('Calc base'!H$13*AY276,2))&lt;1,ROUND(AY276*(1+'Calc base'!M277),2),MAX('Calc base'!H$12,ROUND('Calc base'!H$13*AY276,2))))</f>
        <v>0</v>
      </c>
      <c r="P277">
        <f>IF(AZ276&lt;=0,0,IF(ROUND(AZ276*(1+'Calc base'!N277),2)-MAX('Calc base'!I$12,ROUND('Calc base'!I$13*AZ276,2))&lt;1,ROUND(AZ276*(1+'Calc base'!N277),2),MAX('Calc base'!I$12,ROUND('Calc base'!I$13*AZ276,2))))</f>
        <v>0</v>
      </c>
      <c r="Q277">
        <f>IF(BA276&lt;=0,0,IF(ROUND(BA276*(1+'Calc base'!O277),2)-MAX('Calc base'!J$12,ROUND('Calc base'!J$13*BA276,2))&lt;1,ROUND(BA276*(1+'Calc base'!O277),2),MAX('Calc base'!J$12,ROUND('Calc base'!J$13*BA276,2))))</f>
        <v>0</v>
      </c>
      <c r="R277">
        <f>IF(BB276&lt;=0,0,IF(ROUND(BB276*(1+'Calc base'!P277),2)-MAX('Calc base'!K$12,ROUND('Calc base'!K$13*BB276,2))&lt;1,ROUND(BB276*(1+'Calc base'!P277),2),MAX('Calc base'!K$12,ROUND('Calc base'!K$13*BB276,2))))</f>
        <v>0</v>
      </c>
      <c r="S277">
        <f>IF(BC276&lt;=0,0,IF(ROUND(BC276*(1+'Calc base'!Q277),2)-MAX('Calc base'!L$12,ROUND('Calc base'!L$13*BC276,2))&lt;1,ROUND(BC276*(1+'Calc base'!Q277),2),MAX('Calc base'!L$12,ROUND('Calc base'!L$13*BC276,2))))</f>
        <v>0</v>
      </c>
      <c r="T277">
        <f>IF(BD276&lt;=0,0,IF(ROUND(BD276*(1+'Calc base'!R277),2)-MAX('Calc base'!M$12,ROUND('Calc base'!M$13*BD276,2))&lt;1,ROUND(BD276*(1+'Calc base'!R277),2),MAX('Calc base'!M$12,ROUND('Calc base'!M$13*BD276,2))))</f>
        <v>0</v>
      </c>
      <c r="U277">
        <f>IF(BE276&lt;=0,0,IF(ROUND(BE276*(1+'Calc base'!S277),2)-MAX('Calc base'!N$12,ROUND('Calc base'!N$13*BE276,2))&lt;1,ROUND(BE276*(1+'Calc base'!S277),2),MAX('Calc base'!N$12,ROUND('Calc base'!N$13*BE276,2))))</f>
        <v>0</v>
      </c>
      <c r="V277">
        <f>MAX(0,ROUND(AT276*(1+'Calc base'!H277),2)-J277-'Calc base'!T277)</f>
        <v>0</v>
      </c>
      <c r="W277">
        <f>MAX(0,ROUND(AU276*(1+'Calc base'!I277),2)-K277-'Calc base'!U277)</f>
        <v>0</v>
      </c>
      <c r="X277">
        <f>MAX(0,ROUND(AV276*(1+'Calc base'!J277),2)-L277-'Calc base'!V277)</f>
        <v>0</v>
      </c>
      <c r="Y277">
        <f>MAX(0,ROUND(AW276*(1+'Calc base'!K277),2)-M277-'Calc base'!W277)</f>
        <v>0</v>
      </c>
      <c r="Z277">
        <f>MAX(0,ROUND(AX276*(1+'Calc base'!L277),2)-N277-'Calc base'!X277)</f>
        <v>0</v>
      </c>
      <c r="AA277">
        <f>MAX(0,ROUND(AY276*(1+'Calc base'!M277),2)-O277-'Calc base'!Y277)</f>
        <v>0</v>
      </c>
      <c r="AB277">
        <f>MAX(0,ROUND(AZ276*(1+'Calc base'!N277),2)-P277-'Calc base'!Z277)</f>
        <v>0</v>
      </c>
      <c r="AC277">
        <f>MAX(0,ROUND(BA276*(1+'Calc base'!O277),2)-Q277-'Calc base'!AA277)</f>
        <v>0</v>
      </c>
      <c r="AD277">
        <f>MAX(0,ROUND(BB276*(1+'Calc base'!P277),2)-R277-'Calc base'!AB277)</f>
        <v>0</v>
      </c>
      <c r="AE277">
        <f>MAX(0,ROUND(BC276*(1+'Calc base'!Q277),2)-S277-'Calc base'!AC277)</f>
        <v>0</v>
      </c>
      <c r="AF277">
        <f>MAX(0,ROUND(BD276*(1+'Calc base'!R277),2)-T277-'Calc base'!AD277)</f>
        <v>0</v>
      </c>
      <c r="AG277">
        <f>MAX(0,ROUND(BE276*(1+'Calc base'!S277),2)-U277-'Calc base'!AE277)</f>
        <v>0</v>
      </c>
      <c r="AH277">
        <f>IF('Calc base'!C$14=0,0,MIN(V277,MAX(0,$E277-SUMPRODUCT($V277:$AG277,'Calc base'!$C$14:$N$14,('Calc base'!$H277:$S277&gt;'Calc base'!H277)+('Calc base'!$H277:$S277='Calc base'!H277)*('Calc base'!$C$17:$N$17&lt;'Calc base'!C$17)))))</f>
        <v>0</v>
      </c>
      <c r="AI277">
        <f>IF('Calc base'!D$14=0,0,MIN(W277,MAX(0,$E277-SUMPRODUCT($V277:$AG277,'Calc base'!$C$14:$N$14,('Calc base'!$H277:$S277&gt;'Calc base'!I277)+('Calc base'!$H277:$S277='Calc base'!I277)*('Calc base'!$C$17:$N$17&lt;'Calc base'!D$17)))))</f>
        <v>0</v>
      </c>
      <c r="AJ277">
        <f>IF('Calc base'!E$14=0,0,MIN(X277,MAX(0,$E277-SUMPRODUCT($V277:$AG277,'Calc base'!$C$14:$N$14,('Calc base'!$H277:$S277&gt;'Calc base'!J277)+('Calc base'!$H277:$S277='Calc base'!J277)*('Calc base'!$C$17:$N$17&lt;'Calc base'!E$17)))))</f>
        <v>0</v>
      </c>
      <c r="AK277">
        <f>IF('Calc base'!F$14=0,0,MIN(Y277,MAX(0,$E277-SUMPRODUCT($V277:$AG277,'Calc base'!$C$14:$N$14,('Calc base'!$H277:$S277&gt;'Calc base'!K277)+('Calc base'!$H277:$S277='Calc base'!K277)*('Calc base'!$C$17:$N$17&lt;'Calc base'!F$17)))))</f>
        <v>0</v>
      </c>
      <c r="AL277">
        <f>IF('Calc base'!G$14=0,0,MIN(Z277,MAX(0,$E277-SUMPRODUCT($V277:$AG277,'Calc base'!$C$14:$N$14,('Calc base'!$H277:$S277&gt;'Calc base'!L277)+('Calc base'!$H277:$S277='Calc base'!L277)*('Calc base'!$C$17:$N$17&lt;'Calc base'!G$17)))))</f>
        <v>0</v>
      </c>
      <c r="AM277">
        <f>IF('Calc base'!H$14=0,0,MIN(AA277,MAX(0,$E277-SUMPRODUCT($V277:$AG277,'Calc base'!$C$14:$N$14,('Calc base'!$H277:$S277&gt;'Calc base'!M277)+('Calc base'!$H277:$S277='Calc base'!M277)*('Calc base'!$C$17:$N$17&lt;'Calc base'!H$17)))))</f>
        <v>0</v>
      </c>
      <c r="AN277">
        <f>IF('Calc base'!I$14=0,0,MIN(AB277,MAX(0,$E277-SUMPRODUCT($V277:$AG277,'Calc base'!$C$14:$N$14,('Calc base'!$H277:$S277&gt;'Calc base'!N277)+('Calc base'!$H277:$S277='Calc base'!N277)*('Calc base'!$C$17:$N$17&lt;'Calc base'!I$17)))))</f>
        <v>0</v>
      </c>
      <c r="AO277">
        <f>IF('Calc base'!J$14=0,0,MIN(AC277,MAX(0,$E277-SUMPRODUCT($V277:$AG277,'Calc base'!$C$14:$N$14,('Calc base'!$H277:$S277&gt;'Calc base'!O277)+('Calc base'!$H277:$S277='Calc base'!O277)*('Calc base'!$C$17:$N$17&lt;'Calc base'!J$17)))))</f>
        <v>0</v>
      </c>
      <c r="AP277">
        <f>IF('Calc base'!K$14=0,0,MIN(AD277,MAX(0,$E277-SUMPRODUCT($V277:$AG277,'Calc base'!$C$14:$N$14,('Calc base'!$H277:$S277&gt;'Calc base'!P277)+('Calc base'!$H277:$S277='Calc base'!P277)*('Calc base'!$C$17:$N$17&lt;'Calc base'!K$17)))))</f>
        <v>0</v>
      </c>
      <c r="AQ277">
        <f>IF('Calc base'!L$14=0,0,MIN(AE277,MAX(0,$E277-SUMPRODUCT($V277:$AG277,'Calc base'!$C$14:$N$14,('Calc base'!$H277:$S277&gt;'Calc base'!Q277)+('Calc base'!$H277:$S277='Calc base'!Q277)*('Calc base'!$C$17:$N$17&lt;'Calc base'!L$17)))))</f>
        <v>0</v>
      </c>
      <c r="AR277">
        <f>IF('Calc base'!M$14=0,0,MIN(AF277,MAX(0,$E277-SUMPRODUCT($V277:$AG277,'Calc base'!$C$14:$N$14,('Calc base'!$H277:$S277&gt;'Calc base'!R277)+('Calc base'!$H277:$S277='Calc base'!R277)*('Calc base'!$C$17:$N$17&lt;'Calc base'!M$17)))))</f>
        <v>0</v>
      </c>
      <c r="AS277">
        <f>IF('Calc base'!N$14=0,0,MIN(AG277,MAX(0,$E277-SUMPRODUCT($V277:$AG277,'Calc base'!$C$14:$N$14,('Calc base'!$H277:$S277&gt;'Calc base'!S277)+('Calc base'!$H277:$S277='Calc base'!S277)*('Calc base'!$C$17:$N$17&lt;'Calc base'!N$17)))))</f>
        <v>0</v>
      </c>
      <c r="AT277">
        <f>V277-AH277</f>
        <v>0</v>
      </c>
      <c r="AU277">
        <f>W277-AI277</f>
        <v>0</v>
      </c>
      <c r="AV277">
        <f>X277-AJ277</f>
        <v>0</v>
      </c>
      <c r="AW277">
        <f>Y277-AK277</f>
        <v>0</v>
      </c>
      <c r="AX277">
        <f>Z277-AL277</f>
        <v>0</v>
      </c>
      <c r="AY277">
        <f>AA277-AM277</f>
        <v>0</v>
      </c>
      <c r="AZ277">
        <f>AB277-AN277</f>
        <v>0</v>
      </c>
      <c r="BA277">
        <f>AC277-AO277</f>
        <v>0</v>
      </c>
      <c r="BB277">
        <f>AD277-AP277</f>
        <v>0</v>
      </c>
      <c r="BC277">
        <f>AE277-AQ277</f>
        <v>0</v>
      </c>
      <c r="BD277">
        <f>AF277-AR277</f>
        <v>0</v>
      </c>
      <c r="BE277">
        <f>AG277-AS277</f>
        <v>0</v>
      </c>
    </row>
    <row r="278">
      <c r="A278" t="n">
        <v>248</v>
      </c>
      <c r="B278">
        <f>SUMPRODUCT(ROUND($AT277:$BE277*(1+'Calc base'!$H278:$S278),2))</f>
        <v>0</v>
      </c>
      <c r="C278">
        <f>SUM(J278:U278)</f>
        <v>0</v>
      </c>
      <c r="D278">
        <f>SUM(V278:AG278)</f>
        <v>0</v>
      </c>
      <c r="E278">
        <f>MAX(0,IF(Impostazioni!$B$7="No",'Calc base'!$C278-$C$31,'Calc base'!$C278-C278)+'Calc base'!$G278+'Calc base'!$F278-(B278-C278-D278))</f>
        <v>900</v>
      </c>
      <c r="F278">
        <f>SUM(AH278:AS278)</f>
        <v>0</v>
      </c>
      <c r="G278">
        <f>SUM(AT278:BE278)</f>
        <v>0</v>
      </c>
      <c r="H278">
        <f>B278-G277</f>
        <v>0</v>
      </c>
      <c r="I278">
        <f>B278-G278</f>
        <v>0</v>
      </c>
      <c r="J278">
        <f>IF(AT277&lt;=0,0,IF(ROUND(AT277*(1+'Calc base'!H278),2)-MAX('Calc base'!C$12,ROUND('Calc base'!C$13*AT277,2))&lt;1,ROUND(AT277*(1+'Calc base'!H278),2),MAX('Calc base'!C$12,ROUND('Calc base'!C$13*AT277,2))))</f>
        <v>0</v>
      </c>
      <c r="K278">
        <f>IF(AU277&lt;=0,0,IF(ROUND(AU277*(1+'Calc base'!I278),2)-MAX('Calc base'!D$12,ROUND('Calc base'!D$13*AU277,2))&lt;1,ROUND(AU277*(1+'Calc base'!I278),2),MAX('Calc base'!D$12,ROUND('Calc base'!D$13*AU277,2))))</f>
        <v>0</v>
      </c>
      <c r="L278">
        <f>IF(AV277&lt;=0,0,IF(ROUND(AV277*(1+'Calc base'!J278),2)-MAX('Calc base'!E$12,ROUND('Calc base'!E$13*AV277,2))&lt;1,ROUND(AV277*(1+'Calc base'!J278),2),MAX('Calc base'!E$12,ROUND('Calc base'!E$13*AV277,2))))</f>
        <v>0</v>
      </c>
      <c r="M278">
        <f>IF(AW277&lt;=0,0,IF(ROUND(AW277*(1+'Calc base'!K278),2)-MAX('Calc base'!F$12,ROUND('Calc base'!F$13*AW277,2))&lt;1,ROUND(AW277*(1+'Calc base'!K278),2),MAX('Calc base'!F$12,ROUND('Calc base'!F$13*AW277,2))))</f>
        <v>0</v>
      </c>
      <c r="N278">
        <f>IF(AX277&lt;=0,0,IF(ROUND(AX277*(1+'Calc base'!L278),2)-MAX('Calc base'!G$12,ROUND('Calc base'!G$13*AX277,2))&lt;1,ROUND(AX277*(1+'Calc base'!L278),2),MAX('Calc base'!G$12,ROUND('Calc base'!G$13*AX277,2))))</f>
        <v>0</v>
      </c>
      <c r="O278">
        <f>IF(AY277&lt;=0,0,IF(ROUND(AY277*(1+'Calc base'!M278),2)-MAX('Calc base'!H$12,ROUND('Calc base'!H$13*AY277,2))&lt;1,ROUND(AY277*(1+'Calc base'!M278),2),MAX('Calc base'!H$12,ROUND('Calc base'!H$13*AY277,2))))</f>
        <v>0</v>
      </c>
      <c r="P278">
        <f>IF(AZ277&lt;=0,0,IF(ROUND(AZ277*(1+'Calc base'!N278),2)-MAX('Calc base'!I$12,ROUND('Calc base'!I$13*AZ277,2))&lt;1,ROUND(AZ277*(1+'Calc base'!N278),2),MAX('Calc base'!I$12,ROUND('Calc base'!I$13*AZ277,2))))</f>
        <v>0</v>
      </c>
      <c r="Q278">
        <f>IF(BA277&lt;=0,0,IF(ROUND(BA277*(1+'Calc base'!O278),2)-MAX('Calc base'!J$12,ROUND('Calc base'!J$13*BA277,2))&lt;1,ROUND(BA277*(1+'Calc base'!O278),2),MAX('Calc base'!J$12,ROUND('Calc base'!J$13*BA277,2))))</f>
        <v>0</v>
      </c>
      <c r="R278">
        <f>IF(BB277&lt;=0,0,IF(ROUND(BB277*(1+'Calc base'!P278),2)-MAX('Calc base'!K$12,ROUND('Calc base'!K$13*BB277,2))&lt;1,ROUND(BB277*(1+'Calc base'!P278),2),MAX('Calc base'!K$12,ROUND('Calc base'!K$13*BB277,2))))</f>
        <v>0</v>
      </c>
      <c r="S278">
        <f>IF(BC277&lt;=0,0,IF(ROUND(BC277*(1+'Calc base'!Q278),2)-MAX('Calc base'!L$12,ROUND('Calc base'!L$13*BC277,2))&lt;1,ROUND(BC277*(1+'Calc base'!Q278),2),MAX('Calc base'!L$12,ROUND('Calc base'!L$13*BC277,2))))</f>
        <v>0</v>
      </c>
      <c r="T278">
        <f>IF(BD277&lt;=0,0,IF(ROUND(BD277*(1+'Calc base'!R278),2)-MAX('Calc base'!M$12,ROUND('Calc base'!M$13*BD277,2))&lt;1,ROUND(BD277*(1+'Calc base'!R278),2),MAX('Calc base'!M$12,ROUND('Calc base'!M$13*BD277,2))))</f>
        <v>0</v>
      </c>
      <c r="U278">
        <f>IF(BE277&lt;=0,0,IF(ROUND(BE277*(1+'Calc base'!S278),2)-MAX('Calc base'!N$12,ROUND('Calc base'!N$13*BE277,2))&lt;1,ROUND(BE277*(1+'Calc base'!S278),2),MAX('Calc base'!N$12,ROUND('Calc base'!N$13*BE277,2))))</f>
        <v>0</v>
      </c>
      <c r="V278">
        <f>MAX(0,ROUND(AT277*(1+'Calc base'!H278),2)-J278-'Calc base'!T278)</f>
        <v>0</v>
      </c>
      <c r="W278">
        <f>MAX(0,ROUND(AU277*(1+'Calc base'!I278),2)-K278-'Calc base'!U278)</f>
        <v>0</v>
      </c>
      <c r="X278">
        <f>MAX(0,ROUND(AV277*(1+'Calc base'!J278),2)-L278-'Calc base'!V278)</f>
        <v>0</v>
      </c>
      <c r="Y278">
        <f>MAX(0,ROUND(AW277*(1+'Calc base'!K278),2)-M278-'Calc base'!W278)</f>
        <v>0</v>
      </c>
      <c r="Z278">
        <f>MAX(0,ROUND(AX277*(1+'Calc base'!L278),2)-N278-'Calc base'!X278)</f>
        <v>0</v>
      </c>
      <c r="AA278">
        <f>MAX(0,ROUND(AY277*(1+'Calc base'!M278),2)-O278-'Calc base'!Y278)</f>
        <v>0</v>
      </c>
      <c r="AB278">
        <f>MAX(0,ROUND(AZ277*(1+'Calc base'!N278),2)-P278-'Calc base'!Z278)</f>
        <v>0</v>
      </c>
      <c r="AC278">
        <f>MAX(0,ROUND(BA277*(1+'Calc base'!O278),2)-Q278-'Calc base'!AA278)</f>
        <v>0</v>
      </c>
      <c r="AD278">
        <f>MAX(0,ROUND(BB277*(1+'Calc base'!P278),2)-R278-'Calc base'!AB278)</f>
        <v>0</v>
      </c>
      <c r="AE278">
        <f>MAX(0,ROUND(BC277*(1+'Calc base'!Q278),2)-S278-'Calc base'!AC278)</f>
        <v>0</v>
      </c>
      <c r="AF278">
        <f>MAX(0,ROUND(BD277*(1+'Calc base'!R278),2)-T278-'Calc base'!AD278)</f>
        <v>0</v>
      </c>
      <c r="AG278">
        <f>MAX(0,ROUND(BE277*(1+'Calc base'!S278),2)-U278-'Calc base'!AE278)</f>
        <v>0</v>
      </c>
      <c r="AH278">
        <f>IF('Calc base'!C$14=0,0,MIN(V278,MAX(0,$E278-SUMPRODUCT($V278:$AG278,'Calc base'!$C$14:$N$14,('Calc base'!$H278:$S278&gt;'Calc base'!H278)+('Calc base'!$H278:$S278='Calc base'!H278)*('Calc base'!$C$17:$N$17&lt;'Calc base'!C$17)))))</f>
        <v>0</v>
      </c>
      <c r="AI278">
        <f>IF('Calc base'!D$14=0,0,MIN(W278,MAX(0,$E278-SUMPRODUCT($V278:$AG278,'Calc base'!$C$14:$N$14,('Calc base'!$H278:$S278&gt;'Calc base'!I278)+('Calc base'!$H278:$S278='Calc base'!I278)*('Calc base'!$C$17:$N$17&lt;'Calc base'!D$17)))))</f>
        <v>0</v>
      </c>
      <c r="AJ278">
        <f>IF('Calc base'!E$14=0,0,MIN(X278,MAX(0,$E278-SUMPRODUCT($V278:$AG278,'Calc base'!$C$14:$N$14,('Calc base'!$H278:$S278&gt;'Calc base'!J278)+('Calc base'!$H278:$S278='Calc base'!J278)*('Calc base'!$C$17:$N$17&lt;'Calc base'!E$17)))))</f>
        <v>0</v>
      </c>
      <c r="AK278">
        <f>IF('Calc base'!F$14=0,0,MIN(Y278,MAX(0,$E278-SUMPRODUCT($V278:$AG278,'Calc base'!$C$14:$N$14,('Calc base'!$H278:$S278&gt;'Calc base'!K278)+('Calc base'!$H278:$S278='Calc base'!K278)*('Calc base'!$C$17:$N$17&lt;'Calc base'!F$17)))))</f>
        <v>0</v>
      </c>
      <c r="AL278">
        <f>IF('Calc base'!G$14=0,0,MIN(Z278,MAX(0,$E278-SUMPRODUCT($V278:$AG278,'Calc base'!$C$14:$N$14,('Calc base'!$H278:$S278&gt;'Calc base'!L278)+('Calc base'!$H278:$S278='Calc base'!L278)*('Calc base'!$C$17:$N$17&lt;'Calc base'!G$17)))))</f>
        <v>0</v>
      </c>
      <c r="AM278">
        <f>IF('Calc base'!H$14=0,0,MIN(AA278,MAX(0,$E278-SUMPRODUCT($V278:$AG278,'Calc base'!$C$14:$N$14,('Calc base'!$H278:$S278&gt;'Calc base'!M278)+('Calc base'!$H278:$S278='Calc base'!M278)*('Calc base'!$C$17:$N$17&lt;'Calc base'!H$17)))))</f>
        <v>0</v>
      </c>
      <c r="AN278">
        <f>IF('Calc base'!I$14=0,0,MIN(AB278,MAX(0,$E278-SUMPRODUCT($V278:$AG278,'Calc base'!$C$14:$N$14,('Calc base'!$H278:$S278&gt;'Calc base'!N278)+('Calc base'!$H278:$S278='Calc base'!N278)*('Calc base'!$C$17:$N$17&lt;'Calc base'!I$17)))))</f>
        <v>0</v>
      </c>
      <c r="AO278">
        <f>IF('Calc base'!J$14=0,0,MIN(AC278,MAX(0,$E278-SUMPRODUCT($V278:$AG278,'Calc base'!$C$14:$N$14,('Calc base'!$H278:$S278&gt;'Calc base'!O278)+('Calc base'!$H278:$S278='Calc base'!O278)*('Calc base'!$C$17:$N$17&lt;'Calc base'!J$17)))))</f>
        <v>0</v>
      </c>
      <c r="AP278">
        <f>IF('Calc base'!K$14=0,0,MIN(AD278,MAX(0,$E278-SUMPRODUCT($V278:$AG278,'Calc base'!$C$14:$N$14,('Calc base'!$H278:$S278&gt;'Calc base'!P278)+('Calc base'!$H278:$S278='Calc base'!P278)*('Calc base'!$C$17:$N$17&lt;'Calc base'!K$17)))))</f>
        <v>0</v>
      </c>
      <c r="AQ278">
        <f>IF('Calc base'!L$14=0,0,MIN(AE278,MAX(0,$E278-SUMPRODUCT($V278:$AG278,'Calc base'!$C$14:$N$14,('Calc base'!$H278:$S278&gt;'Calc base'!Q278)+('Calc base'!$H278:$S278='Calc base'!Q278)*('Calc base'!$C$17:$N$17&lt;'Calc base'!L$17)))))</f>
        <v>0</v>
      </c>
      <c r="AR278">
        <f>IF('Calc base'!M$14=0,0,MIN(AF278,MAX(0,$E278-SUMPRODUCT($V278:$AG278,'Calc base'!$C$14:$N$14,('Calc base'!$H278:$S278&gt;'Calc base'!R278)+('Calc base'!$H278:$S278='Calc base'!R278)*('Calc base'!$C$17:$N$17&lt;'Calc base'!M$17)))))</f>
        <v>0</v>
      </c>
      <c r="AS278">
        <f>IF('Calc base'!N$14=0,0,MIN(AG278,MAX(0,$E278-SUMPRODUCT($V278:$AG278,'Calc base'!$C$14:$N$14,('Calc base'!$H278:$S278&gt;'Calc base'!S278)+('Calc base'!$H278:$S278='Calc base'!S278)*('Calc base'!$C$17:$N$17&lt;'Calc base'!N$17)))))</f>
        <v>0</v>
      </c>
      <c r="AT278">
        <f>V278-AH278</f>
        <v>0</v>
      </c>
      <c r="AU278">
        <f>W278-AI278</f>
        <v>0</v>
      </c>
      <c r="AV278">
        <f>X278-AJ278</f>
        <v>0</v>
      </c>
      <c r="AW278">
        <f>Y278-AK278</f>
        <v>0</v>
      </c>
      <c r="AX278">
        <f>Z278-AL278</f>
        <v>0</v>
      </c>
      <c r="AY278">
        <f>AA278-AM278</f>
        <v>0</v>
      </c>
      <c r="AZ278">
        <f>AB278-AN278</f>
        <v>0</v>
      </c>
      <c r="BA278">
        <f>AC278-AO278</f>
        <v>0</v>
      </c>
      <c r="BB278">
        <f>AD278-AP278</f>
        <v>0</v>
      </c>
      <c r="BC278">
        <f>AE278-AQ278</f>
        <v>0</v>
      </c>
      <c r="BD278">
        <f>AF278-AR278</f>
        <v>0</v>
      </c>
      <c r="BE278">
        <f>AG278-AS278</f>
        <v>0</v>
      </c>
    </row>
    <row r="279">
      <c r="A279" t="n">
        <v>249</v>
      </c>
      <c r="B279">
        <f>SUMPRODUCT(ROUND($AT278:$BE278*(1+'Calc base'!$H279:$S279),2))</f>
        <v>0</v>
      </c>
      <c r="C279">
        <f>SUM(J279:U279)</f>
        <v>0</v>
      </c>
      <c r="D279">
        <f>SUM(V279:AG279)</f>
        <v>0</v>
      </c>
      <c r="E279">
        <f>MAX(0,IF(Impostazioni!$B$7="No",'Calc base'!$C279-$C$31,'Calc base'!$C279-C279)+'Calc base'!$G279+'Calc base'!$F279-(B279-C279-D279))</f>
        <v>900</v>
      </c>
      <c r="F279">
        <f>SUM(AH279:AS279)</f>
        <v>0</v>
      </c>
      <c r="G279">
        <f>SUM(AT279:BE279)</f>
        <v>0</v>
      </c>
      <c r="H279">
        <f>B279-G278</f>
        <v>0</v>
      </c>
      <c r="I279">
        <f>B279-G279</f>
        <v>0</v>
      </c>
      <c r="J279">
        <f>IF(AT278&lt;=0,0,IF(ROUND(AT278*(1+'Calc base'!H279),2)-MAX('Calc base'!C$12,ROUND('Calc base'!C$13*AT278,2))&lt;1,ROUND(AT278*(1+'Calc base'!H279),2),MAX('Calc base'!C$12,ROUND('Calc base'!C$13*AT278,2))))</f>
        <v>0</v>
      </c>
      <c r="K279">
        <f>IF(AU278&lt;=0,0,IF(ROUND(AU278*(1+'Calc base'!I279),2)-MAX('Calc base'!D$12,ROUND('Calc base'!D$13*AU278,2))&lt;1,ROUND(AU278*(1+'Calc base'!I279),2),MAX('Calc base'!D$12,ROUND('Calc base'!D$13*AU278,2))))</f>
        <v>0</v>
      </c>
      <c r="L279">
        <f>IF(AV278&lt;=0,0,IF(ROUND(AV278*(1+'Calc base'!J279),2)-MAX('Calc base'!E$12,ROUND('Calc base'!E$13*AV278,2))&lt;1,ROUND(AV278*(1+'Calc base'!J279),2),MAX('Calc base'!E$12,ROUND('Calc base'!E$13*AV278,2))))</f>
        <v>0</v>
      </c>
      <c r="M279">
        <f>IF(AW278&lt;=0,0,IF(ROUND(AW278*(1+'Calc base'!K279),2)-MAX('Calc base'!F$12,ROUND('Calc base'!F$13*AW278,2))&lt;1,ROUND(AW278*(1+'Calc base'!K279),2),MAX('Calc base'!F$12,ROUND('Calc base'!F$13*AW278,2))))</f>
        <v>0</v>
      </c>
      <c r="N279">
        <f>IF(AX278&lt;=0,0,IF(ROUND(AX278*(1+'Calc base'!L279),2)-MAX('Calc base'!G$12,ROUND('Calc base'!G$13*AX278,2))&lt;1,ROUND(AX278*(1+'Calc base'!L279),2),MAX('Calc base'!G$12,ROUND('Calc base'!G$13*AX278,2))))</f>
        <v>0</v>
      </c>
      <c r="O279">
        <f>IF(AY278&lt;=0,0,IF(ROUND(AY278*(1+'Calc base'!M279),2)-MAX('Calc base'!H$12,ROUND('Calc base'!H$13*AY278,2))&lt;1,ROUND(AY278*(1+'Calc base'!M279),2),MAX('Calc base'!H$12,ROUND('Calc base'!H$13*AY278,2))))</f>
        <v>0</v>
      </c>
      <c r="P279">
        <f>IF(AZ278&lt;=0,0,IF(ROUND(AZ278*(1+'Calc base'!N279),2)-MAX('Calc base'!I$12,ROUND('Calc base'!I$13*AZ278,2))&lt;1,ROUND(AZ278*(1+'Calc base'!N279),2),MAX('Calc base'!I$12,ROUND('Calc base'!I$13*AZ278,2))))</f>
        <v>0</v>
      </c>
      <c r="Q279">
        <f>IF(BA278&lt;=0,0,IF(ROUND(BA278*(1+'Calc base'!O279),2)-MAX('Calc base'!J$12,ROUND('Calc base'!J$13*BA278,2))&lt;1,ROUND(BA278*(1+'Calc base'!O279),2),MAX('Calc base'!J$12,ROUND('Calc base'!J$13*BA278,2))))</f>
        <v>0</v>
      </c>
      <c r="R279">
        <f>IF(BB278&lt;=0,0,IF(ROUND(BB278*(1+'Calc base'!P279),2)-MAX('Calc base'!K$12,ROUND('Calc base'!K$13*BB278,2))&lt;1,ROUND(BB278*(1+'Calc base'!P279),2),MAX('Calc base'!K$12,ROUND('Calc base'!K$13*BB278,2))))</f>
        <v>0</v>
      </c>
      <c r="S279">
        <f>IF(BC278&lt;=0,0,IF(ROUND(BC278*(1+'Calc base'!Q279),2)-MAX('Calc base'!L$12,ROUND('Calc base'!L$13*BC278,2))&lt;1,ROUND(BC278*(1+'Calc base'!Q279),2),MAX('Calc base'!L$12,ROUND('Calc base'!L$13*BC278,2))))</f>
        <v>0</v>
      </c>
      <c r="T279">
        <f>IF(BD278&lt;=0,0,IF(ROUND(BD278*(1+'Calc base'!R279),2)-MAX('Calc base'!M$12,ROUND('Calc base'!M$13*BD278,2))&lt;1,ROUND(BD278*(1+'Calc base'!R279),2),MAX('Calc base'!M$12,ROUND('Calc base'!M$13*BD278,2))))</f>
        <v>0</v>
      </c>
      <c r="U279">
        <f>IF(BE278&lt;=0,0,IF(ROUND(BE278*(1+'Calc base'!S279),2)-MAX('Calc base'!N$12,ROUND('Calc base'!N$13*BE278,2))&lt;1,ROUND(BE278*(1+'Calc base'!S279),2),MAX('Calc base'!N$12,ROUND('Calc base'!N$13*BE278,2))))</f>
        <v>0</v>
      </c>
      <c r="V279">
        <f>MAX(0,ROUND(AT278*(1+'Calc base'!H279),2)-J279-'Calc base'!T279)</f>
        <v>0</v>
      </c>
      <c r="W279">
        <f>MAX(0,ROUND(AU278*(1+'Calc base'!I279),2)-K279-'Calc base'!U279)</f>
        <v>0</v>
      </c>
      <c r="X279">
        <f>MAX(0,ROUND(AV278*(1+'Calc base'!J279),2)-L279-'Calc base'!V279)</f>
        <v>0</v>
      </c>
      <c r="Y279">
        <f>MAX(0,ROUND(AW278*(1+'Calc base'!K279),2)-M279-'Calc base'!W279)</f>
        <v>0</v>
      </c>
      <c r="Z279">
        <f>MAX(0,ROUND(AX278*(1+'Calc base'!L279),2)-N279-'Calc base'!X279)</f>
        <v>0</v>
      </c>
      <c r="AA279">
        <f>MAX(0,ROUND(AY278*(1+'Calc base'!M279),2)-O279-'Calc base'!Y279)</f>
        <v>0</v>
      </c>
      <c r="AB279">
        <f>MAX(0,ROUND(AZ278*(1+'Calc base'!N279),2)-P279-'Calc base'!Z279)</f>
        <v>0</v>
      </c>
      <c r="AC279">
        <f>MAX(0,ROUND(BA278*(1+'Calc base'!O279),2)-Q279-'Calc base'!AA279)</f>
        <v>0</v>
      </c>
      <c r="AD279">
        <f>MAX(0,ROUND(BB278*(1+'Calc base'!P279),2)-R279-'Calc base'!AB279)</f>
        <v>0</v>
      </c>
      <c r="AE279">
        <f>MAX(0,ROUND(BC278*(1+'Calc base'!Q279),2)-S279-'Calc base'!AC279)</f>
        <v>0</v>
      </c>
      <c r="AF279">
        <f>MAX(0,ROUND(BD278*(1+'Calc base'!R279),2)-T279-'Calc base'!AD279)</f>
        <v>0</v>
      </c>
      <c r="AG279">
        <f>MAX(0,ROUND(BE278*(1+'Calc base'!S279),2)-U279-'Calc base'!AE279)</f>
        <v>0</v>
      </c>
      <c r="AH279">
        <f>IF('Calc base'!C$14=0,0,MIN(V279,MAX(0,$E279-SUMPRODUCT($V279:$AG279,'Calc base'!$C$14:$N$14,('Calc base'!$H279:$S279&gt;'Calc base'!H279)+('Calc base'!$H279:$S279='Calc base'!H279)*('Calc base'!$C$17:$N$17&lt;'Calc base'!C$17)))))</f>
        <v>0</v>
      </c>
      <c r="AI279">
        <f>IF('Calc base'!D$14=0,0,MIN(W279,MAX(0,$E279-SUMPRODUCT($V279:$AG279,'Calc base'!$C$14:$N$14,('Calc base'!$H279:$S279&gt;'Calc base'!I279)+('Calc base'!$H279:$S279='Calc base'!I279)*('Calc base'!$C$17:$N$17&lt;'Calc base'!D$17)))))</f>
        <v>0</v>
      </c>
      <c r="AJ279">
        <f>IF('Calc base'!E$14=0,0,MIN(X279,MAX(0,$E279-SUMPRODUCT($V279:$AG279,'Calc base'!$C$14:$N$14,('Calc base'!$H279:$S279&gt;'Calc base'!J279)+('Calc base'!$H279:$S279='Calc base'!J279)*('Calc base'!$C$17:$N$17&lt;'Calc base'!E$17)))))</f>
        <v>0</v>
      </c>
      <c r="AK279">
        <f>IF('Calc base'!F$14=0,0,MIN(Y279,MAX(0,$E279-SUMPRODUCT($V279:$AG279,'Calc base'!$C$14:$N$14,('Calc base'!$H279:$S279&gt;'Calc base'!K279)+('Calc base'!$H279:$S279='Calc base'!K279)*('Calc base'!$C$17:$N$17&lt;'Calc base'!F$17)))))</f>
        <v>0</v>
      </c>
      <c r="AL279">
        <f>IF('Calc base'!G$14=0,0,MIN(Z279,MAX(0,$E279-SUMPRODUCT($V279:$AG279,'Calc base'!$C$14:$N$14,('Calc base'!$H279:$S279&gt;'Calc base'!L279)+('Calc base'!$H279:$S279='Calc base'!L279)*('Calc base'!$C$17:$N$17&lt;'Calc base'!G$17)))))</f>
        <v>0</v>
      </c>
      <c r="AM279">
        <f>IF('Calc base'!H$14=0,0,MIN(AA279,MAX(0,$E279-SUMPRODUCT($V279:$AG279,'Calc base'!$C$14:$N$14,('Calc base'!$H279:$S279&gt;'Calc base'!M279)+('Calc base'!$H279:$S279='Calc base'!M279)*('Calc base'!$C$17:$N$17&lt;'Calc base'!H$17)))))</f>
        <v>0</v>
      </c>
      <c r="AN279">
        <f>IF('Calc base'!I$14=0,0,MIN(AB279,MAX(0,$E279-SUMPRODUCT($V279:$AG279,'Calc base'!$C$14:$N$14,('Calc base'!$H279:$S279&gt;'Calc base'!N279)+('Calc base'!$H279:$S279='Calc base'!N279)*('Calc base'!$C$17:$N$17&lt;'Calc base'!I$17)))))</f>
        <v>0</v>
      </c>
      <c r="AO279">
        <f>IF('Calc base'!J$14=0,0,MIN(AC279,MAX(0,$E279-SUMPRODUCT($V279:$AG279,'Calc base'!$C$14:$N$14,('Calc base'!$H279:$S279&gt;'Calc base'!O279)+('Calc base'!$H279:$S279='Calc base'!O279)*('Calc base'!$C$17:$N$17&lt;'Calc base'!J$17)))))</f>
        <v>0</v>
      </c>
      <c r="AP279">
        <f>IF('Calc base'!K$14=0,0,MIN(AD279,MAX(0,$E279-SUMPRODUCT($V279:$AG279,'Calc base'!$C$14:$N$14,('Calc base'!$H279:$S279&gt;'Calc base'!P279)+('Calc base'!$H279:$S279='Calc base'!P279)*('Calc base'!$C$17:$N$17&lt;'Calc base'!K$17)))))</f>
        <v>0</v>
      </c>
      <c r="AQ279">
        <f>IF('Calc base'!L$14=0,0,MIN(AE279,MAX(0,$E279-SUMPRODUCT($V279:$AG279,'Calc base'!$C$14:$N$14,('Calc base'!$H279:$S279&gt;'Calc base'!Q279)+('Calc base'!$H279:$S279='Calc base'!Q279)*('Calc base'!$C$17:$N$17&lt;'Calc base'!L$17)))))</f>
        <v>0</v>
      </c>
      <c r="AR279">
        <f>IF('Calc base'!M$14=0,0,MIN(AF279,MAX(0,$E279-SUMPRODUCT($V279:$AG279,'Calc base'!$C$14:$N$14,('Calc base'!$H279:$S279&gt;'Calc base'!R279)+('Calc base'!$H279:$S279='Calc base'!R279)*('Calc base'!$C$17:$N$17&lt;'Calc base'!M$17)))))</f>
        <v>0</v>
      </c>
      <c r="AS279">
        <f>IF('Calc base'!N$14=0,0,MIN(AG279,MAX(0,$E279-SUMPRODUCT($V279:$AG279,'Calc base'!$C$14:$N$14,('Calc base'!$H279:$S279&gt;'Calc base'!S279)+('Calc base'!$H279:$S279='Calc base'!S279)*('Calc base'!$C$17:$N$17&lt;'Calc base'!N$17)))))</f>
        <v>0</v>
      </c>
      <c r="AT279">
        <f>V279-AH279</f>
        <v>0</v>
      </c>
      <c r="AU279">
        <f>W279-AI279</f>
        <v>0</v>
      </c>
      <c r="AV279">
        <f>X279-AJ279</f>
        <v>0</v>
      </c>
      <c r="AW279">
        <f>Y279-AK279</f>
        <v>0</v>
      </c>
      <c r="AX279">
        <f>Z279-AL279</f>
        <v>0</v>
      </c>
      <c r="AY279">
        <f>AA279-AM279</f>
        <v>0</v>
      </c>
      <c r="AZ279">
        <f>AB279-AN279</f>
        <v>0</v>
      </c>
      <c r="BA279">
        <f>AC279-AO279</f>
        <v>0</v>
      </c>
      <c r="BB279">
        <f>AD279-AP279</f>
        <v>0</v>
      </c>
      <c r="BC279">
        <f>AE279-AQ279</f>
        <v>0</v>
      </c>
      <c r="BD279">
        <f>AF279-AR279</f>
        <v>0</v>
      </c>
      <c r="BE279">
        <f>AG279-AS279</f>
        <v>0</v>
      </c>
    </row>
    <row r="280">
      <c r="A280" t="n">
        <v>250</v>
      </c>
      <c r="B280">
        <f>SUMPRODUCT(ROUND($AT279:$BE279*(1+'Calc base'!$H280:$S280),2))</f>
        <v>0</v>
      </c>
      <c r="C280">
        <f>SUM(J280:U280)</f>
        <v>0</v>
      </c>
      <c r="D280">
        <f>SUM(V280:AG280)</f>
        <v>0</v>
      </c>
      <c r="E280">
        <f>MAX(0,IF(Impostazioni!$B$7="No",'Calc base'!$C280-$C$31,'Calc base'!$C280-C280)+'Calc base'!$G280+'Calc base'!$F280-(B280-C280-D280))</f>
        <v>900</v>
      </c>
      <c r="F280">
        <f>SUM(AH280:AS280)</f>
        <v>0</v>
      </c>
      <c r="G280">
        <f>SUM(AT280:BE280)</f>
        <v>0</v>
      </c>
      <c r="H280">
        <f>B280-G279</f>
        <v>0</v>
      </c>
      <c r="I280">
        <f>B280-G280</f>
        <v>0</v>
      </c>
      <c r="J280">
        <f>IF(AT279&lt;=0,0,IF(ROUND(AT279*(1+'Calc base'!H280),2)-MAX('Calc base'!C$12,ROUND('Calc base'!C$13*AT279,2))&lt;1,ROUND(AT279*(1+'Calc base'!H280),2),MAX('Calc base'!C$12,ROUND('Calc base'!C$13*AT279,2))))</f>
        <v>0</v>
      </c>
      <c r="K280">
        <f>IF(AU279&lt;=0,0,IF(ROUND(AU279*(1+'Calc base'!I280),2)-MAX('Calc base'!D$12,ROUND('Calc base'!D$13*AU279,2))&lt;1,ROUND(AU279*(1+'Calc base'!I280),2),MAX('Calc base'!D$12,ROUND('Calc base'!D$13*AU279,2))))</f>
        <v>0</v>
      </c>
      <c r="L280">
        <f>IF(AV279&lt;=0,0,IF(ROUND(AV279*(1+'Calc base'!J280),2)-MAX('Calc base'!E$12,ROUND('Calc base'!E$13*AV279,2))&lt;1,ROUND(AV279*(1+'Calc base'!J280),2),MAX('Calc base'!E$12,ROUND('Calc base'!E$13*AV279,2))))</f>
        <v>0</v>
      </c>
      <c r="M280">
        <f>IF(AW279&lt;=0,0,IF(ROUND(AW279*(1+'Calc base'!K280),2)-MAX('Calc base'!F$12,ROUND('Calc base'!F$13*AW279,2))&lt;1,ROUND(AW279*(1+'Calc base'!K280),2),MAX('Calc base'!F$12,ROUND('Calc base'!F$13*AW279,2))))</f>
        <v>0</v>
      </c>
      <c r="N280">
        <f>IF(AX279&lt;=0,0,IF(ROUND(AX279*(1+'Calc base'!L280),2)-MAX('Calc base'!G$12,ROUND('Calc base'!G$13*AX279,2))&lt;1,ROUND(AX279*(1+'Calc base'!L280),2),MAX('Calc base'!G$12,ROUND('Calc base'!G$13*AX279,2))))</f>
        <v>0</v>
      </c>
      <c r="O280">
        <f>IF(AY279&lt;=0,0,IF(ROUND(AY279*(1+'Calc base'!M280),2)-MAX('Calc base'!H$12,ROUND('Calc base'!H$13*AY279,2))&lt;1,ROUND(AY279*(1+'Calc base'!M280),2),MAX('Calc base'!H$12,ROUND('Calc base'!H$13*AY279,2))))</f>
        <v>0</v>
      </c>
      <c r="P280">
        <f>IF(AZ279&lt;=0,0,IF(ROUND(AZ279*(1+'Calc base'!N280),2)-MAX('Calc base'!I$12,ROUND('Calc base'!I$13*AZ279,2))&lt;1,ROUND(AZ279*(1+'Calc base'!N280),2),MAX('Calc base'!I$12,ROUND('Calc base'!I$13*AZ279,2))))</f>
        <v>0</v>
      </c>
      <c r="Q280">
        <f>IF(BA279&lt;=0,0,IF(ROUND(BA279*(1+'Calc base'!O280),2)-MAX('Calc base'!J$12,ROUND('Calc base'!J$13*BA279,2))&lt;1,ROUND(BA279*(1+'Calc base'!O280),2),MAX('Calc base'!J$12,ROUND('Calc base'!J$13*BA279,2))))</f>
        <v>0</v>
      </c>
      <c r="R280">
        <f>IF(BB279&lt;=0,0,IF(ROUND(BB279*(1+'Calc base'!P280),2)-MAX('Calc base'!K$12,ROUND('Calc base'!K$13*BB279,2))&lt;1,ROUND(BB279*(1+'Calc base'!P280),2),MAX('Calc base'!K$12,ROUND('Calc base'!K$13*BB279,2))))</f>
        <v>0</v>
      </c>
      <c r="S280">
        <f>IF(BC279&lt;=0,0,IF(ROUND(BC279*(1+'Calc base'!Q280),2)-MAX('Calc base'!L$12,ROUND('Calc base'!L$13*BC279,2))&lt;1,ROUND(BC279*(1+'Calc base'!Q280),2),MAX('Calc base'!L$12,ROUND('Calc base'!L$13*BC279,2))))</f>
        <v>0</v>
      </c>
      <c r="T280">
        <f>IF(BD279&lt;=0,0,IF(ROUND(BD279*(1+'Calc base'!R280),2)-MAX('Calc base'!M$12,ROUND('Calc base'!M$13*BD279,2))&lt;1,ROUND(BD279*(1+'Calc base'!R280),2),MAX('Calc base'!M$12,ROUND('Calc base'!M$13*BD279,2))))</f>
        <v>0</v>
      </c>
      <c r="U280">
        <f>IF(BE279&lt;=0,0,IF(ROUND(BE279*(1+'Calc base'!S280),2)-MAX('Calc base'!N$12,ROUND('Calc base'!N$13*BE279,2))&lt;1,ROUND(BE279*(1+'Calc base'!S280),2),MAX('Calc base'!N$12,ROUND('Calc base'!N$13*BE279,2))))</f>
        <v>0</v>
      </c>
      <c r="V280">
        <f>MAX(0,ROUND(AT279*(1+'Calc base'!H280),2)-J280-'Calc base'!T280)</f>
        <v>0</v>
      </c>
      <c r="W280">
        <f>MAX(0,ROUND(AU279*(1+'Calc base'!I280),2)-K280-'Calc base'!U280)</f>
        <v>0</v>
      </c>
      <c r="X280">
        <f>MAX(0,ROUND(AV279*(1+'Calc base'!J280),2)-L280-'Calc base'!V280)</f>
        <v>0</v>
      </c>
      <c r="Y280">
        <f>MAX(0,ROUND(AW279*(1+'Calc base'!K280),2)-M280-'Calc base'!W280)</f>
        <v>0</v>
      </c>
      <c r="Z280">
        <f>MAX(0,ROUND(AX279*(1+'Calc base'!L280),2)-N280-'Calc base'!X280)</f>
        <v>0</v>
      </c>
      <c r="AA280">
        <f>MAX(0,ROUND(AY279*(1+'Calc base'!M280),2)-O280-'Calc base'!Y280)</f>
        <v>0</v>
      </c>
      <c r="AB280">
        <f>MAX(0,ROUND(AZ279*(1+'Calc base'!N280),2)-P280-'Calc base'!Z280)</f>
        <v>0</v>
      </c>
      <c r="AC280">
        <f>MAX(0,ROUND(BA279*(1+'Calc base'!O280),2)-Q280-'Calc base'!AA280)</f>
        <v>0</v>
      </c>
      <c r="AD280">
        <f>MAX(0,ROUND(BB279*(1+'Calc base'!P280),2)-R280-'Calc base'!AB280)</f>
        <v>0</v>
      </c>
      <c r="AE280">
        <f>MAX(0,ROUND(BC279*(1+'Calc base'!Q280),2)-S280-'Calc base'!AC280)</f>
        <v>0</v>
      </c>
      <c r="AF280">
        <f>MAX(0,ROUND(BD279*(1+'Calc base'!R280),2)-T280-'Calc base'!AD280)</f>
        <v>0</v>
      </c>
      <c r="AG280">
        <f>MAX(0,ROUND(BE279*(1+'Calc base'!S280),2)-U280-'Calc base'!AE280)</f>
        <v>0</v>
      </c>
      <c r="AH280">
        <f>IF('Calc base'!C$14=0,0,MIN(V280,MAX(0,$E280-SUMPRODUCT($V280:$AG280,'Calc base'!$C$14:$N$14,('Calc base'!$H280:$S280&gt;'Calc base'!H280)+('Calc base'!$H280:$S280='Calc base'!H280)*('Calc base'!$C$17:$N$17&lt;'Calc base'!C$17)))))</f>
        <v>0</v>
      </c>
      <c r="AI280">
        <f>IF('Calc base'!D$14=0,0,MIN(W280,MAX(0,$E280-SUMPRODUCT($V280:$AG280,'Calc base'!$C$14:$N$14,('Calc base'!$H280:$S280&gt;'Calc base'!I280)+('Calc base'!$H280:$S280='Calc base'!I280)*('Calc base'!$C$17:$N$17&lt;'Calc base'!D$17)))))</f>
        <v>0</v>
      </c>
      <c r="AJ280">
        <f>IF('Calc base'!E$14=0,0,MIN(X280,MAX(0,$E280-SUMPRODUCT($V280:$AG280,'Calc base'!$C$14:$N$14,('Calc base'!$H280:$S280&gt;'Calc base'!J280)+('Calc base'!$H280:$S280='Calc base'!J280)*('Calc base'!$C$17:$N$17&lt;'Calc base'!E$17)))))</f>
        <v>0</v>
      </c>
      <c r="AK280">
        <f>IF('Calc base'!F$14=0,0,MIN(Y280,MAX(0,$E280-SUMPRODUCT($V280:$AG280,'Calc base'!$C$14:$N$14,('Calc base'!$H280:$S280&gt;'Calc base'!K280)+('Calc base'!$H280:$S280='Calc base'!K280)*('Calc base'!$C$17:$N$17&lt;'Calc base'!F$17)))))</f>
        <v>0</v>
      </c>
      <c r="AL280">
        <f>IF('Calc base'!G$14=0,0,MIN(Z280,MAX(0,$E280-SUMPRODUCT($V280:$AG280,'Calc base'!$C$14:$N$14,('Calc base'!$H280:$S280&gt;'Calc base'!L280)+('Calc base'!$H280:$S280='Calc base'!L280)*('Calc base'!$C$17:$N$17&lt;'Calc base'!G$17)))))</f>
        <v>0</v>
      </c>
      <c r="AM280">
        <f>IF('Calc base'!H$14=0,0,MIN(AA280,MAX(0,$E280-SUMPRODUCT($V280:$AG280,'Calc base'!$C$14:$N$14,('Calc base'!$H280:$S280&gt;'Calc base'!M280)+('Calc base'!$H280:$S280='Calc base'!M280)*('Calc base'!$C$17:$N$17&lt;'Calc base'!H$17)))))</f>
        <v>0</v>
      </c>
      <c r="AN280">
        <f>IF('Calc base'!I$14=0,0,MIN(AB280,MAX(0,$E280-SUMPRODUCT($V280:$AG280,'Calc base'!$C$14:$N$14,('Calc base'!$H280:$S280&gt;'Calc base'!N280)+('Calc base'!$H280:$S280='Calc base'!N280)*('Calc base'!$C$17:$N$17&lt;'Calc base'!I$17)))))</f>
        <v>0</v>
      </c>
      <c r="AO280">
        <f>IF('Calc base'!J$14=0,0,MIN(AC280,MAX(0,$E280-SUMPRODUCT($V280:$AG280,'Calc base'!$C$14:$N$14,('Calc base'!$H280:$S280&gt;'Calc base'!O280)+('Calc base'!$H280:$S280='Calc base'!O280)*('Calc base'!$C$17:$N$17&lt;'Calc base'!J$17)))))</f>
        <v>0</v>
      </c>
      <c r="AP280">
        <f>IF('Calc base'!K$14=0,0,MIN(AD280,MAX(0,$E280-SUMPRODUCT($V280:$AG280,'Calc base'!$C$14:$N$14,('Calc base'!$H280:$S280&gt;'Calc base'!P280)+('Calc base'!$H280:$S280='Calc base'!P280)*('Calc base'!$C$17:$N$17&lt;'Calc base'!K$17)))))</f>
        <v>0</v>
      </c>
      <c r="AQ280">
        <f>IF('Calc base'!L$14=0,0,MIN(AE280,MAX(0,$E280-SUMPRODUCT($V280:$AG280,'Calc base'!$C$14:$N$14,('Calc base'!$H280:$S280&gt;'Calc base'!Q280)+('Calc base'!$H280:$S280='Calc base'!Q280)*('Calc base'!$C$17:$N$17&lt;'Calc base'!L$17)))))</f>
        <v>0</v>
      </c>
      <c r="AR280">
        <f>IF('Calc base'!M$14=0,0,MIN(AF280,MAX(0,$E280-SUMPRODUCT($V280:$AG280,'Calc base'!$C$14:$N$14,('Calc base'!$H280:$S280&gt;'Calc base'!R280)+('Calc base'!$H280:$S280='Calc base'!R280)*('Calc base'!$C$17:$N$17&lt;'Calc base'!M$17)))))</f>
        <v>0</v>
      </c>
      <c r="AS280">
        <f>IF('Calc base'!N$14=0,0,MIN(AG280,MAX(0,$E280-SUMPRODUCT($V280:$AG280,'Calc base'!$C$14:$N$14,('Calc base'!$H280:$S280&gt;'Calc base'!S280)+('Calc base'!$H280:$S280='Calc base'!S280)*('Calc base'!$C$17:$N$17&lt;'Calc base'!N$17)))))</f>
        <v>0</v>
      </c>
      <c r="AT280">
        <f>V280-AH280</f>
        <v>0</v>
      </c>
      <c r="AU280">
        <f>W280-AI280</f>
        <v>0</v>
      </c>
      <c r="AV280">
        <f>X280-AJ280</f>
        <v>0</v>
      </c>
      <c r="AW280">
        <f>Y280-AK280</f>
        <v>0</v>
      </c>
      <c r="AX280">
        <f>Z280-AL280</f>
        <v>0</v>
      </c>
      <c r="AY280">
        <f>AA280-AM280</f>
        <v>0</v>
      </c>
      <c r="AZ280">
        <f>AB280-AN280</f>
        <v>0</v>
      </c>
      <c r="BA280">
        <f>AC280-AO280</f>
        <v>0</v>
      </c>
      <c r="BB280">
        <f>AD280-AP280</f>
        <v>0</v>
      </c>
      <c r="BC280">
        <f>AE280-AQ280</f>
        <v>0</v>
      </c>
      <c r="BD280">
        <f>AF280-AR280</f>
        <v>0</v>
      </c>
      <c r="BE280">
        <f>AG280-AS280</f>
        <v>0</v>
      </c>
    </row>
    <row r="281">
      <c r="A281" t="n">
        <v>251</v>
      </c>
      <c r="B281">
        <f>SUMPRODUCT(ROUND($AT280:$BE280*(1+'Calc base'!$H281:$S281),2))</f>
        <v>0</v>
      </c>
      <c r="C281">
        <f>SUM(J281:U281)</f>
        <v>0</v>
      </c>
      <c r="D281">
        <f>SUM(V281:AG281)</f>
        <v>0</v>
      </c>
      <c r="E281">
        <f>MAX(0,IF(Impostazioni!$B$7="No",'Calc base'!$C281-$C$31,'Calc base'!$C281-C281)+'Calc base'!$G281+'Calc base'!$F281-(B281-C281-D281))</f>
        <v>900</v>
      </c>
      <c r="F281">
        <f>SUM(AH281:AS281)</f>
        <v>0</v>
      </c>
      <c r="G281">
        <f>SUM(AT281:BE281)</f>
        <v>0</v>
      </c>
      <c r="H281">
        <f>B281-G280</f>
        <v>0</v>
      </c>
      <c r="I281">
        <f>B281-G281</f>
        <v>0</v>
      </c>
      <c r="J281">
        <f>IF(AT280&lt;=0,0,IF(ROUND(AT280*(1+'Calc base'!H281),2)-MAX('Calc base'!C$12,ROUND('Calc base'!C$13*AT280,2))&lt;1,ROUND(AT280*(1+'Calc base'!H281),2),MAX('Calc base'!C$12,ROUND('Calc base'!C$13*AT280,2))))</f>
        <v>0</v>
      </c>
      <c r="K281">
        <f>IF(AU280&lt;=0,0,IF(ROUND(AU280*(1+'Calc base'!I281),2)-MAX('Calc base'!D$12,ROUND('Calc base'!D$13*AU280,2))&lt;1,ROUND(AU280*(1+'Calc base'!I281),2),MAX('Calc base'!D$12,ROUND('Calc base'!D$13*AU280,2))))</f>
        <v>0</v>
      </c>
      <c r="L281">
        <f>IF(AV280&lt;=0,0,IF(ROUND(AV280*(1+'Calc base'!J281),2)-MAX('Calc base'!E$12,ROUND('Calc base'!E$13*AV280,2))&lt;1,ROUND(AV280*(1+'Calc base'!J281),2),MAX('Calc base'!E$12,ROUND('Calc base'!E$13*AV280,2))))</f>
        <v>0</v>
      </c>
      <c r="M281">
        <f>IF(AW280&lt;=0,0,IF(ROUND(AW280*(1+'Calc base'!K281),2)-MAX('Calc base'!F$12,ROUND('Calc base'!F$13*AW280,2))&lt;1,ROUND(AW280*(1+'Calc base'!K281),2),MAX('Calc base'!F$12,ROUND('Calc base'!F$13*AW280,2))))</f>
        <v>0</v>
      </c>
      <c r="N281">
        <f>IF(AX280&lt;=0,0,IF(ROUND(AX280*(1+'Calc base'!L281),2)-MAX('Calc base'!G$12,ROUND('Calc base'!G$13*AX280,2))&lt;1,ROUND(AX280*(1+'Calc base'!L281),2),MAX('Calc base'!G$12,ROUND('Calc base'!G$13*AX280,2))))</f>
        <v>0</v>
      </c>
      <c r="O281">
        <f>IF(AY280&lt;=0,0,IF(ROUND(AY280*(1+'Calc base'!M281),2)-MAX('Calc base'!H$12,ROUND('Calc base'!H$13*AY280,2))&lt;1,ROUND(AY280*(1+'Calc base'!M281),2),MAX('Calc base'!H$12,ROUND('Calc base'!H$13*AY280,2))))</f>
        <v>0</v>
      </c>
      <c r="P281">
        <f>IF(AZ280&lt;=0,0,IF(ROUND(AZ280*(1+'Calc base'!N281),2)-MAX('Calc base'!I$12,ROUND('Calc base'!I$13*AZ280,2))&lt;1,ROUND(AZ280*(1+'Calc base'!N281),2),MAX('Calc base'!I$12,ROUND('Calc base'!I$13*AZ280,2))))</f>
        <v>0</v>
      </c>
      <c r="Q281">
        <f>IF(BA280&lt;=0,0,IF(ROUND(BA280*(1+'Calc base'!O281),2)-MAX('Calc base'!J$12,ROUND('Calc base'!J$13*BA280,2))&lt;1,ROUND(BA280*(1+'Calc base'!O281),2),MAX('Calc base'!J$12,ROUND('Calc base'!J$13*BA280,2))))</f>
        <v>0</v>
      </c>
      <c r="R281">
        <f>IF(BB280&lt;=0,0,IF(ROUND(BB280*(1+'Calc base'!P281),2)-MAX('Calc base'!K$12,ROUND('Calc base'!K$13*BB280,2))&lt;1,ROUND(BB280*(1+'Calc base'!P281),2),MAX('Calc base'!K$12,ROUND('Calc base'!K$13*BB280,2))))</f>
        <v>0</v>
      </c>
      <c r="S281">
        <f>IF(BC280&lt;=0,0,IF(ROUND(BC280*(1+'Calc base'!Q281),2)-MAX('Calc base'!L$12,ROUND('Calc base'!L$13*BC280,2))&lt;1,ROUND(BC280*(1+'Calc base'!Q281),2),MAX('Calc base'!L$12,ROUND('Calc base'!L$13*BC280,2))))</f>
        <v>0</v>
      </c>
      <c r="T281">
        <f>IF(BD280&lt;=0,0,IF(ROUND(BD280*(1+'Calc base'!R281),2)-MAX('Calc base'!M$12,ROUND('Calc base'!M$13*BD280,2))&lt;1,ROUND(BD280*(1+'Calc base'!R281),2),MAX('Calc base'!M$12,ROUND('Calc base'!M$13*BD280,2))))</f>
        <v>0</v>
      </c>
      <c r="U281">
        <f>IF(BE280&lt;=0,0,IF(ROUND(BE280*(1+'Calc base'!S281),2)-MAX('Calc base'!N$12,ROUND('Calc base'!N$13*BE280,2))&lt;1,ROUND(BE280*(1+'Calc base'!S281),2),MAX('Calc base'!N$12,ROUND('Calc base'!N$13*BE280,2))))</f>
        <v>0</v>
      </c>
      <c r="V281">
        <f>MAX(0,ROUND(AT280*(1+'Calc base'!H281),2)-J281-'Calc base'!T281)</f>
        <v>0</v>
      </c>
      <c r="W281">
        <f>MAX(0,ROUND(AU280*(1+'Calc base'!I281),2)-K281-'Calc base'!U281)</f>
        <v>0</v>
      </c>
      <c r="X281">
        <f>MAX(0,ROUND(AV280*(1+'Calc base'!J281),2)-L281-'Calc base'!V281)</f>
        <v>0</v>
      </c>
      <c r="Y281">
        <f>MAX(0,ROUND(AW280*(1+'Calc base'!K281),2)-M281-'Calc base'!W281)</f>
        <v>0</v>
      </c>
      <c r="Z281">
        <f>MAX(0,ROUND(AX280*(1+'Calc base'!L281),2)-N281-'Calc base'!X281)</f>
        <v>0</v>
      </c>
      <c r="AA281">
        <f>MAX(0,ROUND(AY280*(1+'Calc base'!M281),2)-O281-'Calc base'!Y281)</f>
        <v>0</v>
      </c>
      <c r="AB281">
        <f>MAX(0,ROUND(AZ280*(1+'Calc base'!N281),2)-P281-'Calc base'!Z281)</f>
        <v>0</v>
      </c>
      <c r="AC281">
        <f>MAX(0,ROUND(BA280*(1+'Calc base'!O281),2)-Q281-'Calc base'!AA281)</f>
        <v>0</v>
      </c>
      <c r="AD281">
        <f>MAX(0,ROUND(BB280*(1+'Calc base'!P281),2)-R281-'Calc base'!AB281)</f>
        <v>0</v>
      </c>
      <c r="AE281">
        <f>MAX(0,ROUND(BC280*(1+'Calc base'!Q281),2)-S281-'Calc base'!AC281)</f>
        <v>0</v>
      </c>
      <c r="AF281">
        <f>MAX(0,ROUND(BD280*(1+'Calc base'!R281),2)-T281-'Calc base'!AD281)</f>
        <v>0</v>
      </c>
      <c r="AG281">
        <f>MAX(0,ROUND(BE280*(1+'Calc base'!S281),2)-U281-'Calc base'!AE281)</f>
        <v>0</v>
      </c>
      <c r="AH281">
        <f>IF('Calc base'!C$14=0,0,MIN(V281,MAX(0,$E281-SUMPRODUCT($V281:$AG281,'Calc base'!$C$14:$N$14,('Calc base'!$H281:$S281&gt;'Calc base'!H281)+('Calc base'!$H281:$S281='Calc base'!H281)*('Calc base'!$C$17:$N$17&lt;'Calc base'!C$17)))))</f>
        <v>0</v>
      </c>
      <c r="AI281">
        <f>IF('Calc base'!D$14=0,0,MIN(W281,MAX(0,$E281-SUMPRODUCT($V281:$AG281,'Calc base'!$C$14:$N$14,('Calc base'!$H281:$S281&gt;'Calc base'!I281)+('Calc base'!$H281:$S281='Calc base'!I281)*('Calc base'!$C$17:$N$17&lt;'Calc base'!D$17)))))</f>
        <v>0</v>
      </c>
      <c r="AJ281">
        <f>IF('Calc base'!E$14=0,0,MIN(X281,MAX(0,$E281-SUMPRODUCT($V281:$AG281,'Calc base'!$C$14:$N$14,('Calc base'!$H281:$S281&gt;'Calc base'!J281)+('Calc base'!$H281:$S281='Calc base'!J281)*('Calc base'!$C$17:$N$17&lt;'Calc base'!E$17)))))</f>
        <v>0</v>
      </c>
      <c r="AK281">
        <f>IF('Calc base'!F$14=0,0,MIN(Y281,MAX(0,$E281-SUMPRODUCT($V281:$AG281,'Calc base'!$C$14:$N$14,('Calc base'!$H281:$S281&gt;'Calc base'!K281)+('Calc base'!$H281:$S281='Calc base'!K281)*('Calc base'!$C$17:$N$17&lt;'Calc base'!F$17)))))</f>
        <v>0</v>
      </c>
      <c r="AL281">
        <f>IF('Calc base'!G$14=0,0,MIN(Z281,MAX(0,$E281-SUMPRODUCT($V281:$AG281,'Calc base'!$C$14:$N$14,('Calc base'!$H281:$S281&gt;'Calc base'!L281)+('Calc base'!$H281:$S281='Calc base'!L281)*('Calc base'!$C$17:$N$17&lt;'Calc base'!G$17)))))</f>
        <v>0</v>
      </c>
      <c r="AM281">
        <f>IF('Calc base'!H$14=0,0,MIN(AA281,MAX(0,$E281-SUMPRODUCT($V281:$AG281,'Calc base'!$C$14:$N$14,('Calc base'!$H281:$S281&gt;'Calc base'!M281)+('Calc base'!$H281:$S281='Calc base'!M281)*('Calc base'!$C$17:$N$17&lt;'Calc base'!H$17)))))</f>
        <v>0</v>
      </c>
      <c r="AN281">
        <f>IF('Calc base'!I$14=0,0,MIN(AB281,MAX(0,$E281-SUMPRODUCT($V281:$AG281,'Calc base'!$C$14:$N$14,('Calc base'!$H281:$S281&gt;'Calc base'!N281)+('Calc base'!$H281:$S281='Calc base'!N281)*('Calc base'!$C$17:$N$17&lt;'Calc base'!I$17)))))</f>
        <v>0</v>
      </c>
      <c r="AO281">
        <f>IF('Calc base'!J$14=0,0,MIN(AC281,MAX(0,$E281-SUMPRODUCT($V281:$AG281,'Calc base'!$C$14:$N$14,('Calc base'!$H281:$S281&gt;'Calc base'!O281)+('Calc base'!$H281:$S281='Calc base'!O281)*('Calc base'!$C$17:$N$17&lt;'Calc base'!J$17)))))</f>
        <v>0</v>
      </c>
      <c r="AP281">
        <f>IF('Calc base'!K$14=0,0,MIN(AD281,MAX(0,$E281-SUMPRODUCT($V281:$AG281,'Calc base'!$C$14:$N$14,('Calc base'!$H281:$S281&gt;'Calc base'!P281)+('Calc base'!$H281:$S281='Calc base'!P281)*('Calc base'!$C$17:$N$17&lt;'Calc base'!K$17)))))</f>
        <v>0</v>
      </c>
      <c r="AQ281">
        <f>IF('Calc base'!L$14=0,0,MIN(AE281,MAX(0,$E281-SUMPRODUCT($V281:$AG281,'Calc base'!$C$14:$N$14,('Calc base'!$H281:$S281&gt;'Calc base'!Q281)+('Calc base'!$H281:$S281='Calc base'!Q281)*('Calc base'!$C$17:$N$17&lt;'Calc base'!L$17)))))</f>
        <v>0</v>
      </c>
      <c r="AR281">
        <f>IF('Calc base'!M$14=0,0,MIN(AF281,MAX(0,$E281-SUMPRODUCT($V281:$AG281,'Calc base'!$C$14:$N$14,('Calc base'!$H281:$S281&gt;'Calc base'!R281)+('Calc base'!$H281:$S281='Calc base'!R281)*('Calc base'!$C$17:$N$17&lt;'Calc base'!M$17)))))</f>
        <v>0</v>
      </c>
      <c r="AS281">
        <f>IF('Calc base'!N$14=0,0,MIN(AG281,MAX(0,$E281-SUMPRODUCT($V281:$AG281,'Calc base'!$C$14:$N$14,('Calc base'!$H281:$S281&gt;'Calc base'!S281)+('Calc base'!$H281:$S281='Calc base'!S281)*('Calc base'!$C$17:$N$17&lt;'Calc base'!N$17)))))</f>
        <v>0</v>
      </c>
      <c r="AT281">
        <f>V281-AH281</f>
        <v>0</v>
      </c>
      <c r="AU281">
        <f>W281-AI281</f>
        <v>0</v>
      </c>
      <c r="AV281">
        <f>X281-AJ281</f>
        <v>0</v>
      </c>
      <c r="AW281">
        <f>Y281-AK281</f>
        <v>0</v>
      </c>
      <c r="AX281">
        <f>Z281-AL281</f>
        <v>0</v>
      </c>
      <c r="AY281">
        <f>AA281-AM281</f>
        <v>0</v>
      </c>
      <c r="AZ281">
        <f>AB281-AN281</f>
        <v>0</v>
      </c>
      <c r="BA281">
        <f>AC281-AO281</f>
        <v>0</v>
      </c>
      <c r="BB281">
        <f>AD281-AP281</f>
        <v>0</v>
      </c>
      <c r="BC281">
        <f>AE281-AQ281</f>
        <v>0</v>
      </c>
      <c r="BD281">
        <f>AF281-AR281</f>
        <v>0</v>
      </c>
      <c r="BE281">
        <f>AG281-AS281</f>
        <v>0</v>
      </c>
    </row>
    <row r="282">
      <c r="A282" t="n">
        <v>252</v>
      </c>
      <c r="B282">
        <f>SUMPRODUCT(ROUND($AT281:$BE281*(1+'Calc base'!$H282:$S282),2))</f>
        <v>0</v>
      </c>
      <c r="C282">
        <f>SUM(J282:U282)</f>
        <v>0</v>
      </c>
      <c r="D282">
        <f>SUM(V282:AG282)</f>
        <v>0</v>
      </c>
      <c r="E282">
        <f>MAX(0,IF(Impostazioni!$B$7="No",'Calc base'!$C282-$C$31,'Calc base'!$C282-C282)+'Calc base'!$G282+'Calc base'!$F282-(B282-C282-D282))</f>
        <v>900</v>
      </c>
      <c r="F282">
        <f>SUM(AH282:AS282)</f>
        <v>0</v>
      </c>
      <c r="G282">
        <f>SUM(AT282:BE282)</f>
        <v>0</v>
      </c>
      <c r="H282">
        <f>B282-G281</f>
        <v>0</v>
      </c>
      <c r="I282">
        <f>B282-G282</f>
        <v>0</v>
      </c>
      <c r="J282">
        <f>IF(AT281&lt;=0,0,IF(ROUND(AT281*(1+'Calc base'!H282),2)-MAX('Calc base'!C$12,ROUND('Calc base'!C$13*AT281,2))&lt;1,ROUND(AT281*(1+'Calc base'!H282),2),MAX('Calc base'!C$12,ROUND('Calc base'!C$13*AT281,2))))</f>
        <v>0</v>
      </c>
      <c r="K282">
        <f>IF(AU281&lt;=0,0,IF(ROUND(AU281*(1+'Calc base'!I282),2)-MAX('Calc base'!D$12,ROUND('Calc base'!D$13*AU281,2))&lt;1,ROUND(AU281*(1+'Calc base'!I282),2),MAX('Calc base'!D$12,ROUND('Calc base'!D$13*AU281,2))))</f>
        <v>0</v>
      </c>
      <c r="L282">
        <f>IF(AV281&lt;=0,0,IF(ROUND(AV281*(1+'Calc base'!J282),2)-MAX('Calc base'!E$12,ROUND('Calc base'!E$13*AV281,2))&lt;1,ROUND(AV281*(1+'Calc base'!J282),2),MAX('Calc base'!E$12,ROUND('Calc base'!E$13*AV281,2))))</f>
        <v>0</v>
      </c>
      <c r="M282">
        <f>IF(AW281&lt;=0,0,IF(ROUND(AW281*(1+'Calc base'!K282),2)-MAX('Calc base'!F$12,ROUND('Calc base'!F$13*AW281,2))&lt;1,ROUND(AW281*(1+'Calc base'!K282),2),MAX('Calc base'!F$12,ROUND('Calc base'!F$13*AW281,2))))</f>
        <v>0</v>
      </c>
      <c r="N282">
        <f>IF(AX281&lt;=0,0,IF(ROUND(AX281*(1+'Calc base'!L282),2)-MAX('Calc base'!G$12,ROUND('Calc base'!G$13*AX281,2))&lt;1,ROUND(AX281*(1+'Calc base'!L282),2),MAX('Calc base'!G$12,ROUND('Calc base'!G$13*AX281,2))))</f>
        <v>0</v>
      </c>
      <c r="O282">
        <f>IF(AY281&lt;=0,0,IF(ROUND(AY281*(1+'Calc base'!M282),2)-MAX('Calc base'!H$12,ROUND('Calc base'!H$13*AY281,2))&lt;1,ROUND(AY281*(1+'Calc base'!M282),2),MAX('Calc base'!H$12,ROUND('Calc base'!H$13*AY281,2))))</f>
        <v>0</v>
      </c>
      <c r="P282">
        <f>IF(AZ281&lt;=0,0,IF(ROUND(AZ281*(1+'Calc base'!N282),2)-MAX('Calc base'!I$12,ROUND('Calc base'!I$13*AZ281,2))&lt;1,ROUND(AZ281*(1+'Calc base'!N282),2),MAX('Calc base'!I$12,ROUND('Calc base'!I$13*AZ281,2))))</f>
        <v>0</v>
      </c>
      <c r="Q282">
        <f>IF(BA281&lt;=0,0,IF(ROUND(BA281*(1+'Calc base'!O282),2)-MAX('Calc base'!J$12,ROUND('Calc base'!J$13*BA281,2))&lt;1,ROUND(BA281*(1+'Calc base'!O282),2),MAX('Calc base'!J$12,ROUND('Calc base'!J$13*BA281,2))))</f>
        <v>0</v>
      </c>
      <c r="R282">
        <f>IF(BB281&lt;=0,0,IF(ROUND(BB281*(1+'Calc base'!P282),2)-MAX('Calc base'!K$12,ROUND('Calc base'!K$13*BB281,2))&lt;1,ROUND(BB281*(1+'Calc base'!P282),2),MAX('Calc base'!K$12,ROUND('Calc base'!K$13*BB281,2))))</f>
        <v>0</v>
      </c>
      <c r="S282">
        <f>IF(BC281&lt;=0,0,IF(ROUND(BC281*(1+'Calc base'!Q282),2)-MAX('Calc base'!L$12,ROUND('Calc base'!L$13*BC281,2))&lt;1,ROUND(BC281*(1+'Calc base'!Q282),2),MAX('Calc base'!L$12,ROUND('Calc base'!L$13*BC281,2))))</f>
        <v>0</v>
      </c>
      <c r="T282">
        <f>IF(BD281&lt;=0,0,IF(ROUND(BD281*(1+'Calc base'!R282),2)-MAX('Calc base'!M$12,ROUND('Calc base'!M$13*BD281,2))&lt;1,ROUND(BD281*(1+'Calc base'!R282),2),MAX('Calc base'!M$12,ROUND('Calc base'!M$13*BD281,2))))</f>
        <v>0</v>
      </c>
      <c r="U282">
        <f>IF(BE281&lt;=0,0,IF(ROUND(BE281*(1+'Calc base'!S282),2)-MAX('Calc base'!N$12,ROUND('Calc base'!N$13*BE281,2))&lt;1,ROUND(BE281*(1+'Calc base'!S282),2),MAX('Calc base'!N$12,ROUND('Calc base'!N$13*BE281,2))))</f>
        <v>0</v>
      </c>
      <c r="V282">
        <f>MAX(0,ROUND(AT281*(1+'Calc base'!H282),2)-J282-'Calc base'!T282)</f>
        <v>0</v>
      </c>
      <c r="W282">
        <f>MAX(0,ROUND(AU281*(1+'Calc base'!I282),2)-K282-'Calc base'!U282)</f>
        <v>0</v>
      </c>
      <c r="X282">
        <f>MAX(0,ROUND(AV281*(1+'Calc base'!J282),2)-L282-'Calc base'!V282)</f>
        <v>0</v>
      </c>
      <c r="Y282">
        <f>MAX(0,ROUND(AW281*(1+'Calc base'!K282),2)-M282-'Calc base'!W282)</f>
        <v>0</v>
      </c>
      <c r="Z282">
        <f>MAX(0,ROUND(AX281*(1+'Calc base'!L282),2)-N282-'Calc base'!X282)</f>
        <v>0</v>
      </c>
      <c r="AA282">
        <f>MAX(0,ROUND(AY281*(1+'Calc base'!M282),2)-O282-'Calc base'!Y282)</f>
        <v>0</v>
      </c>
      <c r="AB282">
        <f>MAX(0,ROUND(AZ281*(1+'Calc base'!N282),2)-P282-'Calc base'!Z282)</f>
        <v>0</v>
      </c>
      <c r="AC282">
        <f>MAX(0,ROUND(BA281*(1+'Calc base'!O282),2)-Q282-'Calc base'!AA282)</f>
        <v>0</v>
      </c>
      <c r="AD282">
        <f>MAX(0,ROUND(BB281*(1+'Calc base'!P282),2)-R282-'Calc base'!AB282)</f>
        <v>0</v>
      </c>
      <c r="AE282">
        <f>MAX(0,ROUND(BC281*(1+'Calc base'!Q282),2)-S282-'Calc base'!AC282)</f>
        <v>0</v>
      </c>
      <c r="AF282">
        <f>MAX(0,ROUND(BD281*(1+'Calc base'!R282),2)-T282-'Calc base'!AD282)</f>
        <v>0</v>
      </c>
      <c r="AG282">
        <f>MAX(0,ROUND(BE281*(1+'Calc base'!S282),2)-U282-'Calc base'!AE282)</f>
        <v>0</v>
      </c>
      <c r="AH282">
        <f>IF('Calc base'!C$14=0,0,MIN(V282,MAX(0,$E282-SUMPRODUCT($V282:$AG282,'Calc base'!$C$14:$N$14,('Calc base'!$H282:$S282&gt;'Calc base'!H282)+('Calc base'!$H282:$S282='Calc base'!H282)*('Calc base'!$C$17:$N$17&lt;'Calc base'!C$17)))))</f>
        <v>0</v>
      </c>
      <c r="AI282">
        <f>IF('Calc base'!D$14=0,0,MIN(W282,MAX(0,$E282-SUMPRODUCT($V282:$AG282,'Calc base'!$C$14:$N$14,('Calc base'!$H282:$S282&gt;'Calc base'!I282)+('Calc base'!$H282:$S282='Calc base'!I282)*('Calc base'!$C$17:$N$17&lt;'Calc base'!D$17)))))</f>
        <v>0</v>
      </c>
      <c r="AJ282">
        <f>IF('Calc base'!E$14=0,0,MIN(X282,MAX(0,$E282-SUMPRODUCT($V282:$AG282,'Calc base'!$C$14:$N$14,('Calc base'!$H282:$S282&gt;'Calc base'!J282)+('Calc base'!$H282:$S282='Calc base'!J282)*('Calc base'!$C$17:$N$17&lt;'Calc base'!E$17)))))</f>
        <v>0</v>
      </c>
      <c r="AK282">
        <f>IF('Calc base'!F$14=0,0,MIN(Y282,MAX(0,$E282-SUMPRODUCT($V282:$AG282,'Calc base'!$C$14:$N$14,('Calc base'!$H282:$S282&gt;'Calc base'!K282)+('Calc base'!$H282:$S282='Calc base'!K282)*('Calc base'!$C$17:$N$17&lt;'Calc base'!F$17)))))</f>
        <v>0</v>
      </c>
      <c r="AL282">
        <f>IF('Calc base'!G$14=0,0,MIN(Z282,MAX(0,$E282-SUMPRODUCT($V282:$AG282,'Calc base'!$C$14:$N$14,('Calc base'!$H282:$S282&gt;'Calc base'!L282)+('Calc base'!$H282:$S282='Calc base'!L282)*('Calc base'!$C$17:$N$17&lt;'Calc base'!G$17)))))</f>
        <v>0</v>
      </c>
      <c r="AM282">
        <f>IF('Calc base'!H$14=0,0,MIN(AA282,MAX(0,$E282-SUMPRODUCT($V282:$AG282,'Calc base'!$C$14:$N$14,('Calc base'!$H282:$S282&gt;'Calc base'!M282)+('Calc base'!$H282:$S282='Calc base'!M282)*('Calc base'!$C$17:$N$17&lt;'Calc base'!H$17)))))</f>
        <v>0</v>
      </c>
      <c r="AN282">
        <f>IF('Calc base'!I$14=0,0,MIN(AB282,MAX(0,$E282-SUMPRODUCT($V282:$AG282,'Calc base'!$C$14:$N$14,('Calc base'!$H282:$S282&gt;'Calc base'!N282)+('Calc base'!$H282:$S282='Calc base'!N282)*('Calc base'!$C$17:$N$17&lt;'Calc base'!I$17)))))</f>
        <v>0</v>
      </c>
      <c r="AO282">
        <f>IF('Calc base'!J$14=0,0,MIN(AC282,MAX(0,$E282-SUMPRODUCT($V282:$AG282,'Calc base'!$C$14:$N$14,('Calc base'!$H282:$S282&gt;'Calc base'!O282)+('Calc base'!$H282:$S282='Calc base'!O282)*('Calc base'!$C$17:$N$17&lt;'Calc base'!J$17)))))</f>
        <v>0</v>
      </c>
      <c r="AP282">
        <f>IF('Calc base'!K$14=0,0,MIN(AD282,MAX(0,$E282-SUMPRODUCT($V282:$AG282,'Calc base'!$C$14:$N$14,('Calc base'!$H282:$S282&gt;'Calc base'!P282)+('Calc base'!$H282:$S282='Calc base'!P282)*('Calc base'!$C$17:$N$17&lt;'Calc base'!K$17)))))</f>
        <v>0</v>
      </c>
      <c r="AQ282">
        <f>IF('Calc base'!L$14=0,0,MIN(AE282,MAX(0,$E282-SUMPRODUCT($V282:$AG282,'Calc base'!$C$14:$N$14,('Calc base'!$H282:$S282&gt;'Calc base'!Q282)+('Calc base'!$H282:$S282='Calc base'!Q282)*('Calc base'!$C$17:$N$17&lt;'Calc base'!L$17)))))</f>
        <v>0</v>
      </c>
      <c r="AR282">
        <f>IF('Calc base'!M$14=0,0,MIN(AF282,MAX(0,$E282-SUMPRODUCT($V282:$AG282,'Calc base'!$C$14:$N$14,('Calc base'!$H282:$S282&gt;'Calc base'!R282)+('Calc base'!$H282:$S282='Calc base'!R282)*('Calc base'!$C$17:$N$17&lt;'Calc base'!M$17)))))</f>
        <v>0</v>
      </c>
      <c r="AS282">
        <f>IF('Calc base'!N$14=0,0,MIN(AG282,MAX(0,$E282-SUMPRODUCT($V282:$AG282,'Calc base'!$C$14:$N$14,('Calc base'!$H282:$S282&gt;'Calc base'!S282)+('Calc base'!$H282:$S282='Calc base'!S282)*('Calc base'!$C$17:$N$17&lt;'Calc base'!N$17)))))</f>
        <v>0</v>
      </c>
      <c r="AT282">
        <f>V282-AH282</f>
        <v>0</v>
      </c>
      <c r="AU282">
        <f>W282-AI282</f>
        <v>0</v>
      </c>
      <c r="AV282">
        <f>X282-AJ282</f>
        <v>0</v>
      </c>
      <c r="AW282">
        <f>Y282-AK282</f>
        <v>0</v>
      </c>
      <c r="AX282">
        <f>Z282-AL282</f>
        <v>0</v>
      </c>
      <c r="AY282">
        <f>AA282-AM282</f>
        <v>0</v>
      </c>
      <c r="AZ282">
        <f>AB282-AN282</f>
        <v>0</v>
      </c>
      <c r="BA282">
        <f>AC282-AO282</f>
        <v>0</v>
      </c>
      <c r="BB282">
        <f>AD282-AP282</f>
        <v>0</v>
      </c>
      <c r="BC282">
        <f>AE282-AQ282</f>
        <v>0</v>
      </c>
      <c r="BD282">
        <f>AF282-AR282</f>
        <v>0</v>
      </c>
      <c r="BE282">
        <f>AG282-AS282</f>
        <v>0</v>
      </c>
    </row>
    <row r="283">
      <c r="A283" t="n">
        <v>253</v>
      </c>
      <c r="B283">
        <f>SUMPRODUCT(ROUND($AT282:$BE282*(1+'Calc base'!$H283:$S283),2))</f>
        <v>0</v>
      </c>
      <c r="C283">
        <f>SUM(J283:U283)</f>
        <v>0</v>
      </c>
      <c r="D283">
        <f>SUM(V283:AG283)</f>
        <v>0</v>
      </c>
      <c r="E283">
        <f>MAX(0,IF(Impostazioni!$B$7="No",'Calc base'!$C283-$C$31,'Calc base'!$C283-C283)+'Calc base'!$G283+'Calc base'!$F283-(B283-C283-D283))</f>
        <v>900</v>
      </c>
      <c r="F283">
        <f>SUM(AH283:AS283)</f>
        <v>0</v>
      </c>
      <c r="G283">
        <f>SUM(AT283:BE283)</f>
        <v>0</v>
      </c>
      <c r="H283">
        <f>B283-G282</f>
        <v>0</v>
      </c>
      <c r="I283">
        <f>B283-G283</f>
        <v>0</v>
      </c>
      <c r="J283">
        <f>IF(AT282&lt;=0,0,IF(ROUND(AT282*(1+'Calc base'!H283),2)-MAX('Calc base'!C$12,ROUND('Calc base'!C$13*AT282,2))&lt;1,ROUND(AT282*(1+'Calc base'!H283),2),MAX('Calc base'!C$12,ROUND('Calc base'!C$13*AT282,2))))</f>
        <v>0</v>
      </c>
      <c r="K283">
        <f>IF(AU282&lt;=0,0,IF(ROUND(AU282*(1+'Calc base'!I283),2)-MAX('Calc base'!D$12,ROUND('Calc base'!D$13*AU282,2))&lt;1,ROUND(AU282*(1+'Calc base'!I283),2),MAX('Calc base'!D$12,ROUND('Calc base'!D$13*AU282,2))))</f>
        <v>0</v>
      </c>
      <c r="L283">
        <f>IF(AV282&lt;=0,0,IF(ROUND(AV282*(1+'Calc base'!J283),2)-MAX('Calc base'!E$12,ROUND('Calc base'!E$13*AV282,2))&lt;1,ROUND(AV282*(1+'Calc base'!J283),2),MAX('Calc base'!E$12,ROUND('Calc base'!E$13*AV282,2))))</f>
        <v>0</v>
      </c>
      <c r="M283">
        <f>IF(AW282&lt;=0,0,IF(ROUND(AW282*(1+'Calc base'!K283),2)-MAX('Calc base'!F$12,ROUND('Calc base'!F$13*AW282,2))&lt;1,ROUND(AW282*(1+'Calc base'!K283),2),MAX('Calc base'!F$12,ROUND('Calc base'!F$13*AW282,2))))</f>
        <v>0</v>
      </c>
      <c r="N283">
        <f>IF(AX282&lt;=0,0,IF(ROUND(AX282*(1+'Calc base'!L283),2)-MAX('Calc base'!G$12,ROUND('Calc base'!G$13*AX282,2))&lt;1,ROUND(AX282*(1+'Calc base'!L283),2),MAX('Calc base'!G$12,ROUND('Calc base'!G$13*AX282,2))))</f>
        <v>0</v>
      </c>
      <c r="O283">
        <f>IF(AY282&lt;=0,0,IF(ROUND(AY282*(1+'Calc base'!M283),2)-MAX('Calc base'!H$12,ROUND('Calc base'!H$13*AY282,2))&lt;1,ROUND(AY282*(1+'Calc base'!M283),2),MAX('Calc base'!H$12,ROUND('Calc base'!H$13*AY282,2))))</f>
        <v>0</v>
      </c>
      <c r="P283">
        <f>IF(AZ282&lt;=0,0,IF(ROUND(AZ282*(1+'Calc base'!N283),2)-MAX('Calc base'!I$12,ROUND('Calc base'!I$13*AZ282,2))&lt;1,ROUND(AZ282*(1+'Calc base'!N283),2),MAX('Calc base'!I$12,ROUND('Calc base'!I$13*AZ282,2))))</f>
        <v>0</v>
      </c>
      <c r="Q283">
        <f>IF(BA282&lt;=0,0,IF(ROUND(BA282*(1+'Calc base'!O283),2)-MAX('Calc base'!J$12,ROUND('Calc base'!J$13*BA282,2))&lt;1,ROUND(BA282*(1+'Calc base'!O283),2),MAX('Calc base'!J$12,ROUND('Calc base'!J$13*BA282,2))))</f>
        <v>0</v>
      </c>
      <c r="R283">
        <f>IF(BB282&lt;=0,0,IF(ROUND(BB282*(1+'Calc base'!P283),2)-MAX('Calc base'!K$12,ROUND('Calc base'!K$13*BB282,2))&lt;1,ROUND(BB282*(1+'Calc base'!P283),2),MAX('Calc base'!K$12,ROUND('Calc base'!K$13*BB282,2))))</f>
        <v>0</v>
      </c>
      <c r="S283">
        <f>IF(BC282&lt;=0,0,IF(ROUND(BC282*(1+'Calc base'!Q283),2)-MAX('Calc base'!L$12,ROUND('Calc base'!L$13*BC282,2))&lt;1,ROUND(BC282*(1+'Calc base'!Q283),2),MAX('Calc base'!L$12,ROUND('Calc base'!L$13*BC282,2))))</f>
        <v>0</v>
      </c>
      <c r="T283">
        <f>IF(BD282&lt;=0,0,IF(ROUND(BD282*(1+'Calc base'!R283),2)-MAX('Calc base'!M$12,ROUND('Calc base'!M$13*BD282,2))&lt;1,ROUND(BD282*(1+'Calc base'!R283),2),MAX('Calc base'!M$12,ROUND('Calc base'!M$13*BD282,2))))</f>
        <v>0</v>
      </c>
      <c r="U283">
        <f>IF(BE282&lt;=0,0,IF(ROUND(BE282*(1+'Calc base'!S283),2)-MAX('Calc base'!N$12,ROUND('Calc base'!N$13*BE282,2))&lt;1,ROUND(BE282*(1+'Calc base'!S283),2),MAX('Calc base'!N$12,ROUND('Calc base'!N$13*BE282,2))))</f>
        <v>0</v>
      </c>
      <c r="V283">
        <f>MAX(0,ROUND(AT282*(1+'Calc base'!H283),2)-J283-'Calc base'!T283)</f>
        <v>0</v>
      </c>
      <c r="W283">
        <f>MAX(0,ROUND(AU282*(1+'Calc base'!I283),2)-K283-'Calc base'!U283)</f>
        <v>0</v>
      </c>
      <c r="X283">
        <f>MAX(0,ROUND(AV282*(1+'Calc base'!J283),2)-L283-'Calc base'!V283)</f>
        <v>0</v>
      </c>
      <c r="Y283">
        <f>MAX(0,ROUND(AW282*(1+'Calc base'!K283),2)-M283-'Calc base'!W283)</f>
        <v>0</v>
      </c>
      <c r="Z283">
        <f>MAX(0,ROUND(AX282*(1+'Calc base'!L283),2)-N283-'Calc base'!X283)</f>
        <v>0</v>
      </c>
      <c r="AA283">
        <f>MAX(0,ROUND(AY282*(1+'Calc base'!M283),2)-O283-'Calc base'!Y283)</f>
        <v>0</v>
      </c>
      <c r="AB283">
        <f>MAX(0,ROUND(AZ282*(1+'Calc base'!N283),2)-P283-'Calc base'!Z283)</f>
        <v>0</v>
      </c>
      <c r="AC283">
        <f>MAX(0,ROUND(BA282*(1+'Calc base'!O283),2)-Q283-'Calc base'!AA283)</f>
        <v>0</v>
      </c>
      <c r="AD283">
        <f>MAX(0,ROUND(BB282*(1+'Calc base'!P283),2)-R283-'Calc base'!AB283)</f>
        <v>0</v>
      </c>
      <c r="AE283">
        <f>MAX(0,ROUND(BC282*(1+'Calc base'!Q283),2)-S283-'Calc base'!AC283)</f>
        <v>0</v>
      </c>
      <c r="AF283">
        <f>MAX(0,ROUND(BD282*(1+'Calc base'!R283),2)-T283-'Calc base'!AD283)</f>
        <v>0</v>
      </c>
      <c r="AG283">
        <f>MAX(0,ROUND(BE282*(1+'Calc base'!S283),2)-U283-'Calc base'!AE283)</f>
        <v>0</v>
      </c>
      <c r="AH283">
        <f>IF('Calc base'!C$14=0,0,MIN(V283,MAX(0,$E283-SUMPRODUCT($V283:$AG283,'Calc base'!$C$14:$N$14,('Calc base'!$H283:$S283&gt;'Calc base'!H283)+('Calc base'!$H283:$S283='Calc base'!H283)*('Calc base'!$C$17:$N$17&lt;'Calc base'!C$17)))))</f>
        <v>0</v>
      </c>
      <c r="AI283">
        <f>IF('Calc base'!D$14=0,0,MIN(W283,MAX(0,$E283-SUMPRODUCT($V283:$AG283,'Calc base'!$C$14:$N$14,('Calc base'!$H283:$S283&gt;'Calc base'!I283)+('Calc base'!$H283:$S283='Calc base'!I283)*('Calc base'!$C$17:$N$17&lt;'Calc base'!D$17)))))</f>
        <v>0</v>
      </c>
      <c r="AJ283">
        <f>IF('Calc base'!E$14=0,0,MIN(X283,MAX(0,$E283-SUMPRODUCT($V283:$AG283,'Calc base'!$C$14:$N$14,('Calc base'!$H283:$S283&gt;'Calc base'!J283)+('Calc base'!$H283:$S283='Calc base'!J283)*('Calc base'!$C$17:$N$17&lt;'Calc base'!E$17)))))</f>
        <v>0</v>
      </c>
      <c r="AK283">
        <f>IF('Calc base'!F$14=0,0,MIN(Y283,MAX(0,$E283-SUMPRODUCT($V283:$AG283,'Calc base'!$C$14:$N$14,('Calc base'!$H283:$S283&gt;'Calc base'!K283)+('Calc base'!$H283:$S283='Calc base'!K283)*('Calc base'!$C$17:$N$17&lt;'Calc base'!F$17)))))</f>
        <v>0</v>
      </c>
      <c r="AL283">
        <f>IF('Calc base'!G$14=0,0,MIN(Z283,MAX(0,$E283-SUMPRODUCT($V283:$AG283,'Calc base'!$C$14:$N$14,('Calc base'!$H283:$S283&gt;'Calc base'!L283)+('Calc base'!$H283:$S283='Calc base'!L283)*('Calc base'!$C$17:$N$17&lt;'Calc base'!G$17)))))</f>
        <v>0</v>
      </c>
      <c r="AM283">
        <f>IF('Calc base'!H$14=0,0,MIN(AA283,MAX(0,$E283-SUMPRODUCT($V283:$AG283,'Calc base'!$C$14:$N$14,('Calc base'!$H283:$S283&gt;'Calc base'!M283)+('Calc base'!$H283:$S283='Calc base'!M283)*('Calc base'!$C$17:$N$17&lt;'Calc base'!H$17)))))</f>
        <v>0</v>
      </c>
      <c r="AN283">
        <f>IF('Calc base'!I$14=0,0,MIN(AB283,MAX(0,$E283-SUMPRODUCT($V283:$AG283,'Calc base'!$C$14:$N$14,('Calc base'!$H283:$S283&gt;'Calc base'!N283)+('Calc base'!$H283:$S283='Calc base'!N283)*('Calc base'!$C$17:$N$17&lt;'Calc base'!I$17)))))</f>
        <v>0</v>
      </c>
      <c r="AO283">
        <f>IF('Calc base'!J$14=0,0,MIN(AC283,MAX(0,$E283-SUMPRODUCT($V283:$AG283,'Calc base'!$C$14:$N$14,('Calc base'!$H283:$S283&gt;'Calc base'!O283)+('Calc base'!$H283:$S283='Calc base'!O283)*('Calc base'!$C$17:$N$17&lt;'Calc base'!J$17)))))</f>
        <v>0</v>
      </c>
      <c r="AP283">
        <f>IF('Calc base'!K$14=0,0,MIN(AD283,MAX(0,$E283-SUMPRODUCT($V283:$AG283,'Calc base'!$C$14:$N$14,('Calc base'!$H283:$S283&gt;'Calc base'!P283)+('Calc base'!$H283:$S283='Calc base'!P283)*('Calc base'!$C$17:$N$17&lt;'Calc base'!K$17)))))</f>
        <v>0</v>
      </c>
      <c r="AQ283">
        <f>IF('Calc base'!L$14=0,0,MIN(AE283,MAX(0,$E283-SUMPRODUCT($V283:$AG283,'Calc base'!$C$14:$N$14,('Calc base'!$H283:$S283&gt;'Calc base'!Q283)+('Calc base'!$H283:$S283='Calc base'!Q283)*('Calc base'!$C$17:$N$17&lt;'Calc base'!L$17)))))</f>
        <v>0</v>
      </c>
      <c r="AR283">
        <f>IF('Calc base'!M$14=0,0,MIN(AF283,MAX(0,$E283-SUMPRODUCT($V283:$AG283,'Calc base'!$C$14:$N$14,('Calc base'!$H283:$S283&gt;'Calc base'!R283)+('Calc base'!$H283:$S283='Calc base'!R283)*('Calc base'!$C$17:$N$17&lt;'Calc base'!M$17)))))</f>
        <v>0</v>
      </c>
      <c r="AS283">
        <f>IF('Calc base'!N$14=0,0,MIN(AG283,MAX(0,$E283-SUMPRODUCT($V283:$AG283,'Calc base'!$C$14:$N$14,('Calc base'!$H283:$S283&gt;'Calc base'!S283)+('Calc base'!$H283:$S283='Calc base'!S283)*('Calc base'!$C$17:$N$17&lt;'Calc base'!N$17)))))</f>
        <v>0</v>
      </c>
      <c r="AT283">
        <f>V283-AH283</f>
        <v>0</v>
      </c>
      <c r="AU283">
        <f>W283-AI283</f>
        <v>0</v>
      </c>
      <c r="AV283">
        <f>X283-AJ283</f>
        <v>0</v>
      </c>
      <c r="AW283">
        <f>Y283-AK283</f>
        <v>0</v>
      </c>
      <c r="AX283">
        <f>Z283-AL283</f>
        <v>0</v>
      </c>
      <c r="AY283">
        <f>AA283-AM283</f>
        <v>0</v>
      </c>
      <c r="AZ283">
        <f>AB283-AN283</f>
        <v>0</v>
      </c>
      <c r="BA283">
        <f>AC283-AO283</f>
        <v>0</v>
      </c>
      <c r="BB283">
        <f>AD283-AP283</f>
        <v>0</v>
      </c>
      <c r="BC283">
        <f>AE283-AQ283</f>
        <v>0</v>
      </c>
      <c r="BD283">
        <f>AF283-AR283</f>
        <v>0</v>
      </c>
      <c r="BE283">
        <f>AG283-AS283</f>
        <v>0</v>
      </c>
    </row>
    <row r="284">
      <c r="A284" t="n">
        <v>254</v>
      </c>
      <c r="B284">
        <f>SUMPRODUCT(ROUND($AT283:$BE283*(1+'Calc base'!$H284:$S284),2))</f>
        <v>0</v>
      </c>
      <c r="C284">
        <f>SUM(J284:U284)</f>
        <v>0</v>
      </c>
      <c r="D284">
        <f>SUM(V284:AG284)</f>
        <v>0</v>
      </c>
      <c r="E284">
        <f>MAX(0,IF(Impostazioni!$B$7="No",'Calc base'!$C284-$C$31,'Calc base'!$C284-C284)+'Calc base'!$G284+'Calc base'!$F284-(B284-C284-D284))</f>
        <v>900</v>
      </c>
      <c r="F284">
        <f>SUM(AH284:AS284)</f>
        <v>0</v>
      </c>
      <c r="G284">
        <f>SUM(AT284:BE284)</f>
        <v>0</v>
      </c>
      <c r="H284">
        <f>B284-G283</f>
        <v>0</v>
      </c>
      <c r="I284">
        <f>B284-G284</f>
        <v>0</v>
      </c>
      <c r="J284">
        <f>IF(AT283&lt;=0,0,IF(ROUND(AT283*(1+'Calc base'!H284),2)-MAX('Calc base'!C$12,ROUND('Calc base'!C$13*AT283,2))&lt;1,ROUND(AT283*(1+'Calc base'!H284),2),MAX('Calc base'!C$12,ROUND('Calc base'!C$13*AT283,2))))</f>
        <v>0</v>
      </c>
      <c r="K284">
        <f>IF(AU283&lt;=0,0,IF(ROUND(AU283*(1+'Calc base'!I284),2)-MAX('Calc base'!D$12,ROUND('Calc base'!D$13*AU283,2))&lt;1,ROUND(AU283*(1+'Calc base'!I284),2),MAX('Calc base'!D$12,ROUND('Calc base'!D$13*AU283,2))))</f>
        <v>0</v>
      </c>
      <c r="L284">
        <f>IF(AV283&lt;=0,0,IF(ROUND(AV283*(1+'Calc base'!J284),2)-MAX('Calc base'!E$12,ROUND('Calc base'!E$13*AV283,2))&lt;1,ROUND(AV283*(1+'Calc base'!J284),2),MAX('Calc base'!E$12,ROUND('Calc base'!E$13*AV283,2))))</f>
        <v>0</v>
      </c>
      <c r="M284">
        <f>IF(AW283&lt;=0,0,IF(ROUND(AW283*(1+'Calc base'!K284),2)-MAX('Calc base'!F$12,ROUND('Calc base'!F$13*AW283,2))&lt;1,ROUND(AW283*(1+'Calc base'!K284),2),MAX('Calc base'!F$12,ROUND('Calc base'!F$13*AW283,2))))</f>
        <v>0</v>
      </c>
      <c r="N284">
        <f>IF(AX283&lt;=0,0,IF(ROUND(AX283*(1+'Calc base'!L284),2)-MAX('Calc base'!G$12,ROUND('Calc base'!G$13*AX283,2))&lt;1,ROUND(AX283*(1+'Calc base'!L284),2),MAX('Calc base'!G$12,ROUND('Calc base'!G$13*AX283,2))))</f>
        <v>0</v>
      </c>
      <c r="O284">
        <f>IF(AY283&lt;=0,0,IF(ROUND(AY283*(1+'Calc base'!M284),2)-MAX('Calc base'!H$12,ROUND('Calc base'!H$13*AY283,2))&lt;1,ROUND(AY283*(1+'Calc base'!M284),2),MAX('Calc base'!H$12,ROUND('Calc base'!H$13*AY283,2))))</f>
        <v>0</v>
      </c>
      <c r="P284">
        <f>IF(AZ283&lt;=0,0,IF(ROUND(AZ283*(1+'Calc base'!N284),2)-MAX('Calc base'!I$12,ROUND('Calc base'!I$13*AZ283,2))&lt;1,ROUND(AZ283*(1+'Calc base'!N284),2),MAX('Calc base'!I$12,ROUND('Calc base'!I$13*AZ283,2))))</f>
        <v>0</v>
      </c>
      <c r="Q284">
        <f>IF(BA283&lt;=0,0,IF(ROUND(BA283*(1+'Calc base'!O284),2)-MAX('Calc base'!J$12,ROUND('Calc base'!J$13*BA283,2))&lt;1,ROUND(BA283*(1+'Calc base'!O284),2),MAX('Calc base'!J$12,ROUND('Calc base'!J$13*BA283,2))))</f>
        <v>0</v>
      </c>
      <c r="R284">
        <f>IF(BB283&lt;=0,0,IF(ROUND(BB283*(1+'Calc base'!P284),2)-MAX('Calc base'!K$12,ROUND('Calc base'!K$13*BB283,2))&lt;1,ROUND(BB283*(1+'Calc base'!P284),2),MAX('Calc base'!K$12,ROUND('Calc base'!K$13*BB283,2))))</f>
        <v>0</v>
      </c>
      <c r="S284">
        <f>IF(BC283&lt;=0,0,IF(ROUND(BC283*(1+'Calc base'!Q284),2)-MAX('Calc base'!L$12,ROUND('Calc base'!L$13*BC283,2))&lt;1,ROUND(BC283*(1+'Calc base'!Q284),2),MAX('Calc base'!L$12,ROUND('Calc base'!L$13*BC283,2))))</f>
        <v>0</v>
      </c>
      <c r="T284">
        <f>IF(BD283&lt;=0,0,IF(ROUND(BD283*(1+'Calc base'!R284),2)-MAX('Calc base'!M$12,ROUND('Calc base'!M$13*BD283,2))&lt;1,ROUND(BD283*(1+'Calc base'!R284),2),MAX('Calc base'!M$12,ROUND('Calc base'!M$13*BD283,2))))</f>
        <v>0</v>
      </c>
      <c r="U284">
        <f>IF(BE283&lt;=0,0,IF(ROUND(BE283*(1+'Calc base'!S284),2)-MAX('Calc base'!N$12,ROUND('Calc base'!N$13*BE283,2))&lt;1,ROUND(BE283*(1+'Calc base'!S284),2),MAX('Calc base'!N$12,ROUND('Calc base'!N$13*BE283,2))))</f>
        <v>0</v>
      </c>
      <c r="V284">
        <f>MAX(0,ROUND(AT283*(1+'Calc base'!H284),2)-J284-'Calc base'!T284)</f>
        <v>0</v>
      </c>
      <c r="W284">
        <f>MAX(0,ROUND(AU283*(1+'Calc base'!I284),2)-K284-'Calc base'!U284)</f>
        <v>0</v>
      </c>
      <c r="X284">
        <f>MAX(0,ROUND(AV283*(1+'Calc base'!J284),2)-L284-'Calc base'!V284)</f>
        <v>0</v>
      </c>
      <c r="Y284">
        <f>MAX(0,ROUND(AW283*(1+'Calc base'!K284),2)-M284-'Calc base'!W284)</f>
        <v>0</v>
      </c>
      <c r="Z284">
        <f>MAX(0,ROUND(AX283*(1+'Calc base'!L284),2)-N284-'Calc base'!X284)</f>
        <v>0</v>
      </c>
      <c r="AA284">
        <f>MAX(0,ROUND(AY283*(1+'Calc base'!M284),2)-O284-'Calc base'!Y284)</f>
        <v>0</v>
      </c>
      <c r="AB284">
        <f>MAX(0,ROUND(AZ283*(1+'Calc base'!N284),2)-P284-'Calc base'!Z284)</f>
        <v>0</v>
      </c>
      <c r="AC284">
        <f>MAX(0,ROUND(BA283*(1+'Calc base'!O284),2)-Q284-'Calc base'!AA284)</f>
        <v>0</v>
      </c>
      <c r="AD284">
        <f>MAX(0,ROUND(BB283*(1+'Calc base'!P284),2)-R284-'Calc base'!AB284)</f>
        <v>0</v>
      </c>
      <c r="AE284">
        <f>MAX(0,ROUND(BC283*(1+'Calc base'!Q284),2)-S284-'Calc base'!AC284)</f>
        <v>0</v>
      </c>
      <c r="AF284">
        <f>MAX(0,ROUND(BD283*(1+'Calc base'!R284),2)-T284-'Calc base'!AD284)</f>
        <v>0</v>
      </c>
      <c r="AG284">
        <f>MAX(0,ROUND(BE283*(1+'Calc base'!S284),2)-U284-'Calc base'!AE284)</f>
        <v>0</v>
      </c>
      <c r="AH284">
        <f>IF('Calc base'!C$14=0,0,MIN(V284,MAX(0,$E284-SUMPRODUCT($V284:$AG284,'Calc base'!$C$14:$N$14,('Calc base'!$H284:$S284&gt;'Calc base'!H284)+('Calc base'!$H284:$S284='Calc base'!H284)*('Calc base'!$C$17:$N$17&lt;'Calc base'!C$17)))))</f>
        <v>0</v>
      </c>
      <c r="AI284">
        <f>IF('Calc base'!D$14=0,0,MIN(W284,MAX(0,$E284-SUMPRODUCT($V284:$AG284,'Calc base'!$C$14:$N$14,('Calc base'!$H284:$S284&gt;'Calc base'!I284)+('Calc base'!$H284:$S284='Calc base'!I284)*('Calc base'!$C$17:$N$17&lt;'Calc base'!D$17)))))</f>
        <v>0</v>
      </c>
      <c r="AJ284">
        <f>IF('Calc base'!E$14=0,0,MIN(X284,MAX(0,$E284-SUMPRODUCT($V284:$AG284,'Calc base'!$C$14:$N$14,('Calc base'!$H284:$S284&gt;'Calc base'!J284)+('Calc base'!$H284:$S284='Calc base'!J284)*('Calc base'!$C$17:$N$17&lt;'Calc base'!E$17)))))</f>
        <v>0</v>
      </c>
      <c r="AK284">
        <f>IF('Calc base'!F$14=0,0,MIN(Y284,MAX(0,$E284-SUMPRODUCT($V284:$AG284,'Calc base'!$C$14:$N$14,('Calc base'!$H284:$S284&gt;'Calc base'!K284)+('Calc base'!$H284:$S284='Calc base'!K284)*('Calc base'!$C$17:$N$17&lt;'Calc base'!F$17)))))</f>
        <v>0</v>
      </c>
      <c r="AL284">
        <f>IF('Calc base'!G$14=0,0,MIN(Z284,MAX(0,$E284-SUMPRODUCT($V284:$AG284,'Calc base'!$C$14:$N$14,('Calc base'!$H284:$S284&gt;'Calc base'!L284)+('Calc base'!$H284:$S284='Calc base'!L284)*('Calc base'!$C$17:$N$17&lt;'Calc base'!G$17)))))</f>
        <v>0</v>
      </c>
      <c r="AM284">
        <f>IF('Calc base'!H$14=0,0,MIN(AA284,MAX(0,$E284-SUMPRODUCT($V284:$AG284,'Calc base'!$C$14:$N$14,('Calc base'!$H284:$S284&gt;'Calc base'!M284)+('Calc base'!$H284:$S284='Calc base'!M284)*('Calc base'!$C$17:$N$17&lt;'Calc base'!H$17)))))</f>
        <v>0</v>
      </c>
      <c r="AN284">
        <f>IF('Calc base'!I$14=0,0,MIN(AB284,MAX(0,$E284-SUMPRODUCT($V284:$AG284,'Calc base'!$C$14:$N$14,('Calc base'!$H284:$S284&gt;'Calc base'!N284)+('Calc base'!$H284:$S284='Calc base'!N284)*('Calc base'!$C$17:$N$17&lt;'Calc base'!I$17)))))</f>
        <v>0</v>
      </c>
      <c r="AO284">
        <f>IF('Calc base'!J$14=0,0,MIN(AC284,MAX(0,$E284-SUMPRODUCT($V284:$AG284,'Calc base'!$C$14:$N$14,('Calc base'!$H284:$S284&gt;'Calc base'!O284)+('Calc base'!$H284:$S284='Calc base'!O284)*('Calc base'!$C$17:$N$17&lt;'Calc base'!J$17)))))</f>
        <v>0</v>
      </c>
      <c r="AP284">
        <f>IF('Calc base'!K$14=0,0,MIN(AD284,MAX(0,$E284-SUMPRODUCT($V284:$AG284,'Calc base'!$C$14:$N$14,('Calc base'!$H284:$S284&gt;'Calc base'!P284)+('Calc base'!$H284:$S284='Calc base'!P284)*('Calc base'!$C$17:$N$17&lt;'Calc base'!K$17)))))</f>
        <v>0</v>
      </c>
      <c r="AQ284">
        <f>IF('Calc base'!L$14=0,0,MIN(AE284,MAX(0,$E284-SUMPRODUCT($V284:$AG284,'Calc base'!$C$14:$N$14,('Calc base'!$H284:$S284&gt;'Calc base'!Q284)+('Calc base'!$H284:$S284='Calc base'!Q284)*('Calc base'!$C$17:$N$17&lt;'Calc base'!L$17)))))</f>
        <v>0</v>
      </c>
      <c r="AR284">
        <f>IF('Calc base'!M$14=0,0,MIN(AF284,MAX(0,$E284-SUMPRODUCT($V284:$AG284,'Calc base'!$C$14:$N$14,('Calc base'!$H284:$S284&gt;'Calc base'!R284)+('Calc base'!$H284:$S284='Calc base'!R284)*('Calc base'!$C$17:$N$17&lt;'Calc base'!M$17)))))</f>
        <v>0</v>
      </c>
      <c r="AS284">
        <f>IF('Calc base'!N$14=0,0,MIN(AG284,MAX(0,$E284-SUMPRODUCT($V284:$AG284,'Calc base'!$C$14:$N$14,('Calc base'!$H284:$S284&gt;'Calc base'!S284)+('Calc base'!$H284:$S284='Calc base'!S284)*('Calc base'!$C$17:$N$17&lt;'Calc base'!N$17)))))</f>
        <v>0</v>
      </c>
      <c r="AT284">
        <f>V284-AH284</f>
        <v>0</v>
      </c>
      <c r="AU284">
        <f>W284-AI284</f>
        <v>0</v>
      </c>
      <c r="AV284">
        <f>X284-AJ284</f>
        <v>0</v>
      </c>
      <c r="AW284">
        <f>Y284-AK284</f>
        <v>0</v>
      </c>
      <c r="AX284">
        <f>Z284-AL284</f>
        <v>0</v>
      </c>
      <c r="AY284">
        <f>AA284-AM284</f>
        <v>0</v>
      </c>
      <c r="AZ284">
        <f>AB284-AN284</f>
        <v>0</v>
      </c>
      <c r="BA284">
        <f>AC284-AO284</f>
        <v>0</v>
      </c>
      <c r="BB284">
        <f>AD284-AP284</f>
        <v>0</v>
      </c>
      <c r="BC284">
        <f>AE284-AQ284</f>
        <v>0</v>
      </c>
      <c r="BD284">
        <f>AF284-AR284</f>
        <v>0</v>
      </c>
      <c r="BE284">
        <f>AG284-AS284</f>
        <v>0</v>
      </c>
    </row>
    <row r="285">
      <c r="A285" t="n">
        <v>255</v>
      </c>
      <c r="B285">
        <f>SUMPRODUCT(ROUND($AT284:$BE284*(1+'Calc base'!$H285:$S285),2))</f>
        <v>0</v>
      </c>
      <c r="C285">
        <f>SUM(J285:U285)</f>
        <v>0</v>
      </c>
      <c r="D285">
        <f>SUM(V285:AG285)</f>
        <v>0</v>
      </c>
      <c r="E285">
        <f>MAX(0,IF(Impostazioni!$B$7="No",'Calc base'!$C285-$C$31,'Calc base'!$C285-C285)+'Calc base'!$G285+'Calc base'!$F285-(B285-C285-D285))</f>
        <v>900</v>
      </c>
      <c r="F285">
        <f>SUM(AH285:AS285)</f>
        <v>0</v>
      </c>
      <c r="G285">
        <f>SUM(AT285:BE285)</f>
        <v>0</v>
      </c>
      <c r="H285">
        <f>B285-G284</f>
        <v>0</v>
      </c>
      <c r="I285">
        <f>B285-G285</f>
        <v>0</v>
      </c>
      <c r="J285">
        <f>IF(AT284&lt;=0,0,IF(ROUND(AT284*(1+'Calc base'!H285),2)-MAX('Calc base'!C$12,ROUND('Calc base'!C$13*AT284,2))&lt;1,ROUND(AT284*(1+'Calc base'!H285),2),MAX('Calc base'!C$12,ROUND('Calc base'!C$13*AT284,2))))</f>
        <v>0</v>
      </c>
      <c r="K285">
        <f>IF(AU284&lt;=0,0,IF(ROUND(AU284*(1+'Calc base'!I285),2)-MAX('Calc base'!D$12,ROUND('Calc base'!D$13*AU284,2))&lt;1,ROUND(AU284*(1+'Calc base'!I285),2),MAX('Calc base'!D$12,ROUND('Calc base'!D$13*AU284,2))))</f>
        <v>0</v>
      </c>
      <c r="L285">
        <f>IF(AV284&lt;=0,0,IF(ROUND(AV284*(1+'Calc base'!J285),2)-MAX('Calc base'!E$12,ROUND('Calc base'!E$13*AV284,2))&lt;1,ROUND(AV284*(1+'Calc base'!J285),2),MAX('Calc base'!E$12,ROUND('Calc base'!E$13*AV284,2))))</f>
        <v>0</v>
      </c>
      <c r="M285">
        <f>IF(AW284&lt;=0,0,IF(ROUND(AW284*(1+'Calc base'!K285),2)-MAX('Calc base'!F$12,ROUND('Calc base'!F$13*AW284,2))&lt;1,ROUND(AW284*(1+'Calc base'!K285),2),MAX('Calc base'!F$12,ROUND('Calc base'!F$13*AW284,2))))</f>
        <v>0</v>
      </c>
      <c r="N285">
        <f>IF(AX284&lt;=0,0,IF(ROUND(AX284*(1+'Calc base'!L285),2)-MAX('Calc base'!G$12,ROUND('Calc base'!G$13*AX284,2))&lt;1,ROUND(AX284*(1+'Calc base'!L285),2),MAX('Calc base'!G$12,ROUND('Calc base'!G$13*AX284,2))))</f>
        <v>0</v>
      </c>
      <c r="O285">
        <f>IF(AY284&lt;=0,0,IF(ROUND(AY284*(1+'Calc base'!M285),2)-MAX('Calc base'!H$12,ROUND('Calc base'!H$13*AY284,2))&lt;1,ROUND(AY284*(1+'Calc base'!M285),2),MAX('Calc base'!H$12,ROUND('Calc base'!H$13*AY284,2))))</f>
        <v>0</v>
      </c>
      <c r="P285">
        <f>IF(AZ284&lt;=0,0,IF(ROUND(AZ284*(1+'Calc base'!N285),2)-MAX('Calc base'!I$12,ROUND('Calc base'!I$13*AZ284,2))&lt;1,ROUND(AZ284*(1+'Calc base'!N285),2),MAX('Calc base'!I$12,ROUND('Calc base'!I$13*AZ284,2))))</f>
        <v>0</v>
      </c>
      <c r="Q285">
        <f>IF(BA284&lt;=0,0,IF(ROUND(BA284*(1+'Calc base'!O285),2)-MAX('Calc base'!J$12,ROUND('Calc base'!J$13*BA284,2))&lt;1,ROUND(BA284*(1+'Calc base'!O285),2),MAX('Calc base'!J$12,ROUND('Calc base'!J$13*BA284,2))))</f>
        <v>0</v>
      </c>
      <c r="R285">
        <f>IF(BB284&lt;=0,0,IF(ROUND(BB284*(1+'Calc base'!P285),2)-MAX('Calc base'!K$12,ROUND('Calc base'!K$13*BB284,2))&lt;1,ROUND(BB284*(1+'Calc base'!P285),2),MAX('Calc base'!K$12,ROUND('Calc base'!K$13*BB284,2))))</f>
        <v>0</v>
      </c>
      <c r="S285">
        <f>IF(BC284&lt;=0,0,IF(ROUND(BC284*(1+'Calc base'!Q285),2)-MAX('Calc base'!L$12,ROUND('Calc base'!L$13*BC284,2))&lt;1,ROUND(BC284*(1+'Calc base'!Q285),2),MAX('Calc base'!L$12,ROUND('Calc base'!L$13*BC284,2))))</f>
        <v>0</v>
      </c>
      <c r="T285">
        <f>IF(BD284&lt;=0,0,IF(ROUND(BD284*(1+'Calc base'!R285),2)-MAX('Calc base'!M$12,ROUND('Calc base'!M$13*BD284,2))&lt;1,ROUND(BD284*(1+'Calc base'!R285),2),MAX('Calc base'!M$12,ROUND('Calc base'!M$13*BD284,2))))</f>
        <v>0</v>
      </c>
      <c r="U285">
        <f>IF(BE284&lt;=0,0,IF(ROUND(BE284*(1+'Calc base'!S285),2)-MAX('Calc base'!N$12,ROUND('Calc base'!N$13*BE284,2))&lt;1,ROUND(BE284*(1+'Calc base'!S285),2),MAX('Calc base'!N$12,ROUND('Calc base'!N$13*BE284,2))))</f>
        <v>0</v>
      </c>
      <c r="V285">
        <f>MAX(0,ROUND(AT284*(1+'Calc base'!H285),2)-J285-'Calc base'!T285)</f>
        <v>0</v>
      </c>
      <c r="W285">
        <f>MAX(0,ROUND(AU284*(1+'Calc base'!I285),2)-K285-'Calc base'!U285)</f>
        <v>0</v>
      </c>
      <c r="X285">
        <f>MAX(0,ROUND(AV284*(1+'Calc base'!J285),2)-L285-'Calc base'!V285)</f>
        <v>0</v>
      </c>
      <c r="Y285">
        <f>MAX(0,ROUND(AW284*(1+'Calc base'!K285),2)-M285-'Calc base'!W285)</f>
        <v>0</v>
      </c>
      <c r="Z285">
        <f>MAX(0,ROUND(AX284*(1+'Calc base'!L285),2)-N285-'Calc base'!X285)</f>
        <v>0</v>
      </c>
      <c r="AA285">
        <f>MAX(0,ROUND(AY284*(1+'Calc base'!M285),2)-O285-'Calc base'!Y285)</f>
        <v>0</v>
      </c>
      <c r="AB285">
        <f>MAX(0,ROUND(AZ284*(1+'Calc base'!N285),2)-P285-'Calc base'!Z285)</f>
        <v>0</v>
      </c>
      <c r="AC285">
        <f>MAX(0,ROUND(BA284*(1+'Calc base'!O285),2)-Q285-'Calc base'!AA285)</f>
        <v>0</v>
      </c>
      <c r="AD285">
        <f>MAX(0,ROUND(BB284*(1+'Calc base'!P285),2)-R285-'Calc base'!AB285)</f>
        <v>0</v>
      </c>
      <c r="AE285">
        <f>MAX(0,ROUND(BC284*(1+'Calc base'!Q285),2)-S285-'Calc base'!AC285)</f>
        <v>0</v>
      </c>
      <c r="AF285">
        <f>MAX(0,ROUND(BD284*(1+'Calc base'!R285),2)-T285-'Calc base'!AD285)</f>
        <v>0</v>
      </c>
      <c r="AG285">
        <f>MAX(0,ROUND(BE284*(1+'Calc base'!S285),2)-U285-'Calc base'!AE285)</f>
        <v>0</v>
      </c>
      <c r="AH285">
        <f>IF('Calc base'!C$14=0,0,MIN(V285,MAX(0,$E285-SUMPRODUCT($V285:$AG285,'Calc base'!$C$14:$N$14,('Calc base'!$H285:$S285&gt;'Calc base'!H285)+('Calc base'!$H285:$S285='Calc base'!H285)*('Calc base'!$C$17:$N$17&lt;'Calc base'!C$17)))))</f>
        <v>0</v>
      </c>
      <c r="AI285">
        <f>IF('Calc base'!D$14=0,0,MIN(W285,MAX(0,$E285-SUMPRODUCT($V285:$AG285,'Calc base'!$C$14:$N$14,('Calc base'!$H285:$S285&gt;'Calc base'!I285)+('Calc base'!$H285:$S285='Calc base'!I285)*('Calc base'!$C$17:$N$17&lt;'Calc base'!D$17)))))</f>
        <v>0</v>
      </c>
      <c r="AJ285">
        <f>IF('Calc base'!E$14=0,0,MIN(X285,MAX(0,$E285-SUMPRODUCT($V285:$AG285,'Calc base'!$C$14:$N$14,('Calc base'!$H285:$S285&gt;'Calc base'!J285)+('Calc base'!$H285:$S285='Calc base'!J285)*('Calc base'!$C$17:$N$17&lt;'Calc base'!E$17)))))</f>
        <v>0</v>
      </c>
      <c r="AK285">
        <f>IF('Calc base'!F$14=0,0,MIN(Y285,MAX(0,$E285-SUMPRODUCT($V285:$AG285,'Calc base'!$C$14:$N$14,('Calc base'!$H285:$S285&gt;'Calc base'!K285)+('Calc base'!$H285:$S285='Calc base'!K285)*('Calc base'!$C$17:$N$17&lt;'Calc base'!F$17)))))</f>
        <v>0</v>
      </c>
      <c r="AL285">
        <f>IF('Calc base'!G$14=0,0,MIN(Z285,MAX(0,$E285-SUMPRODUCT($V285:$AG285,'Calc base'!$C$14:$N$14,('Calc base'!$H285:$S285&gt;'Calc base'!L285)+('Calc base'!$H285:$S285='Calc base'!L285)*('Calc base'!$C$17:$N$17&lt;'Calc base'!G$17)))))</f>
        <v>0</v>
      </c>
      <c r="AM285">
        <f>IF('Calc base'!H$14=0,0,MIN(AA285,MAX(0,$E285-SUMPRODUCT($V285:$AG285,'Calc base'!$C$14:$N$14,('Calc base'!$H285:$S285&gt;'Calc base'!M285)+('Calc base'!$H285:$S285='Calc base'!M285)*('Calc base'!$C$17:$N$17&lt;'Calc base'!H$17)))))</f>
        <v>0</v>
      </c>
      <c r="AN285">
        <f>IF('Calc base'!I$14=0,0,MIN(AB285,MAX(0,$E285-SUMPRODUCT($V285:$AG285,'Calc base'!$C$14:$N$14,('Calc base'!$H285:$S285&gt;'Calc base'!N285)+('Calc base'!$H285:$S285='Calc base'!N285)*('Calc base'!$C$17:$N$17&lt;'Calc base'!I$17)))))</f>
        <v>0</v>
      </c>
      <c r="AO285">
        <f>IF('Calc base'!J$14=0,0,MIN(AC285,MAX(0,$E285-SUMPRODUCT($V285:$AG285,'Calc base'!$C$14:$N$14,('Calc base'!$H285:$S285&gt;'Calc base'!O285)+('Calc base'!$H285:$S285='Calc base'!O285)*('Calc base'!$C$17:$N$17&lt;'Calc base'!J$17)))))</f>
        <v>0</v>
      </c>
      <c r="AP285">
        <f>IF('Calc base'!K$14=0,0,MIN(AD285,MAX(0,$E285-SUMPRODUCT($V285:$AG285,'Calc base'!$C$14:$N$14,('Calc base'!$H285:$S285&gt;'Calc base'!P285)+('Calc base'!$H285:$S285='Calc base'!P285)*('Calc base'!$C$17:$N$17&lt;'Calc base'!K$17)))))</f>
        <v>0</v>
      </c>
      <c r="AQ285">
        <f>IF('Calc base'!L$14=0,0,MIN(AE285,MAX(0,$E285-SUMPRODUCT($V285:$AG285,'Calc base'!$C$14:$N$14,('Calc base'!$H285:$S285&gt;'Calc base'!Q285)+('Calc base'!$H285:$S285='Calc base'!Q285)*('Calc base'!$C$17:$N$17&lt;'Calc base'!L$17)))))</f>
        <v>0</v>
      </c>
      <c r="AR285">
        <f>IF('Calc base'!M$14=0,0,MIN(AF285,MAX(0,$E285-SUMPRODUCT($V285:$AG285,'Calc base'!$C$14:$N$14,('Calc base'!$H285:$S285&gt;'Calc base'!R285)+('Calc base'!$H285:$S285='Calc base'!R285)*('Calc base'!$C$17:$N$17&lt;'Calc base'!M$17)))))</f>
        <v>0</v>
      </c>
      <c r="AS285">
        <f>IF('Calc base'!N$14=0,0,MIN(AG285,MAX(0,$E285-SUMPRODUCT($V285:$AG285,'Calc base'!$C$14:$N$14,('Calc base'!$H285:$S285&gt;'Calc base'!S285)+('Calc base'!$H285:$S285='Calc base'!S285)*('Calc base'!$C$17:$N$17&lt;'Calc base'!N$17)))))</f>
        <v>0</v>
      </c>
      <c r="AT285">
        <f>V285-AH285</f>
        <v>0</v>
      </c>
      <c r="AU285">
        <f>W285-AI285</f>
        <v>0</v>
      </c>
      <c r="AV285">
        <f>X285-AJ285</f>
        <v>0</v>
      </c>
      <c r="AW285">
        <f>Y285-AK285</f>
        <v>0</v>
      </c>
      <c r="AX285">
        <f>Z285-AL285</f>
        <v>0</v>
      </c>
      <c r="AY285">
        <f>AA285-AM285</f>
        <v>0</v>
      </c>
      <c r="AZ285">
        <f>AB285-AN285</f>
        <v>0</v>
      </c>
      <c r="BA285">
        <f>AC285-AO285</f>
        <v>0</v>
      </c>
      <c r="BB285">
        <f>AD285-AP285</f>
        <v>0</v>
      </c>
      <c r="BC285">
        <f>AE285-AQ285</f>
        <v>0</v>
      </c>
      <c r="BD285">
        <f>AF285-AR285</f>
        <v>0</v>
      </c>
      <c r="BE285">
        <f>AG285-AS285</f>
        <v>0</v>
      </c>
    </row>
    <row r="286">
      <c r="A286" t="n">
        <v>256</v>
      </c>
      <c r="B286">
        <f>SUMPRODUCT(ROUND($AT285:$BE285*(1+'Calc base'!$H286:$S286),2))</f>
        <v>0</v>
      </c>
      <c r="C286">
        <f>SUM(J286:U286)</f>
        <v>0</v>
      </c>
      <c r="D286">
        <f>SUM(V286:AG286)</f>
        <v>0</v>
      </c>
      <c r="E286">
        <f>MAX(0,IF(Impostazioni!$B$7="No",'Calc base'!$C286-$C$31,'Calc base'!$C286-C286)+'Calc base'!$G286+'Calc base'!$F286-(B286-C286-D286))</f>
        <v>900</v>
      </c>
      <c r="F286">
        <f>SUM(AH286:AS286)</f>
        <v>0</v>
      </c>
      <c r="G286">
        <f>SUM(AT286:BE286)</f>
        <v>0</v>
      </c>
      <c r="H286">
        <f>B286-G285</f>
        <v>0</v>
      </c>
      <c r="I286">
        <f>B286-G286</f>
        <v>0</v>
      </c>
      <c r="J286">
        <f>IF(AT285&lt;=0,0,IF(ROUND(AT285*(1+'Calc base'!H286),2)-MAX('Calc base'!C$12,ROUND('Calc base'!C$13*AT285,2))&lt;1,ROUND(AT285*(1+'Calc base'!H286),2),MAX('Calc base'!C$12,ROUND('Calc base'!C$13*AT285,2))))</f>
        <v>0</v>
      </c>
      <c r="K286">
        <f>IF(AU285&lt;=0,0,IF(ROUND(AU285*(1+'Calc base'!I286),2)-MAX('Calc base'!D$12,ROUND('Calc base'!D$13*AU285,2))&lt;1,ROUND(AU285*(1+'Calc base'!I286),2),MAX('Calc base'!D$12,ROUND('Calc base'!D$13*AU285,2))))</f>
        <v>0</v>
      </c>
      <c r="L286">
        <f>IF(AV285&lt;=0,0,IF(ROUND(AV285*(1+'Calc base'!J286),2)-MAX('Calc base'!E$12,ROUND('Calc base'!E$13*AV285,2))&lt;1,ROUND(AV285*(1+'Calc base'!J286),2),MAX('Calc base'!E$12,ROUND('Calc base'!E$13*AV285,2))))</f>
        <v>0</v>
      </c>
      <c r="M286">
        <f>IF(AW285&lt;=0,0,IF(ROUND(AW285*(1+'Calc base'!K286),2)-MAX('Calc base'!F$12,ROUND('Calc base'!F$13*AW285,2))&lt;1,ROUND(AW285*(1+'Calc base'!K286),2),MAX('Calc base'!F$12,ROUND('Calc base'!F$13*AW285,2))))</f>
        <v>0</v>
      </c>
      <c r="N286">
        <f>IF(AX285&lt;=0,0,IF(ROUND(AX285*(1+'Calc base'!L286),2)-MAX('Calc base'!G$12,ROUND('Calc base'!G$13*AX285,2))&lt;1,ROUND(AX285*(1+'Calc base'!L286),2),MAX('Calc base'!G$12,ROUND('Calc base'!G$13*AX285,2))))</f>
        <v>0</v>
      </c>
      <c r="O286">
        <f>IF(AY285&lt;=0,0,IF(ROUND(AY285*(1+'Calc base'!M286),2)-MAX('Calc base'!H$12,ROUND('Calc base'!H$13*AY285,2))&lt;1,ROUND(AY285*(1+'Calc base'!M286),2),MAX('Calc base'!H$12,ROUND('Calc base'!H$13*AY285,2))))</f>
        <v>0</v>
      </c>
      <c r="P286">
        <f>IF(AZ285&lt;=0,0,IF(ROUND(AZ285*(1+'Calc base'!N286),2)-MAX('Calc base'!I$12,ROUND('Calc base'!I$13*AZ285,2))&lt;1,ROUND(AZ285*(1+'Calc base'!N286),2),MAX('Calc base'!I$12,ROUND('Calc base'!I$13*AZ285,2))))</f>
        <v>0</v>
      </c>
      <c r="Q286">
        <f>IF(BA285&lt;=0,0,IF(ROUND(BA285*(1+'Calc base'!O286),2)-MAX('Calc base'!J$12,ROUND('Calc base'!J$13*BA285,2))&lt;1,ROUND(BA285*(1+'Calc base'!O286),2),MAX('Calc base'!J$12,ROUND('Calc base'!J$13*BA285,2))))</f>
        <v>0</v>
      </c>
      <c r="R286">
        <f>IF(BB285&lt;=0,0,IF(ROUND(BB285*(1+'Calc base'!P286),2)-MAX('Calc base'!K$12,ROUND('Calc base'!K$13*BB285,2))&lt;1,ROUND(BB285*(1+'Calc base'!P286),2),MAX('Calc base'!K$12,ROUND('Calc base'!K$13*BB285,2))))</f>
        <v>0</v>
      </c>
      <c r="S286">
        <f>IF(BC285&lt;=0,0,IF(ROUND(BC285*(1+'Calc base'!Q286),2)-MAX('Calc base'!L$12,ROUND('Calc base'!L$13*BC285,2))&lt;1,ROUND(BC285*(1+'Calc base'!Q286),2),MAX('Calc base'!L$12,ROUND('Calc base'!L$13*BC285,2))))</f>
        <v>0</v>
      </c>
      <c r="T286">
        <f>IF(BD285&lt;=0,0,IF(ROUND(BD285*(1+'Calc base'!R286),2)-MAX('Calc base'!M$12,ROUND('Calc base'!M$13*BD285,2))&lt;1,ROUND(BD285*(1+'Calc base'!R286),2),MAX('Calc base'!M$12,ROUND('Calc base'!M$13*BD285,2))))</f>
        <v>0</v>
      </c>
      <c r="U286">
        <f>IF(BE285&lt;=0,0,IF(ROUND(BE285*(1+'Calc base'!S286),2)-MAX('Calc base'!N$12,ROUND('Calc base'!N$13*BE285,2))&lt;1,ROUND(BE285*(1+'Calc base'!S286),2),MAX('Calc base'!N$12,ROUND('Calc base'!N$13*BE285,2))))</f>
        <v>0</v>
      </c>
      <c r="V286">
        <f>MAX(0,ROUND(AT285*(1+'Calc base'!H286),2)-J286-'Calc base'!T286)</f>
        <v>0</v>
      </c>
      <c r="W286">
        <f>MAX(0,ROUND(AU285*(1+'Calc base'!I286),2)-K286-'Calc base'!U286)</f>
        <v>0</v>
      </c>
      <c r="X286">
        <f>MAX(0,ROUND(AV285*(1+'Calc base'!J286),2)-L286-'Calc base'!V286)</f>
        <v>0</v>
      </c>
      <c r="Y286">
        <f>MAX(0,ROUND(AW285*(1+'Calc base'!K286),2)-M286-'Calc base'!W286)</f>
        <v>0</v>
      </c>
      <c r="Z286">
        <f>MAX(0,ROUND(AX285*(1+'Calc base'!L286),2)-N286-'Calc base'!X286)</f>
        <v>0</v>
      </c>
      <c r="AA286">
        <f>MAX(0,ROUND(AY285*(1+'Calc base'!M286),2)-O286-'Calc base'!Y286)</f>
        <v>0</v>
      </c>
      <c r="AB286">
        <f>MAX(0,ROUND(AZ285*(1+'Calc base'!N286),2)-P286-'Calc base'!Z286)</f>
        <v>0</v>
      </c>
      <c r="AC286">
        <f>MAX(0,ROUND(BA285*(1+'Calc base'!O286),2)-Q286-'Calc base'!AA286)</f>
        <v>0</v>
      </c>
      <c r="AD286">
        <f>MAX(0,ROUND(BB285*(1+'Calc base'!P286),2)-R286-'Calc base'!AB286)</f>
        <v>0</v>
      </c>
      <c r="AE286">
        <f>MAX(0,ROUND(BC285*(1+'Calc base'!Q286),2)-S286-'Calc base'!AC286)</f>
        <v>0</v>
      </c>
      <c r="AF286">
        <f>MAX(0,ROUND(BD285*(1+'Calc base'!R286),2)-T286-'Calc base'!AD286)</f>
        <v>0</v>
      </c>
      <c r="AG286">
        <f>MAX(0,ROUND(BE285*(1+'Calc base'!S286),2)-U286-'Calc base'!AE286)</f>
        <v>0</v>
      </c>
      <c r="AH286">
        <f>IF('Calc base'!C$14=0,0,MIN(V286,MAX(0,$E286-SUMPRODUCT($V286:$AG286,'Calc base'!$C$14:$N$14,('Calc base'!$H286:$S286&gt;'Calc base'!H286)+('Calc base'!$H286:$S286='Calc base'!H286)*('Calc base'!$C$17:$N$17&lt;'Calc base'!C$17)))))</f>
        <v>0</v>
      </c>
      <c r="AI286">
        <f>IF('Calc base'!D$14=0,0,MIN(W286,MAX(0,$E286-SUMPRODUCT($V286:$AG286,'Calc base'!$C$14:$N$14,('Calc base'!$H286:$S286&gt;'Calc base'!I286)+('Calc base'!$H286:$S286='Calc base'!I286)*('Calc base'!$C$17:$N$17&lt;'Calc base'!D$17)))))</f>
        <v>0</v>
      </c>
      <c r="AJ286">
        <f>IF('Calc base'!E$14=0,0,MIN(X286,MAX(0,$E286-SUMPRODUCT($V286:$AG286,'Calc base'!$C$14:$N$14,('Calc base'!$H286:$S286&gt;'Calc base'!J286)+('Calc base'!$H286:$S286='Calc base'!J286)*('Calc base'!$C$17:$N$17&lt;'Calc base'!E$17)))))</f>
        <v>0</v>
      </c>
      <c r="AK286">
        <f>IF('Calc base'!F$14=0,0,MIN(Y286,MAX(0,$E286-SUMPRODUCT($V286:$AG286,'Calc base'!$C$14:$N$14,('Calc base'!$H286:$S286&gt;'Calc base'!K286)+('Calc base'!$H286:$S286='Calc base'!K286)*('Calc base'!$C$17:$N$17&lt;'Calc base'!F$17)))))</f>
        <v>0</v>
      </c>
      <c r="AL286">
        <f>IF('Calc base'!G$14=0,0,MIN(Z286,MAX(0,$E286-SUMPRODUCT($V286:$AG286,'Calc base'!$C$14:$N$14,('Calc base'!$H286:$S286&gt;'Calc base'!L286)+('Calc base'!$H286:$S286='Calc base'!L286)*('Calc base'!$C$17:$N$17&lt;'Calc base'!G$17)))))</f>
        <v>0</v>
      </c>
      <c r="AM286">
        <f>IF('Calc base'!H$14=0,0,MIN(AA286,MAX(0,$E286-SUMPRODUCT($V286:$AG286,'Calc base'!$C$14:$N$14,('Calc base'!$H286:$S286&gt;'Calc base'!M286)+('Calc base'!$H286:$S286='Calc base'!M286)*('Calc base'!$C$17:$N$17&lt;'Calc base'!H$17)))))</f>
        <v>0</v>
      </c>
      <c r="AN286">
        <f>IF('Calc base'!I$14=0,0,MIN(AB286,MAX(0,$E286-SUMPRODUCT($V286:$AG286,'Calc base'!$C$14:$N$14,('Calc base'!$H286:$S286&gt;'Calc base'!N286)+('Calc base'!$H286:$S286='Calc base'!N286)*('Calc base'!$C$17:$N$17&lt;'Calc base'!I$17)))))</f>
        <v>0</v>
      </c>
      <c r="AO286">
        <f>IF('Calc base'!J$14=0,0,MIN(AC286,MAX(0,$E286-SUMPRODUCT($V286:$AG286,'Calc base'!$C$14:$N$14,('Calc base'!$H286:$S286&gt;'Calc base'!O286)+('Calc base'!$H286:$S286='Calc base'!O286)*('Calc base'!$C$17:$N$17&lt;'Calc base'!J$17)))))</f>
        <v>0</v>
      </c>
      <c r="AP286">
        <f>IF('Calc base'!K$14=0,0,MIN(AD286,MAX(0,$E286-SUMPRODUCT($V286:$AG286,'Calc base'!$C$14:$N$14,('Calc base'!$H286:$S286&gt;'Calc base'!P286)+('Calc base'!$H286:$S286='Calc base'!P286)*('Calc base'!$C$17:$N$17&lt;'Calc base'!K$17)))))</f>
        <v>0</v>
      </c>
      <c r="AQ286">
        <f>IF('Calc base'!L$14=0,0,MIN(AE286,MAX(0,$E286-SUMPRODUCT($V286:$AG286,'Calc base'!$C$14:$N$14,('Calc base'!$H286:$S286&gt;'Calc base'!Q286)+('Calc base'!$H286:$S286='Calc base'!Q286)*('Calc base'!$C$17:$N$17&lt;'Calc base'!L$17)))))</f>
        <v>0</v>
      </c>
      <c r="AR286">
        <f>IF('Calc base'!M$14=0,0,MIN(AF286,MAX(0,$E286-SUMPRODUCT($V286:$AG286,'Calc base'!$C$14:$N$14,('Calc base'!$H286:$S286&gt;'Calc base'!R286)+('Calc base'!$H286:$S286='Calc base'!R286)*('Calc base'!$C$17:$N$17&lt;'Calc base'!M$17)))))</f>
        <v>0</v>
      </c>
      <c r="AS286">
        <f>IF('Calc base'!N$14=0,0,MIN(AG286,MAX(0,$E286-SUMPRODUCT($V286:$AG286,'Calc base'!$C$14:$N$14,('Calc base'!$H286:$S286&gt;'Calc base'!S286)+('Calc base'!$H286:$S286='Calc base'!S286)*('Calc base'!$C$17:$N$17&lt;'Calc base'!N$17)))))</f>
        <v>0</v>
      </c>
      <c r="AT286">
        <f>V286-AH286</f>
        <v>0</v>
      </c>
      <c r="AU286">
        <f>W286-AI286</f>
        <v>0</v>
      </c>
      <c r="AV286">
        <f>X286-AJ286</f>
        <v>0</v>
      </c>
      <c r="AW286">
        <f>Y286-AK286</f>
        <v>0</v>
      </c>
      <c r="AX286">
        <f>Z286-AL286</f>
        <v>0</v>
      </c>
      <c r="AY286">
        <f>AA286-AM286</f>
        <v>0</v>
      </c>
      <c r="AZ286">
        <f>AB286-AN286</f>
        <v>0</v>
      </c>
      <c r="BA286">
        <f>AC286-AO286</f>
        <v>0</v>
      </c>
      <c r="BB286">
        <f>AD286-AP286</f>
        <v>0</v>
      </c>
      <c r="BC286">
        <f>AE286-AQ286</f>
        <v>0</v>
      </c>
      <c r="BD286">
        <f>AF286-AR286</f>
        <v>0</v>
      </c>
      <c r="BE286">
        <f>AG286-AS286</f>
        <v>0</v>
      </c>
    </row>
    <row r="287">
      <c r="A287" t="n">
        <v>257</v>
      </c>
      <c r="B287">
        <f>SUMPRODUCT(ROUND($AT286:$BE286*(1+'Calc base'!$H287:$S287),2))</f>
        <v>0</v>
      </c>
      <c r="C287">
        <f>SUM(J287:U287)</f>
        <v>0</v>
      </c>
      <c r="D287">
        <f>SUM(V287:AG287)</f>
        <v>0</v>
      </c>
      <c r="E287">
        <f>MAX(0,IF(Impostazioni!$B$7="No",'Calc base'!$C287-$C$31,'Calc base'!$C287-C287)+'Calc base'!$G287+'Calc base'!$F287-(B287-C287-D287))</f>
        <v>900</v>
      </c>
      <c r="F287">
        <f>SUM(AH287:AS287)</f>
        <v>0</v>
      </c>
      <c r="G287">
        <f>SUM(AT287:BE287)</f>
        <v>0</v>
      </c>
      <c r="H287">
        <f>B287-G286</f>
        <v>0</v>
      </c>
      <c r="I287">
        <f>B287-G287</f>
        <v>0</v>
      </c>
      <c r="J287">
        <f>IF(AT286&lt;=0,0,IF(ROUND(AT286*(1+'Calc base'!H287),2)-MAX('Calc base'!C$12,ROUND('Calc base'!C$13*AT286,2))&lt;1,ROUND(AT286*(1+'Calc base'!H287),2),MAX('Calc base'!C$12,ROUND('Calc base'!C$13*AT286,2))))</f>
        <v>0</v>
      </c>
      <c r="K287">
        <f>IF(AU286&lt;=0,0,IF(ROUND(AU286*(1+'Calc base'!I287),2)-MAX('Calc base'!D$12,ROUND('Calc base'!D$13*AU286,2))&lt;1,ROUND(AU286*(1+'Calc base'!I287),2),MAX('Calc base'!D$12,ROUND('Calc base'!D$13*AU286,2))))</f>
        <v>0</v>
      </c>
      <c r="L287">
        <f>IF(AV286&lt;=0,0,IF(ROUND(AV286*(1+'Calc base'!J287),2)-MAX('Calc base'!E$12,ROUND('Calc base'!E$13*AV286,2))&lt;1,ROUND(AV286*(1+'Calc base'!J287),2),MAX('Calc base'!E$12,ROUND('Calc base'!E$13*AV286,2))))</f>
        <v>0</v>
      </c>
      <c r="M287">
        <f>IF(AW286&lt;=0,0,IF(ROUND(AW286*(1+'Calc base'!K287),2)-MAX('Calc base'!F$12,ROUND('Calc base'!F$13*AW286,2))&lt;1,ROUND(AW286*(1+'Calc base'!K287),2),MAX('Calc base'!F$12,ROUND('Calc base'!F$13*AW286,2))))</f>
        <v>0</v>
      </c>
      <c r="N287">
        <f>IF(AX286&lt;=0,0,IF(ROUND(AX286*(1+'Calc base'!L287),2)-MAX('Calc base'!G$12,ROUND('Calc base'!G$13*AX286,2))&lt;1,ROUND(AX286*(1+'Calc base'!L287),2),MAX('Calc base'!G$12,ROUND('Calc base'!G$13*AX286,2))))</f>
        <v>0</v>
      </c>
      <c r="O287">
        <f>IF(AY286&lt;=0,0,IF(ROUND(AY286*(1+'Calc base'!M287),2)-MAX('Calc base'!H$12,ROUND('Calc base'!H$13*AY286,2))&lt;1,ROUND(AY286*(1+'Calc base'!M287),2),MAX('Calc base'!H$12,ROUND('Calc base'!H$13*AY286,2))))</f>
        <v>0</v>
      </c>
      <c r="P287">
        <f>IF(AZ286&lt;=0,0,IF(ROUND(AZ286*(1+'Calc base'!N287),2)-MAX('Calc base'!I$12,ROUND('Calc base'!I$13*AZ286,2))&lt;1,ROUND(AZ286*(1+'Calc base'!N287),2),MAX('Calc base'!I$12,ROUND('Calc base'!I$13*AZ286,2))))</f>
        <v>0</v>
      </c>
      <c r="Q287">
        <f>IF(BA286&lt;=0,0,IF(ROUND(BA286*(1+'Calc base'!O287),2)-MAX('Calc base'!J$12,ROUND('Calc base'!J$13*BA286,2))&lt;1,ROUND(BA286*(1+'Calc base'!O287),2),MAX('Calc base'!J$12,ROUND('Calc base'!J$13*BA286,2))))</f>
        <v>0</v>
      </c>
      <c r="R287">
        <f>IF(BB286&lt;=0,0,IF(ROUND(BB286*(1+'Calc base'!P287),2)-MAX('Calc base'!K$12,ROUND('Calc base'!K$13*BB286,2))&lt;1,ROUND(BB286*(1+'Calc base'!P287),2),MAX('Calc base'!K$12,ROUND('Calc base'!K$13*BB286,2))))</f>
        <v>0</v>
      </c>
      <c r="S287">
        <f>IF(BC286&lt;=0,0,IF(ROUND(BC286*(1+'Calc base'!Q287),2)-MAX('Calc base'!L$12,ROUND('Calc base'!L$13*BC286,2))&lt;1,ROUND(BC286*(1+'Calc base'!Q287),2),MAX('Calc base'!L$12,ROUND('Calc base'!L$13*BC286,2))))</f>
        <v>0</v>
      </c>
      <c r="T287">
        <f>IF(BD286&lt;=0,0,IF(ROUND(BD286*(1+'Calc base'!R287),2)-MAX('Calc base'!M$12,ROUND('Calc base'!M$13*BD286,2))&lt;1,ROUND(BD286*(1+'Calc base'!R287),2),MAX('Calc base'!M$12,ROUND('Calc base'!M$13*BD286,2))))</f>
        <v>0</v>
      </c>
      <c r="U287">
        <f>IF(BE286&lt;=0,0,IF(ROUND(BE286*(1+'Calc base'!S287),2)-MAX('Calc base'!N$12,ROUND('Calc base'!N$13*BE286,2))&lt;1,ROUND(BE286*(1+'Calc base'!S287),2),MAX('Calc base'!N$12,ROUND('Calc base'!N$13*BE286,2))))</f>
        <v>0</v>
      </c>
      <c r="V287">
        <f>MAX(0,ROUND(AT286*(1+'Calc base'!H287),2)-J287-'Calc base'!T287)</f>
        <v>0</v>
      </c>
      <c r="W287">
        <f>MAX(0,ROUND(AU286*(1+'Calc base'!I287),2)-K287-'Calc base'!U287)</f>
        <v>0</v>
      </c>
      <c r="X287">
        <f>MAX(0,ROUND(AV286*(1+'Calc base'!J287),2)-L287-'Calc base'!V287)</f>
        <v>0</v>
      </c>
      <c r="Y287">
        <f>MAX(0,ROUND(AW286*(1+'Calc base'!K287),2)-M287-'Calc base'!W287)</f>
        <v>0</v>
      </c>
      <c r="Z287">
        <f>MAX(0,ROUND(AX286*(1+'Calc base'!L287),2)-N287-'Calc base'!X287)</f>
        <v>0</v>
      </c>
      <c r="AA287">
        <f>MAX(0,ROUND(AY286*(1+'Calc base'!M287),2)-O287-'Calc base'!Y287)</f>
        <v>0</v>
      </c>
      <c r="AB287">
        <f>MAX(0,ROUND(AZ286*(1+'Calc base'!N287),2)-P287-'Calc base'!Z287)</f>
        <v>0</v>
      </c>
      <c r="AC287">
        <f>MAX(0,ROUND(BA286*(1+'Calc base'!O287),2)-Q287-'Calc base'!AA287)</f>
        <v>0</v>
      </c>
      <c r="AD287">
        <f>MAX(0,ROUND(BB286*(1+'Calc base'!P287),2)-R287-'Calc base'!AB287)</f>
        <v>0</v>
      </c>
      <c r="AE287">
        <f>MAX(0,ROUND(BC286*(1+'Calc base'!Q287),2)-S287-'Calc base'!AC287)</f>
        <v>0</v>
      </c>
      <c r="AF287">
        <f>MAX(0,ROUND(BD286*(1+'Calc base'!R287),2)-T287-'Calc base'!AD287)</f>
        <v>0</v>
      </c>
      <c r="AG287">
        <f>MAX(0,ROUND(BE286*(1+'Calc base'!S287),2)-U287-'Calc base'!AE287)</f>
        <v>0</v>
      </c>
      <c r="AH287">
        <f>IF('Calc base'!C$14=0,0,MIN(V287,MAX(0,$E287-SUMPRODUCT($V287:$AG287,'Calc base'!$C$14:$N$14,('Calc base'!$H287:$S287&gt;'Calc base'!H287)+('Calc base'!$H287:$S287='Calc base'!H287)*('Calc base'!$C$17:$N$17&lt;'Calc base'!C$17)))))</f>
        <v>0</v>
      </c>
      <c r="AI287">
        <f>IF('Calc base'!D$14=0,0,MIN(W287,MAX(0,$E287-SUMPRODUCT($V287:$AG287,'Calc base'!$C$14:$N$14,('Calc base'!$H287:$S287&gt;'Calc base'!I287)+('Calc base'!$H287:$S287='Calc base'!I287)*('Calc base'!$C$17:$N$17&lt;'Calc base'!D$17)))))</f>
        <v>0</v>
      </c>
      <c r="AJ287">
        <f>IF('Calc base'!E$14=0,0,MIN(X287,MAX(0,$E287-SUMPRODUCT($V287:$AG287,'Calc base'!$C$14:$N$14,('Calc base'!$H287:$S287&gt;'Calc base'!J287)+('Calc base'!$H287:$S287='Calc base'!J287)*('Calc base'!$C$17:$N$17&lt;'Calc base'!E$17)))))</f>
        <v>0</v>
      </c>
      <c r="AK287">
        <f>IF('Calc base'!F$14=0,0,MIN(Y287,MAX(0,$E287-SUMPRODUCT($V287:$AG287,'Calc base'!$C$14:$N$14,('Calc base'!$H287:$S287&gt;'Calc base'!K287)+('Calc base'!$H287:$S287='Calc base'!K287)*('Calc base'!$C$17:$N$17&lt;'Calc base'!F$17)))))</f>
        <v>0</v>
      </c>
      <c r="AL287">
        <f>IF('Calc base'!G$14=0,0,MIN(Z287,MAX(0,$E287-SUMPRODUCT($V287:$AG287,'Calc base'!$C$14:$N$14,('Calc base'!$H287:$S287&gt;'Calc base'!L287)+('Calc base'!$H287:$S287='Calc base'!L287)*('Calc base'!$C$17:$N$17&lt;'Calc base'!G$17)))))</f>
        <v>0</v>
      </c>
      <c r="AM287">
        <f>IF('Calc base'!H$14=0,0,MIN(AA287,MAX(0,$E287-SUMPRODUCT($V287:$AG287,'Calc base'!$C$14:$N$14,('Calc base'!$H287:$S287&gt;'Calc base'!M287)+('Calc base'!$H287:$S287='Calc base'!M287)*('Calc base'!$C$17:$N$17&lt;'Calc base'!H$17)))))</f>
        <v>0</v>
      </c>
      <c r="AN287">
        <f>IF('Calc base'!I$14=0,0,MIN(AB287,MAX(0,$E287-SUMPRODUCT($V287:$AG287,'Calc base'!$C$14:$N$14,('Calc base'!$H287:$S287&gt;'Calc base'!N287)+('Calc base'!$H287:$S287='Calc base'!N287)*('Calc base'!$C$17:$N$17&lt;'Calc base'!I$17)))))</f>
        <v>0</v>
      </c>
      <c r="AO287">
        <f>IF('Calc base'!J$14=0,0,MIN(AC287,MAX(0,$E287-SUMPRODUCT($V287:$AG287,'Calc base'!$C$14:$N$14,('Calc base'!$H287:$S287&gt;'Calc base'!O287)+('Calc base'!$H287:$S287='Calc base'!O287)*('Calc base'!$C$17:$N$17&lt;'Calc base'!J$17)))))</f>
        <v>0</v>
      </c>
      <c r="AP287">
        <f>IF('Calc base'!K$14=0,0,MIN(AD287,MAX(0,$E287-SUMPRODUCT($V287:$AG287,'Calc base'!$C$14:$N$14,('Calc base'!$H287:$S287&gt;'Calc base'!P287)+('Calc base'!$H287:$S287='Calc base'!P287)*('Calc base'!$C$17:$N$17&lt;'Calc base'!K$17)))))</f>
        <v>0</v>
      </c>
      <c r="AQ287">
        <f>IF('Calc base'!L$14=0,0,MIN(AE287,MAX(0,$E287-SUMPRODUCT($V287:$AG287,'Calc base'!$C$14:$N$14,('Calc base'!$H287:$S287&gt;'Calc base'!Q287)+('Calc base'!$H287:$S287='Calc base'!Q287)*('Calc base'!$C$17:$N$17&lt;'Calc base'!L$17)))))</f>
        <v>0</v>
      </c>
      <c r="AR287">
        <f>IF('Calc base'!M$14=0,0,MIN(AF287,MAX(0,$E287-SUMPRODUCT($V287:$AG287,'Calc base'!$C$14:$N$14,('Calc base'!$H287:$S287&gt;'Calc base'!R287)+('Calc base'!$H287:$S287='Calc base'!R287)*('Calc base'!$C$17:$N$17&lt;'Calc base'!M$17)))))</f>
        <v>0</v>
      </c>
      <c r="AS287">
        <f>IF('Calc base'!N$14=0,0,MIN(AG287,MAX(0,$E287-SUMPRODUCT($V287:$AG287,'Calc base'!$C$14:$N$14,('Calc base'!$H287:$S287&gt;'Calc base'!S287)+('Calc base'!$H287:$S287='Calc base'!S287)*('Calc base'!$C$17:$N$17&lt;'Calc base'!N$17)))))</f>
        <v>0</v>
      </c>
      <c r="AT287">
        <f>V287-AH287</f>
        <v>0</v>
      </c>
      <c r="AU287">
        <f>W287-AI287</f>
        <v>0</v>
      </c>
      <c r="AV287">
        <f>X287-AJ287</f>
        <v>0</v>
      </c>
      <c r="AW287">
        <f>Y287-AK287</f>
        <v>0</v>
      </c>
      <c r="AX287">
        <f>Z287-AL287</f>
        <v>0</v>
      </c>
      <c r="AY287">
        <f>AA287-AM287</f>
        <v>0</v>
      </c>
      <c r="AZ287">
        <f>AB287-AN287</f>
        <v>0</v>
      </c>
      <c r="BA287">
        <f>AC287-AO287</f>
        <v>0</v>
      </c>
      <c r="BB287">
        <f>AD287-AP287</f>
        <v>0</v>
      </c>
      <c r="BC287">
        <f>AE287-AQ287</f>
        <v>0</v>
      </c>
      <c r="BD287">
        <f>AF287-AR287</f>
        <v>0</v>
      </c>
      <c r="BE287">
        <f>AG287-AS287</f>
        <v>0</v>
      </c>
    </row>
    <row r="288">
      <c r="A288" t="n">
        <v>258</v>
      </c>
      <c r="B288">
        <f>SUMPRODUCT(ROUND($AT287:$BE287*(1+'Calc base'!$H288:$S288),2))</f>
        <v>0</v>
      </c>
      <c r="C288">
        <f>SUM(J288:U288)</f>
        <v>0</v>
      </c>
      <c r="D288">
        <f>SUM(V288:AG288)</f>
        <v>0</v>
      </c>
      <c r="E288">
        <f>MAX(0,IF(Impostazioni!$B$7="No",'Calc base'!$C288-$C$31,'Calc base'!$C288-C288)+'Calc base'!$G288+'Calc base'!$F288-(B288-C288-D288))</f>
        <v>900</v>
      </c>
      <c r="F288">
        <f>SUM(AH288:AS288)</f>
        <v>0</v>
      </c>
      <c r="G288">
        <f>SUM(AT288:BE288)</f>
        <v>0</v>
      </c>
      <c r="H288">
        <f>B288-G287</f>
        <v>0</v>
      </c>
      <c r="I288">
        <f>B288-G288</f>
        <v>0</v>
      </c>
      <c r="J288">
        <f>IF(AT287&lt;=0,0,IF(ROUND(AT287*(1+'Calc base'!H288),2)-MAX('Calc base'!C$12,ROUND('Calc base'!C$13*AT287,2))&lt;1,ROUND(AT287*(1+'Calc base'!H288),2),MAX('Calc base'!C$12,ROUND('Calc base'!C$13*AT287,2))))</f>
        <v>0</v>
      </c>
      <c r="K288">
        <f>IF(AU287&lt;=0,0,IF(ROUND(AU287*(1+'Calc base'!I288),2)-MAX('Calc base'!D$12,ROUND('Calc base'!D$13*AU287,2))&lt;1,ROUND(AU287*(1+'Calc base'!I288),2),MAX('Calc base'!D$12,ROUND('Calc base'!D$13*AU287,2))))</f>
        <v>0</v>
      </c>
      <c r="L288">
        <f>IF(AV287&lt;=0,0,IF(ROUND(AV287*(1+'Calc base'!J288),2)-MAX('Calc base'!E$12,ROUND('Calc base'!E$13*AV287,2))&lt;1,ROUND(AV287*(1+'Calc base'!J288),2),MAX('Calc base'!E$12,ROUND('Calc base'!E$13*AV287,2))))</f>
        <v>0</v>
      </c>
      <c r="M288">
        <f>IF(AW287&lt;=0,0,IF(ROUND(AW287*(1+'Calc base'!K288),2)-MAX('Calc base'!F$12,ROUND('Calc base'!F$13*AW287,2))&lt;1,ROUND(AW287*(1+'Calc base'!K288),2),MAX('Calc base'!F$12,ROUND('Calc base'!F$13*AW287,2))))</f>
        <v>0</v>
      </c>
      <c r="N288">
        <f>IF(AX287&lt;=0,0,IF(ROUND(AX287*(1+'Calc base'!L288),2)-MAX('Calc base'!G$12,ROUND('Calc base'!G$13*AX287,2))&lt;1,ROUND(AX287*(1+'Calc base'!L288),2),MAX('Calc base'!G$12,ROUND('Calc base'!G$13*AX287,2))))</f>
        <v>0</v>
      </c>
      <c r="O288">
        <f>IF(AY287&lt;=0,0,IF(ROUND(AY287*(1+'Calc base'!M288),2)-MAX('Calc base'!H$12,ROUND('Calc base'!H$13*AY287,2))&lt;1,ROUND(AY287*(1+'Calc base'!M288),2),MAX('Calc base'!H$12,ROUND('Calc base'!H$13*AY287,2))))</f>
        <v>0</v>
      </c>
      <c r="P288">
        <f>IF(AZ287&lt;=0,0,IF(ROUND(AZ287*(1+'Calc base'!N288),2)-MAX('Calc base'!I$12,ROUND('Calc base'!I$13*AZ287,2))&lt;1,ROUND(AZ287*(1+'Calc base'!N288),2),MAX('Calc base'!I$12,ROUND('Calc base'!I$13*AZ287,2))))</f>
        <v>0</v>
      </c>
      <c r="Q288">
        <f>IF(BA287&lt;=0,0,IF(ROUND(BA287*(1+'Calc base'!O288),2)-MAX('Calc base'!J$12,ROUND('Calc base'!J$13*BA287,2))&lt;1,ROUND(BA287*(1+'Calc base'!O288),2),MAX('Calc base'!J$12,ROUND('Calc base'!J$13*BA287,2))))</f>
        <v>0</v>
      </c>
      <c r="R288">
        <f>IF(BB287&lt;=0,0,IF(ROUND(BB287*(1+'Calc base'!P288),2)-MAX('Calc base'!K$12,ROUND('Calc base'!K$13*BB287,2))&lt;1,ROUND(BB287*(1+'Calc base'!P288),2),MAX('Calc base'!K$12,ROUND('Calc base'!K$13*BB287,2))))</f>
        <v>0</v>
      </c>
      <c r="S288">
        <f>IF(BC287&lt;=0,0,IF(ROUND(BC287*(1+'Calc base'!Q288),2)-MAX('Calc base'!L$12,ROUND('Calc base'!L$13*BC287,2))&lt;1,ROUND(BC287*(1+'Calc base'!Q288),2),MAX('Calc base'!L$12,ROUND('Calc base'!L$13*BC287,2))))</f>
        <v>0</v>
      </c>
      <c r="T288">
        <f>IF(BD287&lt;=0,0,IF(ROUND(BD287*(1+'Calc base'!R288),2)-MAX('Calc base'!M$12,ROUND('Calc base'!M$13*BD287,2))&lt;1,ROUND(BD287*(1+'Calc base'!R288),2),MAX('Calc base'!M$12,ROUND('Calc base'!M$13*BD287,2))))</f>
        <v>0</v>
      </c>
      <c r="U288">
        <f>IF(BE287&lt;=0,0,IF(ROUND(BE287*(1+'Calc base'!S288),2)-MAX('Calc base'!N$12,ROUND('Calc base'!N$13*BE287,2))&lt;1,ROUND(BE287*(1+'Calc base'!S288),2),MAX('Calc base'!N$12,ROUND('Calc base'!N$13*BE287,2))))</f>
        <v>0</v>
      </c>
      <c r="V288">
        <f>MAX(0,ROUND(AT287*(1+'Calc base'!H288),2)-J288-'Calc base'!T288)</f>
        <v>0</v>
      </c>
      <c r="W288">
        <f>MAX(0,ROUND(AU287*(1+'Calc base'!I288),2)-K288-'Calc base'!U288)</f>
        <v>0</v>
      </c>
      <c r="X288">
        <f>MAX(0,ROUND(AV287*(1+'Calc base'!J288),2)-L288-'Calc base'!V288)</f>
        <v>0</v>
      </c>
      <c r="Y288">
        <f>MAX(0,ROUND(AW287*(1+'Calc base'!K288),2)-M288-'Calc base'!W288)</f>
        <v>0</v>
      </c>
      <c r="Z288">
        <f>MAX(0,ROUND(AX287*(1+'Calc base'!L288),2)-N288-'Calc base'!X288)</f>
        <v>0</v>
      </c>
      <c r="AA288">
        <f>MAX(0,ROUND(AY287*(1+'Calc base'!M288),2)-O288-'Calc base'!Y288)</f>
        <v>0</v>
      </c>
      <c r="AB288">
        <f>MAX(0,ROUND(AZ287*(1+'Calc base'!N288),2)-P288-'Calc base'!Z288)</f>
        <v>0</v>
      </c>
      <c r="AC288">
        <f>MAX(0,ROUND(BA287*(1+'Calc base'!O288),2)-Q288-'Calc base'!AA288)</f>
        <v>0</v>
      </c>
      <c r="AD288">
        <f>MAX(0,ROUND(BB287*(1+'Calc base'!P288),2)-R288-'Calc base'!AB288)</f>
        <v>0</v>
      </c>
      <c r="AE288">
        <f>MAX(0,ROUND(BC287*(1+'Calc base'!Q288),2)-S288-'Calc base'!AC288)</f>
        <v>0</v>
      </c>
      <c r="AF288">
        <f>MAX(0,ROUND(BD287*(1+'Calc base'!R288),2)-T288-'Calc base'!AD288)</f>
        <v>0</v>
      </c>
      <c r="AG288">
        <f>MAX(0,ROUND(BE287*(1+'Calc base'!S288),2)-U288-'Calc base'!AE288)</f>
        <v>0</v>
      </c>
      <c r="AH288">
        <f>IF('Calc base'!C$14=0,0,MIN(V288,MAX(0,$E288-SUMPRODUCT($V288:$AG288,'Calc base'!$C$14:$N$14,('Calc base'!$H288:$S288&gt;'Calc base'!H288)+('Calc base'!$H288:$S288='Calc base'!H288)*('Calc base'!$C$17:$N$17&lt;'Calc base'!C$17)))))</f>
        <v>0</v>
      </c>
      <c r="AI288">
        <f>IF('Calc base'!D$14=0,0,MIN(W288,MAX(0,$E288-SUMPRODUCT($V288:$AG288,'Calc base'!$C$14:$N$14,('Calc base'!$H288:$S288&gt;'Calc base'!I288)+('Calc base'!$H288:$S288='Calc base'!I288)*('Calc base'!$C$17:$N$17&lt;'Calc base'!D$17)))))</f>
        <v>0</v>
      </c>
      <c r="AJ288">
        <f>IF('Calc base'!E$14=0,0,MIN(X288,MAX(0,$E288-SUMPRODUCT($V288:$AG288,'Calc base'!$C$14:$N$14,('Calc base'!$H288:$S288&gt;'Calc base'!J288)+('Calc base'!$H288:$S288='Calc base'!J288)*('Calc base'!$C$17:$N$17&lt;'Calc base'!E$17)))))</f>
        <v>0</v>
      </c>
      <c r="AK288">
        <f>IF('Calc base'!F$14=0,0,MIN(Y288,MAX(0,$E288-SUMPRODUCT($V288:$AG288,'Calc base'!$C$14:$N$14,('Calc base'!$H288:$S288&gt;'Calc base'!K288)+('Calc base'!$H288:$S288='Calc base'!K288)*('Calc base'!$C$17:$N$17&lt;'Calc base'!F$17)))))</f>
        <v>0</v>
      </c>
      <c r="AL288">
        <f>IF('Calc base'!G$14=0,0,MIN(Z288,MAX(0,$E288-SUMPRODUCT($V288:$AG288,'Calc base'!$C$14:$N$14,('Calc base'!$H288:$S288&gt;'Calc base'!L288)+('Calc base'!$H288:$S288='Calc base'!L288)*('Calc base'!$C$17:$N$17&lt;'Calc base'!G$17)))))</f>
        <v>0</v>
      </c>
      <c r="AM288">
        <f>IF('Calc base'!H$14=0,0,MIN(AA288,MAX(0,$E288-SUMPRODUCT($V288:$AG288,'Calc base'!$C$14:$N$14,('Calc base'!$H288:$S288&gt;'Calc base'!M288)+('Calc base'!$H288:$S288='Calc base'!M288)*('Calc base'!$C$17:$N$17&lt;'Calc base'!H$17)))))</f>
        <v>0</v>
      </c>
      <c r="AN288">
        <f>IF('Calc base'!I$14=0,0,MIN(AB288,MAX(0,$E288-SUMPRODUCT($V288:$AG288,'Calc base'!$C$14:$N$14,('Calc base'!$H288:$S288&gt;'Calc base'!N288)+('Calc base'!$H288:$S288='Calc base'!N288)*('Calc base'!$C$17:$N$17&lt;'Calc base'!I$17)))))</f>
        <v>0</v>
      </c>
      <c r="AO288">
        <f>IF('Calc base'!J$14=0,0,MIN(AC288,MAX(0,$E288-SUMPRODUCT($V288:$AG288,'Calc base'!$C$14:$N$14,('Calc base'!$H288:$S288&gt;'Calc base'!O288)+('Calc base'!$H288:$S288='Calc base'!O288)*('Calc base'!$C$17:$N$17&lt;'Calc base'!J$17)))))</f>
        <v>0</v>
      </c>
      <c r="AP288">
        <f>IF('Calc base'!K$14=0,0,MIN(AD288,MAX(0,$E288-SUMPRODUCT($V288:$AG288,'Calc base'!$C$14:$N$14,('Calc base'!$H288:$S288&gt;'Calc base'!P288)+('Calc base'!$H288:$S288='Calc base'!P288)*('Calc base'!$C$17:$N$17&lt;'Calc base'!K$17)))))</f>
        <v>0</v>
      </c>
      <c r="AQ288">
        <f>IF('Calc base'!L$14=0,0,MIN(AE288,MAX(0,$E288-SUMPRODUCT($V288:$AG288,'Calc base'!$C$14:$N$14,('Calc base'!$H288:$S288&gt;'Calc base'!Q288)+('Calc base'!$H288:$S288='Calc base'!Q288)*('Calc base'!$C$17:$N$17&lt;'Calc base'!L$17)))))</f>
        <v>0</v>
      </c>
      <c r="AR288">
        <f>IF('Calc base'!M$14=0,0,MIN(AF288,MAX(0,$E288-SUMPRODUCT($V288:$AG288,'Calc base'!$C$14:$N$14,('Calc base'!$H288:$S288&gt;'Calc base'!R288)+('Calc base'!$H288:$S288='Calc base'!R288)*('Calc base'!$C$17:$N$17&lt;'Calc base'!M$17)))))</f>
        <v>0</v>
      </c>
      <c r="AS288">
        <f>IF('Calc base'!N$14=0,0,MIN(AG288,MAX(0,$E288-SUMPRODUCT($V288:$AG288,'Calc base'!$C$14:$N$14,('Calc base'!$H288:$S288&gt;'Calc base'!S288)+('Calc base'!$H288:$S288='Calc base'!S288)*('Calc base'!$C$17:$N$17&lt;'Calc base'!N$17)))))</f>
        <v>0</v>
      </c>
      <c r="AT288">
        <f>V288-AH288</f>
        <v>0</v>
      </c>
      <c r="AU288">
        <f>W288-AI288</f>
        <v>0</v>
      </c>
      <c r="AV288">
        <f>X288-AJ288</f>
        <v>0</v>
      </c>
      <c r="AW288">
        <f>Y288-AK288</f>
        <v>0</v>
      </c>
      <c r="AX288">
        <f>Z288-AL288</f>
        <v>0</v>
      </c>
      <c r="AY288">
        <f>AA288-AM288</f>
        <v>0</v>
      </c>
      <c r="AZ288">
        <f>AB288-AN288</f>
        <v>0</v>
      </c>
      <c r="BA288">
        <f>AC288-AO288</f>
        <v>0</v>
      </c>
      <c r="BB288">
        <f>AD288-AP288</f>
        <v>0</v>
      </c>
      <c r="BC288">
        <f>AE288-AQ288</f>
        <v>0</v>
      </c>
      <c r="BD288">
        <f>AF288-AR288</f>
        <v>0</v>
      </c>
      <c r="BE288">
        <f>AG288-AS288</f>
        <v>0</v>
      </c>
    </row>
    <row r="289">
      <c r="A289" t="n">
        <v>259</v>
      </c>
      <c r="B289">
        <f>SUMPRODUCT(ROUND($AT288:$BE288*(1+'Calc base'!$H289:$S289),2))</f>
        <v>0</v>
      </c>
      <c r="C289">
        <f>SUM(J289:U289)</f>
        <v>0</v>
      </c>
      <c r="D289">
        <f>SUM(V289:AG289)</f>
        <v>0</v>
      </c>
      <c r="E289">
        <f>MAX(0,IF(Impostazioni!$B$7="No",'Calc base'!$C289-$C$31,'Calc base'!$C289-C289)+'Calc base'!$G289+'Calc base'!$F289-(B289-C289-D289))</f>
        <v>900</v>
      </c>
      <c r="F289">
        <f>SUM(AH289:AS289)</f>
        <v>0</v>
      </c>
      <c r="G289">
        <f>SUM(AT289:BE289)</f>
        <v>0</v>
      </c>
      <c r="H289">
        <f>B289-G288</f>
        <v>0</v>
      </c>
      <c r="I289">
        <f>B289-G289</f>
        <v>0</v>
      </c>
      <c r="J289">
        <f>IF(AT288&lt;=0,0,IF(ROUND(AT288*(1+'Calc base'!H289),2)-MAX('Calc base'!C$12,ROUND('Calc base'!C$13*AT288,2))&lt;1,ROUND(AT288*(1+'Calc base'!H289),2),MAX('Calc base'!C$12,ROUND('Calc base'!C$13*AT288,2))))</f>
        <v>0</v>
      </c>
      <c r="K289">
        <f>IF(AU288&lt;=0,0,IF(ROUND(AU288*(1+'Calc base'!I289),2)-MAX('Calc base'!D$12,ROUND('Calc base'!D$13*AU288,2))&lt;1,ROUND(AU288*(1+'Calc base'!I289),2),MAX('Calc base'!D$12,ROUND('Calc base'!D$13*AU288,2))))</f>
        <v>0</v>
      </c>
      <c r="L289">
        <f>IF(AV288&lt;=0,0,IF(ROUND(AV288*(1+'Calc base'!J289),2)-MAX('Calc base'!E$12,ROUND('Calc base'!E$13*AV288,2))&lt;1,ROUND(AV288*(1+'Calc base'!J289),2),MAX('Calc base'!E$12,ROUND('Calc base'!E$13*AV288,2))))</f>
        <v>0</v>
      </c>
      <c r="M289">
        <f>IF(AW288&lt;=0,0,IF(ROUND(AW288*(1+'Calc base'!K289),2)-MAX('Calc base'!F$12,ROUND('Calc base'!F$13*AW288,2))&lt;1,ROUND(AW288*(1+'Calc base'!K289),2),MAX('Calc base'!F$12,ROUND('Calc base'!F$13*AW288,2))))</f>
        <v>0</v>
      </c>
      <c r="N289">
        <f>IF(AX288&lt;=0,0,IF(ROUND(AX288*(1+'Calc base'!L289),2)-MAX('Calc base'!G$12,ROUND('Calc base'!G$13*AX288,2))&lt;1,ROUND(AX288*(1+'Calc base'!L289),2),MAX('Calc base'!G$12,ROUND('Calc base'!G$13*AX288,2))))</f>
        <v>0</v>
      </c>
      <c r="O289">
        <f>IF(AY288&lt;=0,0,IF(ROUND(AY288*(1+'Calc base'!M289),2)-MAX('Calc base'!H$12,ROUND('Calc base'!H$13*AY288,2))&lt;1,ROUND(AY288*(1+'Calc base'!M289),2),MAX('Calc base'!H$12,ROUND('Calc base'!H$13*AY288,2))))</f>
        <v>0</v>
      </c>
      <c r="P289">
        <f>IF(AZ288&lt;=0,0,IF(ROUND(AZ288*(1+'Calc base'!N289),2)-MAX('Calc base'!I$12,ROUND('Calc base'!I$13*AZ288,2))&lt;1,ROUND(AZ288*(1+'Calc base'!N289),2),MAX('Calc base'!I$12,ROUND('Calc base'!I$13*AZ288,2))))</f>
        <v>0</v>
      </c>
      <c r="Q289">
        <f>IF(BA288&lt;=0,0,IF(ROUND(BA288*(1+'Calc base'!O289),2)-MAX('Calc base'!J$12,ROUND('Calc base'!J$13*BA288,2))&lt;1,ROUND(BA288*(1+'Calc base'!O289),2),MAX('Calc base'!J$12,ROUND('Calc base'!J$13*BA288,2))))</f>
        <v>0</v>
      </c>
      <c r="R289">
        <f>IF(BB288&lt;=0,0,IF(ROUND(BB288*(1+'Calc base'!P289),2)-MAX('Calc base'!K$12,ROUND('Calc base'!K$13*BB288,2))&lt;1,ROUND(BB288*(1+'Calc base'!P289),2),MAX('Calc base'!K$12,ROUND('Calc base'!K$13*BB288,2))))</f>
        <v>0</v>
      </c>
      <c r="S289">
        <f>IF(BC288&lt;=0,0,IF(ROUND(BC288*(1+'Calc base'!Q289),2)-MAX('Calc base'!L$12,ROUND('Calc base'!L$13*BC288,2))&lt;1,ROUND(BC288*(1+'Calc base'!Q289),2),MAX('Calc base'!L$12,ROUND('Calc base'!L$13*BC288,2))))</f>
        <v>0</v>
      </c>
      <c r="T289">
        <f>IF(BD288&lt;=0,0,IF(ROUND(BD288*(1+'Calc base'!R289),2)-MAX('Calc base'!M$12,ROUND('Calc base'!M$13*BD288,2))&lt;1,ROUND(BD288*(1+'Calc base'!R289),2),MAX('Calc base'!M$12,ROUND('Calc base'!M$13*BD288,2))))</f>
        <v>0</v>
      </c>
      <c r="U289">
        <f>IF(BE288&lt;=0,0,IF(ROUND(BE288*(1+'Calc base'!S289),2)-MAX('Calc base'!N$12,ROUND('Calc base'!N$13*BE288,2))&lt;1,ROUND(BE288*(1+'Calc base'!S289),2),MAX('Calc base'!N$12,ROUND('Calc base'!N$13*BE288,2))))</f>
        <v>0</v>
      </c>
      <c r="V289">
        <f>MAX(0,ROUND(AT288*(1+'Calc base'!H289),2)-J289-'Calc base'!T289)</f>
        <v>0</v>
      </c>
      <c r="W289">
        <f>MAX(0,ROUND(AU288*(1+'Calc base'!I289),2)-K289-'Calc base'!U289)</f>
        <v>0</v>
      </c>
      <c r="X289">
        <f>MAX(0,ROUND(AV288*(1+'Calc base'!J289),2)-L289-'Calc base'!V289)</f>
        <v>0</v>
      </c>
      <c r="Y289">
        <f>MAX(0,ROUND(AW288*(1+'Calc base'!K289),2)-M289-'Calc base'!W289)</f>
        <v>0</v>
      </c>
      <c r="Z289">
        <f>MAX(0,ROUND(AX288*(1+'Calc base'!L289),2)-N289-'Calc base'!X289)</f>
        <v>0</v>
      </c>
      <c r="AA289">
        <f>MAX(0,ROUND(AY288*(1+'Calc base'!M289),2)-O289-'Calc base'!Y289)</f>
        <v>0</v>
      </c>
      <c r="AB289">
        <f>MAX(0,ROUND(AZ288*(1+'Calc base'!N289),2)-P289-'Calc base'!Z289)</f>
        <v>0</v>
      </c>
      <c r="AC289">
        <f>MAX(0,ROUND(BA288*(1+'Calc base'!O289),2)-Q289-'Calc base'!AA289)</f>
        <v>0</v>
      </c>
      <c r="AD289">
        <f>MAX(0,ROUND(BB288*(1+'Calc base'!P289),2)-R289-'Calc base'!AB289)</f>
        <v>0</v>
      </c>
      <c r="AE289">
        <f>MAX(0,ROUND(BC288*(1+'Calc base'!Q289),2)-S289-'Calc base'!AC289)</f>
        <v>0</v>
      </c>
      <c r="AF289">
        <f>MAX(0,ROUND(BD288*(1+'Calc base'!R289),2)-T289-'Calc base'!AD289)</f>
        <v>0</v>
      </c>
      <c r="AG289">
        <f>MAX(0,ROUND(BE288*(1+'Calc base'!S289),2)-U289-'Calc base'!AE289)</f>
        <v>0</v>
      </c>
      <c r="AH289">
        <f>IF('Calc base'!C$14=0,0,MIN(V289,MAX(0,$E289-SUMPRODUCT($V289:$AG289,'Calc base'!$C$14:$N$14,('Calc base'!$H289:$S289&gt;'Calc base'!H289)+('Calc base'!$H289:$S289='Calc base'!H289)*('Calc base'!$C$17:$N$17&lt;'Calc base'!C$17)))))</f>
        <v>0</v>
      </c>
      <c r="AI289">
        <f>IF('Calc base'!D$14=0,0,MIN(W289,MAX(0,$E289-SUMPRODUCT($V289:$AG289,'Calc base'!$C$14:$N$14,('Calc base'!$H289:$S289&gt;'Calc base'!I289)+('Calc base'!$H289:$S289='Calc base'!I289)*('Calc base'!$C$17:$N$17&lt;'Calc base'!D$17)))))</f>
        <v>0</v>
      </c>
      <c r="AJ289">
        <f>IF('Calc base'!E$14=0,0,MIN(X289,MAX(0,$E289-SUMPRODUCT($V289:$AG289,'Calc base'!$C$14:$N$14,('Calc base'!$H289:$S289&gt;'Calc base'!J289)+('Calc base'!$H289:$S289='Calc base'!J289)*('Calc base'!$C$17:$N$17&lt;'Calc base'!E$17)))))</f>
        <v>0</v>
      </c>
      <c r="AK289">
        <f>IF('Calc base'!F$14=0,0,MIN(Y289,MAX(0,$E289-SUMPRODUCT($V289:$AG289,'Calc base'!$C$14:$N$14,('Calc base'!$H289:$S289&gt;'Calc base'!K289)+('Calc base'!$H289:$S289='Calc base'!K289)*('Calc base'!$C$17:$N$17&lt;'Calc base'!F$17)))))</f>
        <v>0</v>
      </c>
      <c r="AL289">
        <f>IF('Calc base'!G$14=0,0,MIN(Z289,MAX(0,$E289-SUMPRODUCT($V289:$AG289,'Calc base'!$C$14:$N$14,('Calc base'!$H289:$S289&gt;'Calc base'!L289)+('Calc base'!$H289:$S289='Calc base'!L289)*('Calc base'!$C$17:$N$17&lt;'Calc base'!G$17)))))</f>
        <v>0</v>
      </c>
      <c r="AM289">
        <f>IF('Calc base'!H$14=0,0,MIN(AA289,MAX(0,$E289-SUMPRODUCT($V289:$AG289,'Calc base'!$C$14:$N$14,('Calc base'!$H289:$S289&gt;'Calc base'!M289)+('Calc base'!$H289:$S289='Calc base'!M289)*('Calc base'!$C$17:$N$17&lt;'Calc base'!H$17)))))</f>
        <v>0</v>
      </c>
      <c r="AN289">
        <f>IF('Calc base'!I$14=0,0,MIN(AB289,MAX(0,$E289-SUMPRODUCT($V289:$AG289,'Calc base'!$C$14:$N$14,('Calc base'!$H289:$S289&gt;'Calc base'!N289)+('Calc base'!$H289:$S289='Calc base'!N289)*('Calc base'!$C$17:$N$17&lt;'Calc base'!I$17)))))</f>
        <v>0</v>
      </c>
      <c r="AO289">
        <f>IF('Calc base'!J$14=0,0,MIN(AC289,MAX(0,$E289-SUMPRODUCT($V289:$AG289,'Calc base'!$C$14:$N$14,('Calc base'!$H289:$S289&gt;'Calc base'!O289)+('Calc base'!$H289:$S289='Calc base'!O289)*('Calc base'!$C$17:$N$17&lt;'Calc base'!J$17)))))</f>
        <v>0</v>
      </c>
      <c r="AP289">
        <f>IF('Calc base'!K$14=0,0,MIN(AD289,MAX(0,$E289-SUMPRODUCT($V289:$AG289,'Calc base'!$C$14:$N$14,('Calc base'!$H289:$S289&gt;'Calc base'!P289)+('Calc base'!$H289:$S289='Calc base'!P289)*('Calc base'!$C$17:$N$17&lt;'Calc base'!K$17)))))</f>
        <v>0</v>
      </c>
      <c r="AQ289">
        <f>IF('Calc base'!L$14=0,0,MIN(AE289,MAX(0,$E289-SUMPRODUCT($V289:$AG289,'Calc base'!$C$14:$N$14,('Calc base'!$H289:$S289&gt;'Calc base'!Q289)+('Calc base'!$H289:$S289='Calc base'!Q289)*('Calc base'!$C$17:$N$17&lt;'Calc base'!L$17)))))</f>
        <v>0</v>
      </c>
      <c r="AR289">
        <f>IF('Calc base'!M$14=0,0,MIN(AF289,MAX(0,$E289-SUMPRODUCT($V289:$AG289,'Calc base'!$C$14:$N$14,('Calc base'!$H289:$S289&gt;'Calc base'!R289)+('Calc base'!$H289:$S289='Calc base'!R289)*('Calc base'!$C$17:$N$17&lt;'Calc base'!M$17)))))</f>
        <v>0</v>
      </c>
      <c r="AS289">
        <f>IF('Calc base'!N$14=0,0,MIN(AG289,MAX(0,$E289-SUMPRODUCT($V289:$AG289,'Calc base'!$C$14:$N$14,('Calc base'!$H289:$S289&gt;'Calc base'!S289)+('Calc base'!$H289:$S289='Calc base'!S289)*('Calc base'!$C$17:$N$17&lt;'Calc base'!N$17)))))</f>
        <v>0</v>
      </c>
      <c r="AT289">
        <f>V289-AH289</f>
        <v>0</v>
      </c>
      <c r="AU289">
        <f>W289-AI289</f>
        <v>0</v>
      </c>
      <c r="AV289">
        <f>X289-AJ289</f>
        <v>0</v>
      </c>
      <c r="AW289">
        <f>Y289-AK289</f>
        <v>0</v>
      </c>
      <c r="AX289">
        <f>Z289-AL289</f>
        <v>0</v>
      </c>
      <c r="AY289">
        <f>AA289-AM289</f>
        <v>0</v>
      </c>
      <c r="AZ289">
        <f>AB289-AN289</f>
        <v>0</v>
      </c>
      <c r="BA289">
        <f>AC289-AO289</f>
        <v>0</v>
      </c>
      <c r="BB289">
        <f>AD289-AP289</f>
        <v>0</v>
      </c>
      <c r="BC289">
        <f>AE289-AQ289</f>
        <v>0</v>
      </c>
      <c r="BD289">
        <f>AF289-AR289</f>
        <v>0</v>
      </c>
      <c r="BE289">
        <f>AG289-AS289</f>
        <v>0</v>
      </c>
    </row>
    <row r="290">
      <c r="A290" t="n">
        <v>260</v>
      </c>
      <c r="B290">
        <f>SUMPRODUCT(ROUND($AT289:$BE289*(1+'Calc base'!$H290:$S290),2))</f>
        <v>0</v>
      </c>
      <c r="C290">
        <f>SUM(J290:U290)</f>
        <v>0</v>
      </c>
      <c r="D290">
        <f>SUM(V290:AG290)</f>
        <v>0</v>
      </c>
      <c r="E290">
        <f>MAX(0,IF(Impostazioni!$B$7="No",'Calc base'!$C290-$C$31,'Calc base'!$C290-C290)+'Calc base'!$G290+'Calc base'!$F290-(B290-C290-D290))</f>
        <v>900</v>
      </c>
      <c r="F290">
        <f>SUM(AH290:AS290)</f>
        <v>0</v>
      </c>
      <c r="G290">
        <f>SUM(AT290:BE290)</f>
        <v>0</v>
      </c>
      <c r="H290">
        <f>B290-G289</f>
        <v>0</v>
      </c>
      <c r="I290">
        <f>B290-G290</f>
        <v>0</v>
      </c>
      <c r="J290">
        <f>IF(AT289&lt;=0,0,IF(ROUND(AT289*(1+'Calc base'!H290),2)-MAX('Calc base'!C$12,ROUND('Calc base'!C$13*AT289,2))&lt;1,ROUND(AT289*(1+'Calc base'!H290),2),MAX('Calc base'!C$12,ROUND('Calc base'!C$13*AT289,2))))</f>
        <v>0</v>
      </c>
      <c r="K290">
        <f>IF(AU289&lt;=0,0,IF(ROUND(AU289*(1+'Calc base'!I290),2)-MAX('Calc base'!D$12,ROUND('Calc base'!D$13*AU289,2))&lt;1,ROUND(AU289*(1+'Calc base'!I290),2),MAX('Calc base'!D$12,ROUND('Calc base'!D$13*AU289,2))))</f>
        <v>0</v>
      </c>
      <c r="L290">
        <f>IF(AV289&lt;=0,0,IF(ROUND(AV289*(1+'Calc base'!J290),2)-MAX('Calc base'!E$12,ROUND('Calc base'!E$13*AV289,2))&lt;1,ROUND(AV289*(1+'Calc base'!J290),2),MAX('Calc base'!E$12,ROUND('Calc base'!E$13*AV289,2))))</f>
        <v>0</v>
      </c>
      <c r="M290">
        <f>IF(AW289&lt;=0,0,IF(ROUND(AW289*(1+'Calc base'!K290),2)-MAX('Calc base'!F$12,ROUND('Calc base'!F$13*AW289,2))&lt;1,ROUND(AW289*(1+'Calc base'!K290),2),MAX('Calc base'!F$12,ROUND('Calc base'!F$13*AW289,2))))</f>
        <v>0</v>
      </c>
      <c r="N290">
        <f>IF(AX289&lt;=0,0,IF(ROUND(AX289*(1+'Calc base'!L290),2)-MAX('Calc base'!G$12,ROUND('Calc base'!G$13*AX289,2))&lt;1,ROUND(AX289*(1+'Calc base'!L290),2),MAX('Calc base'!G$12,ROUND('Calc base'!G$13*AX289,2))))</f>
        <v>0</v>
      </c>
      <c r="O290">
        <f>IF(AY289&lt;=0,0,IF(ROUND(AY289*(1+'Calc base'!M290),2)-MAX('Calc base'!H$12,ROUND('Calc base'!H$13*AY289,2))&lt;1,ROUND(AY289*(1+'Calc base'!M290),2),MAX('Calc base'!H$12,ROUND('Calc base'!H$13*AY289,2))))</f>
        <v>0</v>
      </c>
      <c r="P290">
        <f>IF(AZ289&lt;=0,0,IF(ROUND(AZ289*(1+'Calc base'!N290),2)-MAX('Calc base'!I$12,ROUND('Calc base'!I$13*AZ289,2))&lt;1,ROUND(AZ289*(1+'Calc base'!N290),2),MAX('Calc base'!I$12,ROUND('Calc base'!I$13*AZ289,2))))</f>
        <v>0</v>
      </c>
      <c r="Q290">
        <f>IF(BA289&lt;=0,0,IF(ROUND(BA289*(1+'Calc base'!O290),2)-MAX('Calc base'!J$12,ROUND('Calc base'!J$13*BA289,2))&lt;1,ROUND(BA289*(1+'Calc base'!O290),2),MAX('Calc base'!J$12,ROUND('Calc base'!J$13*BA289,2))))</f>
        <v>0</v>
      </c>
      <c r="R290">
        <f>IF(BB289&lt;=0,0,IF(ROUND(BB289*(1+'Calc base'!P290),2)-MAX('Calc base'!K$12,ROUND('Calc base'!K$13*BB289,2))&lt;1,ROUND(BB289*(1+'Calc base'!P290),2),MAX('Calc base'!K$12,ROUND('Calc base'!K$13*BB289,2))))</f>
        <v>0</v>
      </c>
      <c r="S290">
        <f>IF(BC289&lt;=0,0,IF(ROUND(BC289*(1+'Calc base'!Q290),2)-MAX('Calc base'!L$12,ROUND('Calc base'!L$13*BC289,2))&lt;1,ROUND(BC289*(1+'Calc base'!Q290),2),MAX('Calc base'!L$12,ROUND('Calc base'!L$13*BC289,2))))</f>
        <v>0</v>
      </c>
      <c r="T290">
        <f>IF(BD289&lt;=0,0,IF(ROUND(BD289*(1+'Calc base'!R290),2)-MAX('Calc base'!M$12,ROUND('Calc base'!M$13*BD289,2))&lt;1,ROUND(BD289*(1+'Calc base'!R290),2),MAX('Calc base'!M$12,ROUND('Calc base'!M$13*BD289,2))))</f>
        <v>0</v>
      </c>
      <c r="U290">
        <f>IF(BE289&lt;=0,0,IF(ROUND(BE289*(1+'Calc base'!S290),2)-MAX('Calc base'!N$12,ROUND('Calc base'!N$13*BE289,2))&lt;1,ROUND(BE289*(1+'Calc base'!S290),2),MAX('Calc base'!N$12,ROUND('Calc base'!N$13*BE289,2))))</f>
        <v>0</v>
      </c>
      <c r="V290">
        <f>MAX(0,ROUND(AT289*(1+'Calc base'!H290),2)-J290-'Calc base'!T290)</f>
        <v>0</v>
      </c>
      <c r="W290">
        <f>MAX(0,ROUND(AU289*(1+'Calc base'!I290),2)-K290-'Calc base'!U290)</f>
        <v>0</v>
      </c>
      <c r="X290">
        <f>MAX(0,ROUND(AV289*(1+'Calc base'!J290),2)-L290-'Calc base'!V290)</f>
        <v>0</v>
      </c>
      <c r="Y290">
        <f>MAX(0,ROUND(AW289*(1+'Calc base'!K290),2)-M290-'Calc base'!W290)</f>
        <v>0</v>
      </c>
      <c r="Z290">
        <f>MAX(0,ROUND(AX289*(1+'Calc base'!L290),2)-N290-'Calc base'!X290)</f>
        <v>0</v>
      </c>
      <c r="AA290">
        <f>MAX(0,ROUND(AY289*(1+'Calc base'!M290),2)-O290-'Calc base'!Y290)</f>
        <v>0</v>
      </c>
      <c r="AB290">
        <f>MAX(0,ROUND(AZ289*(1+'Calc base'!N290),2)-P290-'Calc base'!Z290)</f>
        <v>0</v>
      </c>
      <c r="AC290">
        <f>MAX(0,ROUND(BA289*(1+'Calc base'!O290),2)-Q290-'Calc base'!AA290)</f>
        <v>0</v>
      </c>
      <c r="AD290">
        <f>MAX(0,ROUND(BB289*(1+'Calc base'!P290),2)-R290-'Calc base'!AB290)</f>
        <v>0</v>
      </c>
      <c r="AE290">
        <f>MAX(0,ROUND(BC289*(1+'Calc base'!Q290),2)-S290-'Calc base'!AC290)</f>
        <v>0</v>
      </c>
      <c r="AF290">
        <f>MAX(0,ROUND(BD289*(1+'Calc base'!R290),2)-T290-'Calc base'!AD290)</f>
        <v>0</v>
      </c>
      <c r="AG290">
        <f>MAX(0,ROUND(BE289*(1+'Calc base'!S290),2)-U290-'Calc base'!AE290)</f>
        <v>0</v>
      </c>
      <c r="AH290">
        <f>IF('Calc base'!C$14=0,0,MIN(V290,MAX(0,$E290-SUMPRODUCT($V290:$AG290,'Calc base'!$C$14:$N$14,('Calc base'!$H290:$S290&gt;'Calc base'!H290)+('Calc base'!$H290:$S290='Calc base'!H290)*('Calc base'!$C$17:$N$17&lt;'Calc base'!C$17)))))</f>
        <v>0</v>
      </c>
      <c r="AI290">
        <f>IF('Calc base'!D$14=0,0,MIN(W290,MAX(0,$E290-SUMPRODUCT($V290:$AG290,'Calc base'!$C$14:$N$14,('Calc base'!$H290:$S290&gt;'Calc base'!I290)+('Calc base'!$H290:$S290='Calc base'!I290)*('Calc base'!$C$17:$N$17&lt;'Calc base'!D$17)))))</f>
        <v>0</v>
      </c>
      <c r="AJ290">
        <f>IF('Calc base'!E$14=0,0,MIN(X290,MAX(0,$E290-SUMPRODUCT($V290:$AG290,'Calc base'!$C$14:$N$14,('Calc base'!$H290:$S290&gt;'Calc base'!J290)+('Calc base'!$H290:$S290='Calc base'!J290)*('Calc base'!$C$17:$N$17&lt;'Calc base'!E$17)))))</f>
        <v>0</v>
      </c>
      <c r="AK290">
        <f>IF('Calc base'!F$14=0,0,MIN(Y290,MAX(0,$E290-SUMPRODUCT($V290:$AG290,'Calc base'!$C$14:$N$14,('Calc base'!$H290:$S290&gt;'Calc base'!K290)+('Calc base'!$H290:$S290='Calc base'!K290)*('Calc base'!$C$17:$N$17&lt;'Calc base'!F$17)))))</f>
        <v>0</v>
      </c>
      <c r="AL290">
        <f>IF('Calc base'!G$14=0,0,MIN(Z290,MAX(0,$E290-SUMPRODUCT($V290:$AG290,'Calc base'!$C$14:$N$14,('Calc base'!$H290:$S290&gt;'Calc base'!L290)+('Calc base'!$H290:$S290='Calc base'!L290)*('Calc base'!$C$17:$N$17&lt;'Calc base'!G$17)))))</f>
        <v>0</v>
      </c>
      <c r="AM290">
        <f>IF('Calc base'!H$14=0,0,MIN(AA290,MAX(0,$E290-SUMPRODUCT($V290:$AG290,'Calc base'!$C$14:$N$14,('Calc base'!$H290:$S290&gt;'Calc base'!M290)+('Calc base'!$H290:$S290='Calc base'!M290)*('Calc base'!$C$17:$N$17&lt;'Calc base'!H$17)))))</f>
        <v>0</v>
      </c>
      <c r="AN290">
        <f>IF('Calc base'!I$14=0,0,MIN(AB290,MAX(0,$E290-SUMPRODUCT($V290:$AG290,'Calc base'!$C$14:$N$14,('Calc base'!$H290:$S290&gt;'Calc base'!N290)+('Calc base'!$H290:$S290='Calc base'!N290)*('Calc base'!$C$17:$N$17&lt;'Calc base'!I$17)))))</f>
        <v>0</v>
      </c>
      <c r="AO290">
        <f>IF('Calc base'!J$14=0,0,MIN(AC290,MAX(0,$E290-SUMPRODUCT($V290:$AG290,'Calc base'!$C$14:$N$14,('Calc base'!$H290:$S290&gt;'Calc base'!O290)+('Calc base'!$H290:$S290='Calc base'!O290)*('Calc base'!$C$17:$N$17&lt;'Calc base'!J$17)))))</f>
        <v>0</v>
      </c>
      <c r="AP290">
        <f>IF('Calc base'!K$14=0,0,MIN(AD290,MAX(0,$E290-SUMPRODUCT($V290:$AG290,'Calc base'!$C$14:$N$14,('Calc base'!$H290:$S290&gt;'Calc base'!P290)+('Calc base'!$H290:$S290='Calc base'!P290)*('Calc base'!$C$17:$N$17&lt;'Calc base'!K$17)))))</f>
        <v>0</v>
      </c>
      <c r="AQ290">
        <f>IF('Calc base'!L$14=0,0,MIN(AE290,MAX(0,$E290-SUMPRODUCT($V290:$AG290,'Calc base'!$C$14:$N$14,('Calc base'!$H290:$S290&gt;'Calc base'!Q290)+('Calc base'!$H290:$S290='Calc base'!Q290)*('Calc base'!$C$17:$N$17&lt;'Calc base'!L$17)))))</f>
        <v>0</v>
      </c>
      <c r="AR290">
        <f>IF('Calc base'!M$14=0,0,MIN(AF290,MAX(0,$E290-SUMPRODUCT($V290:$AG290,'Calc base'!$C$14:$N$14,('Calc base'!$H290:$S290&gt;'Calc base'!R290)+('Calc base'!$H290:$S290='Calc base'!R290)*('Calc base'!$C$17:$N$17&lt;'Calc base'!M$17)))))</f>
        <v>0</v>
      </c>
      <c r="AS290">
        <f>IF('Calc base'!N$14=0,0,MIN(AG290,MAX(0,$E290-SUMPRODUCT($V290:$AG290,'Calc base'!$C$14:$N$14,('Calc base'!$H290:$S290&gt;'Calc base'!S290)+('Calc base'!$H290:$S290='Calc base'!S290)*('Calc base'!$C$17:$N$17&lt;'Calc base'!N$17)))))</f>
        <v>0</v>
      </c>
      <c r="AT290">
        <f>V290-AH290</f>
        <v>0</v>
      </c>
      <c r="AU290">
        <f>W290-AI290</f>
        <v>0</v>
      </c>
      <c r="AV290">
        <f>X290-AJ290</f>
        <v>0</v>
      </c>
      <c r="AW290">
        <f>Y290-AK290</f>
        <v>0</v>
      </c>
      <c r="AX290">
        <f>Z290-AL290</f>
        <v>0</v>
      </c>
      <c r="AY290">
        <f>AA290-AM290</f>
        <v>0</v>
      </c>
      <c r="AZ290">
        <f>AB290-AN290</f>
        <v>0</v>
      </c>
      <c r="BA290">
        <f>AC290-AO290</f>
        <v>0</v>
      </c>
      <c r="BB290">
        <f>AD290-AP290</f>
        <v>0</v>
      </c>
      <c r="BC290">
        <f>AE290-AQ290</f>
        <v>0</v>
      </c>
      <c r="BD290">
        <f>AF290-AR290</f>
        <v>0</v>
      </c>
      <c r="BE290">
        <f>AG290-AS290</f>
        <v>0</v>
      </c>
    </row>
    <row r="291">
      <c r="A291" t="n">
        <v>261</v>
      </c>
      <c r="B291">
        <f>SUMPRODUCT(ROUND($AT290:$BE290*(1+'Calc base'!$H291:$S291),2))</f>
        <v>0</v>
      </c>
      <c r="C291">
        <f>SUM(J291:U291)</f>
        <v>0</v>
      </c>
      <c r="D291">
        <f>SUM(V291:AG291)</f>
        <v>0</v>
      </c>
      <c r="E291">
        <f>MAX(0,IF(Impostazioni!$B$7="No",'Calc base'!$C291-$C$31,'Calc base'!$C291-C291)+'Calc base'!$G291+'Calc base'!$F291-(B291-C291-D291))</f>
        <v>900</v>
      </c>
      <c r="F291">
        <f>SUM(AH291:AS291)</f>
        <v>0</v>
      </c>
      <c r="G291">
        <f>SUM(AT291:BE291)</f>
        <v>0</v>
      </c>
      <c r="H291">
        <f>B291-G290</f>
        <v>0</v>
      </c>
      <c r="I291">
        <f>B291-G291</f>
        <v>0</v>
      </c>
      <c r="J291">
        <f>IF(AT290&lt;=0,0,IF(ROUND(AT290*(1+'Calc base'!H291),2)-MAX('Calc base'!C$12,ROUND('Calc base'!C$13*AT290,2))&lt;1,ROUND(AT290*(1+'Calc base'!H291),2),MAX('Calc base'!C$12,ROUND('Calc base'!C$13*AT290,2))))</f>
        <v>0</v>
      </c>
      <c r="K291">
        <f>IF(AU290&lt;=0,0,IF(ROUND(AU290*(1+'Calc base'!I291),2)-MAX('Calc base'!D$12,ROUND('Calc base'!D$13*AU290,2))&lt;1,ROUND(AU290*(1+'Calc base'!I291),2),MAX('Calc base'!D$12,ROUND('Calc base'!D$13*AU290,2))))</f>
        <v>0</v>
      </c>
      <c r="L291">
        <f>IF(AV290&lt;=0,0,IF(ROUND(AV290*(1+'Calc base'!J291),2)-MAX('Calc base'!E$12,ROUND('Calc base'!E$13*AV290,2))&lt;1,ROUND(AV290*(1+'Calc base'!J291),2),MAX('Calc base'!E$12,ROUND('Calc base'!E$13*AV290,2))))</f>
        <v>0</v>
      </c>
      <c r="M291">
        <f>IF(AW290&lt;=0,0,IF(ROUND(AW290*(1+'Calc base'!K291),2)-MAX('Calc base'!F$12,ROUND('Calc base'!F$13*AW290,2))&lt;1,ROUND(AW290*(1+'Calc base'!K291),2),MAX('Calc base'!F$12,ROUND('Calc base'!F$13*AW290,2))))</f>
        <v>0</v>
      </c>
      <c r="N291">
        <f>IF(AX290&lt;=0,0,IF(ROUND(AX290*(1+'Calc base'!L291),2)-MAX('Calc base'!G$12,ROUND('Calc base'!G$13*AX290,2))&lt;1,ROUND(AX290*(1+'Calc base'!L291),2),MAX('Calc base'!G$12,ROUND('Calc base'!G$13*AX290,2))))</f>
        <v>0</v>
      </c>
      <c r="O291">
        <f>IF(AY290&lt;=0,0,IF(ROUND(AY290*(1+'Calc base'!M291),2)-MAX('Calc base'!H$12,ROUND('Calc base'!H$13*AY290,2))&lt;1,ROUND(AY290*(1+'Calc base'!M291),2),MAX('Calc base'!H$12,ROUND('Calc base'!H$13*AY290,2))))</f>
        <v>0</v>
      </c>
      <c r="P291">
        <f>IF(AZ290&lt;=0,0,IF(ROUND(AZ290*(1+'Calc base'!N291),2)-MAX('Calc base'!I$12,ROUND('Calc base'!I$13*AZ290,2))&lt;1,ROUND(AZ290*(1+'Calc base'!N291),2),MAX('Calc base'!I$12,ROUND('Calc base'!I$13*AZ290,2))))</f>
        <v>0</v>
      </c>
      <c r="Q291">
        <f>IF(BA290&lt;=0,0,IF(ROUND(BA290*(1+'Calc base'!O291),2)-MAX('Calc base'!J$12,ROUND('Calc base'!J$13*BA290,2))&lt;1,ROUND(BA290*(1+'Calc base'!O291),2),MAX('Calc base'!J$12,ROUND('Calc base'!J$13*BA290,2))))</f>
        <v>0</v>
      </c>
      <c r="R291">
        <f>IF(BB290&lt;=0,0,IF(ROUND(BB290*(1+'Calc base'!P291),2)-MAX('Calc base'!K$12,ROUND('Calc base'!K$13*BB290,2))&lt;1,ROUND(BB290*(1+'Calc base'!P291),2),MAX('Calc base'!K$12,ROUND('Calc base'!K$13*BB290,2))))</f>
        <v>0</v>
      </c>
      <c r="S291">
        <f>IF(BC290&lt;=0,0,IF(ROUND(BC290*(1+'Calc base'!Q291),2)-MAX('Calc base'!L$12,ROUND('Calc base'!L$13*BC290,2))&lt;1,ROUND(BC290*(1+'Calc base'!Q291),2),MAX('Calc base'!L$12,ROUND('Calc base'!L$13*BC290,2))))</f>
        <v>0</v>
      </c>
      <c r="T291">
        <f>IF(BD290&lt;=0,0,IF(ROUND(BD290*(1+'Calc base'!R291),2)-MAX('Calc base'!M$12,ROUND('Calc base'!M$13*BD290,2))&lt;1,ROUND(BD290*(1+'Calc base'!R291),2),MAX('Calc base'!M$12,ROUND('Calc base'!M$13*BD290,2))))</f>
        <v>0</v>
      </c>
      <c r="U291">
        <f>IF(BE290&lt;=0,0,IF(ROUND(BE290*(1+'Calc base'!S291),2)-MAX('Calc base'!N$12,ROUND('Calc base'!N$13*BE290,2))&lt;1,ROUND(BE290*(1+'Calc base'!S291),2),MAX('Calc base'!N$12,ROUND('Calc base'!N$13*BE290,2))))</f>
        <v>0</v>
      </c>
      <c r="V291">
        <f>MAX(0,ROUND(AT290*(1+'Calc base'!H291),2)-J291-'Calc base'!T291)</f>
        <v>0</v>
      </c>
      <c r="W291">
        <f>MAX(0,ROUND(AU290*(1+'Calc base'!I291),2)-K291-'Calc base'!U291)</f>
        <v>0</v>
      </c>
      <c r="X291">
        <f>MAX(0,ROUND(AV290*(1+'Calc base'!J291),2)-L291-'Calc base'!V291)</f>
        <v>0</v>
      </c>
      <c r="Y291">
        <f>MAX(0,ROUND(AW290*(1+'Calc base'!K291),2)-M291-'Calc base'!W291)</f>
        <v>0</v>
      </c>
      <c r="Z291">
        <f>MAX(0,ROUND(AX290*(1+'Calc base'!L291),2)-N291-'Calc base'!X291)</f>
        <v>0</v>
      </c>
      <c r="AA291">
        <f>MAX(0,ROUND(AY290*(1+'Calc base'!M291),2)-O291-'Calc base'!Y291)</f>
        <v>0</v>
      </c>
      <c r="AB291">
        <f>MAX(0,ROUND(AZ290*(1+'Calc base'!N291),2)-P291-'Calc base'!Z291)</f>
        <v>0</v>
      </c>
      <c r="AC291">
        <f>MAX(0,ROUND(BA290*(1+'Calc base'!O291),2)-Q291-'Calc base'!AA291)</f>
        <v>0</v>
      </c>
      <c r="AD291">
        <f>MAX(0,ROUND(BB290*(1+'Calc base'!P291),2)-R291-'Calc base'!AB291)</f>
        <v>0</v>
      </c>
      <c r="AE291">
        <f>MAX(0,ROUND(BC290*(1+'Calc base'!Q291),2)-S291-'Calc base'!AC291)</f>
        <v>0</v>
      </c>
      <c r="AF291">
        <f>MAX(0,ROUND(BD290*(1+'Calc base'!R291),2)-T291-'Calc base'!AD291)</f>
        <v>0</v>
      </c>
      <c r="AG291">
        <f>MAX(0,ROUND(BE290*(1+'Calc base'!S291),2)-U291-'Calc base'!AE291)</f>
        <v>0</v>
      </c>
      <c r="AH291">
        <f>IF('Calc base'!C$14=0,0,MIN(V291,MAX(0,$E291-SUMPRODUCT($V291:$AG291,'Calc base'!$C$14:$N$14,('Calc base'!$H291:$S291&gt;'Calc base'!H291)+('Calc base'!$H291:$S291='Calc base'!H291)*('Calc base'!$C$17:$N$17&lt;'Calc base'!C$17)))))</f>
        <v>0</v>
      </c>
      <c r="AI291">
        <f>IF('Calc base'!D$14=0,0,MIN(W291,MAX(0,$E291-SUMPRODUCT($V291:$AG291,'Calc base'!$C$14:$N$14,('Calc base'!$H291:$S291&gt;'Calc base'!I291)+('Calc base'!$H291:$S291='Calc base'!I291)*('Calc base'!$C$17:$N$17&lt;'Calc base'!D$17)))))</f>
        <v>0</v>
      </c>
      <c r="AJ291">
        <f>IF('Calc base'!E$14=0,0,MIN(X291,MAX(0,$E291-SUMPRODUCT($V291:$AG291,'Calc base'!$C$14:$N$14,('Calc base'!$H291:$S291&gt;'Calc base'!J291)+('Calc base'!$H291:$S291='Calc base'!J291)*('Calc base'!$C$17:$N$17&lt;'Calc base'!E$17)))))</f>
        <v>0</v>
      </c>
      <c r="AK291">
        <f>IF('Calc base'!F$14=0,0,MIN(Y291,MAX(0,$E291-SUMPRODUCT($V291:$AG291,'Calc base'!$C$14:$N$14,('Calc base'!$H291:$S291&gt;'Calc base'!K291)+('Calc base'!$H291:$S291='Calc base'!K291)*('Calc base'!$C$17:$N$17&lt;'Calc base'!F$17)))))</f>
        <v>0</v>
      </c>
      <c r="AL291">
        <f>IF('Calc base'!G$14=0,0,MIN(Z291,MAX(0,$E291-SUMPRODUCT($V291:$AG291,'Calc base'!$C$14:$N$14,('Calc base'!$H291:$S291&gt;'Calc base'!L291)+('Calc base'!$H291:$S291='Calc base'!L291)*('Calc base'!$C$17:$N$17&lt;'Calc base'!G$17)))))</f>
        <v>0</v>
      </c>
      <c r="AM291">
        <f>IF('Calc base'!H$14=0,0,MIN(AA291,MAX(0,$E291-SUMPRODUCT($V291:$AG291,'Calc base'!$C$14:$N$14,('Calc base'!$H291:$S291&gt;'Calc base'!M291)+('Calc base'!$H291:$S291='Calc base'!M291)*('Calc base'!$C$17:$N$17&lt;'Calc base'!H$17)))))</f>
        <v>0</v>
      </c>
      <c r="AN291">
        <f>IF('Calc base'!I$14=0,0,MIN(AB291,MAX(0,$E291-SUMPRODUCT($V291:$AG291,'Calc base'!$C$14:$N$14,('Calc base'!$H291:$S291&gt;'Calc base'!N291)+('Calc base'!$H291:$S291='Calc base'!N291)*('Calc base'!$C$17:$N$17&lt;'Calc base'!I$17)))))</f>
        <v>0</v>
      </c>
      <c r="AO291">
        <f>IF('Calc base'!J$14=0,0,MIN(AC291,MAX(0,$E291-SUMPRODUCT($V291:$AG291,'Calc base'!$C$14:$N$14,('Calc base'!$H291:$S291&gt;'Calc base'!O291)+('Calc base'!$H291:$S291='Calc base'!O291)*('Calc base'!$C$17:$N$17&lt;'Calc base'!J$17)))))</f>
        <v>0</v>
      </c>
      <c r="AP291">
        <f>IF('Calc base'!K$14=0,0,MIN(AD291,MAX(0,$E291-SUMPRODUCT($V291:$AG291,'Calc base'!$C$14:$N$14,('Calc base'!$H291:$S291&gt;'Calc base'!P291)+('Calc base'!$H291:$S291='Calc base'!P291)*('Calc base'!$C$17:$N$17&lt;'Calc base'!K$17)))))</f>
        <v>0</v>
      </c>
      <c r="AQ291">
        <f>IF('Calc base'!L$14=0,0,MIN(AE291,MAX(0,$E291-SUMPRODUCT($V291:$AG291,'Calc base'!$C$14:$N$14,('Calc base'!$H291:$S291&gt;'Calc base'!Q291)+('Calc base'!$H291:$S291='Calc base'!Q291)*('Calc base'!$C$17:$N$17&lt;'Calc base'!L$17)))))</f>
        <v>0</v>
      </c>
      <c r="AR291">
        <f>IF('Calc base'!M$14=0,0,MIN(AF291,MAX(0,$E291-SUMPRODUCT($V291:$AG291,'Calc base'!$C$14:$N$14,('Calc base'!$H291:$S291&gt;'Calc base'!R291)+('Calc base'!$H291:$S291='Calc base'!R291)*('Calc base'!$C$17:$N$17&lt;'Calc base'!M$17)))))</f>
        <v>0</v>
      </c>
      <c r="AS291">
        <f>IF('Calc base'!N$14=0,0,MIN(AG291,MAX(0,$E291-SUMPRODUCT($V291:$AG291,'Calc base'!$C$14:$N$14,('Calc base'!$H291:$S291&gt;'Calc base'!S291)+('Calc base'!$H291:$S291='Calc base'!S291)*('Calc base'!$C$17:$N$17&lt;'Calc base'!N$17)))))</f>
        <v>0</v>
      </c>
      <c r="AT291">
        <f>V291-AH291</f>
        <v>0</v>
      </c>
      <c r="AU291">
        <f>W291-AI291</f>
        <v>0</v>
      </c>
      <c r="AV291">
        <f>X291-AJ291</f>
        <v>0</v>
      </c>
      <c r="AW291">
        <f>Y291-AK291</f>
        <v>0</v>
      </c>
      <c r="AX291">
        <f>Z291-AL291</f>
        <v>0</v>
      </c>
      <c r="AY291">
        <f>AA291-AM291</f>
        <v>0</v>
      </c>
      <c r="AZ291">
        <f>AB291-AN291</f>
        <v>0</v>
      </c>
      <c r="BA291">
        <f>AC291-AO291</f>
        <v>0</v>
      </c>
      <c r="BB291">
        <f>AD291-AP291</f>
        <v>0</v>
      </c>
      <c r="BC291">
        <f>AE291-AQ291</f>
        <v>0</v>
      </c>
      <c r="BD291">
        <f>AF291-AR291</f>
        <v>0</v>
      </c>
      <c r="BE291">
        <f>AG291-AS291</f>
        <v>0</v>
      </c>
    </row>
    <row r="292">
      <c r="A292" t="n">
        <v>262</v>
      </c>
      <c r="B292">
        <f>SUMPRODUCT(ROUND($AT291:$BE291*(1+'Calc base'!$H292:$S292),2))</f>
        <v>0</v>
      </c>
      <c r="C292">
        <f>SUM(J292:U292)</f>
        <v>0</v>
      </c>
      <c r="D292">
        <f>SUM(V292:AG292)</f>
        <v>0</v>
      </c>
      <c r="E292">
        <f>MAX(0,IF(Impostazioni!$B$7="No",'Calc base'!$C292-$C$31,'Calc base'!$C292-C292)+'Calc base'!$G292+'Calc base'!$F292-(B292-C292-D292))</f>
        <v>900</v>
      </c>
      <c r="F292">
        <f>SUM(AH292:AS292)</f>
        <v>0</v>
      </c>
      <c r="G292">
        <f>SUM(AT292:BE292)</f>
        <v>0</v>
      </c>
      <c r="H292">
        <f>B292-G291</f>
        <v>0</v>
      </c>
      <c r="I292">
        <f>B292-G292</f>
        <v>0</v>
      </c>
      <c r="J292">
        <f>IF(AT291&lt;=0,0,IF(ROUND(AT291*(1+'Calc base'!H292),2)-MAX('Calc base'!C$12,ROUND('Calc base'!C$13*AT291,2))&lt;1,ROUND(AT291*(1+'Calc base'!H292),2),MAX('Calc base'!C$12,ROUND('Calc base'!C$13*AT291,2))))</f>
        <v>0</v>
      </c>
      <c r="K292">
        <f>IF(AU291&lt;=0,0,IF(ROUND(AU291*(1+'Calc base'!I292),2)-MAX('Calc base'!D$12,ROUND('Calc base'!D$13*AU291,2))&lt;1,ROUND(AU291*(1+'Calc base'!I292),2),MAX('Calc base'!D$12,ROUND('Calc base'!D$13*AU291,2))))</f>
        <v>0</v>
      </c>
      <c r="L292">
        <f>IF(AV291&lt;=0,0,IF(ROUND(AV291*(1+'Calc base'!J292),2)-MAX('Calc base'!E$12,ROUND('Calc base'!E$13*AV291,2))&lt;1,ROUND(AV291*(1+'Calc base'!J292),2),MAX('Calc base'!E$12,ROUND('Calc base'!E$13*AV291,2))))</f>
        <v>0</v>
      </c>
      <c r="M292">
        <f>IF(AW291&lt;=0,0,IF(ROUND(AW291*(1+'Calc base'!K292),2)-MAX('Calc base'!F$12,ROUND('Calc base'!F$13*AW291,2))&lt;1,ROUND(AW291*(1+'Calc base'!K292),2),MAX('Calc base'!F$12,ROUND('Calc base'!F$13*AW291,2))))</f>
        <v>0</v>
      </c>
      <c r="N292">
        <f>IF(AX291&lt;=0,0,IF(ROUND(AX291*(1+'Calc base'!L292),2)-MAX('Calc base'!G$12,ROUND('Calc base'!G$13*AX291,2))&lt;1,ROUND(AX291*(1+'Calc base'!L292),2),MAX('Calc base'!G$12,ROUND('Calc base'!G$13*AX291,2))))</f>
        <v>0</v>
      </c>
      <c r="O292">
        <f>IF(AY291&lt;=0,0,IF(ROUND(AY291*(1+'Calc base'!M292),2)-MAX('Calc base'!H$12,ROUND('Calc base'!H$13*AY291,2))&lt;1,ROUND(AY291*(1+'Calc base'!M292),2),MAX('Calc base'!H$12,ROUND('Calc base'!H$13*AY291,2))))</f>
        <v>0</v>
      </c>
      <c r="P292">
        <f>IF(AZ291&lt;=0,0,IF(ROUND(AZ291*(1+'Calc base'!N292),2)-MAX('Calc base'!I$12,ROUND('Calc base'!I$13*AZ291,2))&lt;1,ROUND(AZ291*(1+'Calc base'!N292),2),MAX('Calc base'!I$12,ROUND('Calc base'!I$13*AZ291,2))))</f>
        <v>0</v>
      </c>
      <c r="Q292">
        <f>IF(BA291&lt;=0,0,IF(ROUND(BA291*(1+'Calc base'!O292),2)-MAX('Calc base'!J$12,ROUND('Calc base'!J$13*BA291,2))&lt;1,ROUND(BA291*(1+'Calc base'!O292),2),MAX('Calc base'!J$12,ROUND('Calc base'!J$13*BA291,2))))</f>
        <v>0</v>
      </c>
      <c r="R292">
        <f>IF(BB291&lt;=0,0,IF(ROUND(BB291*(1+'Calc base'!P292),2)-MAX('Calc base'!K$12,ROUND('Calc base'!K$13*BB291,2))&lt;1,ROUND(BB291*(1+'Calc base'!P292),2),MAX('Calc base'!K$12,ROUND('Calc base'!K$13*BB291,2))))</f>
        <v>0</v>
      </c>
      <c r="S292">
        <f>IF(BC291&lt;=0,0,IF(ROUND(BC291*(1+'Calc base'!Q292),2)-MAX('Calc base'!L$12,ROUND('Calc base'!L$13*BC291,2))&lt;1,ROUND(BC291*(1+'Calc base'!Q292),2),MAX('Calc base'!L$12,ROUND('Calc base'!L$13*BC291,2))))</f>
        <v>0</v>
      </c>
      <c r="T292">
        <f>IF(BD291&lt;=0,0,IF(ROUND(BD291*(1+'Calc base'!R292),2)-MAX('Calc base'!M$12,ROUND('Calc base'!M$13*BD291,2))&lt;1,ROUND(BD291*(1+'Calc base'!R292),2),MAX('Calc base'!M$12,ROUND('Calc base'!M$13*BD291,2))))</f>
        <v>0</v>
      </c>
      <c r="U292">
        <f>IF(BE291&lt;=0,0,IF(ROUND(BE291*(1+'Calc base'!S292),2)-MAX('Calc base'!N$12,ROUND('Calc base'!N$13*BE291,2))&lt;1,ROUND(BE291*(1+'Calc base'!S292),2),MAX('Calc base'!N$12,ROUND('Calc base'!N$13*BE291,2))))</f>
        <v>0</v>
      </c>
      <c r="V292">
        <f>MAX(0,ROUND(AT291*(1+'Calc base'!H292),2)-J292-'Calc base'!T292)</f>
        <v>0</v>
      </c>
      <c r="W292">
        <f>MAX(0,ROUND(AU291*(1+'Calc base'!I292),2)-K292-'Calc base'!U292)</f>
        <v>0</v>
      </c>
      <c r="X292">
        <f>MAX(0,ROUND(AV291*(1+'Calc base'!J292),2)-L292-'Calc base'!V292)</f>
        <v>0</v>
      </c>
      <c r="Y292">
        <f>MAX(0,ROUND(AW291*(1+'Calc base'!K292),2)-M292-'Calc base'!W292)</f>
        <v>0</v>
      </c>
      <c r="Z292">
        <f>MAX(0,ROUND(AX291*(1+'Calc base'!L292),2)-N292-'Calc base'!X292)</f>
        <v>0</v>
      </c>
      <c r="AA292">
        <f>MAX(0,ROUND(AY291*(1+'Calc base'!M292),2)-O292-'Calc base'!Y292)</f>
        <v>0</v>
      </c>
      <c r="AB292">
        <f>MAX(0,ROUND(AZ291*(1+'Calc base'!N292),2)-P292-'Calc base'!Z292)</f>
        <v>0</v>
      </c>
      <c r="AC292">
        <f>MAX(0,ROUND(BA291*(1+'Calc base'!O292),2)-Q292-'Calc base'!AA292)</f>
        <v>0</v>
      </c>
      <c r="AD292">
        <f>MAX(0,ROUND(BB291*(1+'Calc base'!P292),2)-R292-'Calc base'!AB292)</f>
        <v>0</v>
      </c>
      <c r="AE292">
        <f>MAX(0,ROUND(BC291*(1+'Calc base'!Q292),2)-S292-'Calc base'!AC292)</f>
        <v>0</v>
      </c>
      <c r="AF292">
        <f>MAX(0,ROUND(BD291*(1+'Calc base'!R292),2)-T292-'Calc base'!AD292)</f>
        <v>0</v>
      </c>
      <c r="AG292">
        <f>MAX(0,ROUND(BE291*(1+'Calc base'!S292),2)-U292-'Calc base'!AE292)</f>
        <v>0</v>
      </c>
      <c r="AH292">
        <f>IF('Calc base'!C$14=0,0,MIN(V292,MAX(0,$E292-SUMPRODUCT($V292:$AG292,'Calc base'!$C$14:$N$14,('Calc base'!$H292:$S292&gt;'Calc base'!H292)+('Calc base'!$H292:$S292='Calc base'!H292)*('Calc base'!$C$17:$N$17&lt;'Calc base'!C$17)))))</f>
        <v>0</v>
      </c>
      <c r="AI292">
        <f>IF('Calc base'!D$14=0,0,MIN(W292,MAX(0,$E292-SUMPRODUCT($V292:$AG292,'Calc base'!$C$14:$N$14,('Calc base'!$H292:$S292&gt;'Calc base'!I292)+('Calc base'!$H292:$S292='Calc base'!I292)*('Calc base'!$C$17:$N$17&lt;'Calc base'!D$17)))))</f>
        <v>0</v>
      </c>
      <c r="AJ292">
        <f>IF('Calc base'!E$14=0,0,MIN(X292,MAX(0,$E292-SUMPRODUCT($V292:$AG292,'Calc base'!$C$14:$N$14,('Calc base'!$H292:$S292&gt;'Calc base'!J292)+('Calc base'!$H292:$S292='Calc base'!J292)*('Calc base'!$C$17:$N$17&lt;'Calc base'!E$17)))))</f>
        <v>0</v>
      </c>
      <c r="AK292">
        <f>IF('Calc base'!F$14=0,0,MIN(Y292,MAX(0,$E292-SUMPRODUCT($V292:$AG292,'Calc base'!$C$14:$N$14,('Calc base'!$H292:$S292&gt;'Calc base'!K292)+('Calc base'!$H292:$S292='Calc base'!K292)*('Calc base'!$C$17:$N$17&lt;'Calc base'!F$17)))))</f>
        <v>0</v>
      </c>
      <c r="AL292">
        <f>IF('Calc base'!G$14=0,0,MIN(Z292,MAX(0,$E292-SUMPRODUCT($V292:$AG292,'Calc base'!$C$14:$N$14,('Calc base'!$H292:$S292&gt;'Calc base'!L292)+('Calc base'!$H292:$S292='Calc base'!L292)*('Calc base'!$C$17:$N$17&lt;'Calc base'!G$17)))))</f>
        <v>0</v>
      </c>
      <c r="AM292">
        <f>IF('Calc base'!H$14=0,0,MIN(AA292,MAX(0,$E292-SUMPRODUCT($V292:$AG292,'Calc base'!$C$14:$N$14,('Calc base'!$H292:$S292&gt;'Calc base'!M292)+('Calc base'!$H292:$S292='Calc base'!M292)*('Calc base'!$C$17:$N$17&lt;'Calc base'!H$17)))))</f>
        <v>0</v>
      </c>
      <c r="AN292">
        <f>IF('Calc base'!I$14=0,0,MIN(AB292,MAX(0,$E292-SUMPRODUCT($V292:$AG292,'Calc base'!$C$14:$N$14,('Calc base'!$H292:$S292&gt;'Calc base'!N292)+('Calc base'!$H292:$S292='Calc base'!N292)*('Calc base'!$C$17:$N$17&lt;'Calc base'!I$17)))))</f>
        <v>0</v>
      </c>
      <c r="AO292">
        <f>IF('Calc base'!J$14=0,0,MIN(AC292,MAX(0,$E292-SUMPRODUCT($V292:$AG292,'Calc base'!$C$14:$N$14,('Calc base'!$H292:$S292&gt;'Calc base'!O292)+('Calc base'!$H292:$S292='Calc base'!O292)*('Calc base'!$C$17:$N$17&lt;'Calc base'!J$17)))))</f>
        <v>0</v>
      </c>
      <c r="AP292">
        <f>IF('Calc base'!K$14=0,0,MIN(AD292,MAX(0,$E292-SUMPRODUCT($V292:$AG292,'Calc base'!$C$14:$N$14,('Calc base'!$H292:$S292&gt;'Calc base'!P292)+('Calc base'!$H292:$S292='Calc base'!P292)*('Calc base'!$C$17:$N$17&lt;'Calc base'!K$17)))))</f>
        <v>0</v>
      </c>
      <c r="AQ292">
        <f>IF('Calc base'!L$14=0,0,MIN(AE292,MAX(0,$E292-SUMPRODUCT($V292:$AG292,'Calc base'!$C$14:$N$14,('Calc base'!$H292:$S292&gt;'Calc base'!Q292)+('Calc base'!$H292:$S292='Calc base'!Q292)*('Calc base'!$C$17:$N$17&lt;'Calc base'!L$17)))))</f>
        <v>0</v>
      </c>
      <c r="AR292">
        <f>IF('Calc base'!M$14=0,0,MIN(AF292,MAX(0,$E292-SUMPRODUCT($V292:$AG292,'Calc base'!$C$14:$N$14,('Calc base'!$H292:$S292&gt;'Calc base'!R292)+('Calc base'!$H292:$S292='Calc base'!R292)*('Calc base'!$C$17:$N$17&lt;'Calc base'!M$17)))))</f>
        <v>0</v>
      </c>
      <c r="AS292">
        <f>IF('Calc base'!N$14=0,0,MIN(AG292,MAX(0,$E292-SUMPRODUCT($V292:$AG292,'Calc base'!$C$14:$N$14,('Calc base'!$H292:$S292&gt;'Calc base'!S292)+('Calc base'!$H292:$S292='Calc base'!S292)*('Calc base'!$C$17:$N$17&lt;'Calc base'!N$17)))))</f>
        <v>0</v>
      </c>
      <c r="AT292">
        <f>V292-AH292</f>
        <v>0</v>
      </c>
      <c r="AU292">
        <f>W292-AI292</f>
        <v>0</v>
      </c>
      <c r="AV292">
        <f>X292-AJ292</f>
        <v>0</v>
      </c>
      <c r="AW292">
        <f>Y292-AK292</f>
        <v>0</v>
      </c>
      <c r="AX292">
        <f>Z292-AL292</f>
        <v>0</v>
      </c>
      <c r="AY292">
        <f>AA292-AM292</f>
        <v>0</v>
      </c>
      <c r="AZ292">
        <f>AB292-AN292</f>
        <v>0</v>
      </c>
      <c r="BA292">
        <f>AC292-AO292</f>
        <v>0</v>
      </c>
      <c r="BB292">
        <f>AD292-AP292</f>
        <v>0</v>
      </c>
      <c r="BC292">
        <f>AE292-AQ292</f>
        <v>0</v>
      </c>
      <c r="BD292">
        <f>AF292-AR292</f>
        <v>0</v>
      </c>
      <c r="BE292">
        <f>AG292-AS292</f>
        <v>0</v>
      </c>
    </row>
    <row r="293">
      <c r="A293" t="n">
        <v>263</v>
      </c>
      <c r="B293">
        <f>SUMPRODUCT(ROUND($AT292:$BE292*(1+'Calc base'!$H293:$S293),2))</f>
        <v>0</v>
      </c>
      <c r="C293">
        <f>SUM(J293:U293)</f>
        <v>0</v>
      </c>
      <c r="D293">
        <f>SUM(V293:AG293)</f>
        <v>0</v>
      </c>
      <c r="E293">
        <f>MAX(0,IF(Impostazioni!$B$7="No",'Calc base'!$C293-$C$31,'Calc base'!$C293-C293)+'Calc base'!$G293+'Calc base'!$F293-(B293-C293-D293))</f>
        <v>900</v>
      </c>
      <c r="F293">
        <f>SUM(AH293:AS293)</f>
        <v>0</v>
      </c>
      <c r="G293">
        <f>SUM(AT293:BE293)</f>
        <v>0</v>
      </c>
      <c r="H293">
        <f>B293-G292</f>
        <v>0</v>
      </c>
      <c r="I293">
        <f>B293-G293</f>
        <v>0</v>
      </c>
      <c r="J293">
        <f>IF(AT292&lt;=0,0,IF(ROUND(AT292*(1+'Calc base'!H293),2)-MAX('Calc base'!C$12,ROUND('Calc base'!C$13*AT292,2))&lt;1,ROUND(AT292*(1+'Calc base'!H293),2),MAX('Calc base'!C$12,ROUND('Calc base'!C$13*AT292,2))))</f>
        <v>0</v>
      </c>
      <c r="K293">
        <f>IF(AU292&lt;=0,0,IF(ROUND(AU292*(1+'Calc base'!I293),2)-MAX('Calc base'!D$12,ROUND('Calc base'!D$13*AU292,2))&lt;1,ROUND(AU292*(1+'Calc base'!I293),2),MAX('Calc base'!D$12,ROUND('Calc base'!D$13*AU292,2))))</f>
        <v>0</v>
      </c>
      <c r="L293">
        <f>IF(AV292&lt;=0,0,IF(ROUND(AV292*(1+'Calc base'!J293),2)-MAX('Calc base'!E$12,ROUND('Calc base'!E$13*AV292,2))&lt;1,ROUND(AV292*(1+'Calc base'!J293),2),MAX('Calc base'!E$12,ROUND('Calc base'!E$13*AV292,2))))</f>
        <v>0</v>
      </c>
      <c r="M293">
        <f>IF(AW292&lt;=0,0,IF(ROUND(AW292*(1+'Calc base'!K293),2)-MAX('Calc base'!F$12,ROUND('Calc base'!F$13*AW292,2))&lt;1,ROUND(AW292*(1+'Calc base'!K293),2),MAX('Calc base'!F$12,ROUND('Calc base'!F$13*AW292,2))))</f>
        <v>0</v>
      </c>
      <c r="N293">
        <f>IF(AX292&lt;=0,0,IF(ROUND(AX292*(1+'Calc base'!L293),2)-MAX('Calc base'!G$12,ROUND('Calc base'!G$13*AX292,2))&lt;1,ROUND(AX292*(1+'Calc base'!L293),2),MAX('Calc base'!G$12,ROUND('Calc base'!G$13*AX292,2))))</f>
        <v>0</v>
      </c>
      <c r="O293">
        <f>IF(AY292&lt;=0,0,IF(ROUND(AY292*(1+'Calc base'!M293),2)-MAX('Calc base'!H$12,ROUND('Calc base'!H$13*AY292,2))&lt;1,ROUND(AY292*(1+'Calc base'!M293),2),MAX('Calc base'!H$12,ROUND('Calc base'!H$13*AY292,2))))</f>
        <v>0</v>
      </c>
      <c r="P293">
        <f>IF(AZ292&lt;=0,0,IF(ROUND(AZ292*(1+'Calc base'!N293),2)-MAX('Calc base'!I$12,ROUND('Calc base'!I$13*AZ292,2))&lt;1,ROUND(AZ292*(1+'Calc base'!N293),2),MAX('Calc base'!I$12,ROUND('Calc base'!I$13*AZ292,2))))</f>
        <v>0</v>
      </c>
      <c r="Q293">
        <f>IF(BA292&lt;=0,0,IF(ROUND(BA292*(1+'Calc base'!O293),2)-MAX('Calc base'!J$12,ROUND('Calc base'!J$13*BA292,2))&lt;1,ROUND(BA292*(1+'Calc base'!O293),2),MAX('Calc base'!J$12,ROUND('Calc base'!J$13*BA292,2))))</f>
        <v>0</v>
      </c>
      <c r="R293">
        <f>IF(BB292&lt;=0,0,IF(ROUND(BB292*(1+'Calc base'!P293),2)-MAX('Calc base'!K$12,ROUND('Calc base'!K$13*BB292,2))&lt;1,ROUND(BB292*(1+'Calc base'!P293),2),MAX('Calc base'!K$12,ROUND('Calc base'!K$13*BB292,2))))</f>
        <v>0</v>
      </c>
      <c r="S293">
        <f>IF(BC292&lt;=0,0,IF(ROUND(BC292*(1+'Calc base'!Q293),2)-MAX('Calc base'!L$12,ROUND('Calc base'!L$13*BC292,2))&lt;1,ROUND(BC292*(1+'Calc base'!Q293),2),MAX('Calc base'!L$12,ROUND('Calc base'!L$13*BC292,2))))</f>
        <v>0</v>
      </c>
      <c r="T293">
        <f>IF(BD292&lt;=0,0,IF(ROUND(BD292*(1+'Calc base'!R293),2)-MAX('Calc base'!M$12,ROUND('Calc base'!M$13*BD292,2))&lt;1,ROUND(BD292*(1+'Calc base'!R293),2),MAX('Calc base'!M$12,ROUND('Calc base'!M$13*BD292,2))))</f>
        <v>0</v>
      </c>
      <c r="U293">
        <f>IF(BE292&lt;=0,0,IF(ROUND(BE292*(1+'Calc base'!S293),2)-MAX('Calc base'!N$12,ROUND('Calc base'!N$13*BE292,2))&lt;1,ROUND(BE292*(1+'Calc base'!S293),2),MAX('Calc base'!N$12,ROUND('Calc base'!N$13*BE292,2))))</f>
        <v>0</v>
      </c>
      <c r="V293">
        <f>MAX(0,ROUND(AT292*(1+'Calc base'!H293),2)-J293-'Calc base'!T293)</f>
        <v>0</v>
      </c>
      <c r="W293">
        <f>MAX(0,ROUND(AU292*(1+'Calc base'!I293),2)-K293-'Calc base'!U293)</f>
        <v>0</v>
      </c>
      <c r="X293">
        <f>MAX(0,ROUND(AV292*(1+'Calc base'!J293),2)-L293-'Calc base'!V293)</f>
        <v>0</v>
      </c>
      <c r="Y293">
        <f>MAX(0,ROUND(AW292*(1+'Calc base'!K293),2)-M293-'Calc base'!W293)</f>
        <v>0</v>
      </c>
      <c r="Z293">
        <f>MAX(0,ROUND(AX292*(1+'Calc base'!L293),2)-N293-'Calc base'!X293)</f>
        <v>0</v>
      </c>
      <c r="AA293">
        <f>MAX(0,ROUND(AY292*(1+'Calc base'!M293),2)-O293-'Calc base'!Y293)</f>
        <v>0</v>
      </c>
      <c r="AB293">
        <f>MAX(0,ROUND(AZ292*(1+'Calc base'!N293),2)-P293-'Calc base'!Z293)</f>
        <v>0</v>
      </c>
      <c r="AC293">
        <f>MAX(0,ROUND(BA292*(1+'Calc base'!O293),2)-Q293-'Calc base'!AA293)</f>
        <v>0</v>
      </c>
      <c r="AD293">
        <f>MAX(0,ROUND(BB292*(1+'Calc base'!P293),2)-R293-'Calc base'!AB293)</f>
        <v>0</v>
      </c>
      <c r="AE293">
        <f>MAX(0,ROUND(BC292*(1+'Calc base'!Q293),2)-S293-'Calc base'!AC293)</f>
        <v>0</v>
      </c>
      <c r="AF293">
        <f>MAX(0,ROUND(BD292*(1+'Calc base'!R293),2)-T293-'Calc base'!AD293)</f>
        <v>0</v>
      </c>
      <c r="AG293">
        <f>MAX(0,ROUND(BE292*(1+'Calc base'!S293),2)-U293-'Calc base'!AE293)</f>
        <v>0</v>
      </c>
      <c r="AH293">
        <f>IF('Calc base'!C$14=0,0,MIN(V293,MAX(0,$E293-SUMPRODUCT($V293:$AG293,'Calc base'!$C$14:$N$14,('Calc base'!$H293:$S293&gt;'Calc base'!H293)+('Calc base'!$H293:$S293='Calc base'!H293)*('Calc base'!$C$17:$N$17&lt;'Calc base'!C$17)))))</f>
        <v>0</v>
      </c>
      <c r="AI293">
        <f>IF('Calc base'!D$14=0,0,MIN(W293,MAX(0,$E293-SUMPRODUCT($V293:$AG293,'Calc base'!$C$14:$N$14,('Calc base'!$H293:$S293&gt;'Calc base'!I293)+('Calc base'!$H293:$S293='Calc base'!I293)*('Calc base'!$C$17:$N$17&lt;'Calc base'!D$17)))))</f>
        <v>0</v>
      </c>
      <c r="AJ293">
        <f>IF('Calc base'!E$14=0,0,MIN(X293,MAX(0,$E293-SUMPRODUCT($V293:$AG293,'Calc base'!$C$14:$N$14,('Calc base'!$H293:$S293&gt;'Calc base'!J293)+('Calc base'!$H293:$S293='Calc base'!J293)*('Calc base'!$C$17:$N$17&lt;'Calc base'!E$17)))))</f>
        <v>0</v>
      </c>
      <c r="AK293">
        <f>IF('Calc base'!F$14=0,0,MIN(Y293,MAX(0,$E293-SUMPRODUCT($V293:$AG293,'Calc base'!$C$14:$N$14,('Calc base'!$H293:$S293&gt;'Calc base'!K293)+('Calc base'!$H293:$S293='Calc base'!K293)*('Calc base'!$C$17:$N$17&lt;'Calc base'!F$17)))))</f>
        <v>0</v>
      </c>
      <c r="AL293">
        <f>IF('Calc base'!G$14=0,0,MIN(Z293,MAX(0,$E293-SUMPRODUCT($V293:$AG293,'Calc base'!$C$14:$N$14,('Calc base'!$H293:$S293&gt;'Calc base'!L293)+('Calc base'!$H293:$S293='Calc base'!L293)*('Calc base'!$C$17:$N$17&lt;'Calc base'!G$17)))))</f>
        <v>0</v>
      </c>
      <c r="AM293">
        <f>IF('Calc base'!H$14=0,0,MIN(AA293,MAX(0,$E293-SUMPRODUCT($V293:$AG293,'Calc base'!$C$14:$N$14,('Calc base'!$H293:$S293&gt;'Calc base'!M293)+('Calc base'!$H293:$S293='Calc base'!M293)*('Calc base'!$C$17:$N$17&lt;'Calc base'!H$17)))))</f>
        <v>0</v>
      </c>
      <c r="AN293">
        <f>IF('Calc base'!I$14=0,0,MIN(AB293,MAX(0,$E293-SUMPRODUCT($V293:$AG293,'Calc base'!$C$14:$N$14,('Calc base'!$H293:$S293&gt;'Calc base'!N293)+('Calc base'!$H293:$S293='Calc base'!N293)*('Calc base'!$C$17:$N$17&lt;'Calc base'!I$17)))))</f>
        <v>0</v>
      </c>
      <c r="AO293">
        <f>IF('Calc base'!J$14=0,0,MIN(AC293,MAX(0,$E293-SUMPRODUCT($V293:$AG293,'Calc base'!$C$14:$N$14,('Calc base'!$H293:$S293&gt;'Calc base'!O293)+('Calc base'!$H293:$S293='Calc base'!O293)*('Calc base'!$C$17:$N$17&lt;'Calc base'!J$17)))))</f>
        <v>0</v>
      </c>
      <c r="AP293">
        <f>IF('Calc base'!K$14=0,0,MIN(AD293,MAX(0,$E293-SUMPRODUCT($V293:$AG293,'Calc base'!$C$14:$N$14,('Calc base'!$H293:$S293&gt;'Calc base'!P293)+('Calc base'!$H293:$S293='Calc base'!P293)*('Calc base'!$C$17:$N$17&lt;'Calc base'!K$17)))))</f>
        <v>0</v>
      </c>
      <c r="AQ293">
        <f>IF('Calc base'!L$14=0,0,MIN(AE293,MAX(0,$E293-SUMPRODUCT($V293:$AG293,'Calc base'!$C$14:$N$14,('Calc base'!$H293:$S293&gt;'Calc base'!Q293)+('Calc base'!$H293:$S293='Calc base'!Q293)*('Calc base'!$C$17:$N$17&lt;'Calc base'!L$17)))))</f>
        <v>0</v>
      </c>
      <c r="AR293">
        <f>IF('Calc base'!M$14=0,0,MIN(AF293,MAX(0,$E293-SUMPRODUCT($V293:$AG293,'Calc base'!$C$14:$N$14,('Calc base'!$H293:$S293&gt;'Calc base'!R293)+('Calc base'!$H293:$S293='Calc base'!R293)*('Calc base'!$C$17:$N$17&lt;'Calc base'!M$17)))))</f>
        <v>0</v>
      </c>
      <c r="AS293">
        <f>IF('Calc base'!N$14=0,0,MIN(AG293,MAX(0,$E293-SUMPRODUCT($V293:$AG293,'Calc base'!$C$14:$N$14,('Calc base'!$H293:$S293&gt;'Calc base'!S293)+('Calc base'!$H293:$S293='Calc base'!S293)*('Calc base'!$C$17:$N$17&lt;'Calc base'!N$17)))))</f>
        <v>0</v>
      </c>
      <c r="AT293">
        <f>V293-AH293</f>
        <v>0</v>
      </c>
      <c r="AU293">
        <f>W293-AI293</f>
        <v>0</v>
      </c>
      <c r="AV293">
        <f>X293-AJ293</f>
        <v>0</v>
      </c>
      <c r="AW293">
        <f>Y293-AK293</f>
        <v>0</v>
      </c>
      <c r="AX293">
        <f>Z293-AL293</f>
        <v>0</v>
      </c>
      <c r="AY293">
        <f>AA293-AM293</f>
        <v>0</v>
      </c>
      <c r="AZ293">
        <f>AB293-AN293</f>
        <v>0</v>
      </c>
      <c r="BA293">
        <f>AC293-AO293</f>
        <v>0</v>
      </c>
      <c r="BB293">
        <f>AD293-AP293</f>
        <v>0</v>
      </c>
      <c r="BC293">
        <f>AE293-AQ293</f>
        <v>0</v>
      </c>
      <c r="BD293">
        <f>AF293-AR293</f>
        <v>0</v>
      </c>
      <c r="BE293">
        <f>AG293-AS293</f>
        <v>0</v>
      </c>
    </row>
    <row r="294">
      <c r="A294" t="n">
        <v>264</v>
      </c>
      <c r="B294">
        <f>SUMPRODUCT(ROUND($AT293:$BE293*(1+'Calc base'!$H294:$S294),2))</f>
        <v>0</v>
      </c>
      <c r="C294">
        <f>SUM(J294:U294)</f>
        <v>0</v>
      </c>
      <c r="D294">
        <f>SUM(V294:AG294)</f>
        <v>0</v>
      </c>
      <c r="E294">
        <f>MAX(0,IF(Impostazioni!$B$7="No",'Calc base'!$C294-$C$31,'Calc base'!$C294-C294)+'Calc base'!$G294+'Calc base'!$F294-(B294-C294-D294))</f>
        <v>900</v>
      </c>
      <c r="F294">
        <f>SUM(AH294:AS294)</f>
        <v>0</v>
      </c>
      <c r="G294">
        <f>SUM(AT294:BE294)</f>
        <v>0</v>
      </c>
      <c r="H294">
        <f>B294-G293</f>
        <v>0</v>
      </c>
      <c r="I294">
        <f>B294-G294</f>
        <v>0</v>
      </c>
      <c r="J294">
        <f>IF(AT293&lt;=0,0,IF(ROUND(AT293*(1+'Calc base'!H294),2)-MAX('Calc base'!C$12,ROUND('Calc base'!C$13*AT293,2))&lt;1,ROUND(AT293*(1+'Calc base'!H294),2),MAX('Calc base'!C$12,ROUND('Calc base'!C$13*AT293,2))))</f>
        <v>0</v>
      </c>
      <c r="K294">
        <f>IF(AU293&lt;=0,0,IF(ROUND(AU293*(1+'Calc base'!I294),2)-MAX('Calc base'!D$12,ROUND('Calc base'!D$13*AU293,2))&lt;1,ROUND(AU293*(1+'Calc base'!I294),2),MAX('Calc base'!D$12,ROUND('Calc base'!D$13*AU293,2))))</f>
        <v>0</v>
      </c>
      <c r="L294">
        <f>IF(AV293&lt;=0,0,IF(ROUND(AV293*(1+'Calc base'!J294),2)-MAX('Calc base'!E$12,ROUND('Calc base'!E$13*AV293,2))&lt;1,ROUND(AV293*(1+'Calc base'!J294),2),MAX('Calc base'!E$12,ROUND('Calc base'!E$13*AV293,2))))</f>
        <v>0</v>
      </c>
      <c r="M294">
        <f>IF(AW293&lt;=0,0,IF(ROUND(AW293*(1+'Calc base'!K294),2)-MAX('Calc base'!F$12,ROUND('Calc base'!F$13*AW293,2))&lt;1,ROUND(AW293*(1+'Calc base'!K294),2),MAX('Calc base'!F$12,ROUND('Calc base'!F$13*AW293,2))))</f>
        <v>0</v>
      </c>
      <c r="N294">
        <f>IF(AX293&lt;=0,0,IF(ROUND(AX293*(1+'Calc base'!L294),2)-MAX('Calc base'!G$12,ROUND('Calc base'!G$13*AX293,2))&lt;1,ROUND(AX293*(1+'Calc base'!L294),2),MAX('Calc base'!G$12,ROUND('Calc base'!G$13*AX293,2))))</f>
        <v>0</v>
      </c>
      <c r="O294">
        <f>IF(AY293&lt;=0,0,IF(ROUND(AY293*(1+'Calc base'!M294),2)-MAX('Calc base'!H$12,ROUND('Calc base'!H$13*AY293,2))&lt;1,ROUND(AY293*(1+'Calc base'!M294),2),MAX('Calc base'!H$12,ROUND('Calc base'!H$13*AY293,2))))</f>
        <v>0</v>
      </c>
      <c r="P294">
        <f>IF(AZ293&lt;=0,0,IF(ROUND(AZ293*(1+'Calc base'!N294),2)-MAX('Calc base'!I$12,ROUND('Calc base'!I$13*AZ293,2))&lt;1,ROUND(AZ293*(1+'Calc base'!N294),2),MAX('Calc base'!I$12,ROUND('Calc base'!I$13*AZ293,2))))</f>
        <v>0</v>
      </c>
      <c r="Q294">
        <f>IF(BA293&lt;=0,0,IF(ROUND(BA293*(1+'Calc base'!O294),2)-MAX('Calc base'!J$12,ROUND('Calc base'!J$13*BA293,2))&lt;1,ROUND(BA293*(1+'Calc base'!O294),2),MAX('Calc base'!J$12,ROUND('Calc base'!J$13*BA293,2))))</f>
        <v>0</v>
      </c>
      <c r="R294">
        <f>IF(BB293&lt;=0,0,IF(ROUND(BB293*(1+'Calc base'!P294),2)-MAX('Calc base'!K$12,ROUND('Calc base'!K$13*BB293,2))&lt;1,ROUND(BB293*(1+'Calc base'!P294),2),MAX('Calc base'!K$12,ROUND('Calc base'!K$13*BB293,2))))</f>
        <v>0</v>
      </c>
      <c r="S294">
        <f>IF(BC293&lt;=0,0,IF(ROUND(BC293*(1+'Calc base'!Q294),2)-MAX('Calc base'!L$12,ROUND('Calc base'!L$13*BC293,2))&lt;1,ROUND(BC293*(1+'Calc base'!Q294),2),MAX('Calc base'!L$12,ROUND('Calc base'!L$13*BC293,2))))</f>
        <v>0</v>
      </c>
      <c r="T294">
        <f>IF(BD293&lt;=0,0,IF(ROUND(BD293*(1+'Calc base'!R294),2)-MAX('Calc base'!M$12,ROUND('Calc base'!M$13*BD293,2))&lt;1,ROUND(BD293*(1+'Calc base'!R294),2),MAX('Calc base'!M$12,ROUND('Calc base'!M$13*BD293,2))))</f>
        <v>0</v>
      </c>
      <c r="U294">
        <f>IF(BE293&lt;=0,0,IF(ROUND(BE293*(1+'Calc base'!S294),2)-MAX('Calc base'!N$12,ROUND('Calc base'!N$13*BE293,2))&lt;1,ROUND(BE293*(1+'Calc base'!S294),2),MAX('Calc base'!N$12,ROUND('Calc base'!N$13*BE293,2))))</f>
        <v>0</v>
      </c>
      <c r="V294">
        <f>MAX(0,ROUND(AT293*(1+'Calc base'!H294),2)-J294-'Calc base'!T294)</f>
        <v>0</v>
      </c>
      <c r="W294">
        <f>MAX(0,ROUND(AU293*(1+'Calc base'!I294),2)-K294-'Calc base'!U294)</f>
        <v>0</v>
      </c>
      <c r="X294">
        <f>MAX(0,ROUND(AV293*(1+'Calc base'!J294),2)-L294-'Calc base'!V294)</f>
        <v>0</v>
      </c>
      <c r="Y294">
        <f>MAX(0,ROUND(AW293*(1+'Calc base'!K294),2)-M294-'Calc base'!W294)</f>
        <v>0</v>
      </c>
      <c r="Z294">
        <f>MAX(0,ROUND(AX293*(1+'Calc base'!L294),2)-N294-'Calc base'!X294)</f>
        <v>0</v>
      </c>
      <c r="AA294">
        <f>MAX(0,ROUND(AY293*(1+'Calc base'!M294),2)-O294-'Calc base'!Y294)</f>
        <v>0</v>
      </c>
      <c r="AB294">
        <f>MAX(0,ROUND(AZ293*(1+'Calc base'!N294),2)-P294-'Calc base'!Z294)</f>
        <v>0</v>
      </c>
      <c r="AC294">
        <f>MAX(0,ROUND(BA293*(1+'Calc base'!O294),2)-Q294-'Calc base'!AA294)</f>
        <v>0</v>
      </c>
      <c r="AD294">
        <f>MAX(0,ROUND(BB293*(1+'Calc base'!P294),2)-R294-'Calc base'!AB294)</f>
        <v>0</v>
      </c>
      <c r="AE294">
        <f>MAX(0,ROUND(BC293*(1+'Calc base'!Q294),2)-S294-'Calc base'!AC294)</f>
        <v>0</v>
      </c>
      <c r="AF294">
        <f>MAX(0,ROUND(BD293*(1+'Calc base'!R294),2)-T294-'Calc base'!AD294)</f>
        <v>0</v>
      </c>
      <c r="AG294">
        <f>MAX(0,ROUND(BE293*(1+'Calc base'!S294),2)-U294-'Calc base'!AE294)</f>
        <v>0</v>
      </c>
      <c r="AH294">
        <f>IF('Calc base'!C$14=0,0,MIN(V294,MAX(0,$E294-SUMPRODUCT($V294:$AG294,'Calc base'!$C$14:$N$14,('Calc base'!$H294:$S294&gt;'Calc base'!H294)+('Calc base'!$H294:$S294='Calc base'!H294)*('Calc base'!$C$17:$N$17&lt;'Calc base'!C$17)))))</f>
        <v>0</v>
      </c>
      <c r="AI294">
        <f>IF('Calc base'!D$14=0,0,MIN(W294,MAX(0,$E294-SUMPRODUCT($V294:$AG294,'Calc base'!$C$14:$N$14,('Calc base'!$H294:$S294&gt;'Calc base'!I294)+('Calc base'!$H294:$S294='Calc base'!I294)*('Calc base'!$C$17:$N$17&lt;'Calc base'!D$17)))))</f>
        <v>0</v>
      </c>
      <c r="AJ294">
        <f>IF('Calc base'!E$14=0,0,MIN(X294,MAX(0,$E294-SUMPRODUCT($V294:$AG294,'Calc base'!$C$14:$N$14,('Calc base'!$H294:$S294&gt;'Calc base'!J294)+('Calc base'!$H294:$S294='Calc base'!J294)*('Calc base'!$C$17:$N$17&lt;'Calc base'!E$17)))))</f>
        <v>0</v>
      </c>
      <c r="AK294">
        <f>IF('Calc base'!F$14=0,0,MIN(Y294,MAX(0,$E294-SUMPRODUCT($V294:$AG294,'Calc base'!$C$14:$N$14,('Calc base'!$H294:$S294&gt;'Calc base'!K294)+('Calc base'!$H294:$S294='Calc base'!K294)*('Calc base'!$C$17:$N$17&lt;'Calc base'!F$17)))))</f>
        <v>0</v>
      </c>
      <c r="AL294">
        <f>IF('Calc base'!G$14=0,0,MIN(Z294,MAX(0,$E294-SUMPRODUCT($V294:$AG294,'Calc base'!$C$14:$N$14,('Calc base'!$H294:$S294&gt;'Calc base'!L294)+('Calc base'!$H294:$S294='Calc base'!L294)*('Calc base'!$C$17:$N$17&lt;'Calc base'!G$17)))))</f>
        <v>0</v>
      </c>
      <c r="AM294">
        <f>IF('Calc base'!H$14=0,0,MIN(AA294,MAX(0,$E294-SUMPRODUCT($V294:$AG294,'Calc base'!$C$14:$N$14,('Calc base'!$H294:$S294&gt;'Calc base'!M294)+('Calc base'!$H294:$S294='Calc base'!M294)*('Calc base'!$C$17:$N$17&lt;'Calc base'!H$17)))))</f>
        <v>0</v>
      </c>
      <c r="AN294">
        <f>IF('Calc base'!I$14=0,0,MIN(AB294,MAX(0,$E294-SUMPRODUCT($V294:$AG294,'Calc base'!$C$14:$N$14,('Calc base'!$H294:$S294&gt;'Calc base'!N294)+('Calc base'!$H294:$S294='Calc base'!N294)*('Calc base'!$C$17:$N$17&lt;'Calc base'!I$17)))))</f>
        <v>0</v>
      </c>
      <c r="AO294">
        <f>IF('Calc base'!J$14=0,0,MIN(AC294,MAX(0,$E294-SUMPRODUCT($V294:$AG294,'Calc base'!$C$14:$N$14,('Calc base'!$H294:$S294&gt;'Calc base'!O294)+('Calc base'!$H294:$S294='Calc base'!O294)*('Calc base'!$C$17:$N$17&lt;'Calc base'!J$17)))))</f>
        <v>0</v>
      </c>
      <c r="AP294">
        <f>IF('Calc base'!K$14=0,0,MIN(AD294,MAX(0,$E294-SUMPRODUCT($V294:$AG294,'Calc base'!$C$14:$N$14,('Calc base'!$H294:$S294&gt;'Calc base'!P294)+('Calc base'!$H294:$S294='Calc base'!P294)*('Calc base'!$C$17:$N$17&lt;'Calc base'!K$17)))))</f>
        <v>0</v>
      </c>
      <c r="AQ294">
        <f>IF('Calc base'!L$14=0,0,MIN(AE294,MAX(0,$E294-SUMPRODUCT($V294:$AG294,'Calc base'!$C$14:$N$14,('Calc base'!$H294:$S294&gt;'Calc base'!Q294)+('Calc base'!$H294:$S294='Calc base'!Q294)*('Calc base'!$C$17:$N$17&lt;'Calc base'!L$17)))))</f>
        <v>0</v>
      </c>
      <c r="AR294">
        <f>IF('Calc base'!M$14=0,0,MIN(AF294,MAX(0,$E294-SUMPRODUCT($V294:$AG294,'Calc base'!$C$14:$N$14,('Calc base'!$H294:$S294&gt;'Calc base'!R294)+('Calc base'!$H294:$S294='Calc base'!R294)*('Calc base'!$C$17:$N$17&lt;'Calc base'!M$17)))))</f>
        <v>0</v>
      </c>
      <c r="AS294">
        <f>IF('Calc base'!N$14=0,0,MIN(AG294,MAX(0,$E294-SUMPRODUCT($V294:$AG294,'Calc base'!$C$14:$N$14,('Calc base'!$H294:$S294&gt;'Calc base'!S294)+('Calc base'!$H294:$S294='Calc base'!S294)*('Calc base'!$C$17:$N$17&lt;'Calc base'!N$17)))))</f>
        <v>0</v>
      </c>
      <c r="AT294">
        <f>V294-AH294</f>
        <v>0</v>
      </c>
      <c r="AU294">
        <f>W294-AI294</f>
        <v>0</v>
      </c>
      <c r="AV294">
        <f>X294-AJ294</f>
        <v>0</v>
      </c>
      <c r="AW294">
        <f>Y294-AK294</f>
        <v>0</v>
      </c>
      <c r="AX294">
        <f>Z294-AL294</f>
        <v>0</v>
      </c>
      <c r="AY294">
        <f>AA294-AM294</f>
        <v>0</v>
      </c>
      <c r="AZ294">
        <f>AB294-AN294</f>
        <v>0</v>
      </c>
      <c r="BA294">
        <f>AC294-AO294</f>
        <v>0</v>
      </c>
      <c r="BB294">
        <f>AD294-AP294</f>
        <v>0</v>
      </c>
      <c r="BC294">
        <f>AE294-AQ294</f>
        <v>0</v>
      </c>
      <c r="BD294">
        <f>AF294-AR294</f>
        <v>0</v>
      </c>
      <c r="BE294">
        <f>AG294-AS294</f>
        <v>0</v>
      </c>
    </row>
    <row r="295">
      <c r="A295" t="n">
        <v>265</v>
      </c>
      <c r="B295">
        <f>SUMPRODUCT(ROUND($AT294:$BE294*(1+'Calc base'!$H295:$S295),2))</f>
        <v>0</v>
      </c>
      <c r="C295">
        <f>SUM(J295:U295)</f>
        <v>0</v>
      </c>
      <c r="D295">
        <f>SUM(V295:AG295)</f>
        <v>0</v>
      </c>
      <c r="E295">
        <f>MAX(0,IF(Impostazioni!$B$7="No",'Calc base'!$C295-$C$31,'Calc base'!$C295-C295)+'Calc base'!$G295+'Calc base'!$F295-(B295-C295-D295))</f>
        <v>900</v>
      </c>
      <c r="F295">
        <f>SUM(AH295:AS295)</f>
        <v>0</v>
      </c>
      <c r="G295">
        <f>SUM(AT295:BE295)</f>
        <v>0</v>
      </c>
      <c r="H295">
        <f>B295-G294</f>
        <v>0</v>
      </c>
      <c r="I295">
        <f>B295-G295</f>
        <v>0</v>
      </c>
      <c r="J295">
        <f>IF(AT294&lt;=0,0,IF(ROUND(AT294*(1+'Calc base'!H295),2)-MAX('Calc base'!C$12,ROUND('Calc base'!C$13*AT294,2))&lt;1,ROUND(AT294*(1+'Calc base'!H295),2),MAX('Calc base'!C$12,ROUND('Calc base'!C$13*AT294,2))))</f>
        <v>0</v>
      </c>
      <c r="K295">
        <f>IF(AU294&lt;=0,0,IF(ROUND(AU294*(1+'Calc base'!I295),2)-MAX('Calc base'!D$12,ROUND('Calc base'!D$13*AU294,2))&lt;1,ROUND(AU294*(1+'Calc base'!I295),2),MAX('Calc base'!D$12,ROUND('Calc base'!D$13*AU294,2))))</f>
        <v>0</v>
      </c>
      <c r="L295">
        <f>IF(AV294&lt;=0,0,IF(ROUND(AV294*(1+'Calc base'!J295),2)-MAX('Calc base'!E$12,ROUND('Calc base'!E$13*AV294,2))&lt;1,ROUND(AV294*(1+'Calc base'!J295),2),MAX('Calc base'!E$12,ROUND('Calc base'!E$13*AV294,2))))</f>
        <v>0</v>
      </c>
      <c r="M295">
        <f>IF(AW294&lt;=0,0,IF(ROUND(AW294*(1+'Calc base'!K295),2)-MAX('Calc base'!F$12,ROUND('Calc base'!F$13*AW294,2))&lt;1,ROUND(AW294*(1+'Calc base'!K295),2),MAX('Calc base'!F$12,ROUND('Calc base'!F$13*AW294,2))))</f>
        <v>0</v>
      </c>
      <c r="N295">
        <f>IF(AX294&lt;=0,0,IF(ROUND(AX294*(1+'Calc base'!L295),2)-MAX('Calc base'!G$12,ROUND('Calc base'!G$13*AX294,2))&lt;1,ROUND(AX294*(1+'Calc base'!L295),2),MAX('Calc base'!G$12,ROUND('Calc base'!G$13*AX294,2))))</f>
        <v>0</v>
      </c>
      <c r="O295">
        <f>IF(AY294&lt;=0,0,IF(ROUND(AY294*(1+'Calc base'!M295),2)-MAX('Calc base'!H$12,ROUND('Calc base'!H$13*AY294,2))&lt;1,ROUND(AY294*(1+'Calc base'!M295),2),MAX('Calc base'!H$12,ROUND('Calc base'!H$13*AY294,2))))</f>
        <v>0</v>
      </c>
      <c r="P295">
        <f>IF(AZ294&lt;=0,0,IF(ROUND(AZ294*(1+'Calc base'!N295),2)-MAX('Calc base'!I$12,ROUND('Calc base'!I$13*AZ294,2))&lt;1,ROUND(AZ294*(1+'Calc base'!N295),2),MAX('Calc base'!I$12,ROUND('Calc base'!I$13*AZ294,2))))</f>
        <v>0</v>
      </c>
      <c r="Q295">
        <f>IF(BA294&lt;=0,0,IF(ROUND(BA294*(1+'Calc base'!O295),2)-MAX('Calc base'!J$12,ROUND('Calc base'!J$13*BA294,2))&lt;1,ROUND(BA294*(1+'Calc base'!O295),2),MAX('Calc base'!J$12,ROUND('Calc base'!J$13*BA294,2))))</f>
        <v>0</v>
      </c>
      <c r="R295">
        <f>IF(BB294&lt;=0,0,IF(ROUND(BB294*(1+'Calc base'!P295),2)-MAX('Calc base'!K$12,ROUND('Calc base'!K$13*BB294,2))&lt;1,ROUND(BB294*(1+'Calc base'!P295),2),MAX('Calc base'!K$12,ROUND('Calc base'!K$13*BB294,2))))</f>
        <v>0</v>
      </c>
      <c r="S295">
        <f>IF(BC294&lt;=0,0,IF(ROUND(BC294*(1+'Calc base'!Q295),2)-MAX('Calc base'!L$12,ROUND('Calc base'!L$13*BC294,2))&lt;1,ROUND(BC294*(1+'Calc base'!Q295),2),MAX('Calc base'!L$12,ROUND('Calc base'!L$13*BC294,2))))</f>
        <v>0</v>
      </c>
      <c r="T295">
        <f>IF(BD294&lt;=0,0,IF(ROUND(BD294*(1+'Calc base'!R295),2)-MAX('Calc base'!M$12,ROUND('Calc base'!M$13*BD294,2))&lt;1,ROUND(BD294*(1+'Calc base'!R295),2),MAX('Calc base'!M$12,ROUND('Calc base'!M$13*BD294,2))))</f>
        <v>0</v>
      </c>
      <c r="U295">
        <f>IF(BE294&lt;=0,0,IF(ROUND(BE294*(1+'Calc base'!S295),2)-MAX('Calc base'!N$12,ROUND('Calc base'!N$13*BE294,2))&lt;1,ROUND(BE294*(1+'Calc base'!S295),2),MAX('Calc base'!N$12,ROUND('Calc base'!N$13*BE294,2))))</f>
        <v>0</v>
      </c>
      <c r="V295">
        <f>MAX(0,ROUND(AT294*(1+'Calc base'!H295),2)-J295-'Calc base'!T295)</f>
        <v>0</v>
      </c>
      <c r="W295">
        <f>MAX(0,ROUND(AU294*(1+'Calc base'!I295),2)-K295-'Calc base'!U295)</f>
        <v>0</v>
      </c>
      <c r="X295">
        <f>MAX(0,ROUND(AV294*(1+'Calc base'!J295),2)-L295-'Calc base'!V295)</f>
        <v>0</v>
      </c>
      <c r="Y295">
        <f>MAX(0,ROUND(AW294*(1+'Calc base'!K295),2)-M295-'Calc base'!W295)</f>
        <v>0</v>
      </c>
      <c r="Z295">
        <f>MAX(0,ROUND(AX294*(1+'Calc base'!L295),2)-N295-'Calc base'!X295)</f>
        <v>0</v>
      </c>
      <c r="AA295">
        <f>MAX(0,ROUND(AY294*(1+'Calc base'!M295),2)-O295-'Calc base'!Y295)</f>
        <v>0</v>
      </c>
      <c r="AB295">
        <f>MAX(0,ROUND(AZ294*(1+'Calc base'!N295),2)-P295-'Calc base'!Z295)</f>
        <v>0</v>
      </c>
      <c r="AC295">
        <f>MAX(0,ROUND(BA294*(1+'Calc base'!O295),2)-Q295-'Calc base'!AA295)</f>
        <v>0</v>
      </c>
      <c r="AD295">
        <f>MAX(0,ROUND(BB294*(1+'Calc base'!P295),2)-R295-'Calc base'!AB295)</f>
        <v>0</v>
      </c>
      <c r="AE295">
        <f>MAX(0,ROUND(BC294*(1+'Calc base'!Q295),2)-S295-'Calc base'!AC295)</f>
        <v>0</v>
      </c>
      <c r="AF295">
        <f>MAX(0,ROUND(BD294*(1+'Calc base'!R295),2)-T295-'Calc base'!AD295)</f>
        <v>0</v>
      </c>
      <c r="AG295">
        <f>MAX(0,ROUND(BE294*(1+'Calc base'!S295),2)-U295-'Calc base'!AE295)</f>
        <v>0</v>
      </c>
      <c r="AH295">
        <f>IF('Calc base'!C$14=0,0,MIN(V295,MAX(0,$E295-SUMPRODUCT($V295:$AG295,'Calc base'!$C$14:$N$14,('Calc base'!$H295:$S295&gt;'Calc base'!H295)+('Calc base'!$H295:$S295='Calc base'!H295)*('Calc base'!$C$17:$N$17&lt;'Calc base'!C$17)))))</f>
        <v>0</v>
      </c>
      <c r="AI295">
        <f>IF('Calc base'!D$14=0,0,MIN(W295,MAX(0,$E295-SUMPRODUCT($V295:$AG295,'Calc base'!$C$14:$N$14,('Calc base'!$H295:$S295&gt;'Calc base'!I295)+('Calc base'!$H295:$S295='Calc base'!I295)*('Calc base'!$C$17:$N$17&lt;'Calc base'!D$17)))))</f>
        <v>0</v>
      </c>
      <c r="AJ295">
        <f>IF('Calc base'!E$14=0,0,MIN(X295,MAX(0,$E295-SUMPRODUCT($V295:$AG295,'Calc base'!$C$14:$N$14,('Calc base'!$H295:$S295&gt;'Calc base'!J295)+('Calc base'!$H295:$S295='Calc base'!J295)*('Calc base'!$C$17:$N$17&lt;'Calc base'!E$17)))))</f>
        <v>0</v>
      </c>
      <c r="AK295">
        <f>IF('Calc base'!F$14=0,0,MIN(Y295,MAX(0,$E295-SUMPRODUCT($V295:$AG295,'Calc base'!$C$14:$N$14,('Calc base'!$H295:$S295&gt;'Calc base'!K295)+('Calc base'!$H295:$S295='Calc base'!K295)*('Calc base'!$C$17:$N$17&lt;'Calc base'!F$17)))))</f>
        <v>0</v>
      </c>
      <c r="AL295">
        <f>IF('Calc base'!G$14=0,0,MIN(Z295,MAX(0,$E295-SUMPRODUCT($V295:$AG295,'Calc base'!$C$14:$N$14,('Calc base'!$H295:$S295&gt;'Calc base'!L295)+('Calc base'!$H295:$S295='Calc base'!L295)*('Calc base'!$C$17:$N$17&lt;'Calc base'!G$17)))))</f>
        <v>0</v>
      </c>
      <c r="AM295">
        <f>IF('Calc base'!H$14=0,0,MIN(AA295,MAX(0,$E295-SUMPRODUCT($V295:$AG295,'Calc base'!$C$14:$N$14,('Calc base'!$H295:$S295&gt;'Calc base'!M295)+('Calc base'!$H295:$S295='Calc base'!M295)*('Calc base'!$C$17:$N$17&lt;'Calc base'!H$17)))))</f>
        <v>0</v>
      </c>
      <c r="AN295">
        <f>IF('Calc base'!I$14=0,0,MIN(AB295,MAX(0,$E295-SUMPRODUCT($V295:$AG295,'Calc base'!$C$14:$N$14,('Calc base'!$H295:$S295&gt;'Calc base'!N295)+('Calc base'!$H295:$S295='Calc base'!N295)*('Calc base'!$C$17:$N$17&lt;'Calc base'!I$17)))))</f>
        <v>0</v>
      </c>
      <c r="AO295">
        <f>IF('Calc base'!J$14=0,0,MIN(AC295,MAX(0,$E295-SUMPRODUCT($V295:$AG295,'Calc base'!$C$14:$N$14,('Calc base'!$H295:$S295&gt;'Calc base'!O295)+('Calc base'!$H295:$S295='Calc base'!O295)*('Calc base'!$C$17:$N$17&lt;'Calc base'!J$17)))))</f>
        <v>0</v>
      </c>
      <c r="AP295">
        <f>IF('Calc base'!K$14=0,0,MIN(AD295,MAX(0,$E295-SUMPRODUCT($V295:$AG295,'Calc base'!$C$14:$N$14,('Calc base'!$H295:$S295&gt;'Calc base'!P295)+('Calc base'!$H295:$S295='Calc base'!P295)*('Calc base'!$C$17:$N$17&lt;'Calc base'!K$17)))))</f>
        <v>0</v>
      </c>
      <c r="AQ295">
        <f>IF('Calc base'!L$14=0,0,MIN(AE295,MAX(0,$E295-SUMPRODUCT($V295:$AG295,'Calc base'!$C$14:$N$14,('Calc base'!$H295:$S295&gt;'Calc base'!Q295)+('Calc base'!$H295:$S295='Calc base'!Q295)*('Calc base'!$C$17:$N$17&lt;'Calc base'!L$17)))))</f>
        <v>0</v>
      </c>
      <c r="AR295">
        <f>IF('Calc base'!M$14=0,0,MIN(AF295,MAX(0,$E295-SUMPRODUCT($V295:$AG295,'Calc base'!$C$14:$N$14,('Calc base'!$H295:$S295&gt;'Calc base'!R295)+('Calc base'!$H295:$S295='Calc base'!R295)*('Calc base'!$C$17:$N$17&lt;'Calc base'!M$17)))))</f>
        <v>0</v>
      </c>
      <c r="AS295">
        <f>IF('Calc base'!N$14=0,0,MIN(AG295,MAX(0,$E295-SUMPRODUCT($V295:$AG295,'Calc base'!$C$14:$N$14,('Calc base'!$H295:$S295&gt;'Calc base'!S295)+('Calc base'!$H295:$S295='Calc base'!S295)*('Calc base'!$C$17:$N$17&lt;'Calc base'!N$17)))))</f>
        <v>0</v>
      </c>
      <c r="AT295">
        <f>V295-AH295</f>
        <v>0</v>
      </c>
      <c r="AU295">
        <f>W295-AI295</f>
        <v>0</v>
      </c>
      <c r="AV295">
        <f>X295-AJ295</f>
        <v>0</v>
      </c>
      <c r="AW295">
        <f>Y295-AK295</f>
        <v>0</v>
      </c>
      <c r="AX295">
        <f>Z295-AL295</f>
        <v>0</v>
      </c>
      <c r="AY295">
        <f>AA295-AM295</f>
        <v>0</v>
      </c>
      <c r="AZ295">
        <f>AB295-AN295</f>
        <v>0</v>
      </c>
      <c r="BA295">
        <f>AC295-AO295</f>
        <v>0</v>
      </c>
      <c r="BB295">
        <f>AD295-AP295</f>
        <v>0</v>
      </c>
      <c r="BC295">
        <f>AE295-AQ295</f>
        <v>0</v>
      </c>
      <c r="BD295">
        <f>AF295-AR295</f>
        <v>0</v>
      </c>
      <c r="BE295">
        <f>AG295-AS295</f>
        <v>0</v>
      </c>
    </row>
    <row r="296">
      <c r="A296" t="n">
        <v>266</v>
      </c>
      <c r="B296">
        <f>SUMPRODUCT(ROUND($AT295:$BE295*(1+'Calc base'!$H296:$S296),2))</f>
        <v>0</v>
      </c>
      <c r="C296">
        <f>SUM(J296:U296)</f>
        <v>0</v>
      </c>
      <c r="D296">
        <f>SUM(V296:AG296)</f>
        <v>0</v>
      </c>
      <c r="E296">
        <f>MAX(0,IF(Impostazioni!$B$7="No",'Calc base'!$C296-$C$31,'Calc base'!$C296-C296)+'Calc base'!$G296+'Calc base'!$F296-(B296-C296-D296))</f>
        <v>900</v>
      </c>
      <c r="F296">
        <f>SUM(AH296:AS296)</f>
        <v>0</v>
      </c>
      <c r="G296">
        <f>SUM(AT296:BE296)</f>
        <v>0</v>
      </c>
      <c r="H296">
        <f>B296-G295</f>
        <v>0</v>
      </c>
      <c r="I296">
        <f>B296-G296</f>
        <v>0</v>
      </c>
      <c r="J296">
        <f>IF(AT295&lt;=0,0,IF(ROUND(AT295*(1+'Calc base'!H296),2)-MAX('Calc base'!C$12,ROUND('Calc base'!C$13*AT295,2))&lt;1,ROUND(AT295*(1+'Calc base'!H296),2),MAX('Calc base'!C$12,ROUND('Calc base'!C$13*AT295,2))))</f>
        <v>0</v>
      </c>
      <c r="K296">
        <f>IF(AU295&lt;=0,0,IF(ROUND(AU295*(1+'Calc base'!I296),2)-MAX('Calc base'!D$12,ROUND('Calc base'!D$13*AU295,2))&lt;1,ROUND(AU295*(1+'Calc base'!I296),2),MAX('Calc base'!D$12,ROUND('Calc base'!D$13*AU295,2))))</f>
        <v>0</v>
      </c>
      <c r="L296">
        <f>IF(AV295&lt;=0,0,IF(ROUND(AV295*(1+'Calc base'!J296),2)-MAX('Calc base'!E$12,ROUND('Calc base'!E$13*AV295,2))&lt;1,ROUND(AV295*(1+'Calc base'!J296),2),MAX('Calc base'!E$12,ROUND('Calc base'!E$13*AV295,2))))</f>
        <v>0</v>
      </c>
      <c r="M296">
        <f>IF(AW295&lt;=0,0,IF(ROUND(AW295*(1+'Calc base'!K296),2)-MAX('Calc base'!F$12,ROUND('Calc base'!F$13*AW295,2))&lt;1,ROUND(AW295*(1+'Calc base'!K296),2),MAX('Calc base'!F$12,ROUND('Calc base'!F$13*AW295,2))))</f>
        <v>0</v>
      </c>
      <c r="N296">
        <f>IF(AX295&lt;=0,0,IF(ROUND(AX295*(1+'Calc base'!L296),2)-MAX('Calc base'!G$12,ROUND('Calc base'!G$13*AX295,2))&lt;1,ROUND(AX295*(1+'Calc base'!L296),2),MAX('Calc base'!G$12,ROUND('Calc base'!G$13*AX295,2))))</f>
        <v>0</v>
      </c>
      <c r="O296">
        <f>IF(AY295&lt;=0,0,IF(ROUND(AY295*(1+'Calc base'!M296),2)-MAX('Calc base'!H$12,ROUND('Calc base'!H$13*AY295,2))&lt;1,ROUND(AY295*(1+'Calc base'!M296),2),MAX('Calc base'!H$12,ROUND('Calc base'!H$13*AY295,2))))</f>
        <v>0</v>
      </c>
      <c r="P296">
        <f>IF(AZ295&lt;=0,0,IF(ROUND(AZ295*(1+'Calc base'!N296),2)-MAX('Calc base'!I$12,ROUND('Calc base'!I$13*AZ295,2))&lt;1,ROUND(AZ295*(1+'Calc base'!N296),2),MAX('Calc base'!I$12,ROUND('Calc base'!I$13*AZ295,2))))</f>
        <v>0</v>
      </c>
      <c r="Q296">
        <f>IF(BA295&lt;=0,0,IF(ROUND(BA295*(1+'Calc base'!O296),2)-MAX('Calc base'!J$12,ROUND('Calc base'!J$13*BA295,2))&lt;1,ROUND(BA295*(1+'Calc base'!O296),2),MAX('Calc base'!J$12,ROUND('Calc base'!J$13*BA295,2))))</f>
        <v>0</v>
      </c>
      <c r="R296">
        <f>IF(BB295&lt;=0,0,IF(ROUND(BB295*(1+'Calc base'!P296),2)-MAX('Calc base'!K$12,ROUND('Calc base'!K$13*BB295,2))&lt;1,ROUND(BB295*(1+'Calc base'!P296),2),MAX('Calc base'!K$12,ROUND('Calc base'!K$13*BB295,2))))</f>
        <v>0</v>
      </c>
      <c r="S296">
        <f>IF(BC295&lt;=0,0,IF(ROUND(BC295*(1+'Calc base'!Q296),2)-MAX('Calc base'!L$12,ROUND('Calc base'!L$13*BC295,2))&lt;1,ROUND(BC295*(1+'Calc base'!Q296),2),MAX('Calc base'!L$12,ROUND('Calc base'!L$13*BC295,2))))</f>
        <v>0</v>
      </c>
      <c r="T296">
        <f>IF(BD295&lt;=0,0,IF(ROUND(BD295*(1+'Calc base'!R296),2)-MAX('Calc base'!M$12,ROUND('Calc base'!M$13*BD295,2))&lt;1,ROUND(BD295*(1+'Calc base'!R296),2),MAX('Calc base'!M$12,ROUND('Calc base'!M$13*BD295,2))))</f>
        <v>0</v>
      </c>
      <c r="U296">
        <f>IF(BE295&lt;=0,0,IF(ROUND(BE295*(1+'Calc base'!S296),2)-MAX('Calc base'!N$12,ROUND('Calc base'!N$13*BE295,2))&lt;1,ROUND(BE295*(1+'Calc base'!S296),2),MAX('Calc base'!N$12,ROUND('Calc base'!N$13*BE295,2))))</f>
        <v>0</v>
      </c>
      <c r="V296">
        <f>MAX(0,ROUND(AT295*(1+'Calc base'!H296),2)-J296-'Calc base'!T296)</f>
        <v>0</v>
      </c>
      <c r="W296">
        <f>MAX(0,ROUND(AU295*(1+'Calc base'!I296),2)-K296-'Calc base'!U296)</f>
        <v>0</v>
      </c>
      <c r="X296">
        <f>MAX(0,ROUND(AV295*(1+'Calc base'!J296),2)-L296-'Calc base'!V296)</f>
        <v>0</v>
      </c>
      <c r="Y296">
        <f>MAX(0,ROUND(AW295*(1+'Calc base'!K296),2)-M296-'Calc base'!W296)</f>
        <v>0</v>
      </c>
      <c r="Z296">
        <f>MAX(0,ROUND(AX295*(1+'Calc base'!L296),2)-N296-'Calc base'!X296)</f>
        <v>0</v>
      </c>
      <c r="AA296">
        <f>MAX(0,ROUND(AY295*(1+'Calc base'!M296),2)-O296-'Calc base'!Y296)</f>
        <v>0</v>
      </c>
      <c r="AB296">
        <f>MAX(0,ROUND(AZ295*(1+'Calc base'!N296),2)-P296-'Calc base'!Z296)</f>
        <v>0</v>
      </c>
      <c r="AC296">
        <f>MAX(0,ROUND(BA295*(1+'Calc base'!O296),2)-Q296-'Calc base'!AA296)</f>
        <v>0</v>
      </c>
      <c r="AD296">
        <f>MAX(0,ROUND(BB295*(1+'Calc base'!P296),2)-R296-'Calc base'!AB296)</f>
        <v>0</v>
      </c>
      <c r="AE296">
        <f>MAX(0,ROUND(BC295*(1+'Calc base'!Q296),2)-S296-'Calc base'!AC296)</f>
        <v>0</v>
      </c>
      <c r="AF296">
        <f>MAX(0,ROUND(BD295*(1+'Calc base'!R296),2)-T296-'Calc base'!AD296)</f>
        <v>0</v>
      </c>
      <c r="AG296">
        <f>MAX(0,ROUND(BE295*(1+'Calc base'!S296),2)-U296-'Calc base'!AE296)</f>
        <v>0</v>
      </c>
      <c r="AH296">
        <f>IF('Calc base'!C$14=0,0,MIN(V296,MAX(0,$E296-SUMPRODUCT($V296:$AG296,'Calc base'!$C$14:$N$14,('Calc base'!$H296:$S296&gt;'Calc base'!H296)+('Calc base'!$H296:$S296='Calc base'!H296)*('Calc base'!$C$17:$N$17&lt;'Calc base'!C$17)))))</f>
        <v>0</v>
      </c>
      <c r="AI296">
        <f>IF('Calc base'!D$14=0,0,MIN(W296,MAX(0,$E296-SUMPRODUCT($V296:$AG296,'Calc base'!$C$14:$N$14,('Calc base'!$H296:$S296&gt;'Calc base'!I296)+('Calc base'!$H296:$S296='Calc base'!I296)*('Calc base'!$C$17:$N$17&lt;'Calc base'!D$17)))))</f>
        <v>0</v>
      </c>
      <c r="AJ296">
        <f>IF('Calc base'!E$14=0,0,MIN(X296,MAX(0,$E296-SUMPRODUCT($V296:$AG296,'Calc base'!$C$14:$N$14,('Calc base'!$H296:$S296&gt;'Calc base'!J296)+('Calc base'!$H296:$S296='Calc base'!J296)*('Calc base'!$C$17:$N$17&lt;'Calc base'!E$17)))))</f>
        <v>0</v>
      </c>
      <c r="AK296">
        <f>IF('Calc base'!F$14=0,0,MIN(Y296,MAX(0,$E296-SUMPRODUCT($V296:$AG296,'Calc base'!$C$14:$N$14,('Calc base'!$H296:$S296&gt;'Calc base'!K296)+('Calc base'!$H296:$S296='Calc base'!K296)*('Calc base'!$C$17:$N$17&lt;'Calc base'!F$17)))))</f>
        <v>0</v>
      </c>
      <c r="AL296">
        <f>IF('Calc base'!G$14=0,0,MIN(Z296,MAX(0,$E296-SUMPRODUCT($V296:$AG296,'Calc base'!$C$14:$N$14,('Calc base'!$H296:$S296&gt;'Calc base'!L296)+('Calc base'!$H296:$S296='Calc base'!L296)*('Calc base'!$C$17:$N$17&lt;'Calc base'!G$17)))))</f>
        <v>0</v>
      </c>
      <c r="AM296">
        <f>IF('Calc base'!H$14=0,0,MIN(AA296,MAX(0,$E296-SUMPRODUCT($V296:$AG296,'Calc base'!$C$14:$N$14,('Calc base'!$H296:$S296&gt;'Calc base'!M296)+('Calc base'!$H296:$S296='Calc base'!M296)*('Calc base'!$C$17:$N$17&lt;'Calc base'!H$17)))))</f>
        <v>0</v>
      </c>
      <c r="AN296">
        <f>IF('Calc base'!I$14=0,0,MIN(AB296,MAX(0,$E296-SUMPRODUCT($V296:$AG296,'Calc base'!$C$14:$N$14,('Calc base'!$H296:$S296&gt;'Calc base'!N296)+('Calc base'!$H296:$S296='Calc base'!N296)*('Calc base'!$C$17:$N$17&lt;'Calc base'!I$17)))))</f>
        <v>0</v>
      </c>
      <c r="AO296">
        <f>IF('Calc base'!J$14=0,0,MIN(AC296,MAX(0,$E296-SUMPRODUCT($V296:$AG296,'Calc base'!$C$14:$N$14,('Calc base'!$H296:$S296&gt;'Calc base'!O296)+('Calc base'!$H296:$S296='Calc base'!O296)*('Calc base'!$C$17:$N$17&lt;'Calc base'!J$17)))))</f>
        <v>0</v>
      </c>
      <c r="AP296">
        <f>IF('Calc base'!K$14=0,0,MIN(AD296,MAX(0,$E296-SUMPRODUCT($V296:$AG296,'Calc base'!$C$14:$N$14,('Calc base'!$H296:$S296&gt;'Calc base'!P296)+('Calc base'!$H296:$S296='Calc base'!P296)*('Calc base'!$C$17:$N$17&lt;'Calc base'!K$17)))))</f>
        <v>0</v>
      </c>
      <c r="AQ296">
        <f>IF('Calc base'!L$14=0,0,MIN(AE296,MAX(0,$E296-SUMPRODUCT($V296:$AG296,'Calc base'!$C$14:$N$14,('Calc base'!$H296:$S296&gt;'Calc base'!Q296)+('Calc base'!$H296:$S296='Calc base'!Q296)*('Calc base'!$C$17:$N$17&lt;'Calc base'!L$17)))))</f>
        <v>0</v>
      </c>
      <c r="AR296">
        <f>IF('Calc base'!M$14=0,0,MIN(AF296,MAX(0,$E296-SUMPRODUCT($V296:$AG296,'Calc base'!$C$14:$N$14,('Calc base'!$H296:$S296&gt;'Calc base'!R296)+('Calc base'!$H296:$S296='Calc base'!R296)*('Calc base'!$C$17:$N$17&lt;'Calc base'!M$17)))))</f>
        <v>0</v>
      </c>
      <c r="AS296">
        <f>IF('Calc base'!N$14=0,0,MIN(AG296,MAX(0,$E296-SUMPRODUCT($V296:$AG296,'Calc base'!$C$14:$N$14,('Calc base'!$H296:$S296&gt;'Calc base'!S296)+('Calc base'!$H296:$S296='Calc base'!S296)*('Calc base'!$C$17:$N$17&lt;'Calc base'!N$17)))))</f>
        <v>0</v>
      </c>
      <c r="AT296">
        <f>V296-AH296</f>
        <v>0</v>
      </c>
      <c r="AU296">
        <f>W296-AI296</f>
        <v>0</v>
      </c>
      <c r="AV296">
        <f>X296-AJ296</f>
        <v>0</v>
      </c>
      <c r="AW296">
        <f>Y296-AK296</f>
        <v>0</v>
      </c>
      <c r="AX296">
        <f>Z296-AL296</f>
        <v>0</v>
      </c>
      <c r="AY296">
        <f>AA296-AM296</f>
        <v>0</v>
      </c>
      <c r="AZ296">
        <f>AB296-AN296</f>
        <v>0</v>
      </c>
      <c r="BA296">
        <f>AC296-AO296</f>
        <v>0</v>
      </c>
      <c r="BB296">
        <f>AD296-AP296</f>
        <v>0</v>
      </c>
      <c r="BC296">
        <f>AE296-AQ296</f>
        <v>0</v>
      </c>
      <c r="BD296">
        <f>AF296-AR296</f>
        <v>0</v>
      </c>
      <c r="BE296">
        <f>AG296-AS296</f>
        <v>0</v>
      </c>
    </row>
    <row r="297">
      <c r="A297" t="n">
        <v>267</v>
      </c>
      <c r="B297">
        <f>SUMPRODUCT(ROUND($AT296:$BE296*(1+'Calc base'!$H297:$S297),2))</f>
        <v>0</v>
      </c>
      <c r="C297">
        <f>SUM(J297:U297)</f>
        <v>0</v>
      </c>
      <c r="D297">
        <f>SUM(V297:AG297)</f>
        <v>0</v>
      </c>
      <c r="E297">
        <f>MAX(0,IF(Impostazioni!$B$7="No",'Calc base'!$C297-$C$31,'Calc base'!$C297-C297)+'Calc base'!$G297+'Calc base'!$F297-(B297-C297-D297))</f>
        <v>900</v>
      </c>
      <c r="F297">
        <f>SUM(AH297:AS297)</f>
        <v>0</v>
      </c>
      <c r="G297">
        <f>SUM(AT297:BE297)</f>
        <v>0</v>
      </c>
      <c r="H297">
        <f>B297-G296</f>
        <v>0</v>
      </c>
      <c r="I297">
        <f>B297-G297</f>
        <v>0</v>
      </c>
      <c r="J297">
        <f>IF(AT296&lt;=0,0,IF(ROUND(AT296*(1+'Calc base'!H297),2)-MAX('Calc base'!C$12,ROUND('Calc base'!C$13*AT296,2))&lt;1,ROUND(AT296*(1+'Calc base'!H297),2),MAX('Calc base'!C$12,ROUND('Calc base'!C$13*AT296,2))))</f>
        <v>0</v>
      </c>
      <c r="K297">
        <f>IF(AU296&lt;=0,0,IF(ROUND(AU296*(1+'Calc base'!I297),2)-MAX('Calc base'!D$12,ROUND('Calc base'!D$13*AU296,2))&lt;1,ROUND(AU296*(1+'Calc base'!I297),2),MAX('Calc base'!D$12,ROUND('Calc base'!D$13*AU296,2))))</f>
        <v>0</v>
      </c>
      <c r="L297">
        <f>IF(AV296&lt;=0,0,IF(ROUND(AV296*(1+'Calc base'!J297),2)-MAX('Calc base'!E$12,ROUND('Calc base'!E$13*AV296,2))&lt;1,ROUND(AV296*(1+'Calc base'!J297),2),MAX('Calc base'!E$12,ROUND('Calc base'!E$13*AV296,2))))</f>
        <v>0</v>
      </c>
      <c r="M297">
        <f>IF(AW296&lt;=0,0,IF(ROUND(AW296*(1+'Calc base'!K297),2)-MAX('Calc base'!F$12,ROUND('Calc base'!F$13*AW296,2))&lt;1,ROUND(AW296*(1+'Calc base'!K297),2),MAX('Calc base'!F$12,ROUND('Calc base'!F$13*AW296,2))))</f>
        <v>0</v>
      </c>
      <c r="N297">
        <f>IF(AX296&lt;=0,0,IF(ROUND(AX296*(1+'Calc base'!L297),2)-MAX('Calc base'!G$12,ROUND('Calc base'!G$13*AX296,2))&lt;1,ROUND(AX296*(1+'Calc base'!L297),2),MAX('Calc base'!G$12,ROUND('Calc base'!G$13*AX296,2))))</f>
        <v>0</v>
      </c>
      <c r="O297">
        <f>IF(AY296&lt;=0,0,IF(ROUND(AY296*(1+'Calc base'!M297),2)-MAX('Calc base'!H$12,ROUND('Calc base'!H$13*AY296,2))&lt;1,ROUND(AY296*(1+'Calc base'!M297),2),MAX('Calc base'!H$12,ROUND('Calc base'!H$13*AY296,2))))</f>
        <v>0</v>
      </c>
      <c r="P297">
        <f>IF(AZ296&lt;=0,0,IF(ROUND(AZ296*(1+'Calc base'!N297),2)-MAX('Calc base'!I$12,ROUND('Calc base'!I$13*AZ296,2))&lt;1,ROUND(AZ296*(1+'Calc base'!N297),2),MAX('Calc base'!I$12,ROUND('Calc base'!I$13*AZ296,2))))</f>
        <v>0</v>
      </c>
      <c r="Q297">
        <f>IF(BA296&lt;=0,0,IF(ROUND(BA296*(1+'Calc base'!O297),2)-MAX('Calc base'!J$12,ROUND('Calc base'!J$13*BA296,2))&lt;1,ROUND(BA296*(1+'Calc base'!O297),2),MAX('Calc base'!J$12,ROUND('Calc base'!J$13*BA296,2))))</f>
        <v>0</v>
      </c>
      <c r="R297">
        <f>IF(BB296&lt;=0,0,IF(ROUND(BB296*(1+'Calc base'!P297),2)-MAX('Calc base'!K$12,ROUND('Calc base'!K$13*BB296,2))&lt;1,ROUND(BB296*(1+'Calc base'!P297),2),MAX('Calc base'!K$12,ROUND('Calc base'!K$13*BB296,2))))</f>
        <v>0</v>
      </c>
      <c r="S297">
        <f>IF(BC296&lt;=0,0,IF(ROUND(BC296*(1+'Calc base'!Q297),2)-MAX('Calc base'!L$12,ROUND('Calc base'!L$13*BC296,2))&lt;1,ROUND(BC296*(1+'Calc base'!Q297),2),MAX('Calc base'!L$12,ROUND('Calc base'!L$13*BC296,2))))</f>
        <v>0</v>
      </c>
      <c r="T297">
        <f>IF(BD296&lt;=0,0,IF(ROUND(BD296*(1+'Calc base'!R297),2)-MAX('Calc base'!M$12,ROUND('Calc base'!M$13*BD296,2))&lt;1,ROUND(BD296*(1+'Calc base'!R297),2),MAX('Calc base'!M$12,ROUND('Calc base'!M$13*BD296,2))))</f>
        <v>0</v>
      </c>
      <c r="U297">
        <f>IF(BE296&lt;=0,0,IF(ROUND(BE296*(1+'Calc base'!S297),2)-MAX('Calc base'!N$12,ROUND('Calc base'!N$13*BE296,2))&lt;1,ROUND(BE296*(1+'Calc base'!S297),2),MAX('Calc base'!N$12,ROUND('Calc base'!N$13*BE296,2))))</f>
        <v>0</v>
      </c>
      <c r="V297">
        <f>MAX(0,ROUND(AT296*(1+'Calc base'!H297),2)-J297-'Calc base'!T297)</f>
        <v>0</v>
      </c>
      <c r="W297">
        <f>MAX(0,ROUND(AU296*(1+'Calc base'!I297),2)-K297-'Calc base'!U297)</f>
        <v>0</v>
      </c>
      <c r="X297">
        <f>MAX(0,ROUND(AV296*(1+'Calc base'!J297),2)-L297-'Calc base'!V297)</f>
        <v>0</v>
      </c>
      <c r="Y297">
        <f>MAX(0,ROUND(AW296*(1+'Calc base'!K297),2)-M297-'Calc base'!W297)</f>
        <v>0</v>
      </c>
      <c r="Z297">
        <f>MAX(0,ROUND(AX296*(1+'Calc base'!L297),2)-N297-'Calc base'!X297)</f>
        <v>0</v>
      </c>
      <c r="AA297">
        <f>MAX(0,ROUND(AY296*(1+'Calc base'!M297),2)-O297-'Calc base'!Y297)</f>
        <v>0</v>
      </c>
      <c r="AB297">
        <f>MAX(0,ROUND(AZ296*(1+'Calc base'!N297),2)-P297-'Calc base'!Z297)</f>
        <v>0</v>
      </c>
      <c r="AC297">
        <f>MAX(0,ROUND(BA296*(1+'Calc base'!O297),2)-Q297-'Calc base'!AA297)</f>
        <v>0</v>
      </c>
      <c r="AD297">
        <f>MAX(0,ROUND(BB296*(1+'Calc base'!P297),2)-R297-'Calc base'!AB297)</f>
        <v>0</v>
      </c>
      <c r="AE297">
        <f>MAX(0,ROUND(BC296*(1+'Calc base'!Q297),2)-S297-'Calc base'!AC297)</f>
        <v>0</v>
      </c>
      <c r="AF297">
        <f>MAX(0,ROUND(BD296*(1+'Calc base'!R297),2)-T297-'Calc base'!AD297)</f>
        <v>0</v>
      </c>
      <c r="AG297">
        <f>MAX(0,ROUND(BE296*(1+'Calc base'!S297),2)-U297-'Calc base'!AE297)</f>
        <v>0</v>
      </c>
      <c r="AH297">
        <f>IF('Calc base'!C$14=0,0,MIN(V297,MAX(0,$E297-SUMPRODUCT($V297:$AG297,'Calc base'!$C$14:$N$14,('Calc base'!$H297:$S297&gt;'Calc base'!H297)+('Calc base'!$H297:$S297='Calc base'!H297)*('Calc base'!$C$17:$N$17&lt;'Calc base'!C$17)))))</f>
        <v>0</v>
      </c>
      <c r="AI297">
        <f>IF('Calc base'!D$14=0,0,MIN(W297,MAX(0,$E297-SUMPRODUCT($V297:$AG297,'Calc base'!$C$14:$N$14,('Calc base'!$H297:$S297&gt;'Calc base'!I297)+('Calc base'!$H297:$S297='Calc base'!I297)*('Calc base'!$C$17:$N$17&lt;'Calc base'!D$17)))))</f>
        <v>0</v>
      </c>
      <c r="AJ297">
        <f>IF('Calc base'!E$14=0,0,MIN(X297,MAX(0,$E297-SUMPRODUCT($V297:$AG297,'Calc base'!$C$14:$N$14,('Calc base'!$H297:$S297&gt;'Calc base'!J297)+('Calc base'!$H297:$S297='Calc base'!J297)*('Calc base'!$C$17:$N$17&lt;'Calc base'!E$17)))))</f>
        <v>0</v>
      </c>
      <c r="AK297">
        <f>IF('Calc base'!F$14=0,0,MIN(Y297,MAX(0,$E297-SUMPRODUCT($V297:$AG297,'Calc base'!$C$14:$N$14,('Calc base'!$H297:$S297&gt;'Calc base'!K297)+('Calc base'!$H297:$S297='Calc base'!K297)*('Calc base'!$C$17:$N$17&lt;'Calc base'!F$17)))))</f>
        <v>0</v>
      </c>
      <c r="AL297">
        <f>IF('Calc base'!G$14=0,0,MIN(Z297,MAX(0,$E297-SUMPRODUCT($V297:$AG297,'Calc base'!$C$14:$N$14,('Calc base'!$H297:$S297&gt;'Calc base'!L297)+('Calc base'!$H297:$S297='Calc base'!L297)*('Calc base'!$C$17:$N$17&lt;'Calc base'!G$17)))))</f>
        <v>0</v>
      </c>
      <c r="AM297">
        <f>IF('Calc base'!H$14=0,0,MIN(AA297,MAX(0,$E297-SUMPRODUCT($V297:$AG297,'Calc base'!$C$14:$N$14,('Calc base'!$H297:$S297&gt;'Calc base'!M297)+('Calc base'!$H297:$S297='Calc base'!M297)*('Calc base'!$C$17:$N$17&lt;'Calc base'!H$17)))))</f>
        <v>0</v>
      </c>
      <c r="AN297">
        <f>IF('Calc base'!I$14=0,0,MIN(AB297,MAX(0,$E297-SUMPRODUCT($V297:$AG297,'Calc base'!$C$14:$N$14,('Calc base'!$H297:$S297&gt;'Calc base'!N297)+('Calc base'!$H297:$S297='Calc base'!N297)*('Calc base'!$C$17:$N$17&lt;'Calc base'!I$17)))))</f>
        <v>0</v>
      </c>
      <c r="AO297">
        <f>IF('Calc base'!J$14=0,0,MIN(AC297,MAX(0,$E297-SUMPRODUCT($V297:$AG297,'Calc base'!$C$14:$N$14,('Calc base'!$H297:$S297&gt;'Calc base'!O297)+('Calc base'!$H297:$S297='Calc base'!O297)*('Calc base'!$C$17:$N$17&lt;'Calc base'!J$17)))))</f>
        <v>0</v>
      </c>
      <c r="AP297">
        <f>IF('Calc base'!K$14=0,0,MIN(AD297,MAX(0,$E297-SUMPRODUCT($V297:$AG297,'Calc base'!$C$14:$N$14,('Calc base'!$H297:$S297&gt;'Calc base'!P297)+('Calc base'!$H297:$S297='Calc base'!P297)*('Calc base'!$C$17:$N$17&lt;'Calc base'!K$17)))))</f>
        <v>0</v>
      </c>
      <c r="AQ297">
        <f>IF('Calc base'!L$14=0,0,MIN(AE297,MAX(0,$E297-SUMPRODUCT($V297:$AG297,'Calc base'!$C$14:$N$14,('Calc base'!$H297:$S297&gt;'Calc base'!Q297)+('Calc base'!$H297:$S297='Calc base'!Q297)*('Calc base'!$C$17:$N$17&lt;'Calc base'!L$17)))))</f>
        <v>0</v>
      </c>
      <c r="AR297">
        <f>IF('Calc base'!M$14=0,0,MIN(AF297,MAX(0,$E297-SUMPRODUCT($V297:$AG297,'Calc base'!$C$14:$N$14,('Calc base'!$H297:$S297&gt;'Calc base'!R297)+('Calc base'!$H297:$S297='Calc base'!R297)*('Calc base'!$C$17:$N$17&lt;'Calc base'!M$17)))))</f>
        <v>0</v>
      </c>
      <c r="AS297">
        <f>IF('Calc base'!N$14=0,0,MIN(AG297,MAX(0,$E297-SUMPRODUCT($V297:$AG297,'Calc base'!$C$14:$N$14,('Calc base'!$H297:$S297&gt;'Calc base'!S297)+('Calc base'!$H297:$S297='Calc base'!S297)*('Calc base'!$C$17:$N$17&lt;'Calc base'!N$17)))))</f>
        <v>0</v>
      </c>
      <c r="AT297">
        <f>V297-AH297</f>
        <v>0</v>
      </c>
      <c r="AU297">
        <f>W297-AI297</f>
        <v>0</v>
      </c>
      <c r="AV297">
        <f>X297-AJ297</f>
        <v>0</v>
      </c>
      <c r="AW297">
        <f>Y297-AK297</f>
        <v>0</v>
      </c>
      <c r="AX297">
        <f>Z297-AL297</f>
        <v>0</v>
      </c>
      <c r="AY297">
        <f>AA297-AM297</f>
        <v>0</v>
      </c>
      <c r="AZ297">
        <f>AB297-AN297</f>
        <v>0</v>
      </c>
      <c r="BA297">
        <f>AC297-AO297</f>
        <v>0</v>
      </c>
      <c r="BB297">
        <f>AD297-AP297</f>
        <v>0</v>
      </c>
      <c r="BC297">
        <f>AE297-AQ297</f>
        <v>0</v>
      </c>
      <c r="BD297">
        <f>AF297-AR297</f>
        <v>0</v>
      </c>
      <c r="BE297">
        <f>AG297-AS297</f>
        <v>0</v>
      </c>
    </row>
    <row r="298">
      <c r="A298" t="n">
        <v>268</v>
      </c>
      <c r="B298">
        <f>SUMPRODUCT(ROUND($AT297:$BE297*(1+'Calc base'!$H298:$S298),2))</f>
        <v>0</v>
      </c>
      <c r="C298">
        <f>SUM(J298:U298)</f>
        <v>0</v>
      </c>
      <c r="D298">
        <f>SUM(V298:AG298)</f>
        <v>0</v>
      </c>
      <c r="E298">
        <f>MAX(0,IF(Impostazioni!$B$7="No",'Calc base'!$C298-$C$31,'Calc base'!$C298-C298)+'Calc base'!$G298+'Calc base'!$F298-(B298-C298-D298))</f>
        <v>900</v>
      </c>
      <c r="F298">
        <f>SUM(AH298:AS298)</f>
        <v>0</v>
      </c>
      <c r="G298">
        <f>SUM(AT298:BE298)</f>
        <v>0</v>
      </c>
      <c r="H298">
        <f>B298-G297</f>
        <v>0</v>
      </c>
      <c r="I298">
        <f>B298-G298</f>
        <v>0</v>
      </c>
      <c r="J298">
        <f>IF(AT297&lt;=0,0,IF(ROUND(AT297*(1+'Calc base'!H298),2)-MAX('Calc base'!C$12,ROUND('Calc base'!C$13*AT297,2))&lt;1,ROUND(AT297*(1+'Calc base'!H298),2),MAX('Calc base'!C$12,ROUND('Calc base'!C$13*AT297,2))))</f>
        <v>0</v>
      </c>
      <c r="K298">
        <f>IF(AU297&lt;=0,0,IF(ROUND(AU297*(1+'Calc base'!I298),2)-MAX('Calc base'!D$12,ROUND('Calc base'!D$13*AU297,2))&lt;1,ROUND(AU297*(1+'Calc base'!I298),2),MAX('Calc base'!D$12,ROUND('Calc base'!D$13*AU297,2))))</f>
        <v>0</v>
      </c>
      <c r="L298">
        <f>IF(AV297&lt;=0,0,IF(ROUND(AV297*(1+'Calc base'!J298),2)-MAX('Calc base'!E$12,ROUND('Calc base'!E$13*AV297,2))&lt;1,ROUND(AV297*(1+'Calc base'!J298),2),MAX('Calc base'!E$12,ROUND('Calc base'!E$13*AV297,2))))</f>
        <v>0</v>
      </c>
      <c r="M298">
        <f>IF(AW297&lt;=0,0,IF(ROUND(AW297*(1+'Calc base'!K298),2)-MAX('Calc base'!F$12,ROUND('Calc base'!F$13*AW297,2))&lt;1,ROUND(AW297*(1+'Calc base'!K298),2),MAX('Calc base'!F$12,ROUND('Calc base'!F$13*AW297,2))))</f>
        <v>0</v>
      </c>
      <c r="N298">
        <f>IF(AX297&lt;=0,0,IF(ROUND(AX297*(1+'Calc base'!L298),2)-MAX('Calc base'!G$12,ROUND('Calc base'!G$13*AX297,2))&lt;1,ROUND(AX297*(1+'Calc base'!L298),2),MAX('Calc base'!G$12,ROUND('Calc base'!G$13*AX297,2))))</f>
        <v>0</v>
      </c>
      <c r="O298">
        <f>IF(AY297&lt;=0,0,IF(ROUND(AY297*(1+'Calc base'!M298),2)-MAX('Calc base'!H$12,ROUND('Calc base'!H$13*AY297,2))&lt;1,ROUND(AY297*(1+'Calc base'!M298),2),MAX('Calc base'!H$12,ROUND('Calc base'!H$13*AY297,2))))</f>
        <v>0</v>
      </c>
      <c r="P298">
        <f>IF(AZ297&lt;=0,0,IF(ROUND(AZ297*(1+'Calc base'!N298),2)-MAX('Calc base'!I$12,ROUND('Calc base'!I$13*AZ297,2))&lt;1,ROUND(AZ297*(1+'Calc base'!N298),2),MAX('Calc base'!I$12,ROUND('Calc base'!I$13*AZ297,2))))</f>
        <v>0</v>
      </c>
      <c r="Q298">
        <f>IF(BA297&lt;=0,0,IF(ROUND(BA297*(1+'Calc base'!O298),2)-MAX('Calc base'!J$12,ROUND('Calc base'!J$13*BA297,2))&lt;1,ROUND(BA297*(1+'Calc base'!O298),2),MAX('Calc base'!J$12,ROUND('Calc base'!J$13*BA297,2))))</f>
        <v>0</v>
      </c>
      <c r="R298">
        <f>IF(BB297&lt;=0,0,IF(ROUND(BB297*(1+'Calc base'!P298),2)-MAX('Calc base'!K$12,ROUND('Calc base'!K$13*BB297,2))&lt;1,ROUND(BB297*(1+'Calc base'!P298),2),MAX('Calc base'!K$12,ROUND('Calc base'!K$13*BB297,2))))</f>
        <v>0</v>
      </c>
      <c r="S298">
        <f>IF(BC297&lt;=0,0,IF(ROUND(BC297*(1+'Calc base'!Q298),2)-MAX('Calc base'!L$12,ROUND('Calc base'!L$13*BC297,2))&lt;1,ROUND(BC297*(1+'Calc base'!Q298),2),MAX('Calc base'!L$12,ROUND('Calc base'!L$13*BC297,2))))</f>
        <v>0</v>
      </c>
      <c r="T298">
        <f>IF(BD297&lt;=0,0,IF(ROUND(BD297*(1+'Calc base'!R298),2)-MAX('Calc base'!M$12,ROUND('Calc base'!M$13*BD297,2))&lt;1,ROUND(BD297*(1+'Calc base'!R298),2),MAX('Calc base'!M$12,ROUND('Calc base'!M$13*BD297,2))))</f>
        <v>0</v>
      </c>
      <c r="U298">
        <f>IF(BE297&lt;=0,0,IF(ROUND(BE297*(1+'Calc base'!S298),2)-MAX('Calc base'!N$12,ROUND('Calc base'!N$13*BE297,2))&lt;1,ROUND(BE297*(1+'Calc base'!S298),2),MAX('Calc base'!N$12,ROUND('Calc base'!N$13*BE297,2))))</f>
        <v>0</v>
      </c>
      <c r="V298">
        <f>MAX(0,ROUND(AT297*(1+'Calc base'!H298),2)-J298-'Calc base'!T298)</f>
        <v>0</v>
      </c>
      <c r="W298">
        <f>MAX(0,ROUND(AU297*(1+'Calc base'!I298),2)-K298-'Calc base'!U298)</f>
        <v>0</v>
      </c>
      <c r="X298">
        <f>MAX(0,ROUND(AV297*(1+'Calc base'!J298),2)-L298-'Calc base'!V298)</f>
        <v>0</v>
      </c>
      <c r="Y298">
        <f>MAX(0,ROUND(AW297*(1+'Calc base'!K298),2)-M298-'Calc base'!W298)</f>
        <v>0</v>
      </c>
      <c r="Z298">
        <f>MAX(0,ROUND(AX297*(1+'Calc base'!L298),2)-N298-'Calc base'!X298)</f>
        <v>0</v>
      </c>
      <c r="AA298">
        <f>MAX(0,ROUND(AY297*(1+'Calc base'!M298),2)-O298-'Calc base'!Y298)</f>
        <v>0</v>
      </c>
      <c r="AB298">
        <f>MAX(0,ROUND(AZ297*(1+'Calc base'!N298),2)-P298-'Calc base'!Z298)</f>
        <v>0</v>
      </c>
      <c r="AC298">
        <f>MAX(0,ROUND(BA297*(1+'Calc base'!O298),2)-Q298-'Calc base'!AA298)</f>
        <v>0</v>
      </c>
      <c r="AD298">
        <f>MAX(0,ROUND(BB297*(1+'Calc base'!P298),2)-R298-'Calc base'!AB298)</f>
        <v>0</v>
      </c>
      <c r="AE298">
        <f>MAX(0,ROUND(BC297*(1+'Calc base'!Q298),2)-S298-'Calc base'!AC298)</f>
        <v>0</v>
      </c>
      <c r="AF298">
        <f>MAX(0,ROUND(BD297*(1+'Calc base'!R298),2)-T298-'Calc base'!AD298)</f>
        <v>0</v>
      </c>
      <c r="AG298">
        <f>MAX(0,ROUND(BE297*(1+'Calc base'!S298),2)-U298-'Calc base'!AE298)</f>
        <v>0</v>
      </c>
      <c r="AH298">
        <f>IF('Calc base'!C$14=0,0,MIN(V298,MAX(0,$E298-SUMPRODUCT($V298:$AG298,'Calc base'!$C$14:$N$14,('Calc base'!$H298:$S298&gt;'Calc base'!H298)+('Calc base'!$H298:$S298='Calc base'!H298)*('Calc base'!$C$17:$N$17&lt;'Calc base'!C$17)))))</f>
        <v>0</v>
      </c>
      <c r="AI298">
        <f>IF('Calc base'!D$14=0,0,MIN(W298,MAX(0,$E298-SUMPRODUCT($V298:$AG298,'Calc base'!$C$14:$N$14,('Calc base'!$H298:$S298&gt;'Calc base'!I298)+('Calc base'!$H298:$S298='Calc base'!I298)*('Calc base'!$C$17:$N$17&lt;'Calc base'!D$17)))))</f>
        <v>0</v>
      </c>
      <c r="AJ298">
        <f>IF('Calc base'!E$14=0,0,MIN(X298,MAX(0,$E298-SUMPRODUCT($V298:$AG298,'Calc base'!$C$14:$N$14,('Calc base'!$H298:$S298&gt;'Calc base'!J298)+('Calc base'!$H298:$S298='Calc base'!J298)*('Calc base'!$C$17:$N$17&lt;'Calc base'!E$17)))))</f>
        <v>0</v>
      </c>
      <c r="AK298">
        <f>IF('Calc base'!F$14=0,0,MIN(Y298,MAX(0,$E298-SUMPRODUCT($V298:$AG298,'Calc base'!$C$14:$N$14,('Calc base'!$H298:$S298&gt;'Calc base'!K298)+('Calc base'!$H298:$S298='Calc base'!K298)*('Calc base'!$C$17:$N$17&lt;'Calc base'!F$17)))))</f>
        <v>0</v>
      </c>
      <c r="AL298">
        <f>IF('Calc base'!G$14=0,0,MIN(Z298,MAX(0,$E298-SUMPRODUCT($V298:$AG298,'Calc base'!$C$14:$N$14,('Calc base'!$H298:$S298&gt;'Calc base'!L298)+('Calc base'!$H298:$S298='Calc base'!L298)*('Calc base'!$C$17:$N$17&lt;'Calc base'!G$17)))))</f>
        <v>0</v>
      </c>
      <c r="AM298">
        <f>IF('Calc base'!H$14=0,0,MIN(AA298,MAX(0,$E298-SUMPRODUCT($V298:$AG298,'Calc base'!$C$14:$N$14,('Calc base'!$H298:$S298&gt;'Calc base'!M298)+('Calc base'!$H298:$S298='Calc base'!M298)*('Calc base'!$C$17:$N$17&lt;'Calc base'!H$17)))))</f>
        <v>0</v>
      </c>
      <c r="AN298">
        <f>IF('Calc base'!I$14=0,0,MIN(AB298,MAX(0,$E298-SUMPRODUCT($V298:$AG298,'Calc base'!$C$14:$N$14,('Calc base'!$H298:$S298&gt;'Calc base'!N298)+('Calc base'!$H298:$S298='Calc base'!N298)*('Calc base'!$C$17:$N$17&lt;'Calc base'!I$17)))))</f>
        <v>0</v>
      </c>
      <c r="AO298">
        <f>IF('Calc base'!J$14=0,0,MIN(AC298,MAX(0,$E298-SUMPRODUCT($V298:$AG298,'Calc base'!$C$14:$N$14,('Calc base'!$H298:$S298&gt;'Calc base'!O298)+('Calc base'!$H298:$S298='Calc base'!O298)*('Calc base'!$C$17:$N$17&lt;'Calc base'!J$17)))))</f>
        <v>0</v>
      </c>
      <c r="AP298">
        <f>IF('Calc base'!K$14=0,0,MIN(AD298,MAX(0,$E298-SUMPRODUCT($V298:$AG298,'Calc base'!$C$14:$N$14,('Calc base'!$H298:$S298&gt;'Calc base'!P298)+('Calc base'!$H298:$S298='Calc base'!P298)*('Calc base'!$C$17:$N$17&lt;'Calc base'!K$17)))))</f>
        <v>0</v>
      </c>
      <c r="AQ298">
        <f>IF('Calc base'!L$14=0,0,MIN(AE298,MAX(0,$E298-SUMPRODUCT($V298:$AG298,'Calc base'!$C$14:$N$14,('Calc base'!$H298:$S298&gt;'Calc base'!Q298)+('Calc base'!$H298:$S298='Calc base'!Q298)*('Calc base'!$C$17:$N$17&lt;'Calc base'!L$17)))))</f>
        <v>0</v>
      </c>
      <c r="AR298">
        <f>IF('Calc base'!M$14=0,0,MIN(AF298,MAX(0,$E298-SUMPRODUCT($V298:$AG298,'Calc base'!$C$14:$N$14,('Calc base'!$H298:$S298&gt;'Calc base'!R298)+('Calc base'!$H298:$S298='Calc base'!R298)*('Calc base'!$C$17:$N$17&lt;'Calc base'!M$17)))))</f>
        <v>0</v>
      </c>
      <c r="AS298">
        <f>IF('Calc base'!N$14=0,0,MIN(AG298,MAX(0,$E298-SUMPRODUCT($V298:$AG298,'Calc base'!$C$14:$N$14,('Calc base'!$H298:$S298&gt;'Calc base'!S298)+('Calc base'!$H298:$S298='Calc base'!S298)*('Calc base'!$C$17:$N$17&lt;'Calc base'!N$17)))))</f>
        <v>0</v>
      </c>
      <c r="AT298">
        <f>V298-AH298</f>
        <v>0</v>
      </c>
      <c r="AU298">
        <f>W298-AI298</f>
        <v>0</v>
      </c>
      <c r="AV298">
        <f>X298-AJ298</f>
        <v>0</v>
      </c>
      <c r="AW298">
        <f>Y298-AK298</f>
        <v>0</v>
      </c>
      <c r="AX298">
        <f>Z298-AL298</f>
        <v>0</v>
      </c>
      <c r="AY298">
        <f>AA298-AM298</f>
        <v>0</v>
      </c>
      <c r="AZ298">
        <f>AB298-AN298</f>
        <v>0</v>
      </c>
      <c r="BA298">
        <f>AC298-AO298</f>
        <v>0</v>
      </c>
      <c r="BB298">
        <f>AD298-AP298</f>
        <v>0</v>
      </c>
      <c r="BC298">
        <f>AE298-AQ298</f>
        <v>0</v>
      </c>
      <c r="BD298">
        <f>AF298-AR298</f>
        <v>0</v>
      </c>
      <c r="BE298">
        <f>AG298-AS298</f>
        <v>0</v>
      </c>
    </row>
    <row r="299">
      <c r="A299" t="n">
        <v>269</v>
      </c>
      <c r="B299">
        <f>SUMPRODUCT(ROUND($AT298:$BE298*(1+'Calc base'!$H299:$S299),2))</f>
        <v>0</v>
      </c>
      <c r="C299">
        <f>SUM(J299:U299)</f>
        <v>0</v>
      </c>
      <c r="D299">
        <f>SUM(V299:AG299)</f>
        <v>0</v>
      </c>
      <c r="E299">
        <f>MAX(0,IF(Impostazioni!$B$7="No",'Calc base'!$C299-$C$31,'Calc base'!$C299-C299)+'Calc base'!$G299+'Calc base'!$F299-(B299-C299-D299))</f>
        <v>900</v>
      </c>
      <c r="F299">
        <f>SUM(AH299:AS299)</f>
        <v>0</v>
      </c>
      <c r="G299">
        <f>SUM(AT299:BE299)</f>
        <v>0</v>
      </c>
      <c r="H299">
        <f>B299-G298</f>
        <v>0</v>
      </c>
      <c r="I299">
        <f>B299-G299</f>
        <v>0</v>
      </c>
      <c r="J299">
        <f>IF(AT298&lt;=0,0,IF(ROUND(AT298*(1+'Calc base'!H299),2)-MAX('Calc base'!C$12,ROUND('Calc base'!C$13*AT298,2))&lt;1,ROUND(AT298*(1+'Calc base'!H299),2),MAX('Calc base'!C$12,ROUND('Calc base'!C$13*AT298,2))))</f>
        <v>0</v>
      </c>
      <c r="K299">
        <f>IF(AU298&lt;=0,0,IF(ROUND(AU298*(1+'Calc base'!I299),2)-MAX('Calc base'!D$12,ROUND('Calc base'!D$13*AU298,2))&lt;1,ROUND(AU298*(1+'Calc base'!I299),2),MAX('Calc base'!D$12,ROUND('Calc base'!D$13*AU298,2))))</f>
        <v>0</v>
      </c>
      <c r="L299">
        <f>IF(AV298&lt;=0,0,IF(ROUND(AV298*(1+'Calc base'!J299),2)-MAX('Calc base'!E$12,ROUND('Calc base'!E$13*AV298,2))&lt;1,ROUND(AV298*(1+'Calc base'!J299),2),MAX('Calc base'!E$12,ROUND('Calc base'!E$13*AV298,2))))</f>
        <v>0</v>
      </c>
      <c r="M299">
        <f>IF(AW298&lt;=0,0,IF(ROUND(AW298*(1+'Calc base'!K299),2)-MAX('Calc base'!F$12,ROUND('Calc base'!F$13*AW298,2))&lt;1,ROUND(AW298*(1+'Calc base'!K299),2),MAX('Calc base'!F$12,ROUND('Calc base'!F$13*AW298,2))))</f>
        <v>0</v>
      </c>
      <c r="N299">
        <f>IF(AX298&lt;=0,0,IF(ROUND(AX298*(1+'Calc base'!L299),2)-MAX('Calc base'!G$12,ROUND('Calc base'!G$13*AX298,2))&lt;1,ROUND(AX298*(1+'Calc base'!L299),2),MAX('Calc base'!G$12,ROUND('Calc base'!G$13*AX298,2))))</f>
        <v>0</v>
      </c>
      <c r="O299">
        <f>IF(AY298&lt;=0,0,IF(ROUND(AY298*(1+'Calc base'!M299),2)-MAX('Calc base'!H$12,ROUND('Calc base'!H$13*AY298,2))&lt;1,ROUND(AY298*(1+'Calc base'!M299),2),MAX('Calc base'!H$12,ROUND('Calc base'!H$13*AY298,2))))</f>
        <v>0</v>
      </c>
      <c r="P299">
        <f>IF(AZ298&lt;=0,0,IF(ROUND(AZ298*(1+'Calc base'!N299),2)-MAX('Calc base'!I$12,ROUND('Calc base'!I$13*AZ298,2))&lt;1,ROUND(AZ298*(1+'Calc base'!N299),2),MAX('Calc base'!I$12,ROUND('Calc base'!I$13*AZ298,2))))</f>
        <v>0</v>
      </c>
      <c r="Q299">
        <f>IF(BA298&lt;=0,0,IF(ROUND(BA298*(1+'Calc base'!O299),2)-MAX('Calc base'!J$12,ROUND('Calc base'!J$13*BA298,2))&lt;1,ROUND(BA298*(1+'Calc base'!O299),2),MAX('Calc base'!J$12,ROUND('Calc base'!J$13*BA298,2))))</f>
        <v>0</v>
      </c>
      <c r="R299">
        <f>IF(BB298&lt;=0,0,IF(ROUND(BB298*(1+'Calc base'!P299),2)-MAX('Calc base'!K$12,ROUND('Calc base'!K$13*BB298,2))&lt;1,ROUND(BB298*(1+'Calc base'!P299),2),MAX('Calc base'!K$12,ROUND('Calc base'!K$13*BB298,2))))</f>
        <v>0</v>
      </c>
      <c r="S299">
        <f>IF(BC298&lt;=0,0,IF(ROUND(BC298*(1+'Calc base'!Q299),2)-MAX('Calc base'!L$12,ROUND('Calc base'!L$13*BC298,2))&lt;1,ROUND(BC298*(1+'Calc base'!Q299),2),MAX('Calc base'!L$12,ROUND('Calc base'!L$13*BC298,2))))</f>
        <v>0</v>
      </c>
      <c r="T299">
        <f>IF(BD298&lt;=0,0,IF(ROUND(BD298*(1+'Calc base'!R299),2)-MAX('Calc base'!M$12,ROUND('Calc base'!M$13*BD298,2))&lt;1,ROUND(BD298*(1+'Calc base'!R299),2),MAX('Calc base'!M$12,ROUND('Calc base'!M$13*BD298,2))))</f>
        <v>0</v>
      </c>
      <c r="U299">
        <f>IF(BE298&lt;=0,0,IF(ROUND(BE298*(1+'Calc base'!S299),2)-MAX('Calc base'!N$12,ROUND('Calc base'!N$13*BE298,2))&lt;1,ROUND(BE298*(1+'Calc base'!S299),2),MAX('Calc base'!N$12,ROUND('Calc base'!N$13*BE298,2))))</f>
        <v>0</v>
      </c>
      <c r="V299">
        <f>MAX(0,ROUND(AT298*(1+'Calc base'!H299),2)-J299-'Calc base'!T299)</f>
        <v>0</v>
      </c>
      <c r="W299">
        <f>MAX(0,ROUND(AU298*(1+'Calc base'!I299),2)-K299-'Calc base'!U299)</f>
        <v>0</v>
      </c>
      <c r="X299">
        <f>MAX(0,ROUND(AV298*(1+'Calc base'!J299),2)-L299-'Calc base'!V299)</f>
        <v>0</v>
      </c>
      <c r="Y299">
        <f>MAX(0,ROUND(AW298*(1+'Calc base'!K299),2)-M299-'Calc base'!W299)</f>
        <v>0</v>
      </c>
      <c r="Z299">
        <f>MAX(0,ROUND(AX298*(1+'Calc base'!L299),2)-N299-'Calc base'!X299)</f>
        <v>0</v>
      </c>
      <c r="AA299">
        <f>MAX(0,ROUND(AY298*(1+'Calc base'!M299),2)-O299-'Calc base'!Y299)</f>
        <v>0</v>
      </c>
      <c r="AB299">
        <f>MAX(0,ROUND(AZ298*(1+'Calc base'!N299),2)-P299-'Calc base'!Z299)</f>
        <v>0</v>
      </c>
      <c r="AC299">
        <f>MAX(0,ROUND(BA298*(1+'Calc base'!O299),2)-Q299-'Calc base'!AA299)</f>
        <v>0</v>
      </c>
      <c r="AD299">
        <f>MAX(0,ROUND(BB298*(1+'Calc base'!P299),2)-R299-'Calc base'!AB299)</f>
        <v>0</v>
      </c>
      <c r="AE299">
        <f>MAX(0,ROUND(BC298*(1+'Calc base'!Q299),2)-S299-'Calc base'!AC299)</f>
        <v>0</v>
      </c>
      <c r="AF299">
        <f>MAX(0,ROUND(BD298*(1+'Calc base'!R299),2)-T299-'Calc base'!AD299)</f>
        <v>0</v>
      </c>
      <c r="AG299">
        <f>MAX(0,ROUND(BE298*(1+'Calc base'!S299),2)-U299-'Calc base'!AE299)</f>
        <v>0</v>
      </c>
      <c r="AH299">
        <f>IF('Calc base'!C$14=0,0,MIN(V299,MAX(0,$E299-SUMPRODUCT($V299:$AG299,'Calc base'!$C$14:$N$14,('Calc base'!$H299:$S299&gt;'Calc base'!H299)+('Calc base'!$H299:$S299='Calc base'!H299)*('Calc base'!$C$17:$N$17&lt;'Calc base'!C$17)))))</f>
        <v>0</v>
      </c>
      <c r="AI299">
        <f>IF('Calc base'!D$14=0,0,MIN(W299,MAX(0,$E299-SUMPRODUCT($V299:$AG299,'Calc base'!$C$14:$N$14,('Calc base'!$H299:$S299&gt;'Calc base'!I299)+('Calc base'!$H299:$S299='Calc base'!I299)*('Calc base'!$C$17:$N$17&lt;'Calc base'!D$17)))))</f>
        <v>0</v>
      </c>
      <c r="AJ299">
        <f>IF('Calc base'!E$14=0,0,MIN(X299,MAX(0,$E299-SUMPRODUCT($V299:$AG299,'Calc base'!$C$14:$N$14,('Calc base'!$H299:$S299&gt;'Calc base'!J299)+('Calc base'!$H299:$S299='Calc base'!J299)*('Calc base'!$C$17:$N$17&lt;'Calc base'!E$17)))))</f>
        <v>0</v>
      </c>
      <c r="AK299">
        <f>IF('Calc base'!F$14=0,0,MIN(Y299,MAX(0,$E299-SUMPRODUCT($V299:$AG299,'Calc base'!$C$14:$N$14,('Calc base'!$H299:$S299&gt;'Calc base'!K299)+('Calc base'!$H299:$S299='Calc base'!K299)*('Calc base'!$C$17:$N$17&lt;'Calc base'!F$17)))))</f>
        <v>0</v>
      </c>
      <c r="AL299">
        <f>IF('Calc base'!G$14=0,0,MIN(Z299,MAX(0,$E299-SUMPRODUCT($V299:$AG299,'Calc base'!$C$14:$N$14,('Calc base'!$H299:$S299&gt;'Calc base'!L299)+('Calc base'!$H299:$S299='Calc base'!L299)*('Calc base'!$C$17:$N$17&lt;'Calc base'!G$17)))))</f>
        <v>0</v>
      </c>
      <c r="AM299">
        <f>IF('Calc base'!H$14=0,0,MIN(AA299,MAX(0,$E299-SUMPRODUCT($V299:$AG299,'Calc base'!$C$14:$N$14,('Calc base'!$H299:$S299&gt;'Calc base'!M299)+('Calc base'!$H299:$S299='Calc base'!M299)*('Calc base'!$C$17:$N$17&lt;'Calc base'!H$17)))))</f>
        <v>0</v>
      </c>
      <c r="AN299">
        <f>IF('Calc base'!I$14=0,0,MIN(AB299,MAX(0,$E299-SUMPRODUCT($V299:$AG299,'Calc base'!$C$14:$N$14,('Calc base'!$H299:$S299&gt;'Calc base'!N299)+('Calc base'!$H299:$S299='Calc base'!N299)*('Calc base'!$C$17:$N$17&lt;'Calc base'!I$17)))))</f>
        <v>0</v>
      </c>
      <c r="AO299">
        <f>IF('Calc base'!J$14=0,0,MIN(AC299,MAX(0,$E299-SUMPRODUCT($V299:$AG299,'Calc base'!$C$14:$N$14,('Calc base'!$H299:$S299&gt;'Calc base'!O299)+('Calc base'!$H299:$S299='Calc base'!O299)*('Calc base'!$C$17:$N$17&lt;'Calc base'!J$17)))))</f>
        <v>0</v>
      </c>
      <c r="AP299">
        <f>IF('Calc base'!K$14=0,0,MIN(AD299,MAX(0,$E299-SUMPRODUCT($V299:$AG299,'Calc base'!$C$14:$N$14,('Calc base'!$H299:$S299&gt;'Calc base'!P299)+('Calc base'!$H299:$S299='Calc base'!P299)*('Calc base'!$C$17:$N$17&lt;'Calc base'!K$17)))))</f>
        <v>0</v>
      </c>
      <c r="AQ299">
        <f>IF('Calc base'!L$14=0,0,MIN(AE299,MAX(0,$E299-SUMPRODUCT($V299:$AG299,'Calc base'!$C$14:$N$14,('Calc base'!$H299:$S299&gt;'Calc base'!Q299)+('Calc base'!$H299:$S299='Calc base'!Q299)*('Calc base'!$C$17:$N$17&lt;'Calc base'!L$17)))))</f>
        <v>0</v>
      </c>
      <c r="AR299">
        <f>IF('Calc base'!M$14=0,0,MIN(AF299,MAX(0,$E299-SUMPRODUCT($V299:$AG299,'Calc base'!$C$14:$N$14,('Calc base'!$H299:$S299&gt;'Calc base'!R299)+('Calc base'!$H299:$S299='Calc base'!R299)*('Calc base'!$C$17:$N$17&lt;'Calc base'!M$17)))))</f>
        <v>0</v>
      </c>
      <c r="AS299">
        <f>IF('Calc base'!N$14=0,0,MIN(AG299,MAX(0,$E299-SUMPRODUCT($V299:$AG299,'Calc base'!$C$14:$N$14,('Calc base'!$H299:$S299&gt;'Calc base'!S299)+('Calc base'!$H299:$S299='Calc base'!S299)*('Calc base'!$C$17:$N$17&lt;'Calc base'!N$17)))))</f>
        <v>0</v>
      </c>
      <c r="AT299">
        <f>V299-AH299</f>
        <v>0</v>
      </c>
      <c r="AU299">
        <f>W299-AI299</f>
        <v>0</v>
      </c>
      <c r="AV299">
        <f>X299-AJ299</f>
        <v>0</v>
      </c>
      <c r="AW299">
        <f>Y299-AK299</f>
        <v>0</v>
      </c>
      <c r="AX299">
        <f>Z299-AL299</f>
        <v>0</v>
      </c>
      <c r="AY299">
        <f>AA299-AM299</f>
        <v>0</v>
      </c>
      <c r="AZ299">
        <f>AB299-AN299</f>
        <v>0</v>
      </c>
      <c r="BA299">
        <f>AC299-AO299</f>
        <v>0</v>
      </c>
      <c r="BB299">
        <f>AD299-AP299</f>
        <v>0</v>
      </c>
      <c r="BC299">
        <f>AE299-AQ299</f>
        <v>0</v>
      </c>
      <c r="BD299">
        <f>AF299-AR299</f>
        <v>0</v>
      </c>
      <c r="BE299">
        <f>AG299-AS299</f>
        <v>0</v>
      </c>
    </row>
    <row r="300">
      <c r="A300" t="n">
        <v>270</v>
      </c>
      <c r="B300">
        <f>SUMPRODUCT(ROUND($AT299:$BE299*(1+'Calc base'!$H300:$S300),2))</f>
        <v>0</v>
      </c>
      <c r="C300">
        <f>SUM(J300:U300)</f>
        <v>0</v>
      </c>
      <c r="D300">
        <f>SUM(V300:AG300)</f>
        <v>0</v>
      </c>
      <c r="E300">
        <f>MAX(0,IF(Impostazioni!$B$7="No",'Calc base'!$C300-$C$31,'Calc base'!$C300-C300)+'Calc base'!$G300+'Calc base'!$F300-(B300-C300-D300))</f>
        <v>900</v>
      </c>
      <c r="F300">
        <f>SUM(AH300:AS300)</f>
        <v>0</v>
      </c>
      <c r="G300">
        <f>SUM(AT300:BE300)</f>
        <v>0</v>
      </c>
      <c r="H300">
        <f>B300-G299</f>
        <v>0</v>
      </c>
      <c r="I300">
        <f>B300-G300</f>
        <v>0</v>
      </c>
      <c r="J300">
        <f>IF(AT299&lt;=0,0,IF(ROUND(AT299*(1+'Calc base'!H300),2)-MAX('Calc base'!C$12,ROUND('Calc base'!C$13*AT299,2))&lt;1,ROUND(AT299*(1+'Calc base'!H300),2),MAX('Calc base'!C$12,ROUND('Calc base'!C$13*AT299,2))))</f>
        <v>0</v>
      </c>
      <c r="K300">
        <f>IF(AU299&lt;=0,0,IF(ROUND(AU299*(1+'Calc base'!I300),2)-MAX('Calc base'!D$12,ROUND('Calc base'!D$13*AU299,2))&lt;1,ROUND(AU299*(1+'Calc base'!I300),2),MAX('Calc base'!D$12,ROUND('Calc base'!D$13*AU299,2))))</f>
        <v>0</v>
      </c>
      <c r="L300">
        <f>IF(AV299&lt;=0,0,IF(ROUND(AV299*(1+'Calc base'!J300),2)-MAX('Calc base'!E$12,ROUND('Calc base'!E$13*AV299,2))&lt;1,ROUND(AV299*(1+'Calc base'!J300),2),MAX('Calc base'!E$12,ROUND('Calc base'!E$13*AV299,2))))</f>
        <v>0</v>
      </c>
      <c r="M300">
        <f>IF(AW299&lt;=0,0,IF(ROUND(AW299*(1+'Calc base'!K300),2)-MAX('Calc base'!F$12,ROUND('Calc base'!F$13*AW299,2))&lt;1,ROUND(AW299*(1+'Calc base'!K300),2),MAX('Calc base'!F$12,ROUND('Calc base'!F$13*AW299,2))))</f>
        <v>0</v>
      </c>
      <c r="N300">
        <f>IF(AX299&lt;=0,0,IF(ROUND(AX299*(1+'Calc base'!L300),2)-MAX('Calc base'!G$12,ROUND('Calc base'!G$13*AX299,2))&lt;1,ROUND(AX299*(1+'Calc base'!L300),2),MAX('Calc base'!G$12,ROUND('Calc base'!G$13*AX299,2))))</f>
        <v>0</v>
      </c>
      <c r="O300">
        <f>IF(AY299&lt;=0,0,IF(ROUND(AY299*(1+'Calc base'!M300),2)-MAX('Calc base'!H$12,ROUND('Calc base'!H$13*AY299,2))&lt;1,ROUND(AY299*(1+'Calc base'!M300),2),MAX('Calc base'!H$12,ROUND('Calc base'!H$13*AY299,2))))</f>
        <v>0</v>
      </c>
      <c r="P300">
        <f>IF(AZ299&lt;=0,0,IF(ROUND(AZ299*(1+'Calc base'!N300),2)-MAX('Calc base'!I$12,ROUND('Calc base'!I$13*AZ299,2))&lt;1,ROUND(AZ299*(1+'Calc base'!N300),2),MAX('Calc base'!I$12,ROUND('Calc base'!I$13*AZ299,2))))</f>
        <v>0</v>
      </c>
      <c r="Q300">
        <f>IF(BA299&lt;=0,0,IF(ROUND(BA299*(1+'Calc base'!O300),2)-MAX('Calc base'!J$12,ROUND('Calc base'!J$13*BA299,2))&lt;1,ROUND(BA299*(1+'Calc base'!O300),2),MAX('Calc base'!J$12,ROUND('Calc base'!J$13*BA299,2))))</f>
        <v>0</v>
      </c>
      <c r="R300">
        <f>IF(BB299&lt;=0,0,IF(ROUND(BB299*(1+'Calc base'!P300),2)-MAX('Calc base'!K$12,ROUND('Calc base'!K$13*BB299,2))&lt;1,ROUND(BB299*(1+'Calc base'!P300),2),MAX('Calc base'!K$12,ROUND('Calc base'!K$13*BB299,2))))</f>
        <v>0</v>
      </c>
      <c r="S300">
        <f>IF(BC299&lt;=0,0,IF(ROUND(BC299*(1+'Calc base'!Q300),2)-MAX('Calc base'!L$12,ROUND('Calc base'!L$13*BC299,2))&lt;1,ROUND(BC299*(1+'Calc base'!Q300),2),MAX('Calc base'!L$12,ROUND('Calc base'!L$13*BC299,2))))</f>
        <v>0</v>
      </c>
      <c r="T300">
        <f>IF(BD299&lt;=0,0,IF(ROUND(BD299*(1+'Calc base'!R300),2)-MAX('Calc base'!M$12,ROUND('Calc base'!M$13*BD299,2))&lt;1,ROUND(BD299*(1+'Calc base'!R300),2),MAX('Calc base'!M$12,ROUND('Calc base'!M$13*BD299,2))))</f>
        <v>0</v>
      </c>
      <c r="U300">
        <f>IF(BE299&lt;=0,0,IF(ROUND(BE299*(1+'Calc base'!S300),2)-MAX('Calc base'!N$12,ROUND('Calc base'!N$13*BE299,2))&lt;1,ROUND(BE299*(1+'Calc base'!S300),2),MAX('Calc base'!N$12,ROUND('Calc base'!N$13*BE299,2))))</f>
        <v>0</v>
      </c>
      <c r="V300">
        <f>MAX(0,ROUND(AT299*(1+'Calc base'!H300),2)-J300-'Calc base'!T300)</f>
        <v>0</v>
      </c>
      <c r="W300">
        <f>MAX(0,ROUND(AU299*(1+'Calc base'!I300),2)-K300-'Calc base'!U300)</f>
        <v>0</v>
      </c>
      <c r="X300">
        <f>MAX(0,ROUND(AV299*(1+'Calc base'!J300),2)-L300-'Calc base'!V300)</f>
        <v>0</v>
      </c>
      <c r="Y300">
        <f>MAX(0,ROUND(AW299*(1+'Calc base'!K300),2)-M300-'Calc base'!W300)</f>
        <v>0</v>
      </c>
      <c r="Z300">
        <f>MAX(0,ROUND(AX299*(1+'Calc base'!L300),2)-N300-'Calc base'!X300)</f>
        <v>0</v>
      </c>
      <c r="AA300">
        <f>MAX(0,ROUND(AY299*(1+'Calc base'!M300),2)-O300-'Calc base'!Y300)</f>
        <v>0</v>
      </c>
      <c r="AB300">
        <f>MAX(0,ROUND(AZ299*(1+'Calc base'!N300),2)-P300-'Calc base'!Z300)</f>
        <v>0</v>
      </c>
      <c r="AC300">
        <f>MAX(0,ROUND(BA299*(1+'Calc base'!O300),2)-Q300-'Calc base'!AA300)</f>
        <v>0</v>
      </c>
      <c r="AD300">
        <f>MAX(0,ROUND(BB299*(1+'Calc base'!P300),2)-R300-'Calc base'!AB300)</f>
        <v>0</v>
      </c>
      <c r="AE300">
        <f>MAX(0,ROUND(BC299*(1+'Calc base'!Q300),2)-S300-'Calc base'!AC300)</f>
        <v>0</v>
      </c>
      <c r="AF300">
        <f>MAX(0,ROUND(BD299*(1+'Calc base'!R300),2)-T300-'Calc base'!AD300)</f>
        <v>0</v>
      </c>
      <c r="AG300">
        <f>MAX(0,ROUND(BE299*(1+'Calc base'!S300),2)-U300-'Calc base'!AE300)</f>
        <v>0</v>
      </c>
      <c r="AH300">
        <f>IF('Calc base'!C$14=0,0,MIN(V300,MAX(0,$E300-SUMPRODUCT($V300:$AG300,'Calc base'!$C$14:$N$14,('Calc base'!$H300:$S300&gt;'Calc base'!H300)+('Calc base'!$H300:$S300='Calc base'!H300)*('Calc base'!$C$17:$N$17&lt;'Calc base'!C$17)))))</f>
        <v>0</v>
      </c>
      <c r="AI300">
        <f>IF('Calc base'!D$14=0,0,MIN(W300,MAX(0,$E300-SUMPRODUCT($V300:$AG300,'Calc base'!$C$14:$N$14,('Calc base'!$H300:$S300&gt;'Calc base'!I300)+('Calc base'!$H300:$S300='Calc base'!I300)*('Calc base'!$C$17:$N$17&lt;'Calc base'!D$17)))))</f>
        <v>0</v>
      </c>
      <c r="AJ300">
        <f>IF('Calc base'!E$14=0,0,MIN(X300,MAX(0,$E300-SUMPRODUCT($V300:$AG300,'Calc base'!$C$14:$N$14,('Calc base'!$H300:$S300&gt;'Calc base'!J300)+('Calc base'!$H300:$S300='Calc base'!J300)*('Calc base'!$C$17:$N$17&lt;'Calc base'!E$17)))))</f>
        <v>0</v>
      </c>
      <c r="AK300">
        <f>IF('Calc base'!F$14=0,0,MIN(Y300,MAX(0,$E300-SUMPRODUCT($V300:$AG300,'Calc base'!$C$14:$N$14,('Calc base'!$H300:$S300&gt;'Calc base'!K300)+('Calc base'!$H300:$S300='Calc base'!K300)*('Calc base'!$C$17:$N$17&lt;'Calc base'!F$17)))))</f>
        <v>0</v>
      </c>
      <c r="AL300">
        <f>IF('Calc base'!G$14=0,0,MIN(Z300,MAX(0,$E300-SUMPRODUCT($V300:$AG300,'Calc base'!$C$14:$N$14,('Calc base'!$H300:$S300&gt;'Calc base'!L300)+('Calc base'!$H300:$S300='Calc base'!L300)*('Calc base'!$C$17:$N$17&lt;'Calc base'!G$17)))))</f>
        <v>0</v>
      </c>
      <c r="AM300">
        <f>IF('Calc base'!H$14=0,0,MIN(AA300,MAX(0,$E300-SUMPRODUCT($V300:$AG300,'Calc base'!$C$14:$N$14,('Calc base'!$H300:$S300&gt;'Calc base'!M300)+('Calc base'!$H300:$S300='Calc base'!M300)*('Calc base'!$C$17:$N$17&lt;'Calc base'!H$17)))))</f>
        <v>0</v>
      </c>
      <c r="AN300">
        <f>IF('Calc base'!I$14=0,0,MIN(AB300,MAX(0,$E300-SUMPRODUCT($V300:$AG300,'Calc base'!$C$14:$N$14,('Calc base'!$H300:$S300&gt;'Calc base'!N300)+('Calc base'!$H300:$S300='Calc base'!N300)*('Calc base'!$C$17:$N$17&lt;'Calc base'!I$17)))))</f>
        <v>0</v>
      </c>
      <c r="AO300">
        <f>IF('Calc base'!J$14=0,0,MIN(AC300,MAX(0,$E300-SUMPRODUCT($V300:$AG300,'Calc base'!$C$14:$N$14,('Calc base'!$H300:$S300&gt;'Calc base'!O300)+('Calc base'!$H300:$S300='Calc base'!O300)*('Calc base'!$C$17:$N$17&lt;'Calc base'!J$17)))))</f>
        <v>0</v>
      </c>
      <c r="AP300">
        <f>IF('Calc base'!K$14=0,0,MIN(AD300,MAX(0,$E300-SUMPRODUCT($V300:$AG300,'Calc base'!$C$14:$N$14,('Calc base'!$H300:$S300&gt;'Calc base'!P300)+('Calc base'!$H300:$S300='Calc base'!P300)*('Calc base'!$C$17:$N$17&lt;'Calc base'!K$17)))))</f>
        <v>0</v>
      </c>
      <c r="AQ300">
        <f>IF('Calc base'!L$14=0,0,MIN(AE300,MAX(0,$E300-SUMPRODUCT($V300:$AG300,'Calc base'!$C$14:$N$14,('Calc base'!$H300:$S300&gt;'Calc base'!Q300)+('Calc base'!$H300:$S300='Calc base'!Q300)*('Calc base'!$C$17:$N$17&lt;'Calc base'!L$17)))))</f>
        <v>0</v>
      </c>
      <c r="AR300">
        <f>IF('Calc base'!M$14=0,0,MIN(AF300,MAX(0,$E300-SUMPRODUCT($V300:$AG300,'Calc base'!$C$14:$N$14,('Calc base'!$H300:$S300&gt;'Calc base'!R300)+('Calc base'!$H300:$S300='Calc base'!R300)*('Calc base'!$C$17:$N$17&lt;'Calc base'!M$17)))))</f>
        <v>0</v>
      </c>
      <c r="AS300">
        <f>IF('Calc base'!N$14=0,0,MIN(AG300,MAX(0,$E300-SUMPRODUCT($V300:$AG300,'Calc base'!$C$14:$N$14,('Calc base'!$H300:$S300&gt;'Calc base'!S300)+('Calc base'!$H300:$S300='Calc base'!S300)*('Calc base'!$C$17:$N$17&lt;'Calc base'!N$17)))))</f>
        <v>0</v>
      </c>
      <c r="AT300">
        <f>V300-AH300</f>
        <v>0</v>
      </c>
      <c r="AU300">
        <f>W300-AI300</f>
        <v>0</v>
      </c>
      <c r="AV300">
        <f>X300-AJ300</f>
        <v>0</v>
      </c>
      <c r="AW300">
        <f>Y300-AK300</f>
        <v>0</v>
      </c>
      <c r="AX300">
        <f>Z300-AL300</f>
        <v>0</v>
      </c>
      <c r="AY300">
        <f>AA300-AM300</f>
        <v>0</v>
      </c>
      <c r="AZ300">
        <f>AB300-AN300</f>
        <v>0</v>
      </c>
      <c r="BA300">
        <f>AC300-AO300</f>
        <v>0</v>
      </c>
      <c r="BB300">
        <f>AD300-AP300</f>
        <v>0</v>
      </c>
      <c r="BC300">
        <f>AE300-AQ300</f>
        <v>0</v>
      </c>
      <c r="BD300">
        <f>AF300-AR300</f>
        <v>0</v>
      </c>
      <c r="BE300">
        <f>AG300-AS300</f>
        <v>0</v>
      </c>
    </row>
    <row r="301">
      <c r="A301" t="n">
        <v>271</v>
      </c>
      <c r="B301">
        <f>SUMPRODUCT(ROUND($AT300:$BE300*(1+'Calc base'!$H301:$S301),2))</f>
        <v>0</v>
      </c>
      <c r="C301">
        <f>SUM(J301:U301)</f>
        <v>0</v>
      </c>
      <c r="D301">
        <f>SUM(V301:AG301)</f>
        <v>0</v>
      </c>
      <c r="E301">
        <f>MAX(0,IF(Impostazioni!$B$7="No",'Calc base'!$C301-$C$31,'Calc base'!$C301-C301)+'Calc base'!$G301+'Calc base'!$F301-(B301-C301-D301))</f>
        <v>900</v>
      </c>
      <c r="F301">
        <f>SUM(AH301:AS301)</f>
        <v>0</v>
      </c>
      <c r="G301">
        <f>SUM(AT301:BE301)</f>
        <v>0</v>
      </c>
      <c r="H301">
        <f>B301-G300</f>
        <v>0</v>
      </c>
      <c r="I301">
        <f>B301-G301</f>
        <v>0</v>
      </c>
      <c r="J301">
        <f>IF(AT300&lt;=0,0,IF(ROUND(AT300*(1+'Calc base'!H301),2)-MAX('Calc base'!C$12,ROUND('Calc base'!C$13*AT300,2))&lt;1,ROUND(AT300*(1+'Calc base'!H301),2),MAX('Calc base'!C$12,ROUND('Calc base'!C$13*AT300,2))))</f>
        <v>0</v>
      </c>
      <c r="K301">
        <f>IF(AU300&lt;=0,0,IF(ROUND(AU300*(1+'Calc base'!I301),2)-MAX('Calc base'!D$12,ROUND('Calc base'!D$13*AU300,2))&lt;1,ROUND(AU300*(1+'Calc base'!I301),2),MAX('Calc base'!D$12,ROUND('Calc base'!D$13*AU300,2))))</f>
        <v>0</v>
      </c>
      <c r="L301">
        <f>IF(AV300&lt;=0,0,IF(ROUND(AV300*(1+'Calc base'!J301),2)-MAX('Calc base'!E$12,ROUND('Calc base'!E$13*AV300,2))&lt;1,ROUND(AV300*(1+'Calc base'!J301),2),MAX('Calc base'!E$12,ROUND('Calc base'!E$13*AV300,2))))</f>
        <v>0</v>
      </c>
      <c r="M301">
        <f>IF(AW300&lt;=0,0,IF(ROUND(AW300*(1+'Calc base'!K301),2)-MAX('Calc base'!F$12,ROUND('Calc base'!F$13*AW300,2))&lt;1,ROUND(AW300*(1+'Calc base'!K301),2),MAX('Calc base'!F$12,ROUND('Calc base'!F$13*AW300,2))))</f>
        <v>0</v>
      </c>
      <c r="N301">
        <f>IF(AX300&lt;=0,0,IF(ROUND(AX300*(1+'Calc base'!L301),2)-MAX('Calc base'!G$12,ROUND('Calc base'!G$13*AX300,2))&lt;1,ROUND(AX300*(1+'Calc base'!L301),2),MAX('Calc base'!G$12,ROUND('Calc base'!G$13*AX300,2))))</f>
        <v>0</v>
      </c>
      <c r="O301">
        <f>IF(AY300&lt;=0,0,IF(ROUND(AY300*(1+'Calc base'!M301),2)-MAX('Calc base'!H$12,ROUND('Calc base'!H$13*AY300,2))&lt;1,ROUND(AY300*(1+'Calc base'!M301),2),MAX('Calc base'!H$12,ROUND('Calc base'!H$13*AY300,2))))</f>
        <v>0</v>
      </c>
      <c r="P301">
        <f>IF(AZ300&lt;=0,0,IF(ROUND(AZ300*(1+'Calc base'!N301),2)-MAX('Calc base'!I$12,ROUND('Calc base'!I$13*AZ300,2))&lt;1,ROUND(AZ300*(1+'Calc base'!N301),2),MAX('Calc base'!I$12,ROUND('Calc base'!I$13*AZ300,2))))</f>
        <v>0</v>
      </c>
      <c r="Q301">
        <f>IF(BA300&lt;=0,0,IF(ROUND(BA300*(1+'Calc base'!O301),2)-MAX('Calc base'!J$12,ROUND('Calc base'!J$13*BA300,2))&lt;1,ROUND(BA300*(1+'Calc base'!O301),2),MAX('Calc base'!J$12,ROUND('Calc base'!J$13*BA300,2))))</f>
        <v>0</v>
      </c>
      <c r="R301">
        <f>IF(BB300&lt;=0,0,IF(ROUND(BB300*(1+'Calc base'!P301),2)-MAX('Calc base'!K$12,ROUND('Calc base'!K$13*BB300,2))&lt;1,ROUND(BB300*(1+'Calc base'!P301),2),MAX('Calc base'!K$12,ROUND('Calc base'!K$13*BB300,2))))</f>
        <v>0</v>
      </c>
      <c r="S301">
        <f>IF(BC300&lt;=0,0,IF(ROUND(BC300*(1+'Calc base'!Q301),2)-MAX('Calc base'!L$12,ROUND('Calc base'!L$13*BC300,2))&lt;1,ROUND(BC300*(1+'Calc base'!Q301),2),MAX('Calc base'!L$12,ROUND('Calc base'!L$13*BC300,2))))</f>
        <v>0</v>
      </c>
      <c r="T301">
        <f>IF(BD300&lt;=0,0,IF(ROUND(BD300*(1+'Calc base'!R301),2)-MAX('Calc base'!M$12,ROUND('Calc base'!M$13*BD300,2))&lt;1,ROUND(BD300*(1+'Calc base'!R301),2),MAX('Calc base'!M$12,ROUND('Calc base'!M$13*BD300,2))))</f>
        <v>0</v>
      </c>
      <c r="U301">
        <f>IF(BE300&lt;=0,0,IF(ROUND(BE300*(1+'Calc base'!S301),2)-MAX('Calc base'!N$12,ROUND('Calc base'!N$13*BE300,2))&lt;1,ROUND(BE300*(1+'Calc base'!S301),2),MAX('Calc base'!N$12,ROUND('Calc base'!N$13*BE300,2))))</f>
        <v>0</v>
      </c>
      <c r="V301">
        <f>MAX(0,ROUND(AT300*(1+'Calc base'!H301),2)-J301-'Calc base'!T301)</f>
        <v>0</v>
      </c>
      <c r="W301">
        <f>MAX(0,ROUND(AU300*(1+'Calc base'!I301),2)-K301-'Calc base'!U301)</f>
        <v>0</v>
      </c>
      <c r="X301">
        <f>MAX(0,ROUND(AV300*(1+'Calc base'!J301),2)-L301-'Calc base'!V301)</f>
        <v>0</v>
      </c>
      <c r="Y301">
        <f>MAX(0,ROUND(AW300*(1+'Calc base'!K301),2)-M301-'Calc base'!W301)</f>
        <v>0</v>
      </c>
      <c r="Z301">
        <f>MAX(0,ROUND(AX300*(1+'Calc base'!L301),2)-N301-'Calc base'!X301)</f>
        <v>0</v>
      </c>
      <c r="AA301">
        <f>MAX(0,ROUND(AY300*(1+'Calc base'!M301),2)-O301-'Calc base'!Y301)</f>
        <v>0</v>
      </c>
      <c r="AB301">
        <f>MAX(0,ROUND(AZ300*(1+'Calc base'!N301),2)-P301-'Calc base'!Z301)</f>
        <v>0</v>
      </c>
      <c r="AC301">
        <f>MAX(0,ROUND(BA300*(1+'Calc base'!O301),2)-Q301-'Calc base'!AA301)</f>
        <v>0</v>
      </c>
      <c r="AD301">
        <f>MAX(0,ROUND(BB300*(1+'Calc base'!P301),2)-R301-'Calc base'!AB301)</f>
        <v>0</v>
      </c>
      <c r="AE301">
        <f>MAX(0,ROUND(BC300*(1+'Calc base'!Q301),2)-S301-'Calc base'!AC301)</f>
        <v>0</v>
      </c>
      <c r="AF301">
        <f>MAX(0,ROUND(BD300*(1+'Calc base'!R301),2)-T301-'Calc base'!AD301)</f>
        <v>0</v>
      </c>
      <c r="AG301">
        <f>MAX(0,ROUND(BE300*(1+'Calc base'!S301),2)-U301-'Calc base'!AE301)</f>
        <v>0</v>
      </c>
      <c r="AH301">
        <f>IF('Calc base'!C$14=0,0,MIN(V301,MAX(0,$E301-SUMPRODUCT($V301:$AG301,'Calc base'!$C$14:$N$14,('Calc base'!$H301:$S301&gt;'Calc base'!H301)+('Calc base'!$H301:$S301='Calc base'!H301)*('Calc base'!$C$17:$N$17&lt;'Calc base'!C$17)))))</f>
        <v>0</v>
      </c>
      <c r="AI301">
        <f>IF('Calc base'!D$14=0,0,MIN(W301,MAX(0,$E301-SUMPRODUCT($V301:$AG301,'Calc base'!$C$14:$N$14,('Calc base'!$H301:$S301&gt;'Calc base'!I301)+('Calc base'!$H301:$S301='Calc base'!I301)*('Calc base'!$C$17:$N$17&lt;'Calc base'!D$17)))))</f>
        <v>0</v>
      </c>
      <c r="AJ301">
        <f>IF('Calc base'!E$14=0,0,MIN(X301,MAX(0,$E301-SUMPRODUCT($V301:$AG301,'Calc base'!$C$14:$N$14,('Calc base'!$H301:$S301&gt;'Calc base'!J301)+('Calc base'!$H301:$S301='Calc base'!J301)*('Calc base'!$C$17:$N$17&lt;'Calc base'!E$17)))))</f>
        <v>0</v>
      </c>
      <c r="AK301">
        <f>IF('Calc base'!F$14=0,0,MIN(Y301,MAX(0,$E301-SUMPRODUCT($V301:$AG301,'Calc base'!$C$14:$N$14,('Calc base'!$H301:$S301&gt;'Calc base'!K301)+('Calc base'!$H301:$S301='Calc base'!K301)*('Calc base'!$C$17:$N$17&lt;'Calc base'!F$17)))))</f>
        <v>0</v>
      </c>
      <c r="AL301">
        <f>IF('Calc base'!G$14=0,0,MIN(Z301,MAX(0,$E301-SUMPRODUCT($V301:$AG301,'Calc base'!$C$14:$N$14,('Calc base'!$H301:$S301&gt;'Calc base'!L301)+('Calc base'!$H301:$S301='Calc base'!L301)*('Calc base'!$C$17:$N$17&lt;'Calc base'!G$17)))))</f>
        <v>0</v>
      </c>
      <c r="AM301">
        <f>IF('Calc base'!H$14=0,0,MIN(AA301,MAX(0,$E301-SUMPRODUCT($V301:$AG301,'Calc base'!$C$14:$N$14,('Calc base'!$H301:$S301&gt;'Calc base'!M301)+('Calc base'!$H301:$S301='Calc base'!M301)*('Calc base'!$C$17:$N$17&lt;'Calc base'!H$17)))))</f>
        <v>0</v>
      </c>
      <c r="AN301">
        <f>IF('Calc base'!I$14=0,0,MIN(AB301,MAX(0,$E301-SUMPRODUCT($V301:$AG301,'Calc base'!$C$14:$N$14,('Calc base'!$H301:$S301&gt;'Calc base'!N301)+('Calc base'!$H301:$S301='Calc base'!N301)*('Calc base'!$C$17:$N$17&lt;'Calc base'!I$17)))))</f>
        <v>0</v>
      </c>
      <c r="AO301">
        <f>IF('Calc base'!J$14=0,0,MIN(AC301,MAX(0,$E301-SUMPRODUCT($V301:$AG301,'Calc base'!$C$14:$N$14,('Calc base'!$H301:$S301&gt;'Calc base'!O301)+('Calc base'!$H301:$S301='Calc base'!O301)*('Calc base'!$C$17:$N$17&lt;'Calc base'!J$17)))))</f>
        <v>0</v>
      </c>
      <c r="AP301">
        <f>IF('Calc base'!K$14=0,0,MIN(AD301,MAX(0,$E301-SUMPRODUCT($V301:$AG301,'Calc base'!$C$14:$N$14,('Calc base'!$H301:$S301&gt;'Calc base'!P301)+('Calc base'!$H301:$S301='Calc base'!P301)*('Calc base'!$C$17:$N$17&lt;'Calc base'!K$17)))))</f>
        <v>0</v>
      </c>
      <c r="AQ301">
        <f>IF('Calc base'!L$14=0,0,MIN(AE301,MAX(0,$E301-SUMPRODUCT($V301:$AG301,'Calc base'!$C$14:$N$14,('Calc base'!$H301:$S301&gt;'Calc base'!Q301)+('Calc base'!$H301:$S301='Calc base'!Q301)*('Calc base'!$C$17:$N$17&lt;'Calc base'!L$17)))))</f>
        <v>0</v>
      </c>
      <c r="AR301">
        <f>IF('Calc base'!M$14=0,0,MIN(AF301,MAX(0,$E301-SUMPRODUCT($V301:$AG301,'Calc base'!$C$14:$N$14,('Calc base'!$H301:$S301&gt;'Calc base'!R301)+('Calc base'!$H301:$S301='Calc base'!R301)*('Calc base'!$C$17:$N$17&lt;'Calc base'!M$17)))))</f>
        <v>0</v>
      </c>
      <c r="AS301">
        <f>IF('Calc base'!N$14=0,0,MIN(AG301,MAX(0,$E301-SUMPRODUCT($V301:$AG301,'Calc base'!$C$14:$N$14,('Calc base'!$H301:$S301&gt;'Calc base'!S301)+('Calc base'!$H301:$S301='Calc base'!S301)*('Calc base'!$C$17:$N$17&lt;'Calc base'!N$17)))))</f>
        <v>0</v>
      </c>
      <c r="AT301">
        <f>V301-AH301</f>
        <v>0</v>
      </c>
      <c r="AU301">
        <f>W301-AI301</f>
        <v>0</v>
      </c>
      <c r="AV301">
        <f>X301-AJ301</f>
        <v>0</v>
      </c>
      <c r="AW301">
        <f>Y301-AK301</f>
        <v>0</v>
      </c>
      <c r="AX301">
        <f>Z301-AL301</f>
        <v>0</v>
      </c>
      <c r="AY301">
        <f>AA301-AM301</f>
        <v>0</v>
      </c>
      <c r="AZ301">
        <f>AB301-AN301</f>
        <v>0</v>
      </c>
      <c r="BA301">
        <f>AC301-AO301</f>
        <v>0</v>
      </c>
      <c r="BB301">
        <f>AD301-AP301</f>
        <v>0</v>
      </c>
      <c r="BC301">
        <f>AE301-AQ301</f>
        <v>0</v>
      </c>
      <c r="BD301">
        <f>AF301-AR301</f>
        <v>0</v>
      </c>
      <c r="BE301">
        <f>AG301-AS301</f>
        <v>0</v>
      </c>
    </row>
    <row r="302">
      <c r="A302" t="n">
        <v>272</v>
      </c>
      <c r="B302">
        <f>SUMPRODUCT(ROUND($AT301:$BE301*(1+'Calc base'!$H302:$S302),2))</f>
        <v>0</v>
      </c>
      <c r="C302">
        <f>SUM(J302:U302)</f>
        <v>0</v>
      </c>
      <c r="D302">
        <f>SUM(V302:AG302)</f>
        <v>0</v>
      </c>
      <c r="E302">
        <f>MAX(0,IF(Impostazioni!$B$7="No",'Calc base'!$C302-$C$31,'Calc base'!$C302-C302)+'Calc base'!$G302+'Calc base'!$F302-(B302-C302-D302))</f>
        <v>900</v>
      </c>
      <c r="F302">
        <f>SUM(AH302:AS302)</f>
        <v>0</v>
      </c>
      <c r="G302">
        <f>SUM(AT302:BE302)</f>
        <v>0</v>
      </c>
      <c r="H302">
        <f>B302-G301</f>
        <v>0</v>
      </c>
      <c r="I302">
        <f>B302-G302</f>
        <v>0</v>
      </c>
      <c r="J302">
        <f>IF(AT301&lt;=0,0,IF(ROUND(AT301*(1+'Calc base'!H302),2)-MAX('Calc base'!C$12,ROUND('Calc base'!C$13*AT301,2))&lt;1,ROUND(AT301*(1+'Calc base'!H302),2),MAX('Calc base'!C$12,ROUND('Calc base'!C$13*AT301,2))))</f>
        <v>0</v>
      </c>
      <c r="K302">
        <f>IF(AU301&lt;=0,0,IF(ROUND(AU301*(1+'Calc base'!I302),2)-MAX('Calc base'!D$12,ROUND('Calc base'!D$13*AU301,2))&lt;1,ROUND(AU301*(1+'Calc base'!I302),2),MAX('Calc base'!D$12,ROUND('Calc base'!D$13*AU301,2))))</f>
        <v>0</v>
      </c>
      <c r="L302">
        <f>IF(AV301&lt;=0,0,IF(ROUND(AV301*(1+'Calc base'!J302),2)-MAX('Calc base'!E$12,ROUND('Calc base'!E$13*AV301,2))&lt;1,ROUND(AV301*(1+'Calc base'!J302),2),MAX('Calc base'!E$12,ROUND('Calc base'!E$13*AV301,2))))</f>
        <v>0</v>
      </c>
      <c r="M302">
        <f>IF(AW301&lt;=0,0,IF(ROUND(AW301*(1+'Calc base'!K302),2)-MAX('Calc base'!F$12,ROUND('Calc base'!F$13*AW301,2))&lt;1,ROUND(AW301*(1+'Calc base'!K302),2),MAX('Calc base'!F$12,ROUND('Calc base'!F$13*AW301,2))))</f>
        <v>0</v>
      </c>
      <c r="N302">
        <f>IF(AX301&lt;=0,0,IF(ROUND(AX301*(1+'Calc base'!L302),2)-MAX('Calc base'!G$12,ROUND('Calc base'!G$13*AX301,2))&lt;1,ROUND(AX301*(1+'Calc base'!L302),2),MAX('Calc base'!G$12,ROUND('Calc base'!G$13*AX301,2))))</f>
        <v>0</v>
      </c>
      <c r="O302">
        <f>IF(AY301&lt;=0,0,IF(ROUND(AY301*(1+'Calc base'!M302),2)-MAX('Calc base'!H$12,ROUND('Calc base'!H$13*AY301,2))&lt;1,ROUND(AY301*(1+'Calc base'!M302),2),MAX('Calc base'!H$12,ROUND('Calc base'!H$13*AY301,2))))</f>
        <v>0</v>
      </c>
      <c r="P302">
        <f>IF(AZ301&lt;=0,0,IF(ROUND(AZ301*(1+'Calc base'!N302),2)-MAX('Calc base'!I$12,ROUND('Calc base'!I$13*AZ301,2))&lt;1,ROUND(AZ301*(1+'Calc base'!N302),2),MAX('Calc base'!I$12,ROUND('Calc base'!I$13*AZ301,2))))</f>
        <v>0</v>
      </c>
      <c r="Q302">
        <f>IF(BA301&lt;=0,0,IF(ROUND(BA301*(1+'Calc base'!O302),2)-MAX('Calc base'!J$12,ROUND('Calc base'!J$13*BA301,2))&lt;1,ROUND(BA301*(1+'Calc base'!O302),2),MAX('Calc base'!J$12,ROUND('Calc base'!J$13*BA301,2))))</f>
        <v>0</v>
      </c>
      <c r="R302">
        <f>IF(BB301&lt;=0,0,IF(ROUND(BB301*(1+'Calc base'!P302),2)-MAX('Calc base'!K$12,ROUND('Calc base'!K$13*BB301,2))&lt;1,ROUND(BB301*(1+'Calc base'!P302),2),MAX('Calc base'!K$12,ROUND('Calc base'!K$13*BB301,2))))</f>
        <v>0</v>
      </c>
      <c r="S302">
        <f>IF(BC301&lt;=0,0,IF(ROUND(BC301*(1+'Calc base'!Q302),2)-MAX('Calc base'!L$12,ROUND('Calc base'!L$13*BC301,2))&lt;1,ROUND(BC301*(1+'Calc base'!Q302),2),MAX('Calc base'!L$12,ROUND('Calc base'!L$13*BC301,2))))</f>
        <v>0</v>
      </c>
      <c r="T302">
        <f>IF(BD301&lt;=0,0,IF(ROUND(BD301*(1+'Calc base'!R302),2)-MAX('Calc base'!M$12,ROUND('Calc base'!M$13*BD301,2))&lt;1,ROUND(BD301*(1+'Calc base'!R302),2),MAX('Calc base'!M$12,ROUND('Calc base'!M$13*BD301,2))))</f>
        <v>0</v>
      </c>
      <c r="U302">
        <f>IF(BE301&lt;=0,0,IF(ROUND(BE301*(1+'Calc base'!S302),2)-MAX('Calc base'!N$12,ROUND('Calc base'!N$13*BE301,2))&lt;1,ROUND(BE301*(1+'Calc base'!S302),2),MAX('Calc base'!N$12,ROUND('Calc base'!N$13*BE301,2))))</f>
        <v>0</v>
      </c>
      <c r="V302">
        <f>MAX(0,ROUND(AT301*(1+'Calc base'!H302),2)-J302-'Calc base'!T302)</f>
        <v>0</v>
      </c>
      <c r="W302">
        <f>MAX(0,ROUND(AU301*(1+'Calc base'!I302),2)-K302-'Calc base'!U302)</f>
        <v>0</v>
      </c>
      <c r="X302">
        <f>MAX(0,ROUND(AV301*(1+'Calc base'!J302),2)-L302-'Calc base'!V302)</f>
        <v>0</v>
      </c>
      <c r="Y302">
        <f>MAX(0,ROUND(AW301*(1+'Calc base'!K302),2)-M302-'Calc base'!W302)</f>
        <v>0</v>
      </c>
      <c r="Z302">
        <f>MAX(0,ROUND(AX301*(1+'Calc base'!L302),2)-N302-'Calc base'!X302)</f>
        <v>0</v>
      </c>
      <c r="AA302">
        <f>MAX(0,ROUND(AY301*(1+'Calc base'!M302),2)-O302-'Calc base'!Y302)</f>
        <v>0</v>
      </c>
      <c r="AB302">
        <f>MAX(0,ROUND(AZ301*(1+'Calc base'!N302),2)-P302-'Calc base'!Z302)</f>
        <v>0</v>
      </c>
      <c r="AC302">
        <f>MAX(0,ROUND(BA301*(1+'Calc base'!O302),2)-Q302-'Calc base'!AA302)</f>
        <v>0</v>
      </c>
      <c r="AD302">
        <f>MAX(0,ROUND(BB301*(1+'Calc base'!P302),2)-R302-'Calc base'!AB302)</f>
        <v>0</v>
      </c>
      <c r="AE302">
        <f>MAX(0,ROUND(BC301*(1+'Calc base'!Q302),2)-S302-'Calc base'!AC302)</f>
        <v>0</v>
      </c>
      <c r="AF302">
        <f>MAX(0,ROUND(BD301*(1+'Calc base'!R302),2)-T302-'Calc base'!AD302)</f>
        <v>0</v>
      </c>
      <c r="AG302">
        <f>MAX(0,ROUND(BE301*(1+'Calc base'!S302),2)-U302-'Calc base'!AE302)</f>
        <v>0</v>
      </c>
      <c r="AH302">
        <f>IF('Calc base'!C$14=0,0,MIN(V302,MAX(0,$E302-SUMPRODUCT($V302:$AG302,'Calc base'!$C$14:$N$14,('Calc base'!$H302:$S302&gt;'Calc base'!H302)+('Calc base'!$H302:$S302='Calc base'!H302)*('Calc base'!$C$17:$N$17&lt;'Calc base'!C$17)))))</f>
        <v>0</v>
      </c>
      <c r="AI302">
        <f>IF('Calc base'!D$14=0,0,MIN(W302,MAX(0,$E302-SUMPRODUCT($V302:$AG302,'Calc base'!$C$14:$N$14,('Calc base'!$H302:$S302&gt;'Calc base'!I302)+('Calc base'!$H302:$S302='Calc base'!I302)*('Calc base'!$C$17:$N$17&lt;'Calc base'!D$17)))))</f>
        <v>0</v>
      </c>
      <c r="AJ302">
        <f>IF('Calc base'!E$14=0,0,MIN(X302,MAX(0,$E302-SUMPRODUCT($V302:$AG302,'Calc base'!$C$14:$N$14,('Calc base'!$H302:$S302&gt;'Calc base'!J302)+('Calc base'!$H302:$S302='Calc base'!J302)*('Calc base'!$C$17:$N$17&lt;'Calc base'!E$17)))))</f>
        <v>0</v>
      </c>
      <c r="AK302">
        <f>IF('Calc base'!F$14=0,0,MIN(Y302,MAX(0,$E302-SUMPRODUCT($V302:$AG302,'Calc base'!$C$14:$N$14,('Calc base'!$H302:$S302&gt;'Calc base'!K302)+('Calc base'!$H302:$S302='Calc base'!K302)*('Calc base'!$C$17:$N$17&lt;'Calc base'!F$17)))))</f>
        <v>0</v>
      </c>
      <c r="AL302">
        <f>IF('Calc base'!G$14=0,0,MIN(Z302,MAX(0,$E302-SUMPRODUCT($V302:$AG302,'Calc base'!$C$14:$N$14,('Calc base'!$H302:$S302&gt;'Calc base'!L302)+('Calc base'!$H302:$S302='Calc base'!L302)*('Calc base'!$C$17:$N$17&lt;'Calc base'!G$17)))))</f>
        <v>0</v>
      </c>
      <c r="AM302">
        <f>IF('Calc base'!H$14=0,0,MIN(AA302,MAX(0,$E302-SUMPRODUCT($V302:$AG302,'Calc base'!$C$14:$N$14,('Calc base'!$H302:$S302&gt;'Calc base'!M302)+('Calc base'!$H302:$S302='Calc base'!M302)*('Calc base'!$C$17:$N$17&lt;'Calc base'!H$17)))))</f>
        <v>0</v>
      </c>
      <c r="AN302">
        <f>IF('Calc base'!I$14=0,0,MIN(AB302,MAX(0,$E302-SUMPRODUCT($V302:$AG302,'Calc base'!$C$14:$N$14,('Calc base'!$H302:$S302&gt;'Calc base'!N302)+('Calc base'!$H302:$S302='Calc base'!N302)*('Calc base'!$C$17:$N$17&lt;'Calc base'!I$17)))))</f>
        <v>0</v>
      </c>
      <c r="AO302">
        <f>IF('Calc base'!J$14=0,0,MIN(AC302,MAX(0,$E302-SUMPRODUCT($V302:$AG302,'Calc base'!$C$14:$N$14,('Calc base'!$H302:$S302&gt;'Calc base'!O302)+('Calc base'!$H302:$S302='Calc base'!O302)*('Calc base'!$C$17:$N$17&lt;'Calc base'!J$17)))))</f>
        <v>0</v>
      </c>
      <c r="AP302">
        <f>IF('Calc base'!K$14=0,0,MIN(AD302,MAX(0,$E302-SUMPRODUCT($V302:$AG302,'Calc base'!$C$14:$N$14,('Calc base'!$H302:$S302&gt;'Calc base'!P302)+('Calc base'!$H302:$S302='Calc base'!P302)*('Calc base'!$C$17:$N$17&lt;'Calc base'!K$17)))))</f>
        <v>0</v>
      </c>
      <c r="AQ302">
        <f>IF('Calc base'!L$14=0,0,MIN(AE302,MAX(0,$E302-SUMPRODUCT($V302:$AG302,'Calc base'!$C$14:$N$14,('Calc base'!$H302:$S302&gt;'Calc base'!Q302)+('Calc base'!$H302:$S302='Calc base'!Q302)*('Calc base'!$C$17:$N$17&lt;'Calc base'!L$17)))))</f>
        <v>0</v>
      </c>
      <c r="AR302">
        <f>IF('Calc base'!M$14=0,0,MIN(AF302,MAX(0,$E302-SUMPRODUCT($V302:$AG302,'Calc base'!$C$14:$N$14,('Calc base'!$H302:$S302&gt;'Calc base'!R302)+('Calc base'!$H302:$S302='Calc base'!R302)*('Calc base'!$C$17:$N$17&lt;'Calc base'!M$17)))))</f>
        <v>0</v>
      </c>
      <c r="AS302">
        <f>IF('Calc base'!N$14=0,0,MIN(AG302,MAX(0,$E302-SUMPRODUCT($V302:$AG302,'Calc base'!$C$14:$N$14,('Calc base'!$H302:$S302&gt;'Calc base'!S302)+('Calc base'!$H302:$S302='Calc base'!S302)*('Calc base'!$C$17:$N$17&lt;'Calc base'!N$17)))))</f>
        <v>0</v>
      </c>
      <c r="AT302">
        <f>V302-AH302</f>
        <v>0</v>
      </c>
      <c r="AU302">
        <f>W302-AI302</f>
        <v>0</v>
      </c>
      <c r="AV302">
        <f>X302-AJ302</f>
        <v>0</v>
      </c>
      <c r="AW302">
        <f>Y302-AK302</f>
        <v>0</v>
      </c>
      <c r="AX302">
        <f>Z302-AL302</f>
        <v>0</v>
      </c>
      <c r="AY302">
        <f>AA302-AM302</f>
        <v>0</v>
      </c>
      <c r="AZ302">
        <f>AB302-AN302</f>
        <v>0</v>
      </c>
      <c r="BA302">
        <f>AC302-AO302</f>
        <v>0</v>
      </c>
      <c r="BB302">
        <f>AD302-AP302</f>
        <v>0</v>
      </c>
      <c r="BC302">
        <f>AE302-AQ302</f>
        <v>0</v>
      </c>
      <c r="BD302">
        <f>AF302-AR302</f>
        <v>0</v>
      </c>
      <c r="BE302">
        <f>AG302-AS302</f>
        <v>0</v>
      </c>
    </row>
    <row r="303">
      <c r="A303" t="n">
        <v>273</v>
      </c>
      <c r="B303">
        <f>SUMPRODUCT(ROUND($AT302:$BE302*(1+'Calc base'!$H303:$S303),2))</f>
        <v>0</v>
      </c>
      <c r="C303">
        <f>SUM(J303:U303)</f>
        <v>0</v>
      </c>
      <c r="D303">
        <f>SUM(V303:AG303)</f>
        <v>0</v>
      </c>
      <c r="E303">
        <f>MAX(0,IF(Impostazioni!$B$7="No",'Calc base'!$C303-$C$31,'Calc base'!$C303-C303)+'Calc base'!$G303+'Calc base'!$F303-(B303-C303-D303))</f>
        <v>900</v>
      </c>
      <c r="F303">
        <f>SUM(AH303:AS303)</f>
        <v>0</v>
      </c>
      <c r="G303">
        <f>SUM(AT303:BE303)</f>
        <v>0</v>
      </c>
      <c r="H303">
        <f>B303-G302</f>
        <v>0</v>
      </c>
      <c r="I303">
        <f>B303-G303</f>
        <v>0</v>
      </c>
      <c r="J303">
        <f>IF(AT302&lt;=0,0,IF(ROUND(AT302*(1+'Calc base'!H303),2)-MAX('Calc base'!C$12,ROUND('Calc base'!C$13*AT302,2))&lt;1,ROUND(AT302*(1+'Calc base'!H303),2),MAX('Calc base'!C$12,ROUND('Calc base'!C$13*AT302,2))))</f>
        <v>0</v>
      </c>
      <c r="K303">
        <f>IF(AU302&lt;=0,0,IF(ROUND(AU302*(1+'Calc base'!I303),2)-MAX('Calc base'!D$12,ROUND('Calc base'!D$13*AU302,2))&lt;1,ROUND(AU302*(1+'Calc base'!I303),2),MAX('Calc base'!D$12,ROUND('Calc base'!D$13*AU302,2))))</f>
        <v>0</v>
      </c>
      <c r="L303">
        <f>IF(AV302&lt;=0,0,IF(ROUND(AV302*(1+'Calc base'!J303),2)-MAX('Calc base'!E$12,ROUND('Calc base'!E$13*AV302,2))&lt;1,ROUND(AV302*(1+'Calc base'!J303),2),MAX('Calc base'!E$12,ROUND('Calc base'!E$13*AV302,2))))</f>
        <v>0</v>
      </c>
      <c r="M303">
        <f>IF(AW302&lt;=0,0,IF(ROUND(AW302*(1+'Calc base'!K303),2)-MAX('Calc base'!F$12,ROUND('Calc base'!F$13*AW302,2))&lt;1,ROUND(AW302*(1+'Calc base'!K303),2),MAX('Calc base'!F$12,ROUND('Calc base'!F$13*AW302,2))))</f>
        <v>0</v>
      </c>
      <c r="N303">
        <f>IF(AX302&lt;=0,0,IF(ROUND(AX302*(1+'Calc base'!L303),2)-MAX('Calc base'!G$12,ROUND('Calc base'!G$13*AX302,2))&lt;1,ROUND(AX302*(1+'Calc base'!L303),2),MAX('Calc base'!G$12,ROUND('Calc base'!G$13*AX302,2))))</f>
        <v>0</v>
      </c>
      <c r="O303">
        <f>IF(AY302&lt;=0,0,IF(ROUND(AY302*(1+'Calc base'!M303),2)-MAX('Calc base'!H$12,ROUND('Calc base'!H$13*AY302,2))&lt;1,ROUND(AY302*(1+'Calc base'!M303),2),MAX('Calc base'!H$12,ROUND('Calc base'!H$13*AY302,2))))</f>
        <v>0</v>
      </c>
      <c r="P303">
        <f>IF(AZ302&lt;=0,0,IF(ROUND(AZ302*(1+'Calc base'!N303),2)-MAX('Calc base'!I$12,ROUND('Calc base'!I$13*AZ302,2))&lt;1,ROUND(AZ302*(1+'Calc base'!N303),2),MAX('Calc base'!I$12,ROUND('Calc base'!I$13*AZ302,2))))</f>
        <v>0</v>
      </c>
      <c r="Q303">
        <f>IF(BA302&lt;=0,0,IF(ROUND(BA302*(1+'Calc base'!O303),2)-MAX('Calc base'!J$12,ROUND('Calc base'!J$13*BA302,2))&lt;1,ROUND(BA302*(1+'Calc base'!O303),2),MAX('Calc base'!J$12,ROUND('Calc base'!J$13*BA302,2))))</f>
        <v>0</v>
      </c>
      <c r="R303">
        <f>IF(BB302&lt;=0,0,IF(ROUND(BB302*(1+'Calc base'!P303),2)-MAX('Calc base'!K$12,ROUND('Calc base'!K$13*BB302,2))&lt;1,ROUND(BB302*(1+'Calc base'!P303),2),MAX('Calc base'!K$12,ROUND('Calc base'!K$13*BB302,2))))</f>
        <v>0</v>
      </c>
      <c r="S303">
        <f>IF(BC302&lt;=0,0,IF(ROUND(BC302*(1+'Calc base'!Q303),2)-MAX('Calc base'!L$12,ROUND('Calc base'!L$13*BC302,2))&lt;1,ROUND(BC302*(1+'Calc base'!Q303),2),MAX('Calc base'!L$12,ROUND('Calc base'!L$13*BC302,2))))</f>
        <v>0</v>
      </c>
      <c r="T303">
        <f>IF(BD302&lt;=0,0,IF(ROUND(BD302*(1+'Calc base'!R303),2)-MAX('Calc base'!M$12,ROUND('Calc base'!M$13*BD302,2))&lt;1,ROUND(BD302*(1+'Calc base'!R303),2),MAX('Calc base'!M$12,ROUND('Calc base'!M$13*BD302,2))))</f>
        <v>0</v>
      </c>
      <c r="U303">
        <f>IF(BE302&lt;=0,0,IF(ROUND(BE302*(1+'Calc base'!S303),2)-MAX('Calc base'!N$12,ROUND('Calc base'!N$13*BE302,2))&lt;1,ROUND(BE302*(1+'Calc base'!S303),2),MAX('Calc base'!N$12,ROUND('Calc base'!N$13*BE302,2))))</f>
        <v>0</v>
      </c>
      <c r="V303">
        <f>MAX(0,ROUND(AT302*(1+'Calc base'!H303),2)-J303-'Calc base'!T303)</f>
        <v>0</v>
      </c>
      <c r="W303">
        <f>MAX(0,ROUND(AU302*(1+'Calc base'!I303),2)-K303-'Calc base'!U303)</f>
        <v>0</v>
      </c>
      <c r="X303">
        <f>MAX(0,ROUND(AV302*(1+'Calc base'!J303),2)-L303-'Calc base'!V303)</f>
        <v>0</v>
      </c>
      <c r="Y303">
        <f>MAX(0,ROUND(AW302*(1+'Calc base'!K303),2)-M303-'Calc base'!W303)</f>
        <v>0</v>
      </c>
      <c r="Z303">
        <f>MAX(0,ROUND(AX302*(1+'Calc base'!L303),2)-N303-'Calc base'!X303)</f>
        <v>0</v>
      </c>
      <c r="AA303">
        <f>MAX(0,ROUND(AY302*(1+'Calc base'!M303),2)-O303-'Calc base'!Y303)</f>
        <v>0</v>
      </c>
      <c r="AB303">
        <f>MAX(0,ROUND(AZ302*(1+'Calc base'!N303),2)-P303-'Calc base'!Z303)</f>
        <v>0</v>
      </c>
      <c r="AC303">
        <f>MAX(0,ROUND(BA302*(1+'Calc base'!O303),2)-Q303-'Calc base'!AA303)</f>
        <v>0</v>
      </c>
      <c r="AD303">
        <f>MAX(0,ROUND(BB302*(1+'Calc base'!P303),2)-R303-'Calc base'!AB303)</f>
        <v>0</v>
      </c>
      <c r="AE303">
        <f>MAX(0,ROUND(BC302*(1+'Calc base'!Q303),2)-S303-'Calc base'!AC303)</f>
        <v>0</v>
      </c>
      <c r="AF303">
        <f>MAX(0,ROUND(BD302*(1+'Calc base'!R303),2)-T303-'Calc base'!AD303)</f>
        <v>0</v>
      </c>
      <c r="AG303">
        <f>MAX(0,ROUND(BE302*(1+'Calc base'!S303),2)-U303-'Calc base'!AE303)</f>
        <v>0</v>
      </c>
      <c r="AH303">
        <f>IF('Calc base'!C$14=0,0,MIN(V303,MAX(0,$E303-SUMPRODUCT($V303:$AG303,'Calc base'!$C$14:$N$14,('Calc base'!$H303:$S303&gt;'Calc base'!H303)+('Calc base'!$H303:$S303='Calc base'!H303)*('Calc base'!$C$17:$N$17&lt;'Calc base'!C$17)))))</f>
        <v>0</v>
      </c>
      <c r="AI303">
        <f>IF('Calc base'!D$14=0,0,MIN(W303,MAX(0,$E303-SUMPRODUCT($V303:$AG303,'Calc base'!$C$14:$N$14,('Calc base'!$H303:$S303&gt;'Calc base'!I303)+('Calc base'!$H303:$S303='Calc base'!I303)*('Calc base'!$C$17:$N$17&lt;'Calc base'!D$17)))))</f>
        <v>0</v>
      </c>
      <c r="AJ303">
        <f>IF('Calc base'!E$14=0,0,MIN(X303,MAX(0,$E303-SUMPRODUCT($V303:$AG303,'Calc base'!$C$14:$N$14,('Calc base'!$H303:$S303&gt;'Calc base'!J303)+('Calc base'!$H303:$S303='Calc base'!J303)*('Calc base'!$C$17:$N$17&lt;'Calc base'!E$17)))))</f>
        <v>0</v>
      </c>
      <c r="AK303">
        <f>IF('Calc base'!F$14=0,0,MIN(Y303,MAX(0,$E303-SUMPRODUCT($V303:$AG303,'Calc base'!$C$14:$N$14,('Calc base'!$H303:$S303&gt;'Calc base'!K303)+('Calc base'!$H303:$S303='Calc base'!K303)*('Calc base'!$C$17:$N$17&lt;'Calc base'!F$17)))))</f>
        <v>0</v>
      </c>
      <c r="AL303">
        <f>IF('Calc base'!G$14=0,0,MIN(Z303,MAX(0,$E303-SUMPRODUCT($V303:$AG303,'Calc base'!$C$14:$N$14,('Calc base'!$H303:$S303&gt;'Calc base'!L303)+('Calc base'!$H303:$S303='Calc base'!L303)*('Calc base'!$C$17:$N$17&lt;'Calc base'!G$17)))))</f>
        <v>0</v>
      </c>
      <c r="AM303">
        <f>IF('Calc base'!H$14=0,0,MIN(AA303,MAX(0,$E303-SUMPRODUCT($V303:$AG303,'Calc base'!$C$14:$N$14,('Calc base'!$H303:$S303&gt;'Calc base'!M303)+('Calc base'!$H303:$S303='Calc base'!M303)*('Calc base'!$C$17:$N$17&lt;'Calc base'!H$17)))))</f>
        <v>0</v>
      </c>
      <c r="AN303">
        <f>IF('Calc base'!I$14=0,0,MIN(AB303,MAX(0,$E303-SUMPRODUCT($V303:$AG303,'Calc base'!$C$14:$N$14,('Calc base'!$H303:$S303&gt;'Calc base'!N303)+('Calc base'!$H303:$S303='Calc base'!N303)*('Calc base'!$C$17:$N$17&lt;'Calc base'!I$17)))))</f>
        <v>0</v>
      </c>
      <c r="AO303">
        <f>IF('Calc base'!J$14=0,0,MIN(AC303,MAX(0,$E303-SUMPRODUCT($V303:$AG303,'Calc base'!$C$14:$N$14,('Calc base'!$H303:$S303&gt;'Calc base'!O303)+('Calc base'!$H303:$S303='Calc base'!O303)*('Calc base'!$C$17:$N$17&lt;'Calc base'!J$17)))))</f>
        <v>0</v>
      </c>
      <c r="AP303">
        <f>IF('Calc base'!K$14=0,0,MIN(AD303,MAX(0,$E303-SUMPRODUCT($V303:$AG303,'Calc base'!$C$14:$N$14,('Calc base'!$H303:$S303&gt;'Calc base'!P303)+('Calc base'!$H303:$S303='Calc base'!P303)*('Calc base'!$C$17:$N$17&lt;'Calc base'!K$17)))))</f>
        <v>0</v>
      </c>
      <c r="AQ303">
        <f>IF('Calc base'!L$14=0,0,MIN(AE303,MAX(0,$E303-SUMPRODUCT($V303:$AG303,'Calc base'!$C$14:$N$14,('Calc base'!$H303:$S303&gt;'Calc base'!Q303)+('Calc base'!$H303:$S303='Calc base'!Q303)*('Calc base'!$C$17:$N$17&lt;'Calc base'!L$17)))))</f>
        <v>0</v>
      </c>
      <c r="AR303">
        <f>IF('Calc base'!M$14=0,0,MIN(AF303,MAX(0,$E303-SUMPRODUCT($V303:$AG303,'Calc base'!$C$14:$N$14,('Calc base'!$H303:$S303&gt;'Calc base'!R303)+('Calc base'!$H303:$S303='Calc base'!R303)*('Calc base'!$C$17:$N$17&lt;'Calc base'!M$17)))))</f>
        <v>0</v>
      </c>
      <c r="AS303">
        <f>IF('Calc base'!N$14=0,0,MIN(AG303,MAX(0,$E303-SUMPRODUCT($V303:$AG303,'Calc base'!$C$14:$N$14,('Calc base'!$H303:$S303&gt;'Calc base'!S303)+('Calc base'!$H303:$S303='Calc base'!S303)*('Calc base'!$C$17:$N$17&lt;'Calc base'!N$17)))))</f>
        <v>0</v>
      </c>
      <c r="AT303">
        <f>V303-AH303</f>
        <v>0</v>
      </c>
      <c r="AU303">
        <f>W303-AI303</f>
        <v>0</v>
      </c>
      <c r="AV303">
        <f>X303-AJ303</f>
        <v>0</v>
      </c>
      <c r="AW303">
        <f>Y303-AK303</f>
        <v>0</v>
      </c>
      <c r="AX303">
        <f>Z303-AL303</f>
        <v>0</v>
      </c>
      <c r="AY303">
        <f>AA303-AM303</f>
        <v>0</v>
      </c>
      <c r="AZ303">
        <f>AB303-AN303</f>
        <v>0</v>
      </c>
      <c r="BA303">
        <f>AC303-AO303</f>
        <v>0</v>
      </c>
      <c r="BB303">
        <f>AD303-AP303</f>
        <v>0</v>
      </c>
      <c r="BC303">
        <f>AE303-AQ303</f>
        <v>0</v>
      </c>
      <c r="BD303">
        <f>AF303-AR303</f>
        <v>0</v>
      </c>
      <c r="BE303">
        <f>AG303-AS303</f>
        <v>0</v>
      </c>
    </row>
    <row r="304">
      <c r="A304" t="n">
        <v>274</v>
      </c>
      <c r="B304">
        <f>SUMPRODUCT(ROUND($AT303:$BE303*(1+'Calc base'!$H304:$S304),2))</f>
        <v>0</v>
      </c>
      <c r="C304">
        <f>SUM(J304:U304)</f>
        <v>0</v>
      </c>
      <c r="D304">
        <f>SUM(V304:AG304)</f>
        <v>0</v>
      </c>
      <c r="E304">
        <f>MAX(0,IF(Impostazioni!$B$7="No",'Calc base'!$C304-$C$31,'Calc base'!$C304-C304)+'Calc base'!$G304+'Calc base'!$F304-(B304-C304-D304))</f>
        <v>900</v>
      </c>
      <c r="F304">
        <f>SUM(AH304:AS304)</f>
        <v>0</v>
      </c>
      <c r="G304">
        <f>SUM(AT304:BE304)</f>
        <v>0</v>
      </c>
      <c r="H304">
        <f>B304-G303</f>
        <v>0</v>
      </c>
      <c r="I304">
        <f>B304-G304</f>
        <v>0</v>
      </c>
      <c r="J304">
        <f>IF(AT303&lt;=0,0,IF(ROUND(AT303*(1+'Calc base'!H304),2)-MAX('Calc base'!C$12,ROUND('Calc base'!C$13*AT303,2))&lt;1,ROUND(AT303*(1+'Calc base'!H304),2),MAX('Calc base'!C$12,ROUND('Calc base'!C$13*AT303,2))))</f>
        <v>0</v>
      </c>
      <c r="K304">
        <f>IF(AU303&lt;=0,0,IF(ROUND(AU303*(1+'Calc base'!I304),2)-MAX('Calc base'!D$12,ROUND('Calc base'!D$13*AU303,2))&lt;1,ROUND(AU303*(1+'Calc base'!I304),2),MAX('Calc base'!D$12,ROUND('Calc base'!D$13*AU303,2))))</f>
        <v>0</v>
      </c>
      <c r="L304">
        <f>IF(AV303&lt;=0,0,IF(ROUND(AV303*(1+'Calc base'!J304),2)-MAX('Calc base'!E$12,ROUND('Calc base'!E$13*AV303,2))&lt;1,ROUND(AV303*(1+'Calc base'!J304),2),MAX('Calc base'!E$12,ROUND('Calc base'!E$13*AV303,2))))</f>
        <v>0</v>
      </c>
      <c r="M304">
        <f>IF(AW303&lt;=0,0,IF(ROUND(AW303*(1+'Calc base'!K304),2)-MAX('Calc base'!F$12,ROUND('Calc base'!F$13*AW303,2))&lt;1,ROUND(AW303*(1+'Calc base'!K304),2),MAX('Calc base'!F$12,ROUND('Calc base'!F$13*AW303,2))))</f>
        <v>0</v>
      </c>
      <c r="N304">
        <f>IF(AX303&lt;=0,0,IF(ROUND(AX303*(1+'Calc base'!L304),2)-MAX('Calc base'!G$12,ROUND('Calc base'!G$13*AX303,2))&lt;1,ROUND(AX303*(1+'Calc base'!L304),2),MAX('Calc base'!G$12,ROUND('Calc base'!G$13*AX303,2))))</f>
        <v>0</v>
      </c>
      <c r="O304">
        <f>IF(AY303&lt;=0,0,IF(ROUND(AY303*(1+'Calc base'!M304),2)-MAX('Calc base'!H$12,ROUND('Calc base'!H$13*AY303,2))&lt;1,ROUND(AY303*(1+'Calc base'!M304),2),MAX('Calc base'!H$12,ROUND('Calc base'!H$13*AY303,2))))</f>
        <v>0</v>
      </c>
      <c r="P304">
        <f>IF(AZ303&lt;=0,0,IF(ROUND(AZ303*(1+'Calc base'!N304),2)-MAX('Calc base'!I$12,ROUND('Calc base'!I$13*AZ303,2))&lt;1,ROUND(AZ303*(1+'Calc base'!N304),2),MAX('Calc base'!I$12,ROUND('Calc base'!I$13*AZ303,2))))</f>
        <v>0</v>
      </c>
      <c r="Q304">
        <f>IF(BA303&lt;=0,0,IF(ROUND(BA303*(1+'Calc base'!O304),2)-MAX('Calc base'!J$12,ROUND('Calc base'!J$13*BA303,2))&lt;1,ROUND(BA303*(1+'Calc base'!O304),2),MAX('Calc base'!J$12,ROUND('Calc base'!J$13*BA303,2))))</f>
        <v>0</v>
      </c>
      <c r="R304">
        <f>IF(BB303&lt;=0,0,IF(ROUND(BB303*(1+'Calc base'!P304),2)-MAX('Calc base'!K$12,ROUND('Calc base'!K$13*BB303,2))&lt;1,ROUND(BB303*(1+'Calc base'!P304),2),MAX('Calc base'!K$12,ROUND('Calc base'!K$13*BB303,2))))</f>
        <v>0</v>
      </c>
      <c r="S304">
        <f>IF(BC303&lt;=0,0,IF(ROUND(BC303*(1+'Calc base'!Q304),2)-MAX('Calc base'!L$12,ROUND('Calc base'!L$13*BC303,2))&lt;1,ROUND(BC303*(1+'Calc base'!Q304),2),MAX('Calc base'!L$12,ROUND('Calc base'!L$13*BC303,2))))</f>
        <v>0</v>
      </c>
      <c r="T304">
        <f>IF(BD303&lt;=0,0,IF(ROUND(BD303*(1+'Calc base'!R304),2)-MAX('Calc base'!M$12,ROUND('Calc base'!M$13*BD303,2))&lt;1,ROUND(BD303*(1+'Calc base'!R304),2),MAX('Calc base'!M$12,ROUND('Calc base'!M$13*BD303,2))))</f>
        <v>0</v>
      </c>
      <c r="U304">
        <f>IF(BE303&lt;=0,0,IF(ROUND(BE303*(1+'Calc base'!S304),2)-MAX('Calc base'!N$12,ROUND('Calc base'!N$13*BE303,2))&lt;1,ROUND(BE303*(1+'Calc base'!S304),2),MAX('Calc base'!N$12,ROUND('Calc base'!N$13*BE303,2))))</f>
        <v>0</v>
      </c>
      <c r="V304">
        <f>MAX(0,ROUND(AT303*(1+'Calc base'!H304),2)-J304-'Calc base'!T304)</f>
        <v>0</v>
      </c>
      <c r="W304">
        <f>MAX(0,ROUND(AU303*(1+'Calc base'!I304),2)-K304-'Calc base'!U304)</f>
        <v>0</v>
      </c>
      <c r="X304">
        <f>MAX(0,ROUND(AV303*(1+'Calc base'!J304),2)-L304-'Calc base'!V304)</f>
        <v>0</v>
      </c>
      <c r="Y304">
        <f>MAX(0,ROUND(AW303*(1+'Calc base'!K304),2)-M304-'Calc base'!W304)</f>
        <v>0</v>
      </c>
      <c r="Z304">
        <f>MAX(0,ROUND(AX303*(1+'Calc base'!L304),2)-N304-'Calc base'!X304)</f>
        <v>0</v>
      </c>
      <c r="AA304">
        <f>MAX(0,ROUND(AY303*(1+'Calc base'!M304),2)-O304-'Calc base'!Y304)</f>
        <v>0</v>
      </c>
      <c r="AB304">
        <f>MAX(0,ROUND(AZ303*(1+'Calc base'!N304),2)-P304-'Calc base'!Z304)</f>
        <v>0</v>
      </c>
      <c r="AC304">
        <f>MAX(0,ROUND(BA303*(1+'Calc base'!O304),2)-Q304-'Calc base'!AA304)</f>
        <v>0</v>
      </c>
      <c r="AD304">
        <f>MAX(0,ROUND(BB303*(1+'Calc base'!P304),2)-R304-'Calc base'!AB304)</f>
        <v>0</v>
      </c>
      <c r="AE304">
        <f>MAX(0,ROUND(BC303*(1+'Calc base'!Q304),2)-S304-'Calc base'!AC304)</f>
        <v>0</v>
      </c>
      <c r="AF304">
        <f>MAX(0,ROUND(BD303*(1+'Calc base'!R304),2)-T304-'Calc base'!AD304)</f>
        <v>0</v>
      </c>
      <c r="AG304">
        <f>MAX(0,ROUND(BE303*(1+'Calc base'!S304),2)-U304-'Calc base'!AE304)</f>
        <v>0</v>
      </c>
      <c r="AH304">
        <f>IF('Calc base'!C$14=0,0,MIN(V304,MAX(0,$E304-SUMPRODUCT($V304:$AG304,'Calc base'!$C$14:$N$14,('Calc base'!$H304:$S304&gt;'Calc base'!H304)+('Calc base'!$H304:$S304='Calc base'!H304)*('Calc base'!$C$17:$N$17&lt;'Calc base'!C$17)))))</f>
        <v>0</v>
      </c>
      <c r="AI304">
        <f>IF('Calc base'!D$14=0,0,MIN(W304,MAX(0,$E304-SUMPRODUCT($V304:$AG304,'Calc base'!$C$14:$N$14,('Calc base'!$H304:$S304&gt;'Calc base'!I304)+('Calc base'!$H304:$S304='Calc base'!I304)*('Calc base'!$C$17:$N$17&lt;'Calc base'!D$17)))))</f>
        <v>0</v>
      </c>
      <c r="AJ304">
        <f>IF('Calc base'!E$14=0,0,MIN(X304,MAX(0,$E304-SUMPRODUCT($V304:$AG304,'Calc base'!$C$14:$N$14,('Calc base'!$H304:$S304&gt;'Calc base'!J304)+('Calc base'!$H304:$S304='Calc base'!J304)*('Calc base'!$C$17:$N$17&lt;'Calc base'!E$17)))))</f>
        <v>0</v>
      </c>
      <c r="AK304">
        <f>IF('Calc base'!F$14=0,0,MIN(Y304,MAX(0,$E304-SUMPRODUCT($V304:$AG304,'Calc base'!$C$14:$N$14,('Calc base'!$H304:$S304&gt;'Calc base'!K304)+('Calc base'!$H304:$S304='Calc base'!K304)*('Calc base'!$C$17:$N$17&lt;'Calc base'!F$17)))))</f>
        <v>0</v>
      </c>
      <c r="AL304">
        <f>IF('Calc base'!G$14=0,0,MIN(Z304,MAX(0,$E304-SUMPRODUCT($V304:$AG304,'Calc base'!$C$14:$N$14,('Calc base'!$H304:$S304&gt;'Calc base'!L304)+('Calc base'!$H304:$S304='Calc base'!L304)*('Calc base'!$C$17:$N$17&lt;'Calc base'!G$17)))))</f>
        <v>0</v>
      </c>
      <c r="AM304">
        <f>IF('Calc base'!H$14=0,0,MIN(AA304,MAX(0,$E304-SUMPRODUCT($V304:$AG304,'Calc base'!$C$14:$N$14,('Calc base'!$H304:$S304&gt;'Calc base'!M304)+('Calc base'!$H304:$S304='Calc base'!M304)*('Calc base'!$C$17:$N$17&lt;'Calc base'!H$17)))))</f>
        <v>0</v>
      </c>
      <c r="AN304">
        <f>IF('Calc base'!I$14=0,0,MIN(AB304,MAX(0,$E304-SUMPRODUCT($V304:$AG304,'Calc base'!$C$14:$N$14,('Calc base'!$H304:$S304&gt;'Calc base'!N304)+('Calc base'!$H304:$S304='Calc base'!N304)*('Calc base'!$C$17:$N$17&lt;'Calc base'!I$17)))))</f>
        <v>0</v>
      </c>
      <c r="AO304">
        <f>IF('Calc base'!J$14=0,0,MIN(AC304,MAX(0,$E304-SUMPRODUCT($V304:$AG304,'Calc base'!$C$14:$N$14,('Calc base'!$H304:$S304&gt;'Calc base'!O304)+('Calc base'!$H304:$S304='Calc base'!O304)*('Calc base'!$C$17:$N$17&lt;'Calc base'!J$17)))))</f>
        <v>0</v>
      </c>
      <c r="AP304">
        <f>IF('Calc base'!K$14=0,0,MIN(AD304,MAX(0,$E304-SUMPRODUCT($V304:$AG304,'Calc base'!$C$14:$N$14,('Calc base'!$H304:$S304&gt;'Calc base'!P304)+('Calc base'!$H304:$S304='Calc base'!P304)*('Calc base'!$C$17:$N$17&lt;'Calc base'!K$17)))))</f>
        <v>0</v>
      </c>
      <c r="AQ304">
        <f>IF('Calc base'!L$14=0,0,MIN(AE304,MAX(0,$E304-SUMPRODUCT($V304:$AG304,'Calc base'!$C$14:$N$14,('Calc base'!$H304:$S304&gt;'Calc base'!Q304)+('Calc base'!$H304:$S304='Calc base'!Q304)*('Calc base'!$C$17:$N$17&lt;'Calc base'!L$17)))))</f>
        <v>0</v>
      </c>
      <c r="AR304">
        <f>IF('Calc base'!M$14=0,0,MIN(AF304,MAX(0,$E304-SUMPRODUCT($V304:$AG304,'Calc base'!$C$14:$N$14,('Calc base'!$H304:$S304&gt;'Calc base'!R304)+('Calc base'!$H304:$S304='Calc base'!R304)*('Calc base'!$C$17:$N$17&lt;'Calc base'!M$17)))))</f>
        <v>0</v>
      </c>
      <c r="AS304">
        <f>IF('Calc base'!N$14=0,0,MIN(AG304,MAX(0,$E304-SUMPRODUCT($V304:$AG304,'Calc base'!$C$14:$N$14,('Calc base'!$H304:$S304&gt;'Calc base'!S304)+('Calc base'!$H304:$S304='Calc base'!S304)*('Calc base'!$C$17:$N$17&lt;'Calc base'!N$17)))))</f>
        <v>0</v>
      </c>
      <c r="AT304">
        <f>V304-AH304</f>
        <v>0</v>
      </c>
      <c r="AU304">
        <f>W304-AI304</f>
        <v>0</v>
      </c>
      <c r="AV304">
        <f>X304-AJ304</f>
        <v>0</v>
      </c>
      <c r="AW304">
        <f>Y304-AK304</f>
        <v>0</v>
      </c>
      <c r="AX304">
        <f>Z304-AL304</f>
        <v>0</v>
      </c>
      <c r="AY304">
        <f>AA304-AM304</f>
        <v>0</v>
      </c>
      <c r="AZ304">
        <f>AB304-AN304</f>
        <v>0</v>
      </c>
      <c r="BA304">
        <f>AC304-AO304</f>
        <v>0</v>
      </c>
      <c r="BB304">
        <f>AD304-AP304</f>
        <v>0</v>
      </c>
      <c r="BC304">
        <f>AE304-AQ304</f>
        <v>0</v>
      </c>
      <c r="BD304">
        <f>AF304-AR304</f>
        <v>0</v>
      </c>
      <c r="BE304">
        <f>AG304-AS304</f>
        <v>0</v>
      </c>
    </row>
    <row r="305">
      <c r="A305" t="n">
        <v>275</v>
      </c>
      <c r="B305">
        <f>SUMPRODUCT(ROUND($AT304:$BE304*(1+'Calc base'!$H305:$S305),2))</f>
        <v>0</v>
      </c>
      <c r="C305">
        <f>SUM(J305:U305)</f>
        <v>0</v>
      </c>
      <c r="D305">
        <f>SUM(V305:AG305)</f>
        <v>0</v>
      </c>
      <c r="E305">
        <f>MAX(0,IF(Impostazioni!$B$7="No",'Calc base'!$C305-$C$31,'Calc base'!$C305-C305)+'Calc base'!$G305+'Calc base'!$F305-(B305-C305-D305))</f>
        <v>900</v>
      </c>
      <c r="F305">
        <f>SUM(AH305:AS305)</f>
        <v>0</v>
      </c>
      <c r="G305">
        <f>SUM(AT305:BE305)</f>
        <v>0</v>
      </c>
      <c r="H305">
        <f>B305-G304</f>
        <v>0</v>
      </c>
      <c r="I305">
        <f>B305-G305</f>
        <v>0</v>
      </c>
      <c r="J305">
        <f>IF(AT304&lt;=0,0,IF(ROUND(AT304*(1+'Calc base'!H305),2)-MAX('Calc base'!C$12,ROUND('Calc base'!C$13*AT304,2))&lt;1,ROUND(AT304*(1+'Calc base'!H305),2),MAX('Calc base'!C$12,ROUND('Calc base'!C$13*AT304,2))))</f>
        <v>0</v>
      </c>
      <c r="K305">
        <f>IF(AU304&lt;=0,0,IF(ROUND(AU304*(1+'Calc base'!I305),2)-MAX('Calc base'!D$12,ROUND('Calc base'!D$13*AU304,2))&lt;1,ROUND(AU304*(1+'Calc base'!I305),2),MAX('Calc base'!D$12,ROUND('Calc base'!D$13*AU304,2))))</f>
        <v>0</v>
      </c>
      <c r="L305">
        <f>IF(AV304&lt;=0,0,IF(ROUND(AV304*(1+'Calc base'!J305),2)-MAX('Calc base'!E$12,ROUND('Calc base'!E$13*AV304,2))&lt;1,ROUND(AV304*(1+'Calc base'!J305),2),MAX('Calc base'!E$12,ROUND('Calc base'!E$13*AV304,2))))</f>
        <v>0</v>
      </c>
      <c r="M305">
        <f>IF(AW304&lt;=0,0,IF(ROUND(AW304*(1+'Calc base'!K305),2)-MAX('Calc base'!F$12,ROUND('Calc base'!F$13*AW304,2))&lt;1,ROUND(AW304*(1+'Calc base'!K305),2),MAX('Calc base'!F$12,ROUND('Calc base'!F$13*AW304,2))))</f>
        <v>0</v>
      </c>
      <c r="N305">
        <f>IF(AX304&lt;=0,0,IF(ROUND(AX304*(1+'Calc base'!L305),2)-MAX('Calc base'!G$12,ROUND('Calc base'!G$13*AX304,2))&lt;1,ROUND(AX304*(1+'Calc base'!L305),2),MAX('Calc base'!G$12,ROUND('Calc base'!G$13*AX304,2))))</f>
        <v>0</v>
      </c>
      <c r="O305">
        <f>IF(AY304&lt;=0,0,IF(ROUND(AY304*(1+'Calc base'!M305),2)-MAX('Calc base'!H$12,ROUND('Calc base'!H$13*AY304,2))&lt;1,ROUND(AY304*(1+'Calc base'!M305),2),MAX('Calc base'!H$12,ROUND('Calc base'!H$13*AY304,2))))</f>
        <v>0</v>
      </c>
      <c r="P305">
        <f>IF(AZ304&lt;=0,0,IF(ROUND(AZ304*(1+'Calc base'!N305),2)-MAX('Calc base'!I$12,ROUND('Calc base'!I$13*AZ304,2))&lt;1,ROUND(AZ304*(1+'Calc base'!N305),2),MAX('Calc base'!I$12,ROUND('Calc base'!I$13*AZ304,2))))</f>
        <v>0</v>
      </c>
      <c r="Q305">
        <f>IF(BA304&lt;=0,0,IF(ROUND(BA304*(1+'Calc base'!O305),2)-MAX('Calc base'!J$12,ROUND('Calc base'!J$13*BA304,2))&lt;1,ROUND(BA304*(1+'Calc base'!O305),2),MAX('Calc base'!J$12,ROUND('Calc base'!J$13*BA304,2))))</f>
        <v>0</v>
      </c>
      <c r="R305">
        <f>IF(BB304&lt;=0,0,IF(ROUND(BB304*(1+'Calc base'!P305),2)-MAX('Calc base'!K$12,ROUND('Calc base'!K$13*BB304,2))&lt;1,ROUND(BB304*(1+'Calc base'!P305),2),MAX('Calc base'!K$12,ROUND('Calc base'!K$13*BB304,2))))</f>
        <v>0</v>
      </c>
      <c r="S305">
        <f>IF(BC304&lt;=0,0,IF(ROUND(BC304*(1+'Calc base'!Q305),2)-MAX('Calc base'!L$12,ROUND('Calc base'!L$13*BC304,2))&lt;1,ROUND(BC304*(1+'Calc base'!Q305),2),MAX('Calc base'!L$12,ROUND('Calc base'!L$13*BC304,2))))</f>
        <v>0</v>
      </c>
      <c r="T305">
        <f>IF(BD304&lt;=0,0,IF(ROUND(BD304*(1+'Calc base'!R305),2)-MAX('Calc base'!M$12,ROUND('Calc base'!M$13*BD304,2))&lt;1,ROUND(BD304*(1+'Calc base'!R305),2),MAX('Calc base'!M$12,ROUND('Calc base'!M$13*BD304,2))))</f>
        <v>0</v>
      </c>
      <c r="U305">
        <f>IF(BE304&lt;=0,0,IF(ROUND(BE304*(1+'Calc base'!S305),2)-MAX('Calc base'!N$12,ROUND('Calc base'!N$13*BE304,2))&lt;1,ROUND(BE304*(1+'Calc base'!S305),2),MAX('Calc base'!N$12,ROUND('Calc base'!N$13*BE304,2))))</f>
        <v>0</v>
      </c>
      <c r="V305">
        <f>MAX(0,ROUND(AT304*(1+'Calc base'!H305),2)-J305-'Calc base'!T305)</f>
        <v>0</v>
      </c>
      <c r="W305">
        <f>MAX(0,ROUND(AU304*(1+'Calc base'!I305),2)-K305-'Calc base'!U305)</f>
        <v>0</v>
      </c>
      <c r="X305">
        <f>MAX(0,ROUND(AV304*(1+'Calc base'!J305),2)-L305-'Calc base'!V305)</f>
        <v>0</v>
      </c>
      <c r="Y305">
        <f>MAX(0,ROUND(AW304*(1+'Calc base'!K305),2)-M305-'Calc base'!W305)</f>
        <v>0</v>
      </c>
      <c r="Z305">
        <f>MAX(0,ROUND(AX304*(1+'Calc base'!L305),2)-N305-'Calc base'!X305)</f>
        <v>0</v>
      </c>
      <c r="AA305">
        <f>MAX(0,ROUND(AY304*(1+'Calc base'!M305),2)-O305-'Calc base'!Y305)</f>
        <v>0</v>
      </c>
      <c r="AB305">
        <f>MAX(0,ROUND(AZ304*(1+'Calc base'!N305),2)-P305-'Calc base'!Z305)</f>
        <v>0</v>
      </c>
      <c r="AC305">
        <f>MAX(0,ROUND(BA304*(1+'Calc base'!O305),2)-Q305-'Calc base'!AA305)</f>
        <v>0</v>
      </c>
      <c r="AD305">
        <f>MAX(0,ROUND(BB304*(1+'Calc base'!P305),2)-R305-'Calc base'!AB305)</f>
        <v>0</v>
      </c>
      <c r="AE305">
        <f>MAX(0,ROUND(BC304*(1+'Calc base'!Q305),2)-S305-'Calc base'!AC305)</f>
        <v>0</v>
      </c>
      <c r="AF305">
        <f>MAX(0,ROUND(BD304*(1+'Calc base'!R305),2)-T305-'Calc base'!AD305)</f>
        <v>0</v>
      </c>
      <c r="AG305">
        <f>MAX(0,ROUND(BE304*(1+'Calc base'!S305),2)-U305-'Calc base'!AE305)</f>
        <v>0</v>
      </c>
      <c r="AH305">
        <f>IF('Calc base'!C$14=0,0,MIN(V305,MAX(0,$E305-SUMPRODUCT($V305:$AG305,'Calc base'!$C$14:$N$14,('Calc base'!$H305:$S305&gt;'Calc base'!H305)+('Calc base'!$H305:$S305='Calc base'!H305)*('Calc base'!$C$17:$N$17&lt;'Calc base'!C$17)))))</f>
        <v>0</v>
      </c>
      <c r="AI305">
        <f>IF('Calc base'!D$14=0,0,MIN(W305,MAX(0,$E305-SUMPRODUCT($V305:$AG305,'Calc base'!$C$14:$N$14,('Calc base'!$H305:$S305&gt;'Calc base'!I305)+('Calc base'!$H305:$S305='Calc base'!I305)*('Calc base'!$C$17:$N$17&lt;'Calc base'!D$17)))))</f>
        <v>0</v>
      </c>
      <c r="AJ305">
        <f>IF('Calc base'!E$14=0,0,MIN(X305,MAX(0,$E305-SUMPRODUCT($V305:$AG305,'Calc base'!$C$14:$N$14,('Calc base'!$H305:$S305&gt;'Calc base'!J305)+('Calc base'!$H305:$S305='Calc base'!J305)*('Calc base'!$C$17:$N$17&lt;'Calc base'!E$17)))))</f>
        <v>0</v>
      </c>
      <c r="AK305">
        <f>IF('Calc base'!F$14=0,0,MIN(Y305,MAX(0,$E305-SUMPRODUCT($V305:$AG305,'Calc base'!$C$14:$N$14,('Calc base'!$H305:$S305&gt;'Calc base'!K305)+('Calc base'!$H305:$S305='Calc base'!K305)*('Calc base'!$C$17:$N$17&lt;'Calc base'!F$17)))))</f>
        <v>0</v>
      </c>
      <c r="AL305">
        <f>IF('Calc base'!G$14=0,0,MIN(Z305,MAX(0,$E305-SUMPRODUCT($V305:$AG305,'Calc base'!$C$14:$N$14,('Calc base'!$H305:$S305&gt;'Calc base'!L305)+('Calc base'!$H305:$S305='Calc base'!L305)*('Calc base'!$C$17:$N$17&lt;'Calc base'!G$17)))))</f>
        <v>0</v>
      </c>
      <c r="AM305">
        <f>IF('Calc base'!H$14=0,0,MIN(AA305,MAX(0,$E305-SUMPRODUCT($V305:$AG305,'Calc base'!$C$14:$N$14,('Calc base'!$H305:$S305&gt;'Calc base'!M305)+('Calc base'!$H305:$S305='Calc base'!M305)*('Calc base'!$C$17:$N$17&lt;'Calc base'!H$17)))))</f>
        <v>0</v>
      </c>
      <c r="AN305">
        <f>IF('Calc base'!I$14=0,0,MIN(AB305,MAX(0,$E305-SUMPRODUCT($V305:$AG305,'Calc base'!$C$14:$N$14,('Calc base'!$H305:$S305&gt;'Calc base'!N305)+('Calc base'!$H305:$S305='Calc base'!N305)*('Calc base'!$C$17:$N$17&lt;'Calc base'!I$17)))))</f>
        <v>0</v>
      </c>
      <c r="AO305">
        <f>IF('Calc base'!J$14=0,0,MIN(AC305,MAX(0,$E305-SUMPRODUCT($V305:$AG305,'Calc base'!$C$14:$N$14,('Calc base'!$H305:$S305&gt;'Calc base'!O305)+('Calc base'!$H305:$S305='Calc base'!O305)*('Calc base'!$C$17:$N$17&lt;'Calc base'!J$17)))))</f>
        <v>0</v>
      </c>
      <c r="AP305">
        <f>IF('Calc base'!K$14=0,0,MIN(AD305,MAX(0,$E305-SUMPRODUCT($V305:$AG305,'Calc base'!$C$14:$N$14,('Calc base'!$H305:$S305&gt;'Calc base'!P305)+('Calc base'!$H305:$S305='Calc base'!P305)*('Calc base'!$C$17:$N$17&lt;'Calc base'!K$17)))))</f>
        <v>0</v>
      </c>
      <c r="AQ305">
        <f>IF('Calc base'!L$14=0,0,MIN(AE305,MAX(0,$E305-SUMPRODUCT($V305:$AG305,'Calc base'!$C$14:$N$14,('Calc base'!$H305:$S305&gt;'Calc base'!Q305)+('Calc base'!$H305:$S305='Calc base'!Q305)*('Calc base'!$C$17:$N$17&lt;'Calc base'!L$17)))))</f>
        <v>0</v>
      </c>
      <c r="AR305">
        <f>IF('Calc base'!M$14=0,0,MIN(AF305,MAX(0,$E305-SUMPRODUCT($V305:$AG305,'Calc base'!$C$14:$N$14,('Calc base'!$H305:$S305&gt;'Calc base'!R305)+('Calc base'!$H305:$S305='Calc base'!R305)*('Calc base'!$C$17:$N$17&lt;'Calc base'!M$17)))))</f>
        <v>0</v>
      </c>
      <c r="AS305">
        <f>IF('Calc base'!N$14=0,0,MIN(AG305,MAX(0,$E305-SUMPRODUCT($V305:$AG305,'Calc base'!$C$14:$N$14,('Calc base'!$H305:$S305&gt;'Calc base'!S305)+('Calc base'!$H305:$S305='Calc base'!S305)*('Calc base'!$C$17:$N$17&lt;'Calc base'!N$17)))))</f>
        <v>0</v>
      </c>
      <c r="AT305">
        <f>V305-AH305</f>
        <v>0</v>
      </c>
      <c r="AU305">
        <f>W305-AI305</f>
        <v>0</v>
      </c>
      <c r="AV305">
        <f>X305-AJ305</f>
        <v>0</v>
      </c>
      <c r="AW305">
        <f>Y305-AK305</f>
        <v>0</v>
      </c>
      <c r="AX305">
        <f>Z305-AL305</f>
        <v>0</v>
      </c>
      <c r="AY305">
        <f>AA305-AM305</f>
        <v>0</v>
      </c>
      <c r="AZ305">
        <f>AB305-AN305</f>
        <v>0</v>
      </c>
      <c r="BA305">
        <f>AC305-AO305</f>
        <v>0</v>
      </c>
      <c r="BB305">
        <f>AD305-AP305</f>
        <v>0</v>
      </c>
      <c r="BC305">
        <f>AE305-AQ305</f>
        <v>0</v>
      </c>
      <c r="BD305">
        <f>AF305-AR305</f>
        <v>0</v>
      </c>
      <c r="BE305">
        <f>AG305-AS305</f>
        <v>0</v>
      </c>
    </row>
    <row r="306">
      <c r="A306" t="n">
        <v>276</v>
      </c>
      <c r="B306">
        <f>SUMPRODUCT(ROUND($AT305:$BE305*(1+'Calc base'!$H306:$S306),2))</f>
        <v>0</v>
      </c>
      <c r="C306">
        <f>SUM(J306:U306)</f>
        <v>0</v>
      </c>
      <c r="D306">
        <f>SUM(V306:AG306)</f>
        <v>0</v>
      </c>
      <c r="E306">
        <f>MAX(0,IF(Impostazioni!$B$7="No",'Calc base'!$C306-$C$31,'Calc base'!$C306-C306)+'Calc base'!$G306+'Calc base'!$F306-(B306-C306-D306))</f>
        <v>900</v>
      </c>
      <c r="F306">
        <f>SUM(AH306:AS306)</f>
        <v>0</v>
      </c>
      <c r="G306">
        <f>SUM(AT306:BE306)</f>
        <v>0</v>
      </c>
      <c r="H306">
        <f>B306-G305</f>
        <v>0</v>
      </c>
      <c r="I306">
        <f>B306-G306</f>
        <v>0</v>
      </c>
      <c r="J306">
        <f>IF(AT305&lt;=0,0,IF(ROUND(AT305*(1+'Calc base'!H306),2)-MAX('Calc base'!C$12,ROUND('Calc base'!C$13*AT305,2))&lt;1,ROUND(AT305*(1+'Calc base'!H306),2),MAX('Calc base'!C$12,ROUND('Calc base'!C$13*AT305,2))))</f>
        <v>0</v>
      </c>
      <c r="K306">
        <f>IF(AU305&lt;=0,0,IF(ROUND(AU305*(1+'Calc base'!I306),2)-MAX('Calc base'!D$12,ROUND('Calc base'!D$13*AU305,2))&lt;1,ROUND(AU305*(1+'Calc base'!I306),2),MAX('Calc base'!D$12,ROUND('Calc base'!D$13*AU305,2))))</f>
        <v>0</v>
      </c>
      <c r="L306">
        <f>IF(AV305&lt;=0,0,IF(ROUND(AV305*(1+'Calc base'!J306),2)-MAX('Calc base'!E$12,ROUND('Calc base'!E$13*AV305,2))&lt;1,ROUND(AV305*(1+'Calc base'!J306),2),MAX('Calc base'!E$12,ROUND('Calc base'!E$13*AV305,2))))</f>
        <v>0</v>
      </c>
      <c r="M306">
        <f>IF(AW305&lt;=0,0,IF(ROUND(AW305*(1+'Calc base'!K306),2)-MAX('Calc base'!F$12,ROUND('Calc base'!F$13*AW305,2))&lt;1,ROUND(AW305*(1+'Calc base'!K306),2),MAX('Calc base'!F$12,ROUND('Calc base'!F$13*AW305,2))))</f>
        <v>0</v>
      </c>
      <c r="N306">
        <f>IF(AX305&lt;=0,0,IF(ROUND(AX305*(1+'Calc base'!L306),2)-MAX('Calc base'!G$12,ROUND('Calc base'!G$13*AX305,2))&lt;1,ROUND(AX305*(1+'Calc base'!L306),2),MAX('Calc base'!G$12,ROUND('Calc base'!G$13*AX305,2))))</f>
        <v>0</v>
      </c>
      <c r="O306">
        <f>IF(AY305&lt;=0,0,IF(ROUND(AY305*(1+'Calc base'!M306),2)-MAX('Calc base'!H$12,ROUND('Calc base'!H$13*AY305,2))&lt;1,ROUND(AY305*(1+'Calc base'!M306),2),MAX('Calc base'!H$12,ROUND('Calc base'!H$13*AY305,2))))</f>
        <v>0</v>
      </c>
      <c r="P306">
        <f>IF(AZ305&lt;=0,0,IF(ROUND(AZ305*(1+'Calc base'!N306),2)-MAX('Calc base'!I$12,ROUND('Calc base'!I$13*AZ305,2))&lt;1,ROUND(AZ305*(1+'Calc base'!N306),2),MAX('Calc base'!I$12,ROUND('Calc base'!I$13*AZ305,2))))</f>
        <v>0</v>
      </c>
      <c r="Q306">
        <f>IF(BA305&lt;=0,0,IF(ROUND(BA305*(1+'Calc base'!O306),2)-MAX('Calc base'!J$12,ROUND('Calc base'!J$13*BA305,2))&lt;1,ROUND(BA305*(1+'Calc base'!O306),2),MAX('Calc base'!J$12,ROUND('Calc base'!J$13*BA305,2))))</f>
        <v>0</v>
      </c>
      <c r="R306">
        <f>IF(BB305&lt;=0,0,IF(ROUND(BB305*(1+'Calc base'!P306),2)-MAX('Calc base'!K$12,ROUND('Calc base'!K$13*BB305,2))&lt;1,ROUND(BB305*(1+'Calc base'!P306),2),MAX('Calc base'!K$12,ROUND('Calc base'!K$13*BB305,2))))</f>
        <v>0</v>
      </c>
      <c r="S306">
        <f>IF(BC305&lt;=0,0,IF(ROUND(BC305*(1+'Calc base'!Q306),2)-MAX('Calc base'!L$12,ROUND('Calc base'!L$13*BC305,2))&lt;1,ROUND(BC305*(1+'Calc base'!Q306),2),MAX('Calc base'!L$12,ROUND('Calc base'!L$13*BC305,2))))</f>
        <v>0</v>
      </c>
      <c r="T306">
        <f>IF(BD305&lt;=0,0,IF(ROUND(BD305*(1+'Calc base'!R306),2)-MAX('Calc base'!M$12,ROUND('Calc base'!M$13*BD305,2))&lt;1,ROUND(BD305*(1+'Calc base'!R306),2),MAX('Calc base'!M$12,ROUND('Calc base'!M$13*BD305,2))))</f>
        <v>0</v>
      </c>
      <c r="U306">
        <f>IF(BE305&lt;=0,0,IF(ROUND(BE305*(1+'Calc base'!S306),2)-MAX('Calc base'!N$12,ROUND('Calc base'!N$13*BE305,2))&lt;1,ROUND(BE305*(1+'Calc base'!S306),2),MAX('Calc base'!N$12,ROUND('Calc base'!N$13*BE305,2))))</f>
        <v>0</v>
      </c>
      <c r="V306">
        <f>MAX(0,ROUND(AT305*(1+'Calc base'!H306),2)-J306-'Calc base'!T306)</f>
        <v>0</v>
      </c>
      <c r="W306">
        <f>MAX(0,ROUND(AU305*(1+'Calc base'!I306),2)-K306-'Calc base'!U306)</f>
        <v>0</v>
      </c>
      <c r="X306">
        <f>MAX(0,ROUND(AV305*(1+'Calc base'!J306),2)-L306-'Calc base'!V306)</f>
        <v>0</v>
      </c>
      <c r="Y306">
        <f>MAX(0,ROUND(AW305*(1+'Calc base'!K306),2)-M306-'Calc base'!W306)</f>
        <v>0</v>
      </c>
      <c r="Z306">
        <f>MAX(0,ROUND(AX305*(1+'Calc base'!L306),2)-N306-'Calc base'!X306)</f>
        <v>0</v>
      </c>
      <c r="AA306">
        <f>MAX(0,ROUND(AY305*(1+'Calc base'!M306),2)-O306-'Calc base'!Y306)</f>
        <v>0</v>
      </c>
      <c r="AB306">
        <f>MAX(0,ROUND(AZ305*(1+'Calc base'!N306),2)-P306-'Calc base'!Z306)</f>
        <v>0</v>
      </c>
      <c r="AC306">
        <f>MAX(0,ROUND(BA305*(1+'Calc base'!O306),2)-Q306-'Calc base'!AA306)</f>
        <v>0</v>
      </c>
      <c r="AD306">
        <f>MAX(0,ROUND(BB305*(1+'Calc base'!P306),2)-R306-'Calc base'!AB306)</f>
        <v>0</v>
      </c>
      <c r="AE306">
        <f>MAX(0,ROUND(BC305*(1+'Calc base'!Q306),2)-S306-'Calc base'!AC306)</f>
        <v>0</v>
      </c>
      <c r="AF306">
        <f>MAX(0,ROUND(BD305*(1+'Calc base'!R306),2)-T306-'Calc base'!AD306)</f>
        <v>0</v>
      </c>
      <c r="AG306">
        <f>MAX(0,ROUND(BE305*(1+'Calc base'!S306),2)-U306-'Calc base'!AE306)</f>
        <v>0</v>
      </c>
      <c r="AH306">
        <f>IF('Calc base'!C$14=0,0,MIN(V306,MAX(0,$E306-SUMPRODUCT($V306:$AG306,'Calc base'!$C$14:$N$14,('Calc base'!$H306:$S306&gt;'Calc base'!H306)+('Calc base'!$H306:$S306='Calc base'!H306)*('Calc base'!$C$17:$N$17&lt;'Calc base'!C$17)))))</f>
        <v>0</v>
      </c>
      <c r="AI306">
        <f>IF('Calc base'!D$14=0,0,MIN(W306,MAX(0,$E306-SUMPRODUCT($V306:$AG306,'Calc base'!$C$14:$N$14,('Calc base'!$H306:$S306&gt;'Calc base'!I306)+('Calc base'!$H306:$S306='Calc base'!I306)*('Calc base'!$C$17:$N$17&lt;'Calc base'!D$17)))))</f>
        <v>0</v>
      </c>
      <c r="AJ306">
        <f>IF('Calc base'!E$14=0,0,MIN(X306,MAX(0,$E306-SUMPRODUCT($V306:$AG306,'Calc base'!$C$14:$N$14,('Calc base'!$H306:$S306&gt;'Calc base'!J306)+('Calc base'!$H306:$S306='Calc base'!J306)*('Calc base'!$C$17:$N$17&lt;'Calc base'!E$17)))))</f>
        <v>0</v>
      </c>
      <c r="AK306">
        <f>IF('Calc base'!F$14=0,0,MIN(Y306,MAX(0,$E306-SUMPRODUCT($V306:$AG306,'Calc base'!$C$14:$N$14,('Calc base'!$H306:$S306&gt;'Calc base'!K306)+('Calc base'!$H306:$S306='Calc base'!K306)*('Calc base'!$C$17:$N$17&lt;'Calc base'!F$17)))))</f>
        <v>0</v>
      </c>
      <c r="AL306">
        <f>IF('Calc base'!G$14=0,0,MIN(Z306,MAX(0,$E306-SUMPRODUCT($V306:$AG306,'Calc base'!$C$14:$N$14,('Calc base'!$H306:$S306&gt;'Calc base'!L306)+('Calc base'!$H306:$S306='Calc base'!L306)*('Calc base'!$C$17:$N$17&lt;'Calc base'!G$17)))))</f>
        <v>0</v>
      </c>
      <c r="AM306">
        <f>IF('Calc base'!H$14=0,0,MIN(AA306,MAX(0,$E306-SUMPRODUCT($V306:$AG306,'Calc base'!$C$14:$N$14,('Calc base'!$H306:$S306&gt;'Calc base'!M306)+('Calc base'!$H306:$S306='Calc base'!M306)*('Calc base'!$C$17:$N$17&lt;'Calc base'!H$17)))))</f>
        <v>0</v>
      </c>
      <c r="AN306">
        <f>IF('Calc base'!I$14=0,0,MIN(AB306,MAX(0,$E306-SUMPRODUCT($V306:$AG306,'Calc base'!$C$14:$N$14,('Calc base'!$H306:$S306&gt;'Calc base'!N306)+('Calc base'!$H306:$S306='Calc base'!N306)*('Calc base'!$C$17:$N$17&lt;'Calc base'!I$17)))))</f>
        <v>0</v>
      </c>
      <c r="AO306">
        <f>IF('Calc base'!J$14=0,0,MIN(AC306,MAX(0,$E306-SUMPRODUCT($V306:$AG306,'Calc base'!$C$14:$N$14,('Calc base'!$H306:$S306&gt;'Calc base'!O306)+('Calc base'!$H306:$S306='Calc base'!O306)*('Calc base'!$C$17:$N$17&lt;'Calc base'!J$17)))))</f>
        <v>0</v>
      </c>
      <c r="AP306">
        <f>IF('Calc base'!K$14=0,0,MIN(AD306,MAX(0,$E306-SUMPRODUCT($V306:$AG306,'Calc base'!$C$14:$N$14,('Calc base'!$H306:$S306&gt;'Calc base'!P306)+('Calc base'!$H306:$S306='Calc base'!P306)*('Calc base'!$C$17:$N$17&lt;'Calc base'!K$17)))))</f>
        <v>0</v>
      </c>
      <c r="AQ306">
        <f>IF('Calc base'!L$14=0,0,MIN(AE306,MAX(0,$E306-SUMPRODUCT($V306:$AG306,'Calc base'!$C$14:$N$14,('Calc base'!$H306:$S306&gt;'Calc base'!Q306)+('Calc base'!$H306:$S306='Calc base'!Q306)*('Calc base'!$C$17:$N$17&lt;'Calc base'!L$17)))))</f>
        <v>0</v>
      </c>
      <c r="AR306">
        <f>IF('Calc base'!M$14=0,0,MIN(AF306,MAX(0,$E306-SUMPRODUCT($V306:$AG306,'Calc base'!$C$14:$N$14,('Calc base'!$H306:$S306&gt;'Calc base'!R306)+('Calc base'!$H306:$S306='Calc base'!R306)*('Calc base'!$C$17:$N$17&lt;'Calc base'!M$17)))))</f>
        <v>0</v>
      </c>
      <c r="AS306">
        <f>IF('Calc base'!N$14=0,0,MIN(AG306,MAX(0,$E306-SUMPRODUCT($V306:$AG306,'Calc base'!$C$14:$N$14,('Calc base'!$H306:$S306&gt;'Calc base'!S306)+('Calc base'!$H306:$S306='Calc base'!S306)*('Calc base'!$C$17:$N$17&lt;'Calc base'!N$17)))))</f>
        <v>0</v>
      </c>
      <c r="AT306">
        <f>V306-AH306</f>
        <v>0</v>
      </c>
      <c r="AU306">
        <f>W306-AI306</f>
        <v>0</v>
      </c>
      <c r="AV306">
        <f>X306-AJ306</f>
        <v>0</v>
      </c>
      <c r="AW306">
        <f>Y306-AK306</f>
        <v>0</v>
      </c>
      <c r="AX306">
        <f>Z306-AL306</f>
        <v>0</v>
      </c>
      <c r="AY306">
        <f>AA306-AM306</f>
        <v>0</v>
      </c>
      <c r="AZ306">
        <f>AB306-AN306</f>
        <v>0</v>
      </c>
      <c r="BA306">
        <f>AC306-AO306</f>
        <v>0</v>
      </c>
      <c r="BB306">
        <f>AD306-AP306</f>
        <v>0</v>
      </c>
      <c r="BC306">
        <f>AE306-AQ306</f>
        <v>0</v>
      </c>
      <c r="BD306">
        <f>AF306-AR306</f>
        <v>0</v>
      </c>
      <c r="BE306">
        <f>AG306-AS306</f>
        <v>0</v>
      </c>
    </row>
    <row r="307">
      <c r="A307" t="n">
        <v>277</v>
      </c>
      <c r="B307">
        <f>SUMPRODUCT(ROUND($AT306:$BE306*(1+'Calc base'!$H307:$S307),2))</f>
        <v>0</v>
      </c>
      <c r="C307">
        <f>SUM(J307:U307)</f>
        <v>0</v>
      </c>
      <c r="D307">
        <f>SUM(V307:AG307)</f>
        <v>0</v>
      </c>
      <c r="E307">
        <f>MAX(0,IF(Impostazioni!$B$7="No",'Calc base'!$C307-$C$31,'Calc base'!$C307-C307)+'Calc base'!$G307+'Calc base'!$F307-(B307-C307-D307))</f>
        <v>900</v>
      </c>
      <c r="F307">
        <f>SUM(AH307:AS307)</f>
        <v>0</v>
      </c>
      <c r="G307">
        <f>SUM(AT307:BE307)</f>
        <v>0</v>
      </c>
      <c r="H307">
        <f>B307-G306</f>
        <v>0</v>
      </c>
      <c r="I307">
        <f>B307-G307</f>
        <v>0</v>
      </c>
      <c r="J307">
        <f>IF(AT306&lt;=0,0,IF(ROUND(AT306*(1+'Calc base'!H307),2)-MAX('Calc base'!C$12,ROUND('Calc base'!C$13*AT306,2))&lt;1,ROUND(AT306*(1+'Calc base'!H307),2),MAX('Calc base'!C$12,ROUND('Calc base'!C$13*AT306,2))))</f>
        <v>0</v>
      </c>
      <c r="K307">
        <f>IF(AU306&lt;=0,0,IF(ROUND(AU306*(1+'Calc base'!I307),2)-MAX('Calc base'!D$12,ROUND('Calc base'!D$13*AU306,2))&lt;1,ROUND(AU306*(1+'Calc base'!I307),2),MAX('Calc base'!D$12,ROUND('Calc base'!D$13*AU306,2))))</f>
        <v>0</v>
      </c>
      <c r="L307">
        <f>IF(AV306&lt;=0,0,IF(ROUND(AV306*(1+'Calc base'!J307),2)-MAX('Calc base'!E$12,ROUND('Calc base'!E$13*AV306,2))&lt;1,ROUND(AV306*(1+'Calc base'!J307),2),MAX('Calc base'!E$12,ROUND('Calc base'!E$13*AV306,2))))</f>
        <v>0</v>
      </c>
      <c r="M307">
        <f>IF(AW306&lt;=0,0,IF(ROUND(AW306*(1+'Calc base'!K307),2)-MAX('Calc base'!F$12,ROUND('Calc base'!F$13*AW306,2))&lt;1,ROUND(AW306*(1+'Calc base'!K307),2),MAX('Calc base'!F$12,ROUND('Calc base'!F$13*AW306,2))))</f>
        <v>0</v>
      </c>
      <c r="N307">
        <f>IF(AX306&lt;=0,0,IF(ROUND(AX306*(1+'Calc base'!L307),2)-MAX('Calc base'!G$12,ROUND('Calc base'!G$13*AX306,2))&lt;1,ROUND(AX306*(1+'Calc base'!L307),2),MAX('Calc base'!G$12,ROUND('Calc base'!G$13*AX306,2))))</f>
        <v>0</v>
      </c>
      <c r="O307">
        <f>IF(AY306&lt;=0,0,IF(ROUND(AY306*(1+'Calc base'!M307),2)-MAX('Calc base'!H$12,ROUND('Calc base'!H$13*AY306,2))&lt;1,ROUND(AY306*(1+'Calc base'!M307),2),MAX('Calc base'!H$12,ROUND('Calc base'!H$13*AY306,2))))</f>
        <v>0</v>
      </c>
      <c r="P307">
        <f>IF(AZ306&lt;=0,0,IF(ROUND(AZ306*(1+'Calc base'!N307),2)-MAX('Calc base'!I$12,ROUND('Calc base'!I$13*AZ306,2))&lt;1,ROUND(AZ306*(1+'Calc base'!N307),2),MAX('Calc base'!I$12,ROUND('Calc base'!I$13*AZ306,2))))</f>
        <v>0</v>
      </c>
      <c r="Q307">
        <f>IF(BA306&lt;=0,0,IF(ROUND(BA306*(1+'Calc base'!O307),2)-MAX('Calc base'!J$12,ROUND('Calc base'!J$13*BA306,2))&lt;1,ROUND(BA306*(1+'Calc base'!O307),2),MAX('Calc base'!J$12,ROUND('Calc base'!J$13*BA306,2))))</f>
        <v>0</v>
      </c>
      <c r="R307">
        <f>IF(BB306&lt;=0,0,IF(ROUND(BB306*(1+'Calc base'!P307),2)-MAX('Calc base'!K$12,ROUND('Calc base'!K$13*BB306,2))&lt;1,ROUND(BB306*(1+'Calc base'!P307),2),MAX('Calc base'!K$12,ROUND('Calc base'!K$13*BB306,2))))</f>
        <v>0</v>
      </c>
      <c r="S307">
        <f>IF(BC306&lt;=0,0,IF(ROUND(BC306*(1+'Calc base'!Q307),2)-MAX('Calc base'!L$12,ROUND('Calc base'!L$13*BC306,2))&lt;1,ROUND(BC306*(1+'Calc base'!Q307),2),MAX('Calc base'!L$12,ROUND('Calc base'!L$13*BC306,2))))</f>
        <v>0</v>
      </c>
      <c r="T307">
        <f>IF(BD306&lt;=0,0,IF(ROUND(BD306*(1+'Calc base'!R307),2)-MAX('Calc base'!M$12,ROUND('Calc base'!M$13*BD306,2))&lt;1,ROUND(BD306*(1+'Calc base'!R307),2),MAX('Calc base'!M$12,ROUND('Calc base'!M$13*BD306,2))))</f>
        <v>0</v>
      </c>
      <c r="U307">
        <f>IF(BE306&lt;=0,0,IF(ROUND(BE306*(1+'Calc base'!S307),2)-MAX('Calc base'!N$12,ROUND('Calc base'!N$13*BE306,2))&lt;1,ROUND(BE306*(1+'Calc base'!S307),2),MAX('Calc base'!N$12,ROUND('Calc base'!N$13*BE306,2))))</f>
        <v>0</v>
      </c>
      <c r="V307">
        <f>MAX(0,ROUND(AT306*(1+'Calc base'!H307),2)-J307-'Calc base'!T307)</f>
        <v>0</v>
      </c>
      <c r="W307">
        <f>MAX(0,ROUND(AU306*(1+'Calc base'!I307),2)-K307-'Calc base'!U307)</f>
        <v>0</v>
      </c>
      <c r="X307">
        <f>MAX(0,ROUND(AV306*(1+'Calc base'!J307),2)-L307-'Calc base'!V307)</f>
        <v>0</v>
      </c>
      <c r="Y307">
        <f>MAX(0,ROUND(AW306*(1+'Calc base'!K307),2)-M307-'Calc base'!W307)</f>
        <v>0</v>
      </c>
      <c r="Z307">
        <f>MAX(0,ROUND(AX306*(1+'Calc base'!L307),2)-N307-'Calc base'!X307)</f>
        <v>0</v>
      </c>
      <c r="AA307">
        <f>MAX(0,ROUND(AY306*(1+'Calc base'!M307),2)-O307-'Calc base'!Y307)</f>
        <v>0</v>
      </c>
      <c r="AB307">
        <f>MAX(0,ROUND(AZ306*(1+'Calc base'!N307),2)-P307-'Calc base'!Z307)</f>
        <v>0</v>
      </c>
      <c r="AC307">
        <f>MAX(0,ROUND(BA306*(1+'Calc base'!O307),2)-Q307-'Calc base'!AA307)</f>
        <v>0</v>
      </c>
      <c r="AD307">
        <f>MAX(0,ROUND(BB306*(1+'Calc base'!P307),2)-R307-'Calc base'!AB307)</f>
        <v>0</v>
      </c>
      <c r="AE307">
        <f>MAX(0,ROUND(BC306*(1+'Calc base'!Q307),2)-S307-'Calc base'!AC307)</f>
        <v>0</v>
      </c>
      <c r="AF307">
        <f>MAX(0,ROUND(BD306*(1+'Calc base'!R307),2)-T307-'Calc base'!AD307)</f>
        <v>0</v>
      </c>
      <c r="AG307">
        <f>MAX(0,ROUND(BE306*(1+'Calc base'!S307),2)-U307-'Calc base'!AE307)</f>
        <v>0</v>
      </c>
      <c r="AH307">
        <f>IF('Calc base'!C$14=0,0,MIN(V307,MAX(0,$E307-SUMPRODUCT($V307:$AG307,'Calc base'!$C$14:$N$14,('Calc base'!$H307:$S307&gt;'Calc base'!H307)+('Calc base'!$H307:$S307='Calc base'!H307)*('Calc base'!$C$17:$N$17&lt;'Calc base'!C$17)))))</f>
        <v>0</v>
      </c>
      <c r="AI307">
        <f>IF('Calc base'!D$14=0,0,MIN(W307,MAX(0,$E307-SUMPRODUCT($V307:$AG307,'Calc base'!$C$14:$N$14,('Calc base'!$H307:$S307&gt;'Calc base'!I307)+('Calc base'!$H307:$S307='Calc base'!I307)*('Calc base'!$C$17:$N$17&lt;'Calc base'!D$17)))))</f>
        <v>0</v>
      </c>
      <c r="AJ307">
        <f>IF('Calc base'!E$14=0,0,MIN(X307,MAX(0,$E307-SUMPRODUCT($V307:$AG307,'Calc base'!$C$14:$N$14,('Calc base'!$H307:$S307&gt;'Calc base'!J307)+('Calc base'!$H307:$S307='Calc base'!J307)*('Calc base'!$C$17:$N$17&lt;'Calc base'!E$17)))))</f>
        <v>0</v>
      </c>
      <c r="AK307">
        <f>IF('Calc base'!F$14=0,0,MIN(Y307,MAX(0,$E307-SUMPRODUCT($V307:$AG307,'Calc base'!$C$14:$N$14,('Calc base'!$H307:$S307&gt;'Calc base'!K307)+('Calc base'!$H307:$S307='Calc base'!K307)*('Calc base'!$C$17:$N$17&lt;'Calc base'!F$17)))))</f>
        <v>0</v>
      </c>
      <c r="AL307">
        <f>IF('Calc base'!G$14=0,0,MIN(Z307,MAX(0,$E307-SUMPRODUCT($V307:$AG307,'Calc base'!$C$14:$N$14,('Calc base'!$H307:$S307&gt;'Calc base'!L307)+('Calc base'!$H307:$S307='Calc base'!L307)*('Calc base'!$C$17:$N$17&lt;'Calc base'!G$17)))))</f>
        <v>0</v>
      </c>
      <c r="AM307">
        <f>IF('Calc base'!H$14=0,0,MIN(AA307,MAX(0,$E307-SUMPRODUCT($V307:$AG307,'Calc base'!$C$14:$N$14,('Calc base'!$H307:$S307&gt;'Calc base'!M307)+('Calc base'!$H307:$S307='Calc base'!M307)*('Calc base'!$C$17:$N$17&lt;'Calc base'!H$17)))))</f>
        <v>0</v>
      </c>
      <c r="AN307">
        <f>IF('Calc base'!I$14=0,0,MIN(AB307,MAX(0,$E307-SUMPRODUCT($V307:$AG307,'Calc base'!$C$14:$N$14,('Calc base'!$H307:$S307&gt;'Calc base'!N307)+('Calc base'!$H307:$S307='Calc base'!N307)*('Calc base'!$C$17:$N$17&lt;'Calc base'!I$17)))))</f>
        <v>0</v>
      </c>
      <c r="AO307">
        <f>IF('Calc base'!J$14=0,0,MIN(AC307,MAX(0,$E307-SUMPRODUCT($V307:$AG307,'Calc base'!$C$14:$N$14,('Calc base'!$H307:$S307&gt;'Calc base'!O307)+('Calc base'!$H307:$S307='Calc base'!O307)*('Calc base'!$C$17:$N$17&lt;'Calc base'!J$17)))))</f>
        <v>0</v>
      </c>
      <c r="AP307">
        <f>IF('Calc base'!K$14=0,0,MIN(AD307,MAX(0,$E307-SUMPRODUCT($V307:$AG307,'Calc base'!$C$14:$N$14,('Calc base'!$H307:$S307&gt;'Calc base'!P307)+('Calc base'!$H307:$S307='Calc base'!P307)*('Calc base'!$C$17:$N$17&lt;'Calc base'!K$17)))))</f>
        <v>0</v>
      </c>
      <c r="AQ307">
        <f>IF('Calc base'!L$14=0,0,MIN(AE307,MAX(0,$E307-SUMPRODUCT($V307:$AG307,'Calc base'!$C$14:$N$14,('Calc base'!$H307:$S307&gt;'Calc base'!Q307)+('Calc base'!$H307:$S307='Calc base'!Q307)*('Calc base'!$C$17:$N$17&lt;'Calc base'!L$17)))))</f>
        <v>0</v>
      </c>
      <c r="AR307">
        <f>IF('Calc base'!M$14=0,0,MIN(AF307,MAX(0,$E307-SUMPRODUCT($V307:$AG307,'Calc base'!$C$14:$N$14,('Calc base'!$H307:$S307&gt;'Calc base'!R307)+('Calc base'!$H307:$S307='Calc base'!R307)*('Calc base'!$C$17:$N$17&lt;'Calc base'!M$17)))))</f>
        <v>0</v>
      </c>
      <c r="AS307">
        <f>IF('Calc base'!N$14=0,0,MIN(AG307,MAX(0,$E307-SUMPRODUCT($V307:$AG307,'Calc base'!$C$14:$N$14,('Calc base'!$H307:$S307&gt;'Calc base'!S307)+('Calc base'!$H307:$S307='Calc base'!S307)*('Calc base'!$C$17:$N$17&lt;'Calc base'!N$17)))))</f>
        <v>0</v>
      </c>
      <c r="AT307">
        <f>V307-AH307</f>
        <v>0</v>
      </c>
      <c r="AU307">
        <f>W307-AI307</f>
        <v>0</v>
      </c>
      <c r="AV307">
        <f>X307-AJ307</f>
        <v>0</v>
      </c>
      <c r="AW307">
        <f>Y307-AK307</f>
        <v>0</v>
      </c>
      <c r="AX307">
        <f>Z307-AL307</f>
        <v>0</v>
      </c>
      <c r="AY307">
        <f>AA307-AM307</f>
        <v>0</v>
      </c>
      <c r="AZ307">
        <f>AB307-AN307</f>
        <v>0</v>
      </c>
      <c r="BA307">
        <f>AC307-AO307</f>
        <v>0</v>
      </c>
      <c r="BB307">
        <f>AD307-AP307</f>
        <v>0</v>
      </c>
      <c r="BC307">
        <f>AE307-AQ307</f>
        <v>0</v>
      </c>
      <c r="BD307">
        <f>AF307-AR307</f>
        <v>0</v>
      </c>
      <c r="BE307">
        <f>AG307-AS307</f>
        <v>0</v>
      </c>
    </row>
    <row r="308">
      <c r="A308" t="n">
        <v>278</v>
      </c>
      <c r="B308">
        <f>SUMPRODUCT(ROUND($AT307:$BE307*(1+'Calc base'!$H308:$S308),2))</f>
        <v>0</v>
      </c>
      <c r="C308">
        <f>SUM(J308:U308)</f>
        <v>0</v>
      </c>
      <c r="D308">
        <f>SUM(V308:AG308)</f>
        <v>0</v>
      </c>
      <c r="E308">
        <f>MAX(0,IF(Impostazioni!$B$7="No",'Calc base'!$C308-$C$31,'Calc base'!$C308-C308)+'Calc base'!$G308+'Calc base'!$F308-(B308-C308-D308))</f>
        <v>900</v>
      </c>
      <c r="F308">
        <f>SUM(AH308:AS308)</f>
        <v>0</v>
      </c>
      <c r="G308">
        <f>SUM(AT308:BE308)</f>
        <v>0</v>
      </c>
      <c r="H308">
        <f>B308-G307</f>
        <v>0</v>
      </c>
      <c r="I308">
        <f>B308-G308</f>
        <v>0</v>
      </c>
      <c r="J308">
        <f>IF(AT307&lt;=0,0,IF(ROUND(AT307*(1+'Calc base'!H308),2)-MAX('Calc base'!C$12,ROUND('Calc base'!C$13*AT307,2))&lt;1,ROUND(AT307*(1+'Calc base'!H308),2),MAX('Calc base'!C$12,ROUND('Calc base'!C$13*AT307,2))))</f>
        <v>0</v>
      </c>
      <c r="K308">
        <f>IF(AU307&lt;=0,0,IF(ROUND(AU307*(1+'Calc base'!I308),2)-MAX('Calc base'!D$12,ROUND('Calc base'!D$13*AU307,2))&lt;1,ROUND(AU307*(1+'Calc base'!I308),2),MAX('Calc base'!D$12,ROUND('Calc base'!D$13*AU307,2))))</f>
        <v>0</v>
      </c>
      <c r="L308">
        <f>IF(AV307&lt;=0,0,IF(ROUND(AV307*(1+'Calc base'!J308),2)-MAX('Calc base'!E$12,ROUND('Calc base'!E$13*AV307,2))&lt;1,ROUND(AV307*(1+'Calc base'!J308),2),MAX('Calc base'!E$12,ROUND('Calc base'!E$13*AV307,2))))</f>
        <v>0</v>
      </c>
      <c r="M308">
        <f>IF(AW307&lt;=0,0,IF(ROUND(AW307*(1+'Calc base'!K308),2)-MAX('Calc base'!F$12,ROUND('Calc base'!F$13*AW307,2))&lt;1,ROUND(AW307*(1+'Calc base'!K308),2),MAX('Calc base'!F$12,ROUND('Calc base'!F$13*AW307,2))))</f>
        <v>0</v>
      </c>
      <c r="N308">
        <f>IF(AX307&lt;=0,0,IF(ROUND(AX307*(1+'Calc base'!L308),2)-MAX('Calc base'!G$12,ROUND('Calc base'!G$13*AX307,2))&lt;1,ROUND(AX307*(1+'Calc base'!L308),2),MAX('Calc base'!G$12,ROUND('Calc base'!G$13*AX307,2))))</f>
        <v>0</v>
      </c>
      <c r="O308">
        <f>IF(AY307&lt;=0,0,IF(ROUND(AY307*(1+'Calc base'!M308),2)-MAX('Calc base'!H$12,ROUND('Calc base'!H$13*AY307,2))&lt;1,ROUND(AY307*(1+'Calc base'!M308),2),MAX('Calc base'!H$12,ROUND('Calc base'!H$13*AY307,2))))</f>
        <v>0</v>
      </c>
      <c r="P308">
        <f>IF(AZ307&lt;=0,0,IF(ROUND(AZ307*(1+'Calc base'!N308),2)-MAX('Calc base'!I$12,ROUND('Calc base'!I$13*AZ307,2))&lt;1,ROUND(AZ307*(1+'Calc base'!N308),2),MAX('Calc base'!I$12,ROUND('Calc base'!I$13*AZ307,2))))</f>
        <v>0</v>
      </c>
      <c r="Q308">
        <f>IF(BA307&lt;=0,0,IF(ROUND(BA307*(1+'Calc base'!O308),2)-MAX('Calc base'!J$12,ROUND('Calc base'!J$13*BA307,2))&lt;1,ROUND(BA307*(1+'Calc base'!O308),2),MAX('Calc base'!J$12,ROUND('Calc base'!J$13*BA307,2))))</f>
        <v>0</v>
      </c>
      <c r="R308">
        <f>IF(BB307&lt;=0,0,IF(ROUND(BB307*(1+'Calc base'!P308),2)-MAX('Calc base'!K$12,ROUND('Calc base'!K$13*BB307,2))&lt;1,ROUND(BB307*(1+'Calc base'!P308),2),MAX('Calc base'!K$12,ROUND('Calc base'!K$13*BB307,2))))</f>
        <v>0</v>
      </c>
      <c r="S308">
        <f>IF(BC307&lt;=0,0,IF(ROUND(BC307*(1+'Calc base'!Q308),2)-MAX('Calc base'!L$12,ROUND('Calc base'!L$13*BC307,2))&lt;1,ROUND(BC307*(1+'Calc base'!Q308),2),MAX('Calc base'!L$12,ROUND('Calc base'!L$13*BC307,2))))</f>
        <v>0</v>
      </c>
      <c r="T308">
        <f>IF(BD307&lt;=0,0,IF(ROUND(BD307*(1+'Calc base'!R308),2)-MAX('Calc base'!M$12,ROUND('Calc base'!M$13*BD307,2))&lt;1,ROUND(BD307*(1+'Calc base'!R308),2),MAX('Calc base'!M$12,ROUND('Calc base'!M$13*BD307,2))))</f>
        <v>0</v>
      </c>
      <c r="U308">
        <f>IF(BE307&lt;=0,0,IF(ROUND(BE307*(1+'Calc base'!S308),2)-MAX('Calc base'!N$12,ROUND('Calc base'!N$13*BE307,2))&lt;1,ROUND(BE307*(1+'Calc base'!S308),2),MAX('Calc base'!N$12,ROUND('Calc base'!N$13*BE307,2))))</f>
        <v>0</v>
      </c>
      <c r="V308">
        <f>MAX(0,ROUND(AT307*(1+'Calc base'!H308),2)-J308-'Calc base'!T308)</f>
        <v>0</v>
      </c>
      <c r="W308">
        <f>MAX(0,ROUND(AU307*(1+'Calc base'!I308),2)-K308-'Calc base'!U308)</f>
        <v>0</v>
      </c>
      <c r="X308">
        <f>MAX(0,ROUND(AV307*(1+'Calc base'!J308),2)-L308-'Calc base'!V308)</f>
        <v>0</v>
      </c>
      <c r="Y308">
        <f>MAX(0,ROUND(AW307*(1+'Calc base'!K308),2)-M308-'Calc base'!W308)</f>
        <v>0</v>
      </c>
      <c r="Z308">
        <f>MAX(0,ROUND(AX307*(1+'Calc base'!L308),2)-N308-'Calc base'!X308)</f>
        <v>0</v>
      </c>
      <c r="AA308">
        <f>MAX(0,ROUND(AY307*(1+'Calc base'!M308),2)-O308-'Calc base'!Y308)</f>
        <v>0</v>
      </c>
      <c r="AB308">
        <f>MAX(0,ROUND(AZ307*(1+'Calc base'!N308),2)-P308-'Calc base'!Z308)</f>
        <v>0</v>
      </c>
      <c r="AC308">
        <f>MAX(0,ROUND(BA307*(1+'Calc base'!O308),2)-Q308-'Calc base'!AA308)</f>
        <v>0</v>
      </c>
      <c r="AD308">
        <f>MAX(0,ROUND(BB307*(1+'Calc base'!P308),2)-R308-'Calc base'!AB308)</f>
        <v>0</v>
      </c>
      <c r="AE308">
        <f>MAX(0,ROUND(BC307*(1+'Calc base'!Q308),2)-S308-'Calc base'!AC308)</f>
        <v>0</v>
      </c>
      <c r="AF308">
        <f>MAX(0,ROUND(BD307*(1+'Calc base'!R308),2)-T308-'Calc base'!AD308)</f>
        <v>0</v>
      </c>
      <c r="AG308">
        <f>MAX(0,ROUND(BE307*(1+'Calc base'!S308),2)-U308-'Calc base'!AE308)</f>
        <v>0</v>
      </c>
      <c r="AH308">
        <f>IF('Calc base'!C$14=0,0,MIN(V308,MAX(0,$E308-SUMPRODUCT($V308:$AG308,'Calc base'!$C$14:$N$14,('Calc base'!$H308:$S308&gt;'Calc base'!H308)+('Calc base'!$H308:$S308='Calc base'!H308)*('Calc base'!$C$17:$N$17&lt;'Calc base'!C$17)))))</f>
        <v>0</v>
      </c>
      <c r="AI308">
        <f>IF('Calc base'!D$14=0,0,MIN(W308,MAX(0,$E308-SUMPRODUCT($V308:$AG308,'Calc base'!$C$14:$N$14,('Calc base'!$H308:$S308&gt;'Calc base'!I308)+('Calc base'!$H308:$S308='Calc base'!I308)*('Calc base'!$C$17:$N$17&lt;'Calc base'!D$17)))))</f>
        <v>0</v>
      </c>
      <c r="AJ308">
        <f>IF('Calc base'!E$14=0,0,MIN(X308,MAX(0,$E308-SUMPRODUCT($V308:$AG308,'Calc base'!$C$14:$N$14,('Calc base'!$H308:$S308&gt;'Calc base'!J308)+('Calc base'!$H308:$S308='Calc base'!J308)*('Calc base'!$C$17:$N$17&lt;'Calc base'!E$17)))))</f>
        <v>0</v>
      </c>
      <c r="AK308">
        <f>IF('Calc base'!F$14=0,0,MIN(Y308,MAX(0,$E308-SUMPRODUCT($V308:$AG308,'Calc base'!$C$14:$N$14,('Calc base'!$H308:$S308&gt;'Calc base'!K308)+('Calc base'!$H308:$S308='Calc base'!K308)*('Calc base'!$C$17:$N$17&lt;'Calc base'!F$17)))))</f>
        <v>0</v>
      </c>
      <c r="AL308">
        <f>IF('Calc base'!G$14=0,0,MIN(Z308,MAX(0,$E308-SUMPRODUCT($V308:$AG308,'Calc base'!$C$14:$N$14,('Calc base'!$H308:$S308&gt;'Calc base'!L308)+('Calc base'!$H308:$S308='Calc base'!L308)*('Calc base'!$C$17:$N$17&lt;'Calc base'!G$17)))))</f>
        <v>0</v>
      </c>
      <c r="AM308">
        <f>IF('Calc base'!H$14=0,0,MIN(AA308,MAX(0,$E308-SUMPRODUCT($V308:$AG308,'Calc base'!$C$14:$N$14,('Calc base'!$H308:$S308&gt;'Calc base'!M308)+('Calc base'!$H308:$S308='Calc base'!M308)*('Calc base'!$C$17:$N$17&lt;'Calc base'!H$17)))))</f>
        <v>0</v>
      </c>
      <c r="AN308">
        <f>IF('Calc base'!I$14=0,0,MIN(AB308,MAX(0,$E308-SUMPRODUCT($V308:$AG308,'Calc base'!$C$14:$N$14,('Calc base'!$H308:$S308&gt;'Calc base'!N308)+('Calc base'!$H308:$S308='Calc base'!N308)*('Calc base'!$C$17:$N$17&lt;'Calc base'!I$17)))))</f>
        <v>0</v>
      </c>
      <c r="AO308">
        <f>IF('Calc base'!J$14=0,0,MIN(AC308,MAX(0,$E308-SUMPRODUCT($V308:$AG308,'Calc base'!$C$14:$N$14,('Calc base'!$H308:$S308&gt;'Calc base'!O308)+('Calc base'!$H308:$S308='Calc base'!O308)*('Calc base'!$C$17:$N$17&lt;'Calc base'!J$17)))))</f>
        <v>0</v>
      </c>
      <c r="AP308">
        <f>IF('Calc base'!K$14=0,0,MIN(AD308,MAX(0,$E308-SUMPRODUCT($V308:$AG308,'Calc base'!$C$14:$N$14,('Calc base'!$H308:$S308&gt;'Calc base'!P308)+('Calc base'!$H308:$S308='Calc base'!P308)*('Calc base'!$C$17:$N$17&lt;'Calc base'!K$17)))))</f>
        <v>0</v>
      </c>
      <c r="AQ308">
        <f>IF('Calc base'!L$14=0,0,MIN(AE308,MAX(0,$E308-SUMPRODUCT($V308:$AG308,'Calc base'!$C$14:$N$14,('Calc base'!$H308:$S308&gt;'Calc base'!Q308)+('Calc base'!$H308:$S308='Calc base'!Q308)*('Calc base'!$C$17:$N$17&lt;'Calc base'!L$17)))))</f>
        <v>0</v>
      </c>
      <c r="AR308">
        <f>IF('Calc base'!M$14=0,0,MIN(AF308,MAX(0,$E308-SUMPRODUCT($V308:$AG308,'Calc base'!$C$14:$N$14,('Calc base'!$H308:$S308&gt;'Calc base'!R308)+('Calc base'!$H308:$S308='Calc base'!R308)*('Calc base'!$C$17:$N$17&lt;'Calc base'!M$17)))))</f>
        <v>0</v>
      </c>
      <c r="AS308">
        <f>IF('Calc base'!N$14=0,0,MIN(AG308,MAX(0,$E308-SUMPRODUCT($V308:$AG308,'Calc base'!$C$14:$N$14,('Calc base'!$H308:$S308&gt;'Calc base'!S308)+('Calc base'!$H308:$S308='Calc base'!S308)*('Calc base'!$C$17:$N$17&lt;'Calc base'!N$17)))))</f>
        <v>0</v>
      </c>
      <c r="AT308">
        <f>V308-AH308</f>
        <v>0</v>
      </c>
      <c r="AU308">
        <f>W308-AI308</f>
        <v>0</v>
      </c>
      <c r="AV308">
        <f>X308-AJ308</f>
        <v>0</v>
      </c>
      <c r="AW308">
        <f>Y308-AK308</f>
        <v>0</v>
      </c>
      <c r="AX308">
        <f>Z308-AL308</f>
        <v>0</v>
      </c>
      <c r="AY308">
        <f>AA308-AM308</f>
        <v>0</v>
      </c>
      <c r="AZ308">
        <f>AB308-AN308</f>
        <v>0</v>
      </c>
      <c r="BA308">
        <f>AC308-AO308</f>
        <v>0</v>
      </c>
      <c r="BB308">
        <f>AD308-AP308</f>
        <v>0</v>
      </c>
      <c r="BC308">
        <f>AE308-AQ308</f>
        <v>0</v>
      </c>
      <c r="BD308">
        <f>AF308-AR308</f>
        <v>0</v>
      </c>
      <c r="BE308">
        <f>AG308-AS308</f>
        <v>0</v>
      </c>
    </row>
    <row r="309">
      <c r="A309" t="n">
        <v>279</v>
      </c>
      <c r="B309">
        <f>SUMPRODUCT(ROUND($AT308:$BE308*(1+'Calc base'!$H309:$S309),2))</f>
        <v>0</v>
      </c>
      <c r="C309">
        <f>SUM(J309:U309)</f>
        <v>0</v>
      </c>
      <c r="D309">
        <f>SUM(V309:AG309)</f>
        <v>0</v>
      </c>
      <c r="E309">
        <f>MAX(0,IF(Impostazioni!$B$7="No",'Calc base'!$C309-$C$31,'Calc base'!$C309-C309)+'Calc base'!$G309+'Calc base'!$F309-(B309-C309-D309))</f>
        <v>900</v>
      </c>
      <c r="F309">
        <f>SUM(AH309:AS309)</f>
        <v>0</v>
      </c>
      <c r="G309">
        <f>SUM(AT309:BE309)</f>
        <v>0</v>
      </c>
      <c r="H309">
        <f>B309-G308</f>
        <v>0</v>
      </c>
      <c r="I309">
        <f>B309-G309</f>
        <v>0</v>
      </c>
      <c r="J309">
        <f>IF(AT308&lt;=0,0,IF(ROUND(AT308*(1+'Calc base'!H309),2)-MAX('Calc base'!C$12,ROUND('Calc base'!C$13*AT308,2))&lt;1,ROUND(AT308*(1+'Calc base'!H309),2),MAX('Calc base'!C$12,ROUND('Calc base'!C$13*AT308,2))))</f>
        <v>0</v>
      </c>
      <c r="K309">
        <f>IF(AU308&lt;=0,0,IF(ROUND(AU308*(1+'Calc base'!I309),2)-MAX('Calc base'!D$12,ROUND('Calc base'!D$13*AU308,2))&lt;1,ROUND(AU308*(1+'Calc base'!I309),2),MAX('Calc base'!D$12,ROUND('Calc base'!D$13*AU308,2))))</f>
        <v>0</v>
      </c>
      <c r="L309">
        <f>IF(AV308&lt;=0,0,IF(ROUND(AV308*(1+'Calc base'!J309),2)-MAX('Calc base'!E$12,ROUND('Calc base'!E$13*AV308,2))&lt;1,ROUND(AV308*(1+'Calc base'!J309),2),MAX('Calc base'!E$12,ROUND('Calc base'!E$13*AV308,2))))</f>
        <v>0</v>
      </c>
      <c r="M309">
        <f>IF(AW308&lt;=0,0,IF(ROUND(AW308*(1+'Calc base'!K309),2)-MAX('Calc base'!F$12,ROUND('Calc base'!F$13*AW308,2))&lt;1,ROUND(AW308*(1+'Calc base'!K309),2),MAX('Calc base'!F$12,ROUND('Calc base'!F$13*AW308,2))))</f>
        <v>0</v>
      </c>
      <c r="N309">
        <f>IF(AX308&lt;=0,0,IF(ROUND(AX308*(1+'Calc base'!L309),2)-MAX('Calc base'!G$12,ROUND('Calc base'!G$13*AX308,2))&lt;1,ROUND(AX308*(1+'Calc base'!L309),2),MAX('Calc base'!G$12,ROUND('Calc base'!G$13*AX308,2))))</f>
        <v>0</v>
      </c>
      <c r="O309">
        <f>IF(AY308&lt;=0,0,IF(ROUND(AY308*(1+'Calc base'!M309),2)-MAX('Calc base'!H$12,ROUND('Calc base'!H$13*AY308,2))&lt;1,ROUND(AY308*(1+'Calc base'!M309),2),MAX('Calc base'!H$12,ROUND('Calc base'!H$13*AY308,2))))</f>
        <v>0</v>
      </c>
      <c r="P309">
        <f>IF(AZ308&lt;=0,0,IF(ROUND(AZ308*(1+'Calc base'!N309),2)-MAX('Calc base'!I$12,ROUND('Calc base'!I$13*AZ308,2))&lt;1,ROUND(AZ308*(1+'Calc base'!N309),2),MAX('Calc base'!I$12,ROUND('Calc base'!I$13*AZ308,2))))</f>
        <v>0</v>
      </c>
      <c r="Q309">
        <f>IF(BA308&lt;=0,0,IF(ROUND(BA308*(1+'Calc base'!O309),2)-MAX('Calc base'!J$12,ROUND('Calc base'!J$13*BA308,2))&lt;1,ROUND(BA308*(1+'Calc base'!O309),2),MAX('Calc base'!J$12,ROUND('Calc base'!J$13*BA308,2))))</f>
        <v>0</v>
      </c>
      <c r="R309">
        <f>IF(BB308&lt;=0,0,IF(ROUND(BB308*(1+'Calc base'!P309),2)-MAX('Calc base'!K$12,ROUND('Calc base'!K$13*BB308,2))&lt;1,ROUND(BB308*(1+'Calc base'!P309),2),MAX('Calc base'!K$12,ROUND('Calc base'!K$13*BB308,2))))</f>
        <v>0</v>
      </c>
      <c r="S309">
        <f>IF(BC308&lt;=0,0,IF(ROUND(BC308*(1+'Calc base'!Q309),2)-MAX('Calc base'!L$12,ROUND('Calc base'!L$13*BC308,2))&lt;1,ROUND(BC308*(1+'Calc base'!Q309),2),MAX('Calc base'!L$12,ROUND('Calc base'!L$13*BC308,2))))</f>
        <v>0</v>
      </c>
      <c r="T309">
        <f>IF(BD308&lt;=0,0,IF(ROUND(BD308*(1+'Calc base'!R309),2)-MAX('Calc base'!M$12,ROUND('Calc base'!M$13*BD308,2))&lt;1,ROUND(BD308*(1+'Calc base'!R309),2),MAX('Calc base'!M$12,ROUND('Calc base'!M$13*BD308,2))))</f>
        <v>0</v>
      </c>
      <c r="U309">
        <f>IF(BE308&lt;=0,0,IF(ROUND(BE308*(1+'Calc base'!S309),2)-MAX('Calc base'!N$12,ROUND('Calc base'!N$13*BE308,2))&lt;1,ROUND(BE308*(1+'Calc base'!S309),2),MAX('Calc base'!N$12,ROUND('Calc base'!N$13*BE308,2))))</f>
        <v>0</v>
      </c>
      <c r="V309">
        <f>MAX(0,ROUND(AT308*(1+'Calc base'!H309),2)-J309-'Calc base'!T309)</f>
        <v>0</v>
      </c>
      <c r="W309">
        <f>MAX(0,ROUND(AU308*(1+'Calc base'!I309),2)-K309-'Calc base'!U309)</f>
        <v>0</v>
      </c>
      <c r="X309">
        <f>MAX(0,ROUND(AV308*(1+'Calc base'!J309),2)-L309-'Calc base'!V309)</f>
        <v>0</v>
      </c>
      <c r="Y309">
        <f>MAX(0,ROUND(AW308*(1+'Calc base'!K309),2)-M309-'Calc base'!W309)</f>
        <v>0</v>
      </c>
      <c r="Z309">
        <f>MAX(0,ROUND(AX308*(1+'Calc base'!L309),2)-N309-'Calc base'!X309)</f>
        <v>0</v>
      </c>
      <c r="AA309">
        <f>MAX(0,ROUND(AY308*(1+'Calc base'!M309),2)-O309-'Calc base'!Y309)</f>
        <v>0</v>
      </c>
      <c r="AB309">
        <f>MAX(0,ROUND(AZ308*(1+'Calc base'!N309),2)-P309-'Calc base'!Z309)</f>
        <v>0</v>
      </c>
      <c r="AC309">
        <f>MAX(0,ROUND(BA308*(1+'Calc base'!O309),2)-Q309-'Calc base'!AA309)</f>
        <v>0</v>
      </c>
      <c r="AD309">
        <f>MAX(0,ROUND(BB308*(1+'Calc base'!P309),2)-R309-'Calc base'!AB309)</f>
        <v>0</v>
      </c>
      <c r="AE309">
        <f>MAX(0,ROUND(BC308*(1+'Calc base'!Q309),2)-S309-'Calc base'!AC309)</f>
        <v>0</v>
      </c>
      <c r="AF309">
        <f>MAX(0,ROUND(BD308*(1+'Calc base'!R309),2)-T309-'Calc base'!AD309)</f>
        <v>0</v>
      </c>
      <c r="AG309">
        <f>MAX(0,ROUND(BE308*(1+'Calc base'!S309),2)-U309-'Calc base'!AE309)</f>
        <v>0</v>
      </c>
      <c r="AH309">
        <f>IF('Calc base'!C$14=0,0,MIN(V309,MAX(0,$E309-SUMPRODUCT($V309:$AG309,'Calc base'!$C$14:$N$14,('Calc base'!$H309:$S309&gt;'Calc base'!H309)+('Calc base'!$H309:$S309='Calc base'!H309)*('Calc base'!$C$17:$N$17&lt;'Calc base'!C$17)))))</f>
        <v>0</v>
      </c>
      <c r="AI309">
        <f>IF('Calc base'!D$14=0,0,MIN(W309,MAX(0,$E309-SUMPRODUCT($V309:$AG309,'Calc base'!$C$14:$N$14,('Calc base'!$H309:$S309&gt;'Calc base'!I309)+('Calc base'!$H309:$S309='Calc base'!I309)*('Calc base'!$C$17:$N$17&lt;'Calc base'!D$17)))))</f>
        <v>0</v>
      </c>
      <c r="AJ309">
        <f>IF('Calc base'!E$14=0,0,MIN(X309,MAX(0,$E309-SUMPRODUCT($V309:$AG309,'Calc base'!$C$14:$N$14,('Calc base'!$H309:$S309&gt;'Calc base'!J309)+('Calc base'!$H309:$S309='Calc base'!J309)*('Calc base'!$C$17:$N$17&lt;'Calc base'!E$17)))))</f>
        <v>0</v>
      </c>
      <c r="AK309">
        <f>IF('Calc base'!F$14=0,0,MIN(Y309,MAX(0,$E309-SUMPRODUCT($V309:$AG309,'Calc base'!$C$14:$N$14,('Calc base'!$H309:$S309&gt;'Calc base'!K309)+('Calc base'!$H309:$S309='Calc base'!K309)*('Calc base'!$C$17:$N$17&lt;'Calc base'!F$17)))))</f>
        <v>0</v>
      </c>
      <c r="AL309">
        <f>IF('Calc base'!G$14=0,0,MIN(Z309,MAX(0,$E309-SUMPRODUCT($V309:$AG309,'Calc base'!$C$14:$N$14,('Calc base'!$H309:$S309&gt;'Calc base'!L309)+('Calc base'!$H309:$S309='Calc base'!L309)*('Calc base'!$C$17:$N$17&lt;'Calc base'!G$17)))))</f>
        <v>0</v>
      </c>
      <c r="AM309">
        <f>IF('Calc base'!H$14=0,0,MIN(AA309,MAX(0,$E309-SUMPRODUCT($V309:$AG309,'Calc base'!$C$14:$N$14,('Calc base'!$H309:$S309&gt;'Calc base'!M309)+('Calc base'!$H309:$S309='Calc base'!M309)*('Calc base'!$C$17:$N$17&lt;'Calc base'!H$17)))))</f>
        <v>0</v>
      </c>
      <c r="AN309">
        <f>IF('Calc base'!I$14=0,0,MIN(AB309,MAX(0,$E309-SUMPRODUCT($V309:$AG309,'Calc base'!$C$14:$N$14,('Calc base'!$H309:$S309&gt;'Calc base'!N309)+('Calc base'!$H309:$S309='Calc base'!N309)*('Calc base'!$C$17:$N$17&lt;'Calc base'!I$17)))))</f>
        <v>0</v>
      </c>
      <c r="AO309">
        <f>IF('Calc base'!J$14=0,0,MIN(AC309,MAX(0,$E309-SUMPRODUCT($V309:$AG309,'Calc base'!$C$14:$N$14,('Calc base'!$H309:$S309&gt;'Calc base'!O309)+('Calc base'!$H309:$S309='Calc base'!O309)*('Calc base'!$C$17:$N$17&lt;'Calc base'!J$17)))))</f>
        <v>0</v>
      </c>
      <c r="AP309">
        <f>IF('Calc base'!K$14=0,0,MIN(AD309,MAX(0,$E309-SUMPRODUCT($V309:$AG309,'Calc base'!$C$14:$N$14,('Calc base'!$H309:$S309&gt;'Calc base'!P309)+('Calc base'!$H309:$S309='Calc base'!P309)*('Calc base'!$C$17:$N$17&lt;'Calc base'!K$17)))))</f>
        <v>0</v>
      </c>
      <c r="AQ309">
        <f>IF('Calc base'!L$14=0,0,MIN(AE309,MAX(0,$E309-SUMPRODUCT($V309:$AG309,'Calc base'!$C$14:$N$14,('Calc base'!$H309:$S309&gt;'Calc base'!Q309)+('Calc base'!$H309:$S309='Calc base'!Q309)*('Calc base'!$C$17:$N$17&lt;'Calc base'!L$17)))))</f>
        <v>0</v>
      </c>
      <c r="AR309">
        <f>IF('Calc base'!M$14=0,0,MIN(AF309,MAX(0,$E309-SUMPRODUCT($V309:$AG309,'Calc base'!$C$14:$N$14,('Calc base'!$H309:$S309&gt;'Calc base'!R309)+('Calc base'!$H309:$S309='Calc base'!R309)*('Calc base'!$C$17:$N$17&lt;'Calc base'!M$17)))))</f>
        <v>0</v>
      </c>
      <c r="AS309">
        <f>IF('Calc base'!N$14=0,0,MIN(AG309,MAX(0,$E309-SUMPRODUCT($V309:$AG309,'Calc base'!$C$14:$N$14,('Calc base'!$H309:$S309&gt;'Calc base'!S309)+('Calc base'!$H309:$S309='Calc base'!S309)*('Calc base'!$C$17:$N$17&lt;'Calc base'!N$17)))))</f>
        <v>0</v>
      </c>
      <c r="AT309">
        <f>V309-AH309</f>
        <v>0</v>
      </c>
      <c r="AU309">
        <f>W309-AI309</f>
        <v>0</v>
      </c>
      <c r="AV309">
        <f>X309-AJ309</f>
        <v>0</v>
      </c>
      <c r="AW309">
        <f>Y309-AK309</f>
        <v>0</v>
      </c>
      <c r="AX309">
        <f>Z309-AL309</f>
        <v>0</v>
      </c>
      <c r="AY309">
        <f>AA309-AM309</f>
        <v>0</v>
      </c>
      <c r="AZ309">
        <f>AB309-AN309</f>
        <v>0</v>
      </c>
      <c r="BA309">
        <f>AC309-AO309</f>
        <v>0</v>
      </c>
      <c r="BB309">
        <f>AD309-AP309</f>
        <v>0</v>
      </c>
      <c r="BC309">
        <f>AE309-AQ309</f>
        <v>0</v>
      </c>
      <c r="BD309">
        <f>AF309-AR309</f>
        <v>0</v>
      </c>
      <c r="BE309">
        <f>AG309-AS309</f>
        <v>0</v>
      </c>
    </row>
    <row r="310">
      <c r="A310" t="n">
        <v>280</v>
      </c>
      <c r="B310">
        <f>SUMPRODUCT(ROUND($AT309:$BE309*(1+'Calc base'!$H310:$S310),2))</f>
        <v>0</v>
      </c>
      <c r="C310">
        <f>SUM(J310:U310)</f>
        <v>0</v>
      </c>
      <c r="D310">
        <f>SUM(V310:AG310)</f>
        <v>0</v>
      </c>
      <c r="E310">
        <f>MAX(0,IF(Impostazioni!$B$7="No",'Calc base'!$C310-$C$31,'Calc base'!$C310-C310)+'Calc base'!$G310+'Calc base'!$F310-(B310-C310-D310))</f>
        <v>900</v>
      </c>
      <c r="F310">
        <f>SUM(AH310:AS310)</f>
        <v>0</v>
      </c>
      <c r="G310">
        <f>SUM(AT310:BE310)</f>
        <v>0</v>
      </c>
      <c r="H310">
        <f>B310-G309</f>
        <v>0</v>
      </c>
      <c r="I310">
        <f>B310-G310</f>
        <v>0</v>
      </c>
      <c r="J310">
        <f>IF(AT309&lt;=0,0,IF(ROUND(AT309*(1+'Calc base'!H310),2)-MAX('Calc base'!C$12,ROUND('Calc base'!C$13*AT309,2))&lt;1,ROUND(AT309*(1+'Calc base'!H310),2),MAX('Calc base'!C$12,ROUND('Calc base'!C$13*AT309,2))))</f>
        <v>0</v>
      </c>
      <c r="K310">
        <f>IF(AU309&lt;=0,0,IF(ROUND(AU309*(1+'Calc base'!I310),2)-MAX('Calc base'!D$12,ROUND('Calc base'!D$13*AU309,2))&lt;1,ROUND(AU309*(1+'Calc base'!I310),2),MAX('Calc base'!D$12,ROUND('Calc base'!D$13*AU309,2))))</f>
        <v>0</v>
      </c>
      <c r="L310">
        <f>IF(AV309&lt;=0,0,IF(ROUND(AV309*(1+'Calc base'!J310),2)-MAX('Calc base'!E$12,ROUND('Calc base'!E$13*AV309,2))&lt;1,ROUND(AV309*(1+'Calc base'!J310),2),MAX('Calc base'!E$12,ROUND('Calc base'!E$13*AV309,2))))</f>
        <v>0</v>
      </c>
      <c r="M310">
        <f>IF(AW309&lt;=0,0,IF(ROUND(AW309*(1+'Calc base'!K310),2)-MAX('Calc base'!F$12,ROUND('Calc base'!F$13*AW309,2))&lt;1,ROUND(AW309*(1+'Calc base'!K310),2),MAX('Calc base'!F$12,ROUND('Calc base'!F$13*AW309,2))))</f>
        <v>0</v>
      </c>
      <c r="N310">
        <f>IF(AX309&lt;=0,0,IF(ROUND(AX309*(1+'Calc base'!L310),2)-MAX('Calc base'!G$12,ROUND('Calc base'!G$13*AX309,2))&lt;1,ROUND(AX309*(1+'Calc base'!L310),2),MAX('Calc base'!G$12,ROUND('Calc base'!G$13*AX309,2))))</f>
        <v>0</v>
      </c>
      <c r="O310">
        <f>IF(AY309&lt;=0,0,IF(ROUND(AY309*(1+'Calc base'!M310),2)-MAX('Calc base'!H$12,ROUND('Calc base'!H$13*AY309,2))&lt;1,ROUND(AY309*(1+'Calc base'!M310),2),MAX('Calc base'!H$12,ROUND('Calc base'!H$13*AY309,2))))</f>
        <v>0</v>
      </c>
      <c r="P310">
        <f>IF(AZ309&lt;=0,0,IF(ROUND(AZ309*(1+'Calc base'!N310),2)-MAX('Calc base'!I$12,ROUND('Calc base'!I$13*AZ309,2))&lt;1,ROUND(AZ309*(1+'Calc base'!N310),2),MAX('Calc base'!I$12,ROUND('Calc base'!I$13*AZ309,2))))</f>
        <v>0</v>
      </c>
      <c r="Q310">
        <f>IF(BA309&lt;=0,0,IF(ROUND(BA309*(1+'Calc base'!O310),2)-MAX('Calc base'!J$12,ROUND('Calc base'!J$13*BA309,2))&lt;1,ROUND(BA309*(1+'Calc base'!O310),2),MAX('Calc base'!J$12,ROUND('Calc base'!J$13*BA309,2))))</f>
        <v>0</v>
      </c>
      <c r="R310">
        <f>IF(BB309&lt;=0,0,IF(ROUND(BB309*(1+'Calc base'!P310),2)-MAX('Calc base'!K$12,ROUND('Calc base'!K$13*BB309,2))&lt;1,ROUND(BB309*(1+'Calc base'!P310),2),MAX('Calc base'!K$12,ROUND('Calc base'!K$13*BB309,2))))</f>
        <v>0</v>
      </c>
      <c r="S310">
        <f>IF(BC309&lt;=0,0,IF(ROUND(BC309*(1+'Calc base'!Q310),2)-MAX('Calc base'!L$12,ROUND('Calc base'!L$13*BC309,2))&lt;1,ROUND(BC309*(1+'Calc base'!Q310),2),MAX('Calc base'!L$12,ROUND('Calc base'!L$13*BC309,2))))</f>
        <v>0</v>
      </c>
      <c r="T310">
        <f>IF(BD309&lt;=0,0,IF(ROUND(BD309*(1+'Calc base'!R310),2)-MAX('Calc base'!M$12,ROUND('Calc base'!M$13*BD309,2))&lt;1,ROUND(BD309*(1+'Calc base'!R310),2),MAX('Calc base'!M$12,ROUND('Calc base'!M$13*BD309,2))))</f>
        <v>0</v>
      </c>
      <c r="U310">
        <f>IF(BE309&lt;=0,0,IF(ROUND(BE309*(1+'Calc base'!S310),2)-MAX('Calc base'!N$12,ROUND('Calc base'!N$13*BE309,2))&lt;1,ROUND(BE309*(1+'Calc base'!S310),2),MAX('Calc base'!N$12,ROUND('Calc base'!N$13*BE309,2))))</f>
        <v>0</v>
      </c>
      <c r="V310">
        <f>MAX(0,ROUND(AT309*(1+'Calc base'!H310),2)-J310-'Calc base'!T310)</f>
        <v>0</v>
      </c>
      <c r="W310">
        <f>MAX(0,ROUND(AU309*(1+'Calc base'!I310),2)-K310-'Calc base'!U310)</f>
        <v>0</v>
      </c>
      <c r="X310">
        <f>MAX(0,ROUND(AV309*(1+'Calc base'!J310),2)-L310-'Calc base'!V310)</f>
        <v>0</v>
      </c>
      <c r="Y310">
        <f>MAX(0,ROUND(AW309*(1+'Calc base'!K310),2)-M310-'Calc base'!W310)</f>
        <v>0</v>
      </c>
      <c r="Z310">
        <f>MAX(0,ROUND(AX309*(1+'Calc base'!L310),2)-N310-'Calc base'!X310)</f>
        <v>0</v>
      </c>
      <c r="AA310">
        <f>MAX(0,ROUND(AY309*(1+'Calc base'!M310),2)-O310-'Calc base'!Y310)</f>
        <v>0</v>
      </c>
      <c r="AB310">
        <f>MAX(0,ROUND(AZ309*(1+'Calc base'!N310),2)-P310-'Calc base'!Z310)</f>
        <v>0</v>
      </c>
      <c r="AC310">
        <f>MAX(0,ROUND(BA309*(1+'Calc base'!O310),2)-Q310-'Calc base'!AA310)</f>
        <v>0</v>
      </c>
      <c r="AD310">
        <f>MAX(0,ROUND(BB309*(1+'Calc base'!P310),2)-R310-'Calc base'!AB310)</f>
        <v>0</v>
      </c>
      <c r="AE310">
        <f>MAX(0,ROUND(BC309*(1+'Calc base'!Q310),2)-S310-'Calc base'!AC310)</f>
        <v>0</v>
      </c>
      <c r="AF310">
        <f>MAX(0,ROUND(BD309*(1+'Calc base'!R310),2)-T310-'Calc base'!AD310)</f>
        <v>0</v>
      </c>
      <c r="AG310">
        <f>MAX(0,ROUND(BE309*(1+'Calc base'!S310),2)-U310-'Calc base'!AE310)</f>
        <v>0</v>
      </c>
      <c r="AH310">
        <f>IF('Calc base'!C$14=0,0,MIN(V310,MAX(0,$E310-SUMPRODUCT($V310:$AG310,'Calc base'!$C$14:$N$14,('Calc base'!$H310:$S310&gt;'Calc base'!H310)+('Calc base'!$H310:$S310='Calc base'!H310)*('Calc base'!$C$17:$N$17&lt;'Calc base'!C$17)))))</f>
        <v>0</v>
      </c>
      <c r="AI310">
        <f>IF('Calc base'!D$14=0,0,MIN(W310,MAX(0,$E310-SUMPRODUCT($V310:$AG310,'Calc base'!$C$14:$N$14,('Calc base'!$H310:$S310&gt;'Calc base'!I310)+('Calc base'!$H310:$S310='Calc base'!I310)*('Calc base'!$C$17:$N$17&lt;'Calc base'!D$17)))))</f>
        <v>0</v>
      </c>
      <c r="AJ310">
        <f>IF('Calc base'!E$14=0,0,MIN(X310,MAX(0,$E310-SUMPRODUCT($V310:$AG310,'Calc base'!$C$14:$N$14,('Calc base'!$H310:$S310&gt;'Calc base'!J310)+('Calc base'!$H310:$S310='Calc base'!J310)*('Calc base'!$C$17:$N$17&lt;'Calc base'!E$17)))))</f>
        <v>0</v>
      </c>
      <c r="AK310">
        <f>IF('Calc base'!F$14=0,0,MIN(Y310,MAX(0,$E310-SUMPRODUCT($V310:$AG310,'Calc base'!$C$14:$N$14,('Calc base'!$H310:$S310&gt;'Calc base'!K310)+('Calc base'!$H310:$S310='Calc base'!K310)*('Calc base'!$C$17:$N$17&lt;'Calc base'!F$17)))))</f>
        <v>0</v>
      </c>
      <c r="AL310">
        <f>IF('Calc base'!G$14=0,0,MIN(Z310,MAX(0,$E310-SUMPRODUCT($V310:$AG310,'Calc base'!$C$14:$N$14,('Calc base'!$H310:$S310&gt;'Calc base'!L310)+('Calc base'!$H310:$S310='Calc base'!L310)*('Calc base'!$C$17:$N$17&lt;'Calc base'!G$17)))))</f>
        <v>0</v>
      </c>
      <c r="AM310">
        <f>IF('Calc base'!H$14=0,0,MIN(AA310,MAX(0,$E310-SUMPRODUCT($V310:$AG310,'Calc base'!$C$14:$N$14,('Calc base'!$H310:$S310&gt;'Calc base'!M310)+('Calc base'!$H310:$S310='Calc base'!M310)*('Calc base'!$C$17:$N$17&lt;'Calc base'!H$17)))))</f>
        <v>0</v>
      </c>
      <c r="AN310">
        <f>IF('Calc base'!I$14=0,0,MIN(AB310,MAX(0,$E310-SUMPRODUCT($V310:$AG310,'Calc base'!$C$14:$N$14,('Calc base'!$H310:$S310&gt;'Calc base'!N310)+('Calc base'!$H310:$S310='Calc base'!N310)*('Calc base'!$C$17:$N$17&lt;'Calc base'!I$17)))))</f>
        <v>0</v>
      </c>
      <c r="AO310">
        <f>IF('Calc base'!J$14=0,0,MIN(AC310,MAX(0,$E310-SUMPRODUCT($V310:$AG310,'Calc base'!$C$14:$N$14,('Calc base'!$H310:$S310&gt;'Calc base'!O310)+('Calc base'!$H310:$S310='Calc base'!O310)*('Calc base'!$C$17:$N$17&lt;'Calc base'!J$17)))))</f>
        <v>0</v>
      </c>
      <c r="AP310">
        <f>IF('Calc base'!K$14=0,0,MIN(AD310,MAX(0,$E310-SUMPRODUCT($V310:$AG310,'Calc base'!$C$14:$N$14,('Calc base'!$H310:$S310&gt;'Calc base'!P310)+('Calc base'!$H310:$S310='Calc base'!P310)*('Calc base'!$C$17:$N$17&lt;'Calc base'!K$17)))))</f>
        <v>0</v>
      </c>
      <c r="AQ310">
        <f>IF('Calc base'!L$14=0,0,MIN(AE310,MAX(0,$E310-SUMPRODUCT($V310:$AG310,'Calc base'!$C$14:$N$14,('Calc base'!$H310:$S310&gt;'Calc base'!Q310)+('Calc base'!$H310:$S310='Calc base'!Q310)*('Calc base'!$C$17:$N$17&lt;'Calc base'!L$17)))))</f>
        <v>0</v>
      </c>
      <c r="AR310">
        <f>IF('Calc base'!M$14=0,0,MIN(AF310,MAX(0,$E310-SUMPRODUCT($V310:$AG310,'Calc base'!$C$14:$N$14,('Calc base'!$H310:$S310&gt;'Calc base'!R310)+('Calc base'!$H310:$S310='Calc base'!R310)*('Calc base'!$C$17:$N$17&lt;'Calc base'!M$17)))))</f>
        <v>0</v>
      </c>
      <c r="AS310">
        <f>IF('Calc base'!N$14=0,0,MIN(AG310,MAX(0,$E310-SUMPRODUCT($V310:$AG310,'Calc base'!$C$14:$N$14,('Calc base'!$H310:$S310&gt;'Calc base'!S310)+('Calc base'!$H310:$S310='Calc base'!S310)*('Calc base'!$C$17:$N$17&lt;'Calc base'!N$17)))))</f>
        <v>0</v>
      </c>
      <c r="AT310">
        <f>V310-AH310</f>
        <v>0</v>
      </c>
      <c r="AU310">
        <f>W310-AI310</f>
        <v>0</v>
      </c>
      <c r="AV310">
        <f>X310-AJ310</f>
        <v>0</v>
      </c>
      <c r="AW310">
        <f>Y310-AK310</f>
        <v>0</v>
      </c>
      <c r="AX310">
        <f>Z310-AL310</f>
        <v>0</v>
      </c>
      <c r="AY310">
        <f>AA310-AM310</f>
        <v>0</v>
      </c>
      <c r="AZ310">
        <f>AB310-AN310</f>
        <v>0</v>
      </c>
      <c r="BA310">
        <f>AC310-AO310</f>
        <v>0</v>
      </c>
      <c r="BB310">
        <f>AD310-AP310</f>
        <v>0</v>
      </c>
      <c r="BC310">
        <f>AE310-AQ310</f>
        <v>0</v>
      </c>
      <c r="BD310">
        <f>AF310-AR310</f>
        <v>0</v>
      </c>
      <c r="BE310">
        <f>AG310-AS310</f>
        <v>0</v>
      </c>
    </row>
    <row r="311">
      <c r="A311" t="n">
        <v>281</v>
      </c>
      <c r="B311">
        <f>SUMPRODUCT(ROUND($AT310:$BE310*(1+'Calc base'!$H311:$S311),2))</f>
        <v>0</v>
      </c>
      <c r="C311">
        <f>SUM(J311:U311)</f>
        <v>0</v>
      </c>
      <c r="D311">
        <f>SUM(V311:AG311)</f>
        <v>0</v>
      </c>
      <c r="E311">
        <f>MAX(0,IF(Impostazioni!$B$7="No",'Calc base'!$C311-$C$31,'Calc base'!$C311-C311)+'Calc base'!$G311+'Calc base'!$F311-(B311-C311-D311))</f>
        <v>900</v>
      </c>
      <c r="F311">
        <f>SUM(AH311:AS311)</f>
        <v>0</v>
      </c>
      <c r="G311">
        <f>SUM(AT311:BE311)</f>
        <v>0</v>
      </c>
      <c r="H311">
        <f>B311-G310</f>
        <v>0</v>
      </c>
      <c r="I311">
        <f>B311-G311</f>
        <v>0</v>
      </c>
      <c r="J311">
        <f>IF(AT310&lt;=0,0,IF(ROUND(AT310*(1+'Calc base'!H311),2)-MAX('Calc base'!C$12,ROUND('Calc base'!C$13*AT310,2))&lt;1,ROUND(AT310*(1+'Calc base'!H311),2),MAX('Calc base'!C$12,ROUND('Calc base'!C$13*AT310,2))))</f>
        <v>0</v>
      </c>
      <c r="K311">
        <f>IF(AU310&lt;=0,0,IF(ROUND(AU310*(1+'Calc base'!I311),2)-MAX('Calc base'!D$12,ROUND('Calc base'!D$13*AU310,2))&lt;1,ROUND(AU310*(1+'Calc base'!I311),2),MAX('Calc base'!D$12,ROUND('Calc base'!D$13*AU310,2))))</f>
        <v>0</v>
      </c>
      <c r="L311">
        <f>IF(AV310&lt;=0,0,IF(ROUND(AV310*(1+'Calc base'!J311),2)-MAX('Calc base'!E$12,ROUND('Calc base'!E$13*AV310,2))&lt;1,ROUND(AV310*(1+'Calc base'!J311),2),MAX('Calc base'!E$12,ROUND('Calc base'!E$13*AV310,2))))</f>
        <v>0</v>
      </c>
      <c r="M311">
        <f>IF(AW310&lt;=0,0,IF(ROUND(AW310*(1+'Calc base'!K311),2)-MAX('Calc base'!F$12,ROUND('Calc base'!F$13*AW310,2))&lt;1,ROUND(AW310*(1+'Calc base'!K311),2),MAX('Calc base'!F$12,ROUND('Calc base'!F$13*AW310,2))))</f>
        <v>0</v>
      </c>
      <c r="N311">
        <f>IF(AX310&lt;=0,0,IF(ROUND(AX310*(1+'Calc base'!L311),2)-MAX('Calc base'!G$12,ROUND('Calc base'!G$13*AX310,2))&lt;1,ROUND(AX310*(1+'Calc base'!L311),2),MAX('Calc base'!G$12,ROUND('Calc base'!G$13*AX310,2))))</f>
        <v>0</v>
      </c>
      <c r="O311">
        <f>IF(AY310&lt;=0,0,IF(ROUND(AY310*(1+'Calc base'!M311),2)-MAX('Calc base'!H$12,ROUND('Calc base'!H$13*AY310,2))&lt;1,ROUND(AY310*(1+'Calc base'!M311),2),MAX('Calc base'!H$12,ROUND('Calc base'!H$13*AY310,2))))</f>
        <v>0</v>
      </c>
      <c r="P311">
        <f>IF(AZ310&lt;=0,0,IF(ROUND(AZ310*(1+'Calc base'!N311),2)-MAX('Calc base'!I$12,ROUND('Calc base'!I$13*AZ310,2))&lt;1,ROUND(AZ310*(1+'Calc base'!N311),2),MAX('Calc base'!I$12,ROUND('Calc base'!I$13*AZ310,2))))</f>
        <v>0</v>
      </c>
      <c r="Q311">
        <f>IF(BA310&lt;=0,0,IF(ROUND(BA310*(1+'Calc base'!O311),2)-MAX('Calc base'!J$12,ROUND('Calc base'!J$13*BA310,2))&lt;1,ROUND(BA310*(1+'Calc base'!O311),2),MAX('Calc base'!J$12,ROUND('Calc base'!J$13*BA310,2))))</f>
        <v>0</v>
      </c>
      <c r="R311">
        <f>IF(BB310&lt;=0,0,IF(ROUND(BB310*(1+'Calc base'!P311),2)-MAX('Calc base'!K$12,ROUND('Calc base'!K$13*BB310,2))&lt;1,ROUND(BB310*(1+'Calc base'!P311),2),MAX('Calc base'!K$12,ROUND('Calc base'!K$13*BB310,2))))</f>
        <v>0</v>
      </c>
      <c r="S311">
        <f>IF(BC310&lt;=0,0,IF(ROUND(BC310*(1+'Calc base'!Q311),2)-MAX('Calc base'!L$12,ROUND('Calc base'!L$13*BC310,2))&lt;1,ROUND(BC310*(1+'Calc base'!Q311),2),MAX('Calc base'!L$12,ROUND('Calc base'!L$13*BC310,2))))</f>
        <v>0</v>
      </c>
      <c r="T311">
        <f>IF(BD310&lt;=0,0,IF(ROUND(BD310*(1+'Calc base'!R311),2)-MAX('Calc base'!M$12,ROUND('Calc base'!M$13*BD310,2))&lt;1,ROUND(BD310*(1+'Calc base'!R311),2),MAX('Calc base'!M$12,ROUND('Calc base'!M$13*BD310,2))))</f>
        <v>0</v>
      </c>
      <c r="U311">
        <f>IF(BE310&lt;=0,0,IF(ROUND(BE310*(1+'Calc base'!S311),2)-MAX('Calc base'!N$12,ROUND('Calc base'!N$13*BE310,2))&lt;1,ROUND(BE310*(1+'Calc base'!S311),2),MAX('Calc base'!N$12,ROUND('Calc base'!N$13*BE310,2))))</f>
        <v>0</v>
      </c>
      <c r="V311">
        <f>MAX(0,ROUND(AT310*(1+'Calc base'!H311),2)-J311-'Calc base'!T311)</f>
        <v>0</v>
      </c>
      <c r="W311">
        <f>MAX(0,ROUND(AU310*(1+'Calc base'!I311),2)-K311-'Calc base'!U311)</f>
        <v>0</v>
      </c>
      <c r="X311">
        <f>MAX(0,ROUND(AV310*(1+'Calc base'!J311),2)-L311-'Calc base'!V311)</f>
        <v>0</v>
      </c>
      <c r="Y311">
        <f>MAX(0,ROUND(AW310*(1+'Calc base'!K311),2)-M311-'Calc base'!W311)</f>
        <v>0</v>
      </c>
      <c r="Z311">
        <f>MAX(0,ROUND(AX310*(1+'Calc base'!L311),2)-N311-'Calc base'!X311)</f>
        <v>0</v>
      </c>
      <c r="AA311">
        <f>MAX(0,ROUND(AY310*(1+'Calc base'!M311),2)-O311-'Calc base'!Y311)</f>
        <v>0</v>
      </c>
      <c r="AB311">
        <f>MAX(0,ROUND(AZ310*(1+'Calc base'!N311),2)-P311-'Calc base'!Z311)</f>
        <v>0</v>
      </c>
      <c r="AC311">
        <f>MAX(0,ROUND(BA310*(1+'Calc base'!O311),2)-Q311-'Calc base'!AA311)</f>
        <v>0</v>
      </c>
      <c r="AD311">
        <f>MAX(0,ROUND(BB310*(1+'Calc base'!P311),2)-R311-'Calc base'!AB311)</f>
        <v>0</v>
      </c>
      <c r="AE311">
        <f>MAX(0,ROUND(BC310*(1+'Calc base'!Q311),2)-S311-'Calc base'!AC311)</f>
        <v>0</v>
      </c>
      <c r="AF311">
        <f>MAX(0,ROUND(BD310*(1+'Calc base'!R311),2)-T311-'Calc base'!AD311)</f>
        <v>0</v>
      </c>
      <c r="AG311">
        <f>MAX(0,ROUND(BE310*(1+'Calc base'!S311),2)-U311-'Calc base'!AE311)</f>
        <v>0</v>
      </c>
      <c r="AH311">
        <f>IF('Calc base'!C$14=0,0,MIN(V311,MAX(0,$E311-SUMPRODUCT($V311:$AG311,'Calc base'!$C$14:$N$14,('Calc base'!$H311:$S311&gt;'Calc base'!H311)+('Calc base'!$H311:$S311='Calc base'!H311)*('Calc base'!$C$17:$N$17&lt;'Calc base'!C$17)))))</f>
        <v>0</v>
      </c>
      <c r="AI311">
        <f>IF('Calc base'!D$14=0,0,MIN(W311,MAX(0,$E311-SUMPRODUCT($V311:$AG311,'Calc base'!$C$14:$N$14,('Calc base'!$H311:$S311&gt;'Calc base'!I311)+('Calc base'!$H311:$S311='Calc base'!I311)*('Calc base'!$C$17:$N$17&lt;'Calc base'!D$17)))))</f>
        <v>0</v>
      </c>
      <c r="AJ311">
        <f>IF('Calc base'!E$14=0,0,MIN(X311,MAX(0,$E311-SUMPRODUCT($V311:$AG311,'Calc base'!$C$14:$N$14,('Calc base'!$H311:$S311&gt;'Calc base'!J311)+('Calc base'!$H311:$S311='Calc base'!J311)*('Calc base'!$C$17:$N$17&lt;'Calc base'!E$17)))))</f>
        <v>0</v>
      </c>
      <c r="AK311">
        <f>IF('Calc base'!F$14=0,0,MIN(Y311,MAX(0,$E311-SUMPRODUCT($V311:$AG311,'Calc base'!$C$14:$N$14,('Calc base'!$H311:$S311&gt;'Calc base'!K311)+('Calc base'!$H311:$S311='Calc base'!K311)*('Calc base'!$C$17:$N$17&lt;'Calc base'!F$17)))))</f>
        <v>0</v>
      </c>
      <c r="AL311">
        <f>IF('Calc base'!G$14=0,0,MIN(Z311,MAX(0,$E311-SUMPRODUCT($V311:$AG311,'Calc base'!$C$14:$N$14,('Calc base'!$H311:$S311&gt;'Calc base'!L311)+('Calc base'!$H311:$S311='Calc base'!L311)*('Calc base'!$C$17:$N$17&lt;'Calc base'!G$17)))))</f>
        <v>0</v>
      </c>
      <c r="AM311">
        <f>IF('Calc base'!H$14=0,0,MIN(AA311,MAX(0,$E311-SUMPRODUCT($V311:$AG311,'Calc base'!$C$14:$N$14,('Calc base'!$H311:$S311&gt;'Calc base'!M311)+('Calc base'!$H311:$S311='Calc base'!M311)*('Calc base'!$C$17:$N$17&lt;'Calc base'!H$17)))))</f>
        <v>0</v>
      </c>
      <c r="AN311">
        <f>IF('Calc base'!I$14=0,0,MIN(AB311,MAX(0,$E311-SUMPRODUCT($V311:$AG311,'Calc base'!$C$14:$N$14,('Calc base'!$H311:$S311&gt;'Calc base'!N311)+('Calc base'!$H311:$S311='Calc base'!N311)*('Calc base'!$C$17:$N$17&lt;'Calc base'!I$17)))))</f>
        <v>0</v>
      </c>
      <c r="AO311">
        <f>IF('Calc base'!J$14=0,0,MIN(AC311,MAX(0,$E311-SUMPRODUCT($V311:$AG311,'Calc base'!$C$14:$N$14,('Calc base'!$H311:$S311&gt;'Calc base'!O311)+('Calc base'!$H311:$S311='Calc base'!O311)*('Calc base'!$C$17:$N$17&lt;'Calc base'!J$17)))))</f>
        <v>0</v>
      </c>
      <c r="AP311">
        <f>IF('Calc base'!K$14=0,0,MIN(AD311,MAX(0,$E311-SUMPRODUCT($V311:$AG311,'Calc base'!$C$14:$N$14,('Calc base'!$H311:$S311&gt;'Calc base'!P311)+('Calc base'!$H311:$S311='Calc base'!P311)*('Calc base'!$C$17:$N$17&lt;'Calc base'!K$17)))))</f>
        <v>0</v>
      </c>
      <c r="AQ311">
        <f>IF('Calc base'!L$14=0,0,MIN(AE311,MAX(0,$E311-SUMPRODUCT($V311:$AG311,'Calc base'!$C$14:$N$14,('Calc base'!$H311:$S311&gt;'Calc base'!Q311)+('Calc base'!$H311:$S311='Calc base'!Q311)*('Calc base'!$C$17:$N$17&lt;'Calc base'!L$17)))))</f>
        <v>0</v>
      </c>
      <c r="AR311">
        <f>IF('Calc base'!M$14=0,0,MIN(AF311,MAX(0,$E311-SUMPRODUCT($V311:$AG311,'Calc base'!$C$14:$N$14,('Calc base'!$H311:$S311&gt;'Calc base'!R311)+('Calc base'!$H311:$S311='Calc base'!R311)*('Calc base'!$C$17:$N$17&lt;'Calc base'!M$17)))))</f>
        <v>0</v>
      </c>
      <c r="AS311">
        <f>IF('Calc base'!N$14=0,0,MIN(AG311,MAX(0,$E311-SUMPRODUCT($V311:$AG311,'Calc base'!$C$14:$N$14,('Calc base'!$H311:$S311&gt;'Calc base'!S311)+('Calc base'!$H311:$S311='Calc base'!S311)*('Calc base'!$C$17:$N$17&lt;'Calc base'!N$17)))))</f>
        <v>0</v>
      </c>
      <c r="AT311">
        <f>V311-AH311</f>
        <v>0</v>
      </c>
      <c r="AU311">
        <f>W311-AI311</f>
        <v>0</v>
      </c>
      <c r="AV311">
        <f>X311-AJ311</f>
        <v>0</v>
      </c>
      <c r="AW311">
        <f>Y311-AK311</f>
        <v>0</v>
      </c>
      <c r="AX311">
        <f>Z311-AL311</f>
        <v>0</v>
      </c>
      <c r="AY311">
        <f>AA311-AM311</f>
        <v>0</v>
      </c>
      <c r="AZ311">
        <f>AB311-AN311</f>
        <v>0</v>
      </c>
      <c r="BA311">
        <f>AC311-AO311</f>
        <v>0</v>
      </c>
      <c r="BB311">
        <f>AD311-AP311</f>
        <v>0</v>
      </c>
      <c r="BC311">
        <f>AE311-AQ311</f>
        <v>0</v>
      </c>
      <c r="BD311">
        <f>AF311-AR311</f>
        <v>0</v>
      </c>
      <c r="BE311">
        <f>AG311-AS311</f>
        <v>0</v>
      </c>
    </row>
    <row r="312">
      <c r="A312" t="n">
        <v>282</v>
      </c>
      <c r="B312">
        <f>SUMPRODUCT(ROUND($AT311:$BE311*(1+'Calc base'!$H312:$S312),2))</f>
        <v>0</v>
      </c>
      <c r="C312">
        <f>SUM(J312:U312)</f>
        <v>0</v>
      </c>
      <c r="D312">
        <f>SUM(V312:AG312)</f>
        <v>0</v>
      </c>
      <c r="E312">
        <f>MAX(0,IF(Impostazioni!$B$7="No",'Calc base'!$C312-$C$31,'Calc base'!$C312-C312)+'Calc base'!$G312+'Calc base'!$F312-(B312-C312-D312))</f>
        <v>900</v>
      </c>
      <c r="F312">
        <f>SUM(AH312:AS312)</f>
        <v>0</v>
      </c>
      <c r="G312">
        <f>SUM(AT312:BE312)</f>
        <v>0</v>
      </c>
      <c r="H312">
        <f>B312-G311</f>
        <v>0</v>
      </c>
      <c r="I312">
        <f>B312-G312</f>
        <v>0</v>
      </c>
      <c r="J312">
        <f>IF(AT311&lt;=0,0,IF(ROUND(AT311*(1+'Calc base'!H312),2)-MAX('Calc base'!C$12,ROUND('Calc base'!C$13*AT311,2))&lt;1,ROUND(AT311*(1+'Calc base'!H312),2),MAX('Calc base'!C$12,ROUND('Calc base'!C$13*AT311,2))))</f>
        <v>0</v>
      </c>
      <c r="K312">
        <f>IF(AU311&lt;=0,0,IF(ROUND(AU311*(1+'Calc base'!I312),2)-MAX('Calc base'!D$12,ROUND('Calc base'!D$13*AU311,2))&lt;1,ROUND(AU311*(1+'Calc base'!I312),2),MAX('Calc base'!D$12,ROUND('Calc base'!D$13*AU311,2))))</f>
        <v>0</v>
      </c>
      <c r="L312">
        <f>IF(AV311&lt;=0,0,IF(ROUND(AV311*(1+'Calc base'!J312),2)-MAX('Calc base'!E$12,ROUND('Calc base'!E$13*AV311,2))&lt;1,ROUND(AV311*(1+'Calc base'!J312),2),MAX('Calc base'!E$12,ROUND('Calc base'!E$13*AV311,2))))</f>
        <v>0</v>
      </c>
      <c r="M312">
        <f>IF(AW311&lt;=0,0,IF(ROUND(AW311*(1+'Calc base'!K312),2)-MAX('Calc base'!F$12,ROUND('Calc base'!F$13*AW311,2))&lt;1,ROUND(AW311*(1+'Calc base'!K312),2),MAX('Calc base'!F$12,ROUND('Calc base'!F$13*AW311,2))))</f>
        <v>0</v>
      </c>
      <c r="N312">
        <f>IF(AX311&lt;=0,0,IF(ROUND(AX311*(1+'Calc base'!L312),2)-MAX('Calc base'!G$12,ROUND('Calc base'!G$13*AX311,2))&lt;1,ROUND(AX311*(1+'Calc base'!L312),2),MAX('Calc base'!G$12,ROUND('Calc base'!G$13*AX311,2))))</f>
        <v>0</v>
      </c>
      <c r="O312">
        <f>IF(AY311&lt;=0,0,IF(ROUND(AY311*(1+'Calc base'!M312),2)-MAX('Calc base'!H$12,ROUND('Calc base'!H$13*AY311,2))&lt;1,ROUND(AY311*(1+'Calc base'!M312),2),MAX('Calc base'!H$12,ROUND('Calc base'!H$13*AY311,2))))</f>
        <v>0</v>
      </c>
      <c r="P312">
        <f>IF(AZ311&lt;=0,0,IF(ROUND(AZ311*(1+'Calc base'!N312),2)-MAX('Calc base'!I$12,ROUND('Calc base'!I$13*AZ311,2))&lt;1,ROUND(AZ311*(1+'Calc base'!N312),2),MAX('Calc base'!I$12,ROUND('Calc base'!I$13*AZ311,2))))</f>
        <v>0</v>
      </c>
      <c r="Q312">
        <f>IF(BA311&lt;=0,0,IF(ROUND(BA311*(1+'Calc base'!O312),2)-MAX('Calc base'!J$12,ROUND('Calc base'!J$13*BA311,2))&lt;1,ROUND(BA311*(1+'Calc base'!O312),2),MAX('Calc base'!J$12,ROUND('Calc base'!J$13*BA311,2))))</f>
        <v>0</v>
      </c>
      <c r="R312">
        <f>IF(BB311&lt;=0,0,IF(ROUND(BB311*(1+'Calc base'!P312),2)-MAX('Calc base'!K$12,ROUND('Calc base'!K$13*BB311,2))&lt;1,ROUND(BB311*(1+'Calc base'!P312),2),MAX('Calc base'!K$12,ROUND('Calc base'!K$13*BB311,2))))</f>
        <v>0</v>
      </c>
      <c r="S312">
        <f>IF(BC311&lt;=0,0,IF(ROUND(BC311*(1+'Calc base'!Q312),2)-MAX('Calc base'!L$12,ROUND('Calc base'!L$13*BC311,2))&lt;1,ROUND(BC311*(1+'Calc base'!Q312),2),MAX('Calc base'!L$12,ROUND('Calc base'!L$13*BC311,2))))</f>
        <v>0</v>
      </c>
      <c r="T312">
        <f>IF(BD311&lt;=0,0,IF(ROUND(BD311*(1+'Calc base'!R312),2)-MAX('Calc base'!M$12,ROUND('Calc base'!M$13*BD311,2))&lt;1,ROUND(BD311*(1+'Calc base'!R312),2),MAX('Calc base'!M$12,ROUND('Calc base'!M$13*BD311,2))))</f>
        <v>0</v>
      </c>
      <c r="U312">
        <f>IF(BE311&lt;=0,0,IF(ROUND(BE311*(1+'Calc base'!S312),2)-MAX('Calc base'!N$12,ROUND('Calc base'!N$13*BE311,2))&lt;1,ROUND(BE311*(1+'Calc base'!S312),2),MAX('Calc base'!N$12,ROUND('Calc base'!N$13*BE311,2))))</f>
        <v>0</v>
      </c>
      <c r="V312">
        <f>MAX(0,ROUND(AT311*(1+'Calc base'!H312),2)-J312-'Calc base'!T312)</f>
        <v>0</v>
      </c>
      <c r="W312">
        <f>MAX(0,ROUND(AU311*(1+'Calc base'!I312),2)-K312-'Calc base'!U312)</f>
        <v>0</v>
      </c>
      <c r="X312">
        <f>MAX(0,ROUND(AV311*(1+'Calc base'!J312),2)-L312-'Calc base'!V312)</f>
        <v>0</v>
      </c>
      <c r="Y312">
        <f>MAX(0,ROUND(AW311*(1+'Calc base'!K312),2)-M312-'Calc base'!W312)</f>
        <v>0</v>
      </c>
      <c r="Z312">
        <f>MAX(0,ROUND(AX311*(1+'Calc base'!L312),2)-N312-'Calc base'!X312)</f>
        <v>0</v>
      </c>
      <c r="AA312">
        <f>MAX(0,ROUND(AY311*(1+'Calc base'!M312),2)-O312-'Calc base'!Y312)</f>
        <v>0</v>
      </c>
      <c r="AB312">
        <f>MAX(0,ROUND(AZ311*(1+'Calc base'!N312),2)-P312-'Calc base'!Z312)</f>
        <v>0</v>
      </c>
      <c r="AC312">
        <f>MAX(0,ROUND(BA311*(1+'Calc base'!O312),2)-Q312-'Calc base'!AA312)</f>
        <v>0</v>
      </c>
      <c r="AD312">
        <f>MAX(0,ROUND(BB311*(1+'Calc base'!P312),2)-R312-'Calc base'!AB312)</f>
        <v>0</v>
      </c>
      <c r="AE312">
        <f>MAX(0,ROUND(BC311*(1+'Calc base'!Q312),2)-S312-'Calc base'!AC312)</f>
        <v>0</v>
      </c>
      <c r="AF312">
        <f>MAX(0,ROUND(BD311*(1+'Calc base'!R312),2)-T312-'Calc base'!AD312)</f>
        <v>0</v>
      </c>
      <c r="AG312">
        <f>MAX(0,ROUND(BE311*(1+'Calc base'!S312),2)-U312-'Calc base'!AE312)</f>
        <v>0</v>
      </c>
      <c r="AH312">
        <f>IF('Calc base'!C$14=0,0,MIN(V312,MAX(0,$E312-SUMPRODUCT($V312:$AG312,'Calc base'!$C$14:$N$14,('Calc base'!$H312:$S312&gt;'Calc base'!H312)+('Calc base'!$H312:$S312='Calc base'!H312)*('Calc base'!$C$17:$N$17&lt;'Calc base'!C$17)))))</f>
        <v>0</v>
      </c>
      <c r="AI312">
        <f>IF('Calc base'!D$14=0,0,MIN(W312,MAX(0,$E312-SUMPRODUCT($V312:$AG312,'Calc base'!$C$14:$N$14,('Calc base'!$H312:$S312&gt;'Calc base'!I312)+('Calc base'!$H312:$S312='Calc base'!I312)*('Calc base'!$C$17:$N$17&lt;'Calc base'!D$17)))))</f>
        <v>0</v>
      </c>
      <c r="AJ312">
        <f>IF('Calc base'!E$14=0,0,MIN(X312,MAX(0,$E312-SUMPRODUCT($V312:$AG312,'Calc base'!$C$14:$N$14,('Calc base'!$H312:$S312&gt;'Calc base'!J312)+('Calc base'!$H312:$S312='Calc base'!J312)*('Calc base'!$C$17:$N$17&lt;'Calc base'!E$17)))))</f>
        <v>0</v>
      </c>
      <c r="AK312">
        <f>IF('Calc base'!F$14=0,0,MIN(Y312,MAX(0,$E312-SUMPRODUCT($V312:$AG312,'Calc base'!$C$14:$N$14,('Calc base'!$H312:$S312&gt;'Calc base'!K312)+('Calc base'!$H312:$S312='Calc base'!K312)*('Calc base'!$C$17:$N$17&lt;'Calc base'!F$17)))))</f>
        <v>0</v>
      </c>
      <c r="AL312">
        <f>IF('Calc base'!G$14=0,0,MIN(Z312,MAX(0,$E312-SUMPRODUCT($V312:$AG312,'Calc base'!$C$14:$N$14,('Calc base'!$H312:$S312&gt;'Calc base'!L312)+('Calc base'!$H312:$S312='Calc base'!L312)*('Calc base'!$C$17:$N$17&lt;'Calc base'!G$17)))))</f>
        <v>0</v>
      </c>
      <c r="AM312">
        <f>IF('Calc base'!H$14=0,0,MIN(AA312,MAX(0,$E312-SUMPRODUCT($V312:$AG312,'Calc base'!$C$14:$N$14,('Calc base'!$H312:$S312&gt;'Calc base'!M312)+('Calc base'!$H312:$S312='Calc base'!M312)*('Calc base'!$C$17:$N$17&lt;'Calc base'!H$17)))))</f>
        <v>0</v>
      </c>
      <c r="AN312">
        <f>IF('Calc base'!I$14=0,0,MIN(AB312,MAX(0,$E312-SUMPRODUCT($V312:$AG312,'Calc base'!$C$14:$N$14,('Calc base'!$H312:$S312&gt;'Calc base'!N312)+('Calc base'!$H312:$S312='Calc base'!N312)*('Calc base'!$C$17:$N$17&lt;'Calc base'!I$17)))))</f>
        <v>0</v>
      </c>
      <c r="AO312">
        <f>IF('Calc base'!J$14=0,0,MIN(AC312,MAX(0,$E312-SUMPRODUCT($V312:$AG312,'Calc base'!$C$14:$N$14,('Calc base'!$H312:$S312&gt;'Calc base'!O312)+('Calc base'!$H312:$S312='Calc base'!O312)*('Calc base'!$C$17:$N$17&lt;'Calc base'!J$17)))))</f>
        <v>0</v>
      </c>
      <c r="AP312">
        <f>IF('Calc base'!K$14=0,0,MIN(AD312,MAX(0,$E312-SUMPRODUCT($V312:$AG312,'Calc base'!$C$14:$N$14,('Calc base'!$H312:$S312&gt;'Calc base'!P312)+('Calc base'!$H312:$S312='Calc base'!P312)*('Calc base'!$C$17:$N$17&lt;'Calc base'!K$17)))))</f>
        <v>0</v>
      </c>
      <c r="AQ312">
        <f>IF('Calc base'!L$14=0,0,MIN(AE312,MAX(0,$E312-SUMPRODUCT($V312:$AG312,'Calc base'!$C$14:$N$14,('Calc base'!$H312:$S312&gt;'Calc base'!Q312)+('Calc base'!$H312:$S312='Calc base'!Q312)*('Calc base'!$C$17:$N$17&lt;'Calc base'!L$17)))))</f>
        <v>0</v>
      </c>
      <c r="AR312">
        <f>IF('Calc base'!M$14=0,0,MIN(AF312,MAX(0,$E312-SUMPRODUCT($V312:$AG312,'Calc base'!$C$14:$N$14,('Calc base'!$H312:$S312&gt;'Calc base'!R312)+('Calc base'!$H312:$S312='Calc base'!R312)*('Calc base'!$C$17:$N$17&lt;'Calc base'!M$17)))))</f>
        <v>0</v>
      </c>
      <c r="AS312">
        <f>IF('Calc base'!N$14=0,0,MIN(AG312,MAX(0,$E312-SUMPRODUCT($V312:$AG312,'Calc base'!$C$14:$N$14,('Calc base'!$H312:$S312&gt;'Calc base'!S312)+('Calc base'!$H312:$S312='Calc base'!S312)*('Calc base'!$C$17:$N$17&lt;'Calc base'!N$17)))))</f>
        <v>0</v>
      </c>
      <c r="AT312">
        <f>V312-AH312</f>
        <v>0</v>
      </c>
      <c r="AU312">
        <f>W312-AI312</f>
        <v>0</v>
      </c>
      <c r="AV312">
        <f>X312-AJ312</f>
        <v>0</v>
      </c>
      <c r="AW312">
        <f>Y312-AK312</f>
        <v>0</v>
      </c>
      <c r="AX312">
        <f>Z312-AL312</f>
        <v>0</v>
      </c>
      <c r="AY312">
        <f>AA312-AM312</f>
        <v>0</v>
      </c>
      <c r="AZ312">
        <f>AB312-AN312</f>
        <v>0</v>
      </c>
      <c r="BA312">
        <f>AC312-AO312</f>
        <v>0</v>
      </c>
      <c r="BB312">
        <f>AD312-AP312</f>
        <v>0</v>
      </c>
      <c r="BC312">
        <f>AE312-AQ312</f>
        <v>0</v>
      </c>
      <c r="BD312">
        <f>AF312-AR312</f>
        <v>0</v>
      </c>
      <c r="BE312">
        <f>AG312-AS312</f>
        <v>0</v>
      </c>
    </row>
    <row r="313">
      <c r="A313" t="n">
        <v>283</v>
      </c>
      <c r="B313">
        <f>SUMPRODUCT(ROUND($AT312:$BE312*(1+'Calc base'!$H313:$S313),2))</f>
        <v>0</v>
      </c>
      <c r="C313">
        <f>SUM(J313:U313)</f>
        <v>0</v>
      </c>
      <c r="D313">
        <f>SUM(V313:AG313)</f>
        <v>0</v>
      </c>
      <c r="E313">
        <f>MAX(0,IF(Impostazioni!$B$7="No",'Calc base'!$C313-$C$31,'Calc base'!$C313-C313)+'Calc base'!$G313+'Calc base'!$F313-(B313-C313-D313))</f>
        <v>900</v>
      </c>
      <c r="F313">
        <f>SUM(AH313:AS313)</f>
        <v>0</v>
      </c>
      <c r="G313">
        <f>SUM(AT313:BE313)</f>
        <v>0</v>
      </c>
      <c r="H313">
        <f>B313-G312</f>
        <v>0</v>
      </c>
      <c r="I313">
        <f>B313-G313</f>
        <v>0</v>
      </c>
      <c r="J313">
        <f>IF(AT312&lt;=0,0,IF(ROUND(AT312*(1+'Calc base'!H313),2)-MAX('Calc base'!C$12,ROUND('Calc base'!C$13*AT312,2))&lt;1,ROUND(AT312*(1+'Calc base'!H313),2),MAX('Calc base'!C$12,ROUND('Calc base'!C$13*AT312,2))))</f>
        <v>0</v>
      </c>
      <c r="K313">
        <f>IF(AU312&lt;=0,0,IF(ROUND(AU312*(1+'Calc base'!I313),2)-MAX('Calc base'!D$12,ROUND('Calc base'!D$13*AU312,2))&lt;1,ROUND(AU312*(1+'Calc base'!I313),2),MAX('Calc base'!D$12,ROUND('Calc base'!D$13*AU312,2))))</f>
        <v>0</v>
      </c>
      <c r="L313">
        <f>IF(AV312&lt;=0,0,IF(ROUND(AV312*(1+'Calc base'!J313),2)-MAX('Calc base'!E$12,ROUND('Calc base'!E$13*AV312,2))&lt;1,ROUND(AV312*(1+'Calc base'!J313),2),MAX('Calc base'!E$12,ROUND('Calc base'!E$13*AV312,2))))</f>
        <v>0</v>
      </c>
      <c r="M313">
        <f>IF(AW312&lt;=0,0,IF(ROUND(AW312*(1+'Calc base'!K313),2)-MAX('Calc base'!F$12,ROUND('Calc base'!F$13*AW312,2))&lt;1,ROUND(AW312*(1+'Calc base'!K313),2),MAX('Calc base'!F$12,ROUND('Calc base'!F$13*AW312,2))))</f>
        <v>0</v>
      </c>
      <c r="N313">
        <f>IF(AX312&lt;=0,0,IF(ROUND(AX312*(1+'Calc base'!L313),2)-MAX('Calc base'!G$12,ROUND('Calc base'!G$13*AX312,2))&lt;1,ROUND(AX312*(1+'Calc base'!L313),2),MAX('Calc base'!G$12,ROUND('Calc base'!G$13*AX312,2))))</f>
        <v>0</v>
      </c>
      <c r="O313">
        <f>IF(AY312&lt;=0,0,IF(ROUND(AY312*(1+'Calc base'!M313),2)-MAX('Calc base'!H$12,ROUND('Calc base'!H$13*AY312,2))&lt;1,ROUND(AY312*(1+'Calc base'!M313),2),MAX('Calc base'!H$12,ROUND('Calc base'!H$13*AY312,2))))</f>
        <v>0</v>
      </c>
      <c r="P313">
        <f>IF(AZ312&lt;=0,0,IF(ROUND(AZ312*(1+'Calc base'!N313),2)-MAX('Calc base'!I$12,ROUND('Calc base'!I$13*AZ312,2))&lt;1,ROUND(AZ312*(1+'Calc base'!N313),2),MAX('Calc base'!I$12,ROUND('Calc base'!I$13*AZ312,2))))</f>
        <v>0</v>
      </c>
      <c r="Q313">
        <f>IF(BA312&lt;=0,0,IF(ROUND(BA312*(1+'Calc base'!O313),2)-MAX('Calc base'!J$12,ROUND('Calc base'!J$13*BA312,2))&lt;1,ROUND(BA312*(1+'Calc base'!O313),2),MAX('Calc base'!J$12,ROUND('Calc base'!J$13*BA312,2))))</f>
        <v>0</v>
      </c>
      <c r="R313">
        <f>IF(BB312&lt;=0,0,IF(ROUND(BB312*(1+'Calc base'!P313),2)-MAX('Calc base'!K$12,ROUND('Calc base'!K$13*BB312,2))&lt;1,ROUND(BB312*(1+'Calc base'!P313),2),MAX('Calc base'!K$12,ROUND('Calc base'!K$13*BB312,2))))</f>
        <v>0</v>
      </c>
      <c r="S313">
        <f>IF(BC312&lt;=0,0,IF(ROUND(BC312*(1+'Calc base'!Q313),2)-MAX('Calc base'!L$12,ROUND('Calc base'!L$13*BC312,2))&lt;1,ROUND(BC312*(1+'Calc base'!Q313),2),MAX('Calc base'!L$12,ROUND('Calc base'!L$13*BC312,2))))</f>
        <v>0</v>
      </c>
      <c r="T313">
        <f>IF(BD312&lt;=0,0,IF(ROUND(BD312*(1+'Calc base'!R313),2)-MAX('Calc base'!M$12,ROUND('Calc base'!M$13*BD312,2))&lt;1,ROUND(BD312*(1+'Calc base'!R313),2),MAX('Calc base'!M$12,ROUND('Calc base'!M$13*BD312,2))))</f>
        <v>0</v>
      </c>
      <c r="U313">
        <f>IF(BE312&lt;=0,0,IF(ROUND(BE312*(1+'Calc base'!S313),2)-MAX('Calc base'!N$12,ROUND('Calc base'!N$13*BE312,2))&lt;1,ROUND(BE312*(1+'Calc base'!S313),2),MAX('Calc base'!N$12,ROUND('Calc base'!N$13*BE312,2))))</f>
        <v>0</v>
      </c>
      <c r="V313">
        <f>MAX(0,ROUND(AT312*(1+'Calc base'!H313),2)-J313-'Calc base'!T313)</f>
        <v>0</v>
      </c>
      <c r="W313">
        <f>MAX(0,ROUND(AU312*(1+'Calc base'!I313),2)-K313-'Calc base'!U313)</f>
        <v>0</v>
      </c>
      <c r="X313">
        <f>MAX(0,ROUND(AV312*(1+'Calc base'!J313),2)-L313-'Calc base'!V313)</f>
        <v>0</v>
      </c>
      <c r="Y313">
        <f>MAX(0,ROUND(AW312*(1+'Calc base'!K313),2)-M313-'Calc base'!W313)</f>
        <v>0</v>
      </c>
      <c r="Z313">
        <f>MAX(0,ROUND(AX312*(1+'Calc base'!L313),2)-N313-'Calc base'!X313)</f>
        <v>0</v>
      </c>
      <c r="AA313">
        <f>MAX(0,ROUND(AY312*(1+'Calc base'!M313),2)-O313-'Calc base'!Y313)</f>
        <v>0</v>
      </c>
      <c r="AB313">
        <f>MAX(0,ROUND(AZ312*(1+'Calc base'!N313),2)-P313-'Calc base'!Z313)</f>
        <v>0</v>
      </c>
      <c r="AC313">
        <f>MAX(0,ROUND(BA312*(1+'Calc base'!O313),2)-Q313-'Calc base'!AA313)</f>
        <v>0</v>
      </c>
      <c r="AD313">
        <f>MAX(0,ROUND(BB312*(1+'Calc base'!P313),2)-R313-'Calc base'!AB313)</f>
        <v>0</v>
      </c>
      <c r="AE313">
        <f>MAX(0,ROUND(BC312*(1+'Calc base'!Q313),2)-S313-'Calc base'!AC313)</f>
        <v>0</v>
      </c>
      <c r="AF313">
        <f>MAX(0,ROUND(BD312*(1+'Calc base'!R313),2)-T313-'Calc base'!AD313)</f>
        <v>0</v>
      </c>
      <c r="AG313">
        <f>MAX(0,ROUND(BE312*(1+'Calc base'!S313),2)-U313-'Calc base'!AE313)</f>
        <v>0</v>
      </c>
      <c r="AH313">
        <f>IF('Calc base'!C$14=0,0,MIN(V313,MAX(0,$E313-SUMPRODUCT($V313:$AG313,'Calc base'!$C$14:$N$14,('Calc base'!$H313:$S313&gt;'Calc base'!H313)+('Calc base'!$H313:$S313='Calc base'!H313)*('Calc base'!$C$17:$N$17&lt;'Calc base'!C$17)))))</f>
        <v>0</v>
      </c>
      <c r="AI313">
        <f>IF('Calc base'!D$14=0,0,MIN(W313,MAX(0,$E313-SUMPRODUCT($V313:$AG313,'Calc base'!$C$14:$N$14,('Calc base'!$H313:$S313&gt;'Calc base'!I313)+('Calc base'!$H313:$S313='Calc base'!I313)*('Calc base'!$C$17:$N$17&lt;'Calc base'!D$17)))))</f>
        <v>0</v>
      </c>
      <c r="AJ313">
        <f>IF('Calc base'!E$14=0,0,MIN(X313,MAX(0,$E313-SUMPRODUCT($V313:$AG313,'Calc base'!$C$14:$N$14,('Calc base'!$H313:$S313&gt;'Calc base'!J313)+('Calc base'!$H313:$S313='Calc base'!J313)*('Calc base'!$C$17:$N$17&lt;'Calc base'!E$17)))))</f>
        <v>0</v>
      </c>
      <c r="AK313">
        <f>IF('Calc base'!F$14=0,0,MIN(Y313,MAX(0,$E313-SUMPRODUCT($V313:$AG313,'Calc base'!$C$14:$N$14,('Calc base'!$H313:$S313&gt;'Calc base'!K313)+('Calc base'!$H313:$S313='Calc base'!K313)*('Calc base'!$C$17:$N$17&lt;'Calc base'!F$17)))))</f>
        <v>0</v>
      </c>
      <c r="AL313">
        <f>IF('Calc base'!G$14=0,0,MIN(Z313,MAX(0,$E313-SUMPRODUCT($V313:$AG313,'Calc base'!$C$14:$N$14,('Calc base'!$H313:$S313&gt;'Calc base'!L313)+('Calc base'!$H313:$S313='Calc base'!L313)*('Calc base'!$C$17:$N$17&lt;'Calc base'!G$17)))))</f>
        <v>0</v>
      </c>
      <c r="AM313">
        <f>IF('Calc base'!H$14=0,0,MIN(AA313,MAX(0,$E313-SUMPRODUCT($V313:$AG313,'Calc base'!$C$14:$N$14,('Calc base'!$H313:$S313&gt;'Calc base'!M313)+('Calc base'!$H313:$S313='Calc base'!M313)*('Calc base'!$C$17:$N$17&lt;'Calc base'!H$17)))))</f>
        <v>0</v>
      </c>
      <c r="AN313">
        <f>IF('Calc base'!I$14=0,0,MIN(AB313,MAX(0,$E313-SUMPRODUCT($V313:$AG313,'Calc base'!$C$14:$N$14,('Calc base'!$H313:$S313&gt;'Calc base'!N313)+('Calc base'!$H313:$S313='Calc base'!N313)*('Calc base'!$C$17:$N$17&lt;'Calc base'!I$17)))))</f>
        <v>0</v>
      </c>
      <c r="AO313">
        <f>IF('Calc base'!J$14=0,0,MIN(AC313,MAX(0,$E313-SUMPRODUCT($V313:$AG313,'Calc base'!$C$14:$N$14,('Calc base'!$H313:$S313&gt;'Calc base'!O313)+('Calc base'!$H313:$S313='Calc base'!O313)*('Calc base'!$C$17:$N$17&lt;'Calc base'!J$17)))))</f>
        <v>0</v>
      </c>
      <c r="AP313">
        <f>IF('Calc base'!K$14=0,0,MIN(AD313,MAX(0,$E313-SUMPRODUCT($V313:$AG313,'Calc base'!$C$14:$N$14,('Calc base'!$H313:$S313&gt;'Calc base'!P313)+('Calc base'!$H313:$S313='Calc base'!P313)*('Calc base'!$C$17:$N$17&lt;'Calc base'!K$17)))))</f>
        <v>0</v>
      </c>
      <c r="AQ313">
        <f>IF('Calc base'!L$14=0,0,MIN(AE313,MAX(0,$E313-SUMPRODUCT($V313:$AG313,'Calc base'!$C$14:$N$14,('Calc base'!$H313:$S313&gt;'Calc base'!Q313)+('Calc base'!$H313:$S313='Calc base'!Q313)*('Calc base'!$C$17:$N$17&lt;'Calc base'!L$17)))))</f>
        <v>0</v>
      </c>
      <c r="AR313">
        <f>IF('Calc base'!M$14=0,0,MIN(AF313,MAX(0,$E313-SUMPRODUCT($V313:$AG313,'Calc base'!$C$14:$N$14,('Calc base'!$H313:$S313&gt;'Calc base'!R313)+('Calc base'!$H313:$S313='Calc base'!R313)*('Calc base'!$C$17:$N$17&lt;'Calc base'!M$17)))))</f>
        <v>0</v>
      </c>
      <c r="AS313">
        <f>IF('Calc base'!N$14=0,0,MIN(AG313,MAX(0,$E313-SUMPRODUCT($V313:$AG313,'Calc base'!$C$14:$N$14,('Calc base'!$H313:$S313&gt;'Calc base'!S313)+('Calc base'!$H313:$S313='Calc base'!S313)*('Calc base'!$C$17:$N$17&lt;'Calc base'!N$17)))))</f>
        <v>0</v>
      </c>
      <c r="AT313">
        <f>V313-AH313</f>
        <v>0</v>
      </c>
      <c r="AU313">
        <f>W313-AI313</f>
        <v>0</v>
      </c>
      <c r="AV313">
        <f>X313-AJ313</f>
        <v>0</v>
      </c>
      <c r="AW313">
        <f>Y313-AK313</f>
        <v>0</v>
      </c>
      <c r="AX313">
        <f>Z313-AL313</f>
        <v>0</v>
      </c>
      <c r="AY313">
        <f>AA313-AM313</f>
        <v>0</v>
      </c>
      <c r="AZ313">
        <f>AB313-AN313</f>
        <v>0</v>
      </c>
      <c r="BA313">
        <f>AC313-AO313</f>
        <v>0</v>
      </c>
      <c r="BB313">
        <f>AD313-AP313</f>
        <v>0</v>
      </c>
      <c r="BC313">
        <f>AE313-AQ313</f>
        <v>0</v>
      </c>
      <c r="BD313">
        <f>AF313-AR313</f>
        <v>0</v>
      </c>
      <c r="BE313">
        <f>AG313-AS313</f>
        <v>0</v>
      </c>
    </row>
    <row r="314">
      <c r="A314" t="n">
        <v>284</v>
      </c>
      <c r="B314">
        <f>SUMPRODUCT(ROUND($AT313:$BE313*(1+'Calc base'!$H314:$S314),2))</f>
        <v>0</v>
      </c>
      <c r="C314">
        <f>SUM(J314:U314)</f>
        <v>0</v>
      </c>
      <c r="D314">
        <f>SUM(V314:AG314)</f>
        <v>0</v>
      </c>
      <c r="E314">
        <f>MAX(0,IF(Impostazioni!$B$7="No",'Calc base'!$C314-$C$31,'Calc base'!$C314-C314)+'Calc base'!$G314+'Calc base'!$F314-(B314-C314-D314))</f>
        <v>900</v>
      </c>
      <c r="F314">
        <f>SUM(AH314:AS314)</f>
        <v>0</v>
      </c>
      <c r="G314">
        <f>SUM(AT314:BE314)</f>
        <v>0</v>
      </c>
      <c r="H314">
        <f>B314-G313</f>
        <v>0</v>
      </c>
      <c r="I314">
        <f>B314-G314</f>
        <v>0</v>
      </c>
      <c r="J314">
        <f>IF(AT313&lt;=0,0,IF(ROUND(AT313*(1+'Calc base'!H314),2)-MAX('Calc base'!C$12,ROUND('Calc base'!C$13*AT313,2))&lt;1,ROUND(AT313*(1+'Calc base'!H314),2),MAX('Calc base'!C$12,ROUND('Calc base'!C$13*AT313,2))))</f>
        <v>0</v>
      </c>
      <c r="K314">
        <f>IF(AU313&lt;=0,0,IF(ROUND(AU313*(1+'Calc base'!I314),2)-MAX('Calc base'!D$12,ROUND('Calc base'!D$13*AU313,2))&lt;1,ROUND(AU313*(1+'Calc base'!I314),2),MAX('Calc base'!D$12,ROUND('Calc base'!D$13*AU313,2))))</f>
        <v>0</v>
      </c>
      <c r="L314">
        <f>IF(AV313&lt;=0,0,IF(ROUND(AV313*(1+'Calc base'!J314),2)-MAX('Calc base'!E$12,ROUND('Calc base'!E$13*AV313,2))&lt;1,ROUND(AV313*(1+'Calc base'!J314),2),MAX('Calc base'!E$12,ROUND('Calc base'!E$13*AV313,2))))</f>
        <v>0</v>
      </c>
      <c r="M314">
        <f>IF(AW313&lt;=0,0,IF(ROUND(AW313*(1+'Calc base'!K314),2)-MAX('Calc base'!F$12,ROUND('Calc base'!F$13*AW313,2))&lt;1,ROUND(AW313*(1+'Calc base'!K314),2),MAX('Calc base'!F$12,ROUND('Calc base'!F$13*AW313,2))))</f>
        <v>0</v>
      </c>
      <c r="N314">
        <f>IF(AX313&lt;=0,0,IF(ROUND(AX313*(1+'Calc base'!L314),2)-MAX('Calc base'!G$12,ROUND('Calc base'!G$13*AX313,2))&lt;1,ROUND(AX313*(1+'Calc base'!L314),2),MAX('Calc base'!G$12,ROUND('Calc base'!G$13*AX313,2))))</f>
        <v>0</v>
      </c>
      <c r="O314">
        <f>IF(AY313&lt;=0,0,IF(ROUND(AY313*(1+'Calc base'!M314),2)-MAX('Calc base'!H$12,ROUND('Calc base'!H$13*AY313,2))&lt;1,ROUND(AY313*(1+'Calc base'!M314),2),MAX('Calc base'!H$12,ROUND('Calc base'!H$13*AY313,2))))</f>
        <v>0</v>
      </c>
      <c r="P314">
        <f>IF(AZ313&lt;=0,0,IF(ROUND(AZ313*(1+'Calc base'!N314),2)-MAX('Calc base'!I$12,ROUND('Calc base'!I$13*AZ313,2))&lt;1,ROUND(AZ313*(1+'Calc base'!N314),2),MAX('Calc base'!I$12,ROUND('Calc base'!I$13*AZ313,2))))</f>
        <v>0</v>
      </c>
      <c r="Q314">
        <f>IF(BA313&lt;=0,0,IF(ROUND(BA313*(1+'Calc base'!O314),2)-MAX('Calc base'!J$12,ROUND('Calc base'!J$13*BA313,2))&lt;1,ROUND(BA313*(1+'Calc base'!O314),2),MAX('Calc base'!J$12,ROUND('Calc base'!J$13*BA313,2))))</f>
        <v>0</v>
      </c>
      <c r="R314">
        <f>IF(BB313&lt;=0,0,IF(ROUND(BB313*(1+'Calc base'!P314),2)-MAX('Calc base'!K$12,ROUND('Calc base'!K$13*BB313,2))&lt;1,ROUND(BB313*(1+'Calc base'!P314),2),MAX('Calc base'!K$12,ROUND('Calc base'!K$13*BB313,2))))</f>
        <v>0</v>
      </c>
      <c r="S314">
        <f>IF(BC313&lt;=0,0,IF(ROUND(BC313*(1+'Calc base'!Q314),2)-MAX('Calc base'!L$12,ROUND('Calc base'!L$13*BC313,2))&lt;1,ROUND(BC313*(1+'Calc base'!Q314),2),MAX('Calc base'!L$12,ROUND('Calc base'!L$13*BC313,2))))</f>
        <v>0</v>
      </c>
      <c r="T314">
        <f>IF(BD313&lt;=0,0,IF(ROUND(BD313*(1+'Calc base'!R314),2)-MAX('Calc base'!M$12,ROUND('Calc base'!M$13*BD313,2))&lt;1,ROUND(BD313*(1+'Calc base'!R314),2),MAX('Calc base'!M$12,ROUND('Calc base'!M$13*BD313,2))))</f>
        <v>0</v>
      </c>
      <c r="U314">
        <f>IF(BE313&lt;=0,0,IF(ROUND(BE313*(1+'Calc base'!S314),2)-MAX('Calc base'!N$12,ROUND('Calc base'!N$13*BE313,2))&lt;1,ROUND(BE313*(1+'Calc base'!S314),2),MAX('Calc base'!N$12,ROUND('Calc base'!N$13*BE313,2))))</f>
        <v>0</v>
      </c>
      <c r="V314">
        <f>MAX(0,ROUND(AT313*(1+'Calc base'!H314),2)-J314-'Calc base'!T314)</f>
        <v>0</v>
      </c>
      <c r="W314">
        <f>MAX(0,ROUND(AU313*(1+'Calc base'!I314),2)-K314-'Calc base'!U314)</f>
        <v>0</v>
      </c>
      <c r="X314">
        <f>MAX(0,ROUND(AV313*(1+'Calc base'!J314),2)-L314-'Calc base'!V314)</f>
        <v>0</v>
      </c>
      <c r="Y314">
        <f>MAX(0,ROUND(AW313*(1+'Calc base'!K314),2)-M314-'Calc base'!W314)</f>
        <v>0</v>
      </c>
      <c r="Z314">
        <f>MAX(0,ROUND(AX313*(1+'Calc base'!L314),2)-N314-'Calc base'!X314)</f>
        <v>0</v>
      </c>
      <c r="AA314">
        <f>MAX(0,ROUND(AY313*(1+'Calc base'!M314),2)-O314-'Calc base'!Y314)</f>
        <v>0</v>
      </c>
      <c r="AB314">
        <f>MAX(0,ROUND(AZ313*(1+'Calc base'!N314),2)-P314-'Calc base'!Z314)</f>
        <v>0</v>
      </c>
      <c r="AC314">
        <f>MAX(0,ROUND(BA313*(1+'Calc base'!O314),2)-Q314-'Calc base'!AA314)</f>
        <v>0</v>
      </c>
      <c r="AD314">
        <f>MAX(0,ROUND(BB313*(1+'Calc base'!P314),2)-R314-'Calc base'!AB314)</f>
        <v>0</v>
      </c>
      <c r="AE314">
        <f>MAX(0,ROUND(BC313*(1+'Calc base'!Q314),2)-S314-'Calc base'!AC314)</f>
        <v>0</v>
      </c>
      <c r="AF314">
        <f>MAX(0,ROUND(BD313*(1+'Calc base'!R314),2)-T314-'Calc base'!AD314)</f>
        <v>0</v>
      </c>
      <c r="AG314">
        <f>MAX(0,ROUND(BE313*(1+'Calc base'!S314),2)-U314-'Calc base'!AE314)</f>
        <v>0</v>
      </c>
      <c r="AH314">
        <f>IF('Calc base'!C$14=0,0,MIN(V314,MAX(0,$E314-SUMPRODUCT($V314:$AG314,'Calc base'!$C$14:$N$14,('Calc base'!$H314:$S314&gt;'Calc base'!H314)+('Calc base'!$H314:$S314='Calc base'!H314)*('Calc base'!$C$17:$N$17&lt;'Calc base'!C$17)))))</f>
        <v>0</v>
      </c>
      <c r="AI314">
        <f>IF('Calc base'!D$14=0,0,MIN(W314,MAX(0,$E314-SUMPRODUCT($V314:$AG314,'Calc base'!$C$14:$N$14,('Calc base'!$H314:$S314&gt;'Calc base'!I314)+('Calc base'!$H314:$S314='Calc base'!I314)*('Calc base'!$C$17:$N$17&lt;'Calc base'!D$17)))))</f>
        <v>0</v>
      </c>
      <c r="AJ314">
        <f>IF('Calc base'!E$14=0,0,MIN(X314,MAX(0,$E314-SUMPRODUCT($V314:$AG314,'Calc base'!$C$14:$N$14,('Calc base'!$H314:$S314&gt;'Calc base'!J314)+('Calc base'!$H314:$S314='Calc base'!J314)*('Calc base'!$C$17:$N$17&lt;'Calc base'!E$17)))))</f>
        <v>0</v>
      </c>
      <c r="AK314">
        <f>IF('Calc base'!F$14=0,0,MIN(Y314,MAX(0,$E314-SUMPRODUCT($V314:$AG314,'Calc base'!$C$14:$N$14,('Calc base'!$H314:$S314&gt;'Calc base'!K314)+('Calc base'!$H314:$S314='Calc base'!K314)*('Calc base'!$C$17:$N$17&lt;'Calc base'!F$17)))))</f>
        <v>0</v>
      </c>
      <c r="AL314">
        <f>IF('Calc base'!G$14=0,0,MIN(Z314,MAX(0,$E314-SUMPRODUCT($V314:$AG314,'Calc base'!$C$14:$N$14,('Calc base'!$H314:$S314&gt;'Calc base'!L314)+('Calc base'!$H314:$S314='Calc base'!L314)*('Calc base'!$C$17:$N$17&lt;'Calc base'!G$17)))))</f>
        <v>0</v>
      </c>
      <c r="AM314">
        <f>IF('Calc base'!H$14=0,0,MIN(AA314,MAX(0,$E314-SUMPRODUCT($V314:$AG314,'Calc base'!$C$14:$N$14,('Calc base'!$H314:$S314&gt;'Calc base'!M314)+('Calc base'!$H314:$S314='Calc base'!M314)*('Calc base'!$C$17:$N$17&lt;'Calc base'!H$17)))))</f>
        <v>0</v>
      </c>
      <c r="AN314">
        <f>IF('Calc base'!I$14=0,0,MIN(AB314,MAX(0,$E314-SUMPRODUCT($V314:$AG314,'Calc base'!$C$14:$N$14,('Calc base'!$H314:$S314&gt;'Calc base'!N314)+('Calc base'!$H314:$S314='Calc base'!N314)*('Calc base'!$C$17:$N$17&lt;'Calc base'!I$17)))))</f>
        <v>0</v>
      </c>
      <c r="AO314">
        <f>IF('Calc base'!J$14=0,0,MIN(AC314,MAX(0,$E314-SUMPRODUCT($V314:$AG314,'Calc base'!$C$14:$N$14,('Calc base'!$H314:$S314&gt;'Calc base'!O314)+('Calc base'!$H314:$S314='Calc base'!O314)*('Calc base'!$C$17:$N$17&lt;'Calc base'!J$17)))))</f>
        <v>0</v>
      </c>
      <c r="AP314">
        <f>IF('Calc base'!K$14=0,0,MIN(AD314,MAX(0,$E314-SUMPRODUCT($V314:$AG314,'Calc base'!$C$14:$N$14,('Calc base'!$H314:$S314&gt;'Calc base'!P314)+('Calc base'!$H314:$S314='Calc base'!P314)*('Calc base'!$C$17:$N$17&lt;'Calc base'!K$17)))))</f>
        <v>0</v>
      </c>
      <c r="AQ314">
        <f>IF('Calc base'!L$14=0,0,MIN(AE314,MAX(0,$E314-SUMPRODUCT($V314:$AG314,'Calc base'!$C$14:$N$14,('Calc base'!$H314:$S314&gt;'Calc base'!Q314)+('Calc base'!$H314:$S314='Calc base'!Q314)*('Calc base'!$C$17:$N$17&lt;'Calc base'!L$17)))))</f>
        <v>0</v>
      </c>
      <c r="AR314">
        <f>IF('Calc base'!M$14=0,0,MIN(AF314,MAX(0,$E314-SUMPRODUCT($V314:$AG314,'Calc base'!$C$14:$N$14,('Calc base'!$H314:$S314&gt;'Calc base'!R314)+('Calc base'!$H314:$S314='Calc base'!R314)*('Calc base'!$C$17:$N$17&lt;'Calc base'!M$17)))))</f>
        <v>0</v>
      </c>
      <c r="AS314">
        <f>IF('Calc base'!N$14=0,0,MIN(AG314,MAX(0,$E314-SUMPRODUCT($V314:$AG314,'Calc base'!$C$14:$N$14,('Calc base'!$H314:$S314&gt;'Calc base'!S314)+('Calc base'!$H314:$S314='Calc base'!S314)*('Calc base'!$C$17:$N$17&lt;'Calc base'!N$17)))))</f>
        <v>0</v>
      </c>
      <c r="AT314">
        <f>V314-AH314</f>
        <v>0</v>
      </c>
      <c r="AU314">
        <f>W314-AI314</f>
        <v>0</v>
      </c>
      <c r="AV314">
        <f>X314-AJ314</f>
        <v>0</v>
      </c>
      <c r="AW314">
        <f>Y314-AK314</f>
        <v>0</v>
      </c>
      <c r="AX314">
        <f>Z314-AL314</f>
        <v>0</v>
      </c>
      <c r="AY314">
        <f>AA314-AM314</f>
        <v>0</v>
      </c>
      <c r="AZ314">
        <f>AB314-AN314</f>
        <v>0</v>
      </c>
      <c r="BA314">
        <f>AC314-AO314</f>
        <v>0</v>
      </c>
      <c r="BB314">
        <f>AD314-AP314</f>
        <v>0</v>
      </c>
      <c r="BC314">
        <f>AE314-AQ314</f>
        <v>0</v>
      </c>
      <c r="BD314">
        <f>AF314-AR314</f>
        <v>0</v>
      </c>
      <c r="BE314">
        <f>AG314-AS314</f>
        <v>0</v>
      </c>
    </row>
    <row r="315">
      <c r="A315" t="n">
        <v>285</v>
      </c>
      <c r="B315">
        <f>SUMPRODUCT(ROUND($AT314:$BE314*(1+'Calc base'!$H315:$S315),2))</f>
        <v>0</v>
      </c>
      <c r="C315">
        <f>SUM(J315:U315)</f>
        <v>0</v>
      </c>
      <c r="D315">
        <f>SUM(V315:AG315)</f>
        <v>0</v>
      </c>
      <c r="E315">
        <f>MAX(0,IF(Impostazioni!$B$7="No",'Calc base'!$C315-$C$31,'Calc base'!$C315-C315)+'Calc base'!$G315+'Calc base'!$F315-(B315-C315-D315))</f>
        <v>900</v>
      </c>
      <c r="F315">
        <f>SUM(AH315:AS315)</f>
        <v>0</v>
      </c>
      <c r="G315">
        <f>SUM(AT315:BE315)</f>
        <v>0</v>
      </c>
      <c r="H315">
        <f>B315-G314</f>
        <v>0</v>
      </c>
      <c r="I315">
        <f>B315-G315</f>
        <v>0</v>
      </c>
      <c r="J315">
        <f>IF(AT314&lt;=0,0,IF(ROUND(AT314*(1+'Calc base'!H315),2)-MAX('Calc base'!C$12,ROUND('Calc base'!C$13*AT314,2))&lt;1,ROUND(AT314*(1+'Calc base'!H315),2),MAX('Calc base'!C$12,ROUND('Calc base'!C$13*AT314,2))))</f>
        <v>0</v>
      </c>
      <c r="K315">
        <f>IF(AU314&lt;=0,0,IF(ROUND(AU314*(1+'Calc base'!I315),2)-MAX('Calc base'!D$12,ROUND('Calc base'!D$13*AU314,2))&lt;1,ROUND(AU314*(1+'Calc base'!I315),2),MAX('Calc base'!D$12,ROUND('Calc base'!D$13*AU314,2))))</f>
        <v>0</v>
      </c>
      <c r="L315">
        <f>IF(AV314&lt;=0,0,IF(ROUND(AV314*(1+'Calc base'!J315),2)-MAX('Calc base'!E$12,ROUND('Calc base'!E$13*AV314,2))&lt;1,ROUND(AV314*(1+'Calc base'!J315),2),MAX('Calc base'!E$12,ROUND('Calc base'!E$13*AV314,2))))</f>
        <v>0</v>
      </c>
      <c r="M315">
        <f>IF(AW314&lt;=0,0,IF(ROUND(AW314*(1+'Calc base'!K315),2)-MAX('Calc base'!F$12,ROUND('Calc base'!F$13*AW314,2))&lt;1,ROUND(AW314*(1+'Calc base'!K315),2),MAX('Calc base'!F$12,ROUND('Calc base'!F$13*AW314,2))))</f>
        <v>0</v>
      </c>
      <c r="N315">
        <f>IF(AX314&lt;=0,0,IF(ROUND(AX314*(1+'Calc base'!L315),2)-MAX('Calc base'!G$12,ROUND('Calc base'!G$13*AX314,2))&lt;1,ROUND(AX314*(1+'Calc base'!L315),2),MAX('Calc base'!G$12,ROUND('Calc base'!G$13*AX314,2))))</f>
        <v>0</v>
      </c>
      <c r="O315">
        <f>IF(AY314&lt;=0,0,IF(ROUND(AY314*(1+'Calc base'!M315),2)-MAX('Calc base'!H$12,ROUND('Calc base'!H$13*AY314,2))&lt;1,ROUND(AY314*(1+'Calc base'!M315),2),MAX('Calc base'!H$12,ROUND('Calc base'!H$13*AY314,2))))</f>
        <v>0</v>
      </c>
      <c r="P315">
        <f>IF(AZ314&lt;=0,0,IF(ROUND(AZ314*(1+'Calc base'!N315),2)-MAX('Calc base'!I$12,ROUND('Calc base'!I$13*AZ314,2))&lt;1,ROUND(AZ314*(1+'Calc base'!N315),2),MAX('Calc base'!I$12,ROUND('Calc base'!I$13*AZ314,2))))</f>
        <v>0</v>
      </c>
      <c r="Q315">
        <f>IF(BA314&lt;=0,0,IF(ROUND(BA314*(1+'Calc base'!O315),2)-MAX('Calc base'!J$12,ROUND('Calc base'!J$13*BA314,2))&lt;1,ROUND(BA314*(1+'Calc base'!O315),2),MAX('Calc base'!J$12,ROUND('Calc base'!J$13*BA314,2))))</f>
        <v>0</v>
      </c>
      <c r="R315">
        <f>IF(BB314&lt;=0,0,IF(ROUND(BB314*(1+'Calc base'!P315),2)-MAX('Calc base'!K$12,ROUND('Calc base'!K$13*BB314,2))&lt;1,ROUND(BB314*(1+'Calc base'!P315),2),MAX('Calc base'!K$12,ROUND('Calc base'!K$13*BB314,2))))</f>
        <v>0</v>
      </c>
      <c r="S315">
        <f>IF(BC314&lt;=0,0,IF(ROUND(BC314*(1+'Calc base'!Q315),2)-MAX('Calc base'!L$12,ROUND('Calc base'!L$13*BC314,2))&lt;1,ROUND(BC314*(1+'Calc base'!Q315),2),MAX('Calc base'!L$12,ROUND('Calc base'!L$13*BC314,2))))</f>
        <v>0</v>
      </c>
      <c r="T315">
        <f>IF(BD314&lt;=0,0,IF(ROUND(BD314*(1+'Calc base'!R315),2)-MAX('Calc base'!M$12,ROUND('Calc base'!M$13*BD314,2))&lt;1,ROUND(BD314*(1+'Calc base'!R315),2),MAX('Calc base'!M$12,ROUND('Calc base'!M$13*BD314,2))))</f>
        <v>0</v>
      </c>
      <c r="U315">
        <f>IF(BE314&lt;=0,0,IF(ROUND(BE314*(1+'Calc base'!S315),2)-MAX('Calc base'!N$12,ROUND('Calc base'!N$13*BE314,2))&lt;1,ROUND(BE314*(1+'Calc base'!S315),2),MAX('Calc base'!N$12,ROUND('Calc base'!N$13*BE314,2))))</f>
        <v>0</v>
      </c>
      <c r="V315">
        <f>MAX(0,ROUND(AT314*(1+'Calc base'!H315),2)-J315-'Calc base'!T315)</f>
        <v>0</v>
      </c>
      <c r="W315">
        <f>MAX(0,ROUND(AU314*(1+'Calc base'!I315),2)-K315-'Calc base'!U315)</f>
        <v>0</v>
      </c>
      <c r="X315">
        <f>MAX(0,ROUND(AV314*(1+'Calc base'!J315),2)-L315-'Calc base'!V315)</f>
        <v>0</v>
      </c>
      <c r="Y315">
        <f>MAX(0,ROUND(AW314*(1+'Calc base'!K315),2)-M315-'Calc base'!W315)</f>
        <v>0</v>
      </c>
      <c r="Z315">
        <f>MAX(0,ROUND(AX314*(1+'Calc base'!L315),2)-N315-'Calc base'!X315)</f>
        <v>0</v>
      </c>
      <c r="AA315">
        <f>MAX(0,ROUND(AY314*(1+'Calc base'!M315),2)-O315-'Calc base'!Y315)</f>
        <v>0</v>
      </c>
      <c r="AB315">
        <f>MAX(0,ROUND(AZ314*(1+'Calc base'!N315),2)-P315-'Calc base'!Z315)</f>
        <v>0</v>
      </c>
      <c r="AC315">
        <f>MAX(0,ROUND(BA314*(1+'Calc base'!O315),2)-Q315-'Calc base'!AA315)</f>
        <v>0</v>
      </c>
      <c r="AD315">
        <f>MAX(0,ROUND(BB314*(1+'Calc base'!P315),2)-R315-'Calc base'!AB315)</f>
        <v>0</v>
      </c>
      <c r="AE315">
        <f>MAX(0,ROUND(BC314*(1+'Calc base'!Q315),2)-S315-'Calc base'!AC315)</f>
        <v>0</v>
      </c>
      <c r="AF315">
        <f>MAX(0,ROUND(BD314*(1+'Calc base'!R315),2)-T315-'Calc base'!AD315)</f>
        <v>0</v>
      </c>
      <c r="AG315">
        <f>MAX(0,ROUND(BE314*(1+'Calc base'!S315),2)-U315-'Calc base'!AE315)</f>
        <v>0</v>
      </c>
      <c r="AH315">
        <f>IF('Calc base'!C$14=0,0,MIN(V315,MAX(0,$E315-SUMPRODUCT($V315:$AG315,'Calc base'!$C$14:$N$14,('Calc base'!$H315:$S315&gt;'Calc base'!H315)+('Calc base'!$H315:$S315='Calc base'!H315)*('Calc base'!$C$17:$N$17&lt;'Calc base'!C$17)))))</f>
        <v>0</v>
      </c>
      <c r="AI315">
        <f>IF('Calc base'!D$14=0,0,MIN(W315,MAX(0,$E315-SUMPRODUCT($V315:$AG315,'Calc base'!$C$14:$N$14,('Calc base'!$H315:$S315&gt;'Calc base'!I315)+('Calc base'!$H315:$S315='Calc base'!I315)*('Calc base'!$C$17:$N$17&lt;'Calc base'!D$17)))))</f>
        <v>0</v>
      </c>
      <c r="AJ315">
        <f>IF('Calc base'!E$14=0,0,MIN(X315,MAX(0,$E315-SUMPRODUCT($V315:$AG315,'Calc base'!$C$14:$N$14,('Calc base'!$H315:$S315&gt;'Calc base'!J315)+('Calc base'!$H315:$S315='Calc base'!J315)*('Calc base'!$C$17:$N$17&lt;'Calc base'!E$17)))))</f>
        <v>0</v>
      </c>
      <c r="AK315">
        <f>IF('Calc base'!F$14=0,0,MIN(Y315,MAX(0,$E315-SUMPRODUCT($V315:$AG315,'Calc base'!$C$14:$N$14,('Calc base'!$H315:$S315&gt;'Calc base'!K315)+('Calc base'!$H315:$S315='Calc base'!K315)*('Calc base'!$C$17:$N$17&lt;'Calc base'!F$17)))))</f>
        <v>0</v>
      </c>
      <c r="AL315">
        <f>IF('Calc base'!G$14=0,0,MIN(Z315,MAX(0,$E315-SUMPRODUCT($V315:$AG315,'Calc base'!$C$14:$N$14,('Calc base'!$H315:$S315&gt;'Calc base'!L315)+('Calc base'!$H315:$S315='Calc base'!L315)*('Calc base'!$C$17:$N$17&lt;'Calc base'!G$17)))))</f>
        <v>0</v>
      </c>
      <c r="AM315">
        <f>IF('Calc base'!H$14=0,0,MIN(AA315,MAX(0,$E315-SUMPRODUCT($V315:$AG315,'Calc base'!$C$14:$N$14,('Calc base'!$H315:$S315&gt;'Calc base'!M315)+('Calc base'!$H315:$S315='Calc base'!M315)*('Calc base'!$C$17:$N$17&lt;'Calc base'!H$17)))))</f>
        <v>0</v>
      </c>
      <c r="AN315">
        <f>IF('Calc base'!I$14=0,0,MIN(AB315,MAX(0,$E315-SUMPRODUCT($V315:$AG315,'Calc base'!$C$14:$N$14,('Calc base'!$H315:$S315&gt;'Calc base'!N315)+('Calc base'!$H315:$S315='Calc base'!N315)*('Calc base'!$C$17:$N$17&lt;'Calc base'!I$17)))))</f>
        <v>0</v>
      </c>
      <c r="AO315">
        <f>IF('Calc base'!J$14=0,0,MIN(AC315,MAX(0,$E315-SUMPRODUCT($V315:$AG315,'Calc base'!$C$14:$N$14,('Calc base'!$H315:$S315&gt;'Calc base'!O315)+('Calc base'!$H315:$S315='Calc base'!O315)*('Calc base'!$C$17:$N$17&lt;'Calc base'!J$17)))))</f>
        <v>0</v>
      </c>
      <c r="AP315">
        <f>IF('Calc base'!K$14=0,0,MIN(AD315,MAX(0,$E315-SUMPRODUCT($V315:$AG315,'Calc base'!$C$14:$N$14,('Calc base'!$H315:$S315&gt;'Calc base'!P315)+('Calc base'!$H315:$S315='Calc base'!P315)*('Calc base'!$C$17:$N$17&lt;'Calc base'!K$17)))))</f>
        <v>0</v>
      </c>
      <c r="AQ315">
        <f>IF('Calc base'!L$14=0,0,MIN(AE315,MAX(0,$E315-SUMPRODUCT($V315:$AG315,'Calc base'!$C$14:$N$14,('Calc base'!$H315:$S315&gt;'Calc base'!Q315)+('Calc base'!$H315:$S315='Calc base'!Q315)*('Calc base'!$C$17:$N$17&lt;'Calc base'!L$17)))))</f>
        <v>0</v>
      </c>
      <c r="AR315">
        <f>IF('Calc base'!M$14=0,0,MIN(AF315,MAX(0,$E315-SUMPRODUCT($V315:$AG315,'Calc base'!$C$14:$N$14,('Calc base'!$H315:$S315&gt;'Calc base'!R315)+('Calc base'!$H315:$S315='Calc base'!R315)*('Calc base'!$C$17:$N$17&lt;'Calc base'!M$17)))))</f>
        <v>0</v>
      </c>
      <c r="AS315">
        <f>IF('Calc base'!N$14=0,0,MIN(AG315,MAX(0,$E315-SUMPRODUCT($V315:$AG315,'Calc base'!$C$14:$N$14,('Calc base'!$H315:$S315&gt;'Calc base'!S315)+('Calc base'!$H315:$S315='Calc base'!S315)*('Calc base'!$C$17:$N$17&lt;'Calc base'!N$17)))))</f>
        <v>0</v>
      </c>
      <c r="AT315">
        <f>V315-AH315</f>
        <v>0</v>
      </c>
      <c r="AU315">
        <f>W315-AI315</f>
        <v>0</v>
      </c>
      <c r="AV315">
        <f>X315-AJ315</f>
        <v>0</v>
      </c>
      <c r="AW315">
        <f>Y315-AK315</f>
        <v>0</v>
      </c>
      <c r="AX315">
        <f>Z315-AL315</f>
        <v>0</v>
      </c>
      <c r="AY315">
        <f>AA315-AM315</f>
        <v>0</v>
      </c>
      <c r="AZ315">
        <f>AB315-AN315</f>
        <v>0</v>
      </c>
      <c r="BA315">
        <f>AC315-AO315</f>
        <v>0</v>
      </c>
      <c r="BB315">
        <f>AD315-AP315</f>
        <v>0</v>
      </c>
      <c r="BC315">
        <f>AE315-AQ315</f>
        <v>0</v>
      </c>
      <c r="BD315">
        <f>AF315-AR315</f>
        <v>0</v>
      </c>
      <c r="BE315">
        <f>AG315-AS315</f>
        <v>0</v>
      </c>
    </row>
    <row r="316">
      <c r="A316" t="n">
        <v>286</v>
      </c>
      <c r="B316">
        <f>SUMPRODUCT(ROUND($AT315:$BE315*(1+'Calc base'!$H316:$S316),2))</f>
        <v>0</v>
      </c>
      <c r="C316">
        <f>SUM(J316:U316)</f>
        <v>0</v>
      </c>
      <c r="D316">
        <f>SUM(V316:AG316)</f>
        <v>0</v>
      </c>
      <c r="E316">
        <f>MAX(0,IF(Impostazioni!$B$7="No",'Calc base'!$C316-$C$31,'Calc base'!$C316-C316)+'Calc base'!$G316+'Calc base'!$F316-(B316-C316-D316))</f>
        <v>900</v>
      </c>
      <c r="F316">
        <f>SUM(AH316:AS316)</f>
        <v>0</v>
      </c>
      <c r="G316">
        <f>SUM(AT316:BE316)</f>
        <v>0</v>
      </c>
      <c r="H316">
        <f>B316-G315</f>
        <v>0</v>
      </c>
      <c r="I316">
        <f>B316-G316</f>
        <v>0</v>
      </c>
      <c r="J316">
        <f>IF(AT315&lt;=0,0,IF(ROUND(AT315*(1+'Calc base'!H316),2)-MAX('Calc base'!C$12,ROUND('Calc base'!C$13*AT315,2))&lt;1,ROUND(AT315*(1+'Calc base'!H316),2),MAX('Calc base'!C$12,ROUND('Calc base'!C$13*AT315,2))))</f>
        <v>0</v>
      </c>
      <c r="K316">
        <f>IF(AU315&lt;=0,0,IF(ROUND(AU315*(1+'Calc base'!I316),2)-MAX('Calc base'!D$12,ROUND('Calc base'!D$13*AU315,2))&lt;1,ROUND(AU315*(1+'Calc base'!I316),2),MAX('Calc base'!D$12,ROUND('Calc base'!D$13*AU315,2))))</f>
        <v>0</v>
      </c>
      <c r="L316">
        <f>IF(AV315&lt;=0,0,IF(ROUND(AV315*(1+'Calc base'!J316),2)-MAX('Calc base'!E$12,ROUND('Calc base'!E$13*AV315,2))&lt;1,ROUND(AV315*(1+'Calc base'!J316),2),MAX('Calc base'!E$12,ROUND('Calc base'!E$13*AV315,2))))</f>
        <v>0</v>
      </c>
      <c r="M316">
        <f>IF(AW315&lt;=0,0,IF(ROUND(AW315*(1+'Calc base'!K316),2)-MAX('Calc base'!F$12,ROUND('Calc base'!F$13*AW315,2))&lt;1,ROUND(AW315*(1+'Calc base'!K316),2),MAX('Calc base'!F$12,ROUND('Calc base'!F$13*AW315,2))))</f>
        <v>0</v>
      </c>
      <c r="N316">
        <f>IF(AX315&lt;=0,0,IF(ROUND(AX315*(1+'Calc base'!L316),2)-MAX('Calc base'!G$12,ROUND('Calc base'!G$13*AX315,2))&lt;1,ROUND(AX315*(1+'Calc base'!L316),2),MAX('Calc base'!G$12,ROUND('Calc base'!G$13*AX315,2))))</f>
        <v>0</v>
      </c>
      <c r="O316">
        <f>IF(AY315&lt;=0,0,IF(ROUND(AY315*(1+'Calc base'!M316),2)-MAX('Calc base'!H$12,ROUND('Calc base'!H$13*AY315,2))&lt;1,ROUND(AY315*(1+'Calc base'!M316),2),MAX('Calc base'!H$12,ROUND('Calc base'!H$13*AY315,2))))</f>
        <v>0</v>
      </c>
      <c r="P316">
        <f>IF(AZ315&lt;=0,0,IF(ROUND(AZ315*(1+'Calc base'!N316),2)-MAX('Calc base'!I$12,ROUND('Calc base'!I$13*AZ315,2))&lt;1,ROUND(AZ315*(1+'Calc base'!N316),2),MAX('Calc base'!I$12,ROUND('Calc base'!I$13*AZ315,2))))</f>
        <v>0</v>
      </c>
      <c r="Q316">
        <f>IF(BA315&lt;=0,0,IF(ROUND(BA315*(1+'Calc base'!O316),2)-MAX('Calc base'!J$12,ROUND('Calc base'!J$13*BA315,2))&lt;1,ROUND(BA315*(1+'Calc base'!O316),2),MAX('Calc base'!J$12,ROUND('Calc base'!J$13*BA315,2))))</f>
        <v>0</v>
      </c>
      <c r="R316">
        <f>IF(BB315&lt;=0,0,IF(ROUND(BB315*(1+'Calc base'!P316),2)-MAX('Calc base'!K$12,ROUND('Calc base'!K$13*BB315,2))&lt;1,ROUND(BB315*(1+'Calc base'!P316),2),MAX('Calc base'!K$12,ROUND('Calc base'!K$13*BB315,2))))</f>
        <v>0</v>
      </c>
      <c r="S316">
        <f>IF(BC315&lt;=0,0,IF(ROUND(BC315*(1+'Calc base'!Q316),2)-MAX('Calc base'!L$12,ROUND('Calc base'!L$13*BC315,2))&lt;1,ROUND(BC315*(1+'Calc base'!Q316),2),MAX('Calc base'!L$12,ROUND('Calc base'!L$13*BC315,2))))</f>
        <v>0</v>
      </c>
      <c r="T316">
        <f>IF(BD315&lt;=0,0,IF(ROUND(BD315*(1+'Calc base'!R316),2)-MAX('Calc base'!M$12,ROUND('Calc base'!M$13*BD315,2))&lt;1,ROUND(BD315*(1+'Calc base'!R316),2),MAX('Calc base'!M$12,ROUND('Calc base'!M$13*BD315,2))))</f>
        <v>0</v>
      </c>
      <c r="U316">
        <f>IF(BE315&lt;=0,0,IF(ROUND(BE315*(1+'Calc base'!S316),2)-MAX('Calc base'!N$12,ROUND('Calc base'!N$13*BE315,2))&lt;1,ROUND(BE315*(1+'Calc base'!S316),2),MAX('Calc base'!N$12,ROUND('Calc base'!N$13*BE315,2))))</f>
        <v>0</v>
      </c>
      <c r="V316">
        <f>MAX(0,ROUND(AT315*(1+'Calc base'!H316),2)-J316-'Calc base'!T316)</f>
        <v>0</v>
      </c>
      <c r="W316">
        <f>MAX(0,ROUND(AU315*(1+'Calc base'!I316),2)-K316-'Calc base'!U316)</f>
        <v>0</v>
      </c>
      <c r="X316">
        <f>MAX(0,ROUND(AV315*(1+'Calc base'!J316),2)-L316-'Calc base'!V316)</f>
        <v>0</v>
      </c>
      <c r="Y316">
        <f>MAX(0,ROUND(AW315*(1+'Calc base'!K316),2)-M316-'Calc base'!W316)</f>
        <v>0</v>
      </c>
      <c r="Z316">
        <f>MAX(0,ROUND(AX315*(1+'Calc base'!L316),2)-N316-'Calc base'!X316)</f>
        <v>0</v>
      </c>
      <c r="AA316">
        <f>MAX(0,ROUND(AY315*(1+'Calc base'!M316),2)-O316-'Calc base'!Y316)</f>
        <v>0</v>
      </c>
      <c r="AB316">
        <f>MAX(0,ROUND(AZ315*(1+'Calc base'!N316),2)-P316-'Calc base'!Z316)</f>
        <v>0</v>
      </c>
      <c r="AC316">
        <f>MAX(0,ROUND(BA315*(1+'Calc base'!O316),2)-Q316-'Calc base'!AA316)</f>
        <v>0</v>
      </c>
      <c r="AD316">
        <f>MAX(0,ROUND(BB315*(1+'Calc base'!P316),2)-R316-'Calc base'!AB316)</f>
        <v>0</v>
      </c>
      <c r="AE316">
        <f>MAX(0,ROUND(BC315*(1+'Calc base'!Q316),2)-S316-'Calc base'!AC316)</f>
        <v>0</v>
      </c>
      <c r="AF316">
        <f>MAX(0,ROUND(BD315*(1+'Calc base'!R316),2)-T316-'Calc base'!AD316)</f>
        <v>0</v>
      </c>
      <c r="AG316">
        <f>MAX(0,ROUND(BE315*(1+'Calc base'!S316),2)-U316-'Calc base'!AE316)</f>
        <v>0</v>
      </c>
      <c r="AH316">
        <f>IF('Calc base'!C$14=0,0,MIN(V316,MAX(0,$E316-SUMPRODUCT($V316:$AG316,'Calc base'!$C$14:$N$14,('Calc base'!$H316:$S316&gt;'Calc base'!H316)+('Calc base'!$H316:$S316='Calc base'!H316)*('Calc base'!$C$17:$N$17&lt;'Calc base'!C$17)))))</f>
        <v>0</v>
      </c>
      <c r="AI316">
        <f>IF('Calc base'!D$14=0,0,MIN(W316,MAX(0,$E316-SUMPRODUCT($V316:$AG316,'Calc base'!$C$14:$N$14,('Calc base'!$H316:$S316&gt;'Calc base'!I316)+('Calc base'!$H316:$S316='Calc base'!I316)*('Calc base'!$C$17:$N$17&lt;'Calc base'!D$17)))))</f>
        <v>0</v>
      </c>
      <c r="AJ316">
        <f>IF('Calc base'!E$14=0,0,MIN(X316,MAX(0,$E316-SUMPRODUCT($V316:$AG316,'Calc base'!$C$14:$N$14,('Calc base'!$H316:$S316&gt;'Calc base'!J316)+('Calc base'!$H316:$S316='Calc base'!J316)*('Calc base'!$C$17:$N$17&lt;'Calc base'!E$17)))))</f>
        <v>0</v>
      </c>
      <c r="AK316">
        <f>IF('Calc base'!F$14=0,0,MIN(Y316,MAX(0,$E316-SUMPRODUCT($V316:$AG316,'Calc base'!$C$14:$N$14,('Calc base'!$H316:$S316&gt;'Calc base'!K316)+('Calc base'!$H316:$S316='Calc base'!K316)*('Calc base'!$C$17:$N$17&lt;'Calc base'!F$17)))))</f>
        <v>0</v>
      </c>
      <c r="AL316">
        <f>IF('Calc base'!G$14=0,0,MIN(Z316,MAX(0,$E316-SUMPRODUCT($V316:$AG316,'Calc base'!$C$14:$N$14,('Calc base'!$H316:$S316&gt;'Calc base'!L316)+('Calc base'!$H316:$S316='Calc base'!L316)*('Calc base'!$C$17:$N$17&lt;'Calc base'!G$17)))))</f>
        <v>0</v>
      </c>
      <c r="AM316">
        <f>IF('Calc base'!H$14=0,0,MIN(AA316,MAX(0,$E316-SUMPRODUCT($V316:$AG316,'Calc base'!$C$14:$N$14,('Calc base'!$H316:$S316&gt;'Calc base'!M316)+('Calc base'!$H316:$S316='Calc base'!M316)*('Calc base'!$C$17:$N$17&lt;'Calc base'!H$17)))))</f>
        <v>0</v>
      </c>
      <c r="AN316">
        <f>IF('Calc base'!I$14=0,0,MIN(AB316,MAX(0,$E316-SUMPRODUCT($V316:$AG316,'Calc base'!$C$14:$N$14,('Calc base'!$H316:$S316&gt;'Calc base'!N316)+('Calc base'!$H316:$S316='Calc base'!N316)*('Calc base'!$C$17:$N$17&lt;'Calc base'!I$17)))))</f>
        <v>0</v>
      </c>
      <c r="AO316">
        <f>IF('Calc base'!J$14=0,0,MIN(AC316,MAX(0,$E316-SUMPRODUCT($V316:$AG316,'Calc base'!$C$14:$N$14,('Calc base'!$H316:$S316&gt;'Calc base'!O316)+('Calc base'!$H316:$S316='Calc base'!O316)*('Calc base'!$C$17:$N$17&lt;'Calc base'!J$17)))))</f>
        <v>0</v>
      </c>
      <c r="AP316">
        <f>IF('Calc base'!K$14=0,0,MIN(AD316,MAX(0,$E316-SUMPRODUCT($V316:$AG316,'Calc base'!$C$14:$N$14,('Calc base'!$H316:$S316&gt;'Calc base'!P316)+('Calc base'!$H316:$S316='Calc base'!P316)*('Calc base'!$C$17:$N$17&lt;'Calc base'!K$17)))))</f>
        <v>0</v>
      </c>
      <c r="AQ316">
        <f>IF('Calc base'!L$14=0,0,MIN(AE316,MAX(0,$E316-SUMPRODUCT($V316:$AG316,'Calc base'!$C$14:$N$14,('Calc base'!$H316:$S316&gt;'Calc base'!Q316)+('Calc base'!$H316:$S316='Calc base'!Q316)*('Calc base'!$C$17:$N$17&lt;'Calc base'!L$17)))))</f>
        <v>0</v>
      </c>
      <c r="AR316">
        <f>IF('Calc base'!M$14=0,0,MIN(AF316,MAX(0,$E316-SUMPRODUCT($V316:$AG316,'Calc base'!$C$14:$N$14,('Calc base'!$H316:$S316&gt;'Calc base'!R316)+('Calc base'!$H316:$S316='Calc base'!R316)*('Calc base'!$C$17:$N$17&lt;'Calc base'!M$17)))))</f>
        <v>0</v>
      </c>
      <c r="AS316">
        <f>IF('Calc base'!N$14=0,0,MIN(AG316,MAX(0,$E316-SUMPRODUCT($V316:$AG316,'Calc base'!$C$14:$N$14,('Calc base'!$H316:$S316&gt;'Calc base'!S316)+('Calc base'!$H316:$S316='Calc base'!S316)*('Calc base'!$C$17:$N$17&lt;'Calc base'!N$17)))))</f>
        <v>0</v>
      </c>
      <c r="AT316">
        <f>V316-AH316</f>
        <v>0</v>
      </c>
      <c r="AU316">
        <f>W316-AI316</f>
        <v>0</v>
      </c>
      <c r="AV316">
        <f>X316-AJ316</f>
        <v>0</v>
      </c>
      <c r="AW316">
        <f>Y316-AK316</f>
        <v>0</v>
      </c>
      <c r="AX316">
        <f>Z316-AL316</f>
        <v>0</v>
      </c>
      <c r="AY316">
        <f>AA316-AM316</f>
        <v>0</v>
      </c>
      <c r="AZ316">
        <f>AB316-AN316</f>
        <v>0</v>
      </c>
      <c r="BA316">
        <f>AC316-AO316</f>
        <v>0</v>
      </c>
      <c r="BB316">
        <f>AD316-AP316</f>
        <v>0</v>
      </c>
      <c r="BC316">
        <f>AE316-AQ316</f>
        <v>0</v>
      </c>
      <c r="BD316">
        <f>AF316-AR316</f>
        <v>0</v>
      </c>
      <c r="BE316">
        <f>AG316-AS316</f>
        <v>0</v>
      </c>
    </row>
    <row r="317">
      <c r="A317" t="n">
        <v>287</v>
      </c>
      <c r="B317">
        <f>SUMPRODUCT(ROUND($AT316:$BE316*(1+'Calc base'!$H317:$S317),2))</f>
        <v>0</v>
      </c>
      <c r="C317">
        <f>SUM(J317:U317)</f>
        <v>0</v>
      </c>
      <c r="D317">
        <f>SUM(V317:AG317)</f>
        <v>0</v>
      </c>
      <c r="E317">
        <f>MAX(0,IF(Impostazioni!$B$7="No",'Calc base'!$C317-$C$31,'Calc base'!$C317-C317)+'Calc base'!$G317+'Calc base'!$F317-(B317-C317-D317))</f>
        <v>900</v>
      </c>
      <c r="F317">
        <f>SUM(AH317:AS317)</f>
        <v>0</v>
      </c>
      <c r="G317">
        <f>SUM(AT317:BE317)</f>
        <v>0</v>
      </c>
      <c r="H317">
        <f>B317-G316</f>
        <v>0</v>
      </c>
      <c r="I317">
        <f>B317-G317</f>
        <v>0</v>
      </c>
      <c r="J317">
        <f>IF(AT316&lt;=0,0,IF(ROUND(AT316*(1+'Calc base'!H317),2)-MAX('Calc base'!C$12,ROUND('Calc base'!C$13*AT316,2))&lt;1,ROUND(AT316*(1+'Calc base'!H317),2),MAX('Calc base'!C$12,ROUND('Calc base'!C$13*AT316,2))))</f>
        <v>0</v>
      </c>
      <c r="K317">
        <f>IF(AU316&lt;=0,0,IF(ROUND(AU316*(1+'Calc base'!I317),2)-MAX('Calc base'!D$12,ROUND('Calc base'!D$13*AU316,2))&lt;1,ROUND(AU316*(1+'Calc base'!I317),2),MAX('Calc base'!D$12,ROUND('Calc base'!D$13*AU316,2))))</f>
        <v>0</v>
      </c>
      <c r="L317">
        <f>IF(AV316&lt;=0,0,IF(ROUND(AV316*(1+'Calc base'!J317),2)-MAX('Calc base'!E$12,ROUND('Calc base'!E$13*AV316,2))&lt;1,ROUND(AV316*(1+'Calc base'!J317),2),MAX('Calc base'!E$12,ROUND('Calc base'!E$13*AV316,2))))</f>
        <v>0</v>
      </c>
      <c r="M317">
        <f>IF(AW316&lt;=0,0,IF(ROUND(AW316*(1+'Calc base'!K317),2)-MAX('Calc base'!F$12,ROUND('Calc base'!F$13*AW316,2))&lt;1,ROUND(AW316*(1+'Calc base'!K317),2),MAX('Calc base'!F$12,ROUND('Calc base'!F$13*AW316,2))))</f>
        <v>0</v>
      </c>
      <c r="N317">
        <f>IF(AX316&lt;=0,0,IF(ROUND(AX316*(1+'Calc base'!L317),2)-MAX('Calc base'!G$12,ROUND('Calc base'!G$13*AX316,2))&lt;1,ROUND(AX316*(1+'Calc base'!L317),2),MAX('Calc base'!G$12,ROUND('Calc base'!G$13*AX316,2))))</f>
        <v>0</v>
      </c>
      <c r="O317">
        <f>IF(AY316&lt;=0,0,IF(ROUND(AY316*(1+'Calc base'!M317),2)-MAX('Calc base'!H$12,ROUND('Calc base'!H$13*AY316,2))&lt;1,ROUND(AY316*(1+'Calc base'!M317),2),MAX('Calc base'!H$12,ROUND('Calc base'!H$13*AY316,2))))</f>
        <v>0</v>
      </c>
      <c r="P317">
        <f>IF(AZ316&lt;=0,0,IF(ROUND(AZ316*(1+'Calc base'!N317),2)-MAX('Calc base'!I$12,ROUND('Calc base'!I$13*AZ316,2))&lt;1,ROUND(AZ316*(1+'Calc base'!N317),2),MAX('Calc base'!I$12,ROUND('Calc base'!I$13*AZ316,2))))</f>
        <v>0</v>
      </c>
      <c r="Q317">
        <f>IF(BA316&lt;=0,0,IF(ROUND(BA316*(1+'Calc base'!O317),2)-MAX('Calc base'!J$12,ROUND('Calc base'!J$13*BA316,2))&lt;1,ROUND(BA316*(1+'Calc base'!O317),2),MAX('Calc base'!J$12,ROUND('Calc base'!J$13*BA316,2))))</f>
        <v>0</v>
      </c>
      <c r="R317">
        <f>IF(BB316&lt;=0,0,IF(ROUND(BB316*(1+'Calc base'!P317),2)-MAX('Calc base'!K$12,ROUND('Calc base'!K$13*BB316,2))&lt;1,ROUND(BB316*(1+'Calc base'!P317),2),MAX('Calc base'!K$12,ROUND('Calc base'!K$13*BB316,2))))</f>
        <v>0</v>
      </c>
      <c r="S317">
        <f>IF(BC316&lt;=0,0,IF(ROUND(BC316*(1+'Calc base'!Q317),2)-MAX('Calc base'!L$12,ROUND('Calc base'!L$13*BC316,2))&lt;1,ROUND(BC316*(1+'Calc base'!Q317),2),MAX('Calc base'!L$12,ROUND('Calc base'!L$13*BC316,2))))</f>
        <v>0</v>
      </c>
      <c r="T317">
        <f>IF(BD316&lt;=0,0,IF(ROUND(BD316*(1+'Calc base'!R317),2)-MAX('Calc base'!M$12,ROUND('Calc base'!M$13*BD316,2))&lt;1,ROUND(BD316*(1+'Calc base'!R317),2),MAX('Calc base'!M$12,ROUND('Calc base'!M$13*BD316,2))))</f>
        <v>0</v>
      </c>
      <c r="U317">
        <f>IF(BE316&lt;=0,0,IF(ROUND(BE316*(1+'Calc base'!S317),2)-MAX('Calc base'!N$12,ROUND('Calc base'!N$13*BE316,2))&lt;1,ROUND(BE316*(1+'Calc base'!S317),2),MAX('Calc base'!N$12,ROUND('Calc base'!N$13*BE316,2))))</f>
        <v>0</v>
      </c>
      <c r="V317">
        <f>MAX(0,ROUND(AT316*(1+'Calc base'!H317),2)-J317-'Calc base'!T317)</f>
        <v>0</v>
      </c>
      <c r="W317">
        <f>MAX(0,ROUND(AU316*(1+'Calc base'!I317),2)-K317-'Calc base'!U317)</f>
        <v>0</v>
      </c>
      <c r="X317">
        <f>MAX(0,ROUND(AV316*(1+'Calc base'!J317),2)-L317-'Calc base'!V317)</f>
        <v>0</v>
      </c>
      <c r="Y317">
        <f>MAX(0,ROUND(AW316*(1+'Calc base'!K317),2)-M317-'Calc base'!W317)</f>
        <v>0</v>
      </c>
      <c r="Z317">
        <f>MAX(0,ROUND(AX316*(1+'Calc base'!L317),2)-N317-'Calc base'!X317)</f>
        <v>0</v>
      </c>
      <c r="AA317">
        <f>MAX(0,ROUND(AY316*(1+'Calc base'!M317),2)-O317-'Calc base'!Y317)</f>
        <v>0</v>
      </c>
      <c r="AB317">
        <f>MAX(0,ROUND(AZ316*(1+'Calc base'!N317),2)-P317-'Calc base'!Z317)</f>
        <v>0</v>
      </c>
      <c r="AC317">
        <f>MAX(0,ROUND(BA316*(1+'Calc base'!O317),2)-Q317-'Calc base'!AA317)</f>
        <v>0</v>
      </c>
      <c r="AD317">
        <f>MAX(0,ROUND(BB316*(1+'Calc base'!P317),2)-R317-'Calc base'!AB317)</f>
        <v>0</v>
      </c>
      <c r="AE317">
        <f>MAX(0,ROUND(BC316*(1+'Calc base'!Q317),2)-S317-'Calc base'!AC317)</f>
        <v>0</v>
      </c>
      <c r="AF317">
        <f>MAX(0,ROUND(BD316*(1+'Calc base'!R317),2)-T317-'Calc base'!AD317)</f>
        <v>0</v>
      </c>
      <c r="AG317">
        <f>MAX(0,ROUND(BE316*(1+'Calc base'!S317),2)-U317-'Calc base'!AE317)</f>
        <v>0</v>
      </c>
      <c r="AH317">
        <f>IF('Calc base'!C$14=0,0,MIN(V317,MAX(0,$E317-SUMPRODUCT($V317:$AG317,'Calc base'!$C$14:$N$14,('Calc base'!$H317:$S317&gt;'Calc base'!H317)+('Calc base'!$H317:$S317='Calc base'!H317)*('Calc base'!$C$17:$N$17&lt;'Calc base'!C$17)))))</f>
        <v>0</v>
      </c>
      <c r="AI317">
        <f>IF('Calc base'!D$14=0,0,MIN(W317,MAX(0,$E317-SUMPRODUCT($V317:$AG317,'Calc base'!$C$14:$N$14,('Calc base'!$H317:$S317&gt;'Calc base'!I317)+('Calc base'!$H317:$S317='Calc base'!I317)*('Calc base'!$C$17:$N$17&lt;'Calc base'!D$17)))))</f>
        <v>0</v>
      </c>
      <c r="AJ317">
        <f>IF('Calc base'!E$14=0,0,MIN(X317,MAX(0,$E317-SUMPRODUCT($V317:$AG317,'Calc base'!$C$14:$N$14,('Calc base'!$H317:$S317&gt;'Calc base'!J317)+('Calc base'!$H317:$S317='Calc base'!J317)*('Calc base'!$C$17:$N$17&lt;'Calc base'!E$17)))))</f>
        <v>0</v>
      </c>
      <c r="AK317">
        <f>IF('Calc base'!F$14=0,0,MIN(Y317,MAX(0,$E317-SUMPRODUCT($V317:$AG317,'Calc base'!$C$14:$N$14,('Calc base'!$H317:$S317&gt;'Calc base'!K317)+('Calc base'!$H317:$S317='Calc base'!K317)*('Calc base'!$C$17:$N$17&lt;'Calc base'!F$17)))))</f>
        <v>0</v>
      </c>
      <c r="AL317">
        <f>IF('Calc base'!G$14=0,0,MIN(Z317,MAX(0,$E317-SUMPRODUCT($V317:$AG317,'Calc base'!$C$14:$N$14,('Calc base'!$H317:$S317&gt;'Calc base'!L317)+('Calc base'!$H317:$S317='Calc base'!L317)*('Calc base'!$C$17:$N$17&lt;'Calc base'!G$17)))))</f>
        <v>0</v>
      </c>
      <c r="AM317">
        <f>IF('Calc base'!H$14=0,0,MIN(AA317,MAX(0,$E317-SUMPRODUCT($V317:$AG317,'Calc base'!$C$14:$N$14,('Calc base'!$H317:$S317&gt;'Calc base'!M317)+('Calc base'!$H317:$S317='Calc base'!M317)*('Calc base'!$C$17:$N$17&lt;'Calc base'!H$17)))))</f>
        <v>0</v>
      </c>
      <c r="AN317">
        <f>IF('Calc base'!I$14=0,0,MIN(AB317,MAX(0,$E317-SUMPRODUCT($V317:$AG317,'Calc base'!$C$14:$N$14,('Calc base'!$H317:$S317&gt;'Calc base'!N317)+('Calc base'!$H317:$S317='Calc base'!N317)*('Calc base'!$C$17:$N$17&lt;'Calc base'!I$17)))))</f>
        <v>0</v>
      </c>
      <c r="AO317">
        <f>IF('Calc base'!J$14=0,0,MIN(AC317,MAX(0,$E317-SUMPRODUCT($V317:$AG317,'Calc base'!$C$14:$N$14,('Calc base'!$H317:$S317&gt;'Calc base'!O317)+('Calc base'!$H317:$S317='Calc base'!O317)*('Calc base'!$C$17:$N$17&lt;'Calc base'!J$17)))))</f>
        <v>0</v>
      </c>
      <c r="AP317">
        <f>IF('Calc base'!K$14=0,0,MIN(AD317,MAX(0,$E317-SUMPRODUCT($V317:$AG317,'Calc base'!$C$14:$N$14,('Calc base'!$H317:$S317&gt;'Calc base'!P317)+('Calc base'!$H317:$S317='Calc base'!P317)*('Calc base'!$C$17:$N$17&lt;'Calc base'!K$17)))))</f>
        <v>0</v>
      </c>
      <c r="AQ317">
        <f>IF('Calc base'!L$14=0,0,MIN(AE317,MAX(0,$E317-SUMPRODUCT($V317:$AG317,'Calc base'!$C$14:$N$14,('Calc base'!$H317:$S317&gt;'Calc base'!Q317)+('Calc base'!$H317:$S317='Calc base'!Q317)*('Calc base'!$C$17:$N$17&lt;'Calc base'!L$17)))))</f>
        <v>0</v>
      </c>
      <c r="AR317">
        <f>IF('Calc base'!M$14=0,0,MIN(AF317,MAX(0,$E317-SUMPRODUCT($V317:$AG317,'Calc base'!$C$14:$N$14,('Calc base'!$H317:$S317&gt;'Calc base'!R317)+('Calc base'!$H317:$S317='Calc base'!R317)*('Calc base'!$C$17:$N$17&lt;'Calc base'!M$17)))))</f>
        <v>0</v>
      </c>
      <c r="AS317">
        <f>IF('Calc base'!N$14=0,0,MIN(AG317,MAX(0,$E317-SUMPRODUCT($V317:$AG317,'Calc base'!$C$14:$N$14,('Calc base'!$H317:$S317&gt;'Calc base'!S317)+('Calc base'!$H317:$S317='Calc base'!S317)*('Calc base'!$C$17:$N$17&lt;'Calc base'!N$17)))))</f>
        <v>0</v>
      </c>
      <c r="AT317">
        <f>V317-AH317</f>
        <v>0</v>
      </c>
      <c r="AU317">
        <f>W317-AI317</f>
        <v>0</v>
      </c>
      <c r="AV317">
        <f>X317-AJ317</f>
        <v>0</v>
      </c>
      <c r="AW317">
        <f>Y317-AK317</f>
        <v>0</v>
      </c>
      <c r="AX317">
        <f>Z317-AL317</f>
        <v>0</v>
      </c>
      <c r="AY317">
        <f>AA317-AM317</f>
        <v>0</v>
      </c>
      <c r="AZ317">
        <f>AB317-AN317</f>
        <v>0</v>
      </c>
      <c r="BA317">
        <f>AC317-AO317</f>
        <v>0</v>
      </c>
      <c r="BB317">
        <f>AD317-AP317</f>
        <v>0</v>
      </c>
      <c r="BC317">
        <f>AE317-AQ317</f>
        <v>0</v>
      </c>
      <c r="BD317">
        <f>AF317-AR317</f>
        <v>0</v>
      </c>
      <c r="BE317">
        <f>AG317-AS317</f>
        <v>0</v>
      </c>
    </row>
    <row r="318">
      <c r="A318" t="n">
        <v>288</v>
      </c>
      <c r="B318">
        <f>SUMPRODUCT(ROUND($AT317:$BE317*(1+'Calc base'!$H318:$S318),2))</f>
        <v>0</v>
      </c>
      <c r="C318">
        <f>SUM(J318:U318)</f>
        <v>0</v>
      </c>
      <c r="D318">
        <f>SUM(V318:AG318)</f>
        <v>0</v>
      </c>
      <c r="E318">
        <f>MAX(0,IF(Impostazioni!$B$7="No",'Calc base'!$C318-$C$31,'Calc base'!$C318-C318)+'Calc base'!$G318+'Calc base'!$F318-(B318-C318-D318))</f>
        <v>900</v>
      </c>
      <c r="F318">
        <f>SUM(AH318:AS318)</f>
        <v>0</v>
      </c>
      <c r="G318">
        <f>SUM(AT318:BE318)</f>
        <v>0</v>
      </c>
      <c r="H318">
        <f>B318-G317</f>
        <v>0</v>
      </c>
      <c r="I318">
        <f>B318-G318</f>
        <v>0</v>
      </c>
      <c r="J318">
        <f>IF(AT317&lt;=0,0,IF(ROUND(AT317*(1+'Calc base'!H318),2)-MAX('Calc base'!C$12,ROUND('Calc base'!C$13*AT317,2))&lt;1,ROUND(AT317*(1+'Calc base'!H318),2),MAX('Calc base'!C$12,ROUND('Calc base'!C$13*AT317,2))))</f>
        <v>0</v>
      </c>
      <c r="K318">
        <f>IF(AU317&lt;=0,0,IF(ROUND(AU317*(1+'Calc base'!I318),2)-MAX('Calc base'!D$12,ROUND('Calc base'!D$13*AU317,2))&lt;1,ROUND(AU317*(1+'Calc base'!I318),2),MAX('Calc base'!D$12,ROUND('Calc base'!D$13*AU317,2))))</f>
        <v>0</v>
      </c>
      <c r="L318">
        <f>IF(AV317&lt;=0,0,IF(ROUND(AV317*(1+'Calc base'!J318),2)-MAX('Calc base'!E$12,ROUND('Calc base'!E$13*AV317,2))&lt;1,ROUND(AV317*(1+'Calc base'!J318),2),MAX('Calc base'!E$12,ROUND('Calc base'!E$13*AV317,2))))</f>
        <v>0</v>
      </c>
      <c r="M318">
        <f>IF(AW317&lt;=0,0,IF(ROUND(AW317*(1+'Calc base'!K318),2)-MAX('Calc base'!F$12,ROUND('Calc base'!F$13*AW317,2))&lt;1,ROUND(AW317*(1+'Calc base'!K318),2),MAX('Calc base'!F$12,ROUND('Calc base'!F$13*AW317,2))))</f>
        <v>0</v>
      </c>
      <c r="N318">
        <f>IF(AX317&lt;=0,0,IF(ROUND(AX317*(1+'Calc base'!L318),2)-MAX('Calc base'!G$12,ROUND('Calc base'!G$13*AX317,2))&lt;1,ROUND(AX317*(1+'Calc base'!L318),2),MAX('Calc base'!G$12,ROUND('Calc base'!G$13*AX317,2))))</f>
        <v>0</v>
      </c>
      <c r="O318">
        <f>IF(AY317&lt;=0,0,IF(ROUND(AY317*(1+'Calc base'!M318),2)-MAX('Calc base'!H$12,ROUND('Calc base'!H$13*AY317,2))&lt;1,ROUND(AY317*(1+'Calc base'!M318),2),MAX('Calc base'!H$12,ROUND('Calc base'!H$13*AY317,2))))</f>
        <v>0</v>
      </c>
      <c r="P318">
        <f>IF(AZ317&lt;=0,0,IF(ROUND(AZ317*(1+'Calc base'!N318),2)-MAX('Calc base'!I$12,ROUND('Calc base'!I$13*AZ317,2))&lt;1,ROUND(AZ317*(1+'Calc base'!N318),2),MAX('Calc base'!I$12,ROUND('Calc base'!I$13*AZ317,2))))</f>
        <v>0</v>
      </c>
      <c r="Q318">
        <f>IF(BA317&lt;=0,0,IF(ROUND(BA317*(1+'Calc base'!O318),2)-MAX('Calc base'!J$12,ROUND('Calc base'!J$13*BA317,2))&lt;1,ROUND(BA317*(1+'Calc base'!O318),2),MAX('Calc base'!J$12,ROUND('Calc base'!J$13*BA317,2))))</f>
        <v>0</v>
      </c>
      <c r="R318">
        <f>IF(BB317&lt;=0,0,IF(ROUND(BB317*(1+'Calc base'!P318),2)-MAX('Calc base'!K$12,ROUND('Calc base'!K$13*BB317,2))&lt;1,ROUND(BB317*(1+'Calc base'!P318),2),MAX('Calc base'!K$12,ROUND('Calc base'!K$13*BB317,2))))</f>
        <v>0</v>
      </c>
      <c r="S318">
        <f>IF(BC317&lt;=0,0,IF(ROUND(BC317*(1+'Calc base'!Q318),2)-MAX('Calc base'!L$12,ROUND('Calc base'!L$13*BC317,2))&lt;1,ROUND(BC317*(1+'Calc base'!Q318),2),MAX('Calc base'!L$12,ROUND('Calc base'!L$13*BC317,2))))</f>
        <v>0</v>
      </c>
      <c r="T318">
        <f>IF(BD317&lt;=0,0,IF(ROUND(BD317*(1+'Calc base'!R318),2)-MAX('Calc base'!M$12,ROUND('Calc base'!M$13*BD317,2))&lt;1,ROUND(BD317*(1+'Calc base'!R318),2),MAX('Calc base'!M$12,ROUND('Calc base'!M$13*BD317,2))))</f>
        <v>0</v>
      </c>
      <c r="U318">
        <f>IF(BE317&lt;=0,0,IF(ROUND(BE317*(1+'Calc base'!S318),2)-MAX('Calc base'!N$12,ROUND('Calc base'!N$13*BE317,2))&lt;1,ROUND(BE317*(1+'Calc base'!S318),2),MAX('Calc base'!N$12,ROUND('Calc base'!N$13*BE317,2))))</f>
        <v>0</v>
      </c>
      <c r="V318">
        <f>MAX(0,ROUND(AT317*(1+'Calc base'!H318),2)-J318-'Calc base'!T318)</f>
        <v>0</v>
      </c>
      <c r="W318">
        <f>MAX(0,ROUND(AU317*(1+'Calc base'!I318),2)-K318-'Calc base'!U318)</f>
        <v>0</v>
      </c>
      <c r="X318">
        <f>MAX(0,ROUND(AV317*(1+'Calc base'!J318),2)-L318-'Calc base'!V318)</f>
        <v>0</v>
      </c>
      <c r="Y318">
        <f>MAX(0,ROUND(AW317*(1+'Calc base'!K318),2)-M318-'Calc base'!W318)</f>
        <v>0</v>
      </c>
      <c r="Z318">
        <f>MAX(0,ROUND(AX317*(1+'Calc base'!L318),2)-N318-'Calc base'!X318)</f>
        <v>0</v>
      </c>
      <c r="AA318">
        <f>MAX(0,ROUND(AY317*(1+'Calc base'!M318),2)-O318-'Calc base'!Y318)</f>
        <v>0</v>
      </c>
      <c r="AB318">
        <f>MAX(0,ROUND(AZ317*(1+'Calc base'!N318),2)-P318-'Calc base'!Z318)</f>
        <v>0</v>
      </c>
      <c r="AC318">
        <f>MAX(0,ROUND(BA317*(1+'Calc base'!O318),2)-Q318-'Calc base'!AA318)</f>
        <v>0</v>
      </c>
      <c r="AD318">
        <f>MAX(0,ROUND(BB317*(1+'Calc base'!P318),2)-R318-'Calc base'!AB318)</f>
        <v>0</v>
      </c>
      <c r="AE318">
        <f>MAX(0,ROUND(BC317*(1+'Calc base'!Q318),2)-S318-'Calc base'!AC318)</f>
        <v>0</v>
      </c>
      <c r="AF318">
        <f>MAX(0,ROUND(BD317*(1+'Calc base'!R318),2)-T318-'Calc base'!AD318)</f>
        <v>0</v>
      </c>
      <c r="AG318">
        <f>MAX(0,ROUND(BE317*(1+'Calc base'!S318),2)-U318-'Calc base'!AE318)</f>
        <v>0</v>
      </c>
      <c r="AH318">
        <f>IF('Calc base'!C$14=0,0,MIN(V318,MAX(0,$E318-SUMPRODUCT($V318:$AG318,'Calc base'!$C$14:$N$14,('Calc base'!$H318:$S318&gt;'Calc base'!H318)+('Calc base'!$H318:$S318='Calc base'!H318)*('Calc base'!$C$17:$N$17&lt;'Calc base'!C$17)))))</f>
        <v>0</v>
      </c>
      <c r="AI318">
        <f>IF('Calc base'!D$14=0,0,MIN(W318,MAX(0,$E318-SUMPRODUCT($V318:$AG318,'Calc base'!$C$14:$N$14,('Calc base'!$H318:$S318&gt;'Calc base'!I318)+('Calc base'!$H318:$S318='Calc base'!I318)*('Calc base'!$C$17:$N$17&lt;'Calc base'!D$17)))))</f>
        <v>0</v>
      </c>
      <c r="AJ318">
        <f>IF('Calc base'!E$14=0,0,MIN(X318,MAX(0,$E318-SUMPRODUCT($V318:$AG318,'Calc base'!$C$14:$N$14,('Calc base'!$H318:$S318&gt;'Calc base'!J318)+('Calc base'!$H318:$S318='Calc base'!J318)*('Calc base'!$C$17:$N$17&lt;'Calc base'!E$17)))))</f>
        <v>0</v>
      </c>
      <c r="AK318">
        <f>IF('Calc base'!F$14=0,0,MIN(Y318,MAX(0,$E318-SUMPRODUCT($V318:$AG318,'Calc base'!$C$14:$N$14,('Calc base'!$H318:$S318&gt;'Calc base'!K318)+('Calc base'!$H318:$S318='Calc base'!K318)*('Calc base'!$C$17:$N$17&lt;'Calc base'!F$17)))))</f>
        <v>0</v>
      </c>
      <c r="AL318">
        <f>IF('Calc base'!G$14=0,0,MIN(Z318,MAX(0,$E318-SUMPRODUCT($V318:$AG318,'Calc base'!$C$14:$N$14,('Calc base'!$H318:$S318&gt;'Calc base'!L318)+('Calc base'!$H318:$S318='Calc base'!L318)*('Calc base'!$C$17:$N$17&lt;'Calc base'!G$17)))))</f>
        <v>0</v>
      </c>
      <c r="AM318">
        <f>IF('Calc base'!H$14=0,0,MIN(AA318,MAX(0,$E318-SUMPRODUCT($V318:$AG318,'Calc base'!$C$14:$N$14,('Calc base'!$H318:$S318&gt;'Calc base'!M318)+('Calc base'!$H318:$S318='Calc base'!M318)*('Calc base'!$C$17:$N$17&lt;'Calc base'!H$17)))))</f>
        <v>0</v>
      </c>
      <c r="AN318">
        <f>IF('Calc base'!I$14=0,0,MIN(AB318,MAX(0,$E318-SUMPRODUCT($V318:$AG318,'Calc base'!$C$14:$N$14,('Calc base'!$H318:$S318&gt;'Calc base'!N318)+('Calc base'!$H318:$S318='Calc base'!N318)*('Calc base'!$C$17:$N$17&lt;'Calc base'!I$17)))))</f>
        <v>0</v>
      </c>
      <c r="AO318">
        <f>IF('Calc base'!J$14=0,0,MIN(AC318,MAX(0,$E318-SUMPRODUCT($V318:$AG318,'Calc base'!$C$14:$N$14,('Calc base'!$H318:$S318&gt;'Calc base'!O318)+('Calc base'!$H318:$S318='Calc base'!O318)*('Calc base'!$C$17:$N$17&lt;'Calc base'!J$17)))))</f>
        <v>0</v>
      </c>
      <c r="AP318">
        <f>IF('Calc base'!K$14=0,0,MIN(AD318,MAX(0,$E318-SUMPRODUCT($V318:$AG318,'Calc base'!$C$14:$N$14,('Calc base'!$H318:$S318&gt;'Calc base'!P318)+('Calc base'!$H318:$S318='Calc base'!P318)*('Calc base'!$C$17:$N$17&lt;'Calc base'!K$17)))))</f>
        <v>0</v>
      </c>
      <c r="AQ318">
        <f>IF('Calc base'!L$14=0,0,MIN(AE318,MAX(0,$E318-SUMPRODUCT($V318:$AG318,'Calc base'!$C$14:$N$14,('Calc base'!$H318:$S318&gt;'Calc base'!Q318)+('Calc base'!$H318:$S318='Calc base'!Q318)*('Calc base'!$C$17:$N$17&lt;'Calc base'!L$17)))))</f>
        <v>0</v>
      </c>
      <c r="AR318">
        <f>IF('Calc base'!M$14=0,0,MIN(AF318,MAX(0,$E318-SUMPRODUCT($V318:$AG318,'Calc base'!$C$14:$N$14,('Calc base'!$H318:$S318&gt;'Calc base'!R318)+('Calc base'!$H318:$S318='Calc base'!R318)*('Calc base'!$C$17:$N$17&lt;'Calc base'!M$17)))))</f>
        <v>0</v>
      </c>
      <c r="AS318">
        <f>IF('Calc base'!N$14=0,0,MIN(AG318,MAX(0,$E318-SUMPRODUCT($V318:$AG318,'Calc base'!$C$14:$N$14,('Calc base'!$H318:$S318&gt;'Calc base'!S318)+('Calc base'!$H318:$S318='Calc base'!S318)*('Calc base'!$C$17:$N$17&lt;'Calc base'!N$17)))))</f>
        <v>0</v>
      </c>
      <c r="AT318">
        <f>V318-AH318</f>
        <v>0</v>
      </c>
      <c r="AU318">
        <f>W318-AI318</f>
        <v>0</v>
      </c>
      <c r="AV318">
        <f>X318-AJ318</f>
        <v>0</v>
      </c>
      <c r="AW318">
        <f>Y318-AK318</f>
        <v>0</v>
      </c>
      <c r="AX318">
        <f>Z318-AL318</f>
        <v>0</v>
      </c>
      <c r="AY318">
        <f>AA318-AM318</f>
        <v>0</v>
      </c>
      <c r="AZ318">
        <f>AB318-AN318</f>
        <v>0</v>
      </c>
      <c r="BA318">
        <f>AC318-AO318</f>
        <v>0</v>
      </c>
      <c r="BB318">
        <f>AD318-AP318</f>
        <v>0</v>
      </c>
      <c r="BC318">
        <f>AE318-AQ318</f>
        <v>0</v>
      </c>
      <c r="BD318">
        <f>AF318-AR318</f>
        <v>0</v>
      </c>
      <c r="BE318">
        <f>AG318-AS318</f>
        <v>0</v>
      </c>
    </row>
    <row r="319">
      <c r="A319" t="n">
        <v>289</v>
      </c>
      <c r="B319">
        <f>SUMPRODUCT(ROUND($AT318:$BE318*(1+'Calc base'!$H319:$S319),2))</f>
        <v>0</v>
      </c>
      <c r="C319">
        <f>SUM(J319:U319)</f>
        <v>0</v>
      </c>
      <c r="D319">
        <f>SUM(V319:AG319)</f>
        <v>0</v>
      </c>
      <c r="E319">
        <f>MAX(0,IF(Impostazioni!$B$7="No",'Calc base'!$C319-$C$31,'Calc base'!$C319-C319)+'Calc base'!$G319+'Calc base'!$F319-(B319-C319-D319))</f>
        <v>900</v>
      </c>
      <c r="F319">
        <f>SUM(AH319:AS319)</f>
        <v>0</v>
      </c>
      <c r="G319">
        <f>SUM(AT319:BE319)</f>
        <v>0</v>
      </c>
      <c r="H319">
        <f>B319-G318</f>
        <v>0</v>
      </c>
      <c r="I319">
        <f>B319-G319</f>
        <v>0</v>
      </c>
      <c r="J319">
        <f>IF(AT318&lt;=0,0,IF(ROUND(AT318*(1+'Calc base'!H319),2)-MAX('Calc base'!C$12,ROUND('Calc base'!C$13*AT318,2))&lt;1,ROUND(AT318*(1+'Calc base'!H319),2),MAX('Calc base'!C$12,ROUND('Calc base'!C$13*AT318,2))))</f>
        <v>0</v>
      </c>
      <c r="K319">
        <f>IF(AU318&lt;=0,0,IF(ROUND(AU318*(1+'Calc base'!I319),2)-MAX('Calc base'!D$12,ROUND('Calc base'!D$13*AU318,2))&lt;1,ROUND(AU318*(1+'Calc base'!I319),2),MAX('Calc base'!D$12,ROUND('Calc base'!D$13*AU318,2))))</f>
        <v>0</v>
      </c>
      <c r="L319">
        <f>IF(AV318&lt;=0,0,IF(ROUND(AV318*(1+'Calc base'!J319),2)-MAX('Calc base'!E$12,ROUND('Calc base'!E$13*AV318,2))&lt;1,ROUND(AV318*(1+'Calc base'!J319),2),MAX('Calc base'!E$12,ROUND('Calc base'!E$13*AV318,2))))</f>
        <v>0</v>
      </c>
      <c r="M319">
        <f>IF(AW318&lt;=0,0,IF(ROUND(AW318*(1+'Calc base'!K319),2)-MAX('Calc base'!F$12,ROUND('Calc base'!F$13*AW318,2))&lt;1,ROUND(AW318*(1+'Calc base'!K319),2),MAX('Calc base'!F$12,ROUND('Calc base'!F$13*AW318,2))))</f>
        <v>0</v>
      </c>
      <c r="N319">
        <f>IF(AX318&lt;=0,0,IF(ROUND(AX318*(1+'Calc base'!L319),2)-MAX('Calc base'!G$12,ROUND('Calc base'!G$13*AX318,2))&lt;1,ROUND(AX318*(1+'Calc base'!L319),2),MAX('Calc base'!G$12,ROUND('Calc base'!G$13*AX318,2))))</f>
        <v>0</v>
      </c>
      <c r="O319">
        <f>IF(AY318&lt;=0,0,IF(ROUND(AY318*(1+'Calc base'!M319),2)-MAX('Calc base'!H$12,ROUND('Calc base'!H$13*AY318,2))&lt;1,ROUND(AY318*(1+'Calc base'!M319),2),MAX('Calc base'!H$12,ROUND('Calc base'!H$13*AY318,2))))</f>
        <v>0</v>
      </c>
      <c r="P319">
        <f>IF(AZ318&lt;=0,0,IF(ROUND(AZ318*(1+'Calc base'!N319),2)-MAX('Calc base'!I$12,ROUND('Calc base'!I$13*AZ318,2))&lt;1,ROUND(AZ318*(1+'Calc base'!N319),2),MAX('Calc base'!I$12,ROUND('Calc base'!I$13*AZ318,2))))</f>
        <v>0</v>
      </c>
      <c r="Q319">
        <f>IF(BA318&lt;=0,0,IF(ROUND(BA318*(1+'Calc base'!O319),2)-MAX('Calc base'!J$12,ROUND('Calc base'!J$13*BA318,2))&lt;1,ROUND(BA318*(1+'Calc base'!O319),2),MAX('Calc base'!J$12,ROUND('Calc base'!J$13*BA318,2))))</f>
        <v>0</v>
      </c>
      <c r="R319">
        <f>IF(BB318&lt;=0,0,IF(ROUND(BB318*(1+'Calc base'!P319),2)-MAX('Calc base'!K$12,ROUND('Calc base'!K$13*BB318,2))&lt;1,ROUND(BB318*(1+'Calc base'!P319),2),MAX('Calc base'!K$12,ROUND('Calc base'!K$13*BB318,2))))</f>
        <v>0</v>
      </c>
      <c r="S319">
        <f>IF(BC318&lt;=0,0,IF(ROUND(BC318*(1+'Calc base'!Q319),2)-MAX('Calc base'!L$12,ROUND('Calc base'!L$13*BC318,2))&lt;1,ROUND(BC318*(1+'Calc base'!Q319),2),MAX('Calc base'!L$12,ROUND('Calc base'!L$13*BC318,2))))</f>
        <v>0</v>
      </c>
      <c r="T319">
        <f>IF(BD318&lt;=0,0,IF(ROUND(BD318*(1+'Calc base'!R319),2)-MAX('Calc base'!M$12,ROUND('Calc base'!M$13*BD318,2))&lt;1,ROUND(BD318*(1+'Calc base'!R319),2),MAX('Calc base'!M$12,ROUND('Calc base'!M$13*BD318,2))))</f>
        <v>0</v>
      </c>
      <c r="U319">
        <f>IF(BE318&lt;=0,0,IF(ROUND(BE318*(1+'Calc base'!S319),2)-MAX('Calc base'!N$12,ROUND('Calc base'!N$13*BE318,2))&lt;1,ROUND(BE318*(1+'Calc base'!S319),2),MAX('Calc base'!N$12,ROUND('Calc base'!N$13*BE318,2))))</f>
        <v>0</v>
      </c>
      <c r="V319">
        <f>MAX(0,ROUND(AT318*(1+'Calc base'!H319),2)-J319-'Calc base'!T319)</f>
        <v>0</v>
      </c>
      <c r="W319">
        <f>MAX(0,ROUND(AU318*(1+'Calc base'!I319),2)-K319-'Calc base'!U319)</f>
        <v>0</v>
      </c>
      <c r="X319">
        <f>MAX(0,ROUND(AV318*(1+'Calc base'!J319),2)-L319-'Calc base'!V319)</f>
        <v>0</v>
      </c>
      <c r="Y319">
        <f>MAX(0,ROUND(AW318*(1+'Calc base'!K319),2)-M319-'Calc base'!W319)</f>
        <v>0</v>
      </c>
      <c r="Z319">
        <f>MAX(0,ROUND(AX318*(1+'Calc base'!L319),2)-N319-'Calc base'!X319)</f>
        <v>0</v>
      </c>
      <c r="AA319">
        <f>MAX(0,ROUND(AY318*(1+'Calc base'!M319),2)-O319-'Calc base'!Y319)</f>
        <v>0</v>
      </c>
      <c r="AB319">
        <f>MAX(0,ROUND(AZ318*(1+'Calc base'!N319),2)-P319-'Calc base'!Z319)</f>
        <v>0</v>
      </c>
      <c r="AC319">
        <f>MAX(0,ROUND(BA318*(1+'Calc base'!O319),2)-Q319-'Calc base'!AA319)</f>
        <v>0</v>
      </c>
      <c r="AD319">
        <f>MAX(0,ROUND(BB318*(1+'Calc base'!P319),2)-R319-'Calc base'!AB319)</f>
        <v>0</v>
      </c>
      <c r="AE319">
        <f>MAX(0,ROUND(BC318*(1+'Calc base'!Q319),2)-S319-'Calc base'!AC319)</f>
        <v>0</v>
      </c>
      <c r="AF319">
        <f>MAX(0,ROUND(BD318*(1+'Calc base'!R319),2)-T319-'Calc base'!AD319)</f>
        <v>0</v>
      </c>
      <c r="AG319">
        <f>MAX(0,ROUND(BE318*(1+'Calc base'!S319),2)-U319-'Calc base'!AE319)</f>
        <v>0</v>
      </c>
      <c r="AH319">
        <f>IF('Calc base'!C$14=0,0,MIN(V319,MAX(0,$E319-SUMPRODUCT($V319:$AG319,'Calc base'!$C$14:$N$14,('Calc base'!$H319:$S319&gt;'Calc base'!H319)+('Calc base'!$H319:$S319='Calc base'!H319)*('Calc base'!$C$17:$N$17&lt;'Calc base'!C$17)))))</f>
        <v>0</v>
      </c>
      <c r="AI319">
        <f>IF('Calc base'!D$14=0,0,MIN(W319,MAX(0,$E319-SUMPRODUCT($V319:$AG319,'Calc base'!$C$14:$N$14,('Calc base'!$H319:$S319&gt;'Calc base'!I319)+('Calc base'!$H319:$S319='Calc base'!I319)*('Calc base'!$C$17:$N$17&lt;'Calc base'!D$17)))))</f>
        <v>0</v>
      </c>
      <c r="AJ319">
        <f>IF('Calc base'!E$14=0,0,MIN(X319,MAX(0,$E319-SUMPRODUCT($V319:$AG319,'Calc base'!$C$14:$N$14,('Calc base'!$H319:$S319&gt;'Calc base'!J319)+('Calc base'!$H319:$S319='Calc base'!J319)*('Calc base'!$C$17:$N$17&lt;'Calc base'!E$17)))))</f>
        <v>0</v>
      </c>
      <c r="AK319">
        <f>IF('Calc base'!F$14=0,0,MIN(Y319,MAX(0,$E319-SUMPRODUCT($V319:$AG319,'Calc base'!$C$14:$N$14,('Calc base'!$H319:$S319&gt;'Calc base'!K319)+('Calc base'!$H319:$S319='Calc base'!K319)*('Calc base'!$C$17:$N$17&lt;'Calc base'!F$17)))))</f>
        <v>0</v>
      </c>
      <c r="AL319">
        <f>IF('Calc base'!G$14=0,0,MIN(Z319,MAX(0,$E319-SUMPRODUCT($V319:$AG319,'Calc base'!$C$14:$N$14,('Calc base'!$H319:$S319&gt;'Calc base'!L319)+('Calc base'!$H319:$S319='Calc base'!L319)*('Calc base'!$C$17:$N$17&lt;'Calc base'!G$17)))))</f>
        <v>0</v>
      </c>
      <c r="AM319">
        <f>IF('Calc base'!H$14=0,0,MIN(AA319,MAX(0,$E319-SUMPRODUCT($V319:$AG319,'Calc base'!$C$14:$N$14,('Calc base'!$H319:$S319&gt;'Calc base'!M319)+('Calc base'!$H319:$S319='Calc base'!M319)*('Calc base'!$C$17:$N$17&lt;'Calc base'!H$17)))))</f>
        <v>0</v>
      </c>
      <c r="AN319">
        <f>IF('Calc base'!I$14=0,0,MIN(AB319,MAX(0,$E319-SUMPRODUCT($V319:$AG319,'Calc base'!$C$14:$N$14,('Calc base'!$H319:$S319&gt;'Calc base'!N319)+('Calc base'!$H319:$S319='Calc base'!N319)*('Calc base'!$C$17:$N$17&lt;'Calc base'!I$17)))))</f>
        <v>0</v>
      </c>
      <c r="AO319">
        <f>IF('Calc base'!J$14=0,0,MIN(AC319,MAX(0,$E319-SUMPRODUCT($V319:$AG319,'Calc base'!$C$14:$N$14,('Calc base'!$H319:$S319&gt;'Calc base'!O319)+('Calc base'!$H319:$S319='Calc base'!O319)*('Calc base'!$C$17:$N$17&lt;'Calc base'!J$17)))))</f>
        <v>0</v>
      </c>
      <c r="AP319">
        <f>IF('Calc base'!K$14=0,0,MIN(AD319,MAX(0,$E319-SUMPRODUCT($V319:$AG319,'Calc base'!$C$14:$N$14,('Calc base'!$H319:$S319&gt;'Calc base'!P319)+('Calc base'!$H319:$S319='Calc base'!P319)*('Calc base'!$C$17:$N$17&lt;'Calc base'!K$17)))))</f>
        <v>0</v>
      </c>
      <c r="AQ319">
        <f>IF('Calc base'!L$14=0,0,MIN(AE319,MAX(0,$E319-SUMPRODUCT($V319:$AG319,'Calc base'!$C$14:$N$14,('Calc base'!$H319:$S319&gt;'Calc base'!Q319)+('Calc base'!$H319:$S319='Calc base'!Q319)*('Calc base'!$C$17:$N$17&lt;'Calc base'!L$17)))))</f>
        <v>0</v>
      </c>
      <c r="AR319">
        <f>IF('Calc base'!M$14=0,0,MIN(AF319,MAX(0,$E319-SUMPRODUCT($V319:$AG319,'Calc base'!$C$14:$N$14,('Calc base'!$H319:$S319&gt;'Calc base'!R319)+('Calc base'!$H319:$S319='Calc base'!R319)*('Calc base'!$C$17:$N$17&lt;'Calc base'!M$17)))))</f>
        <v>0</v>
      </c>
      <c r="AS319">
        <f>IF('Calc base'!N$14=0,0,MIN(AG319,MAX(0,$E319-SUMPRODUCT($V319:$AG319,'Calc base'!$C$14:$N$14,('Calc base'!$H319:$S319&gt;'Calc base'!S319)+('Calc base'!$H319:$S319='Calc base'!S319)*('Calc base'!$C$17:$N$17&lt;'Calc base'!N$17)))))</f>
        <v>0</v>
      </c>
      <c r="AT319">
        <f>V319-AH319</f>
        <v>0</v>
      </c>
      <c r="AU319">
        <f>W319-AI319</f>
        <v>0</v>
      </c>
      <c r="AV319">
        <f>X319-AJ319</f>
        <v>0</v>
      </c>
      <c r="AW319">
        <f>Y319-AK319</f>
        <v>0</v>
      </c>
      <c r="AX319">
        <f>Z319-AL319</f>
        <v>0</v>
      </c>
      <c r="AY319">
        <f>AA319-AM319</f>
        <v>0</v>
      </c>
      <c r="AZ319">
        <f>AB319-AN319</f>
        <v>0</v>
      </c>
      <c r="BA319">
        <f>AC319-AO319</f>
        <v>0</v>
      </c>
      <c r="BB319">
        <f>AD319-AP319</f>
        <v>0</v>
      </c>
      <c r="BC319">
        <f>AE319-AQ319</f>
        <v>0</v>
      </c>
      <c r="BD319">
        <f>AF319-AR319</f>
        <v>0</v>
      </c>
      <c r="BE319">
        <f>AG319-AS319</f>
        <v>0</v>
      </c>
    </row>
    <row r="320">
      <c r="A320" t="n">
        <v>290</v>
      </c>
      <c r="B320">
        <f>SUMPRODUCT(ROUND($AT319:$BE319*(1+'Calc base'!$H320:$S320),2))</f>
        <v>0</v>
      </c>
      <c r="C320">
        <f>SUM(J320:U320)</f>
        <v>0</v>
      </c>
      <c r="D320">
        <f>SUM(V320:AG320)</f>
        <v>0</v>
      </c>
      <c r="E320">
        <f>MAX(0,IF(Impostazioni!$B$7="No",'Calc base'!$C320-$C$31,'Calc base'!$C320-C320)+'Calc base'!$G320+'Calc base'!$F320-(B320-C320-D320))</f>
        <v>900</v>
      </c>
      <c r="F320">
        <f>SUM(AH320:AS320)</f>
        <v>0</v>
      </c>
      <c r="G320">
        <f>SUM(AT320:BE320)</f>
        <v>0</v>
      </c>
      <c r="H320">
        <f>B320-G319</f>
        <v>0</v>
      </c>
      <c r="I320">
        <f>B320-G320</f>
        <v>0</v>
      </c>
      <c r="J320">
        <f>IF(AT319&lt;=0,0,IF(ROUND(AT319*(1+'Calc base'!H320),2)-MAX('Calc base'!C$12,ROUND('Calc base'!C$13*AT319,2))&lt;1,ROUND(AT319*(1+'Calc base'!H320),2),MAX('Calc base'!C$12,ROUND('Calc base'!C$13*AT319,2))))</f>
        <v>0</v>
      </c>
      <c r="K320">
        <f>IF(AU319&lt;=0,0,IF(ROUND(AU319*(1+'Calc base'!I320),2)-MAX('Calc base'!D$12,ROUND('Calc base'!D$13*AU319,2))&lt;1,ROUND(AU319*(1+'Calc base'!I320),2),MAX('Calc base'!D$12,ROUND('Calc base'!D$13*AU319,2))))</f>
        <v>0</v>
      </c>
      <c r="L320">
        <f>IF(AV319&lt;=0,0,IF(ROUND(AV319*(1+'Calc base'!J320),2)-MAX('Calc base'!E$12,ROUND('Calc base'!E$13*AV319,2))&lt;1,ROUND(AV319*(1+'Calc base'!J320),2),MAX('Calc base'!E$12,ROUND('Calc base'!E$13*AV319,2))))</f>
        <v>0</v>
      </c>
      <c r="M320">
        <f>IF(AW319&lt;=0,0,IF(ROUND(AW319*(1+'Calc base'!K320),2)-MAX('Calc base'!F$12,ROUND('Calc base'!F$13*AW319,2))&lt;1,ROUND(AW319*(1+'Calc base'!K320),2),MAX('Calc base'!F$12,ROUND('Calc base'!F$13*AW319,2))))</f>
        <v>0</v>
      </c>
      <c r="N320">
        <f>IF(AX319&lt;=0,0,IF(ROUND(AX319*(1+'Calc base'!L320),2)-MAX('Calc base'!G$12,ROUND('Calc base'!G$13*AX319,2))&lt;1,ROUND(AX319*(1+'Calc base'!L320),2),MAX('Calc base'!G$12,ROUND('Calc base'!G$13*AX319,2))))</f>
        <v>0</v>
      </c>
      <c r="O320">
        <f>IF(AY319&lt;=0,0,IF(ROUND(AY319*(1+'Calc base'!M320),2)-MAX('Calc base'!H$12,ROUND('Calc base'!H$13*AY319,2))&lt;1,ROUND(AY319*(1+'Calc base'!M320),2),MAX('Calc base'!H$12,ROUND('Calc base'!H$13*AY319,2))))</f>
        <v>0</v>
      </c>
      <c r="P320">
        <f>IF(AZ319&lt;=0,0,IF(ROUND(AZ319*(1+'Calc base'!N320),2)-MAX('Calc base'!I$12,ROUND('Calc base'!I$13*AZ319,2))&lt;1,ROUND(AZ319*(1+'Calc base'!N320),2),MAX('Calc base'!I$12,ROUND('Calc base'!I$13*AZ319,2))))</f>
        <v>0</v>
      </c>
      <c r="Q320">
        <f>IF(BA319&lt;=0,0,IF(ROUND(BA319*(1+'Calc base'!O320),2)-MAX('Calc base'!J$12,ROUND('Calc base'!J$13*BA319,2))&lt;1,ROUND(BA319*(1+'Calc base'!O320),2),MAX('Calc base'!J$12,ROUND('Calc base'!J$13*BA319,2))))</f>
        <v>0</v>
      </c>
      <c r="R320">
        <f>IF(BB319&lt;=0,0,IF(ROUND(BB319*(1+'Calc base'!P320),2)-MAX('Calc base'!K$12,ROUND('Calc base'!K$13*BB319,2))&lt;1,ROUND(BB319*(1+'Calc base'!P320),2),MAX('Calc base'!K$12,ROUND('Calc base'!K$13*BB319,2))))</f>
        <v>0</v>
      </c>
      <c r="S320">
        <f>IF(BC319&lt;=0,0,IF(ROUND(BC319*(1+'Calc base'!Q320),2)-MAX('Calc base'!L$12,ROUND('Calc base'!L$13*BC319,2))&lt;1,ROUND(BC319*(1+'Calc base'!Q320),2),MAX('Calc base'!L$12,ROUND('Calc base'!L$13*BC319,2))))</f>
        <v>0</v>
      </c>
      <c r="T320">
        <f>IF(BD319&lt;=0,0,IF(ROUND(BD319*(1+'Calc base'!R320),2)-MAX('Calc base'!M$12,ROUND('Calc base'!M$13*BD319,2))&lt;1,ROUND(BD319*(1+'Calc base'!R320),2),MAX('Calc base'!M$12,ROUND('Calc base'!M$13*BD319,2))))</f>
        <v>0</v>
      </c>
      <c r="U320">
        <f>IF(BE319&lt;=0,0,IF(ROUND(BE319*(1+'Calc base'!S320),2)-MAX('Calc base'!N$12,ROUND('Calc base'!N$13*BE319,2))&lt;1,ROUND(BE319*(1+'Calc base'!S320),2),MAX('Calc base'!N$12,ROUND('Calc base'!N$13*BE319,2))))</f>
        <v>0</v>
      </c>
      <c r="V320">
        <f>MAX(0,ROUND(AT319*(1+'Calc base'!H320),2)-J320-'Calc base'!T320)</f>
        <v>0</v>
      </c>
      <c r="W320">
        <f>MAX(0,ROUND(AU319*(1+'Calc base'!I320),2)-K320-'Calc base'!U320)</f>
        <v>0</v>
      </c>
      <c r="X320">
        <f>MAX(0,ROUND(AV319*(1+'Calc base'!J320),2)-L320-'Calc base'!V320)</f>
        <v>0</v>
      </c>
      <c r="Y320">
        <f>MAX(0,ROUND(AW319*(1+'Calc base'!K320),2)-M320-'Calc base'!W320)</f>
        <v>0</v>
      </c>
      <c r="Z320">
        <f>MAX(0,ROUND(AX319*(1+'Calc base'!L320),2)-N320-'Calc base'!X320)</f>
        <v>0</v>
      </c>
      <c r="AA320">
        <f>MAX(0,ROUND(AY319*(1+'Calc base'!M320),2)-O320-'Calc base'!Y320)</f>
        <v>0</v>
      </c>
      <c r="AB320">
        <f>MAX(0,ROUND(AZ319*(1+'Calc base'!N320),2)-P320-'Calc base'!Z320)</f>
        <v>0</v>
      </c>
      <c r="AC320">
        <f>MAX(0,ROUND(BA319*(1+'Calc base'!O320),2)-Q320-'Calc base'!AA320)</f>
        <v>0</v>
      </c>
      <c r="AD320">
        <f>MAX(0,ROUND(BB319*(1+'Calc base'!P320),2)-R320-'Calc base'!AB320)</f>
        <v>0</v>
      </c>
      <c r="AE320">
        <f>MAX(0,ROUND(BC319*(1+'Calc base'!Q320),2)-S320-'Calc base'!AC320)</f>
        <v>0</v>
      </c>
      <c r="AF320">
        <f>MAX(0,ROUND(BD319*(1+'Calc base'!R320),2)-T320-'Calc base'!AD320)</f>
        <v>0</v>
      </c>
      <c r="AG320">
        <f>MAX(0,ROUND(BE319*(1+'Calc base'!S320),2)-U320-'Calc base'!AE320)</f>
        <v>0</v>
      </c>
      <c r="AH320">
        <f>IF('Calc base'!C$14=0,0,MIN(V320,MAX(0,$E320-SUMPRODUCT($V320:$AG320,'Calc base'!$C$14:$N$14,('Calc base'!$H320:$S320&gt;'Calc base'!H320)+('Calc base'!$H320:$S320='Calc base'!H320)*('Calc base'!$C$17:$N$17&lt;'Calc base'!C$17)))))</f>
        <v>0</v>
      </c>
      <c r="AI320">
        <f>IF('Calc base'!D$14=0,0,MIN(W320,MAX(0,$E320-SUMPRODUCT($V320:$AG320,'Calc base'!$C$14:$N$14,('Calc base'!$H320:$S320&gt;'Calc base'!I320)+('Calc base'!$H320:$S320='Calc base'!I320)*('Calc base'!$C$17:$N$17&lt;'Calc base'!D$17)))))</f>
        <v>0</v>
      </c>
      <c r="AJ320">
        <f>IF('Calc base'!E$14=0,0,MIN(X320,MAX(0,$E320-SUMPRODUCT($V320:$AG320,'Calc base'!$C$14:$N$14,('Calc base'!$H320:$S320&gt;'Calc base'!J320)+('Calc base'!$H320:$S320='Calc base'!J320)*('Calc base'!$C$17:$N$17&lt;'Calc base'!E$17)))))</f>
        <v>0</v>
      </c>
      <c r="AK320">
        <f>IF('Calc base'!F$14=0,0,MIN(Y320,MAX(0,$E320-SUMPRODUCT($V320:$AG320,'Calc base'!$C$14:$N$14,('Calc base'!$H320:$S320&gt;'Calc base'!K320)+('Calc base'!$H320:$S320='Calc base'!K320)*('Calc base'!$C$17:$N$17&lt;'Calc base'!F$17)))))</f>
        <v>0</v>
      </c>
      <c r="AL320">
        <f>IF('Calc base'!G$14=0,0,MIN(Z320,MAX(0,$E320-SUMPRODUCT($V320:$AG320,'Calc base'!$C$14:$N$14,('Calc base'!$H320:$S320&gt;'Calc base'!L320)+('Calc base'!$H320:$S320='Calc base'!L320)*('Calc base'!$C$17:$N$17&lt;'Calc base'!G$17)))))</f>
        <v>0</v>
      </c>
      <c r="AM320">
        <f>IF('Calc base'!H$14=0,0,MIN(AA320,MAX(0,$E320-SUMPRODUCT($V320:$AG320,'Calc base'!$C$14:$N$14,('Calc base'!$H320:$S320&gt;'Calc base'!M320)+('Calc base'!$H320:$S320='Calc base'!M320)*('Calc base'!$C$17:$N$17&lt;'Calc base'!H$17)))))</f>
        <v>0</v>
      </c>
      <c r="AN320">
        <f>IF('Calc base'!I$14=0,0,MIN(AB320,MAX(0,$E320-SUMPRODUCT($V320:$AG320,'Calc base'!$C$14:$N$14,('Calc base'!$H320:$S320&gt;'Calc base'!N320)+('Calc base'!$H320:$S320='Calc base'!N320)*('Calc base'!$C$17:$N$17&lt;'Calc base'!I$17)))))</f>
        <v>0</v>
      </c>
      <c r="AO320">
        <f>IF('Calc base'!J$14=0,0,MIN(AC320,MAX(0,$E320-SUMPRODUCT($V320:$AG320,'Calc base'!$C$14:$N$14,('Calc base'!$H320:$S320&gt;'Calc base'!O320)+('Calc base'!$H320:$S320='Calc base'!O320)*('Calc base'!$C$17:$N$17&lt;'Calc base'!J$17)))))</f>
        <v>0</v>
      </c>
      <c r="AP320">
        <f>IF('Calc base'!K$14=0,0,MIN(AD320,MAX(0,$E320-SUMPRODUCT($V320:$AG320,'Calc base'!$C$14:$N$14,('Calc base'!$H320:$S320&gt;'Calc base'!P320)+('Calc base'!$H320:$S320='Calc base'!P320)*('Calc base'!$C$17:$N$17&lt;'Calc base'!K$17)))))</f>
        <v>0</v>
      </c>
      <c r="AQ320">
        <f>IF('Calc base'!L$14=0,0,MIN(AE320,MAX(0,$E320-SUMPRODUCT($V320:$AG320,'Calc base'!$C$14:$N$14,('Calc base'!$H320:$S320&gt;'Calc base'!Q320)+('Calc base'!$H320:$S320='Calc base'!Q320)*('Calc base'!$C$17:$N$17&lt;'Calc base'!L$17)))))</f>
        <v>0</v>
      </c>
      <c r="AR320">
        <f>IF('Calc base'!M$14=0,0,MIN(AF320,MAX(0,$E320-SUMPRODUCT($V320:$AG320,'Calc base'!$C$14:$N$14,('Calc base'!$H320:$S320&gt;'Calc base'!R320)+('Calc base'!$H320:$S320='Calc base'!R320)*('Calc base'!$C$17:$N$17&lt;'Calc base'!M$17)))))</f>
        <v>0</v>
      </c>
      <c r="AS320">
        <f>IF('Calc base'!N$14=0,0,MIN(AG320,MAX(0,$E320-SUMPRODUCT($V320:$AG320,'Calc base'!$C$14:$N$14,('Calc base'!$H320:$S320&gt;'Calc base'!S320)+('Calc base'!$H320:$S320='Calc base'!S320)*('Calc base'!$C$17:$N$17&lt;'Calc base'!N$17)))))</f>
        <v>0</v>
      </c>
      <c r="AT320">
        <f>V320-AH320</f>
        <v>0</v>
      </c>
      <c r="AU320">
        <f>W320-AI320</f>
        <v>0</v>
      </c>
      <c r="AV320">
        <f>X320-AJ320</f>
        <v>0</v>
      </c>
      <c r="AW320">
        <f>Y320-AK320</f>
        <v>0</v>
      </c>
      <c r="AX320">
        <f>Z320-AL320</f>
        <v>0</v>
      </c>
      <c r="AY320">
        <f>AA320-AM320</f>
        <v>0</v>
      </c>
      <c r="AZ320">
        <f>AB320-AN320</f>
        <v>0</v>
      </c>
      <c r="BA320">
        <f>AC320-AO320</f>
        <v>0</v>
      </c>
      <c r="BB320">
        <f>AD320-AP320</f>
        <v>0</v>
      </c>
      <c r="BC320">
        <f>AE320-AQ320</f>
        <v>0</v>
      </c>
      <c r="BD320">
        <f>AF320-AR320</f>
        <v>0</v>
      </c>
      <c r="BE320">
        <f>AG320-AS320</f>
        <v>0</v>
      </c>
    </row>
    <row r="321">
      <c r="A321" t="n">
        <v>291</v>
      </c>
      <c r="B321">
        <f>SUMPRODUCT(ROUND($AT320:$BE320*(1+'Calc base'!$H321:$S321),2))</f>
        <v>0</v>
      </c>
      <c r="C321">
        <f>SUM(J321:U321)</f>
        <v>0</v>
      </c>
      <c r="D321">
        <f>SUM(V321:AG321)</f>
        <v>0</v>
      </c>
      <c r="E321">
        <f>MAX(0,IF(Impostazioni!$B$7="No",'Calc base'!$C321-$C$31,'Calc base'!$C321-C321)+'Calc base'!$G321+'Calc base'!$F321-(B321-C321-D321))</f>
        <v>900</v>
      </c>
      <c r="F321">
        <f>SUM(AH321:AS321)</f>
        <v>0</v>
      </c>
      <c r="G321">
        <f>SUM(AT321:BE321)</f>
        <v>0</v>
      </c>
      <c r="H321">
        <f>B321-G320</f>
        <v>0</v>
      </c>
      <c r="I321">
        <f>B321-G321</f>
        <v>0</v>
      </c>
      <c r="J321">
        <f>IF(AT320&lt;=0,0,IF(ROUND(AT320*(1+'Calc base'!H321),2)-MAX('Calc base'!C$12,ROUND('Calc base'!C$13*AT320,2))&lt;1,ROUND(AT320*(1+'Calc base'!H321),2),MAX('Calc base'!C$12,ROUND('Calc base'!C$13*AT320,2))))</f>
        <v>0</v>
      </c>
      <c r="K321">
        <f>IF(AU320&lt;=0,0,IF(ROUND(AU320*(1+'Calc base'!I321),2)-MAX('Calc base'!D$12,ROUND('Calc base'!D$13*AU320,2))&lt;1,ROUND(AU320*(1+'Calc base'!I321),2),MAX('Calc base'!D$12,ROUND('Calc base'!D$13*AU320,2))))</f>
        <v>0</v>
      </c>
      <c r="L321">
        <f>IF(AV320&lt;=0,0,IF(ROUND(AV320*(1+'Calc base'!J321),2)-MAX('Calc base'!E$12,ROUND('Calc base'!E$13*AV320,2))&lt;1,ROUND(AV320*(1+'Calc base'!J321),2),MAX('Calc base'!E$12,ROUND('Calc base'!E$13*AV320,2))))</f>
        <v>0</v>
      </c>
      <c r="M321">
        <f>IF(AW320&lt;=0,0,IF(ROUND(AW320*(1+'Calc base'!K321),2)-MAX('Calc base'!F$12,ROUND('Calc base'!F$13*AW320,2))&lt;1,ROUND(AW320*(1+'Calc base'!K321),2),MAX('Calc base'!F$12,ROUND('Calc base'!F$13*AW320,2))))</f>
        <v>0</v>
      </c>
      <c r="N321">
        <f>IF(AX320&lt;=0,0,IF(ROUND(AX320*(1+'Calc base'!L321),2)-MAX('Calc base'!G$12,ROUND('Calc base'!G$13*AX320,2))&lt;1,ROUND(AX320*(1+'Calc base'!L321),2),MAX('Calc base'!G$12,ROUND('Calc base'!G$13*AX320,2))))</f>
        <v>0</v>
      </c>
      <c r="O321">
        <f>IF(AY320&lt;=0,0,IF(ROUND(AY320*(1+'Calc base'!M321),2)-MAX('Calc base'!H$12,ROUND('Calc base'!H$13*AY320,2))&lt;1,ROUND(AY320*(1+'Calc base'!M321),2),MAX('Calc base'!H$12,ROUND('Calc base'!H$13*AY320,2))))</f>
        <v>0</v>
      </c>
      <c r="P321">
        <f>IF(AZ320&lt;=0,0,IF(ROUND(AZ320*(1+'Calc base'!N321),2)-MAX('Calc base'!I$12,ROUND('Calc base'!I$13*AZ320,2))&lt;1,ROUND(AZ320*(1+'Calc base'!N321),2),MAX('Calc base'!I$12,ROUND('Calc base'!I$13*AZ320,2))))</f>
        <v>0</v>
      </c>
      <c r="Q321">
        <f>IF(BA320&lt;=0,0,IF(ROUND(BA320*(1+'Calc base'!O321),2)-MAX('Calc base'!J$12,ROUND('Calc base'!J$13*BA320,2))&lt;1,ROUND(BA320*(1+'Calc base'!O321),2),MAX('Calc base'!J$12,ROUND('Calc base'!J$13*BA320,2))))</f>
        <v>0</v>
      </c>
      <c r="R321">
        <f>IF(BB320&lt;=0,0,IF(ROUND(BB320*(1+'Calc base'!P321),2)-MAX('Calc base'!K$12,ROUND('Calc base'!K$13*BB320,2))&lt;1,ROUND(BB320*(1+'Calc base'!P321),2),MAX('Calc base'!K$12,ROUND('Calc base'!K$13*BB320,2))))</f>
        <v>0</v>
      </c>
      <c r="S321">
        <f>IF(BC320&lt;=0,0,IF(ROUND(BC320*(1+'Calc base'!Q321),2)-MAX('Calc base'!L$12,ROUND('Calc base'!L$13*BC320,2))&lt;1,ROUND(BC320*(1+'Calc base'!Q321),2),MAX('Calc base'!L$12,ROUND('Calc base'!L$13*BC320,2))))</f>
        <v>0</v>
      </c>
      <c r="T321">
        <f>IF(BD320&lt;=0,0,IF(ROUND(BD320*(1+'Calc base'!R321),2)-MAX('Calc base'!M$12,ROUND('Calc base'!M$13*BD320,2))&lt;1,ROUND(BD320*(1+'Calc base'!R321),2),MAX('Calc base'!M$12,ROUND('Calc base'!M$13*BD320,2))))</f>
        <v>0</v>
      </c>
      <c r="U321">
        <f>IF(BE320&lt;=0,0,IF(ROUND(BE320*(1+'Calc base'!S321),2)-MAX('Calc base'!N$12,ROUND('Calc base'!N$13*BE320,2))&lt;1,ROUND(BE320*(1+'Calc base'!S321),2),MAX('Calc base'!N$12,ROUND('Calc base'!N$13*BE320,2))))</f>
        <v>0</v>
      </c>
      <c r="V321">
        <f>MAX(0,ROUND(AT320*(1+'Calc base'!H321),2)-J321-'Calc base'!T321)</f>
        <v>0</v>
      </c>
      <c r="W321">
        <f>MAX(0,ROUND(AU320*(1+'Calc base'!I321),2)-K321-'Calc base'!U321)</f>
        <v>0</v>
      </c>
      <c r="X321">
        <f>MAX(0,ROUND(AV320*(1+'Calc base'!J321),2)-L321-'Calc base'!V321)</f>
        <v>0</v>
      </c>
      <c r="Y321">
        <f>MAX(0,ROUND(AW320*(1+'Calc base'!K321),2)-M321-'Calc base'!W321)</f>
        <v>0</v>
      </c>
      <c r="Z321">
        <f>MAX(0,ROUND(AX320*(1+'Calc base'!L321),2)-N321-'Calc base'!X321)</f>
        <v>0</v>
      </c>
      <c r="AA321">
        <f>MAX(0,ROUND(AY320*(1+'Calc base'!M321),2)-O321-'Calc base'!Y321)</f>
        <v>0</v>
      </c>
      <c r="AB321">
        <f>MAX(0,ROUND(AZ320*(1+'Calc base'!N321),2)-P321-'Calc base'!Z321)</f>
        <v>0</v>
      </c>
      <c r="AC321">
        <f>MAX(0,ROUND(BA320*(1+'Calc base'!O321),2)-Q321-'Calc base'!AA321)</f>
        <v>0</v>
      </c>
      <c r="AD321">
        <f>MAX(0,ROUND(BB320*(1+'Calc base'!P321),2)-R321-'Calc base'!AB321)</f>
        <v>0</v>
      </c>
      <c r="AE321">
        <f>MAX(0,ROUND(BC320*(1+'Calc base'!Q321),2)-S321-'Calc base'!AC321)</f>
        <v>0</v>
      </c>
      <c r="AF321">
        <f>MAX(0,ROUND(BD320*(1+'Calc base'!R321),2)-T321-'Calc base'!AD321)</f>
        <v>0</v>
      </c>
      <c r="AG321">
        <f>MAX(0,ROUND(BE320*(1+'Calc base'!S321),2)-U321-'Calc base'!AE321)</f>
        <v>0</v>
      </c>
      <c r="AH321">
        <f>IF('Calc base'!C$14=0,0,MIN(V321,MAX(0,$E321-SUMPRODUCT($V321:$AG321,'Calc base'!$C$14:$N$14,('Calc base'!$H321:$S321&gt;'Calc base'!H321)+('Calc base'!$H321:$S321='Calc base'!H321)*('Calc base'!$C$17:$N$17&lt;'Calc base'!C$17)))))</f>
        <v>0</v>
      </c>
      <c r="AI321">
        <f>IF('Calc base'!D$14=0,0,MIN(W321,MAX(0,$E321-SUMPRODUCT($V321:$AG321,'Calc base'!$C$14:$N$14,('Calc base'!$H321:$S321&gt;'Calc base'!I321)+('Calc base'!$H321:$S321='Calc base'!I321)*('Calc base'!$C$17:$N$17&lt;'Calc base'!D$17)))))</f>
        <v>0</v>
      </c>
      <c r="AJ321">
        <f>IF('Calc base'!E$14=0,0,MIN(X321,MAX(0,$E321-SUMPRODUCT($V321:$AG321,'Calc base'!$C$14:$N$14,('Calc base'!$H321:$S321&gt;'Calc base'!J321)+('Calc base'!$H321:$S321='Calc base'!J321)*('Calc base'!$C$17:$N$17&lt;'Calc base'!E$17)))))</f>
        <v>0</v>
      </c>
      <c r="AK321">
        <f>IF('Calc base'!F$14=0,0,MIN(Y321,MAX(0,$E321-SUMPRODUCT($V321:$AG321,'Calc base'!$C$14:$N$14,('Calc base'!$H321:$S321&gt;'Calc base'!K321)+('Calc base'!$H321:$S321='Calc base'!K321)*('Calc base'!$C$17:$N$17&lt;'Calc base'!F$17)))))</f>
        <v>0</v>
      </c>
      <c r="AL321">
        <f>IF('Calc base'!G$14=0,0,MIN(Z321,MAX(0,$E321-SUMPRODUCT($V321:$AG321,'Calc base'!$C$14:$N$14,('Calc base'!$H321:$S321&gt;'Calc base'!L321)+('Calc base'!$H321:$S321='Calc base'!L321)*('Calc base'!$C$17:$N$17&lt;'Calc base'!G$17)))))</f>
        <v>0</v>
      </c>
      <c r="AM321">
        <f>IF('Calc base'!H$14=0,0,MIN(AA321,MAX(0,$E321-SUMPRODUCT($V321:$AG321,'Calc base'!$C$14:$N$14,('Calc base'!$H321:$S321&gt;'Calc base'!M321)+('Calc base'!$H321:$S321='Calc base'!M321)*('Calc base'!$C$17:$N$17&lt;'Calc base'!H$17)))))</f>
        <v>0</v>
      </c>
      <c r="AN321">
        <f>IF('Calc base'!I$14=0,0,MIN(AB321,MAX(0,$E321-SUMPRODUCT($V321:$AG321,'Calc base'!$C$14:$N$14,('Calc base'!$H321:$S321&gt;'Calc base'!N321)+('Calc base'!$H321:$S321='Calc base'!N321)*('Calc base'!$C$17:$N$17&lt;'Calc base'!I$17)))))</f>
        <v>0</v>
      </c>
      <c r="AO321">
        <f>IF('Calc base'!J$14=0,0,MIN(AC321,MAX(0,$E321-SUMPRODUCT($V321:$AG321,'Calc base'!$C$14:$N$14,('Calc base'!$H321:$S321&gt;'Calc base'!O321)+('Calc base'!$H321:$S321='Calc base'!O321)*('Calc base'!$C$17:$N$17&lt;'Calc base'!J$17)))))</f>
        <v>0</v>
      </c>
      <c r="AP321">
        <f>IF('Calc base'!K$14=0,0,MIN(AD321,MAX(0,$E321-SUMPRODUCT($V321:$AG321,'Calc base'!$C$14:$N$14,('Calc base'!$H321:$S321&gt;'Calc base'!P321)+('Calc base'!$H321:$S321='Calc base'!P321)*('Calc base'!$C$17:$N$17&lt;'Calc base'!K$17)))))</f>
        <v>0</v>
      </c>
      <c r="AQ321">
        <f>IF('Calc base'!L$14=0,0,MIN(AE321,MAX(0,$E321-SUMPRODUCT($V321:$AG321,'Calc base'!$C$14:$N$14,('Calc base'!$H321:$S321&gt;'Calc base'!Q321)+('Calc base'!$H321:$S321='Calc base'!Q321)*('Calc base'!$C$17:$N$17&lt;'Calc base'!L$17)))))</f>
        <v>0</v>
      </c>
      <c r="AR321">
        <f>IF('Calc base'!M$14=0,0,MIN(AF321,MAX(0,$E321-SUMPRODUCT($V321:$AG321,'Calc base'!$C$14:$N$14,('Calc base'!$H321:$S321&gt;'Calc base'!R321)+('Calc base'!$H321:$S321='Calc base'!R321)*('Calc base'!$C$17:$N$17&lt;'Calc base'!M$17)))))</f>
        <v>0</v>
      </c>
      <c r="AS321">
        <f>IF('Calc base'!N$14=0,0,MIN(AG321,MAX(0,$E321-SUMPRODUCT($V321:$AG321,'Calc base'!$C$14:$N$14,('Calc base'!$H321:$S321&gt;'Calc base'!S321)+('Calc base'!$H321:$S321='Calc base'!S321)*('Calc base'!$C$17:$N$17&lt;'Calc base'!N$17)))))</f>
        <v>0</v>
      </c>
      <c r="AT321">
        <f>V321-AH321</f>
        <v>0</v>
      </c>
      <c r="AU321">
        <f>W321-AI321</f>
        <v>0</v>
      </c>
      <c r="AV321">
        <f>X321-AJ321</f>
        <v>0</v>
      </c>
      <c r="AW321">
        <f>Y321-AK321</f>
        <v>0</v>
      </c>
      <c r="AX321">
        <f>Z321-AL321</f>
        <v>0</v>
      </c>
      <c r="AY321">
        <f>AA321-AM321</f>
        <v>0</v>
      </c>
      <c r="AZ321">
        <f>AB321-AN321</f>
        <v>0</v>
      </c>
      <c r="BA321">
        <f>AC321-AO321</f>
        <v>0</v>
      </c>
      <c r="BB321">
        <f>AD321-AP321</f>
        <v>0</v>
      </c>
      <c r="BC321">
        <f>AE321-AQ321</f>
        <v>0</v>
      </c>
      <c r="BD321">
        <f>AF321-AR321</f>
        <v>0</v>
      </c>
      <c r="BE321">
        <f>AG321-AS321</f>
        <v>0</v>
      </c>
    </row>
    <row r="322">
      <c r="A322" t="n">
        <v>292</v>
      </c>
      <c r="B322">
        <f>SUMPRODUCT(ROUND($AT321:$BE321*(1+'Calc base'!$H322:$S322),2))</f>
        <v>0</v>
      </c>
      <c r="C322">
        <f>SUM(J322:U322)</f>
        <v>0</v>
      </c>
      <c r="D322">
        <f>SUM(V322:AG322)</f>
        <v>0</v>
      </c>
      <c r="E322">
        <f>MAX(0,IF(Impostazioni!$B$7="No",'Calc base'!$C322-$C$31,'Calc base'!$C322-C322)+'Calc base'!$G322+'Calc base'!$F322-(B322-C322-D322))</f>
        <v>900</v>
      </c>
      <c r="F322">
        <f>SUM(AH322:AS322)</f>
        <v>0</v>
      </c>
      <c r="G322">
        <f>SUM(AT322:BE322)</f>
        <v>0</v>
      </c>
      <c r="H322">
        <f>B322-G321</f>
        <v>0</v>
      </c>
      <c r="I322">
        <f>B322-G322</f>
        <v>0</v>
      </c>
      <c r="J322">
        <f>IF(AT321&lt;=0,0,IF(ROUND(AT321*(1+'Calc base'!H322),2)-MAX('Calc base'!C$12,ROUND('Calc base'!C$13*AT321,2))&lt;1,ROUND(AT321*(1+'Calc base'!H322),2),MAX('Calc base'!C$12,ROUND('Calc base'!C$13*AT321,2))))</f>
        <v>0</v>
      </c>
      <c r="K322">
        <f>IF(AU321&lt;=0,0,IF(ROUND(AU321*(1+'Calc base'!I322),2)-MAX('Calc base'!D$12,ROUND('Calc base'!D$13*AU321,2))&lt;1,ROUND(AU321*(1+'Calc base'!I322),2),MAX('Calc base'!D$12,ROUND('Calc base'!D$13*AU321,2))))</f>
        <v>0</v>
      </c>
      <c r="L322">
        <f>IF(AV321&lt;=0,0,IF(ROUND(AV321*(1+'Calc base'!J322),2)-MAX('Calc base'!E$12,ROUND('Calc base'!E$13*AV321,2))&lt;1,ROUND(AV321*(1+'Calc base'!J322),2),MAX('Calc base'!E$12,ROUND('Calc base'!E$13*AV321,2))))</f>
        <v>0</v>
      </c>
      <c r="M322">
        <f>IF(AW321&lt;=0,0,IF(ROUND(AW321*(1+'Calc base'!K322),2)-MAX('Calc base'!F$12,ROUND('Calc base'!F$13*AW321,2))&lt;1,ROUND(AW321*(1+'Calc base'!K322),2),MAX('Calc base'!F$12,ROUND('Calc base'!F$13*AW321,2))))</f>
        <v>0</v>
      </c>
      <c r="N322">
        <f>IF(AX321&lt;=0,0,IF(ROUND(AX321*(1+'Calc base'!L322),2)-MAX('Calc base'!G$12,ROUND('Calc base'!G$13*AX321,2))&lt;1,ROUND(AX321*(1+'Calc base'!L322),2),MAX('Calc base'!G$12,ROUND('Calc base'!G$13*AX321,2))))</f>
        <v>0</v>
      </c>
      <c r="O322">
        <f>IF(AY321&lt;=0,0,IF(ROUND(AY321*(1+'Calc base'!M322),2)-MAX('Calc base'!H$12,ROUND('Calc base'!H$13*AY321,2))&lt;1,ROUND(AY321*(1+'Calc base'!M322),2),MAX('Calc base'!H$12,ROUND('Calc base'!H$13*AY321,2))))</f>
        <v>0</v>
      </c>
      <c r="P322">
        <f>IF(AZ321&lt;=0,0,IF(ROUND(AZ321*(1+'Calc base'!N322),2)-MAX('Calc base'!I$12,ROUND('Calc base'!I$13*AZ321,2))&lt;1,ROUND(AZ321*(1+'Calc base'!N322),2),MAX('Calc base'!I$12,ROUND('Calc base'!I$13*AZ321,2))))</f>
        <v>0</v>
      </c>
      <c r="Q322">
        <f>IF(BA321&lt;=0,0,IF(ROUND(BA321*(1+'Calc base'!O322),2)-MAX('Calc base'!J$12,ROUND('Calc base'!J$13*BA321,2))&lt;1,ROUND(BA321*(1+'Calc base'!O322),2),MAX('Calc base'!J$12,ROUND('Calc base'!J$13*BA321,2))))</f>
        <v>0</v>
      </c>
      <c r="R322">
        <f>IF(BB321&lt;=0,0,IF(ROUND(BB321*(1+'Calc base'!P322),2)-MAX('Calc base'!K$12,ROUND('Calc base'!K$13*BB321,2))&lt;1,ROUND(BB321*(1+'Calc base'!P322),2),MAX('Calc base'!K$12,ROUND('Calc base'!K$13*BB321,2))))</f>
        <v>0</v>
      </c>
      <c r="S322">
        <f>IF(BC321&lt;=0,0,IF(ROUND(BC321*(1+'Calc base'!Q322),2)-MAX('Calc base'!L$12,ROUND('Calc base'!L$13*BC321,2))&lt;1,ROUND(BC321*(1+'Calc base'!Q322),2),MAX('Calc base'!L$12,ROUND('Calc base'!L$13*BC321,2))))</f>
        <v>0</v>
      </c>
      <c r="T322">
        <f>IF(BD321&lt;=0,0,IF(ROUND(BD321*(1+'Calc base'!R322),2)-MAX('Calc base'!M$12,ROUND('Calc base'!M$13*BD321,2))&lt;1,ROUND(BD321*(1+'Calc base'!R322),2),MAX('Calc base'!M$12,ROUND('Calc base'!M$13*BD321,2))))</f>
        <v>0</v>
      </c>
      <c r="U322">
        <f>IF(BE321&lt;=0,0,IF(ROUND(BE321*(1+'Calc base'!S322),2)-MAX('Calc base'!N$12,ROUND('Calc base'!N$13*BE321,2))&lt;1,ROUND(BE321*(1+'Calc base'!S322),2),MAX('Calc base'!N$12,ROUND('Calc base'!N$13*BE321,2))))</f>
        <v>0</v>
      </c>
      <c r="V322">
        <f>MAX(0,ROUND(AT321*(1+'Calc base'!H322),2)-J322-'Calc base'!T322)</f>
        <v>0</v>
      </c>
      <c r="W322">
        <f>MAX(0,ROUND(AU321*(1+'Calc base'!I322),2)-K322-'Calc base'!U322)</f>
        <v>0</v>
      </c>
      <c r="X322">
        <f>MAX(0,ROUND(AV321*(1+'Calc base'!J322),2)-L322-'Calc base'!V322)</f>
        <v>0</v>
      </c>
      <c r="Y322">
        <f>MAX(0,ROUND(AW321*(1+'Calc base'!K322),2)-M322-'Calc base'!W322)</f>
        <v>0</v>
      </c>
      <c r="Z322">
        <f>MAX(0,ROUND(AX321*(1+'Calc base'!L322),2)-N322-'Calc base'!X322)</f>
        <v>0</v>
      </c>
      <c r="AA322">
        <f>MAX(0,ROUND(AY321*(1+'Calc base'!M322),2)-O322-'Calc base'!Y322)</f>
        <v>0</v>
      </c>
      <c r="AB322">
        <f>MAX(0,ROUND(AZ321*(1+'Calc base'!N322),2)-P322-'Calc base'!Z322)</f>
        <v>0</v>
      </c>
      <c r="AC322">
        <f>MAX(0,ROUND(BA321*(1+'Calc base'!O322),2)-Q322-'Calc base'!AA322)</f>
        <v>0</v>
      </c>
      <c r="AD322">
        <f>MAX(0,ROUND(BB321*(1+'Calc base'!P322),2)-R322-'Calc base'!AB322)</f>
        <v>0</v>
      </c>
      <c r="AE322">
        <f>MAX(0,ROUND(BC321*(1+'Calc base'!Q322),2)-S322-'Calc base'!AC322)</f>
        <v>0</v>
      </c>
      <c r="AF322">
        <f>MAX(0,ROUND(BD321*(1+'Calc base'!R322),2)-T322-'Calc base'!AD322)</f>
        <v>0</v>
      </c>
      <c r="AG322">
        <f>MAX(0,ROUND(BE321*(1+'Calc base'!S322),2)-U322-'Calc base'!AE322)</f>
        <v>0</v>
      </c>
      <c r="AH322">
        <f>IF('Calc base'!C$14=0,0,MIN(V322,MAX(0,$E322-SUMPRODUCT($V322:$AG322,'Calc base'!$C$14:$N$14,('Calc base'!$H322:$S322&gt;'Calc base'!H322)+('Calc base'!$H322:$S322='Calc base'!H322)*('Calc base'!$C$17:$N$17&lt;'Calc base'!C$17)))))</f>
        <v>0</v>
      </c>
      <c r="AI322">
        <f>IF('Calc base'!D$14=0,0,MIN(W322,MAX(0,$E322-SUMPRODUCT($V322:$AG322,'Calc base'!$C$14:$N$14,('Calc base'!$H322:$S322&gt;'Calc base'!I322)+('Calc base'!$H322:$S322='Calc base'!I322)*('Calc base'!$C$17:$N$17&lt;'Calc base'!D$17)))))</f>
        <v>0</v>
      </c>
      <c r="AJ322">
        <f>IF('Calc base'!E$14=0,0,MIN(X322,MAX(0,$E322-SUMPRODUCT($V322:$AG322,'Calc base'!$C$14:$N$14,('Calc base'!$H322:$S322&gt;'Calc base'!J322)+('Calc base'!$H322:$S322='Calc base'!J322)*('Calc base'!$C$17:$N$17&lt;'Calc base'!E$17)))))</f>
        <v>0</v>
      </c>
      <c r="AK322">
        <f>IF('Calc base'!F$14=0,0,MIN(Y322,MAX(0,$E322-SUMPRODUCT($V322:$AG322,'Calc base'!$C$14:$N$14,('Calc base'!$H322:$S322&gt;'Calc base'!K322)+('Calc base'!$H322:$S322='Calc base'!K322)*('Calc base'!$C$17:$N$17&lt;'Calc base'!F$17)))))</f>
        <v>0</v>
      </c>
      <c r="AL322">
        <f>IF('Calc base'!G$14=0,0,MIN(Z322,MAX(0,$E322-SUMPRODUCT($V322:$AG322,'Calc base'!$C$14:$N$14,('Calc base'!$H322:$S322&gt;'Calc base'!L322)+('Calc base'!$H322:$S322='Calc base'!L322)*('Calc base'!$C$17:$N$17&lt;'Calc base'!G$17)))))</f>
        <v>0</v>
      </c>
      <c r="AM322">
        <f>IF('Calc base'!H$14=0,0,MIN(AA322,MAX(0,$E322-SUMPRODUCT($V322:$AG322,'Calc base'!$C$14:$N$14,('Calc base'!$H322:$S322&gt;'Calc base'!M322)+('Calc base'!$H322:$S322='Calc base'!M322)*('Calc base'!$C$17:$N$17&lt;'Calc base'!H$17)))))</f>
        <v>0</v>
      </c>
      <c r="AN322">
        <f>IF('Calc base'!I$14=0,0,MIN(AB322,MAX(0,$E322-SUMPRODUCT($V322:$AG322,'Calc base'!$C$14:$N$14,('Calc base'!$H322:$S322&gt;'Calc base'!N322)+('Calc base'!$H322:$S322='Calc base'!N322)*('Calc base'!$C$17:$N$17&lt;'Calc base'!I$17)))))</f>
        <v>0</v>
      </c>
      <c r="AO322">
        <f>IF('Calc base'!J$14=0,0,MIN(AC322,MAX(0,$E322-SUMPRODUCT($V322:$AG322,'Calc base'!$C$14:$N$14,('Calc base'!$H322:$S322&gt;'Calc base'!O322)+('Calc base'!$H322:$S322='Calc base'!O322)*('Calc base'!$C$17:$N$17&lt;'Calc base'!J$17)))))</f>
        <v>0</v>
      </c>
      <c r="AP322">
        <f>IF('Calc base'!K$14=0,0,MIN(AD322,MAX(0,$E322-SUMPRODUCT($V322:$AG322,'Calc base'!$C$14:$N$14,('Calc base'!$H322:$S322&gt;'Calc base'!P322)+('Calc base'!$H322:$S322='Calc base'!P322)*('Calc base'!$C$17:$N$17&lt;'Calc base'!K$17)))))</f>
        <v>0</v>
      </c>
      <c r="AQ322">
        <f>IF('Calc base'!L$14=0,0,MIN(AE322,MAX(0,$E322-SUMPRODUCT($V322:$AG322,'Calc base'!$C$14:$N$14,('Calc base'!$H322:$S322&gt;'Calc base'!Q322)+('Calc base'!$H322:$S322='Calc base'!Q322)*('Calc base'!$C$17:$N$17&lt;'Calc base'!L$17)))))</f>
        <v>0</v>
      </c>
      <c r="AR322">
        <f>IF('Calc base'!M$14=0,0,MIN(AF322,MAX(0,$E322-SUMPRODUCT($V322:$AG322,'Calc base'!$C$14:$N$14,('Calc base'!$H322:$S322&gt;'Calc base'!R322)+('Calc base'!$H322:$S322='Calc base'!R322)*('Calc base'!$C$17:$N$17&lt;'Calc base'!M$17)))))</f>
        <v>0</v>
      </c>
      <c r="AS322">
        <f>IF('Calc base'!N$14=0,0,MIN(AG322,MAX(0,$E322-SUMPRODUCT($V322:$AG322,'Calc base'!$C$14:$N$14,('Calc base'!$H322:$S322&gt;'Calc base'!S322)+('Calc base'!$H322:$S322='Calc base'!S322)*('Calc base'!$C$17:$N$17&lt;'Calc base'!N$17)))))</f>
        <v>0</v>
      </c>
      <c r="AT322">
        <f>V322-AH322</f>
        <v>0</v>
      </c>
      <c r="AU322">
        <f>W322-AI322</f>
        <v>0</v>
      </c>
      <c r="AV322">
        <f>X322-AJ322</f>
        <v>0</v>
      </c>
      <c r="AW322">
        <f>Y322-AK322</f>
        <v>0</v>
      </c>
      <c r="AX322">
        <f>Z322-AL322</f>
        <v>0</v>
      </c>
      <c r="AY322">
        <f>AA322-AM322</f>
        <v>0</v>
      </c>
      <c r="AZ322">
        <f>AB322-AN322</f>
        <v>0</v>
      </c>
      <c r="BA322">
        <f>AC322-AO322</f>
        <v>0</v>
      </c>
      <c r="BB322">
        <f>AD322-AP322</f>
        <v>0</v>
      </c>
      <c r="BC322">
        <f>AE322-AQ322</f>
        <v>0</v>
      </c>
      <c r="BD322">
        <f>AF322-AR322</f>
        <v>0</v>
      </c>
      <c r="BE322">
        <f>AG322-AS322</f>
        <v>0</v>
      </c>
    </row>
    <row r="323">
      <c r="A323" t="n">
        <v>293</v>
      </c>
      <c r="B323">
        <f>SUMPRODUCT(ROUND($AT322:$BE322*(1+'Calc base'!$H323:$S323),2))</f>
        <v>0</v>
      </c>
      <c r="C323">
        <f>SUM(J323:U323)</f>
        <v>0</v>
      </c>
      <c r="D323">
        <f>SUM(V323:AG323)</f>
        <v>0</v>
      </c>
      <c r="E323">
        <f>MAX(0,IF(Impostazioni!$B$7="No",'Calc base'!$C323-$C$31,'Calc base'!$C323-C323)+'Calc base'!$G323+'Calc base'!$F323-(B323-C323-D323))</f>
        <v>900</v>
      </c>
      <c r="F323">
        <f>SUM(AH323:AS323)</f>
        <v>0</v>
      </c>
      <c r="G323">
        <f>SUM(AT323:BE323)</f>
        <v>0</v>
      </c>
      <c r="H323">
        <f>B323-G322</f>
        <v>0</v>
      </c>
      <c r="I323">
        <f>B323-G323</f>
        <v>0</v>
      </c>
      <c r="J323">
        <f>IF(AT322&lt;=0,0,IF(ROUND(AT322*(1+'Calc base'!H323),2)-MAX('Calc base'!C$12,ROUND('Calc base'!C$13*AT322,2))&lt;1,ROUND(AT322*(1+'Calc base'!H323),2),MAX('Calc base'!C$12,ROUND('Calc base'!C$13*AT322,2))))</f>
        <v>0</v>
      </c>
      <c r="K323">
        <f>IF(AU322&lt;=0,0,IF(ROUND(AU322*(1+'Calc base'!I323),2)-MAX('Calc base'!D$12,ROUND('Calc base'!D$13*AU322,2))&lt;1,ROUND(AU322*(1+'Calc base'!I323),2),MAX('Calc base'!D$12,ROUND('Calc base'!D$13*AU322,2))))</f>
        <v>0</v>
      </c>
      <c r="L323">
        <f>IF(AV322&lt;=0,0,IF(ROUND(AV322*(1+'Calc base'!J323),2)-MAX('Calc base'!E$12,ROUND('Calc base'!E$13*AV322,2))&lt;1,ROUND(AV322*(1+'Calc base'!J323),2),MAX('Calc base'!E$12,ROUND('Calc base'!E$13*AV322,2))))</f>
        <v>0</v>
      </c>
      <c r="M323">
        <f>IF(AW322&lt;=0,0,IF(ROUND(AW322*(1+'Calc base'!K323),2)-MAX('Calc base'!F$12,ROUND('Calc base'!F$13*AW322,2))&lt;1,ROUND(AW322*(1+'Calc base'!K323),2),MAX('Calc base'!F$12,ROUND('Calc base'!F$13*AW322,2))))</f>
        <v>0</v>
      </c>
      <c r="N323">
        <f>IF(AX322&lt;=0,0,IF(ROUND(AX322*(1+'Calc base'!L323),2)-MAX('Calc base'!G$12,ROUND('Calc base'!G$13*AX322,2))&lt;1,ROUND(AX322*(1+'Calc base'!L323),2),MAX('Calc base'!G$12,ROUND('Calc base'!G$13*AX322,2))))</f>
        <v>0</v>
      </c>
      <c r="O323">
        <f>IF(AY322&lt;=0,0,IF(ROUND(AY322*(1+'Calc base'!M323),2)-MAX('Calc base'!H$12,ROUND('Calc base'!H$13*AY322,2))&lt;1,ROUND(AY322*(1+'Calc base'!M323),2),MAX('Calc base'!H$12,ROUND('Calc base'!H$13*AY322,2))))</f>
        <v>0</v>
      </c>
      <c r="P323">
        <f>IF(AZ322&lt;=0,0,IF(ROUND(AZ322*(1+'Calc base'!N323),2)-MAX('Calc base'!I$12,ROUND('Calc base'!I$13*AZ322,2))&lt;1,ROUND(AZ322*(1+'Calc base'!N323),2),MAX('Calc base'!I$12,ROUND('Calc base'!I$13*AZ322,2))))</f>
        <v>0</v>
      </c>
      <c r="Q323">
        <f>IF(BA322&lt;=0,0,IF(ROUND(BA322*(1+'Calc base'!O323),2)-MAX('Calc base'!J$12,ROUND('Calc base'!J$13*BA322,2))&lt;1,ROUND(BA322*(1+'Calc base'!O323),2),MAX('Calc base'!J$12,ROUND('Calc base'!J$13*BA322,2))))</f>
        <v>0</v>
      </c>
      <c r="R323">
        <f>IF(BB322&lt;=0,0,IF(ROUND(BB322*(1+'Calc base'!P323),2)-MAX('Calc base'!K$12,ROUND('Calc base'!K$13*BB322,2))&lt;1,ROUND(BB322*(1+'Calc base'!P323),2),MAX('Calc base'!K$12,ROUND('Calc base'!K$13*BB322,2))))</f>
        <v>0</v>
      </c>
      <c r="S323">
        <f>IF(BC322&lt;=0,0,IF(ROUND(BC322*(1+'Calc base'!Q323),2)-MAX('Calc base'!L$12,ROUND('Calc base'!L$13*BC322,2))&lt;1,ROUND(BC322*(1+'Calc base'!Q323),2),MAX('Calc base'!L$12,ROUND('Calc base'!L$13*BC322,2))))</f>
        <v>0</v>
      </c>
      <c r="T323">
        <f>IF(BD322&lt;=0,0,IF(ROUND(BD322*(1+'Calc base'!R323),2)-MAX('Calc base'!M$12,ROUND('Calc base'!M$13*BD322,2))&lt;1,ROUND(BD322*(1+'Calc base'!R323),2),MAX('Calc base'!M$12,ROUND('Calc base'!M$13*BD322,2))))</f>
        <v>0</v>
      </c>
      <c r="U323">
        <f>IF(BE322&lt;=0,0,IF(ROUND(BE322*(1+'Calc base'!S323),2)-MAX('Calc base'!N$12,ROUND('Calc base'!N$13*BE322,2))&lt;1,ROUND(BE322*(1+'Calc base'!S323),2),MAX('Calc base'!N$12,ROUND('Calc base'!N$13*BE322,2))))</f>
        <v>0</v>
      </c>
      <c r="V323">
        <f>MAX(0,ROUND(AT322*(1+'Calc base'!H323),2)-J323-'Calc base'!T323)</f>
        <v>0</v>
      </c>
      <c r="W323">
        <f>MAX(0,ROUND(AU322*(1+'Calc base'!I323),2)-K323-'Calc base'!U323)</f>
        <v>0</v>
      </c>
      <c r="X323">
        <f>MAX(0,ROUND(AV322*(1+'Calc base'!J323),2)-L323-'Calc base'!V323)</f>
        <v>0</v>
      </c>
      <c r="Y323">
        <f>MAX(0,ROUND(AW322*(1+'Calc base'!K323),2)-M323-'Calc base'!W323)</f>
        <v>0</v>
      </c>
      <c r="Z323">
        <f>MAX(0,ROUND(AX322*(1+'Calc base'!L323),2)-N323-'Calc base'!X323)</f>
        <v>0</v>
      </c>
      <c r="AA323">
        <f>MAX(0,ROUND(AY322*(1+'Calc base'!M323),2)-O323-'Calc base'!Y323)</f>
        <v>0</v>
      </c>
      <c r="AB323">
        <f>MAX(0,ROUND(AZ322*(1+'Calc base'!N323),2)-P323-'Calc base'!Z323)</f>
        <v>0</v>
      </c>
      <c r="AC323">
        <f>MAX(0,ROUND(BA322*(1+'Calc base'!O323),2)-Q323-'Calc base'!AA323)</f>
        <v>0</v>
      </c>
      <c r="AD323">
        <f>MAX(0,ROUND(BB322*(1+'Calc base'!P323),2)-R323-'Calc base'!AB323)</f>
        <v>0</v>
      </c>
      <c r="AE323">
        <f>MAX(0,ROUND(BC322*(1+'Calc base'!Q323),2)-S323-'Calc base'!AC323)</f>
        <v>0</v>
      </c>
      <c r="AF323">
        <f>MAX(0,ROUND(BD322*(1+'Calc base'!R323),2)-T323-'Calc base'!AD323)</f>
        <v>0</v>
      </c>
      <c r="AG323">
        <f>MAX(0,ROUND(BE322*(1+'Calc base'!S323),2)-U323-'Calc base'!AE323)</f>
        <v>0</v>
      </c>
      <c r="AH323">
        <f>IF('Calc base'!C$14=0,0,MIN(V323,MAX(0,$E323-SUMPRODUCT($V323:$AG323,'Calc base'!$C$14:$N$14,('Calc base'!$H323:$S323&gt;'Calc base'!H323)+('Calc base'!$H323:$S323='Calc base'!H323)*('Calc base'!$C$17:$N$17&lt;'Calc base'!C$17)))))</f>
        <v>0</v>
      </c>
      <c r="AI323">
        <f>IF('Calc base'!D$14=0,0,MIN(W323,MAX(0,$E323-SUMPRODUCT($V323:$AG323,'Calc base'!$C$14:$N$14,('Calc base'!$H323:$S323&gt;'Calc base'!I323)+('Calc base'!$H323:$S323='Calc base'!I323)*('Calc base'!$C$17:$N$17&lt;'Calc base'!D$17)))))</f>
        <v>0</v>
      </c>
      <c r="AJ323">
        <f>IF('Calc base'!E$14=0,0,MIN(X323,MAX(0,$E323-SUMPRODUCT($V323:$AG323,'Calc base'!$C$14:$N$14,('Calc base'!$H323:$S323&gt;'Calc base'!J323)+('Calc base'!$H323:$S323='Calc base'!J323)*('Calc base'!$C$17:$N$17&lt;'Calc base'!E$17)))))</f>
        <v>0</v>
      </c>
      <c r="AK323">
        <f>IF('Calc base'!F$14=0,0,MIN(Y323,MAX(0,$E323-SUMPRODUCT($V323:$AG323,'Calc base'!$C$14:$N$14,('Calc base'!$H323:$S323&gt;'Calc base'!K323)+('Calc base'!$H323:$S323='Calc base'!K323)*('Calc base'!$C$17:$N$17&lt;'Calc base'!F$17)))))</f>
        <v>0</v>
      </c>
      <c r="AL323">
        <f>IF('Calc base'!G$14=0,0,MIN(Z323,MAX(0,$E323-SUMPRODUCT($V323:$AG323,'Calc base'!$C$14:$N$14,('Calc base'!$H323:$S323&gt;'Calc base'!L323)+('Calc base'!$H323:$S323='Calc base'!L323)*('Calc base'!$C$17:$N$17&lt;'Calc base'!G$17)))))</f>
        <v>0</v>
      </c>
      <c r="AM323">
        <f>IF('Calc base'!H$14=0,0,MIN(AA323,MAX(0,$E323-SUMPRODUCT($V323:$AG323,'Calc base'!$C$14:$N$14,('Calc base'!$H323:$S323&gt;'Calc base'!M323)+('Calc base'!$H323:$S323='Calc base'!M323)*('Calc base'!$C$17:$N$17&lt;'Calc base'!H$17)))))</f>
        <v>0</v>
      </c>
      <c r="AN323">
        <f>IF('Calc base'!I$14=0,0,MIN(AB323,MAX(0,$E323-SUMPRODUCT($V323:$AG323,'Calc base'!$C$14:$N$14,('Calc base'!$H323:$S323&gt;'Calc base'!N323)+('Calc base'!$H323:$S323='Calc base'!N323)*('Calc base'!$C$17:$N$17&lt;'Calc base'!I$17)))))</f>
        <v>0</v>
      </c>
      <c r="AO323">
        <f>IF('Calc base'!J$14=0,0,MIN(AC323,MAX(0,$E323-SUMPRODUCT($V323:$AG323,'Calc base'!$C$14:$N$14,('Calc base'!$H323:$S323&gt;'Calc base'!O323)+('Calc base'!$H323:$S323='Calc base'!O323)*('Calc base'!$C$17:$N$17&lt;'Calc base'!J$17)))))</f>
        <v>0</v>
      </c>
      <c r="AP323">
        <f>IF('Calc base'!K$14=0,0,MIN(AD323,MAX(0,$E323-SUMPRODUCT($V323:$AG323,'Calc base'!$C$14:$N$14,('Calc base'!$H323:$S323&gt;'Calc base'!P323)+('Calc base'!$H323:$S323='Calc base'!P323)*('Calc base'!$C$17:$N$17&lt;'Calc base'!K$17)))))</f>
        <v>0</v>
      </c>
      <c r="AQ323">
        <f>IF('Calc base'!L$14=0,0,MIN(AE323,MAX(0,$E323-SUMPRODUCT($V323:$AG323,'Calc base'!$C$14:$N$14,('Calc base'!$H323:$S323&gt;'Calc base'!Q323)+('Calc base'!$H323:$S323='Calc base'!Q323)*('Calc base'!$C$17:$N$17&lt;'Calc base'!L$17)))))</f>
        <v>0</v>
      </c>
      <c r="AR323">
        <f>IF('Calc base'!M$14=0,0,MIN(AF323,MAX(0,$E323-SUMPRODUCT($V323:$AG323,'Calc base'!$C$14:$N$14,('Calc base'!$H323:$S323&gt;'Calc base'!R323)+('Calc base'!$H323:$S323='Calc base'!R323)*('Calc base'!$C$17:$N$17&lt;'Calc base'!M$17)))))</f>
        <v>0</v>
      </c>
      <c r="AS323">
        <f>IF('Calc base'!N$14=0,0,MIN(AG323,MAX(0,$E323-SUMPRODUCT($V323:$AG323,'Calc base'!$C$14:$N$14,('Calc base'!$H323:$S323&gt;'Calc base'!S323)+('Calc base'!$H323:$S323='Calc base'!S323)*('Calc base'!$C$17:$N$17&lt;'Calc base'!N$17)))))</f>
        <v>0</v>
      </c>
      <c r="AT323">
        <f>V323-AH323</f>
        <v>0</v>
      </c>
      <c r="AU323">
        <f>W323-AI323</f>
        <v>0</v>
      </c>
      <c r="AV323">
        <f>X323-AJ323</f>
        <v>0</v>
      </c>
      <c r="AW323">
        <f>Y323-AK323</f>
        <v>0</v>
      </c>
      <c r="AX323">
        <f>Z323-AL323</f>
        <v>0</v>
      </c>
      <c r="AY323">
        <f>AA323-AM323</f>
        <v>0</v>
      </c>
      <c r="AZ323">
        <f>AB323-AN323</f>
        <v>0</v>
      </c>
      <c r="BA323">
        <f>AC323-AO323</f>
        <v>0</v>
      </c>
      <c r="BB323">
        <f>AD323-AP323</f>
        <v>0</v>
      </c>
      <c r="BC323">
        <f>AE323-AQ323</f>
        <v>0</v>
      </c>
      <c r="BD323">
        <f>AF323-AR323</f>
        <v>0</v>
      </c>
      <c r="BE323">
        <f>AG323-AS323</f>
        <v>0</v>
      </c>
    </row>
    <row r="324">
      <c r="A324" t="n">
        <v>294</v>
      </c>
      <c r="B324">
        <f>SUMPRODUCT(ROUND($AT323:$BE323*(1+'Calc base'!$H324:$S324),2))</f>
        <v>0</v>
      </c>
      <c r="C324">
        <f>SUM(J324:U324)</f>
        <v>0</v>
      </c>
      <c r="D324">
        <f>SUM(V324:AG324)</f>
        <v>0</v>
      </c>
      <c r="E324">
        <f>MAX(0,IF(Impostazioni!$B$7="No",'Calc base'!$C324-$C$31,'Calc base'!$C324-C324)+'Calc base'!$G324+'Calc base'!$F324-(B324-C324-D324))</f>
        <v>900</v>
      </c>
      <c r="F324">
        <f>SUM(AH324:AS324)</f>
        <v>0</v>
      </c>
      <c r="G324">
        <f>SUM(AT324:BE324)</f>
        <v>0</v>
      </c>
      <c r="H324">
        <f>B324-G323</f>
        <v>0</v>
      </c>
      <c r="I324">
        <f>B324-G324</f>
        <v>0</v>
      </c>
      <c r="J324">
        <f>IF(AT323&lt;=0,0,IF(ROUND(AT323*(1+'Calc base'!H324),2)-MAX('Calc base'!C$12,ROUND('Calc base'!C$13*AT323,2))&lt;1,ROUND(AT323*(1+'Calc base'!H324),2),MAX('Calc base'!C$12,ROUND('Calc base'!C$13*AT323,2))))</f>
        <v>0</v>
      </c>
      <c r="K324">
        <f>IF(AU323&lt;=0,0,IF(ROUND(AU323*(1+'Calc base'!I324),2)-MAX('Calc base'!D$12,ROUND('Calc base'!D$13*AU323,2))&lt;1,ROUND(AU323*(1+'Calc base'!I324),2),MAX('Calc base'!D$12,ROUND('Calc base'!D$13*AU323,2))))</f>
        <v>0</v>
      </c>
      <c r="L324">
        <f>IF(AV323&lt;=0,0,IF(ROUND(AV323*(1+'Calc base'!J324),2)-MAX('Calc base'!E$12,ROUND('Calc base'!E$13*AV323,2))&lt;1,ROUND(AV323*(1+'Calc base'!J324),2),MAX('Calc base'!E$12,ROUND('Calc base'!E$13*AV323,2))))</f>
        <v>0</v>
      </c>
      <c r="M324">
        <f>IF(AW323&lt;=0,0,IF(ROUND(AW323*(1+'Calc base'!K324),2)-MAX('Calc base'!F$12,ROUND('Calc base'!F$13*AW323,2))&lt;1,ROUND(AW323*(1+'Calc base'!K324),2),MAX('Calc base'!F$12,ROUND('Calc base'!F$13*AW323,2))))</f>
        <v>0</v>
      </c>
      <c r="N324">
        <f>IF(AX323&lt;=0,0,IF(ROUND(AX323*(1+'Calc base'!L324),2)-MAX('Calc base'!G$12,ROUND('Calc base'!G$13*AX323,2))&lt;1,ROUND(AX323*(1+'Calc base'!L324),2),MAX('Calc base'!G$12,ROUND('Calc base'!G$13*AX323,2))))</f>
        <v>0</v>
      </c>
      <c r="O324">
        <f>IF(AY323&lt;=0,0,IF(ROUND(AY323*(1+'Calc base'!M324),2)-MAX('Calc base'!H$12,ROUND('Calc base'!H$13*AY323,2))&lt;1,ROUND(AY323*(1+'Calc base'!M324),2),MAX('Calc base'!H$12,ROUND('Calc base'!H$13*AY323,2))))</f>
        <v>0</v>
      </c>
      <c r="P324">
        <f>IF(AZ323&lt;=0,0,IF(ROUND(AZ323*(1+'Calc base'!N324),2)-MAX('Calc base'!I$12,ROUND('Calc base'!I$13*AZ323,2))&lt;1,ROUND(AZ323*(1+'Calc base'!N324),2),MAX('Calc base'!I$12,ROUND('Calc base'!I$13*AZ323,2))))</f>
        <v>0</v>
      </c>
      <c r="Q324">
        <f>IF(BA323&lt;=0,0,IF(ROUND(BA323*(1+'Calc base'!O324),2)-MAX('Calc base'!J$12,ROUND('Calc base'!J$13*BA323,2))&lt;1,ROUND(BA323*(1+'Calc base'!O324),2),MAX('Calc base'!J$12,ROUND('Calc base'!J$13*BA323,2))))</f>
        <v>0</v>
      </c>
      <c r="R324">
        <f>IF(BB323&lt;=0,0,IF(ROUND(BB323*(1+'Calc base'!P324),2)-MAX('Calc base'!K$12,ROUND('Calc base'!K$13*BB323,2))&lt;1,ROUND(BB323*(1+'Calc base'!P324),2),MAX('Calc base'!K$12,ROUND('Calc base'!K$13*BB323,2))))</f>
        <v>0</v>
      </c>
      <c r="S324">
        <f>IF(BC323&lt;=0,0,IF(ROUND(BC323*(1+'Calc base'!Q324),2)-MAX('Calc base'!L$12,ROUND('Calc base'!L$13*BC323,2))&lt;1,ROUND(BC323*(1+'Calc base'!Q324),2),MAX('Calc base'!L$12,ROUND('Calc base'!L$13*BC323,2))))</f>
        <v>0</v>
      </c>
      <c r="T324">
        <f>IF(BD323&lt;=0,0,IF(ROUND(BD323*(1+'Calc base'!R324),2)-MAX('Calc base'!M$12,ROUND('Calc base'!M$13*BD323,2))&lt;1,ROUND(BD323*(1+'Calc base'!R324),2),MAX('Calc base'!M$12,ROUND('Calc base'!M$13*BD323,2))))</f>
        <v>0</v>
      </c>
      <c r="U324">
        <f>IF(BE323&lt;=0,0,IF(ROUND(BE323*(1+'Calc base'!S324),2)-MAX('Calc base'!N$12,ROUND('Calc base'!N$13*BE323,2))&lt;1,ROUND(BE323*(1+'Calc base'!S324),2),MAX('Calc base'!N$12,ROUND('Calc base'!N$13*BE323,2))))</f>
        <v>0</v>
      </c>
      <c r="V324">
        <f>MAX(0,ROUND(AT323*(1+'Calc base'!H324),2)-J324-'Calc base'!T324)</f>
        <v>0</v>
      </c>
      <c r="W324">
        <f>MAX(0,ROUND(AU323*(1+'Calc base'!I324),2)-K324-'Calc base'!U324)</f>
        <v>0</v>
      </c>
      <c r="X324">
        <f>MAX(0,ROUND(AV323*(1+'Calc base'!J324),2)-L324-'Calc base'!V324)</f>
        <v>0</v>
      </c>
      <c r="Y324">
        <f>MAX(0,ROUND(AW323*(1+'Calc base'!K324),2)-M324-'Calc base'!W324)</f>
        <v>0</v>
      </c>
      <c r="Z324">
        <f>MAX(0,ROUND(AX323*(1+'Calc base'!L324),2)-N324-'Calc base'!X324)</f>
        <v>0</v>
      </c>
      <c r="AA324">
        <f>MAX(0,ROUND(AY323*(1+'Calc base'!M324),2)-O324-'Calc base'!Y324)</f>
        <v>0</v>
      </c>
      <c r="AB324">
        <f>MAX(0,ROUND(AZ323*(1+'Calc base'!N324),2)-P324-'Calc base'!Z324)</f>
        <v>0</v>
      </c>
      <c r="AC324">
        <f>MAX(0,ROUND(BA323*(1+'Calc base'!O324),2)-Q324-'Calc base'!AA324)</f>
        <v>0</v>
      </c>
      <c r="AD324">
        <f>MAX(0,ROUND(BB323*(1+'Calc base'!P324),2)-R324-'Calc base'!AB324)</f>
        <v>0</v>
      </c>
      <c r="AE324">
        <f>MAX(0,ROUND(BC323*(1+'Calc base'!Q324),2)-S324-'Calc base'!AC324)</f>
        <v>0</v>
      </c>
      <c r="AF324">
        <f>MAX(0,ROUND(BD323*(1+'Calc base'!R324),2)-T324-'Calc base'!AD324)</f>
        <v>0</v>
      </c>
      <c r="AG324">
        <f>MAX(0,ROUND(BE323*(1+'Calc base'!S324),2)-U324-'Calc base'!AE324)</f>
        <v>0</v>
      </c>
      <c r="AH324">
        <f>IF('Calc base'!C$14=0,0,MIN(V324,MAX(0,$E324-SUMPRODUCT($V324:$AG324,'Calc base'!$C$14:$N$14,('Calc base'!$H324:$S324&gt;'Calc base'!H324)+('Calc base'!$H324:$S324='Calc base'!H324)*('Calc base'!$C$17:$N$17&lt;'Calc base'!C$17)))))</f>
        <v>0</v>
      </c>
      <c r="AI324">
        <f>IF('Calc base'!D$14=0,0,MIN(W324,MAX(0,$E324-SUMPRODUCT($V324:$AG324,'Calc base'!$C$14:$N$14,('Calc base'!$H324:$S324&gt;'Calc base'!I324)+('Calc base'!$H324:$S324='Calc base'!I324)*('Calc base'!$C$17:$N$17&lt;'Calc base'!D$17)))))</f>
        <v>0</v>
      </c>
      <c r="AJ324">
        <f>IF('Calc base'!E$14=0,0,MIN(X324,MAX(0,$E324-SUMPRODUCT($V324:$AG324,'Calc base'!$C$14:$N$14,('Calc base'!$H324:$S324&gt;'Calc base'!J324)+('Calc base'!$H324:$S324='Calc base'!J324)*('Calc base'!$C$17:$N$17&lt;'Calc base'!E$17)))))</f>
        <v>0</v>
      </c>
      <c r="AK324">
        <f>IF('Calc base'!F$14=0,0,MIN(Y324,MAX(0,$E324-SUMPRODUCT($V324:$AG324,'Calc base'!$C$14:$N$14,('Calc base'!$H324:$S324&gt;'Calc base'!K324)+('Calc base'!$H324:$S324='Calc base'!K324)*('Calc base'!$C$17:$N$17&lt;'Calc base'!F$17)))))</f>
        <v>0</v>
      </c>
      <c r="AL324">
        <f>IF('Calc base'!G$14=0,0,MIN(Z324,MAX(0,$E324-SUMPRODUCT($V324:$AG324,'Calc base'!$C$14:$N$14,('Calc base'!$H324:$S324&gt;'Calc base'!L324)+('Calc base'!$H324:$S324='Calc base'!L324)*('Calc base'!$C$17:$N$17&lt;'Calc base'!G$17)))))</f>
        <v>0</v>
      </c>
      <c r="AM324">
        <f>IF('Calc base'!H$14=0,0,MIN(AA324,MAX(0,$E324-SUMPRODUCT($V324:$AG324,'Calc base'!$C$14:$N$14,('Calc base'!$H324:$S324&gt;'Calc base'!M324)+('Calc base'!$H324:$S324='Calc base'!M324)*('Calc base'!$C$17:$N$17&lt;'Calc base'!H$17)))))</f>
        <v>0</v>
      </c>
      <c r="AN324">
        <f>IF('Calc base'!I$14=0,0,MIN(AB324,MAX(0,$E324-SUMPRODUCT($V324:$AG324,'Calc base'!$C$14:$N$14,('Calc base'!$H324:$S324&gt;'Calc base'!N324)+('Calc base'!$H324:$S324='Calc base'!N324)*('Calc base'!$C$17:$N$17&lt;'Calc base'!I$17)))))</f>
        <v>0</v>
      </c>
      <c r="AO324">
        <f>IF('Calc base'!J$14=0,0,MIN(AC324,MAX(0,$E324-SUMPRODUCT($V324:$AG324,'Calc base'!$C$14:$N$14,('Calc base'!$H324:$S324&gt;'Calc base'!O324)+('Calc base'!$H324:$S324='Calc base'!O324)*('Calc base'!$C$17:$N$17&lt;'Calc base'!J$17)))))</f>
        <v>0</v>
      </c>
      <c r="AP324">
        <f>IF('Calc base'!K$14=0,0,MIN(AD324,MAX(0,$E324-SUMPRODUCT($V324:$AG324,'Calc base'!$C$14:$N$14,('Calc base'!$H324:$S324&gt;'Calc base'!P324)+('Calc base'!$H324:$S324='Calc base'!P324)*('Calc base'!$C$17:$N$17&lt;'Calc base'!K$17)))))</f>
        <v>0</v>
      </c>
      <c r="AQ324">
        <f>IF('Calc base'!L$14=0,0,MIN(AE324,MAX(0,$E324-SUMPRODUCT($V324:$AG324,'Calc base'!$C$14:$N$14,('Calc base'!$H324:$S324&gt;'Calc base'!Q324)+('Calc base'!$H324:$S324='Calc base'!Q324)*('Calc base'!$C$17:$N$17&lt;'Calc base'!L$17)))))</f>
        <v>0</v>
      </c>
      <c r="AR324">
        <f>IF('Calc base'!M$14=0,0,MIN(AF324,MAX(0,$E324-SUMPRODUCT($V324:$AG324,'Calc base'!$C$14:$N$14,('Calc base'!$H324:$S324&gt;'Calc base'!R324)+('Calc base'!$H324:$S324='Calc base'!R324)*('Calc base'!$C$17:$N$17&lt;'Calc base'!M$17)))))</f>
        <v>0</v>
      </c>
      <c r="AS324">
        <f>IF('Calc base'!N$14=0,0,MIN(AG324,MAX(0,$E324-SUMPRODUCT($V324:$AG324,'Calc base'!$C$14:$N$14,('Calc base'!$H324:$S324&gt;'Calc base'!S324)+('Calc base'!$H324:$S324='Calc base'!S324)*('Calc base'!$C$17:$N$17&lt;'Calc base'!N$17)))))</f>
        <v>0</v>
      </c>
      <c r="AT324">
        <f>V324-AH324</f>
        <v>0</v>
      </c>
      <c r="AU324">
        <f>W324-AI324</f>
        <v>0</v>
      </c>
      <c r="AV324">
        <f>X324-AJ324</f>
        <v>0</v>
      </c>
      <c r="AW324">
        <f>Y324-AK324</f>
        <v>0</v>
      </c>
      <c r="AX324">
        <f>Z324-AL324</f>
        <v>0</v>
      </c>
      <c r="AY324">
        <f>AA324-AM324</f>
        <v>0</v>
      </c>
      <c r="AZ324">
        <f>AB324-AN324</f>
        <v>0</v>
      </c>
      <c r="BA324">
        <f>AC324-AO324</f>
        <v>0</v>
      </c>
      <c r="BB324">
        <f>AD324-AP324</f>
        <v>0</v>
      </c>
      <c r="BC324">
        <f>AE324-AQ324</f>
        <v>0</v>
      </c>
      <c r="BD324">
        <f>AF324-AR324</f>
        <v>0</v>
      </c>
      <c r="BE324">
        <f>AG324-AS324</f>
        <v>0</v>
      </c>
    </row>
    <row r="325">
      <c r="A325" t="n">
        <v>295</v>
      </c>
      <c r="B325">
        <f>SUMPRODUCT(ROUND($AT324:$BE324*(1+'Calc base'!$H325:$S325),2))</f>
        <v>0</v>
      </c>
      <c r="C325">
        <f>SUM(J325:U325)</f>
        <v>0</v>
      </c>
      <c r="D325">
        <f>SUM(V325:AG325)</f>
        <v>0</v>
      </c>
      <c r="E325">
        <f>MAX(0,IF(Impostazioni!$B$7="No",'Calc base'!$C325-$C$31,'Calc base'!$C325-C325)+'Calc base'!$G325+'Calc base'!$F325-(B325-C325-D325))</f>
        <v>900</v>
      </c>
      <c r="F325">
        <f>SUM(AH325:AS325)</f>
        <v>0</v>
      </c>
      <c r="G325">
        <f>SUM(AT325:BE325)</f>
        <v>0</v>
      </c>
      <c r="H325">
        <f>B325-G324</f>
        <v>0</v>
      </c>
      <c r="I325">
        <f>B325-G325</f>
        <v>0</v>
      </c>
      <c r="J325">
        <f>IF(AT324&lt;=0,0,IF(ROUND(AT324*(1+'Calc base'!H325),2)-MAX('Calc base'!C$12,ROUND('Calc base'!C$13*AT324,2))&lt;1,ROUND(AT324*(1+'Calc base'!H325),2),MAX('Calc base'!C$12,ROUND('Calc base'!C$13*AT324,2))))</f>
        <v>0</v>
      </c>
      <c r="K325">
        <f>IF(AU324&lt;=0,0,IF(ROUND(AU324*(1+'Calc base'!I325),2)-MAX('Calc base'!D$12,ROUND('Calc base'!D$13*AU324,2))&lt;1,ROUND(AU324*(1+'Calc base'!I325),2),MAX('Calc base'!D$12,ROUND('Calc base'!D$13*AU324,2))))</f>
        <v>0</v>
      </c>
      <c r="L325">
        <f>IF(AV324&lt;=0,0,IF(ROUND(AV324*(1+'Calc base'!J325),2)-MAX('Calc base'!E$12,ROUND('Calc base'!E$13*AV324,2))&lt;1,ROUND(AV324*(1+'Calc base'!J325),2),MAX('Calc base'!E$12,ROUND('Calc base'!E$13*AV324,2))))</f>
        <v>0</v>
      </c>
      <c r="M325">
        <f>IF(AW324&lt;=0,0,IF(ROUND(AW324*(1+'Calc base'!K325),2)-MAX('Calc base'!F$12,ROUND('Calc base'!F$13*AW324,2))&lt;1,ROUND(AW324*(1+'Calc base'!K325),2),MAX('Calc base'!F$12,ROUND('Calc base'!F$13*AW324,2))))</f>
        <v>0</v>
      </c>
      <c r="N325">
        <f>IF(AX324&lt;=0,0,IF(ROUND(AX324*(1+'Calc base'!L325),2)-MAX('Calc base'!G$12,ROUND('Calc base'!G$13*AX324,2))&lt;1,ROUND(AX324*(1+'Calc base'!L325),2),MAX('Calc base'!G$12,ROUND('Calc base'!G$13*AX324,2))))</f>
        <v>0</v>
      </c>
      <c r="O325">
        <f>IF(AY324&lt;=0,0,IF(ROUND(AY324*(1+'Calc base'!M325),2)-MAX('Calc base'!H$12,ROUND('Calc base'!H$13*AY324,2))&lt;1,ROUND(AY324*(1+'Calc base'!M325),2),MAX('Calc base'!H$12,ROUND('Calc base'!H$13*AY324,2))))</f>
        <v>0</v>
      </c>
      <c r="P325">
        <f>IF(AZ324&lt;=0,0,IF(ROUND(AZ324*(1+'Calc base'!N325),2)-MAX('Calc base'!I$12,ROUND('Calc base'!I$13*AZ324,2))&lt;1,ROUND(AZ324*(1+'Calc base'!N325),2),MAX('Calc base'!I$12,ROUND('Calc base'!I$13*AZ324,2))))</f>
        <v>0</v>
      </c>
      <c r="Q325">
        <f>IF(BA324&lt;=0,0,IF(ROUND(BA324*(1+'Calc base'!O325),2)-MAX('Calc base'!J$12,ROUND('Calc base'!J$13*BA324,2))&lt;1,ROUND(BA324*(1+'Calc base'!O325),2),MAX('Calc base'!J$12,ROUND('Calc base'!J$13*BA324,2))))</f>
        <v>0</v>
      </c>
      <c r="R325">
        <f>IF(BB324&lt;=0,0,IF(ROUND(BB324*(1+'Calc base'!P325),2)-MAX('Calc base'!K$12,ROUND('Calc base'!K$13*BB324,2))&lt;1,ROUND(BB324*(1+'Calc base'!P325),2),MAX('Calc base'!K$12,ROUND('Calc base'!K$13*BB324,2))))</f>
        <v>0</v>
      </c>
      <c r="S325">
        <f>IF(BC324&lt;=0,0,IF(ROUND(BC324*(1+'Calc base'!Q325),2)-MAX('Calc base'!L$12,ROUND('Calc base'!L$13*BC324,2))&lt;1,ROUND(BC324*(1+'Calc base'!Q325),2),MAX('Calc base'!L$12,ROUND('Calc base'!L$13*BC324,2))))</f>
        <v>0</v>
      </c>
      <c r="T325">
        <f>IF(BD324&lt;=0,0,IF(ROUND(BD324*(1+'Calc base'!R325),2)-MAX('Calc base'!M$12,ROUND('Calc base'!M$13*BD324,2))&lt;1,ROUND(BD324*(1+'Calc base'!R325),2),MAX('Calc base'!M$12,ROUND('Calc base'!M$13*BD324,2))))</f>
        <v>0</v>
      </c>
      <c r="U325">
        <f>IF(BE324&lt;=0,0,IF(ROUND(BE324*(1+'Calc base'!S325),2)-MAX('Calc base'!N$12,ROUND('Calc base'!N$13*BE324,2))&lt;1,ROUND(BE324*(1+'Calc base'!S325),2),MAX('Calc base'!N$12,ROUND('Calc base'!N$13*BE324,2))))</f>
        <v>0</v>
      </c>
      <c r="V325">
        <f>MAX(0,ROUND(AT324*(1+'Calc base'!H325),2)-J325-'Calc base'!T325)</f>
        <v>0</v>
      </c>
      <c r="W325">
        <f>MAX(0,ROUND(AU324*(1+'Calc base'!I325),2)-K325-'Calc base'!U325)</f>
        <v>0</v>
      </c>
      <c r="X325">
        <f>MAX(0,ROUND(AV324*(1+'Calc base'!J325),2)-L325-'Calc base'!V325)</f>
        <v>0</v>
      </c>
      <c r="Y325">
        <f>MAX(0,ROUND(AW324*(1+'Calc base'!K325),2)-M325-'Calc base'!W325)</f>
        <v>0</v>
      </c>
      <c r="Z325">
        <f>MAX(0,ROUND(AX324*(1+'Calc base'!L325),2)-N325-'Calc base'!X325)</f>
        <v>0</v>
      </c>
      <c r="AA325">
        <f>MAX(0,ROUND(AY324*(1+'Calc base'!M325),2)-O325-'Calc base'!Y325)</f>
        <v>0</v>
      </c>
      <c r="AB325">
        <f>MAX(0,ROUND(AZ324*(1+'Calc base'!N325),2)-P325-'Calc base'!Z325)</f>
        <v>0</v>
      </c>
      <c r="AC325">
        <f>MAX(0,ROUND(BA324*(1+'Calc base'!O325),2)-Q325-'Calc base'!AA325)</f>
        <v>0</v>
      </c>
      <c r="AD325">
        <f>MAX(0,ROUND(BB324*(1+'Calc base'!P325),2)-R325-'Calc base'!AB325)</f>
        <v>0</v>
      </c>
      <c r="AE325">
        <f>MAX(0,ROUND(BC324*(1+'Calc base'!Q325),2)-S325-'Calc base'!AC325)</f>
        <v>0</v>
      </c>
      <c r="AF325">
        <f>MAX(0,ROUND(BD324*(1+'Calc base'!R325),2)-T325-'Calc base'!AD325)</f>
        <v>0</v>
      </c>
      <c r="AG325">
        <f>MAX(0,ROUND(BE324*(1+'Calc base'!S325),2)-U325-'Calc base'!AE325)</f>
        <v>0</v>
      </c>
      <c r="AH325">
        <f>IF('Calc base'!C$14=0,0,MIN(V325,MAX(0,$E325-SUMPRODUCT($V325:$AG325,'Calc base'!$C$14:$N$14,('Calc base'!$H325:$S325&gt;'Calc base'!H325)+('Calc base'!$H325:$S325='Calc base'!H325)*('Calc base'!$C$17:$N$17&lt;'Calc base'!C$17)))))</f>
        <v>0</v>
      </c>
      <c r="AI325">
        <f>IF('Calc base'!D$14=0,0,MIN(W325,MAX(0,$E325-SUMPRODUCT($V325:$AG325,'Calc base'!$C$14:$N$14,('Calc base'!$H325:$S325&gt;'Calc base'!I325)+('Calc base'!$H325:$S325='Calc base'!I325)*('Calc base'!$C$17:$N$17&lt;'Calc base'!D$17)))))</f>
        <v>0</v>
      </c>
      <c r="AJ325">
        <f>IF('Calc base'!E$14=0,0,MIN(X325,MAX(0,$E325-SUMPRODUCT($V325:$AG325,'Calc base'!$C$14:$N$14,('Calc base'!$H325:$S325&gt;'Calc base'!J325)+('Calc base'!$H325:$S325='Calc base'!J325)*('Calc base'!$C$17:$N$17&lt;'Calc base'!E$17)))))</f>
        <v>0</v>
      </c>
      <c r="AK325">
        <f>IF('Calc base'!F$14=0,0,MIN(Y325,MAX(0,$E325-SUMPRODUCT($V325:$AG325,'Calc base'!$C$14:$N$14,('Calc base'!$H325:$S325&gt;'Calc base'!K325)+('Calc base'!$H325:$S325='Calc base'!K325)*('Calc base'!$C$17:$N$17&lt;'Calc base'!F$17)))))</f>
        <v>0</v>
      </c>
      <c r="AL325">
        <f>IF('Calc base'!G$14=0,0,MIN(Z325,MAX(0,$E325-SUMPRODUCT($V325:$AG325,'Calc base'!$C$14:$N$14,('Calc base'!$H325:$S325&gt;'Calc base'!L325)+('Calc base'!$H325:$S325='Calc base'!L325)*('Calc base'!$C$17:$N$17&lt;'Calc base'!G$17)))))</f>
        <v>0</v>
      </c>
      <c r="AM325">
        <f>IF('Calc base'!H$14=0,0,MIN(AA325,MAX(0,$E325-SUMPRODUCT($V325:$AG325,'Calc base'!$C$14:$N$14,('Calc base'!$H325:$S325&gt;'Calc base'!M325)+('Calc base'!$H325:$S325='Calc base'!M325)*('Calc base'!$C$17:$N$17&lt;'Calc base'!H$17)))))</f>
        <v>0</v>
      </c>
      <c r="AN325">
        <f>IF('Calc base'!I$14=0,0,MIN(AB325,MAX(0,$E325-SUMPRODUCT($V325:$AG325,'Calc base'!$C$14:$N$14,('Calc base'!$H325:$S325&gt;'Calc base'!N325)+('Calc base'!$H325:$S325='Calc base'!N325)*('Calc base'!$C$17:$N$17&lt;'Calc base'!I$17)))))</f>
        <v>0</v>
      </c>
      <c r="AO325">
        <f>IF('Calc base'!J$14=0,0,MIN(AC325,MAX(0,$E325-SUMPRODUCT($V325:$AG325,'Calc base'!$C$14:$N$14,('Calc base'!$H325:$S325&gt;'Calc base'!O325)+('Calc base'!$H325:$S325='Calc base'!O325)*('Calc base'!$C$17:$N$17&lt;'Calc base'!J$17)))))</f>
        <v>0</v>
      </c>
      <c r="AP325">
        <f>IF('Calc base'!K$14=0,0,MIN(AD325,MAX(0,$E325-SUMPRODUCT($V325:$AG325,'Calc base'!$C$14:$N$14,('Calc base'!$H325:$S325&gt;'Calc base'!P325)+('Calc base'!$H325:$S325='Calc base'!P325)*('Calc base'!$C$17:$N$17&lt;'Calc base'!K$17)))))</f>
        <v>0</v>
      </c>
      <c r="AQ325">
        <f>IF('Calc base'!L$14=0,0,MIN(AE325,MAX(0,$E325-SUMPRODUCT($V325:$AG325,'Calc base'!$C$14:$N$14,('Calc base'!$H325:$S325&gt;'Calc base'!Q325)+('Calc base'!$H325:$S325='Calc base'!Q325)*('Calc base'!$C$17:$N$17&lt;'Calc base'!L$17)))))</f>
        <v>0</v>
      </c>
      <c r="AR325">
        <f>IF('Calc base'!M$14=0,0,MIN(AF325,MAX(0,$E325-SUMPRODUCT($V325:$AG325,'Calc base'!$C$14:$N$14,('Calc base'!$H325:$S325&gt;'Calc base'!R325)+('Calc base'!$H325:$S325='Calc base'!R325)*('Calc base'!$C$17:$N$17&lt;'Calc base'!M$17)))))</f>
        <v>0</v>
      </c>
      <c r="AS325">
        <f>IF('Calc base'!N$14=0,0,MIN(AG325,MAX(0,$E325-SUMPRODUCT($V325:$AG325,'Calc base'!$C$14:$N$14,('Calc base'!$H325:$S325&gt;'Calc base'!S325)+('Calc base'!$H325:$S325='Calc base'!S325)*('Calc base'!$C$17:$N$17&lt;'Calc base'!N$17)))))</f>
        <v>0</v>
      </c>
      <c r="AT325">
        <f>V325-AH325</f>
        <v>0</v>
      </c>
      <c r="AU325">
        <f>W325-AI325</f>
        <v>0</v>
      </c>
      <c r="AV325">
        <f>X325-AJ325</f>
        <v>0</v>
      </c>
      <c r="AW325">
        <f>Y325-AK325</f>
        <v>0</v>
      </c>
      <c r="AX325">
        <f>Z325-AL325</f>
        <v>0</v>
      </c>
      <c r="AY325">
        <f>AA325-AM325</f>
        <v>0</v>
      </c>
      <c r="AZ325">
        <f>AB325-AN325</f>
        <v>0</v>
      </c>
      <c r="BA325">
        <f>AC325-AO325</f>
        <v>0</v>
      </c>
      <c r="BB325">
        <f>AD325-AP325</f>
        <v>0</v>
      </c>
      <c r="BC325">
        <f>AE325-AQ325</f>
        <v>0</v>
      </c>
      <c r="BD325">
        <f>AF325-AR325</f>
        <v>0</v>
      </c>
      <c r="BE325">
        <f>AG325-AS325</f>
        <v>0</v>
      </c>
    </row>
    <row r="326">
      <c r="A326" t="n">
        <v>296</v>
      </c>
      <c r="B326">
        <f>SUMPRODUCT(ROUND($AT325:$BE325*(1+'Calc base'!$H326:$S326),2))</f>
        <v>0</v>
      </c>
      <c r="C326">
        <f>SUM(J326:U326)</f>
        <v>0</v>
      </c>
      <c r="D326">
        <f>SUM(V326:AG326)</f>
        <v>0</v>
      </c>
      <c r="E326">
        <f>MAX(0,IF(Impostazioni!$B$7="No",'Calc base'!$C326-$C$31,'Calc base'!$C326-C326)+'Calc base'!$G326+'Calc base'!$F326-(B326-C326-D326))</f>
        <v>900</v>
      </c>
      <c r="F326">
        <f>SUM(AH326:AS326)</f>
        <v>0</v>
      </c>
      <c r="G326">
        <f>SUM(AT326:BE326)</f>
        <v>0</v>
      </c>
      <c r="H326">
        <f>B326-G325</f>
        <v>0</v>
      </c>
      <c r="I326">
        <f>B326-G326</f>
        <v>0</v>
      </c>
      <c r="J326">
        <f>IF(AT325&lt;=0,0,IF(ROUND(AT325*(1+'Calc base'!H326),2)-MAX('Calc base'!C$12,ROUND('Calc base'!C$13*AT325,2))&lt;1,ROUND(AT325*(1+'Calc base'!H326),2),MAX('Calc base'!C$12,ROUND('Calc base'!C$13*AT325,2))))</f>
        <v>0</v>
      </c>
      <c r="K326">
        <f>IF(AU325&lt;=0,0,IF(ROUND(AU325*(1+'Calc base'!I326),2)-MAX('Calc base'!D$12,ROUND('Calc base'!D$13*AU325,2))&lt;1,ROUND(AU325*(1+'Calc base'!I326),2),MAX('Calc base'!D$12,ROUND('Calc base'!D$13*AU325,2))))</f>
        <v>0</v>
      </c>
      <c r="L326">
        <f>IF(AV325&lt;=0,0,IF(ROUND(AV325*(1+'Calc base'!J326),2)-MAX('Calc base'!E$12,ROUND('Calc base'!E$13*AV325,2))&lt;1,ROUND(AV325*(1+'Calc base'!J326),2),MAX('Calc base'!E$12,ROUND('Calc base'!E$13*AV325,2))))</f>
        <v>0</v>
      </c>
      <c r="M326">
        <f>IF(AW325&lt;=0,0,IF(ROUND(AW325*(1+'Calc base'!K326),2)-MAX('Calc base'!F$12,ROUND('Calc base'!F$13*AW325,2))&lt;1,ROUND(AW325*(1+'Calc base'!K326),2),MAX('Calc base'!F$12,ROUND('Calc base'!F$13*AW325,2))))</f>
        <v>0</v>
      </c>
      <c r="N326">
        <f>IF(AX325&lt;=0,0,IF(ROUND(AX325*(1+'Calc base'!L326),2)-MAX('Calc base'!G$12,ROUND('Calc base'!G$13*AX325,2))&lt;1,ROUND(AX325*(1+'Calc base'!L326),2),MAX('Calc base'!G$12,ROUND('Calc base'!G$13*AX325,2))))</f>
        <v>0</v>
      </c>
      <c r="O326">
        <f>IF(AY325&lt;=0,0,IF(ROUND(AY325*(1+'Calc base'!M326),2)-MAX('Calc base'!H$12,ROUND('Calc base'!H$13*AY325,2))&lt;1,ROUND(AY325*(1+'Calc base'!M326),2),MAX('Calc base'!H$12,ROUND('Calc base'!H$13*AY325,2))))</f>
        <v>0</v>
      </c>
      <c r="P326">
        <f>IF(AZ325&lt;=0,0,IF(ROUND(AZ325*(1+'Calc base'!N326),2)-MAX('Calc base'!I$12,ROUND('Calc base'!I$13*AZ325,2))&lt;1,ROUND(AZ325*(1+'Calc base'!N326),2),MAX('Calc base'!I$12,ROUND('Calc base'!I$13*AZ325,2))))</f>
        <v>0</v>
      </c>
      <c r="Q326">
        <f>IF(BA325&lt;=0,0,IF(ROUND(BA325*(1+'Calc base'!O326),2)-MAX('Calc base'!J$12,ROUND('Calc base'!J$13*BA325,2))&lt;1,ROUND(BA325*(1+'Calc base'!O326),2),MAX('Calc base'!J$12,ROUND('Calc base'!J$13*BA325,2))))</f>
        <v>0</v>
      </c>
      <c r="R326">
        <f>IF(BB325&lt;=0,0,IF(ROUND(BB325*(1+'Calc base'!P326),2)-MAX('Calc base'!K$12,ROUND('Calc base'!K$13*BB325,2))&lt;1,ROUND(BB325*(1+'Calc base'!P326),2),MAX('Calc base'!K$12,ROUND('Calc base'!K$13*BB325,2))))</f>
        <v>0</v>
      </c>
      <c r="S326">
        <f>IF(BC325&lt;=0,0,IF(ROUND(BC325*(1+'Calc base'!Q326),2)-MAX('Calc base'!L$12,ROUND('Calc base'!L$13*BC325,2))&lt;1,ROUND(BC325*(1+'Calc base'!Q326),2),MAX('Calc base'!L$12,ROUND('Calc base'!L$13*BC325,2))))</f>
        <v>0</v>
      </c>
      <c r="T326">
        <f>IF(BD325&lt;=0,0,IF(ROUND(BD325*(1+'Calc base'!R326),2)-MAX('Calc base'!M$12,ROUND('Calc base'!M$13*BD325,2))&lt;1,ROUND(BD325*(1+'Calc base'!R326),2),MAX('Calc base'!M$12,ROUND('Calc base'!M$13*BD325,2))))</f>
        <v>0</v>
      </c>
      <c r="U326">
        <f>IF(BE325&lt;=0,0,IF(ROUND(BE325*(1+'Calc base'!S326),2)-MAX('Calc base'!N$12,ROUND('Calc base'!N$13*BE325,2))&lt;1,ROUND(BE325*(1+'Calc base'!S326),2),MAX('Calc base'!N$12,ROUND('Calc base'!N$13*BE325,2))))</f>
        <v>0</v>
      </c>
      <c r="V326">
        <f>MAX(0,ROUND(AT325*(1+'Calc base'!H326),2)-J326-'Calc base'!T326)</f>
        <v>0</v>
      </c>
      <c r="W326">
        <f>MAX(0,ROUND(AU325*(1+'Calc base'!I326),2)-K326-'Calc base'!U326)</f>
        <v>0</v>
      </c>
      <c r="X326">
        <f>MAX(0,ROUND(AV325*(1+'Calc base'!J326),2)-L326-'Calc base'!V326)</f>
        <v>0</v>
      </c>
      <c r="Y326">
        <f>MAX(0,ROUND(AW325*(1+'Calc base'!K326),2)-M326-'Calc base'!W326)</f>
        <v>0</v>
      </c>
      <c r="Z326">
        <f>MAX(0,ROUND(AX325*(1+'Calc base'!L326),2)-N326-'Calc base'!X326)</f>
        <v>0</v>
      </c>
      <c r="AA326">
        <f>MAX(0,ROUND(AY325*(1+'Calc base'!M326),2)-O326-'Calc base'!Y326)</f>
        <v>0</v>
      </c>
      <c r="AB326">
        <f>MAX(0,ROUND(AZ325*(1+'Calc base'!N326),2)-P326-'Calc base'!Z326)</f>
        <v>0</v>
      </c>
      <c r="AC326">
        <f>MAX(0,ROUND(BA325*(1+'Calc base'!O326),2)-Q326-'Calc base'!AA326)</f>
        <v>0</v>
      </c>
      <c r="AD326">
        <f>MAX(0,ROUND(BB325*(1+'Calc base'!P326),2)-R326-'Calc base'!AB326)</f>
        <v>0</v>
      </c>
      <c r="AE326">
        <f>MAX(0,ROUND(BC325*(1+'Calc base'!Q326),2)-S326-'Calc base'!AC326)</f>
        <v>0</v>
      </c>
      <c r="AF326">
        <f>MAX(0,ROUND(BD325*(1+'Calc base'!R326),2)-T326-'Calc base'!AD326)</f>
        <v>0</v>
      </c>
      <c r="AG326">
        <f>MAX(0,ROUND(BE325*(1+'Calc base'!S326),2)-U326-'Calc base'!AE326)</f>
        <v>0</v>
      </c>
      <c r="AH326">
        <f>IF('Calc base'!C$14=0,0,MIN(V326,MAX(0,$E326-SUMPRODUCT($V326:$AG326,'Calc base'!$C$14:$N$14,('Calc base'!$H326:$S326&gt;'Calc base'!H326)+('Calc base'!$H326:$S326='Calc base'!H326)*('Calc base'!$C$17:$N$17&lt;'Calc base'!C$17)))))</f>
        <v>0</v>
      </c>
      <c r="AI326">
        <f>IF('Calc base'!D$14=0,0,MIN(W326,MAX(0,$E326-SUMPRODUCT($V326:$AG326,'Calc base'!$C$14:$N$14,('Calc base'!$H326:$S326&gt;'Calc base'!I326)+('Calc base'!$H326:$S326='Calc base'!I326)*('Calc base'!$C$17:$N$17&lt;'Calc base'!D$17)))))</f>
        <v>0</v>
      </c>
      <c r="AJ326">
        <f>IF('Calc base'!E$14=0,0,MIN(X326,MAX(0,$E326-SUMPRODUCT($V326:$AG326,'Calc base'!$C$14:$N$14,('Calc base'!$H326:$S326&gt;'Calc base'!J326)+('Calc base'!$H326:$S326='Calc base'!J326)*('Calc base'!$C$17:$N$17&lt;'Calc base'!E$17)))))</f>
        <v>0</v>
      </c>
      <c r="AK326">
        <f>IF('Calc base'!F$14=0,0,MIN(Y326,MAX(0,$E326-SUMPRODUCT($V326:$AG326,'Calc base'!$C$14:$N$14,('Calc base'!$H326:$S326&gt;'Calc base'!K326)+('Calc base'!$H326:$S326='Calc base'!K326)*('Calc base'!$C$17:$N$17&lt;'Calc base'!F$17)))))</f>
        <v>0</v>
      </c>
      <c r="AL326">
        <f>IF('Calc base'!G$14=0,0,MIN(Z326,MAX(0,$E326-SUMPRODUCT($V326:$AG326,'Calc base'!$C$14:$N$14,('Calc base'!$H326:$S326&gt;'Calc base'!L326)+('Calc base'!$H326:$S326='Calc base'!L326)*('Calc base'!$C$17:$N$17&lt;'Calc base'!G$17)))))</f>
        <v>0</v>
      </c>
      <c r="AM326">
        <f>IF('Calc base'!H$14=0,0,MIN(AA326,MAX(0,$E326-SUMPRODUCT($V326:$AG326,'Calc base'!$C$14:$N$14,('Calc base'!$H326:$S326&gt;'Calc base'!M326)+('Calc base'!$H326:$S326='Calc base'!M326)*('Calc base'!$C$17:$N$17&lt;'Calc base'!H$17)))))</f>
        <v>0</v>
      </c>
      <c r="AN326">
        <f>IF('Calc base'!I$14=0,0,MIN(AB326,MAX(0,$E326-SUMPRODUCT($V326:$AG326,'Calc base'!$C$14:$N$14,('Calc base'!$H326:$S326&gt;'Calc base'!N326)+('Calc base'!$H326:$S326='Calc base'!N326)*('Calc base'!$C$17:$N$17&lt;'Calc base'!I$17)))))</f>
        <v>0</v>
      </c>
      <c r="AO326">
        <f>IF('Calc base'!J$14=0,0,MIN(AC326,MAX(0,$E326-SUMPRODUCT($V326:$AG326,'Calc base'!$C$14:$N$14,('Calc base'!$H326:$S326&gt;'Calc base'!O326)+('Calc base'!$H326:$S326='Calc base'!O326)*('Calc base'!$C$17:$N$17&lt;'Calc base'!J$17)))))</f>
        <v>0</v>
      </c>
      <c r="AP326">
        <f>IF('Calc base'!K$14=0,0,MIN(AD326,MAX(0,$E326-SUMPRODUCT($V326:$AG326,'Calc base'!$C$14:$N$14,('Calc base'!$H326:$S326&gt;'Calc base'!P326)+('Calc base'!$H326:$S326='Calc base'!P326)*('Calc base'!$C$17:$N$17&lt;'Calc base'!K$17)))))</f>
        <v>0</v>
      </c>
      <c r="AQ326">
        <f>IF('Calc base'!L$14=0,0,MIN(AE326,MAX(0,$E326-SUMPRODUCT($V326:$AG326,'Calc base'!$C$14:$N$14,('Calc base'!$H326:$S326&gt;'Calc base'!Q326)+('Calc base'!$H326:$S326='Calc base'!Q326)*('Calc base'!$C$17:$N$17&lt;'Calc base'!L$17)))))</f>
        <v>0</v>
      </c>
      <c r="AR326">
        <f>IF('Calc base'!M$14=0,0,MIN(AF326,MAX(0,$E326-SUMPRODUCT($V326:$AG326,'Calc base'!$C$14:$N$14,('Calc base'!$H326:$S326&gt;'Calc base'!R326)+('Calc base'!$H326:$S326='Calc base'!R326)*('Calc base'!$C$17:$N$17&lt;'Calc base'!M$17)))))</f>
        <v>0</v>
      </c>
      <c r="AS326">
        <f>IF('Calc base'!N$14=0,0,MIN(AG326,MAX(0,$E326-SUMPRODUCT($V326:$AG326,'Calc base'!$C$14:$N$14,('Calc base'!$H326:$S326&gt;'Calc base'!S326)+('Calc base'!$H326:$S326='Calc base'!S326)*('Calc base'!$C$17:$N$17&lt;'Calc base'!N$17)))))</f>
        <v>0</v>
      </c>
      <c r="AT326">
        <f>V326-AH326</f>
        <v>0</v>
      </c>
      <c r="AU326">
        <f>W326-AI326</f>
        <v>0</v>
      </c>
      <c r="AV326">
        <f>X326-AJ326</f>
        <v>0</v>
      </c>
      <c r="AW326">
        <f>Y326-AK326</f>
        <v>0</v>
      </c>
      <c r="AX326">
        <f>Z326-AL326</f>
        <v>0</v>
      </c>
      <c r="AY326">
        <f>AA326-AM326</f>
        <v>0</v>
      </c>
      <c r="AZ326">
        <f>AB326-AN326</f>
        <v>0</v>
      </c>
      <c r="BA326">
        <f>AC326-AO326</f>
        <v>0</v>
      </c>
      <c r="BB326">
        <f>AD326-AP326</f>
        <v>0</v>
      </c>
      <c r="BC326">
        <f>AE326-AQ326</f>
        <v>0</v>
      </c>
      <c r="BD326">
        <f>AF326-AR326</f>
        <v>0</v>
      </c>
      <c r="BE326">
        <f>AG326-AS326</f>
        <v>0</v>
      </c>
    </row>
    <row r="327">
      <c r="A327" t="n">
        <v>297</v>
      </c>
      <c r="B327">
        <f>SUMPRODUCT(ROUND($AT326:$BE326*(1+'Calc base'!$H327:$S327),2))</f>
        <v>0</v>
      </c>
      <c r="C327">
        <f>SUM(J327:U327)</f>
        <v>0</v>
      </c>
      <c r="D327">
        <f>SUM(V327:AG327)</f>
        <v>0</v>
      </c>
      <c r="E327">
        <f>MAX(0,IF(Impostazioni!$B$7="No",'Calc base'!$C327-$C$31,'Calc base'!$C327-C327)+'Calc base'!$G327+'Calc base'!$F327-(B327-C327-D327))</f>
        <v>900</v>
      </c>
      <c r="F327">
        <f>SUM(AH327:AS327)</f>
        <v>0</v>
      </c>
      <c r="G327">
        <f>SUM(AT327:BE327)</f>
        <v>0</v>
      </c>
      <c r="H327">
        <f>B327-G326</f>
        <v>0</v>
      </c>
      <c r="I327">
        <f>B327-G327</f>
        <v>0</v>
      </c>
      <c r="J327">
        <f>IF(AT326&lt;=0,0,IF(ROUND(AT326*(1+'Calc base'!H327),2)-MAX('Calc base'!C$12,ROUND('Calc base'!C$13*AT326,2))&lt;1,ROUND(AT326*(1+'Calc base'!H327),2),MAX('Calc base'!C$12,ROUND('Calc base'!C$13*AT326,2))))</f>
        <v>0</v>
      </c>
      <c r="K327">
        <f>IF(AU326&lt;=0,0,IF(ROUND(AU326*(1+'Calc base'!I327),2)-MAX('Calc base'!D$12,ROUND('Calc base'!D$13*AU326,2))&lt;1,ROUND(AU326*(1+'Calc base'!I327),2),MAX('Calc base'!D$12,ROUND('Calc base'!D$13*AU326,2))))</f>
        <v>0</v>
      </c>
      <c r="L327">
        <f>IF(AV326&lt;=0,0,IF(ROUND(AV326*(1+'Calc base'!J327),2)-MAX('Calc base'!E$12,ROUND('Calc base'!E$13*AV326,2))&lt;1,ROUND(AV326*(1+'Calc base'!J327),2),MAX('Calc base'!E$12,ROUND('Calc base'!E$13*AV326,2))))</f>
        <v>0</v>
      </c>
      <c r="M327">
        <f>IF(AW326&lt;=0,0,IF(ROUND(AW326*(1+'Calc base'!K327),2)-MAX('Calc base'!F$12,ROUND('Calc base'!F$13*AW326,2))&lt;1,ROUND(AW326*(1+'Calc base'!K327),2),MAX('Calc base'!F$12,ROUND('Calc base'!F$13*AW326,2))))</f>
        <v>0</v>
      </c>
      <c r="N327">
        <f>IF(AX326&lt;=0,0,IF(ROUND(AX326*(1+'Calc base'!L327),2)-MAX('Calc base'!G$12,ROUND('Calc base'!G$13*AX326,2))&lt;1,ROUND(AX326*(1+'Calc base'!L327),2),MAX('Calc base'!G$12,ROUND('Calc base'!G$13*AX326,2))))</f>
        <v>0</v>
      </c>
      <c r="O327">
        <f>IF(AY326&lt;=0,0,IF(ROUND(AY326*(1+'Calc base'!M327),2)-MAX('Calc base'!H$12,ROUND('Calc base'!H$13*AY326,2))&lt;1,ROUND(AY326*(1+'Calc base'!M327),2),MAX('Calc base'!H$12,ROUND('Calc base'!H$13*AY326,2))))</f>
        <v>0</v>
      </c>
      <c r="P327">
        <f>IF(AZ326&lt;=0,0,IF(ROUND(AZ326*(1+'Calc base'!N327),2)-MAX('Calc base'!I$12,ROUND('Calc base'!I$13*AZ326,2))&lt;1,ROUND(AZ326*(1+'Calc base'!N327),2),MAX('Calc base'!I$12,ROUND('Calc base'!I$13*AZ326,2))))</f>
        <v>0</v>
      </c>
      <c r="Q327">
        <f>IF(BA326&lt;=0,0,IF(ROUND(BA326*(1+'Calc base'!O327),2)-MAX('Calc base'!J$12,ROUND('Calc base'!J$13*BA326,2))&lt;1,ROUND(BA326*(1+'Calc base'!O327),2),MAX('Calc base'!J$12,ROUND('Calc base'!J$13*BA326,2))))</f>
        <v>0</v>
      </c>
      <c r="R327">
        <f>IF(BB326&lt;=0,0,IF(ROUND(BB326*(1+'Calc base'!P327),2)-MAX('Calc base'!K$12,ROUND('Calc base'!K$13*BB326,2))&lt;1,ROUND(BB326*(1+'Calc base'!P327),2),MAX('Calc base'!K$12,ROUND('Calc base'!K$13*BB326,2))))</f>
        <v>0</v>
      </c>
      <c r="S327">
        <f>IF(BC326&lt;=0,0,IF(ROUND(BC326*(1+'Calc base'!Q327),2)-MAX('Calc base'!L$12,ROUND('Calc base'!L$13*BC326,2))&lt;1,ROUND(BC326*(1+'Calc base'!Q327),2),MAX('Calc base'!L$12,ROUND('Calc base'!L$13*BC326,2))))</f>
        <v>0</v>
      </c>
      <c r="T327">
        <f>IF(BD326&lt;=0,0,IF(ROUND(BD326*(1+'Calc base'!R327),2)-MAX('Calc base'!M$12,ROUND('Calc base'!M$13*BD326,2))&lt;1,ROUND(BD326*(1+'Calc base'!R327),2),MAX('Calc base'!M$12,ROUND('Calc base'!M$13*BD326,2))))</f>
        <v>0</v>
      </c>
      <c r="U327">
        <f>IF(BE326&lt;=0,0,IF(ROUND(BE326*(1+'Calc base'!S327),2)-MAX('Calc base'!N$12,ROUND('Calc base'!N$13*BE326,2))&lt;1,ROUND(BE326*(1+'Calc base'!S327),2),MAX('Calc base'!N$12,ROUND('Calc base'!N$13*BE326,2))))</f>
        <v>0</v>
      </c>
      <c r="V327">
        <f>MAX(0,ROUND(AT326*(1+'Calc base'!H327),2)-J327-'Calc base'!T327)</f>
        <v>0</v>
      </c>
      <c r="W327">
        <f>MAX(0,ROUND(AU326*(1+'Calc base'!I327),2)-K327-'Calc base'!U327)</f>
        <v>0</v>
      </c>
      <c r="X327">
        <f>MAX(0,ROUND(AV326*(1+'Calc base'!J327),2)-L327-'Calc base'!V327)</f>
        <v>0</v>
      </c>
      <c r="Y327">
        <f>MAX(0,ROUND(AW326*(1+'Calc base'!K327),2)-M327-'Calc base'!W327)</f>
        <v>0</v>
      </c>
      <c r="Z327">
        <f>MAX(0,ROUND(AX326*(1+'Calc base'!L327),2)-N327-'Calc base'!X327)</f>
        <v>0</v>
      </c>
      <c r="AA327">
        <f>MAX(0,ROUND(AY326*(1+'Calc base'!M327),2)-O327-'Calc base'!Y327)</f>
        <v>0</v>
      </c>
      <c r="AB327">
        <f>MAX(0,ROUND(AZ326*(1+'Calc base'!N327),2)-P327-'Calc base'!Z327)</f>
        <v>0</v>
      </c>
      <c r="AC327">
        <f>MAX(0,ROUND(BA326*(1+'Calc base'!O327),2)-Q327-'Calc base'!AA327)</f>
        <v>0</v>
      </c>
      <c r="AD327">
        <f>MAX(0,ROUND(BB326*(1+'Calc base'!P327),2)-R327-'Calc base'!AB327)</f>
        <v>0</v>
      </c>
      <c r="AE327">
        <f>MAX(0,ROUND(BC326*(1+'Calc base'!Q327),2)-S327-'Calc base'!AC327)</f>
        <v>0</v>
      </c>
      <c r="AF327">
        <f>MAX(0,ROUND(BD326*(1+'Calc base'!R327),2)-T327-'Calc base'!AD327)</f>
        <v>0</v>
      </c>
      <c r="AG327">
        <f>MAX(0,ROUND(BE326*(1+'Calc base'!S327),2)-U327-'Calc base'!AE327)</f>
        <v>0</v>
      </c>
      <c r="AH327">
        <f>IF('Calc base'!C$14=0,0,MIN(V327,MAX(0,$E327-SUMPRODUCT($V327:$AG327,'Calc base'!$C$14:$N$14,('Calc base'!$H327:$S327&gt;'Calc base'!H327)+('Calc base'!$H327:$S327='Calc base'!H327)*('Calc base'!$C$17:$N$17&lt;'Calc base'!C$17)))))</f>
        <v>0</v>
      </c>
      <c r="AI327">
        <f>IF('Calc base'!D$14=0,0,MIN(W327,MAX(0,$E327-SUMPRODUCT($V327:$AG327,'Calc base'!$C$14:$N$14,('Calc base'!$H327:$S327&gt;'Calc base'!I327)+('Calc base'!$H327:$S327='Calc base'!I327)*('Calc base'!$C$17:$N$17&lt;'Calc base'!D$17)))))</f>
        <v>0</v>
      </c>
      <c r="AJ327">
        <f>IF('Calc base'!E$14=0,0,MIN(X327,MAX(0,$E327-SUMPRODUCT($V327:$AG327,'Calc base'!$C$14:$N$14,('Calc base'!$H327:$S327&gt;'Calc base'!J327)+('Calc base'!$H327:$S327='Calc base'!J327)*('Calc base'!$C$17:$N$17&lt;'Calc base'!E$17)))))</f>
        <v>0</v>
      </c>
      <c r="AK327">
        <f>IF('Calc base'!F$14=0,0,MIN(Y327,MAX(0,$E327-SUMPRODUCT($V327:$AG327,'Calc base'!$C$14:$N$14,('Calc base'!$H327:$S327&gt;'Calc base'!K327)+('Calc base'!$H327:$S327='Calc base'!K327)*('Calc base'!$C$17:$N$17&lt;'Calc base'!F$17)))))</f>
        <v>0</v>
      </c>
      <c r="AL327">
        <f>IF('Calc base'!G$14=0,0,MIN(Z327,MAX(0,$E327-SUMPRODUCT($V327:$AG327,'Calc base'!$C$14:$N$14,('Calc base'!$H327:$S327&gt;'Calc base'!L327)+('Calc base'!$H327:$S327='Calc base'!L327)*('Calc base'!$C$17:$N$17&lt;'Calc base'!G$17)))))</f>
        <v>0</v>
      </c>
      <c r="AM327">
        <f>IF('Calc base'!H$14=0,0,MIN(AA327,MAX(0,$E327-SUMPRODUCT($V327:$AG327,'Calc base'!$C$14:$N$14,('Calc base'!$H327:$S327&gt;'Calc base'!M327)+('Calc base'!$H327:$S327='Calc base'!M327)*('Calc base'!$C$17:$N$17&lt;'Calc base'!H$17)))))</f>
        <v>0</v>
      </c>
      <c r="AN327">
        <f>IF('Calc base'!I$14=0,0,MIN(AB327,MAX(0,$E327-SUMPRODUCT($V327:$AG327,'Calc base'!$C$14:$N$14,('Calc base'!$H327:$S327&gt;'Calc base'!N327)+('Calc base'!$H327:$S327='Calc base'!N327)*('Calc base'!$C$17:$N$17&lt;'Calc base'!I$17)))))</f>
        <v>0</v>
      </c>
      <c r="AO327">
        <f>IF('Calc base'!J$14=0,0,MIN(AC327,MAX(0,$E327-SUMPRODUCT($V327:$AG327,'Calc base'!$C$14:$N$14,('Calc base'!$H327:$S327&gt;'Calc base'!O327)+('Calc base'!$H327:$S327='Calc base'!O327)*('Calc base'!$C$17:$N$17&lt;'Calc base'!J$17)))))</f>
        <v>0</v>
      </c>
      <c r="AP327">
        <f>IF('Calc base'!K$14=0,0,MIN(AD327,MAX(0,$E327-SUMPRODUCT($V327:$AG327,'Calc base'!$C$14:$N$14,('Calc base'!$H327:$S327&gt;'Calc base'!P327)+('Calc base'!$H327:$S327='Calc base'!P327)*('Calc base'!$C$17:$N$17&lt;'Calc base'!K$17)))))</f>
        <v>0</v>
      </c>
      <c r="AQ327">
        <f>IF('Calc base'!L$14=0,0,MIN(AE327,MAX(0,$E327-SUMPRODUCT($V327:$AG327,'Calc base'!$C$14:$N$14,('Calc base'!$H327:$S327&gt;'Calc base'!Q327)+('Calc base'!$H327:$S327='Calc base'!Q327)*('Calc base'!$C$17:$N$17&lt;'Calc base'!L$17)))))</f>
        <v>0</v>
      </c>
      <c r="AR327">
        <f>IF('Calc base'!M$14=0,0,MIN(AF327,MAX(0,$E327-SUMPRODUCT($V327:$AG327,'Calc base'!$C$14:$N$14,('Calc base'!$H327:$S327&gt;'Calc base'!R327)+('Calc base'!$H327:$S327='Calc base'!R327)*('Calc base'!$C$17:$N$17&lt;'Calc base'!M$17)))))</f>
        <v>0</v>
      </c>
      <c r="AS327">
        <f>IF('Calc base'!N$14=0,0,MIN(AG327,MAX(0,$E327-SUMPRODUCT($V327:$AG327,'Calc base'!$C$14:$N$14,('Calc base'!$H327:$S327&gt;'Calc base'!S327)+('Calc base'!$H327:$S327='Calc base'!S327)*('Calc base'!$C$17:$N$17&lt;'Calc base'!N$17)))))</f>
        <v>0</v>
      </c>
      <c r="AT327">
        <f>V327-AH327</f>
        <v>0</v>
      </c>
      <c r="AU327">
        <f>W327-AI327</f>
        <v>0</v>
      </c>
      <c r="AV327">
        <f>X327-AJ327</f>
        <v>0</v>
      </c>
      <c r="AW327">
        <f>Y327-AK327</f>
        <v>0</v>
      </c>
      <c r="AX327">
        <f>Z327-AL327</f>
        <v>0</v>
      </c>
      <c r="AY327">
        <f>AA327-AM327</f>
        <v>0</v>
      </c>
      <c r="AZ327">
        <f>AB327-AN327</f>
        <v>0</v>
      </c>
      <c r="BA327">
        <f>AC327-AO327</f>
        <v>0</v>
      </c>
      <c r="BB327">
        <f>AD327-AP327</f>
        <v>0</v>
      </c>
      <c r="BC327">
        <f>AE327-AQ327</f>
        <v>0</v>
      </c>
      <c r="BD327">
        <f>AF327-AR327</f>
        <v>0</v>
      </c>
      <c r="BE327">
        <f>AG327-AS327</f>
        <v>0</v>
      </c>
    </row>
    <row r="328">
      <c r="A328" t="n">
        <v>298</v>
      </c>
      <c r="B328">
        <f>SUMPRODUCT(ROUND($AT327:$BE327*(1+'Calc base'!$H328:$S328),2))</f>
        <v>0</v>
      </c>
      <c r="C328">
        <f>SUM(J328:U328)</f>
        <v>0</v>
      </c>
      <c r="D328">
        <f>SUM(V328:AG328)</f>
        <v>0</v>
      </c>
      <c r="E328">
        <f>MAX(0,IF(Impostazioni!$B$7="No",'Calc base'!$C328-$C$31,'Calc base'!$C328-C328)+'Calc base'!$G328+'Calc base'!$F328-(B328-C328-D328))</f>
        <v>900</v>
      </c>
      <c r="F328">
        <f>SUM(AH328:AS328)</f>
        <v>0</v>
      </c>
      <c r="G328">
        <f>SUM(AT328:BE328)</f>
        <v>0</v>
      </c>
      <c r="H328">
        <f>B328-G327</f>
        <v>0</v>
      </c>
      <c r="I328">
        <f>B328-G328</f>
        <v>0</v>
      </c>
      <c r="J328">
        <f>IF(AT327&lt;=0,0,IF(ROUND(AT327*(1+'Calc base'!H328),2)-MAX('Calc base'!C$12,ROUND('Calc base'!C$13*AT327,2))&lt;1,ROUND(AT327*(1+'Calc base'!H328),2),MAX('Calc base'!C$12,ROUND('Calc base'!C$13*AT327,2))))</f>
        <v>0</v>
      </c>
      <c r="K328">
        <f>IF(AU327&lt;=0,0,IF(ROUND(AU327*(1+'Calc base'!I328),2)-MAX('Calc base'!D$12,ROUND('Calc base'!D$13*AU327,2))&lt;1,ROUND(AU327*(1+'Calc base'!I328),2),MAX('Calc base'!D$12,ROUND('Calc base'!D$13*AU327,2))))</f>
        <v>0</v>
      </c>
      <c r="L328">
        <f>IF(AV327&lt;=0,0,IF(ROUND(AV327*(1+'Calc base'!J328),2)-MAX('Calc base'!E$12,ROUND('Calc base'!E$13*AV327,2))&lt;1,ROUND(AV327*(1+'Calc base'!J328),2),MAX('Calc base'!E$12,ROUND('Calc base'!E$13*AV327,2))))</f>
        <v>0</v>
      </c>
      <c r="M328">
        <f>IF(AW327&lt;=0,0,IF(ROUND(AW327*(1+'Calc base'!K328),2)-MAX('Calc base'!F$12,ROUND('Calc base'!F$13*AW327,2))&lt;1,ROUND(AW327*(1+'Calc base'!K328),2),MAX('Calc base'!F$12,ROUND('Calc base'!F$13*AW327,2))))</f>
        <v>0</v>
      </c>
      <c r="N328">
        <f>IF(AX327&lt;=0,0,IF(ROUND(AX327*(1+'Calc base'!L328),2)-MAX('Calc base'!G$12,ROUND('Calc base'!G$13*AX327,2))&lt;1,ROUND(AX327*(1+'Calc base'!L328),2),MAX('Calc base'!G$12,ROUND('Calc base'!G$13*AX327,2))))</f>
        <v>0</v>
      </c>
      <c r="O328">
        <f>IF(AY327&lt;=0,0,IF(ROUND(AY327*(1+'Calc base'!M328),2)-MAX('Calc base'!H$12,ROUND('Calc base'!H$13*AY327,2))&lt;1,ROUND(AY327*(1+'Calc base'!M328),2),MAX('Calc base'!H$12,ROUND('Calc base'!H$13*AY327,2))))</f>
        <v>0</v>
      </c>
      <c r="P328">
        <f>IF(AZ327&lt;=0,0,IF(ROUND(AZ327*(1+'Calc base'!N328),2)-MAX('Calc base'!I$12,ROUND('Calc base'!I$13*AZ327,2))&lt;1,ROUND(AZ327*(1+'Calc base'!N328),2),MAX('Calc base'!I$12,ROUND('Calc base'!I$13*AZ327,2))))</f>
        <v>0</v>
      </c>
      <c r="Q328">
        <f>IF(BA327&lt;=0,0,IF(ROUND(BA327*(1+'Calc base'!O328),2)-MAX('Calc base'!J$12,ROUND('Calc base'!J$13*BA327,2))&lt;1,ROUND(BA327*(1+'Calc base'!O328),2),MAX('Calc base'!J$12,ROUND('Calc base'!J$13*BA327,2))))</f>
        <v>0</v>
      </c>
      <c r="R328">
        <f>IF(BB327&lt;=0,0,IF(ROUND(BB327*(1+'Calc base'!P328),2)-MAX('Calc base'!K$12,ROUND('Calc base'!K$13*BB327,2))&lt;1,ROUND(BB327*(1+'Calc base'!P328),2),MAX('Calc base'!K$12,ROUND('Calc base'!K$13*BB327,2))))</f>
        <v>0</v>
      </c>
      <c r="S328">
        <f>IF(BC327&lt;=0,0,IF(ROUND(BC327*(1+'Calc base'!Q328),2)-MAX('Calc base'!L$12,ROUND('Calc base'!L$13*BC327,2))&lt;1,ROUND(BC327*(1+'Calc base'!Q328),2),MAX('Calc base'!L$12,ROUND('Calc base'!L$13*BC327,2))))</f>
        <v>0</v>
      </c>
      <c r="T328">
        <f>IF(BD327&lt;=0,0,IF(ROUND(BD327*(1+'Calc base'!R328),2)-MAX('Calc base'!M$12,ROUND('Calc base'!M$13*BD327,2))&lt;1,ROUND(BD327*(1+'Calc base'!R328),2),MAX('Calc base'!M$12,ROUND('Calc base'!M$13*BD327,2))))</f>
        <v>0</v>
      </c>
      <c r="U328">
        <f>IF(BE327&lt;=0,0,IF(ROUND(BE327*(1+'Calc base'!S328),2)-MAX('Calc base'!N$12,ROUND('Calc base'!N$13*BE327,2))&lt;1,ROUND(BE327*(1+'Calc base'!S328),2),MAX('Calc base'!N$12,ROUND('Calc base'!N$13*BE327,2))))</f>
        <v>0</v>
      </c>
      <c r="V328">
        <f>MAX(0,ROUND(AT327*(1+'Calc base'!H328),2)-J328-'Calc base'!T328)</f>
        <v>0</v>
      </c>
      <c r="W328">
        <f>MAX(0,ROUND(AU327*(1+'Calc base'!I328),2)-K328-'Calc base'!U328)</f>
        <v>0</v>
      </c>
      <c r="X328">
        <f>MAX(0,ROUND(AV327*(1+'Calc base'!J328),2)-L328-'Calc base'!V328)</f>
        <v>0</v>
      </c>
      <c r="Y328">
        <f>MAX(0,ROUND(AW327*(1+'Calc base'!K328),2)-M328-'Calc base'!W328)</f>
        <v>0</v>
      </c>
      <c r="Z328">
        <f>MAX(0,ROUND(AX327*(1+'Calc base'!L328),2)-N328-'Calc base'!X328)</f>
        <v>0</v>
      </c>
      <c r="AA328">
        <f>MAX(0,ROUND(AY327*(1+'Calc base'!M328),2)-O328-'Calc base'!Y328)</f>
        <v>0</v>
      </c>
      <c r="AB328">
        <f>MAX(0,ROUND(AZ327*(1+'Calc base'!N328),2)-P328-'Calc base'!Z328)</f>
        <v>0</v>
      </c>
      <c r="AC328">
        <f>MAX(0,ROUND(BA327*(1+'Calc base'!O328),2)-Q328-'Calc base'!AA328)</f>
        <v>0</v>
      </c>
      <c r="AD328">
        <f>MAX(0,ROUND(BB327*(1+'Calc base'!P328),2)-R328-'Calc base'!AB328)</f>
        <v>0</v>
      </c>
      <c r="AE328">
        <f>MAX(0,ROUND(BC327*(1+'Calc base'!Q328),2)-S328-'Calc base'!AC328)</f>
        <v>0</v>
      </c>
      <c r="AF328">
        <f>MAX(0,ROUND(BD327*(1+'Calc base'!R328),2)-T328-'Calc base'!AD328)</f>
        <v>0</v>
      </c>
      <c r="AG328">
        <f>MAX(0,ROUND(BE327*(1+'Calc base'!S328),2)-U328-'Calc base'!AE328)</f>
        <v>0</v>
      </c>
      <c r="AH328">
        <f>IF('Calc base'!C$14=0,0,MIN(V328,MAX(0,$E328-SUMPRODUCT($V328:$AG328,'Calc base'!$C$14:$N$14,('Calc base'!$H328:$S328&gt;'Calc base'!H328)+('Calc base'!$H328:$S328='Calc base'!H328)*('Calc base'!$C$17:$N$17&lt;'Calc base'!C$17)))))</f>
        <v>0</v>
      </c>
      <c r="AI328">
        <f>IF('Calc base'!D$14=0,0,MIN(W328,MAX(0,$E328-SUMPRODUCT($V328:$AG328,'Calc base'!$C$14:$N$14,('Calc base'!$H328:$S328&gt;'Calc base'!I328)+('Calc base'!$H328:$S328='Calc base'!I328)*('Calc base'!$C$17:$N$17&lt;'Calc base'!D$17)))))</f>
        <v>0</v>
      </c>
      <c r="AJ328">
        <f>IF('Calc base'!E$14=0,0,MIN(X328,MAX(0,$E328-SUMPRODUCT($V328:$AG328,'Calc base'!$C$14:$N$14,('Calc base'!$H328:$S328&gt;'Calc base'!J328)+('Calc base'!$H328:$S328='Calc base'!J328)*('Calc base'!$C$17:$N$17&lt;'Calc base'!E$17)))))</f>
        <v>0</v>
      </c>
      <c r="AK328">
        <f>IF('Calc base'!F$14=0,0,MIN(Y328,MAX(0,$E328-SUMPRODUCT($V328:$AG328,'Calc base'!$C$14:$N$14,('Calc base'!$H328:$S328&gt;'Calc base'!K328)+('Calc base'!$H328:$S328='Calc base'!K328)*('Calc base'!$C$17:$N$17&lt;'Calc base'!F$17)))))</f>
        <v>0</v>
      </c>
      <c r="AL328">
        <f>IF('Calc base'!G$14=0,0,MIN(Z328,MAX(0,$E328-SUMPRODUCT($V328:$AG328,'Calc base'!$C$14:$N$14,('Calc base'!$H328:$S328&gt;'Calc base'!L328)+('Calc base'!$H328:$S328='Calc base'!L328)*('Calc base'!$C$17:$N$17&lt;'Calc base'!G$17)))))</f>
        <v>0</v>
      </c>
      <c r="AM328">
        <f>IF('Calc base'!H$14=0,0,MIN(AA328,MAX(0,$E328-SUMPRODUCT($V328:$AG328,'Calc base'!$C$14:$N$14,('Calc base'!$H328:$S328&gt;'Calc base'!M328)+('Calc base'!$H328:$S328='Calc base'!M328)*('Calc base'!$C$17:$N$17&lt;'Calc base'!H$17)))))</f>
        <v>0</v>
      </c>
      <c r="AN328">
        <f>IF('Calc base'!I$14=0,0,MIN(AB328,MAX(0,$E328-SUMPRODUCT($V328:$AG328,'Calc base'!$C$14:$N$14,('Calc base'!$H328:$S328&gt;'Calc base'!N328)+('Calc base'!$H328:$S328='Calc base'!N328)*('Calc base'!$C$17:$N$17&lt;'Calc base'!I$17)))))</f>
        <v>0</v>
      </c>
      <c r="AO328">
        <f>IF('Calc base'!J$14=0,0,MIN(AC328,MAX(0,$E328-SUMPRODUCT($V328:$AG328,'Calc base'!$C$14:$N$14,('Calc base'!$H328:$S328&gt;'Calc base'!O328)+('Calc base'!$H328:$S328='Calc base'!O328)*('Calc base'!$C$17:$N$17&lt;'Calc base'!J$17)))))</f>
        <v>0</v>
      </c>
      <c r="AP328">
        <f>IF('Calc base'!K$14=0,0,MIN(AD328,MAX(0,$E328-SUMPRODUCT($V328:$AG328,'Calc base'!$C$14:$N$14,('Calc base'!$H328:$S328&gt;'Calc base'!P328)+('Calc base'!$H328:$S328='Calc base'!P328)*('Calc base'!$C$17:$N$17&lt;'Calc base'!K$17)))))</f>
        <v>0</v>
      </c>
      <c r="AQ328">
        <f>IF('Calc base'!L$14=0,0,MIN(AE328,MAX(0,$E328-SUMPRODUCT($V328:$AG328,'Calc base'!$C$14:$N$14,('Calc base'!$H328:$S328&gt;'Calc base'!Q328)+('Calc base'!$H328:$S328='Calc base'!Q328)*('Calc base'!$C$17:$N$17&lt;'Calc base'!L$17)))))</f>
        <v>0</v>
      </c>
      <c r="AR328">
        <f>IF('Calc base'!M$14=0,0,MIN(AF328,MAX(0,$E328-SUMPRODUCT($V328:$AG328,'Calc base'!$C$14:$N$14,('Calc base'!$H328:$S328&gt;'Calc base'!R328)+('Calc base'!$H328:$S328='Calc base'!R328)*('Calc base'!$C$17:$N$17&lt;'Calc base'!M$17)))))</f>
        <v>0</v>
      </c>
      <c r="AS328">
        <f>IF('Calc base'!N$14=0,0,MIN(AG328,MAX(0,$E328-SUMPRODUCT($V328:$AG328,'Calc base'!$C$14:$N$14,('Calc base'!$H328:$S328&gt;'Calc base'!S328)+('Calc base'!$H328:$S328='Calc base'!S328)*('Calc base'!$C$17:$N$17&lt;'Calc base'!N$17)))))</f>
        <v>0</v>
      </c>
      <c r="AT328">
        <f>V328-AH328</f>
        <v>0</v>
      </c>
      <c r="AU328">
        <f>W328-AI328</f>
        <v>0</v>
      </c>
      <c r="AV328">
        <f>X328-AJ328</f>
        <v>0</v>
      </c>
      <c r="AW328">
        <f>Y328-AK328</f>
        <v>0</v>
      </c>
      <c r="AX328">
        <f>Z328-AL328</f>
        <v>0</v>
      </c>
      <c r="AY328">
        <f>AA328-AM328</f>
        <v>0</v>
      </c>
      <c r="AZ328">
        <f>AB328-AN328</f>
        <v>0</v>
      </c>
      <c r="BA328">
        <f>AC328-AO328</f>
        <v>0</v>
      </c>
      <c r="BB328">
        <f>AD328-AP328</f>
        <v>0</v>
      </c>
      <c r="BC328">
        <f>AE328-AQ328</f>
        <v>0</v>
      </c>
      <c r="BD328">
        <f>AF328-AR328</f>
        <v>0</v>
      </c>
      <c r="BE328">
        <f>AG328-AS328</f>
        <v>0</v>
      </c>
    </row>
    <row r="329">
      <c r="A329" t="n">
        <v>299</v>
      </c>
      <c r="B329">
        <f>SUMPRODUCT(ROUND($AT328:$BE328*(1+'Calc base'!$H329:$S329),2))</f>
        <v>0</v>
      </c>
      <c r="C329">
        <f>SUM(J329:U329)</f>
        <v>0</v>
      </c>
      <c r="D329">
        <f>SUM(V329:AG329)</f>
        <v>0</v>
      </c>
      <c r="E329">
        <f>MAX(0,IF(Impostazioni!$B$7="No",'Calc base'!$C329-$C$31,'Calc base'!$C329-C329)+'Calc base'!$G329+'Calc base'!$F329-(B329-C329-D329))</f>
        <v>900</v>
      </c>
      <c r="F329">
        <f>SUM(AH329:AS329)</f>
        <v>0</v>
      </c>
      <c r="G329">
        <f>SUM(AT329:BE329)</f>
        <v>0</v>
      </c>
      <c r="H329">
        <f>B329-G328</f>
        <v>0</v>
      </c>
      <c r="I329">
        <f>B329-G329</f>
        <v>0</v>
      </c>
      <c r="J329">
        <f>IF(AT328&lt;=0,0,IF(ROUND(AT328*(1+'Calc base'!H329),2)-MAX('Calc base'!C$12,ROUND('Calc base'!C$13*AT328,2))&lt;1,ROUND(AT328*(1+'Calc base'!H329),2),MAX('Calc base'!C$12,ROUND('Calc base'!C$13*AT328,2))))</f>
        <v>0</v>
      </c>
      <c r="K329">
        <f>IF(AU328&lt;=0,0,IF(ROUND(AU328*(1+'Calc base'!I329),2)-MAX('Calc base'!D$12,ROUND('Calc base'!D$13*AU328,2))&lt;1,ROUND(AU328*(1+'Calc base'!I329),2),MAX('Calc base'!D$12,ROUND('Calc base'!D$13*AU328,2))))</f>
        <v>0</v>
      </c>
      <c r="L329">
        <f>IF(AV328&lt;=0,0,IF(ROUND(AV328*(1+'Calc base'!J329),2)-MAX('Calc base'!E$12,ROUND('Calc base'!E$13*AV328,2))&lt;1,ROUND(AV328*(1+'Calc base'!J329),2),MAX('Calc base'!E$12,ROUND('Calc base'!E$13*AV328,2))))</f>
        <v>0</v>
      </c>
      <c r="M329">
        <f>IF(AW328&lt;=0,0,IF(ROUND(AW328*(1+'Calc base'!K329),2)-MAX('Calc base'!F$12,ROUND('Calc base'!F$13*AW328,2))&lt;1,ROUND(AW328*(1+'Calc base'!K329),2),MAX('Calc base'!F$12,ROUND('Calc base'!F$13*AW328,2))))</f>
        <v>0</v>
      </c>
      <c r="N329">
        <f>IF(AX328&lt;=0,0,IF(ROUND(AX328*(1+'Calc base'!L329),2)-MAX('Calc base'!G$12,ROUND('Calc base'!G$13*AX328,2))&lt;1,ROUND(AX328*(1+'Calc base'!L329),2),MAX('Calc base'!G$12,ROUND('Calc base'!G$13*AX328,2))))</f>
        <v>0</v>
      </c>
      <c r="O329">
        <f>IF(AY328&lt;=0,0,IF(ROUND(AY328*(1+'Calc base'!M329),2)-MAX('Calc base'!H$12,ROUND('Calc base'!H$13*AY328,2))&lt;1,ROUND(AY328*(1+'Calc base'!M329),2),MAX('Calc base'!H$12,ROUND('Calc base'!H$13*AY328,2))))</f>
        <v>0</v>
      </c>
      <c r="P329">
        <f>IF(AZ328&lt;=0,0,IF(ROUND(AZ328*(1+'Calc base'!N329),2)-MAX('Calc base'!I$12,ROUND('Calc base'!I$13*AZ328,2))&lt;1,ROUND(AZ328*(1+'Calc base'!N329),2),MAX('Calc base'!I$12,ROUND('Calc base'!I$13*AZ328,2))))</f>
        <v>0</v>
      </c>
      <c r="Q329">
        <f>IF(BA328&lt;=0,0,IF(ROUND(BA328*(1+'Calc base'!O329),2)-MAX('Calc base'!J$12,ROUND('Calc base'!J$13*BA328,2))&lt;1,ROUND(BA328*(1+'Calc base'!O329),2),MAX('Calc base'!J$12,ROUND('Calc base'!J$13*BA328,2))))</f>
        <v>0</v>
      </c>
      <c r="R329">
        <f>IF(BB328&lt;=0,0,IF(ROUND(BB328*(1+'Calc base'!P329),2)-MAX('Calc base'!K$12,ROUND('Calc base'!K$13*BB328,2))&lt;1,ROUND(BB328*(1+'Calc base'!P329),2),MAX('Calc base'!K$12,ROUND('Calc base'!K$13*BB328,2))))</f>
        <v>0</v>
      </c>
      <c r="S329">
        <f>IF(BC328&lt;=0,0,IF(ROUND(BC328*(1+'Calc base'!Q329),2)-MAX('Calc base'!L$12,ROUND('Calc base'!L$13*BC328,2))&lt;1,ROUND(BC328*(1+'Calc base'!Q329),2),MAX('Calc base'!L$12,ROUND('Calc base'!L$13*BC328,2))))</f>
        <v>0</v>
      </c>
      <c r="T329">
        <f>IF(BD328&lt;=0,0,IF(ROUND(BD328*(1+'Calc base'!R329),2)-MAX('Calc base'!M$12,ROUND('Calc base'!M$13*BD328,2))&lt;1,ROUND(BD328*(1+'Calc base'!R329),2),MAX('Calc base'!M$12,ROUND('Calc base'!M$13*BD328,2))))</f>
        <v>0</v>
      </c>
      <c r="U329">
        <f>IF(BE328&lt;=0,0,IF(ROUND(BE328*(1+'Calc base'!S329),2)-MAX('Calc base'!N$12,ROUND('Calc base'!N$13*BE328,2))&lt;1,ROUND(BE328*(1+'Calc base'!S329),2),MAX('Calc base'!N$12,ROUND('Calc base'!N$13*BE328,2))))</f>
        <v>0</v>
      </c>
      <c r="V329">
        <f>MAX(0,ROUND(AT328*(1+'Calc base'!H329),2)-J329-'Calc base'!T329)</f>
        <v>0</v>
      </c>
      <c r="W329">
        <f>MAX(0,ROUND(AU328*(1+'Calc base'!I329),2)-K329-'Calc base'!U329)</f>
        <v>0</v>
      </c>
      <c r="X329">
        <f>MAX(0,ROUND(AV328*(1+'Calc base'!J329),2)-L329-'Calc base'!V329)</f>
        <v>0</v>
      </c>
      <c r="Y329">
        <f>MAX(0,ROUND(AW328*(1+'Calc base'!K329),2)-M329-'Calc base'!W329)</f>
        <v>0</v>
      </c>
      <c r="Z329">
        <f>MAX(0,ROUND(AX328*(1+'Calc base'!L329),2)-N329-'Calc base'!X329)</f>
        <v>0</v>
      </c>
      <c r="AA329">
        <f>MAX(0,ROUND(AY328*(1+'Calc base'!M329),2)-O329-'Calc base'!Y329)</f>
        <v>0</v>
      </c>
      <c r="AB329">
        <f>MAX(0,ROUND(AZ328*(1+'Calc base'!N329),2)-P329-'Calc base'!Z329)</f>
        <v>0</v>
      </c>
      <c r="AC329">
        <f>MAX(0,ROUND(BA328*(1+'Calc base'!O329),2)-Q329-'Calc base'!AA329)</f>
        <v>0</v>
      </c>
      <c r="AD329">
        <f>MAX(0,ROUND(BB328*(1+'Calc base'!P329),2)-R329-'Calc base'!AB329)</f>
        <v>0</v>
      </c>
      <c r="AE329">
        <f>MAX(0,ROUND(BC328*(1+'Calc base'!Q329),2)-S329-'Calc base'!AC329)</f>
        <v>0</v>
      </c>
      <c r="AF329">
        <f>MAX(0,ROUND(BD328*(1+'Calc base'!R329),2)-T329-'Calc base'!AD329)</f>
        <v>0</v>
      </c>
      <c r="AG329">
        <f>MAX(0,ROUND(BE328*(1+'Calc base'!S329),2)-U329-'Calc base'!AE329)</f>
        <v>0</v>
      </c>
      <c r="AH329">
        <f>IF('Calc base'!C$14=0,0,MIN(V329,MAX(0,$E329-SUMPRODUCT($V329:$AG329,'Calc base'!$C$14:$N$14,('Calc base'!$H329:$S329&gt;'Calc base'!H329)+('Calc base'!$H329:$S329='Calc base'!H329)*('Calc base'!$C$17:$N$17&lt;'Calc base'!C$17)))))</f>
        <v>0</v>
      </c>
      <c r="AI329">
        <f>IF('Calc base'!D$14=0,0,MIN(W329,MAX(0,$E329-SUMPRODUCT($V329:$AG329,'Calc base'!$C$14:$N$14,('Calc base'!$H329:$S329&gt;'Calc base'!I329)+('Calc base'!$H329:$S329='Calc base'!I329)*('Calc base'!$C$17:$N$17&lt;'Calc base'!D$17)))))</f>
        <v>0</v>
      </c>
      <c r="AJ329">
        <f>IF('Calc base'!E$14=0,0,MIN(X329,MAX(0,$E329-SUMPRODUCT($V329:$AG329,'Calc base'!$C$14:$N$14,('Calc base'!$H329:$S329&gt;'Calc base'!J329)+('Calc base'!$H329:$S329='Calc base'!J329)*('Calc base'!$C$17:$N$17&lt;'Calc base'!E$17)))))</f>
        <v>0</v>
      </c>
      <c r="AK329">
        <f>IF('Calc base'!F$14=0,0,MIN(Y329,MAX(0,$E329-SUMPRODUCT($V329:$AG329,'Calc base'!$C$14:$N$14,('Calc base'!$H329:$S329&gt;'Calc base'!K329)+('Calc base'!$H329:$S329='Calc base'!K329)*('Calc base'!$C$17:$N$17&lt;'Calc base'!F$17)))))</f>
        <v>0</v>
      </c>
      <c r="AL329">
        <f>IF('Calc base'!G$14=0,0,MIN(Z329,MAX(0,$E329-SUMPRODUCT($V329:$AG329,'Calc base'!$C$14:$N$14,('Calc base'!$H329:$S329&gt;'Calc base'!L329)+('Calc base'!$H329:$S329='Calc base'!L329)*('Calc base'!$C$17:$N$17&lt;'Calc base'!G$17)))))</f>
        <v>0</v>
      </c>
      <c r="AM329">
        <f>IF('Calc base'!H$14=0,0,MIN(AA329,MAX(0,$E329-SUMPRODUCT($V329:$AG329,'Calc base'!$C$14:$N$14,('Calc base'!$H329:$S329&gt;'Calc base'!M329)+('Calc base'!$H329:$S329='Calc base'!M329)*('Calc base'!$C$17:$N$17&lt;'Calc base'!H$17)))))</f>
        <v>0</v>
      </c>
      <c r="AN329">
        <f>IF('Calc base'!I$14=0,0,MIN(AB329,MAX(0,$E329-SUMPRODUCT($V329:$AG329,'Calc base'!$C$14:$N$14,('Calc base'!$H329:$S329&gt;'Calc base'!N329)+('Calc base'!$H329:$S329='Calc base'!N329)*('Calc base'!$C$17:$N$17&lt;'Calc base'!I$17)))))</f>
        <v>0</v>
      </c>
      <c r="AO329">
        <f>IF('Calc base'!J$14=0,0,MIN(AC329,MAX(0,$E329-SUMPRODUCT($V329:$AG329,'Calc base'!$C$14:$N$14,('Calc base'!$H329:$S329&gt;'Calc base'!O329)+('Calc base'!$H329:$S329='Calc base'!O329)*('Calc base'!$C$17:$N$17&lt;'Calc base'!J$17)))))</f>
        <v>0</v>
      </c>
      <c r="AP329">
        <f>IF('Calc base'!K$14=0,0,MIN(AD329,MAX(0,$E329-SUMPRODUCT($V329:$AG329,'Calc base'!$C$14:$N$14,('Calc base'!$H329:$S329&gt;'Calc base'!P329)+('Calc base'!$H329:$S329='Calc base'!P329)*('Calc base'!$C$17:$N$17&lt;'Calc base'!K$17)))))</f>
        <v>0</v>
      </c>
      <c r="AQ329">
        <f>IF('Calc base'!L$14=0,0,MIN(AE329,MAX(0,$E329-SUMPRODUCT($V329:$AG329,'Calc base'!$C$14:$N$14,('Calc base'!$H329:$S329&gt;'Calc base'!Q329)+('Calc base'!$H329:$S329='Calc base'!Q329)*('Calc base'!$C$17:$N$17&lt;'Calc base'!L$17)))))</f>
        <v>0</v>
      </c>
      <c r="AR329">
        <f>IF('Calc base'!M$14=0,0,MIN(AF329,MAX(0,$E329-SUMPRODUCT($V329:$AG329,'Calc base'!$C$14:$N$14,('Calc base'!$H329:$S329&gt;'Calc base'!R329)+('Calc base'!$H329:$S329='Calc base'!R329)*('Calc base'!$C$17:$N$17&lt;'Calc base'!M$17)))))</f>
        <v>0</v>
      </c>
      <c r="AS329">
        <f>IF('Calc base'!N$14=0,0,MIN(AG329,MAX(0,$E329-SUMPRODUCT($V329:$AG329,'Calc base'!$C$14:$N$14,('Calc base'!$H329:$S329&gt;'Calc base'!S329)+('Calc base'!$H329:$S329='Calc base'!S329)*('Calc base'!$C$17:$N$17&lt;'Calc base'!N$17)))))</f>
        <v>0</v>
      </c>
      <c r="AT329">
        <f>V329-AH329</f>
        <v>0</v>
      </c>
      <c r="AU329">
        <f>W329-AI329</f>
        <v>0</v>
      </c>
      <c r="AV329">
        <f>X329-AJ329</f>
        <v>0</v>
      </c>
      <c r="AW329">
        <f>Y329-AK329</f>
        <v>0</v>
      </c>
      <c r="AX329">
        <f>Z329-AL329</f>
        <v>0</v>
      </c>
      <c r="AY329">
        <f>AA329-AM329</f>
        <v>0</v>
      </c>
      <c r="AZ329">
        <f>AB329-AN329</f>
        <v>0</v>
      </c>
      <c r="BA329">
        <f>AC329-AO329</f>
        <v>0</v>
      </c>
      <c r="BB329">
        <f>AD329-AP329</f>
        <v>0</v>
      </c>
      <c r="BC329">
        <f>AE329-AQ329</f>
        <v>0</v>
      </c>
      <c r="BD329">
        <f>AF329-AR329</f>
        <v>0</v>
      </c>
      <c r="BE329">
        <f>AG329-AS329</f>
        <v>0</v>
      </c>
    </row>
    <row r="330">
      <c r="A330" t="n">
        <v>300</v>
      </c>
      <c r="B330">
        <f>SUMPRODUCT(ROUND($AT329:$BE329*(1+'Calc base'!$H330:$S330),2))</f>
        <v>0</v>
      </c>
      <c r="C330">
        <f>SUM(J330:U330)</f>
        <v>0</v>
      </c>
      <c r="D330">
        <f>SUM(V330:AG330)</f>
        <v>0</v>
      </c>
      <c r="E330">
        <f>MAX(0,IF(Impostazioni!$B$7="No",'Calc base'!$C330-$C$31,'Calc base'!$C330-C330)+'Calc base'!$G330+'Calc base'!$F330-(B330-C330-D330))</f>
        <v>900</v>
      </c>
      <c r="F330">
        <f>SUM(AH330:AS330)</f>
        <v>0</v>
      </c>
      <c r="G330">
        <f>SUM(AT330:BE330)</f>
        <v>0</v>
      </c>
      <c r="H330">
        <f>B330-G329</f>
        <v>0</v>
      </c>
      <c r="I330">
        <f>B330-G330</f>
        <v>0</v>
      </c>
      <c r="J330">
        <f>IF(AT329&lt;=0,0,IF(ROUND(AT329*(1+'Calc base'!H330),2)-MAX('Calc base'!C$12,ROUND('Calc base'!C$13*AT329,2))&lt;1,ROUND(AT329*(1+'Calc base'!H330),2),MAX('Calc base'!C$12,ROUND('Calc base'!C$13*AT329,2))))</f>
        <v>0</v>
      </c>
      <c r="K330">
        <f>IF(AU329&lt;=0,0,IF(ROUND(AU329*(1+'Calc base'!I330),2)-MAX('Calc base'!D$12,ROUND('Calc base'!D$13*AU329,2))&lt;1,ROUND(AU329*(1+'Calc base'!I330),2),MAX('Calc base'!D$12,ROUND('Calc base'!D$13*AU329,2))))</f>
        <v>0</v>
      </c>
      <c r="L330">
        <f>IF(AV329&lt;=0,0,IF(ROUND(AV329*(1+'Calc base'!J330),2)-MAX('Calc base'!E$12,ROUND('Calc base'!E$13*AV329,2))&lt;1,ROUND(AV329*(1+'Calc base'!J330),2),MAX('Calc base'!E$12,ROUND('Calc base'!E$13*AV329,2))))</f>
        <v>0</v>
      </c>
      <c r="M330">
        <f>IF(AW329&lt;=0,0,IF(ROUND(AW329*(1+'Calc base'!K330),2)-MAX('Calc base'!F$12,ROUND('Calc base'!F$13*AW329,2))&lt;1,ROUND(AW329*(1+'Calc base'!K330),2),MAX('Calc base'!F$12,ROUND('Calc base'!F$13*AW329,2))))</f>
        <v>0</v>
      </c>
      <c r="N330">
        <f>IF(AX329&lt;=0,0,IF(ROUND(AX329*(1+'Calc base'!L330),2)-MAX('Calc base'!G$12,ROUND('Calc base'!G$13*AX329,2))&lt;1,ROUND(AX329*(1+'Calc base'!L330),2),MAX('Calc base'!G$12,ROUND('Calc base'!G$13*AX329,2))))</f>
        <v>0</v>
      </c>
      <c r="O330">
        <f>IF(AY329&lt;=0,0,IF(ROUND(AY329*(1+'Calc base'!M330),2)-MAX('Calc base'!H$12,ROUND('Calc base'!H$13*AY329,2))&lt;1,ROUND(AY329*(1+'Calc base'!M330),2),MAX('Calc base'!H$12,ROUND('Calc base'!H$13*AY329,2))))</f>
        <v>0</v>
      </c>
      <c r="P330">
        <f>IF(AZ329&lt;=0,0,IF(ROUND(AZ329*(1+'Calc base'!N330),2)-MAX('Calc base'!I$12,ROUND('Calc base'!I$13*AZ329,2))&lt;1,ROUND(AZ329*(1+'Calc base'!N330),2),MAX('Calc base'!I$12,ROUND('Calc base'!I$13*AZ329,2))))</f>
        <v>0</v>
      </c>
      <c r="Q330">
        <f>IF(BA329&lt;=0,0,IF(ROUND(BA329*(1+'Calc base'!O330),2)-MAX('Calc base'!J$12,ROUND('Calc base'!J$13*BA329,2))&lt;1,ROUND(BA329*(1+'Calc base'!O330),2),MAX('Calc base'!J$12,ROUND('Calc base'!J$13*BA329,2))))</f>
        <v>0</v>
      </c>
      <c r="R330">
        <f>IF(BB329&lt;=0,0,IF(ROUND(BB329*(1+'Calc base'!P330),2)-MAX('Calc base'!K$12,ROUND('Calc base'!K$13*BB329,2))&lt;1,ROUND(BB329*(1+'Calc base'!P330),2),MAX('Calc base'!K$12,ROUND('Calc base'!K$13*BB329,2))))</f>
        <v>0</v>
      </c>
      <c r="S330">
        <f>IF(BC329&lt;=0,0,IF(ROUND(BC329*(1+'Calc base'!Q330),2)-MAX('Calc base'!L$12,ROUND('Calc base'!L$13*BC329,2))&lt;1,ROUND(BC329*(1+'Calc base'!Q330),2),MAX('Calc base'!L$12,ROUND('Calc base'!L$13*BC329,2))))</f>
        <v>0</v>
      </c>
      <c r="T330">
        <f>IF(BD329&lt;=0,0,IF(ROUND(BD329*(1+'Calc base'!R330),2)-MAX('Calc base'!M$12,ROUND('Calc base'!M$13*BD329,2))&lt;1,ROUND(BD329*(1+'Calc base'!R330),2),MAX('Calc base'!M$12,ROUND('Calc base'!M$13*BD329,2))))</f>
        <v>0</v>
      </c>
      <c r="U330">
        <f>IF(BE329&lt;=0,0,IF(ROUND(BE329*(1+'Calc base'!S330),2)-MAX('Calc base'!N$12,ROUND('Calc base'!N$13*BE329,2))&lt;1,ROUND(BE329*(1+'Calc base'!S330),2),MAX('Calc base'!N$12,ROUND('Calc base'!N$13*BE329,2))))</f>
        <v>0</v>
      </c>
      <c r="V330">
        <f>MAX(0,ROUND(AT329*(1+'Calc base'!H330),2)-J330-'Calc base'!T330)</f>
        <v>0</v>
      </c>
      <c r="W330">
        <f>MAX(0,ROUND(AU329*(1+'Calc base'!I330),2)-K330-'Calc base'!U330)</f>
        <v>0</v>
      </c>
      <c r="X330">
        <f>MAX(0,ROUND(AV329*(1+'Calc base'!J330),2)-L330-'Calc base'!V330)</f>
        <v>0</v>
      </c>
      <c r="Y330">
        <f>MAX(0,ROUND(AW329*(1+'Calc base'!K330),2)-M330-'Calc base'!W330)</f>
        <v>0</v>
      </c>
      <c r="Z330">
        <f>MAX(0,ROUND(AX329*(1+'Calc base'!L330),2)-N330-'Calc base'!X330)</f>
        <v>0</v>
      </c>
      <c r="AA330">
        <f>MAX(0,ROUND(AY329*(1+'Calc base'!M330),2)-O330-'Calc base'!Y330)</f>
        <v>0</v>
      </c>
      <c r="AB330">
        <f>MAX(0,ROUND(AZ329*(1+'Calc base'!N330),2)-P330-'Calc base'!Z330)</f>
        <v>0</v>
      </c>
      <c r="AC330">
        <f>MAX(0,ROUND(BA329*(1+'Calc base'!O330),2)-Q330-'Calc base'!AA330)</f>
        <v>0</v>
      </c>
      <c r="AD330">
        <f>MAX(0,ROUND(BB329*(1+'Calc base'!P330),2)-R330-'Calc base'!AB330)</f>
        <v>0</v>
      </c>
      <c r="AE330">
        <f>MAX(0,ROUND(BC329*(1+'Calc base'!Q330),2)-S330-'Calc base'!AC330)</f>
        <v>0</v>
      </c>
      <c r="AF330">
        <f>MAX(0,ROUND(BD329*(1+'Calc base'!R330),2)-T330-'Calc base'!AD330)</f>
        <v>0</v>
      </c>
      <c r="AG330">
        <f>MAX(0,ROUND(BE329*(1+'Calc base'!S330),2)-U330-'Calc base'!AE330)</f>
        <v>0</v>
      </c>
      <c r="AH330">
        <f>IF('Calc base'!C$14=0,0,MIN(V330,MAX(0,$E330-SUMPRODUCT($V330:$AG330,'Calc base'!$C$14:$N$14,('Calc base'!$H330:$S330&gt;'Calc base'!H330)+('Calc base'!$H330:$S330='Calc base'!H330)*('Calc base'!$C$17:$N$17&lt;'Calc base'!C$17)))))</f>
        <v>0</v>
      </c>
      <c r="AI330">
        <f>IF('Calc base'!D$14=0,0,MIN(W330,MAX(0,$E330-SUMPRODUCT($V330:$AG330,'Calc base'!$C$14:$N$14,('Calc base'!$H330:$S330&gt;'Calc base'!I330)+('Calc base'!$H330:$S330='Calc base'!I330)*('Calc base'!$C$17:$N$17&lt;'Calc base'!D$17)))))</f>
        <v>0</v>
      </c>
      <c r="AJ330">
        <f>IF('Calc base'!E$14=0,0,MIN(X330,MAX(0,$E330-SUMPRODUCT($V330:$AG330,'Calc base'!$C$14:$N$14,('Calc base'!$H330:$S330&gt;'Calc base'!J330)+('Calc base'!$H330:$S330='Calc base'!J330)*('Calc base'!$C$17:$N$17&lt;'Calc base'!E$17)))))</f>
        <v>0</v>
      </c>
      <c r="AK330">
        <f>IF('Calc base'!F$14=0,0,MIN(Y330,MAX(0,$E330-SUMPRODUCT($V330:$AG330,'Calc base'!$C$14:$N$14,('Calc base'!$H330:$S330&gt;'Calc base'!K330)+('Calc base'!$H330:$S330='Calc base'!K330)*('Calc base'!$C$17:$N$17&lt;'Calc base'!F$17)))))</f>
        <v>0</v>
      </c>
      <c r="AL330">
        <f>IF('Calc base'!G$14=0,0,MIN(Z330,MAX(0,$E330-SUMPRODUCT($V330:$AG330,'Calc base'!$C$14:$N$14,('Calc base'!$H330:$S330&gt;'Calc base'!L330)+('Calc base'!$H330:$S330='Calc base'!L330)*('Calc base'!$C$17:$N$17&lt;'Calc base'!G$17)))))</f>
        <v>0</v>
      </c>
      <c r="AM330">
        <f>IF('Calc base'!H$14=0,0,MIN(AA330,MAX(0,$E330-SUMPRODUCT($V330:$AG330,'Calc base'!$C$14:$N$14,('Calc base'!$H330:$S330&gt;'Calc base'!M330)+('Calc base'!$H330:$S330='Calc base'!M330)*('Calc base'!$C$17:$N$17&lt;'Calc base'!H$17)))))</f>
        <v>0</v>
      </c>
      <c r="AN330">
        <f>IF('Calc base'!I$14=0,0,MIN(AB330,MAX(0,$E330-SUMPRODUCT($V330:$AG330,'Calc base'!$C$14:$N$14,('Calc base'!$H330:$S330&gt;'Calc base'!N330)+('Calc base'!$H330:$S330='Calc base'!N330)*('Calc base'!$C$17:$N$17&lt;'Calc base'!I$17)))))</f>
        <v>0</v>
      </c>
      <c r="AO330">
        <f>IF('Calc base'!J$14=0,0,MIN(AC330,MAX(0,$E330-SUMPRODUCT($V330:$AG330,'Calc base'!$C$14:$N$14,('Calc base'!$H330:$S330&gt;'Calc base'!O330)+('Calc base'!$H330:$S330='Calc base'!O330)*('Calc base'!$C$17:$N$17&lt;'Calc base'!J$17)))))</f>
        <v>0</v>
      </c>
      <c r="AP330">
        <f>IF('Calc base'!K$14=0,0,MIN(AD330,MAX(0,$E330-SUMPRODUCT($V330:$AG330,'Calc base'!$C$14:$N$14,('Calc base'!$H330:$S330&gt;'Calc base'!P330)+('Calc base'!$H330:$S330='Calc base'!P330)*('Calc base'!$C$17:$N$17&lt;'Calc base'!K$17)))))</f>
        <v>0</v>
      </c>
      <c r="AQ330">
        <f>IF('Calc base'!L$14=0,0,MIN(AE330,MAX(0,$E330-SUMPRODUCT($V330:$AG330,'Calc base'!$C$14:$N$14,('Calc base'!$H330:$S330&gt;'Calc base'!Q330)+('Calc base'!$H330:$S330='Calc base'!Q330)*('Calc base'!$C$17:$N$17&lt;'Calc base'!L$17)))))</f>
        <v>0</v>
      </c>
      <c r="AR330">
        <f>IF('Calc base'!M$14=0,0,MIN(AF330,MAX(0,$E330-SUMPRODUCT($V330:$AG330,'Calc base'!$C$14:$N$14,('Calc base'!$H330:$S330&gt;'Calc base'!R330)+('Calc base'!$H330:$S330='Calc base'!R330)*('Calc base'!$C$17:$N$17&lt;'Calc base'!M$17)))))</f>
        <v>0</v>
      </c>
      <c r="AS330">
        <f>IF('Calc base'!N$14=0,0,MIN(AG330,MAX(0,$E330-SUMPRODUCT($V330:$AG330,'Calc base'!$C$14:$N$14,('Calc base'!$H330:$S330&gt;'Calc base'!S330)+('Calc base'!$H330:$S330='Calc base'!S330)*('Calc base'!$C$17:$N$17&lt;'Calc base'!N$17)))))</f>
        <v>0</v>
      </c>
      <c r="AT330">
        <f>V330-AH330</f>
        <v>0</v>
      </c>
      <c r="AU330">
        <f>W330-AI330</f>
        <v>0</v>
      </c>
      <c r="AV330">
        <f>X330-AJ330</f>
        <v>0</v>
      </c>
      <c r="AW330">
        <f>Y330-AK330</f>
        <v>0</v>
      </c>
      <c r="AX330">
        <f>Z330-AL330</f>
        <v>0</v>
      </c>
      <c r="AY330">
        <f>AA330-AM330</f>
        <v>0</v>
      </c>
      <c r="AZ330">
        <f>AB330-AN330</f>
        <v>0</v>
      </c>
      <c r="BA330">
        <f>AC330-AO330</f>
        <v>0</v>
      </c>
      <c r="BB330">
        <f>AD330-AP330</f>
        <v>0</v>
      </c>
      <c r="BC330">
        <f>AE330-AQ330</f>
        <v>0</v>
      </c>
      <c r="BD330">
        <f>AF330-AR330</f>
        <v>0</v>
      </c>
      <c r="BE330">
        <f>AG330-AS330</f>
        <v>0</v>
      </c>
    </row>
    <row r="331">
      <c r="A331" t="n">
        <v>301</v>
      </c>
      <c r="B331">
        <f>SUMPRODUCT(ROUND($AT330:$BE330*(1+'Calc base'!$H331:$S331),2))</f>
        <v>0</v>
      </c>
      <c r="C331">
        <f>SUM(J331:U331)</f>
        <v>0</v>
      </c>
      <c r="D331">
        <f>SUM(V331:AG331)</f>
        <v>0</v>
      </c>
      <c r="E331">
        <f>MAX(0,IF(Impostazioni!$B$7="No",'Calc base'!$C331-$C$31,'Calc base'!$C331-C331)+'Calc base'!$G331+'Calc base'!$F331-(B331-C331-D331))</f>
        <v>900</v>
      </c>
      <c r="F331">
        <f>SUM(AH331:AS331)</f>
        <v>0</v>
      </c>
      <c r="G331">
        <f>SUM(AT331:BE331)</f>
        <v>0</v>
      </c>
      <c r="H331">
        <f>B331-G330</f>
        <v>0</v>
      </c>
      <c r="I331">
        <f>B331-G331</f>
        <v>0</v>
      </c>
      <c r="J331">
        <f>IF(AT330&lt;=0,0,IF(ROUND(AT330*(1+'Calc base'!H331),2)-MAX('Calc base'!C$12,ROUND('Calc base'!C$13*AT330,2))&lt;1,ROUND(AT330*(1+'Calc base'!H331),2),MAX('Calc base'!C$12,ROUND('Calc base'!C$13*AT330,2))))</f>
        <v>0</v>
      </c>
      <c r="K331">
        <f>IF(AU330&lt;=0,0,IF(ROUND(AU330*(1+'Calc base'!I331),2)-MAX('Calc base'!D$12,ROUND('Calc base'!D$13*AU330,2))&lt;1,ROUND(AU330*(1+'Calc base'!I331),2),MAX('Calc base'!D$12,ROUND('Calc base'!D$13*AU330,2))))</f>
        <v>0</v>
      </c>
      <c r="L331">
        <f>IF(AV330&lt;=0,0,IF(ROUND(AV330*(1+'Calc base'!J331),2)-MAX('Calc base'!E$12,ROUND('Calc base'!E$13*AV330,2))&lt;1,ROUND(AV330*(1+'Calc base'!J331),2),MAX('Calc base'!E$12,ROUND('Calc base'!E$13*AV330,2))))</f>
        <v>0</v>
      </c>
      <c r="M331">
        <f>IF(AW330&lt;=0,0,IF(ROUND(AW330*(1+'Calc base'!K331),2)-MAX('Calc base'!F$12,ROUND('Calc base'!F$13*AW330,2))&lt;1,ROUND(AW330*(1+'Calc base'!K331),2),MAX('Calc base'!F$12,ROUND('Calc base'!F$13*AW330,2))))</f>
        <v>0</v>
      </c>
      <c r="N331">
        <f>IF(AX330&lt;=0,0,IF(ROUND(AX330*(1+'Calc base'!L331),2)-MAX('Calc base'!G$12,ROUND('Calc base'!G$13*AX330,2))&lt;1,ROUND(AX330*(1+'Calc base'!L331),2),MAX('Calc base'!G$12,ROUND('Calc base'!G$13*AX330,2))))</f>
        <v>0</v>
      </c>
      <c r="O331">
        <f>IF(AY330&lt;=0,0,IF(ROUND(AY330*(1+'Calc base'!M331),2)-MAX('Calc base'!H$12,ROUND('Calc base'!H$13*AY330,2))&lt;1,ROUND(AY330*(1+'Calc base'!M331),2),MAX('Calc base'!H$12,ROUND('Calc base'!H$13*AY330,2))))</f>
        <v>0</v>
      </c>
      <c r="P331">
        <f>IF(AZ330&lt;=0,0,IF(ROUND(AZ330*(1+'Calc base'!N331),2)-MAX('Calc base'!I$12,ROUND('Calc base'!I$13*AZ330,2))&lt;1,ROUND(AZ330*(1+'Calc base'!N331),2),MAX('Calc base'!I$12,ROUND('Calc base'!I$13*AZ330,2))))</f>
        <v>0</v>
      </c>
      <c r="Q331">
        <f>IF(BA330&lt;=0,0,IF(ROUND(BA330*(1+'Calc base'!O331),2)-MAX('Calc base'!J$12,ROUND('Calc base'!J$13*BA330,2))&lt;1,ROUND(BA330*(1+'Calc base'!O331),2),MAX('Calc base'!J$12,ROUND('Calc base'!J$13*BA330,2))))</f>
        <v>0</v>
      </c>
      <c r="R331">
        <f>IF(BB330&lt;=0,0,IF(ROUND(BB330*(1+'Calc base'!P331),2)-MAX('Calc base'!K$12,ROUND('Calc base'!K$13*BB330,2))&lt;1,ROUND(BB330*(1+'Calc base'!P331),2),MAX('Calc base'!K$12,ROUND('Calc base'!K$13*BB330,2))))</f>
        <v>0</v>
      </c>
      <c r="S331">
        <f>IF(BC330&lt;=0,0,IF(ROUND(BC330*(1+'Calc base'!Q331),2)-MAX('Calc base'!L$12,ROUND('Calc base'!L$13*BC330,2))&lt;1,ROUND(BC330*(1+'Calc base'!Q331),2),MAX('Calc base'!L$12,ROUND('Calc base'!L$13*BC330,2))))</f>
        <v>0</v>
      </c>
      <c r="T331">
        <f>IF(BD330&lt;=0,0,IF(ROUND(BD330*(1+'Calc base'!R331),2)-MAX('Calc base'!M$12,ROUND('Calc base'!M$13*BD330,2))&lt;1,ROUND(BD330*(1+'Calc base'!R331),2),MAX('Calc base'!M$12,ROUND('Calc base'!M$13*BD330,2))))</f>
        <v>0</v>
      </c>
      <c r="U331">
        <f>IF(BE330&lt;=0,0,IF(ROUND(BE330*(1+'Calc base'!S331),2)-MAX('Calc base'!N$12,ROUND('Calc base'!N$13*BE330,2))&lt;1,ROUND(BE330*(1+'Calc base'!S331),2),MAX('Calc base'!N$12,ROUND('Calc base'!N$13*BE330,2))))</f>
        <v>0</v>
      </c>
      <c r="V331">
        <f>MAX(0,ROUND(AT330*(1+'Calc base'!H331),2)-J331-'Calc base'!T331)</f>
        <v>0</v>
      </c>
      <c r="W331">
        <f>MAX(0,ROUND(AU330*(1+'Calc base'!I331),2)-K331-'Calc base'!U331)</f>
        <v>0</v>
      </c>
      <c r="X331">
        <f>MAX(0,ROUND(AV330*(1+'Calc base'!J331),2)-L331-'Calc base'!V331)</f>
        <v>0</v>
      </c>
      <c r="Y331">
        <f>MAX(0,ROUND(AW330*(1+'Calc base'!K331),2)-M331-'Calc base'!W331)</f>
        <v>0</v>
      </c>
      <c r="Z331">
        <f>MAX(0,ROUND(AX330*(1+'Calc base'!L331),2)-N331-'Calc base'!X331)</f>
        <v>0</v>
      </c>
      <c r="AA331">
        <f>MAX(0,ROUND(AY330*(1+'Calc base'!M331),2)-O331-'Calc base'!Y331)</f>
        <v>0</v>
      </c>
      <c r="AB331">
        <f>MAX(0,ROUND(AZ330*(1+'Calc base'!N331),2)-P331-'Calc base'!Z331)</f>
        <v>0</v>
      </c>
      <c r="AC331">
        <f>MAX(0,ROUND(BA330*(1+'Calc base'!O331),2)-Q331-'Calc base'!AA331)</f>
        <v>0</v>
      </c>
      <c r="AD331">
        <f>MAX(0,ROUND(BB330*(1+'Calc base'!P331),2)-R331-'Calc base'!AB331)</f>
        <v>0</v>
      </c>
      <c r="AE331">
        <f>MAX(0,ROUND(BC330*(1+'Calc base'!Q331),2)-S331-'Calc base'!AC331)</f>
        <v>0</v>
      </c>
      <c r="AF331">
        <f>MAX(0,ROUND(BD330*(1+'Calc base'!R331),2)-T331-'Calc base'!AD331)</f>
        <v>0</v>
      </c>
      <c r="AG331">
        <f>MAX(0,ROUND(BE330*(1+'Calc base'!S331),2)-U331-'Calc base'!AE331)</f>
        <v>0</v>
      </c>
      <c r="AH331">
        <f>IF('Calc base'!C$14=0,0,MIN(V331,MAX(0,$E331-SUMPRODUCT($V331:$AG331,'Calc base'!$C$14:$N$14,('Calc base'!$H331:$S331&gt;'Calc base'!H331)+('Calc base'!$H331:$S331='Calc base'!H331)*('Calc base'!$C$17:$N$17&lt;'Calc base'!C$17)))))</f>
        <v>0</v>
      </c>
      <c r="AI331">
        <f>IF('Calc base'!D$14=0,0,MIN(W331,MAX(0,$E331-SUMPRODUCT($V331:$AG331,'Calc base'!$C$14:$N$14,('Calc base'!$H331:$S331&gt;'Calc base'!I331)+('Calc base'!$H331:$S331='Calc base'!I331)*('Calc base'!$C$17:$N$17&lt;'Calc base'!D$17)))))</f>
        <v>0</v>
      </c>
      <c r="AJ331">
        <f>IF('Calc base'!E$14=0,0,MIN(X331,MAX(0,$E331-SUMPRODUCT($V331:$AG331,'Calc base'!$C$14:$N$14,('Calc base'!$H331:$S331&gt;'Calc base'!J331)+('Calc base'!$H331:$S331='Calc base'!J331)*('Calc base'!$C$17:$N$17&lt;'Calc base'!E$17)))))</f>
        <v>0</v>
      </c>
      <c r="AK331">
        <f>IF('Calc base'!F$14=0,0,MIN(Y331,MAX(0,$E331-SUMPRODUCT($V331:$AG331,'Calc base'!$C$14:$N$14,('Calc base'!$H331:$S331&gt;'Calc base'!K331)+('Calc base'!$H331:$S331='Calc base'!K331)*('Calc base'!$C$17:$N$17&lt;'Calc base'!F$17)))))</f>
        <v>0</v>
      </c>
      <c r="AL331">
        <f>IF('Calc base'!G$14=0,0,MIN(Z331,MAX(0,$E331-SUMPRODUCT($V331:$AG331,'Calc base'!$C$14:$N$14,('Calc base'!$H331:$S331&gt;'Calc base'!L331)+('Calc base'!$H331:$S331='Calc base'!L331)*('Calc base'!$C$17:$N$17&lt;'Calc base'!G$17)))))</f>
        <v>0</v>
      </c>
      <c r="AM331">
        <f>IF('Calc base'!H$14=0,0,MIN(AA331,MAX(0,$E331-SUMPRODUCT($V331:$AG331,'Calc base'!$C$14:$N$14,('Calc base'!$H331:$S331&gt;'Calc base'!M331)+('Calc base'!$H331:$S331='Calc base'!M331)*('Calc base'!$C$17:$N$17&lt;'Calc base'!H$17)))))</f>
        <v>0</v>
      </c>
      <c r="AN331">
        <f>IF('Calc base'!I$14=0,0,MIN(AB331,MAX(0,$E331-SUMPRODUCT($V331:$AG331,'Calc base'!$C$14:$N$14,('Calc base'!$H331:$S331&gt;'Calc base'!N331)+('Calc base'!$H331:$S331='Calc base'!N331)*('Calc base'!$C$17:$N$17&lt;'Calc base'!I$17)))))</f>
        <v>0</v>
      </c>
      <c r="AO331">
        <f>IF('Calc base'!J$14=0,0,MIN(AC331,MAX(0,$E331-SUMPRODUCT($V331:$AG331,'Calc base'!$C$14:$N$14,('Calc base'!$H331:$S331&gt;'Calc base'!O331)+('Calc base'!$H331:$S331='Calc base'!O331)*('Calc base'!$C$17:$N$17&lt;'Calc base'!J$17)))))</f>
        <v>0</v>
      </c>
      <c r="AP331">
        <f>IF('Calc base'!K$14=0,0,MIN(AD331,MAX(0,$E331-SUMPRODUCT($V331:$AG331,'Calc base'!$C$14:$N$14,('Calc base'!$H331:$S331&gt;'Calc base'!P331)+('Calc base'!$H331:$S331='Calc base'!P331)*('Calc base'!$C$17:$N$17&lt;'Calc base'!K$17)))))</f>
        <v>0</v>
      </c>
      <c r="AQ331">
        <f>IF('Calc base'!L$14=0,0,MIN(AE331,MAX(0,$E331-SUMPRODUCT($V331:$AG331,'Calc base'!$C$14:$N$14,('Calc base'!$H331:$S331&gt;'Calc base'!Q331)+('Calc base'!$H331:$S331='Calc base'!Q331)*('Calc base'!$C$17:$N$17&lt;'Calc base'!L$17)))))</f>
        <v>0</v>
      </c>
      <c r="AR331">
        <f>IF('Calc base'!M$14=0,0,MIN(AF331,MAX(0,$E331-SUMPRODUCT($V331:$AG331,'Calc base'!$C$14:$N$14,('Calc base'!$H331:$S331&gt;'Calc base'!R331)+('Calc base'!$H331:$S331='Calc base'!R331)*('Calc base'!$C$17:$N$17&lt;'Calc base'!M$17)))))</f>
        <v>0</v>
      </c>
      <c r="AS331">
        <f>IF('Calc base'!N$14=0,0,MIN(AG331,MAX(0,$E331-SUMPRODUCT($V331:$AG331,'Calc base'!$C$14:$N$14,('Calc base'!$H331:$S331&gt;'Calc base'!S331)+('Calc base'!$H331:$S331='Calc base'!S331)*('Calc base'!$C$17:$N$17&lt;'Calc base'!N$17)))))</f>
        <v>0</v>
      </c>
      <c r="AT331">
        <f>V331-AH331</f>
        <v>0</v>
      </c>
      <c r="AU331">
        <f>W331-AI331</f>
        <v>0</v>
      </c>
      <c r="AV331">
        <f>X331-AJ331</f>
        <v>0</v>
      </c>
      <c r="AW331">
        <f>Y331-AK331</f>
        <v>0</v>
      </c>
      <c r="AX331">
        <f>Z331-AL331</f>
        <v>0</v>
      </c>
      <c r="AY331">
        <f>AA331-AM331</f>
        <v>0</v>
      </c>
      <c r="AZ331">
        <f>AB331-AN331</f>
        <v>0</v>
      </c>
      <c r="BA331">
        <f>AC331-AO331</f>
        <v>0</v>
      </c>
      <c r="BB331">
        <f>AD331-AP331</f>
        <v>0</v>
      </c>
      <c r="BC331">
        <f>AE331-AQ331</f>
        <v>0</v>
      </c>
      <c r="BD331">
        <f>AF331-AR331</f>
        <v>0</v>
      </c>
      <c r="BE331">
        <f>AG331-AS331</f>
        <v>0</v>
      </c>
    </row>
    <row r="332">
      <c r="A332" t="n">
        <v>302</v>
      </c>
      <c r="B332">
        <f>SUMPRODUCT(ROUND($AT331:$BE331*(1+'Calc base'!$H332:$S332),2))</f>
        <v>0</v>
      </c>
      <c r="C332">
        <f>SUM(J332:U332)</f>
        <v>0</v>
      </c>
      <c r="D332">
        <f>SUM(V332:AG332)</f>
        <v>0</v>
      </c>
      <c r="E332">
        <f>MAX(0,IF(Impostazioni!$B$7="No",'Calc base'!$C332-$C$31,'Calc base'!$C332-C332)+'Calc base'!$G332+'Calc base'!$F332-(B332-C332-D332))</f>
        <v>900</v>
      </c>
      <c r="F332">
        <f>SUM(AH332:AS332)</f>
        <v>0</v>
      </c>
      <c r="G332">
        <f>SUM(AT332:BE332)</f>
        <v>0</v>
      </c>
      <c r="H332">
        <f>B332-G331</f>
        <v>0</v>
      </c>
      <c r="I332">
        <f>B332-G332</f>
        <v>0</v>
      </c>
      <c r="J332">
        <f>IF(AT331&lt;=0,0,IF(ROUND(AT331*(1+'Calc base'!H332),2)-MAX('Calc base'!C$12,ROUND('Calc base'!C$13*AT331,2))&lt;1,ROUND(AT331*(1+'Calc base'!H332),2),MAX('Calc base'!C$12,ROUND('Calc base'!C$13*AT331,2))))</f>
        <v>0</v>
      </c>
      <c r="K332">
        <f>IF(AU331&lt;=0,0,IF(ROUND(AU331*(1+'Calc base'!I332),2)-MAX('Calc base'!D$12,ROUND('Calc base'!D$13*AU331,2))&lt;1,ROUND(AU331*(1+'Calc base'!I332),2),MAX('Calc base'!D$12,ROUND('Calc base'!D$13*AU331,2))))</f>
        <v>0</v>
      </c>
      <c r="L332">
        <f>IF(AV331&lt;=0,0,IF(ROUND(AV331*(1+'Calc base'!J332),2)-MAX('Calc base'!E$12,ROUND('Calc base'!E$13*AV331,2))&lt;1,ROUND(AV331*(1+'Calc base'!J332),2),MAX('Calc base'!E$12,ROUND('Calc base'!E$13*AV331,2))))</f>
        <v>0</v>
      </c>
      <c r="M332">
        <f>IF(AW331&lt;=0,0,IF(ROUND(AW331*(1+'Calc base'!K332),2)-MAX('Calc base'!F$12,ROUND('Calc base'!F$13*AW331,2))&lt;1,ROUND(AW331*(1+'Calc base'!K332),2),MAX('Calc base'!F$12,ROUND('Calc base'!F$13*AW331,2))))</f>
        <v>0</v>
      </c>
      <c r="N332">
        <f>IF(AX331&lt;=0,0,IF(ROUND(AX331*(1+'Calc base'!L332),2)-MAX('Calc base'!G$12,ROUND('Calc base'!G$13*AX331,2))&lt;1,ROUND(AX331*(1+'Calc base'!L332),2),MAX('Calc base'!G$12,ROUND('Calc base'!G$13*AX331,2))))</f>
        <v>0</v>
      </c>
      <c r="O332">
        <f>IF(AY331&lt;=0,0,IF(ROUND(AY331*(1+'Calc base'!M332),2)-MAX('Calc base'!H$12,ROUND('Calc base'!H$13*AY331,2))&lt;1,ROUND(AY331*(1+'Calc base'!M332),2),MAX('Calc base'!H$12,ROUND('Calc base'!H$13*AY331,2))))</f>
        <v>0</v>
      </c>
      <c r="P332">
        <f>IF(AZ331&lt;=0,0,IF(ROUND(AZ331*(1+'Calc base'!N332),2)-MAX('Calc base'!I$12,ROUND('Calc base'!I$13*AZ331,2))&lt;1,ROUND(AZ331*(1+'Calc base'!N332),2),MAX('Calc base'!I$12,ROUND('Calc base'!I$13*AZ331,2))))</f>
        <v>0</v>
      </c>
      <c r="Q332">
        <f>IF(BA331&lt;=0,0,IF(ROUND(BA331*(1+'Calc base'!O332),2)-MAX('Calc base'!J$12,ROUND('Calc base'!J$13*BA331,2))&lt;1,ROUND(BA331*(1+'Calc base'!O332),2),MAX('Calc base'!J$12,ROUND('Calc base'!J$13*BA331,2))))</f>
        <v>0</v>
      </c>
      <c r="R332">
        <f>IF(BB331&lt;=0,0,IF(ROUND(BB331*(1+'Calc base'!P332),2)-MAX('Calc base'!K$12,ROUND('Calc base'!K$13*BB331,2))&lt;1,ROUND(BB331*(1+'Calc base'!P332),2),MAX('Calc base'!K$12,ROUND('Calc base'!K$13*BB331,2))))</f>
        <v>0</v>
      </c>
      <c r="S332">
        <f>IF(BC331&lt;=0,0,IF(ROUND(BC331*(1+'Calc base'!Q332),2)-MAX('Calc base'!L$12,ROUND('Calc base'!L$13*BC331,2))&lt;1,ROUND(BC331*(1+'Calc base'!Q332),2),MAX('Calc base'!L$12,ROUND('Calc base'!L$13*BC331,2))))</f>
        <v>0</v>
      </c>
      <c r="T332">
        <f>IF(BD331&lt;=0,0,IF(ROUND(BD331*(1+'Calc base'!R332),2)-MAX('Calc base'!M$12,ROUND('Calc base'!M$13*BD331,2))&lt;1,ROUND(BD331*(1+'Calc base'!R332),2),MAX('Calc base'!M$12,ROUND('Calc base'!M$13*BD331,2))))</f>
        <v>0</v>
      </c>
      <c r="U332">
        <f>IF(BE331&lt;=0,0,IF(ROUND(BE331*(1+'Calc base'!S332),2)-MAX('Calc base'!N$12,ROUND('Calc base'!N$13*BE331,2))&lt;1,ROUND(BE331*(1+'Calc base'!S332),2),MAX('Calc base'!N$12,ROUND('Calc base'!N$13*BE331,2))))</f>
        <v>0</v>
      </c>
      <c r="V332">
        <f>MAX(0,ROUND(AT331*(1+'Calc base'!H332),2)-J332-'Calc base'!T332)</f>
        <v>0</v>
      </c>
      <c r="W332">
        <f>MAX(0,ROUND(AU331*(1+'Calc base'!I332),2)-K332-'Calc base'!U332)</f>
        <v>0</v>
      </c>
      <c r="X332">
        <f>MAX(0,ROUND(AV331*(1+'Calc base'!J332),2)-L332-'Calc base'!V332)</f>
        <v>0</v>
      </c>
      <c r="Y332">
        <f>MAX(0,ROUND(AW331*(1+'Calc base'!K332),2)-M332-'Calc base'!W332)</f>
        <v>0</v>
      </c>
      <c r="Z332">
        <f>MAX(0,ROUND(AX331*(1+'Calc base'!L332),2)-N332-'Calc base'!X332)</f>
        <v>0</v>
      </c>
      <c r="AA332">
        <f>MAX(0,ROUND(AY331*(1+'Calc base'!M332),2)-O332-'Calc base'!Y332)</f>
        <v>0</v>
      </c>
      <c r="AB332">
        <f>MAX(0,ROUND(AZ331*(1+'Calc base'!N332),2)-P332-'Calc base'!Z332)</f>
        <v>0</v>
      </c>
      <c r="AC332">
        <f>MAX(0,ROUND(BA331*(1+'Calc base'!O332),2)-Q332-'Calc base'!AA332)</f>
        <v>0</v>
      </c>
      <c r="AD332">
        <f>MAX(0,ROUND(BB331*(1+'Calc base'!P332),2)-R332-'Calc base'!AB332)</f>
        <v>0</v>
      </c>
      <c r="AE332">
        <f>MAX(0,ROUND(BC331*(1+'Calc base'!Q332),2)-S332-'Calc base'!AC332)</f>
        <v>0</v>
      </c>
      <c r="AF332">
        <f>MAX(0,ROUND(BD331*(1+'Calc base'!R332),2)-T332-'Calc base'!AD332)</f>
        <v>0</v>
      </c>
      <c r="AG332">
        <f>MAX(0,ROUND(BE331*(1+'Calc base'!S332),2)-U332-'Calc base'!AE332)</f>
        <v>0</v>
      </c>
      <c r="AH332">
        <f>IF('Calc base'!C$14=0,0,MIN(V332,MAX(0,$E332-SUMPRODUCT($V332:$AG332,'Calc base'!$C$14:$N$14,('Calc base'!$H332:$S332&gt;'Calc base'!H332)+('Calc base'!$H332:$S332='Calc base'!H332)*('Calc base'!$C$17:$N$17&lt;'Calc base'!C$17)))))</f>
        <v>0</v>
      </c>
      <c r="AI332">
        <f>IF('Calc base'!D$14=0,0,MIN(W332,MAX(0,$E332-SUMPRODUCT($V332:$AG332,'Calc base'!$C$14:$N$14,('Calc base'!$H332:$S332&gt;'Calc base'!I332)+('Calc base'!$H332:$S332='Calc base'!I332)*('Calc base'!$C$17:$N$17&lt;'Calc base'!D$17)))))</f>
        <v>0</v>
      </c>
      <c r="AJ332">
        <f>IF('Calc base'!E$14=0,0,MIN(X332,MAX(0,$E332-SUMPRODUCT($V332:$AG332,'Calc base'!$C$14:$N$14,('Calc base'!$H332:$S332&gt;'Calc base'!J332)+('Calc base'!$H332:$S332='Calc base'!J332)*('Calc base'!$C$17:$N$17&lt;'Calc base'!E$17)))))</f>
        <v>0</v>
      </c>
      <c r="AK332">
        <f>IF('Calc base'!F$14=0,0,MIN(Y332,MAX(0,$E332-SUMPRODUCT($V332:$AG332,'Calc base'!$C$14:$N$14,('Calc base'!$H332:$S332&gt;'Calc base'!K332)+('Calc base'!$H332:$S332='Calc base'!K332)*('Calc base'!$C$17:$N$17&lt;'Calc base'!F$17)))))</f>
        <v>0</v>
      </c>
      <c r="AL332">
        <f>IF('Calc base'!G$14=0,0,MIN(Z332,MAX(0,$E332-SUMPRODUCT($V332:$AG332,'Calc base'!$C$14:$N$14,('Calc base'!$H332:$S332&gt;'Calc base'!L332)+('Calc base'!$H332:$S332='Calc base'!L332)*('Calc base'!$C$17:$N$17&lt;'Calc base'!G$17)))))</f>
        <v>0</v>
      </c>
      <c r="AM332">
        <f>IF('Calc base'!H$14=0,0,MIN(AA332,MAX(0,$E332-SUMPRODUCT($V332:$AG332,'Calc base'!$C$14:$N$14,('Calc base'!$H332:$S332&gt;'Calc base'!M332)+('Calc base'!$H332:$S332='Calc base'!M332)*('Calc base'!$C$17:$N$17&lt;'Calc base'!H$17)))))</f>
        <v>0</v>
      </c>
      <c r="AN332">
        <f>IF('Calc base'!I$14=0,0,MIN(AB332,MAX(0,$E332-SUMPRODUCT($V332:$AG332,'Calc base'!$C$14:$N$14,('Calc base'!$H332:$S332&gt;'Calc base'!N332)+('Calc base'!$H332:$S332='Calc base'!N332)*('Calc base'!$C$17:$N$17&lt;'Calc base'!I$17)))))</f>
        <v>0</v>
      </c>
      <c r="AO332">
        <f>IF('Calc base'!J$14=0,0,MIN(AC332,MAX(0,$E332-SUMPRODUCT($V332:$AG332,'Calc base'!$C$14:$N$14,('Calc base'!$H332:$S332&gt;'Calc base'!O332)+('Calc base'!$H332:$S332='Calc base'!O332)*('Calc base'!$C$17:$N$17&lt;'Calc base'!J$17)))))</f>
        <v>0</v>
      </c>
      <c r="AP332">
        <f>IF('Calc base'!K$14=0,0,MIN(AD332,MAX(0,$E332-SUMPRODUCT($V332:$AG332,'Calc base'!$C$14:$N$14,('Calc base'!$H332:$S332&gt;'Calc base'!P332)+('Calc base'!$H332:$S332='Calc base'!P332)*('Calc base'!$C$17:$N$17&lt;'Calc base'!K$17)))))</f>
        <v>0</v>
      </c>
      <c r="AQ332">
        <f>IF('Calc base'!L$14=0,0,MIN(AE332,MAX(0,$E332-SUMPRODUCT($V332:$AG332,'Calc base'!$C$14:$N$14,('Calc base'!$H332:$S332&gt;'Calc base'!Q332)+('Calc base'!$H332:$S332='Calc base'!Q332)*('Calc base'!$C$17:$N$17&lt;'Calc base'!L$17)))))</f>
        <v>0</v>
      </c>
      <c r="AR332">
        <f>IF('Calc base'!M$14=0,0,MIN(AF332,MAX(0,$E332-SUMPRODUCT($V332:$AG332,'Calc base'!$C$14:$N$14,('Calc base'!$H332:$S332&gt;'Calc base'!R332)+('Calc base'!$H332:$S332='Calc base'!R332)*('Calc base'!$C$17:$N$17&lt;'Calc base'!M$17)))))</f>
        <v>0</v>
      </c>
      <c r="AS332">
        <f>IF('Calc base'!N$14=0,0,MIN(AG332,MAX(0,$E332-SUMPRODUCT($V332:$AG332,'Calc base'!$C$14:$N$14,('Calc base'!$H332:$S332&gt;'Calc base'!S332)+('Calc base'!$H332:$S332='Calc base'!S332)*('Calc base'!$C$17:$N$17&lt;'Calc base'!N$17)))))</f>
        <v>0</v>
      </c>
      <c r="AT332">
        <f>V332-AH332</f>
        <v>0</v>
      </c>
      <c r="AU332">
        <f>W332-AI332</f>
        <v>0</v>
      </c>
      <c r="AV332">
        <f>X332-AJ332</f>
        <v>0</v>
      </c>
      <c r="AW332">
        <f>Y332-AK332</f>
        <v>0</v>
      </c>
      <c r="AX332">
        <f>Z332-AL332</f>
        <v>0</v>
      </c>
      <c r="AY332">
        <f>AA332-AM332</f>
        <v>0</v>
      </c>
      <c r="AZ332">
        <f>AB332-AN332</f>
        <v>0</v>
      </c>
      <c r="BA332">
        <f>AC332-AO332</f>
        <v>0</v>
      </c>
      <c r="BB332">
        <f>AD332-AP332</f>
        <v>0</v>
      </c>
      <c r="BC332">
        <f>AE332-AQ332</f>
        <v>0</v>
      </c>
      <c r="BD332">
        <f>AF332-AR332</f>
        <v>0</v>
      </c>
      <c r="BE332">
        <f>AG332-AS332</f>
        <v>0</v>
      </c>
    </row>
    <row r="333">
      <c r="A333" t="n">
        <v>303</v>
      </c>
      <c r="B333">
        <f>SUMPRODUCT(ROUND($AT332:$BE332*(1+'Calc base'!$H333:$S333),2))</f>
        <v>0</v>
      </c>
      <c r="C333">
        <f>SUM(J333:U333)</f>
        <v>0</v>
      </c>
      <c r="D333">
        <f>SUM(V333:AG333)</f>
        <v>0</v>
      </c>
      <c r="E333">
        <f>MAX(0,IF(Impostazioni!$B$7="No",'Calc base'!$C333-$C$31,'Calc base'!$C333-C333)+'Calc base'!$G333+'Calc base'!$F333-(B333-C333-D333))</f>
        <v>900</v>
      </c>
      <c r="F333">
        <f>SUM(AH333:AS333)</f>
        <v>0</v>
      </c>
      <c r="G333">
        <f>SUM(AT333:BE333)</f>
        <v>0</v>
      </c>
      <c r="H333">
        <f>B333-G332</f>
        <v>0</v>
      </c>
      <c r="I333">
        <f>B333-G333</f>
        <v>0</v>
      </c>
      <c r="J333">
        <f>IF(AT332&lt;=0,0,IF(ROUND(AT332*(1+'Calc base'!H333),2)-MAX('Calc base'!C$12,ROUND('Calc base'!C$13*AT332,2))&lt;1,ROUND(AT332*(1+'Calc base'!H333),2),MAX('Calc base'!C$12,ROUND('Calc base'!C$13*AT332,2))))</f>
        <v>0</v>
      </c>
      <c r="K333">
        <f>IF(AU332&lt;=0,0,IF(ROUND(AU332*(1+'Calc base'!I333),2)-MAX('Calc base'!D$12,ROUND('Calc base'!D$13*AU332,2))&lt;1,ROUND(AU332*(1+'Calc base'!I333),2),MAX('Calc base'!D$12,ROUND('Calc base'!D$13*AU332,2))))</f>
        <v>0</v>
      </c>
      <c r="L333">
        <f>IF(AV332&lt;=0,0,IF(ROUND(AV332*(1+'Calc base'!J333),2)-MAX('Calc base'!E$12,ROUND('Calc base'!E$13*AV332,2))&lt;1,ROUND(AV332*(1+'Calc base'!J333),2),MAX('Calc base'!E$12,ROUND('Calc base'!E$13*AV332,2))))</f>
        <v>0</v>
      </c>
      <c r="M333">
        <f>IF(AW332&lt;=0,0,IF(ROUND(AW332*(1+'Calc base'!K333),2)-MAX('Calc base'!F$12,ROUND('Calc base'!F$13*AW332,2))&lt;1,ROUND(AW332*(1+'Calc base'!K333),2),MAX('Calc base'!F$12,ROUND('Calc base'!F$13*AW332,2))))</f>
        <v>0</v>
      </c>
      <c r="N333">
        <f>IF(AX332&lt;=0,0,IF(ROUND(AX332*(1+'Calc base'!L333),2)-MAX('Calc base'!G$12,ROUND('Calc base'!G$13*AX332,2))&lt;1,ROUND(AX332*(1+'Calc base'!L333),2),MAX('Calc base'!G$12,ROUND('Calc base'!G$13*AX332,2))))</f>
        <v>0</v>
      </c>
      <c r="O333">
        <f>IF(AY332&lt;=0,0,IF(ROUND(AY332*(1+'Calc base'!M333),2)-MAX('Calc base'!H$12,ROUND('Calc base'!H$13*AY332,2))&lt;1,ROUND(AY332*(1+'Calc base'!M333),2),MAX('Calc base'!H$12,ROUND('Calc base'!H$13*AY332,2))))</f>
        <v>0</v>
      </c>
      <c r="P333">
        <f>IF(AZ332&lt;=0,0,IF(ROUND(AZ332*(1+'Calc base'!N333),2)-MAX('Calc base'!I$12,ROUND('Calc base'!I$13*AZ332,2))&lt;1,ROUND(AZ332*(1+'Calc base'!N333),2),MAX('Calc base'!I$12,ROUND('Calc base'!I$13*AZ332,2))))</f>
        <v>0</v>
      </c>
      <c r="Q333">
        <f>IF(BA332&lt;=0,0,IF(ROUND(BA332*(1+'Calc base'!O333),2)-MAX('Calc base'!J$12,ROUND('Calc base'!J$13*BA332,2))&lt;1,ROUND(BA332*(1+'Calc base'!O333),2),MAX('Calc base'!J$12,ROUND('Calc base'!J$13*BA332,2))))</f>
        <v>0</v>
      </c>
      <c r="R333">
        <f>IF(BB332&lt;=0,0,IF(ROUND(BB332*(1+'Calc base'!P333),2)-MAX('Calc base'!K$12,ROUND('Calc base'!K$13*BB332,2))&lt;1,ROUND(BB332*(1+'Calc base'!P333),2),MAX('Calc base'!K$12,ROUND('Calc base'!K$13*BB332,2))))</f>
        <v>0</v>
      </c>
      <c r="S333">
        <f>IF(BC332&lt;=0,0,IF(ROUND(BC332*(1+'Calc base'!Q333),2)-MAX('Calc base'!L$12,ROUND('Calc base'!L$13*BC332,2))&lt;1,ROUND(BC332*(1+'Calc base'!Q333),2),MAX('Calc base'!L$12,ROUND('Calc base'!L$13*BC332,2))))</f>
        <v>0</v>
      </c>
      <c r="T333">
        <f>IF(BD332&lt;=0,0,IF(ROUND(BD332*(1+'Calc base'!R333),2)-MAX('Calc base'!M$12,ROUND('Calc base'!M$13*BD332,2))&lt;1,ROUND(BD332*(1+'Calc base'!R333),2),MAX('Calc base'!M$12,ROUND('Calc base'!M$13*BD332,2))))</f>
        <v>0</v>
      </c>
      <c r="U333">
        <f>IF(BE332&lt;=0,0,IF(ROUND(BE332*(1+'Calc base'!S333),2)-MAX('Calc base'!N$12,ROUND('Calc base'!N$13*BE332,2))&lt;1,ROUND(BE332*(1+'Calc base'!S333),2),MAX('Calc base'!N$12,ROUND('Calc base'!N$13*BE332,2))))</f>
        <v>0</v>
      </c>
      <c r="V333">
        <f>MAX(0,ROUND(AT332*(1+'Calc base'!H333),2)-J333-'Calc base'!T333)</f>
        <v>0</v>
      </c>
      <c r="W333">
        <f>MAX(0,ROUND(AU332*(1+'Calc base'!I333),2)-K333-'Calc base'!U333)</f>
        <v>0</v>
      </c>
      <c r="X333">
        <f>MAX(0,ROUND(AV332*(1+'Calc base'!J333),2)-L333-'Calc base'!V333)</f>
        <v>0</v>
      </c>
      <c r="Y333">
        <f>MAX(0,ROUND(AW332*(1+'Calc base'!K333),2)-M333-'Calc base'!W333)</f>
        <v>0</v>
      </c>
      <c r="Z333">
        <f>MAX(0,ROUND(AX332*(1+'Calc base'!L333),2)-N333-'Calc base'!X333)</f>
        <v>0</v>
      </c>
      <c r="AA333">
        <f>MAX(0,ROUND(AY332*(1+'Calc base'!M333),2)-O333-'Calc base'!Y333)</f>
        <v>0</v>
      </c>
      <c r="AB333">
        <f>MAX(0,ROUND(AZ332*(1+'Calc base'!N333),2)-P333-'Calc base'!Z333)</f>
        <v>0</v>
      </c>
      <c r="AC333">
        <f>MAX(0,ROUND(BA332*(1+'Calc base'!O333),2)-Q333-'Calc base'!AA333)</f>
        <v>0</v>
      </c>
      <c r="AD333">
        <f>MAX(0,ROUND(BB332*(1+'Calc base'!P333),2)-R333-'Calc base'!AB333)</f>
        <v>0</v>
      </c>
      <c r="AE333">
        <f>MAX(0,ROUND(BC332*(1+'Calc base'!Q333),2)-S333-'Calc base'!AC333)</f>
        <v>0</v>
      </c>
      <c r="AF333">
        <f>MAX(0,ROUND(BD332*(1+'Calc base'!R333),2)-T333-'Calc base'!AD333)</f>
        <v>0</v>
      </c>
      <c r="AG333">
        <f>MAX(0,ROUND(BE332*(1+'Calc base'!S333),2)-U333-'Calc base'!AE333)</f>
        <v>0</v>
      </c>
      <c r="AH333">
        <f>IF('Calc base'!C$14=0,0,MIN(V333,MAX(0,$E333-SUMPRODUCT($V333:$AG333,'Calc base'!$C$14:$N$14,('Calc base'!$H333:$S333&gt;'Calc base'!H333)+('Calc base'!$H333:$S333='Calc base'!H333)*('Calc base'!$C$17:$N$17&lt;'Calc base'!C$17)))))</f>
        <v>0</v>
      </c>
      <c r="AI333">
        <f>IF('Calc base'!D$14=0,0,MIN(W333,MAX(0,$E333-SUMPRODUCT($V333:$AG333,'Calc base'!$C$14:$N$14,('Calc base'!$H333:$S333&gt;'Calc base'!I333)+('Calc base'!$H333:$S333='Calc base'!I333)*('Calc base'!$C$17:$N$17&lt;'Calc base'!D$17)))))</f>
        <v>0</v>
      </c>
      <c r="AJ333">
        <f>IF('Calc base'!E$14=0,0,MIN(X333,MAX(0,$E333-SUMPRODUCT($V333:$AG333,'Calc base'!$C$14:$N$14,('Calc base'!$H333:$S333&gt;'Calc base'!J333)+('Calc base'!$H333:$S333='Calc base'!J333)*('Calc base'!$C$17:$N$17&lt;'Calc base'!E$17)))))</f>
        <v>0</v>
      </c>
      <c r="AK333">
        <f>IF('Calc base'!F$14=0,0,MIN(Y333,MAX(0,$E333-SUMPRODUCT($V333:$AG333,'Calc base'!$C$14:$N$14,('Calc base'!$H333:$S333&gt;'Calc base'!K333)+('Calc base'!$H333:$S333='Calc base'!K333)*('Calc base'!$C$17:$N$17&lt;'Calc base'!F$17)))))</f>
        <v>0</v>
      </c>
      <c r="AL333">
        <f>IF('Calc base'!G$14=0,0,MIN(Z333,MAX(0,$E333-SUMPRODUCT($V333:$AG333,'Calc base'!$C$14:$N$14,('Calc base'!$H333:$S333&gt;'Calc base'!L333)+('Calc base'!$H333:$S333='Calc base'!L333)*('Calc base'!$C$17:$N$17&lt;'Calc base'!G$17)))))</f>
        <v>0</v>
      </c>
      <c r="AM333">
        <f>IF('Calc base'!H$14=0,0,MIN(AA333,MAX(0,$E333-SUMPRODUCT($V333:$AG333,'Calc base'!$C$14:$N$14,('Calc base'!$H333:$S333&gt;'Calc base'!M333)+('Calc base'!$H333:$S333='Calc base'!M333)*('Calc base'!$C$17:$N$17&lt;'Calc base'!H$17)))))</f>
        <v>0</v>
      </c>
      <c r="AN333">
        <f>IF('Calc base'!I$14=0,0,MIN(AB333,MAX(0,$E333-SUMPRODUCT($V333:$AG333,'Calc base'!$C$14:$N$14,('Calc base'!$H333:$S333&gt;'Calc base'!N333)+('Calc base'!$H333:$S333='Calc base'!N333)*('Calc base'!$C$17:$N$17&lt;'Calc base'!I$17)))))</f>
        <v>0</v>
      </c>
      <c r="AO333">
        <f>IF('Calc base'!J$14=0,0,MIN(AC333,MAX(0,$E333-SUMPRODUCT($V333:$AG333,'Calc base'!$C$14:$N$14,('Calc base'!$H333:$S333&gt;'Calc base'!O333)+('Calc base'!$H333:$S333='Calc base'!O333)*('Calc base'!$C$17:$N$17&lt;'Calc base'!J$17)))))</f>
        <v>0</v>
      </c>
      <c r="AP333">
        <f>IF('Calc base'!K$14=0,0,MIN(AD333,MAX(0,$E333-SUMPRODUCT($V333:$AG333,'Calc base'!$C$14:$N$14,('Calc base'!$H333:$S333&gt;'Calc base'!P333)+('Calc base'!$H333:$S333='Calc base'!P333)*('Calc base'!$C$17:$N$17&lt;'Calc base'!K$17)))))</f>
        <v>0</v>
      </c>
      <c r="AQ333">
        <f>IF('Calc base'!L$14=0,0,MIN(AE333,MAX(0,$E333-SUMPRODUCT($V333:$AG333,'Calc base'!$C$14:$N$14,('Calc base'!$H333:$S333&gt;'Calc base'!Q333)+('Calc base'!$H333:$S333='Calc base'!Q333)*('Calc base'!$C$17:$N$17&lt;'Calc base'!L$17)))))</f>
        <v>0</v>
      </c>
      <c r="AR333">
        <f>IF('Calc base'!M$14=0,0,MIN(AF333,MAX(0,$E333-SUMPRODUCT($V333:$AG333,'Calc base'!$C$14:$N$14,('Calc base'!$H333:$S333&gt;'Calc base'!R333)+('Calc base'!$H333:$S333='Calc base'!R333)*('Calc base'!$C$17:$N$17&lt;'Calc base'!M$17)))))</f>
        <v>0</v>
      </c>
      <c r="AS333">
        <f>IF('Calc base'!N$14=0,0,MIN(AG333,MAX(0,$E333-SUMPRODUCT($V333:$AG333,'Calc base'!$C$14:$N$14,('Calc base'!$H333:$S333&gt;'Calc base'!S333)+('Calc base'!$H333:$S333='Calc base'!S333)*('Calc base'!$C$17:$N$17&lt;'Calc base'!N$17)))))</f>
        <v>0</v>
      </c>
      <c r="AT333">
        <f>V333-AH333</f>
        <v>0</v>
      </c>
      <c r="AU333">
        <f>W333-AI333</f>
        <v>0</v>
      </c>
      <c r="AV333">
        <f>X333-AJ333</f>
        <v>0</v>
      </c>
      <c r="AW333">
        <f>Y333-AK333</f>
        <v>0</v>
      </c>
      <c r="AX333">
        <f>Z333-AL333</f>
        <v>0</v>
      </c>
      <c r="AY333">
        <f>AA333-AM333</f>
        <v>0</v>
      </c>
      <c r="AZ333">
        <f>AB333-AN333</f>
        <v>0</v>
      </c>
      <c r="BA333">
        <f>AC333-AO333</f>
        <v>0</v>
      </c>
      <c r="BB333">
        <f>AD333-AP333</f>
        <v>0</v>
      </c>
      <c r="BC333">
        <f>AE333-AQ333</f>
        <v>0</v>
      </c>
      <c r="BD333">
        <f>AF333-AR333</f>
        <v>0</v>
      </c>
      <c r="BE333">
        <f>AG333-AS333</f>
        <v>0</v>
      </c>
    </row>
    <row r="334">
      <c r="A334" t="n">
        <v>304</v>
      </c>
      <c r="B334">
        <f>SUMPRODUCT(ROUND($AT333:$BE333*(1+'Calc base'!$H334:$S334),2))</f>
        <v>0</v>
      </c>
      <c r="C334">
        <f>SUM(J334:U334)</f>
        <v>0</v>
      </c>
      <c r="D334">
        <f>SUM(V334:AG334)</f>
        <v>0</v>
      </c>
      <c r="E334">
        <f>MAX(0,IF(Impostazioni!$B$7="No",'Calc base'!$C334-$C$31,'Calc base'!$C334-C334)+'Calc base'!$G334+'Calc base'!$F334-(B334-C334-D334))</f>
        <v>900</v>
      </c>
      <c r="F334">
        <f>SUM(AH334:AS334)</f>
        <v>0</v>
      </c>
      <c r="G334">
        <f>SUM(AT334:BE334)</f>
        <v>0</v>
      </c>
      <c r="H334">
        <f>B334-G333</f>
        <v>0</v>
      </c>
      <c r="I334">
        <f>B334-G334</f>
        <v>0</v>
      </c>
      <c r="J334">
        <f>IF(AT333&lt;=0,0,IF(ROUND(AT333*(1+'Calc base'!H334),2)-MAX('Calc base'!C$12,ROUND('Calc base'!C$13*AT333,2))&lt;1,ROUND(AT333*(1+'Calc base'!H334),2),MAX('Calc base'!C$12,ROUND('Calc base'!C$13*AT333,2))))</f>
        <v>0</v>
      </c>
      <c r="K334">
        <f>IF(AU333&lt;=0,0,IF(ROUND(AU333*(1+'Calc base'!I334),2)-MAX('Calc base'!D$12,ROUND('Calc base'!D$13*AU333,2))&lt;1,ROUND(AU333*(1+'Calc base'!I334),2),MAX('Calc base'!D$12,ROUND('Calc base'!D$13*AU333,2))))</f>
        <v>0</v>
      </c>
      <c r="L334">
        <f>IF(AV333&lt;=0,0,IF(ROUND(AV333*(1+'Calc base'!J334),2)-MAX('Calc base'!E$12,ROUND('Calc base'!E$13*AV333,2))&lt;1,ROUND(AV333*(1+'Calc base'!J334),2),MAX('Calc base'!E$12,ROUND('Calc base'!E$13*AV333,2))))</f>
        <v>0</v>
      </c>
      <c r="M334">
        <f>IF(AW333&lt;=0,0,IF(ROUND(AW333*(1+'Calc base'!K334),2)-MAX('Calc base'!F$12,ROUND('Calc base'!F$13*AW333,2))&lt;1,ROUND(AW333*(1+'Calc base'!K334),2),MAX('Calc base'!F$12,ROUND('Calc base'!F$13*AW333,2))))</f>
        <v>0</v>
      </c>
      <c r="N334">
        <f>IF(AX333&lt;=0,0,IF(ROUND(AX333*(1+'Calc base'!L334),2)-MAX('Calc base'!G$12,ROUND('Calc base'!G$13*AX333,2))&lt;1,ROUND(AX333*(1+'Calc base'!L334),2),MAX('Calc base'!G$12,ROUND('Calc base'!G$13*AX333,2))))</f>
        <v>0</v>
      </c>
      <c r="O334">
        <f>IF(AY333&lt;=0,0,IF(ROUND(AY333*(1+'Calc base'!M334),2)-MAX('Calc base'!H$12,ROUND('Calc base'!H$13*AY333,2))&lt;1,ROUND(AY333*(1+'Calc base'!M334),2),MAX('Calc base'!H$12,ROUND('Calc base'!H$13*AY333,2))))</f>
        <v>0</v>
      </c>
      <c r="P334">
        <f>IF(AZ333&lt;=0,0,IF(ROUND(AZ333*(1+'Calc base'!N334),2)-MAX('Calc base'!I$12,ROUND('Calc base'!I$13*AZ333,2))&lt;1,ROUND(AZ333*(1+'Calc base'!N334),2),MAX('Calc base'!I$12,ROUND('Calc base'!I$13*AZ333,2))))</f>
        <v>0</v>
      </c>
      <c r="Q334">
        <f>IF(BA333&lt;=0,0,IF(ROUND(BA333*(1+'Calc base'!O334),2)-MAX('Calc base'!J$12,ROUND('Calc base'!J$13*BA333,2))&lt;1,ROUND(BA333*(1+'Calc base'!O334),2),MAX('Calc base'!J$12,ROUND('Calc base'!J$13*BA333,2))))</f>
        <v>0</v>
      </c>
      <c r="R334">
        <f>IF(BB333&lt;=0,0,IF(ROUND(BB333*(1+'Calc base'!P334),2)-MAX('Calc base'!K$12,ROUND('Calc base'!K$13*BB333,2))&lt;1,ROUND(BB333*(1+'Calc base'!P334),2),MAX('Calc base'!K$12,ROUND('Calc base'!K$13*BB333,2))))</f>
        <v>0</v>
      </c>
      <c r="S334">
        <f>IF(BC333&lt;=0,0,IF(ROUND(BC333*(1+'Calc base'!Q334),2)-MAX('Calc base'!L$12,ROUND('Calc base'!L$13*BC333,2))&lt;1,ROUND(BC333*(1+'Calc base'!Q334),2),MAX('Calc base'!L$12,ROUND('Calc base'!L$13*BC333,2))))</f>
        <v>0</v>
      </c>
      <c r="T334">
        <f>IF(BD333&lt;=0,0,IF(ROUND(BD333*(1+'Calc base'!R334),2)-MAX('Calc base'!M$12,ROUND('Calc base'!M$13*BD333,2))&lt;1,ROUND(BD333*(1+'Calc base'!R334),2),MAX('Calc base'!M$12,ROUND('Calc base'!M$13*BD333,2))))</f>
        <v>0</v>
      </c>
      <c r="U334">
        <f>IF(BE333&lt;=0,0,IF(ROUND(BE333*(1+'Calc base'!S334),2)-MAX('Calc base'!N$12,ROUND('Calc base'!N$13*BE333,2))&lt;1,ROUND(BE333*(1+'Calc base'!S334),2),MAX('Calc base'!N$12,ROUND('Calc base'!N$13*BE333,2))))</f>
        <v>0</v>
      </c>
      <c r="V334">
        <f>MAX(0,ROUND(AT333*(1+'Calc base'!H334),2)-J334-'Calc base'!T334)</f>
        <v>0</v>
      </c>
      <c r="W334">
        <f>MAX(0,ROUND(AU333*(1+'Calc base'!I334),2)-K334-'Calc base'!U334)</f>
        <v>0</v>
      </c>
      <c r="X334">
        <f>MAX(0,ROUND(AV333*(1+'Calc base'!J334),2)-L334-'Calc base'!V334)</f>
        <v>0</v>
      </c>
      <c r="Y334">
        <f>MAX(0,ROUND(AW333*(1+'Calc base'!K334),2)-M334-'Calc base'!W334)</f>
        <v>0</v>
      </c>
      <c r="Z334">
        <f>MAX(0,ROUND(AX333*(1+'Calc base'!L334),2)-N334-'Calc base'!X334)</f>
        <v>0</v>
      </c>
      <c r="AA334">
        <f>MAX(0,ROUND(AY333*(1+'Calc base'!M334),2)-O334-'Calc base'!Y334)</f>
        <v>0</v>
      </c>
      <c r="AB334">
        <f>MAX(0,ROUND(AZ333*(1+'Calc base'!N334),2)-P334-'Calc base'!Z334)</f>
        <v>0</v>
      </c>
      <c r="AC334">
        <f>MAX(0,ROUND(BA333*(1+'Calc base'!O334),2)-Q334-'Calc base'!AA334)</f>
        <v>0</v>
      </c>
      <c r="AD334">
        <f>MAX(0,ROUND(BB333*(1+'Calc base'!P334),2)-R334-'Calc base'!AB334)</f>
        <v>0</v>
      </c>
      <c r="AE334">
        <f>MAX(0,ROUND(BC333*(1+'Calc base'!Q334),2)-S334-'Calc base'!AC334)</f>
        <v>0</v>
      </c>
      <c r="AF334">
        <f>MAX(0,ROUND(BD333*(1+'Calc base'!R334),2)-T334-'Calc base'!AD334)</f>
        <v>0</v>
      </c>
      <c r="AG334">
        <f>MAX(0,ROUND(BE333*(1+'Calc base'!S334),2)-U334-'Calc base'!AE334)</f>
        <v>0</v>
      </c>
      <c r="AH334">
        <f>IF('Calc base'!C$14=0,0,MIN(V334,MAX(0,$E334-SUMPRODUCT($V334:$AG334,'Calc base'!$C$14:$N$14,('Calc base'!$H334:$S334&gt;'Calc base'!H334)+('Calc base'!$H334:$S334='Calc base'!H334)*('Calc base'!$C$17:$N$17&lt;'Calc base'!C$17)))))</f>
        <v>0</v>
      </c>
      <c r="AI334">
        <f>IF('Calc base'!D$14=0,0,MIN(W334,MAX(0,$E334-SUMPRODUCT($V334:$AG334,'Calc base'!$C$14:$N$14,('Calc base'!$H334:$S334&gt;'Calc base'!I334)+('Calc base'!$H334:$S334='Calc base'!I334)*('Calc base'!$C$17:$N$17&lt;'Calc base'!D$17)))))</f>
        <v>0</v>
      </c>
      <c r="AJ334">
        <f>IF('Calc base'!E$14=0,0,MIN(X334,MAX(0,$E334-SUMPRODUCT($V334:$AG334,'Calc base'!$C$14:$N$14,('Calc base'!$H334:$S334&gt;'Calc base'!J334)+('Calc base'!$H334:$S334='Calc base'!J334)*('Calc base'!$C$17:$N$17&lt;'Calc base'!E$17)))))</f>
        <v>0</v>
      </c>
      <c r="AK334">
        <f>IF('Calc base'!F$14=0,0,MIN(Y334,MAX(0,$E334-SUMPRODUCT($V334:$AG334,'Calc base'!$C$14:$N$14,('Calc base'!$H334:$S334&gt;'Calc base'!K334)+('Calc base'!$H334:$S334='Calc base'!K334)*('Calc base'!$C$17:$N$17&lt;'Calc base'!F$17)))))</f>
        <v>0</v>
      </c>
      <c r="AL334">
        <f>IF('Calc base'!G$14=0,0,MIN(Z334,MAX(0,$E334-SUMPRODUCT($V334:$AG334,'Calc base'!$C$14:$N$14,('Calc base'!$H334:$S334&gt;'Calc base'!L334)+('Calc base'!$H334:$S334='Calc base'!L334)*('Calc base'!$C$17:$N$17&lt;'Calc base'!G$17)))))</f>
        <v>0</v>
      </c>
      <c r="AM334">
        <f>IF('Calc base'!H$14=0,0,MIN(AA334,MAX(0,$E334-SUMPRODUCT($V334:$AG334,'Calc base'!$C$14:$N$14,('Calc base'!$H334:$S334&gt;'Calc base'!M334)+('Calc base'!$H334:$S334='Calc base'!M334)*('Calc base'!$C$17:$N$17&lt;'Calc base'!H$17)))))</f>
        <v>0</v>
      </c>
      <c r="AN334">
        <f>IF('Calc base'!I$14=0,0,MIN(AB334,MAX(0,$E334-SUMPRODUCT($V334:$AG334,'Calc base'!$C$14:$N$14,('Calc base'!$H334:$S334&gt;'Calc base'!N334)+('Calc base'!$H334:$S334='Calc base'!N334)*('Calc base'!$C$17:$N$17&lt;'Calc base'!I$17)))))</f>
        <v>0</v>
      </c>
      <c r="AO334">
        <f>IF('Calc base'!J$14=0,0,MIN(AC334,MAX(0,$E334-SUMPRODUCT($V334:$AG334,'Calc base'!$C$14:$N$14,('Calc base'!$H334:$S334&gt;'Calc base'!O334)+('Calc base'!$H334:$S334='Calc base'!O334)*('Calc base'!$C$17:$N$17&lt;'Calc base'!J$17)))))</f>
        <v>0</v>
      </c>
      <c r="AP334">
        <f>IF('Calc base'!K$14=0,0,MIN(AD334,MAX(0,$E334-SUMPRODUCT($V334:$AG334,'Calc base'!$C$14:$N$14,('Calc base'!$H334:$S334&gt;'Calc base'!P334)+('Calc base'!$H334:$S334='Calc base'!P334)*('Calc base'!$C$17:$N$17&lt;'Calc base'!K$17)))))</f>
        <v>0</v>
      </c>
      <c r="AQ334">
        <f>IF('Calc base'!L$14=0,0,MIN(AE334,MAX(0,$E334-SUMPRODUCT($V334:$AG334,'Calc base'!$C$14:$N$14,('Calc base'!$H334:$S334&gt;'Calc base'!Q334)+('Calc base'!$H334:$S334='Calc base'!Q334)*('Calc base'!$C$17:$N$17&lt;'Calc base'!L$17)))))</f>
        <v>0</v>
      </c>
      <c r="AR334">
        <f>IF('Calc base'!M$14=0,0,MIN(AF334,MAX(0,$E334-SUMPRODUCT($V334:$AG334,'Calc base'!$C$14:$N$14,('Calc base'!$H334:$S334&gt;'Calc base'!R334)+('Calc base'!$H334:$S334='Calc base'!R334)*('Calc base'!$C$17:$N$17&lt;'Calc base'!M$17)))))</f>
        <v>0</v>
      </c>
      <c r="AS334">
        <f>IF('Calc base'!N$14=0,0,MIN(AG334,MAX(0,$E334-SUMPRODUCT($V334:$AG334,'Calc base'!$C$14:$N$14,('Calc base'!$H334:$S334&gt;'Calc base'!S334)+('Calc base'!$H334:$S334='Calc base'!S334)*('Calc base'!$C$17:$N$17&lt;'Calc base'!N$17)))))</f>
        <v>0</v>
      </c>
      <c r="AT334">
        <f>V334-AH334</f>
        <v>0</v>
      </c>
      <c r="AU334">
        <f>W334-AI334</f>
        <v>0</v>
      </c>
      <c r="AV334">
        <f>X334-AJ334</f>
        <v>0</v>
      </c>
      <c r="AW334">
        <f>Y334-AK334</f>
        <v>0</v>
      </c>
      <c r="AX334">
        <f>Z334-AL334</f>
        <v>0</v>
      </c>
      <c r="AY334">
        <f>AA334-AM334</f>
        <v>0</v>
      </c>
      <c r="AZ334">
        <f>AB334-AN334</f>
        <v>0</v>
      </c>
      <c r="BA334">
        <f>AC334-AO334</f>
        <v>0</v>
      </c>
      <c r="BB334">
        <f>AD334-AP334</f>
        <v>0</v>
      </c>
      <c r="BC334">
        <f>AE334-AQ334</f>
        <v>0</v>
      </c>
      <c r="BD334">
        <f>AF334-AR334</f>
        <v>0</v>
      </c>
      <c r="BE334">
        <f>AG334-AS334</f>
        <v>0</v>
      </c>
    </row>
    <row r="335">
      <c r="A335" t="n">
        <v>305</v>
      </c>
      <c r="B335">
        <f>SUMPRODUCT(ROUND($AT334:$BE334*(1+'Calc base'!$H335:$S335),2))</f>
        <v>0</v>
      </c>
      <c r="C335">
        <f>SUM(J335:U335)</f>
        <v>0</v>
      </c>
      <c r="D335">
        <f>SUM(V335:AG335)</f>
        <v>0</v>
      </c>
      <c r="E335">
        <f>MAX(0,IF(Impostazioni!$B$7="No",'Calc base'!$C335-$C$31,'Calc base'!$C335-C335)+'Calc base'!$G335+'Calc base'!$F335-(B335-C335-D335))</f>
        <v>900</v>
      </c>
      <c r="F335">
        <f>SUM(AH335:AS335)</f>
        <v>0</v>
      </c>
      <c r="G335">
        <f>SUM(AT335:BE335)</f>
        <v>0</v>
      </c>
      <c r="H335">
        <f>B335-G334</f>
        <v>0</v>
      </c>
      <c r="I335">
        <f>B335-G335</f>
        <v>0</v>
      </c>
      <c r="J335">
        <f>IF(AT334&lt;=0,0,IF(ROUND(AT334*(1+'Calc base'!H335),2)-MAX('Calc base'!C$12,ROUND('Calc base'!C$13*AT334,2))&lt;1,ROUND(AT334*(1+'Calc base'!H335),2),MAX('Calc base'!C$12,ROUND('Calc base'!C$13*AT334,2))))</f>
        <v>0</v>
      </c>
      <c r="K335">
        <f>IF(AU334&lt;=0,0,IF(ROUND(AU334*(1+'Calc base'!I335),2)-MAX('Calc base'!D$12,ROUND('Calc base'!D$13*AU334,2))&lt;1,ROUND(AU334*(1+'Calc base'!I335),2),MAX('Calc base'!D$12,ROUND('Calc base'!D$13*AU334,2))))</f>
        <v>0</v>
      </c>
      <c r="L335">
        <f>IF(AV334&lt;=0,0,IF(ROUND(AV334*(1+'Calc base'!J335),2)-MAX('Calc base'!E$12,ROUND('Calc base'!E$13*AV334,2))&lt;1,ROUND(AV334*(1+'Calc base'!J335),2),MAX('Calc base'!E$12,ROUND('Calc base'!E$13*AV334,2))))</f>
        <v>0</v>
      </c>
      <c r="M335">
        <f>IF(AW334&lt;=0,0,IF(ROUND(AW334*(1+'Calc base'!K335),2)-MAX('Calc base'!F$12,ROUND('Calc base'!F$13*AW334,2))&lt;1,ROUND(AW334*(1+'Calc base'!K335),2),MAX('Calc base'!F$12,ROUND('Calc base'!F$13*AW334,2))))</f>
        <v>0</v>
      </c>
      <c r="N335">
        <f>IF(AX334&lt;=0,0,IF(ROUND(AX334*(1+'Calc base'!L335),2)-MAX('Calc base'!G$12,ROUND('Calc base'!G$13*AX334,2))&lt;1,ROUND(AX334*(1+'Calc base'!L335),2),MAX('Calc base'!G$12,ROUND('Calc base'!G$13*AX334,2))))</f>
        <v>0</v>
      </c>
      <c r="O335">
        <f>IF(AY334&lt;=0,0,IF(ROUND(AY334*(1+'Calc base'!M335),2)-MAX('Calc base'!H$12,ROUND('Calc base'!H$13*AY334,2))&lt;1,ROUND(AY334*(1+'Calc base'!M335),2),MAX('Calc base'!H$12,ROUND('Calc base'!H$13*AY334,2))))</f>
        <v>0</v>
      </c>
      <c r="P335">
        <f>IF(AZ334&lt;=0,0,IF(ROUND(AZ334*(1+'Calc base'!N335),2)-MAX('Calc base'!I$12,ROUND('Calc base'!I$13*AZ334,2))&lt;1,ROUND(AZ334*(1+'Calc base'!N335),2),MAX('Calc base'!I$12,ROUND('Calc base'!I$13*AZ334,2))))</f>
        <v>0</v>
      </c>
      <c r="Q335">
        <f>IF(BA334&lt;=0,0,IF(ROUND(BA334*(1+'Calc base'!O335),2)-MAX('Calc base'!J$12,ROUND('Calc base'!J$13*BA334,2))&lt;1,ROUND(BA334*(1+'Calc base'!O335),2),MAX('Calc base'!J$12,ROUND('Calc base'!J$13*BA334,2))))</f>
        <v>0</v>
      </c>
      <c r="R335">
        <f>IF(BB334&lt;=0,0,IF(ROUND(BB334*(1+'Calc base'!P335),2)-MAX('Calc base'!K$12,ROUND('Calc base'!K$13*BB334,2))&lt;1,ROUND(BB334*(1+'Calc base'!P335),2),MAX('Calc base'!K$12,ROUND('Calc base'!K$13*BB334,2))))</f>
        <v>0</v>
      </c>
      <c r="S335">
        <f>IF(BC334&lt;=0,0,IF(ROUND(BC334*(1+'Calc base'!Q335),2)-MAX('Calc base'!L$12,ROUND('Calc base'!L$13*BC334,2))&lt;1,ROUND(BC334*(1+'Calc base'!Q335),2),MAX('Calc base'!L$12,ROUND('Calc base'!L$13*BC334,2))))</f>
        <v>0</v>
      </c>
      <c r="T335">
        <f>IF(BD334&lt;=0,0,IF(ROUND(BD334*(1+'Calc base'!R335),2)-MAX('Calc base'!M$12,ROUND('Calc base'!M$13*BD334,2))&lt;1,ROUND(BD334*(1+'Calc base'!R335),2),MAX('Calc base'!M$12,ROUND('Calc base'!M$13*BD334,2))))</f>
        <v>0</v>
      </c>
      <c r="U335">
        <f>IF(BE334&lt;=0,0,IF(ROUND(BE334*(1+'Calc base'!S335),2)-MAX('Calc base'!N$12,ROUND('Calc base'!N$13*BE334,2))&lt;1,ROUND(BE334*(1+'Calc base'!S335),2),MAX('Calc base'!N$12,ROUND('Calc base'!N$13*BE334,2))))</f>
        <v>0</v>
      </c>
      <c r="V335">
        <f>MAX(0,ROUND(AT334*(1+'Calc base'!H335),2)-J335-'Calc base'!T335)</f>
        <v>0</v>
      </c>
      <c r="W335">
        <f>MAX(0,ROUND(AU334*(1+'Calc base'!I335),2)-K335-'Calc base'!U335)</f>
        <v>0</v>
      </c>
      <c r="X335">
        <f>MAX(0,ROUND(AV334*(1+'Calc base'!J335),2)-L335-'Calc base'!V335)</f>
        <v>0</v>
      </c>
      <c r="Y335">
        <f>MAX(0,ROUND(AW334*(1+'Calc base'!K335),2)-M335-'Calc base'!W335)</f>
        <v>0</v>
      </c>
      <c r="Z335">
        <f>MAX(0,ROUND(AX334*(1+'Calc base'!L335),2)-N335-'Calc base'!X335)</f>
        <v>0</v>
      </c>
      <c r="AA335">
        <f>MAX(0,ROUND(AY334*(1+'Calc base'!M335),2)-O335-'Calc base'!Y335)</f>
        <v>0</v>
      </c>
      <c r="AB335">
        <f>MAX(0,ROUND(AZ334*(1+'Calc base'!N335),2)-P335-'Calc base'!Z335)</f>
        <v>0</v>
      </c>
      <c r="AC335">
        <f>MAX(0,ROUND(BA334*(1+'Calc base'!O335),2)-Q335-'Calc base'!AA335)</f>
        <v>0</v>
      </c>
      <c r="AD335">
        <f>MAX(0,ROUND(BB334*(1+'Calc base'!P335),2)-R335-'Calc base'!AB335)</f>
        <v>0</v>
      </c>
      <c r="AE335">
        <f>MAX(0,ROUND(BC334*(1+'Calc base'!Q335),2)-S335-'Calc base'!AC335)</f>
        <v>0</v>
      </c>
      <c r="AF335">
        <f>MAX(0,ROUND(BD334*(1+'Calc base'!R335),2)-T335-'Calc base'!AD335)</f>
        <v>0</v>
      </c>
      <c r="AG335">
        <f>MAX(0,ROUND(BE334*(1+'Calc base'!S335),2)-U335-'Calc base'!AE335)</f>
        <v>0</v>
      </c>
      <c r="AH335">
        <f>IF('Calc base'!C$14=0,0,MIN(V335,MAX(0,$E335-SUMPRODUCT($V335:$AG335,'Calc base'!$C$14:$N$14,('Calc base'!$H335:$S335&gt;'Calc base'!H335)+('Calc base'!$H335:$S335='Calc base'!H335)*('Calc base'!$C$17:$N$17&lt;'Calc base'!C$17)))))</f>
        <v>0</v>
      </c>
      <c r="AI335">
        <f>IF('Calc base'!D$14=0,0,MIN(W335,MAX(0,$E335-SUMPRODUCT($V335:$AG335,'Calc base'!$C$14:$N$14,('Calc base'!$H335:$S335&gt;'Calc base'!I335)+('Calc base'!$H335:$S335='Calc base'!I335)*('Calc base'!$C$17:$N$17&lt;'Calc base'!D$17)))))</f>
        <v>0</v>
      </c>
      <c r="AJ335">
        <f>IF('Calc base'!E$14=0,0,MIN(X335,MAX(0,$E335-SUMPRODUCT($V335:$AG335,'Calc base'!$C$14:$N$14,('Calc base'!$H335:$S335&gt;'Calc base'!J335)+('Calc base'!$H335:$S335='Calc base'!J335)*('Calc base'!$C$17:$N$17&lt;'Calc base'!E$17)))))</f>
        <v>0</v>
      </c>
      <c r="AK335">
        <f>IF('Calc base'!F$14=0,0,MIN(Y335,MAX(0,$E335-SUMPRODUCT($V335:$AG335,'Calc base'!$C$14:$N$14,('Calc base'!$H335:$S335&gt;'Calc base'!K335)+('Calc base'!$H335:$S335='Calc base'!K335)*('Calc base'!$C$17:$N$17&lt;'Calc base'!F$17)))))</f>
        <v>0</v>
      </c>
      <c r="AL335">
        <f>IF('Calc base'!G$14=0,0,MIN(Z335,MAX(0,$E335-SUMPRODUCT($V335:$AG335,'Calc base'!$C$14:$N$14,('Calc base'!$H335:$S335&gt;'Calc base'!L335)+('Calc base'!$H335:$S335='Calc base'!L335)*('Calc base'!$C$17:$N$17&lt;'Calc base'!G$17)))))</f>
        <v>0</v>
      </c>
      <c r="AM335">
        <f>IF('Calc base'!H$14=0,0,MIN(AA335,MAX(0,$E335-SUMPRODUCT($V335:$AG335,'Calc base'!$C$14:$N$14,('Calc base'!$H335:$S335&gt;'Calc base'!M335)+('Calc base'!$H335:$S335='Calc base'!M335)*('Calc base'!$C$17:$N$17&lt;'Calc base'!H$17)))))</f>
        <v>0</v>
      </c>
      <c r="AN335">
        <f>IF('Calc base'!I$14=0,0,MIN(AB335,MAX(0,$E335-SUMPRODUCT($V335:$AG335,'Calc base'!$C$14:$N$14,('Calc base'!$H335:$S335&gt;'Calc base'!N335)+('Calc base'!$H335:$S335='Calc base'!N335)*('Calc base'!$C$17:$N$17&lt;'Calc base'!I$17)))))</f>
        <v>0</v>
      </c>
      <c r="AO335">
        <f>IF('Calc base'!J$14=0,0,MIN(AC335,MAX(0,$E335-SUMPRODUCT($V335:$AG335,'Calc base'!$C$14:$N$14,('Calc base'!$H335:$S335&gt;'Calc base'!O335)+('Calc base'!$H335:$S335='Calc base'!O335)*('Calc base'!$C$17:$N$17&lt;'Calc base'!J$17)))))</f>
        <v>0</v>
      </c>
      <c r="AP335">
        <f>IF('Calc base'!K$14=0,0,MIN(AD335,MAX(0,$E335-SUMPRODUCT($V335:$AG335,'Calc base'!$C$14:$N$14,('Calc base'!$H335:$S335&gt;'Calc base'!P335)+('Calc base'!$H335:$S335='Calc base'!P335)*('Calc base'!$C$17:$N$17&lt;'Calc base'!K$17)))))</f>
        <v>0</v>
      </c>
      <c r="AQ335">
        <f>IF('Calc base'!L$14=0,0,MIN(AE335,MAX(0,$E335-SUMPRODUCT($V335:$AG335,'Calc base'!$C$14:$N$14,('Calc base'!$H335:$S335&gt;'Calc base'!Q335)+('Calc base'!$H335:$S335='Calc base'!Q335)*('Calc base'!$C$17:$N$17&lt;'Calc base'!L$17)))))</f>
        <v>0</v>
      </c>
      <c r="AR335">
        <f>IF('Calc base'!M$14=0,0,MIN(AF335,MAX(0,$E335-SUMPRODUCT($V335:$AG335,'Calc base'!$C$14:$N$14,('Calc base'!$H335:$S335&gt;'Calc base'!R335)+('Calc base'!$H335:$S335='Calc base'!R335)*('Calc base'!$C$17:$N$17&lt;'Calc base'!M$17)))))</f>
        <v>0</v>
      </c>
      <c r="AS335">
        <f>IF('Calc base'!N$14=0,0,MIN(AG335,MAX(0,$E335-SUMPRODUCT($V335:$AG335,'Calc base'!$C$14:$N$14,('Calc base'!$H335:$S335&gt;'Calc base'!S335)+('Calc base'!$H335:$S335='Calc base'!S335)*('Calc base'!$C$17:$N$17&lt;'Calc base'!N$17)))))</f>
        <v>0</v>
      </c>
      <c r="AT335">
        <f>V335-AH335</f>
        <v>0</v>
      </c>
      <c r="AU335">
        <f>W335-AI335</f>
        <v>0</v>
      </c>
      <c r="AV335">
        <f>X335-AJ335</f>
        <v>0</v>
      </c>
      <c r="AW335">
        <f>Y335-AK335</f>
        <v>0</v>
      </c>
      <c r="AX335">
        <f>Z335-AL335</f>
        <v>0</v>
      </c>
      <c r="AY335">
        <f>AA335-AM335</f>
        <v>0</v>
      </c>
      <c r="AZ335">
        <f>AB335-AN335</f>
        <v>0</v>
      </c>
      <c r="BA335">
        <f>AC335-AO335</f>
        <v>0</v>
      </c>
      <c r="BB335">
        <f>AD335-AP335</f>
        <v>0</v>
      </c>
      <c r="BC335">
        <f>AE335-AQ335</f>
        <v>0</v>
      </c>
      <c r="BD335">
        <f>AF335-AR335</f>
        <v>0</v>
      </c>
      <c r="BE335">
        <f>AG335-AS335</f>
        <v>0</v>
      </c>
    </row>
    <row r="336">
      <c r="A336" t="n">
        <v>306</v>
      </c>
      <c r="B336">
        <f>SUMPRODUCT(ROUND($AT335:$BE335*(1+'Calc base'!$H336:$S336),2))</f>
        <v>0</v>
      </c>
      <c r="C336">
        <f>SUM(J336:U336)</f>
        <v>0</v>
      </c>
      <c r="D336">
        <f>SUM(V336:AG336)</f>
        <v>0</v>
      </c>
      <c r="E336">
        <f>MAX(0,IF(Impostazioni!$B$7="No",'Calc base'!$C336-$C$31,'Calc base'!$C336-C336)+'Calc base'!$G336+'Calc base'!$F336-(B336-C336-D336))</f>
        <v>900</v>
      </c>
      <c r="F336">
        <f>SUM(AH336:AS336)</f>
        <v>0</v>
      </c>
      <c r="G336">
        <f>SUM(AT336:BE336)</f>
        <v>0</v>
      </c>
      <c r="H336">
        <f>B336-G335</f>
        <v>0</v>
      </c>
      <c r="I336">
        <f>B336-G336</f>
        <v>0</v>
      </c>
      <c r="J336">
        <f>IF(AT335&lt;=0,0,IF(ROUND(AT335*(1+'Calc base'!H336),2)-MAX('Calc base'!C$12,ROUND('Calc base'!C$13*AT335,2))&lt;1,ROUND(AT335*(1+'Calc base'!H336),2),MAX('Calc base'!C$12,ROUND('Calc base'!C$13*AT335,2))))</f>
        <v>0</v>
      </c>
      <c r="K336">
        <f>IF(AU335&lt;=0,0,IF(ROUND(AU335*(1+'Calc base'!I336),2)-MAX('Calc base'!D$12,ROUND('Calc base'!D$13*AU335,2))&lt;1,ROUND(AU335*(1+'Calc base'!I336),2),MAX('Calc base'!D$12,ROUND('Calc base'!D$13*AU335,2))))</f>
        <v>0</v>
      </c>
      <c r="L336">
        <f>IF(AV335&lt;=0,0,IF(ROUND(AV335*(1+'Calc base'!J336),2)-MAX('Calc base'!E$12,ROUND('Calc base'!E$13*AV335,2))&lt;1,ROUND(AV335*(1+'Calc base'!J336),2),MAX('Calc base'!E$12,ROUND('Calc base'!E$13*AV335,2))))</f>
        <v>0</v>
      </c>
      <c r="M336">
        <f>IF(AW335&lt;=0,0,IF(ROUND(AW335*(1+'Calc base'!K336),2)-MAX('Calc base'!F$12,ROUND('Calc base'!F$13*AW335,2))&lt;1,ROUND(AW335*(1+'Calc base'!K336),2),MAX('Calc base'!F$12,ROUND('Calc base'!F$13*AW335,2))))</f>
        <v>0</v>
      </c>
      <c r="N336">
        <f>IF(AX335&lt;=0,0,IF(ROUND(AX335*(1+'Calc base'!L336),2)-MAX('Calc base'!G$12,ROUND('Calc base'!G$13*AX335,2))&lt;1,ROUND(AX335*(1+'Calc base'!L336),2),MAX('Calc base'!G$12,ROUND('Calc base'!G$13*AX335,2))))</f>
        <v>0</v>
      </c>
      <c r="O336">
        <f>IF(AY335&lt;=0,0,IF(ROUND(AY335*(1+'Calc base'!M336),2)-MAX('Calc base'!H$12,ROUND('Calc base'!H$13*AY335,2))&lt;1,ROUND(AY335*(1+'Calc base'!M336),2),MAX('Calc base'!H$12,ROUND('Calc base'!H$13*AY335,2))))</f>
        <v>0</v>
      </c>
      <c r="P336">
        <f>IF(AZ335&lt;=0,0,IF(ROUND(AZ335*(1+'Calc base'!N336),2)-MAX('Calc base'!I$12,ROUND('Calc base'!I$13*AZ335,2))&lt;1,ROUND(AZ335*(1+'Calc base'!N336),2),MAX('Calc base'!I$12,ROUND('Calc base'!I$13*AZ335,2))))</f>
        <v>0</v>
      </c>
      <c r="Q336">
        <f>IF(BA335&lt;=0,0,IF(ROUND(BA335*(1+'Calc base'!O336),2)-MAX('Calc base'!J$12,ROUND('Calc base'!J$13*BA335,2))&lt;1,ROUND(BA335*(1+'Calc base'!O336),2),MAX('Calc base'!J$12,ROUND('Calc base'!J$13*BA335,2))))</f>
        <v>0</v>
      </c>
      <c r="R336">
        <f>IF(BB335&lt;=0,0,IF(ROUND(BB335*(1+'Calc base'!P336),2)-MAX('Calc base'!K$12,ROUND('Calc base'!K$13*BB335,2))&lt;1,ROUND(BB335*(1+'Calc base'!P336),2),MAX('Calc base'!K$12,ROUND('Calc base'!K$13*BB335,2))))</f>
        <v>0</v>
      </c>
      <c r="S336">
        <f>IF(BC335&lt;=0,0,IF(ROUND(BC335*(1+'Calc base'!Q336),2)-MAX('Calc base'!L$12,ROUND('Calc base'!L$13*BC335,2))&lt;1,ROUND(BC335*(1+'Calc base'!Q336),2),MAX('Calc base'!L$12,ROUND('Calc base'!L$13*BC335,2))))</f>
        <v>0</v>
      </c>
      <c r="T336">
        <f>IF(BD335&lt;=0,0,IF(ROUND(BD335*(1+'Calc base'!R336),2)-MAX('Calc base'!M$12,ROUND('Calc base'!M$13*BD335,2))&lt;1,ROUND(BD335*(1+'Calc base'!R336),2),MAX('Calc base'!M$12,ROUND('Calc base'!M$13*BD335,2))))</f>
        <v>0</v>
      </c>
      <c r="U336">
        <f>IF(BE335&lt;=0,0,IF(ROUND(BE335*(1+'Calc base'!S336),2)-MAX('Calc base'!N$12,ROUND('Calc base'!N$13*BE335,2))&lt;1,ROUND(BE335*(1+'Calc base'!S336),2),MAX('Calc base'!N$12,ROUND('Calc base'!N$13*BE335,2))))</f>
        <v>0</v>
      </c>
      <c r="V336">
        <f>MAX(0,ROUND(AT335*(1+'Calc base'!H336),2)-J336-'Calc base'!T336)</f>
        <v>0</v>
      </c>
      <c r="W336">
        <f>MAX(0,ROUND(AU335*(1+'Calc base'!I336),2)-K336-'Calc base'!U336)</f>
        <v>0</v>
      </c>
      <c r="X336">
        <f>MAX(0,ROUND(AV335*(1+'Calc base'!J336),2)-L336-'Calc base'!V336)</f>
        <v>0</v>
      </c>
      <c r="Y336">
        <f>MAX(0,ROUND(AW335*(1+'Calc base'!K336),2)-M336-'Calc base'!W336)</f>
        <v>0</v>
      </c>
      <c r="Z336">
        <f>MAX(0,ROUND(AX335*(1+'Calc base'!L336),2)-N336-'Calc base'!X336)</f>
        <v>0</v>
      </c>
      <c r="AA336">
        <f>MAX(0,ROUND(AY335*(1+'Calc base'!M336),2)-O336-'Calc base'!Y336)</f>
        <v>0</v>
      </c>
      <c r="AB336">
        <f>MAX(0,ROUND(AZ335*(1+'Calc base'!N336),2)-P336-'Calc base'!Z336)</f>
        <v>0</v>
      </c>
      <c r="AC336">
        <f>MAX(0,ROUND(BA335*(1+'Calc base'!O336),2)-Q336-'Calc base'!AA336)</f>
        <v>0</v>
      </c>
      <c r="AD336">
        <f>MAX(0,ROUND(BB335*(1+'Calc base'!P336),2)-R336-'Calc base'!AB336)</f>
        <v>0</v>
      </c>
      <c r="AE336">
        <f>MAX(0,ROUND(BC335*(1+'Calc base'!Q336),2)-S336-'Calc base'!AC336)</f>
        <v>0</v>
      </c>
      <c r="AF336">
        <f>MAX(0,ROUND(BD335*(1+'Calc base'!R336),2)-T336-'Calc base'!AD336)</f>
        <v>0</v>
      </c>
      <c r="AG336">
        <f>MAX(0,ROUND(BE335*(1+'Calc base'!S336),2)-U336-'Calc base'!AE336)</f>
        <v>0</v>
      </c>
      <c r="AH336">
        <f>IF('Calc base'!C$14=0,0,MIN(V336,MAX(0,$E336-SUMPRODUCT($V336:$AG336,'Calc base'!$C$14:$N$14,('Calc base'!$H336:$S336&gt;'Calc base'!H336)+('Calc base'!$H336:$S336='Calc base'!H336)*('Calc base'!$C$17:$N$17&lt;'Calc base'!C$17)))))</f>
        <v>0</v>
      </c>
      <c r="AI336">
        <f>IF('Calc base'!D$14=0,0,MIN(W336,MAX(0,$E336-SUMPRODUCT($V336:$AG336,'Calc base'!$C$14:$N$14,('Calc base'!$H336:$S336&gt;'Calc base'!I336)+('Calc base'!$H336:$S336='Calc base'!I336)*('Calc base'!$C$17:$N$17&lt;'Calc base'!D$17)))))</f>
        <v>0</v>
      </c>
      <c r="AJ336">
        <f>IF('Calc base'!E$14=0,0,MIN(X336,MAX(0,$E336-SUMPRODUCT($V336:$AG336,'Calc base'!$C$14:$N$14,('Calc base'!$H336:$S336&gt;'Calc base'!J336)+('Calc base'!$H336:$S336='Calc base'!J336)*('Calc base'!$C$17:$N$17&lt;'Calc base'!E$17)))))</f>
        <v>0</v>
      </c>
      <c r="AK336">
        <f>IF('Calc base'!F$14=0,0,MIN(Y336,MAX(0,$E336-SUMPRODUCT($V336:$AG336,'Calc base'!$C$14:$N$14,('Calc base'!$H336:$S336&gt;'Calc base'!K336)+('Calc base'!$H336:$S336='Calc base'!K336)*('Calc base'!$C$17:$N$17&lt;'Calc base'!F$17)))))</f>
        <v>0</v>
      </c>
      <c r="AL336">
        <f>IF('Calc base'!G$14=0,0,MIN(Z336,MAX(0,$E336-SUMPRODUCT($V336:$AG336,'Calc base'!$C$14:$N$14,('Calc base'!$H336:$S336&gt;'Calc base'!L336)+('Calc base'!$H336:$S336='Calc base'!L336)*('Calc base'!$C$17:$N$17&lt;'Calc base'!G$17)))))</f>
        <v>0</v>
      </c>
      <c r="AM336">
        <f>IF('Calc base'!H$14=0,0,MIN(AA336,MAX(0,$E336-SUMPRODUCT($V336:$AG336,'Calc base'!$C$14:$N$14,('Calc base'!$H336:$S336&gt;'Calc base'!M336)+('Calc base'!$H336:$S336='Calc base'!M336)*('Calc base'!$C$17:$N$17&lt;'Calc base'!H$17)))))</f>
        <v>0</v>
      </c>
      <c r="AN336">
        <f>IF('Calc base'!I$14=0,0,MIN(AB336,MAX(0,$E336-SUMPRODUCT($V336:$AG336,'Calc base'!$C$14:$N$14,('Calc base'!$H336:$S336&gt;'Calc base'!N336)+('Calc base'!$H336:$S336='Calc base'!N336)*('Calc base'!$C$17:$N$17&lt;'Calc base'!I$17)))))</f>
        <v>0</v>
      </c>
      <c r="AO336">
        <f>IF('Calc base'!J$14=0,0,MIN(AC336,MAX(0,$E336-SUMPRODUCT($V336:$AG336,'Calc base'!$C$14:$N$14,('Calc base'!$H336:$S336&gt;'Calc base'!O336)+('Calc base'!$H336:$S336='Calc base'!O336)*('Calc base'!$C$17:$N$17&lt;'Calc base'!J$17)))))</f>
        <v>0</v>
      </c>
      <c r="AP336">
        <f>IF('Calc base'!K$14=0,0,MIN(AD336,MAX(0,$E336-SUMPRODUCT($V336:$AG336,'Calc base'!$C$14:$N$14,('Calc base'!$H336:$S336&gt;'Calc base'!P336)+('Calc base'!$H336:$S336='Calc base'!P336)*('Calc base'!$C$17:$N$17&lt;'Calc base'!K$17)))))</f>
        <v>0</v>
      </c>
      <c r="AQ336">
        <f>IF('Calc base'!L$14=0,0,MIN(AE336,MAX(0,$E336-SUMPRODUCT($V336:$AG336,'Calc base'!$C$14:$N$14,('Calc base'!$H336:$S336&gt;'Calc base'!Q336)+('Calc base'!$H336:$S336='Calc base'!Q336)*('Calc base'!$C$17:$N$17&lt;'Calc base'!L$17)))))</f>
        <v>0</v>
      </c>
      <c r="AR336">
        <f>IF('Calc base'!M$14=0,0,MIN(AF336,MAX(0,$E336-SUMPRODUCT($V336:$AG336,'Calc base'!$C$14:$N$14,('Calc base'!$H336:$S336&gt;'Calc base'!R336)+('Calc base'!$H336:$S336='Calc base'!R336)*('Calc base'!$C$17:$N$17&lt;'Calc base'!M$17)))))</f>
        <v>0</v>
      </c>
      <c r="AS336">
        <f>IF('Calc base'!N$14=0,0,MIN(AG336,MAX(0,$E336-SUMPRODUCT($V336:$AG336,'Calc base'!$C$14:$N$14,('Calc base'!$H336:$S336&gt;'Calc base'!S336)+('Calc base'!$H336:$S336='Calc base'!S336)*('Calc base'!$C$17:$N$17&lt;'Calc base'!N$17)))))</f>
        <v>0</v>
      </c>
      <c r="AT336">
        <f>V336-AH336</f>
        <v>0</v>
      </c>
      <c r="AU336">
        <f>W336-AI336</f>
        <v>0</v>
      </c>
      <c r="AV336">
        <f>X336-AJ336</f>
        <v>0</v>
      </c>
      <c r="AW336">
        <f>Y336-AK336</f>
        <v>0</v>
      </c>
      <c r="AX336">
        <f>Z336-AL336</f>
        <v>0</v>
      </c>
      <c r="AY336">
        <f>AA336-AM336</f>
        <v>0</v>
      </c>
      <c r="AZ336">
        <f>AB336-AN336</f>
        <v>0</v>
      </c>
      <c r="BA336">
        <f>AC336-AO336</f>
        <v>0</v>
      </c>
      <c r="BB336">
        <f>AD336-AP336</f>
        <v>0</v>
      </c>
      <c r="BC336">
        <f>AE336-AQ336</f>
        <v>0</v>
      </c>
      <c r="BD336">
        <f>AF336-AR336</f>
        <v>0</v>
      </c>
      <c r="BE336">
        <f>AG336-AS336</f>
        <v>0</v>
      </c>
    </row>
    <row r="337">
      <c r="A337" t="n">
        <v>307</v>
      </c>
      <c r="B337">
        <f>SUMPRODUCT(ROUND($AT336:$BE336*(1+'Calc base'!$H337:$S337),2))</f>
        <v>0</v>
      </c>
      <c r="C337">
        <f>SUM(J337:U337)</f>
        <v>0</v>
      </c>
      <c r="D337">
        <f>SUM(V337:AG337)</f>
        <v>0</v>
      </c>
      <c r="E337">
        <f>MAX(0,IF(Impostazioni!$B$7="No",'Calc base'!$C337-$C$31,'Calc base'!$C337-C337)+'Calc base'!$G337+'Calc base'!$F337-(B337-C337-D337))</f>
        <v>900</v>
      </c>
      <c r="F337">
        <f>SUM(AH337:AS337)</f>
        <v>0</v>
      </c>
      <c r="G337">
        <f>SUM(AT337:BE337)</f>
        <v>0</v>
      </c>
      <c r="H337">
        <f>B337-G336</f>
        <v>0</v>
      </c>
      <c r="I337">
        <f>B337-G337</f>
        <v>0</v>
      </c>
      <c r="J337">
        <f>IF(AT336&lt;=0,0,IF(ROUND(AT336*(1+'Calc base'!H337),2)-MAX('Calc base'!C$12,ROUND('Calc base'!C$13*AT336,2))&lt;1,ROUND(AT336*(1+'Calc base'!H337),2),MAX('Calc base'!C$12,ROUND('Calc base'!C$13*AT336,2))))</f>
        <v>0</v>
      </c>
      <c r="K337">
        <f>IF(AU336&lt;=0,0,IF(ROUND(AU336*(1+'Calc base'!I337),2)-MAX('Calc base'!D$12,ROUND('Calc base'!D$13*AU336,2))&lt;1,ROUND(AU336*(1+'Calc base'!I337),2),MAX('Calc base'!D$12,ROUND('Calc base'!D$13*AU336,2))))</f>
        <v>0</v>
      </c>
      <c r="L337">
        <f>IF(AV336&lt;=0,0,IF(ROUND(AV336*(1+'Calc base'!J337),2)-MAX('Calc base'!E$12,ROUND('Calc base'!E$13*AV336,2))&lt;1,ROUND(AV336*(1+'Calc base'!J337),2),MAX('Calc base'!E$12,ROUND('Calc base'!E$13*AV336,2))))</f>
        <v>0</v>
      </c>
      <c r="M337">
        <f>IF(AW336&lt;=0,0,IF(ROUND(AW336*(1+'Calc base'!K337),2)-MAX('Calc base'!F$12,ROUND('Calc base'!F$13*AW336,2))&lt;1,ROUND(AW336*(1+'Calc base'!K337),2),MAX('Calc base'!F$12,ROUND('Calc base'!F$13*AW336,2))))</f>
        <v>0</v>
      </c>
      <c r="N337">
        <f>IF(AX336&lt;=0,0,IF(ROUND(AX336*(1+'Calc base'!L337),2)-MAX('Calc base'!G$12,ROUND('Calc base'!G$13*AX336,2))&lt;1,ROUND(AX336*(1+'Calc base'!L337),2),MAX('Calc base'!G$12,ROUND('Calc base'!G$13*AX336,2))))</f>
        <v>0</v>
      </c>
      <c r="O337">
        <f>IF(AY336&lt;=0,0,IF(ROUND(AY336*(1+'Calc base'!M337),2)-MAX('Calc base'!H$12,ROUND('Calc base'!H$13*AY336,2))&lt;1,ROUND(AY336*(1+'Calc base'!M337),2),MAX('Calc base'!H$12,ROUND('Calc base'!H$13*AY336,2))))</f>
        <v>0</v>
      </c>
      <c r="P337">
        <f>IF(AZ336&lt;=0,0,IF(ROUND(AZ336*(1+'Calc base'!N337),2)-MAX('Calc base'!I$12,ROUND('Calc base'!I$13*AZ336,2))&lt;1,ROUND(AZ336*(1+'Calc base'!N337),2),MAX('Calc base'!I$12,ROUND('Calc base'!I$13*AZ336,2))))</f>
        <v>0</v>
      </c>
      <c r="Q337">
        <f>IF(BA336&lt;=0,0,IF(ROUND(BA336*(1+'Calc base'!O337),2)-MAX('Calc base'!J$12,ROUND('Calc base'!J$13*BA336,2))&lt;1,ROUND(BA336*(1+'Calc base'!O337),2),MAX('Calc base'!J$12,ROUND('Calc base'!J$13*BA336,2))))</f>
        <v>0</v>
      </c>
      <c r="R337">
        <f>IF(BB336&lt;=0,0,IF(ROUND(BB336*(1+'Calc base'!P337),2)-MAX('Calc base'!K$12,ROUND('Calc base'!K$13*BB336,2))&lt;1,ROUND(BB336*(1+'Calc base'!P337),2),MAX('Calc base'!K$12,ROUND('Calc base'!K$13*BB336,2))))</f>
        <v>0</v>
      </c>
      <c r="S337">
        <f>IF(BC336&lt;=0,0,IF(ROUND(BC336*(1+'Calc base'!Q337),2)-MAX('Calc base'!L$12,ROUND('Calc base'!L$13*BC336,2))&lt;1,ROUND(BC336*(1+'Calc base'!Q337),2),MAX('Calc base'!L$12,ROUND('Calc base'!L$13*BC336,2))))</f>
        <v>0</v>
      </c>
      <c r="T337">
        <f>IF(BD336&lt;=0,0,IF(ROUND(BD336*(1+'Calc base'!R337),2)-MAX('Calc base'!M$12,ROUND('Calc base'!M$13*BD336,2))&lt;1,ROUND(BD336*(1+'Calc base'!R337),2),MAX('Calc base'!M$12,ROUND('Calc base'!M$13*BD336,2))))</f>
        <v>0</v>
      </c>
      <c r="U337">
        <f>IF(BE336&lt;=0,0,IF(ROUND(BE336*(1+'Calc base'!S337),2)-MAX('Calc base'!N$12,ROUND('Calc base'!N$13*BE336,2))&lt;1,ROUND(BE336*(1+'Calc base'!S337),2),MAX('Calc base'!N$12,ROUND('Calc base'!N$13*BE336,2))))</f>
        <v>0</v>
      </c>
      <c r="V337">
        <f>MAX(0,ROUND(AT336*(1+'Calc base'!H337),2)-J337-'Calc base'!T337)</f>
        <v>0</v>
      </c>
      <c r="W337">
        <f>MAX(0,ROUND(AU336*(1+'Calc base'!I337),2)-K337-'Calc base'!U337)</f>
        <v>0</v>
      </c>
      <c r="X337">
        <f>MAX(0,ROUND(AV336*(1+'Calc base'!J337),2)-L337-'Calc base'!V337)</f>
        <v>0</v>
      </c>
      <c r="Y337">
        <f>MAX(0,ROUND(AW336*(1+'Calc base'!K337),2)-M337-'Calc base'!W337)</f>
        <v>0</v>
      </c>
      <c r="Z337">
        <f>MAX(0,ROUND(AX336*(1+'Calc base'!L337),2)-N337-'Calc base'!X337)</f>
        <v>0</v>
      </c>
      <c r="AA337">
        <f>MAX(0,ROUND(AY336*(1+'Calc base'!M337),2)-O337-'Calc base'!Y337)</f>
        <v>0</v>
      </c>
      <c r="AB337">
        <f>MAX(0,ROUND(AZ336*(1+'Calc base'!N337),2)-P337-'Calc base'!Z337)</f>
        <v>0</v>
      </c>
      <c r="AC337">
        <f>MAX(0,ROUND(BA336*(1+'Calc base'!O337),2)-Q337-'Calc base'!AA337)</f>
        <v>0</v>
      </c>
      <c r="AD337">
        <f>MAX(0,ROUND(BB336*(1+'Calc base'!P337),2)-R337-'Calc base'!AB337)</f>
        <v>0</v>
      </c>
      <c r="AE337">
        <f>MAX(0,ROUND(BC336*(1+'Calc base'!Q337),2)-S337-'Calc base'!AC337)</f>
        <v>0</v>
      </c>
      <c r="AF337">
        <f>MAX(0,ROUND(BD336*(1+'Calc base'!R337),2)-T337-'Calc base'!AD337)</f>
        <v>0</v>
      </c>
      <c r="AG337">
        <f>MAX(0,ROUND(BE336*(1+'Calc base'!S337),2)-U337-'Calc base'!AE337)</f>
        <v>0</v>
      </c>
      <c r="AH337">
        <f>IF('Calc base'!C$14=0,0,MIN(V337,MAX(0,$E337-SUMPRODUCT($V337:$AG337,'Calc base'!$C$14:$N$14,('Calc base'!$H337:$S337&gt;'Calc base'!H337)+('Calc base'!$H337:$S337='Calc base'!H337)*('Calc base'!$C$17:$N$17&lt;'Calc base'!C$17)))))</f>
        <v>0</v>
      </c>
      <c r="AI337">
        <f>IF('Calc base'!D$14=0,0,MIN(W337,MAX(0,$E337-SUMPRODUCT($V337:$AG337,'Calc base'!$C$14:$N$14,('Calc base'!$H337:$S337&gt;'Calc base'!I337)+('Calc base'!$H337:$S337='Calc base'!I337)*('Calc base'!$C$17:$N$17&lt;'Calc base'!D$17)))))</f>
        <v>0</v>
      </c>
      <c r="AJ337">
        <f>IF('Calc base'!E$14=0,0,MIN(X337,MAX(0,$E337-SUMPRODUCT($V337:$AG337,'Calc base'!$C$14:$N$14,('Calc base'!$H337:$S337&gt;'Calc base'!J337)+('Calc base'!$H337:$S337='Calc base'!J337)*('Calc base'!$C$17:$N$17&lt;'Calc base'!E$17)))))</f>
        <v>0</v>
      </c>
      <c r="AK337">
        <f>IF('Calc base'!F$14=0,0,MIN(Y337,MAX(0,$E337-SUMPRODUCT($V337:$AG337,'Calc base'!$C$14:$N$14,('Calc base'!$H337:$S337&gt;'Calc base'!K337)+('Calc base'!$H337:$S337='Calc base'!K337)*('Calc base'!$C$17:$N$17&lt;'Calc base'!F$17)))))</f>
        <v>0</v>
      </c>
      <c r="AL337">
        <f>IF('Calc base'!G$14=0,0,MIN(Z337,MAX(0,$E337-SUMPRODUCT($V337:$AG337,'Calc base'!$C$14:$N$14,('Calc base'!$H337:$S337&gt;'Calc base'!L337)+('Calc base'!$H337:$S337='Calc base'!L337)*('Calc base'!$C$17:$N$17&lt;'Calc base'!G$17)))))</f>
        <v>0</v>
      </c>
      <c r="AM337">
        <f>IF('Calc base'!H$14=0,0,MIN(AA337,MAX(0,$E337-SUMPRODUCT($V337:$AG337,'Calc base'!$C$14:$N$14,('Calc base'!$H337:$S337&gt;'Calc base'!M337)+('Calc base'!$H337:$S337='Calc base'!M337)*('Calc base'!$C$17:$N$17&lt;'Calc base'!H$17)))))</f>
        <v>0</v>
      </c>
      <c r="AN337">
        <f>IF('Calc base'!I$14=0,0,MIN(AB337,MAX(0,$E337-SUMPRODUCT($V337:$AG337,'Calc base'!$C$14:$N$14,('Calc base'!$H337:$S337&gt;'Calc base'!N337)+('Calc base'!$H337:$S337='Calc base'!N337)*('Calc base'!$C$17:$N$17&lt;'Calc base'!I$17)))))</f>
        <v>0</v>
      </c>
      <c r="AO337">
        <f>IF('Calc base'!J$14=0,0,MIN(AC337,MAX(0,$E337-SUMPRODUCT($V337:$AG337,'Calc base'!$C$14:$N$14,('Calc base'!$H337:$S337&gt;'Calc base'!O337)+('Calc base'!$H337:$S337='Calc base'!O337)*('Calc base'!$C$17:$N$17&lt;'Calc base'!J$17)))))</f>
        <v>0</v>
      </c>
      <c r="AP337">
        <f>IF('Calc base'!K$14=0,0,MIN(AD337,MAX(0,$E337-SUMPRODUCT($V337:$AG337,'Calc base'!$C$14:$N$14,('Calc base'!$H337:$S337&gt;'Calc base'!P337)+('Calc base'!$H337:$S337='Calc base'!P337)*('Calc base'!$C$17:$N$17&lt;'Calc base'!K$17)))))</f>
        <v>0</v>
      </c>
      <c r="AQ337">
        <f>IF('Calc base'!L$14=0,0,MIN(AE337,MAX(0,$E337-SUMPRODUCT($V337:$AG337,'Calc base'!$C$14:$N$14,('Calc base'!$H337:$S337&gt;'Calc base'!Q337)+('Calc base'!$H337:$S337='Calc base'!Q337)*('Calc base'!$C$17:$N$17&lt;'Calc base'!L$17)))))</f>
        <v>0</v>
      </c>
      <c r="AR337">
        <f>IF('Calc base'!M$14=0,0,MIN(AF337,MAX(0,$E337-SUMPRODUCT($V337:$AG337,'Calc base'!$C$14:$N$14,('Calc base'!$H337:$S337&gt;'Calc base'!R337)+('Calc base'!$H337:$S337='Calc base'!R337)*('Calc base'!$C$17:$N$17&lt;'Calc base'!M$17)))))</f>
        <v>0</v>
      </c>
      <c r="AS337">
        <f>IF('Calc base'!N$14=0,0,MIN(AG337,MAX(0,$E337-SUMPRODUCT($V337:$AG337,'Calc base'!$C$14:$N$14,('Calc base'!$H337:$S337&gt;'Calc base'!S337)+('Calc base'!$H337:$S337='Calc base'!S337)*('Calc base'!$C$17:$N$17&lt;'Calc base'!N$17)))))</f>
        <v>0</v>
      </c>
      <c r="AT337">
        <f>V337-AH337</f>
        <v>0</v>
      </c>
      <c r="AU337">
        <f>W337-AI337</f>
        <v>0</v>
      </c>
      <c r="AV337">
        <f>X337-AJ337</f>
        <v>0</v>
      </c>
      <c r="AW337">
        <f>Y337-AK337</f>
        <v>0</v>
      </c>
      <c r="AX337">
        <f>Z337-AL337</f>
        <v>0</v>
      </c>
      <c r="AY337">
        <f>AA337-AM337</f>
        <v>0</v>
      </c>
      <c r="AZ337">
        <f>AB337-AN337</f>
        <v>0</v>
      </c>
      <c r="BA337">
        <f>AC337-AO337</f>
        <v>0</v>
      </c>
      <c r="BB337">
        <f>AD337-AP337</f>
        <v>0</v>
      </c>
      <c r="BC337">
        <f>AE337-AQ337</f>
        <v>0</v>
      </c>
      <c r="BD337">
        <f>AF337-AR337</f>
        <v>0</v>
      </c>
      <c r="BE337">
        <f>AG337-AS337</f>
        <v>0</v>
      </c>
    </row>
    <row r="338">
      <c r="A338" t="n">
        <v>308</v>
      </c>
      <c r="B338">
        <f>SUMPRODUCT(ROUND($AT337:$BE337*(1+'Calc base'!$H338:$S338),2))</f>
        <v>0</v>
      </c>
      <c r="C338">
        <f>SUM(J338:U338)</f>
        <v>0</v>
      </c>
      <c r="D338">
        <f>SUM(V338:AG338)</f>
        <v>0</v>
      </c>
      <c r="E338">
        <f>MAX(0,IF(Impostazioni!$B$7="No",'Calc base'!$C338-$C$31,'Calc base'!$C338-C338)+'Calc base'!$G338+'Calc base'!$F338-(B338-C338-D338))</f>
        <v>900</v>
      </c>
      <c r="F338">
        <f>SUM(AH338:AS338)</f>
        <v>0</v>
      </c>
      <c r="G338">
        <f>SUM(AT338:BE338)</f>
        <v>0</v>
      </c>
      <c r="H338">
        <f>B338-G337</f>
        <v>0</v>
      </c>
      <c r="I338">
        <f>B338-G338</f>
        <v>0</v>
      </c>
      <c r="J338">
        <f>IF(AT337&lt;=0,0,IF(ROUND(AT337*(1+'Calc base'!H338),2)-MAX('Calc base'!C$12,ROUND('Calc base'!C$13*AT337,2))&lt;1,ROUND(AT337*(1+'Calc base'!H338),2),MAX('Calc base'!C$12,ROUND('Calc base'!C$13*AT337,2))))</f>
        <v>0</v>
      </c>
      <c r="K338">
        <f>IF(AU337&lt;=0,0,IF(ROUND(AU337*(1+'Calc base'!I338),2)-MAX('Calc base'!D$12,ROUND('Calc base'!D$13*AU337,2))&lt;1,ROUND(AU337*(1+'Calc base'!I338),2),MAX('Calc base'!D$12,ROUND('Calc base'!D$13*AU337,2))))</f>
        <v>0</v>
      </c>
      <c r="L338">
        <f>IF(AV337&lt;=0,0,IF(ROUND(AV337*(1+'Calc base'!J338),2)-MAX('Calc base'!E$12,ROUND('Calc base'!E$13*AV337,2))&lt;1,ROUND(AV337*(1+'Calc base'!J338),2),MAX('Calc base'!E$12,ROUND('Calc base'!E$13*AV337,2))))</f>
        <v>0</v>
      </c>
      <c r="M338">
        <f>IF(AW337&lt;=0,0,IF(ROUND(AW337*(1+'Calc base'!K338),2)-MAX('Calc base'!F$12,ROUND('Calc base'!F$13*AW337,2))&lt;1,ROUND(AW337*(1+'Calc base'!K338),2),MAX('Calc base'!F$12,ROUND('Calc base'!F$13*AW337,2))))</f>
        <v>0</v>
      </c>
      <c r="N338">
        <f>IF(AX337&lt;=0,0,IF(ROUND(AX337*(1+'Calc base'!L338),2)-MAX('Calc base'!G$12,ROUND('Calc base'!G$13*AX337,2))&lt;1,ROUND(AX337*(1+'Calc base'!L338),2),MAX('Calc base'!G$12,ROUND('Calc base'!G$13*AX337,2))))</f>
        <v>0</v>
      </c>
      <c r="O338">
        <f>IF(AY337&lt;=0,0,IF(ROUND(AY337*(1+'Calc base'!M338),2)-MAX('Calc base'!H$12,ROUND('Calc base'!H$13*AY337,2))&lt;1,ROUND(AY337*(1+'Calc base'!M338),2),MAX('Calc base'!H$12,ROUND('Calc base'!H$13*AY337,2))))</f>
        <v>0</v>
      </c>
      <c r="P338">
        <f>IF(AZ337&lt;=0,0,IF(ROUND(AZ337*(1+'Calc base'!N338),2)-MAX('Calc base'!I$12,ROUND('Calc base'!I$13*AZ337,2))&lt;1,ROUND(AZ337*(1+'Calc base'!N338),2),MAX('Calc base'!I$12,ROUND('Calc base'!I$13*AZ337,2))))</f>
        <v>0</v>
      </c>
      <c r="Q338">
        <f>IF(BA337&lt;=0,0,IF(ROUND(BA337*(1+'Calc base'!O338),2)-MAX('Calc base'!J$12,ROUND('Calc base'!J$13*BA337,2))&lt;1,ROUND(BA337*(1+'Calc base'!O338),2),MAX('Calc base'!J$12,ROUND('Calc base'!J$13*BA337,2))))</f>
        <v>0</v>
      </c>
      <c r="R338">
        <f>IF(BB337&lt;=0,0,IF(ROUND(BB337*(1+'Calc base'!P338),2)-MAX('Calc base'!K$12,ROUND('Calc base'!K$13*BB337,2))&lt;1,ROUND(BB337*(1+'Calc base'!P338),2),MAX('Calc base'!K$12,ROUND('Calc base'!K$13*BB337,2))))</f>
        <v>0</v>
      </c>
      <c r="S338">
        <f>IF(BC337&lt;=0,0,IF(ROUND(BC337*(1+'Calc base'!Q338),2)-MAX('Calc base'!L$12,ROUND('Calc base'!L$13*BC337,2))&lt;1,ROUND(BC337*(1+'Calc base'!Q338),2),MAX('Calc base'!L$12,ROUND('Calc base'!L$13*BC337,2))))</f>
        <v>0</v>
      </c>
      <c r="T338">
        <f>IF(BD337&lt;=0,0,IF(ROUND(BD337*(1+'Calc base'!R338),2)-MAX('Calc base'!M$12,ROUND('Calc base'!M$13*BD337,2))&lt;1,ROUND(BD337*(1+'Calc base'!R338),2),MAX('Calc base'!M$12,ROUND('Calc base'!M$13*BD337,2))))</f>
        <v>0</v>
      </c>
      <c r="U338">
        <f>IF(BE337&lt;=0,0,IF(ROUND(BE337*(1+'Calc base'!S338),2)-MAX('Calc base'!N$12,ROUND('Calc base'!N$13*BE337,2))&lt;1,ROUND(BE337*(1+'Calc base'!S338),2),MAX('Calc base'!N$12,ROUND('Calc base'!N$13*BE337,2))))</f>
        <v>0</v>
      </c>
      <c r="V338">
        <f>MAX(0,ROUND(AT337*(1+'Calc base'!H338),2)-J338-'Calc base'!T338)</f>
        <v>0</v>
      </c>
      <c r="W338">
        <f>MAX(0,ROUND(AU337*(1+'Calc base'!I338),2)-K338-'Calc base'!U338)</f>
        <v>0</v>
      </c>
      <c r="X338">
        <f>MAX(0,ROUND(AV337*(1+'Calc base'!J338),2)-L338-'Calc base'!V338)</f>
        <v>0</v>
      </c>
      <c r="Y338">
        <f>MAX(0,ROUND(AW337*(1+'Calc base'!K338),2)-M338-'Calc base'!W338)</f>
        <v>0</v>
      </c>
      <c r="Z338">
        <f>MAX(0,ROUND(AX337*(1+'Calc base'!L338),2)-N338-'Calc base'!X338)</f>
        <v>0</v>
      </c>
      <c r="AA338">
        <f>MAX(0,ROUND(AY337*(1+'Calc base'!M338),2)-O338-'Calc base'!Y338)</f>
        <v>0</v>
      </c>
      <c r="AB338">
        <f>MAX(0,ROUND(AZ337*(1+'Calc base'!N338),2)-P338-'Calc base'!Z338)</f>
        <v>0</v>
      </c>
      <c r="AC338">
        <f>MAX(0,ROUND(BA337*(1+'Calc base'!O338),2)-Q338-'Calc base'!AA338)</f>
        <v>0</v>
      </c>
      <c r="AD338">
        <f>MAX(0,ROUND(BB337*(1+'Calc base'!P338),2)-R338-'Calc base'!AB338)</f>
        <v>0</v>
      </c>
      <c r="AE338">
        <f>MAX(0,ROUND(BC337*(1+'Calc base'!Q338),2)-S338-'Calc base'!AC338)</f>
        <v>0</v>
      </c>
      <c r="AF338">
        <f>MAX(0,ROUND(BD337*(1+'Calc base'!R338),2)-T338-'Calc base'!AD338)</f>
        <v>0</v>
      </c>
      <c r="AG338">
        <f>MAX(0,ROUND(BE337*(1+'Calc base'!S338),2)-U338-'Calc base'!AE338)</f>
        <v>0</v>
      </c>
      <c r="AH338">
        <f>IF('Calc base'!C$14=0,0,MIN(V338,MAX(0,$E338-SUMPRODUCT($V338:$AG338,'Calc base'!$C$14:$N$14,('Calc base'!$H338:$S338&gt;'Calc base'!H338)+('Calc base'!$H338:$S338='Calc base'!H338)*('Calc base'!$C$17:$N$17&lt;'Calc base'!C$17)))))</f>
        <v>0</v>
      </c>
      <c r="AI338">
        <f>IF('Calc base'!D$14=0,0,MIN(W338,MAX(0,$E338-SUMPRODUCT($V338:$AG338,'Calc base'!$C$14:$N$14,('Calc base'!$H338:$S338&gt;'Calc base'!I338)+('Calc base'!$H338:$S338='Calc base'!I338)*('Calc base'!$C$17:$N$17&lt;'Calc base'!D$17)))))</f>
        <v>0</v>
      </c>
      <c r="AJ338">
        <f>IF('Calc base'!E$14=0,0,MIN(X338,MAX(0,$E338-SUMPRODUCT($V338:$AG338,'Calc base'!$C$14:$N$14,('Calc base'!$H338:$S338&gt;'Calc base'!J338)+('Calc base'!$H338:$S338='Calc base'!J338)*('Calc base'!$C$17:$N$17&lt;'Calc base'!E$17)))))</f>
        <v>0</v>
      </c>
      <c r="AK338">
        <f>IF('Calc base'!F$14=0,0,MIN(Y338,MAX(0,$E338-SUMPRODUCT($V338:$AG338,'Calc base'!$C$14:$N$14,('Calc base'!$H338:$S338&gt;'Calc base'!K338)+('Calc base'!$H338:$S338='Calc base'!K338)*('Calc base'!$C$17:$N$17&lt;'Calc base'!F$17)))))</f>
        <v>0</v>
      </c>
      <c r="AL338">
        <f>IF('Calc base'!G$14=0,0,MIN(Z338,MAX(0,$E338-SUMPRODUCT($V338:$AG338,'Calc base'!$C$14:$N$14,('Calc base'!$H338:$S338&gt;'Calc base'!L338)+('Calc base'!$H338:$S338='Calc base'!L338)*('Calc base'!$C$17:$N$17&lt;'Calc base'!G$17)))))</f>
        <v>0</v>
      </c>
      <c r="AM338">
        <f>IF('Calc base'!H$14=0,0,MIN(AA338,MAX(0,$E338-SUMPRODUCT($V338:$AG338,'Calc base'!$C$14:$N$14,('Calc base'!$H338:$S338&gt;'Calc base'!M338)+('Calc base'!$H338:$S338='Calc base'!M338)*('Calc base'!$C$17:$N$17&lt;'Calc base'!H$17)))))</f>
        <v>0</v>
      </c>
      <c r="AN338">
        <f>IF('Calc base'!I$14=0,0,MIN(AB338,MAX(0,$E338-SUMPRODUCT($V338:$AG338,'Calc base'!$C$14:$N$14,('Calc base'!$H338:$S338&gt;'Calc base'!N338)+('Calc base'!$H338:$S338='Calc base'!N338)*('Calc base'!$C$17:$N$17&lt;'Calc base'!I$17)))))</f>
        <v>0</v>
      </c>
      <c r="AO338">
        <f>IF('Calc base'!J$14=0,0,MIN(AC338,MAX(0,$E338-SUMPRODUCT($V338:$AG338,'Calc base'!$C$14:$N$14,('Calc base'!$H338:$S338&gt;'Calc base'!O338)+('Calc base'!$H338:$S338='Calc base'!O338)*('Calc base'!$C$17:$N$17&lt;'Calc base'!J$17)))))</f>
        <v>0</v>
      </c>
      <c r="AP338">
        <f>IF('Calc base'!K$14=0,0,MIN(AD338,MAX(0,$E338-SUMPRODUCT($V338:$AG338,'Calc base'!$C$14:$N$14,('Calc base'!$H338:$S338&gt;'Calc base'!P338)+('Calc base'!$H338:$S338='Calc base'!P338)*('Calc base'!$C$17:$N$17&lt;'Calc base'!K$17)))))</f>
        <v>0</v>
      </c>
      <c r="AQ338">
        <f>IF('Calc base'!L$14=0,0,MIN(AE338,MAX(0,$E338-SUMPRODUCT($V338:$AG338,'Calc base'!$C$14:$N$14,('Calc base'!$H338:$S338&gt;'Calc base'!Q338)+('Calc base'!$H338:$S338='Calc base'!Q338)*('Calc base'!$C$17:$N$17&lt;'Calc base'!L$17)))))</f>
        <v>0</v>
      </c>
      <c r="AR338">
        <f>IF('Calc base'!M$14=0,0,MIN(AF338,MAX(0,$E338-SUMPRODUCT($V338:$AG338,'Calc base'!$C$14:$N$14,('Calc base'!$H338:$S338&gt;'Calc base'!R338)+('Calc base'!$H338:$S338='Calc base'!R338)*('Calc base'!$C$17:$N$17&lt;'Calc base'!M$17)))))</f>
        <v>0</v>
      </c>
      <c r="AS338">
        <f>IF('Calc base'!N$14=0,0,MIN(AG338,MAX(0,$E338-SUMPRODUCT($V338:$AG338,'Calc base'!$C$14:$N$14,('Calc base'!$H338:$S338&gt;'Calc base'!S338)+('Calc base'!$H338:$S338='Calc base'!S338)*('Calc base'!$C$17:$N$17&lt;'Calc base'!N$17)))))</f>
        <v>0</v>
      </c>
      <c r="AT338">
        <f>V338-AH338</f>
        <v>0</v>
      </c>
      <c r="AU338">
        <f>W338-AI338</f>
        <v>0</v>
      </c>
      <c r="AV338">
        <f>X338-AJ338</f>
        <v>0</v>
      </c>
      <c r="AW338">
        <f>Y338-AK338</f>
        <v>0</v>
      </c>
      <c r="AX338">
        <f>Z338-AL338</f>
        <v>0</v>
      </c>
      <c r="AY338">
        <f>AA338-AM338</f>
        <v>0</v>
      </c>
      <c r="AZ338">
        <f>AB338-AN338</f>
        <v>0</v>
      </c>
      <c r="BA338">
        <f>AC338-AO338</f>
        <v>0</v>
      </c>
      <c r="BB338">
        <f>AD338-AP338</f>
        <v>0</v>
      </c>
      <c r="BC338">
        <f>AE338-AQ338</f>
        <v>0</v>
      </c>
      <c r="BD338">
        <f>AF338-AR338</f>
        <v>0</v>
      </c>
      <c r="BE338">
        <f>AG338-AS338</f>
        <v>0</v>
      </c>
    </row>
    <row r="339">
      <c r="A339" t="n">
        <v>309</v>
      </c>
      <c r="B339">
        <f>SUMPRODUCT(ROUND($AT338:$BE338*(1+'Calc base'!$H339:$S339),2))</f>
        <v>0</v>
      </c>
      <c r="C339">
        <f>SUM(J339:U339)</f>
        <v>0</v>
      </c>
      <c r="D339">
        <f>SUM(V339:AG339)</f>
        <v>0</v>
      </c>
      <c r="E339">
        <f>MAX(0,IF(Impostazioni!$B$7="No",'Calc base'!$C339-$C$31,'Calc base'!$C339-C339)+'Calc base'!$G339+'Calc base'!$F339-(B339-C339-D339))</f>
        <v>900</v>
      </c>
      <c r="F339">
        <f>SUM(AH339:AS339)</f>
        <v>0</v>
      </c>
      <c r="G339">
        <f>SUM(AT339:BE339)</f>
        <v>0</v>
      </c>
      <c r="H339">
        <f>B339-G338</f>
        <v>0</v>
      </c>
      <c r="I339">
        <f>B339-G339</f>
        <v>0</v>
      </c>
      <c r="J339">
        <f>IF(AT338&lt;=0,0,IF(ROUND(AT338*(1+'Calc base'!H339),2)-MAX('Calc base'!C$12,ROUND('Calc base'!C$13*AT338,2))&lt;1,ROUND(AT338*(1+'Calc base'!H339),2),MAX('Calc base'!C$12,ROUND('Calc base'!C$13*AT338,2))))</f>
        <v>0</v>
      </c>
      <c r="K339">
        <f>IF(AU338&lt;=0,0,IF(ROUND(AU338*(1+'Calc base'!I339),2)-MAX('Calc base'!D$12,ROUND('Calc base'!D$13*AU338,2))&lt;1,ROUND(AU338*(1+'Calc base'!I339),2),MAX('Calc base'!D$12,ROUND('Calc base'!D$13*AU338,2))))</f>
        <v>0</v>
      </c>
      <c r="L339">
        <f>IF(AV338&lt;=0,0,IF(ROUND(AV338*(1+'Calc base'!J339),2)-MAX('Calc base'!E$12,ROUND('Calc base'!E$13*AV338,2))&lt;1,ROUND(AV338*(1+'Calc base'!J339),2),MAX('Calc base'!E$12,ROUND('Calc base'!E$13*AV338,2))))</f>
        <v>0</v>
      </c>
      <c r="M339">
        <f>IF(AW338&lt;=0,0,IF(ROUND(AW338*(1+'Calc base'!K339),2)-MAX('Calc base'!F$12,ROUND('Calc base'!F$13*AW338,2))&lt;1,ROUND(AW338*(1+'Calc base'!K339),2),MAX('Calc base'!F$12,ROUND('Calc base'!F$13*AW338,2))))</f>
        <v>0</v>
      </c>
      <c r="N339">
        <f>IF(AX338&lt;=0,0,IF(ROUND(AX338*(1+'Calc base'!L339),2)-MAX('Calc base'!G$12,ROUND('Calc base'!G$13*AX338,2))&lt;1,ROUND(AX338*(1+'Calc base'!L339),2),MAX('Calc base'!G$12,ROUND('Calc base'!G$13*AX338,2))))</f>
        <v>0</v>
      </c>
      <c r="O339">
        <f>IF(AY338&lt;=0,0,IF(ROUND(AY338*(1+'Calc base'!M339),2)-MAX('Calc base'!H$12,ROUND('Calc base'!H$13*AY338,2))&lt;1,ROUND(AY338*(1+'Calc base'!M339),2),MAX('Calc base'!H$12,ROUND('Calc base'!H$13*AY338,2))))</f>
        <v>0</v>
      </c>
      <c r="P339">
        <f>IF(AZ338&lt;=0,0,IF(ROUND(AZ338*(1+'Calc base'!N339),2)-MAX('Calc base'!I$12,ROUND('Calc base'!I$13*AZ338,2))&lt;1,ROUND(AZ338*(1+'Calc base'!N339),2),MAX('Calc base'!I$12,ROUND('Calc base'!I$13*AZ338,2))))</f>
        <v>0</v>
      </c>
      <c r="Q339">
        <f>IF(BA338&lt;=0,0,IF(ROUND(BA338*(1+'Calc base'!O339),2)-MAX('Calc base'!J$12,ROUND('Calc base'!J$13*BA338,2))&lt;1,ROUND(BA338*(1+'Calc base'!O339),2),MAX('Calc base'!J$12,ROUND('Calc base'!J$13*BA338,2))))</f>
        <v>0</v>
      </c>
      <c r="R339">
        <f>IF(BB338&lt;=0,0,IF(ROUND(BB338*(1+'Calc base'!P339),2)-MAX('Calc base'!K$12,ROUND('Calc base'!K$13*BB338,2))&lt;1,ROUND(BB338*(1+'Calc base'!P339),2),MAX('Calc base'!K$12,ROUND('Calc base'!K$13*BB338,2))))</f>
        <v>0</v>
      </c>
      <c r="S339">
        <f>IF(BC338&lt;=0,0,IF(ROUND(BC338*(1+'Calc base'!Q339),2)-MAX('Calc base'!L$12,ROUND('Calc base'!L$13*BC338,2))&lt;1,ROUND(BC338*(1+'Calc base'!Q339),2),MAX('Calc base'!L$12,ROUND('Calc base'!L$13*BC338,2))))</f>
        <v>0</v>
      </c>
      <c r="T339">
        <f>IF(BD338&lt;=0,0,IF(ROUND(BD338*(1+'Calc base'!R339),2)-MAX('Calc base'!M$12,ROUND('Calc base'!M$13*BD338,2))&lt;1,ROUND(BD338*(1+'Calc base'!R339),2),MAX('Calc base'!M$12,ROUND('Calc base'!M$13*BD338,2))))</f>
        <v>0</v>
      </c>
      <c r="U339">
        <f>IF(BE338&lt;=0,0,IF(ROUND(BE338*(1+'Calc base'!S339),2)-MAX('Calc base'!N$12,ROUND('Calc base'!N$13*BE338,2))&lt;1,ROUND(BE338*(1+'Calc base'!S339),2),MAX('Calc base'!N$12,ROUND('Calc base'!N$13*BE338,2))))</f>
        <v>0</v>
      </c>
      <c r="V339">
        <f>MAX(0,ROUND(AT338*(1+'Calc base'!H339),2)-J339-'Calc base'!T339)</f>
        <v>0</v>
      </c>
      <c r="W339">
        <f>MAX(0,ROUND(AU338*(1+'Calc base'!I339),2)-K339-'Calc base'!U339)</f>
        <v>0</v>
      </c>
      <c r="X339">
        <f>MAX(0,ROUND(AV338*(1+'Calc base'!J339),2)-L339-'Calc base'!V339)</f>
        <v>0</v>
      </c>
      <c r="Y339">
        <f>MAX(0,ROUND(AW338*(1+'Calc base'!K339),2)-M339-'Calc base'!W339)</f>
        <v>0</v>
      </c>
      <c r="Z339">
        <f>MAX(0,ROUND(AX338*(1+'Calc base'!L339),2)-N339-'Calc base'!X339)</f>
        <v>0</v>
      </c>
      <c r="AA339">
        <f>MAX(0,ROUND(AY338*(1+'Calc base'!M339),2)-O339-'Calc base'!Y339)</f>
        <v>0</v>
      </c>
      <c r="AB339">
        <f>MAX(0,ROUND(AZ338*(1+'Calc base'!N339),2)-P339-'Calc base'!Z339)</f>
        <v>0</v>
      </c>
      <c r="AC339">
        <f>MAX(0,ROUND(BA338*(1+'Calc base'!O339),2)-Q339-'Calc base'!AA339)</f>
        <v>0</v>
      </c>
      <c r="AD339">
        <f>MAX(0,ROUND(BB338*(1+'Calc base'!P339),2)-R339-'Calc base'!AB339)</f>
        <v>0</v>
      </c>
      <c r="AE339">
        <f>MAX(0,ROUND(BC338*(1+'Calc base'!Q339),2)-S339-'Calc base'!AC339)</f>
        <v>0</v>
      </c>
      <c r="AF339">
        <f>MAX(0,ROUND(BD338*(1+'Calc base'!R339),2)-T339-'Calc base'!AD339)</f>
        <v>0</v>
      </c>
      <c r="AG339">
        <f>MAX(0,ROUND(BE338*(1+'Calc base'!S339),2)-U339-'Calc base'!AE339)</f>
        <v>0</v>
      </c>
      <c r="AH339">
        <f>IF('Calc base'!C$14=0,0,MIN(V339,MAX(0,$E339-SUMPRODUCT($V339:$AG339,'Calc base'!$C$14:$N$14,('Calc base'!$H339:$S339&gt;'Calc base'!H339)+('Calc base'!$H339:$S339='Calc base'!H339)*('Calc base'!$C$17:$N$17&lt;'Calc base'!C$17)))))</f>
        <v>0</v>
      </c>
      <c r="AI339">
        <f>IF('Calc base'!D$14=0,0,MIN(W339,MAX(0,$E339-SUMPRODUCT($V339:$AG339,'Calc base'!$C$14:$N$14,('Calc base'!$H339:$S339&gt;'Calc base'!I339)+('Calc base'!$H339:$S339='Calc base'!I339)*('Calc base'!$C$17:$N$17&lt;'Calc base'!D$17)))))</f>
        <v>0</v>
      </c>
      <c r="AJ339">
        <f>IF('Calc base'!E$14=0,0,MIN(X339,MAX(0,$E339-SUMPRODUCT($V339:$AG339,'Calc base'!$C$14:$N$14,('Calc base'!$H339:$S339&gt;'Calc base'!J339)+('Calc base'!$H339:$S339='Calc base'!J339)*('Calc base'!$C$17:$N$17&lt;'Calc base'!E$17)))))</f>
        <v>0</v>
      </c>
      <c r="AK339">
        <f>IF('Calc base'!F$14=0,0,MIN(Y339,MAX(0,$E339-SUMPRODUCT($V339:$AG339,'Calc base'!$C$14:$N$14,('Calc base'!$H339:$S339&gt;'Calc base'!K339)+('Calc base'!$H339:$S339='Calc base'!K339)*('Calc base'!$C$17:$N$17&lt;'Calc base'!F$17)))))</f>
        <v>0</v>
      </c>
      <c r="AL339">
        <f>IF('Calc base'!G$14=0,0,MIN(Z339,MAX(0,$E339-SUMPRODUCT($V339:$AG339,'Calc base'!$C$14:$N$14,('Calc base'!$H339:$S339&gt;'Calc base'!L339)+('Calc base'!$H339:$S339='Calc base'!L339)*('Calc base'!$C$17:$N$17&lt;'Calc base'!G$17)))))</f>
        <v>0</v>
      </c>
      <c r="AM339">
        <f>IF('Calc base'!H$14=0,0,MIN(AA339,MAX(0,$E339-SUMPRODUCT($V339:$AG339,'Calc base'!$C$14:$N$14,('Calc base'!$H339:$S339&gt;'Calc base'!M339)+('Calc base'!$H339:$S339='Calc base'!M339)*('Calc base'!$C$17:$N$17&lt;'Calc base'!H$17)))))</f>
        <v>0</v>
      </c>
      <c r="AN339">
        <f>IF('Calc base'!I$14=0,0,MIN(AB339,MAX(0,$E339-SUMPRODUCT($V339:$AG339,'Calc base'!$C$14:$N$14,('Calc base'!$H339:$S339&gt;'Calc base'!N339)+('Calc base'!$H339:$S339='Calc base'!N339)*('Calc base'!$C$17:$N$17&lt;'Calc base'!I$17)))))</f>
        <v>0</v>
      </c>
      <c r="AO339">
        <f>IF('Calc base'!J$14=0,0,MIN(AC339,MAX(0,$E339-SUMPRODUCT($V339:$AG339,'Calc base'!$C$14:$N$14,('Calc base'!$H339:$S339&gt;'Calc base'!O339)+('Calc base'!$H339:$S339='Calc base'!O339)*('Calc base'!$C$17:$N$17&lt;'Calc base'!J$17)))))</f>
        <v>0</v>
      </c>
      <c r="AP339">
        <f>IF('Calc base'!K$14=0,0,MIN(AD339,MAX(0,$E339-SUMPRODUCT($V339:$AG339,'Calc base'!$C$14:$N$14,('Calc base'!$H339:$S339&gt;'Calc base'!P339)+('Calc base'!$H339:$S339='Calc base'!P339)*('Calc base'!$C$17:$N$17&lt;'Calc base'!K$17)))))</f>
        <v>0</v>
      </c>
      <c r="AQ339">
        <f>IF('Calc base'!L$14=0,0,MIN(AE339,MAX(0,$E339-SUMPRODUCT($V339:$AG339,'Calc base'!$C$14:$N$14,('Calc base'!$H339:$S339&gt;'Calc base'!Q339)+('Calc base'!$H339:$S339='Calc base'!Q339)*('Calc base'!$C$17:$N$17&lt;'Calc base'!L$17)))))</f>
        <v>0</v>
      </c>
      <c r="AR339">
        <f>IF('Calc base'!M$14=0,0,MIN(AF339,MAX(0,$E339-SUMPRODUCT($V339:$AG339,'Calc base'!$C$14:$N$14,('Calc base'!$H339:$S339&gt;'Calc base'!R339)+('Calc base'!$H339:$S339='Calc base'!R339)*('Calc base'!$C$17:$N$17&lt;'Calc base'!M$17)))))</f>
        <v>0</v>
      </c>
      <c r="AS339">
        <f>IF('Calc base'!N$14=0,0,MIN(AG339,MAX(0,$E339-SUMPRODUCT($V339:$AG339,'Calc base'!$C$14:$N$14,('Calc base'!$H339:$S339&gt;'Calc base'!S339)+('Calc base'!$H339:$S339='Calc base'!S339)*('Calc base'!$C$17:$N$17&lt;'Calc base'!N$17)))))</f>
        <v>0</v>
      </c>
      <c r="AT339">
        <f>V339-AH339</f>
        <v>0</v>
      </c>
      <c r="AU339">
        <f>W339-AI339</f>
        <v>0</v>
      </c>
      <c r="AV339">
        <f>X339-AJ339</f>
        <v>0</v>
      </c>
      <c r="AW339">
        <f>Y339-AK339</f>
        <v>0</v>
      </c>
      <c r="AX339">
        <f>Z339-AL339</f>
        <v>0</v>
      </c>
      <c r="AY339">
        <f>AA339-AM339</f>
        <v>0</v>
      </c>
      <c r="AZ339">
        <f>AB339-AN339</f>
        <v>0</v>
      </c>
      <c r="BA339">
        <f>AC339-AO339</f>
        <v>0</v>
      </c>
      <c r="BB339">
        <f>AD339-AP339</f>
        <v>0</v>
      </c>
      <c r="BC339">
        <f>AE339-AQ339</f>
        <v>0</v>
      </c>
      <c r="BD339">
        <f>AF339-AR339</f>
        <v>0</v>
      </c>
      <c r="BE339">
        <f>AG339-AS339</f>
        <v>0</v>
      </c>
    </row>
    <row r="340">
      <c r="A340" t="n">
        <v>310</v>
      </c>
      <c r="B340">
        <f>SUMPRODUCT(ROUND($AT339:$BE339*(1+'Calc base'!$H340:$S340),2))</f>
        <v>0</v>
      </c>
      <c r="C340">
        <f>SUM(J340:U340)</f>
        <v>0</v>
      </c>
      <c r="D340">
        <f>SUM(V340:AG340)</f>
        <v>0</v>
      </c>
      <c r="E340">
        <f>MAX(0,IF(Impostazioni!$B$7="No",'Calc base'!$C340-$C$31,'Calc base'!$C340-C340)+'Calc base'!$G340+'Calc base'!$F340-(B340-C340-D340))</f>
        <v>900</v>
      </c>
      <c r="F340">
        <f>SUM(AH340:AS340)</f>
        <v>0</v>
      </c>
      <c r="G340">
        <f>SUM(AT340:BE340)</f>
        <v>0</v>
      </c>
      <c r="H340">
        <f>B340-G339</f>
        <v>0</v>
      </c>
      <c r="I340">
        <f>B340-G340</f>
        <v>0</v>
      </c>
      <c r="J340">
        <f>IF(AT339&lt;=0,0,IF(ROUND(AT339*(1+'Calc base'!H340),2)-MAX('Calc base'!C$12,ROUND('Calc base'!C$13*AT339,2))&lt;1,ROUND(AT339*(1+'Calc base'!H340),2),MAX('Calc base'!C$12,ROUND('Calc base'!C$13*AT339,2))))</f>
        <v>0</v>
      </c>
      <c r="K340">
        <f>IF(AU339&lt;=0,0,IF(ROUND(AU339*(1+'Calc base'!I340),2)-MAX('Calc base'!D$12,ROUND('Calc base'!D$13*AU339,2))&lt;1,ROUND(AU339*(1+'Calc base'!I340),2),MAX('Calc base'!D$12,ROUND('Calc base'!D$13*AU339,2))))</f>
        <v>0</v>
      </c>
      <c r="L340">
        <f>IF(AV339&lt;=0,0,IF(ROUND(AV339*(1+'Calc base'!J340),2)-MAX('Calc base'!E$12,ROUND('Calc base'!E$13*AV339,2))&lt;1,ROUND(AV339*(1+'Calc base'!J340),2),MAX('Calc base'!E$12,ROUND('Calc base'!E$13*AV339,2))))</f>
        <v>0</v>
      </c>
      <c r="M340">
        <f>IF(AW339&lt;=0,0,IF(ROUND(AW339*(1+'Calc base'!K340),2)-MAX('Calc base'!F$12,ROUND('Calc base'!F$13*AW339,2))&lt;1,ROUND(AW339*(1+'Calc base'!K340),2),MAX('Calc base'!F$12,ROUND('Calc base'!F$13*AW339,2))))</f>
        <v>0</v>
      </c>
      <c r="N340">
        <f>IF(AX339&lt;=0,0,IF(ROUND(AX339*(1+'Calc base'!L340),2)-MAX('Calc base'!G$12,ROUND('Calc base'!G$13*AX339,2))&lt;1,ROUND(AX339*(1+'Calc base'!L340),2),MAX('Calc base'!G$12,ROUND('Calc base'!G$13*AX339,2))))</f>
        <v>0</v>
      </c>
      <c r="O340">
        <f>IF(AY339&lt;=0,0,IF(ROUND(AY339*(1+'Calc base'!M340),2)-MAX('Calc base'!H$12,ROUND('Calc base'!H$13*AY339,2))&lt;1,ROUND(AY339*(1+'Calc base'!M340),2),MAX('Calc base'!H$12,ROUND('Calc base'!H$13*AY339,2))))</f>
        <v>0</v>
      </c>
      <c r="P340">
        <f>IF(AZ339&lt;=0,0,IF(ROUND(AZ339*(1+'Calc base'!N340),2)-MAX('Calc base'!I$12,ROUND('Calc base'!I$13*AZ339,2))&lt;1,ROUND(AZ339*(1+'Calc base'!N340),2),MAX('Calc base'!I$12,ROUND('Calc base'!I$13*AZ339,2))))</f>
        <v>0</v>
      </c>
      <c r="Q340">
        <f>IF(BA339&lt;=0,0,IF(ROUND(BA339*(1+'Calc base'!O340),2)-MAX('Calc base'!J$12,ROUND('Calc base'!J$13*BA339,2))&lt;1,ROUND(BA339*(1+'Calc base'!O340),2),MAX('Calc base'!J$12,ROUND('Calc base'!J$13*BA339,2))))</f>
        <v>0</v>
      </c>
      <c r="R340">
        <f>IF(BB339&lt;=0,0,IF(ROUND(BB339*(1+'Calc base'!P340),2)-MAX('Calc base'!K$12,ROUND('Calc base'!K$13*BB339,2))&lt;1,ROUND(BB339*(1+'Calc base'!P340),2),MAX('Calc base'!K$12,ROUND('Calc base'!K$13*BB339,2))))</f>
        <v>0</v>
      </c>
      <c r="S340">
        <f>IF(BC339&lt;=0,0,IF(ROUND(BC339*(1+'Calc base'!Q340),2)-MAX('Calc base'!L$12,ROUND('Calc base'!L$13*BC339,2))&lt;1,ROUND(BC339*(1+'Calc base'!Q340),2),MAX('Calc base'!L$12,ROUND('Calc base'!L$13*BC339,2))))</f>
        <v>0</v>
      </c>
      <c r="T340">
        <f>IF(BD339&lt;=0,0,IF(ROUND(BD339*(1+'Calc base'!R340),2)-MAX('Calc base'!M$12,ROUND('Calc base'!M$13*BD339,2))&lt;1,ROUND(BD339*(1+'Calc base'!R340),2),MAX('Calc base'!M$12,ROUND('Calc base'!M$13*BD339,2))))</f>
        <v>0</v>
      </c>
      <c r="U340">
        <f>IF(BE339&lt;=0,0,IF(ROUND(BE339*(1+'Calc base'!S340),2)-MAX('Calc base'!N$12,ROUND('Calc base'!N$13*BE339,2))&lt;1,ROUND(BE339*(1+'Calc base'!S340),2),MAX('Calc base'!N$12,ROUND('Calc base'!N$13*BE339,2))))</f>
        <v>0</v>
      </c>
      <c r="V340">
        <f>MAX(0,ROUND(AT339*(1+'Calc base'!H340),2)-J340-'Calc base'!T340)</f>
        <v>0</v>
      </c>
      <c r="W340">
        <f>MAX(0,ROUND(AU339*(1+'Calc base'!I340),2)-K340-'Calc base'!U340)</f>
        <v>0</v>
      </c>
      <c r="X340">
        <f>MAX(0,ROUND(AV339*(1+'Calc base'!J340),2)-L340-'Calc base'!V340)</f>
        <v>0</v>
      </c>
      <c r="Y340">
        <f>MAX(0,ROUND(AW339*(1+'Calc base'!K340),2)-M340-'Calc base'!W340)</f>
        <v>0</v>
      </c>
      <c r="Z340">
        <f>MAX(0,ROUND(AX339*(1+'Calc base'!L340),2)-N340-'Calc base'!X340)</f>
        <v>0</v>
      </c>
      <c r="AA340">
        <f>MAX(0,ROUND(AY339*(1+'Calc base'!M340),2)-O340-'Calc base'!Y340)</f>
        <v>0</v>
      </c>
      <c r="AB340">
        <f>MAX(0,ROUND(AZ339*(1+'Calc base'!N340),2)-P340-'Calc base'!Z340)</f>
        <v>0</v>
      </c>
      <c r="AC340">
        <f>MAX(0,ROUND(BA339*(1+'Calc base'!O340),2)-Q340-'Calc base'!AA340)</f>
        <v>0</v>
      </c>
      <c r="AD340">
        <f>MAX(0,ROUND(BB339*(1+'Calc base'!P340),2)-R340-'Calc base'!AB340)</f>
        <v>0</v>
      </c>
      <c r="AE340">
        <f>MAX(0,ROUND(BC339*(1+'Calc base'!Q340),2)-S340-'Calc base'!AC340)</f>
        <v>0</v>
      </c>
      <c r="AF340">
        <f>MAX(0,ROUND(BD339*(1+'Calc base'!R340),2)-T340-'Calc base'!AD340)</f>
        <v>0</v>
      </c>
      <c r="AG340">
        <f>MAX(0,ROUND(BE339*(1+'Calc base'!S340),2)-U340-'Calc base'!AE340)</f>
        <v>0</v>
      </c>
      <c r="AH340">
        <f>IF('Calc base'!C$14=0,0,MIN(V340,MAX(0,$E340-SUMPRODUCT($V340:$AG340,'Calc base'!$C$14:$N$14,('Calc base'!$H340:$S340&gt;'Calc base'!H340)+('Calc base'!$H340:$S340='Calc base'!H340)*('Calc base'!$C$17:$N$17&lt;'Calc base'!C$17)))))</f>
        <v>0</v>
      </c>
      <c r="AI340">
        <f>IF('Calc base'!D$14=0,0,MIN(W340,MAX(0,$E340-SUMPRODUCT($V340:$AG340,'Calc base'!$C$14:$N$14,('Calc base'!$H340:$S340&gt;'Calc base'!I340)+('Calc base'!$H340:$S340='Calc base'!I340)*('Calc base'!$C$17:$N$17&lt;'Calc base'!D$17)))))</f>
        <v>0</v>
      </c>
      <c r="AJ340">
        <f>IF('Calc base'!E$14=0,0,MIN(X340,MAX(0,$E340-SUMPRODUCT($V340:$AG340,'Calc base'!$C$14:$N$14,('Calc base'!$H340:$S340&gt;'Calc base'!J340)+('Calc base'!$H340:$S340='Calc base'!J340)*('Calc base'!$C$17:$N$17&lt;'Calc base'!E$17)))))</f>
        <v>0</v>
      </c>
      <c r="AK340">
        <f>IF('Calc base'!F$14=0,0,MIN(Y340,MAX(0,$E340-SUMPRODUCT($V340:$AG340,'Calc base'!$C$14:$N$14,('Calc base'!$H340:$S340&gt;'Calc base'!K340)+('Calc base'!$H340:$S340='Calc base'!K340)*('Calc base'!$C$17:$N$17&lt;'Calc base'!F$17)))))</f>
        <v>0</v>
      </c>
      <c r="AL340">
        <f>IF('Calc base'!G$14=0,0,MIN(Z340,MAX(0,$E340-SUMPRODUCT($V340:$AG340,'Calc base'!$C$14:$N$14,('Calc base'!$H340:$S340&gt;'Calc base'!L340)+('Calc base'!$H340:$S340='Calc base'!L340)*('Calc base'!$C$17:$N$17&lt;'Calc base'!G$17)))))</f>
        <v>0</v>
      </c>
      <c r="AM340">
        <f>IF('Calc base'!H$14=0,0,MIN(AA340,MAX(0,$E340-SUMPRODUCT($V340:$AG340,'Calc base'!$C$14:$N$14,('Calc base'!$H340:$S340&gt;'Calc base'!M340)+('Calc base'!$H340:$S340='Calc base'!M340)*('Calc base'!$C$17:$N$17&lt;'Calc base'!H$17)))))</f>
        <v>0</v>
      </c>
      <c r="AN340">
        <f>IF('Calc base'!I$14=0,0,MIN(AB340,MAX(0,$E340-SUMPRODUCT($V340:$AG340,'Calc base'!$C$14:$N$14,('Calc base'!$H340:$S340&gt;'Calc base'!N340)+('Calc base'!$H340:$S340='Calc base'!N340)*('Calc base'!$C$17:$N$17&lt;'Calc base'!I$17)))))</f>
        <v>0</v>
      </c>
      <c r="AO340">
        <f>IF('Calc base'!J$14=0,0,MIN(AC340,MAX(0,$E340-SUMPRODUCT($V340:$AG340,'Calc base'!$C$14:$N$14,('Calc base'!$H340:$S340&gt;'Calc base'!O340)+('Calc base'!$H340:$S340='Calc base'!O340)*('Calc base'!$C$17:$N$17&lt;'Calc base'!J$17)))))</f>
        <v>0</v>
      </c>
      <c r="AP340">
        <f>IF('Calc base'!K$14=0,0,MIN(AD340,MAX(0,$E340-SUMPRODUCT($V340:$AG340,'Calc base'!$C$14:$N$14,('Calc base'!$H340:$S340&gt;'Calc base'!P340)+('Calc base'!$H340:$S340='Calc base'!P340)*('Calc base'!$C$17:$N$17&lt;'Calc base'!K$17)))))</f>
        <v>0</v>
      </c>
      <c r="AQ340">
        <f>IF('Calc base'!L$14=0,0,MIN(AE340,MAX(0,$E340-SUMPRODUCT($V340:$AG340,'Calc base'!$C$14:$N$14,('Calc base'!$H340:$S340&gt;'Calc base'!Q340)+('Calc base'!$H340:$S340='Calc base'!Q340)*('Calc base'!$C$17:$N$17&lt;'Calc base'!L$17)))))</f>
        <v>0</v>
      </c>
      <c r="AR340">
        <f>IF('Calc base'!M$14=0,0,MIN(AF340,MAX(0,$E340-SUMPRODUCT($V340:$AG340,'Calc base'!$C$14:$N$14,('Calc base'!$H340:$S340&gt;'Calc base'!R340)+('Calc base'!$H340:$S340='Calc base'!R340)*('Calc base'!$C$17:$N$17&lt;'Calc base'!M$17)))))</f>
        <v>0</v>
      </c>
      <c r="AS340">
        <f>IF('Calc base'!N$14=0,0,MIN(AG340,MAX(0,$E340-SUMPRODUCT($V340:$AG340,'Calc base'!$C$14:$N$14,('Calc base'!$H340:$S340&gt;'Calc base'!S340)+('Calc base'!$H340:$S340='Calc base'!S340)*('Calc base'!$C$17:$N$17&lt;'Calc base'!N$17)))))</f>
        <v>0</v>
      </c>
      <c r="AT340">
        <f>V340-AH340</f>
        <v>0</v>
      </c>
      <c r="AU340">
        <f>W340-AI340</f>
        <v>0</v>
      </c>
      <c r="AV340">
        <f>X340-AJ340</f>
        <v>0</v>
      </c>
      <c r="AW340">
        <f>Y340-AK340</f>
        <v>0</v>
      </c>
      <c r="AX340">
        <f>Z340-AL340</f>
        <v>0</v>
      </c>
      <c r="AY340">
        <f>AA340-AM340</f>
        <v>0</v>
      </c>
      <c r="AZ340">
        <f>AB340-AN340</f>
        <v>0</v>
      </c>
      <c r="BA340">
        <f>AC340-AO340</f>
        <v>0</v>
      </c>
      <c r="BB340">
        <f>AD340-AP340</f>
        <v>0</v>
      </c>
      <c r="BC340">
        <f>AE340-AQ340</f>
        <v>0</v>
      </c>
      <c r="BD340">
        <f>AF340-AR340</f>
        <v>0</v>
      </c>
      <c r="BE340">
        <f>AG340-AS340</f>
        <v>0</v>
      </c>
    </row>
    <row r="341">
      <c r="A341" t="n">
        <v>311</v>
      </c>
      <c r="B341">
        <f>SUMPRODUCT(ROUND($AT340:$BE340*(1+'Calc base'!$H341:$S341),2))</f>
        <v>0</v>
      </c>
      <c r="C341">
        <f>SUM(J341:U341)</f>
        <v>0</v>
      </c>
      <c r="D341">
        <f>SUM(V341:AG341)</f>
        <v>0</v>
      </c>
      <c r="E341">
        <f>MAX(0,IF(Impostazioni!$B$7="No",'Calc base'!$C341-$C$31,'Calc base'!$C341-C341)+'Calc base'!$G341+'Calc base'!$F341-(B341-C341-D341))</f>
        <v>900</v>
      </c>
      <c r="F341">
        <f>SUM(AH341:AS341)</f>
        <v>0</v>
      </c>
      <c r="G341">
        <f>SUM(AT341:BE341)</f>
        <v>0</v>
      </c>
      <c r="H341">
        <f>B341-G340</f>
        <v>0</v>
      </c>
      <c r="I341">
        <f>B341-G341</f>
        <v>0</v>
      </c>
      <c r="J341">
        <f>IF(AT340&lt;=0,0,IF(ROUND(AT340*(1+'Calc base'!H341),2)-MAX('Calc base'!C$12,ROUND('Calc base'!C$13*AT340,2))&lt;1,ROUND(AT340*(1+'Calc base'!H341),2),MAX('Calc base'!C$12,ROUND('Calc base'!C$13*AT340,2))))</f>
        <v>0</v>
      </c>
      <c r="K341">
        <f>IF(AU340&lt;=0,0,IF(ROUND(AU340*(1+'Calc base'!I341),2)-MAX('Calc base'!D$12,ROUND('Calc base'!D$13*AU340,2))&lt;1,ROUND(AU340*(1+'Calc base'!I341),2),MAX('Calc base'!D$12,ROUND('Calc base'!D$13*AU340,2))))</f>
        <v>0</v>
      </c>
      <c r="L341">
        <f>IF(AV340&lt;=0,0,IF(ROUND(AV340*(1+'Calc base'!J341),2)-MAX('Calc base'!E$12,ROUND('Calc base'!E$13*AV340,2))&lt;1,ROUND(AV340*(1+'Calc base'!J341),2),MAX('Calc base'!E$12,ROUND('Calc base'!E$13*AV340,2))))</f>
        <v>0</v>
      </c>
      <c r="M341">
        <f>IF(AW340&lt;=0,0,IF(ROUND(AW340*(1+'Calc base'!K341),2)-MAX('Calc base'!F$12,ROUND('Calc base'!F$13*AW340,2))&lt;1,ROUND(AW340*(1+'Calc base'!K341),2),MAX('Calc base'!F$12,ROUND('Calc base'!F$13*AW340,2))))</f>
        <v>0</v>
      </c>
      <c r="N341">
        <f>IF(AX340&lt;=0,0,IF(ROUND(AX340*(1+'Calc base'!L341),2)-MAX('Calc base'!G$12,ROUND('Calc base'!G$13*AX340,2))&lt;1,ROUND(AX340*(1+'Calc base'!L341),2),MAX('Calc base'!G$12,ROUND('Calc base'!G$13*AX340,2))))</f>
        <v>0</v>
      </c>
      <c r="O341">
        <f>IF(AY340&lt;=0,0,IF(ROUND(AY340*(1+'Calc base'!M341),2)-MAX('Calc base'!H$12,ROUND('Calc base'!H$13*AY340,2))&lt;1,ROUND(AY340*(1+'Calc base'!M341),2),MAX('Calc base'!H$12,ROUND('Calc base'!H$13*AY340,2))))</f>
        <v>0</v>
      </c>
      <c r="P341">
        <f>IF(AZ340&lt;=0,0,IF(ROUND(AZ340*(1+'Calc base'!N341),2)-MAX('Calc base'!I$12,ROUND('Calc base'!I$13*AZ340,2))&lt;1,ROUND(AZ340*(1+'Calc base'!N341),2),MAX('Calc base'!I$12,ROUND('Calc base'!I$13*AZ340,2))))</f>
        <v>0</v>
      </c>
      <c r="Q341">
        <f>IF(BA340&lt;=0,0,IF(ROUND(BA340*(1+'Calc base'!O341),2)-MAX('Calc base'!J$12,ROUND('Calc base'!J$13*BA340,2))&lt;1,ROUND(BA340*(1+'Calc base'!O341),2),MAX('Calc base'!J$12,ROUND('Calc base'!J$13*BA340,2))))</f>
        <v>0</v>
      </c>
      <c r="R341">
        <f>IF(BB340&lt;=0,0,IF(ROUND(BB340*(1+'Calc base'!P341),2)-MAX('Calc base'!K$12,ROUND('Calc base'!K$13*BB340,2))&lt;1,ROUND(BB340*(1+'Calc base'!P341),2),MAX('Calc base'!K$12,ROUND('Calc base'!K$13*BB340,2))))</f>
        <v>0</v>
      </c>
      <c r="S341">
        <f>IF(BC340&lt;=0,0,IF(ROUND(BC340*(1+'Calc base'!Q341),2)-MAX('Calc base'!L$12,ROUND('Calc base'!L$13*BC340,2))&lt;1,ROUND(BC340*(1+'Calc base'!Q341),2),MAX('Calc base'!L$12,ROUND('Calc base'!L$13*BC340,2))))</f>
        <v>0</v>
      </c>
      <c r="T341">
        <f>IF(BD340&lt;=0,0,IF(ROUND(BD340*(1+'Calc base'!R341),2)-MAX('Calc base'!M$12,ROUND('Calc base'!M$13*BD340,2))&lt;1,ROUND(BD340*(1+'Calc base'!R341),2),MAX('Calc base'!M$12,ROUND('Calc base'!M$13*BD340,2))))</f>
        <v>0</v>
      </c>
      <c r="U341">
        <f>IF(BE340&lt;=0,0,IF(ROUND(BE340*(1+'Calc base'!S341),2)-MAX('Calc base'!N$12,ROUND('Calc base'!N$13*BE340,2))&lt;1,ROUND(BE340*(1+'Calc base'!S341),2),MAX('Calc base'!N$12,ROUND('Calc base'!N$13*BE340,2))))</f>
        <v>0</v>
      </c>
      <c r="V341">
        <f>MAX(0,ROUND(AT340*(1+'Calc base'!H341),2)-J341-'Calc base'!T341)</f>
        <v>0</v>
      </c>
      <c r="W341">
        <f>MAX(0,ROUND(AU340*(1+'Calc base'!I341),2)-K341-'Calc base'!U341)</f>
        <v>0</v>
      </c>
      <c r="X341">
        <f>MAX(0,ROUND(AV340*(1+'Calc base'!J341),2)-L341-'Calc base'!V341)</f>
        <v>0</v>
      </c>
      <c r="Y341">
        <f>MAX(0,ROUND(AW340*(1+'Calc base'!K341),2)-M341-'Calc base'!W341)</f>
        <v>0</v>
      </c>
      <c r="Z341">
        <f>MAX(0,ROUND(AX340*(1+'Calc base'!L341),2)-N341-'Calc base'!X341)</f>
        <v>0</v>
      </c>
      <c r="AA341">
        <f>MAX(0,ROUND(AY340*(1+'Calc base'!M341),2)-O341-'Calc base'!Y341)</f>
        <v>0</v>
      </c>
      <c r="AB341">
        <f>MAX(0,ROUND(AZ340*(1+'Calc base'!N341),2)-P341-'Calc base'!Z341)</f>
        <v>0</v>
      </c>
      <c r="AC341">
        <f>MAX(0,ROUND(BA340*(1+'Calc base'!O341),2)-Q341-'Calc base'!AA341)</f>
        <v>0</v>
      </c>
      <c r="AD341">
        <f>MAX(0,ROUND(BB340*(1+'Calc base'!P341),2)-R341-'Calc base'!AB341)</f>
        <v>0</v>
      </c>
      <c r="AE341">
        <f>MAX(0,ROUND(BC340*(1+'Calc base'!Q341),2)-S341-'Calc base'!AC341)</f>
        <v>0</v>
      </c>
      <c r="AF341">
        <f>MAX(0,ROUND(BD340*(1+'Calc base'!R341),2)-T341-'Calc base'!AD341)</f>
        <v>0</v>
      </c>
      <c r="AG341">
        <f>MAX(0,ROUND(BE340*(1+'Calc base'!S341),2)-U341-'Calc base'!AE341)</f>
        <v>0</v>
      </c>
      <c r="AH341">
        <f>IF('Calc base'!C$14=0,0,MIN(V341,MAX(0,$E341-SUMPRODUCT($V341:$AG341,'Calc base'!$C$14:$N$14,('Calc base'!$H341:$S341&gt;'Calc base'!H341)+('Calc base'!$H341:$S341='Calc base'!H341)*('Calc base'!$C$17:$N$17&lt;'Calc base'!C$17)))))</f>
        <v>0</v>
      </c>
      <c r="AI341">
        <f>IF('Calc base'!D$14=0,0,MIN(W341,MAX(0,$E341-SUMPRODUCT($V341:$AG341,'Calc base'!$C$14:$N$14,('Calc base'!$H341:$S341&gt;'Calc base'!I341)+('Calc base'!$H341:$S341='Calc base'!I341)*('Calc base'!$C$17:$N$17&lt;'Calc base'!D$17)))))</f>
        <v>0</v>
      </c>
      <c r="AJ341">
        <f>IF('Calc base'!E$14=0,0,MIN(X341,MAX(0,$E341-SUMPRODUCT($V341:$AG341,'Calc base'!$C$14:$N$14,('Calc base'!$H341:$S341&gt;'Calc base'!J341)+('Calc base'!$H341:$S341='Calc base'!J341)*('Calc base'!$C$17:$N$17&lt;'Calc base'!E$17)))))</f>
        <v>0</v>
      </c>
      <c r="AK341">
        <f>IF('Calc base'!F$14=0,0,MIN(Y341,MAX(0,$E341-SUMPRODUCT($V341:$AG341,'Calc base'!$C$14:$N$14,('Calc base'!$H341:$S341&gt;'Calc base'!K341)+('Calc base'!$H341:$S341='Calc base'!K341)*('Calc base'!$C$17:$N$17&lt;'Calc base'!F$17)))))</f>
        <v>0</v>
      </c>
      <c r="AL341">
        <f>IF('Calc base'!G$14=0,0,MIN(Z341,MAX(0,$E341-SUMPRODUCT($V341:$AG341,'Calc base'!$C$14:$N$14,('Calc base'!$H341:$S341&gt;'Calc base'!L341)+('Calc base'!$H341:$S341='Calc base'!L341)*('Calc base'!$C$17:$N$17&lt;'Calc base'!G$17)))))</f>
        <v>0</v>
      </c>
      <c r="AM341">
        <f>IF('Calc base'!H$14=0,0,MIN(AA341,MAX(0,$E341-SUMPRODUCT($V341:$AG341,'Calc base'!$C$14:$N$14,('Calc base'!$H341:$S341&gt;'Calc base'!M341)+('Calc base'!$H341:$S341='Calc base'!M341)*('Calc base'!$C$17:$N$17&lt;'Calc base'!H$17)))))</f>
        <v>0</v>
      </c>
      <c r="AN341">
        <f>IF('Calc base'!I$14=0,0,MIN(AB341,MAX(0,$E341-SUMPRODUCT($V341:$AG341,'Calc base'!$C$14:$N$14,('Calc base'!$H341:$S341&gt;'Calc base'!N341)+('Calc base'!$H341:$S341='Calc base'!N341)*('Calc base'!$C$17:$N$17&lt;'Calc base'!I$17)))))</f>
        <v>0</v>
      </c>
      <c r="AO341">
        <f>IF('Calc base'!J$14=0,0,MIN(AC341,MAX(0,$E341-SUMPRODUCT($V341:$AG341,'Calc base'!$C$14:$N$14,('Calc base'!$H341:$S341&gt;'Calc base'!O341)+('Calc base'!$H341:$S341='Calc base'!O341)*('Calc base'!$C$17:$N$17&lt;'Calc base'!J$17)))))</f>
        <v>0</v>
      </c>
      <c r="AP341">
        <f>IF('Calc base'!K$14=0,0,MIN(AD341,MAX(0,$E341-SUMPRODUCT($V341:$AG341,'Calc base'!$C$14:$N$14,('Calc base'!$H341:$S341&gt;'Calc base'!P341)+('Calc base'!$H341:$S341='Calc base'!P341)*('Calc base'!$C$17:$N$17&lt;'Calc base'!K$17)))))</f>
        <v>0</v>
      </c>
      <c r="AQ341">
        <f>IF('Calc base'!L$14=0,0,MIN(AE341,MAX(0,$E341-SUMPRODUCT($V341:$AG341,'Calc base'!$C$14:$N$14,('Calc base'!$H341:$S341&gt;'Calc base'!Q341)+('Calc base'!$H341:$S341='Calc base'!Q341)*('Calc base'!$C$17:$N$17&lt;'Calc base'!L$17)))))</f>
        <v>0</v>
      </c>
      <c r="AR341">
        <f>IF('Calc base'!M$14=0,0,MIN(AF341,MAX(0,$E341-SUMPRODUCT($V341:$AG341,'Calc base'!$C$14:$N$14,('Calc base'!$H341:$S341&gt;'Calc base'!R341)+('Calc base'!$H341:$S341='Calc base'!R341)*('Calc base'!$C$17:$N$17&lt;'Calc base'!M$17)))))</f>
        <v>0</v>
      </c>
      <c r="AS341">
        <f>IF('Calc base'!N$14=0,0,MIN(AG341,MAX(0,$E341-SUMPRODUCT($V341:$AG341,'Calc base'!$C$14:$N$14,('Calc base'!$H341:$S341&gt;'Calc base'!S341)+('Calc base'!$H341:$S341='Calc base'!S341)*('Calc base'!$C$17:$N$17&lt;'Calc base'!N$17)))))</f>
        <v>0</v>
      </c>
      <c r="AT341">
        <f>V341-AH341</f>
        <v>0</v>
      </c>
      <c r="AU341">
        <f>W341-AI341</f>
        <v>0</v>
      </c>
      <c r="AV341">
        <f>X341-AJ341</f>
        <v>0</v>
      </c>
      <c r="AW341">
        <f>Y341-AK341</f>
        <v>0</v>
      </c>
      <c r="AX341">
        <f>Z341-AL341</f>
        <v>0</v>
      </c>
      <c r="AY341">
        <f>AA341-AM341</f>
        <v>0</v>
      </c>
      <c r="AZ341">
        <f>AB341-AN341</f>
        <v>0</v>
      </c>
      <c r="BA341">
        <f>AC341-AO341</f>
        <v>0</v>
      </c>
      <c r="BB341">
        <f>AD341-AP341</f>
        <v>0</v>
      </c>
      <c r="BC341">
        <f>AE341-AQ341</f>
        <v>0</v>
      </c>
      <c r="BD341">
        <f>AF341-AR341</f>
        <v>0</v>
      </c>
      <c r="BE341">
        <f>AG341-AS341</f>
        <v>0</v>
      </c>
    </row>
    <row r="342">
      <c r="A342" t="n">
        <v>312</v>
      </c>
      <c r="B342">
        <f>SUMPRODUCT(ROUND($AT341:$BE341*(1+'Calc base'!$H342:$S342),2))</f>
        <v>0</v>
      </c>
      <c r="C342">
        <f>SUM(J342:U342)</f>
        <v>0</v>
      </c>
      <c r="D342">
        <f>SUM(V342:AG342)</f>
        <v>0</v>
      </c>
      <c r="E342">
        <f>MAX(0,IF(Impostazioni!$B$7="No",'Calc base'!$C342-$C$31,'Calc base'!$C342-C342)+'Calc base'!$G342+'Calc base'!$F342-(B342-C342-D342))</f>
        <v>900</v>
      </c>
      <c r="F342">
        <f>SUM(AH342:AS342)</f>
        <v>0</v>
      </c>
      <c r="G342">
        <f>SUM(AT342:BE342)</f>
        <v>0</v>
      </c>
      <c r="H342">
        <f>B342-G341</f>
        <v>0</v>
      </c>
      <c r="I342">
        <f>B342-G342</f>
        <v>0</v>
      </c>
      <c r="J342">
        <f>IF(AT341&lt;=0,0,IF(ROUND(AT341*(1+'Calc base'!H342),2)-MAX('Calc base'!C$12,ROUND('Calc base'!C$13*AT341,2))&lt;1,ROUND(AT341*(1+'Calc base'!H342),2),MAX('Calc base'!C$12,ROUND('Calc base'!C$13*AT341,2))))</f>
        <v>0</v>
      </c>
      <c r="K342">
        <f>IF(AU341&lt;=0,0,IF(ROUND(AU341*(1+'Calc base'!I342),2)-MAX('Calc base'!D$12,ROUND('Calc base'!D$13*AU341,2))&lt;1,ROUND(AU341*(1+'Calc base'!I342),2),MAX('Calc base'!D$12,ROUND('Calc base'!D$13*AU341,2))))</f>
        <v>0</v>
      </c>
      <c r="L342">
        <f>IF(AV341&lt;=0,0,IF(ROUND(AV341*(1+'Calc base'!J342),2)-MAX('Calc base'!E$12,ROUND('Calc base'!E$13*AV341,2))&lt;1,ROUND(AV341*(1+'Calc base'!J342),2),MAX('Calc base'!E$12,ROUND('Calc base'!E$13*AV341,2))))</f>
        <v>0</v>
      </c>
      <c r="M342">
        <f>IF(AW341&lt;=0,0,IF(ROUND(AW341*(1+'Calc base'!K342),2)-MAX('Calc base'!F$12,ROUND('Calc base'!F$13*AW341,2))&lt;1,ROUND(AW341*(1+'Calc base'!K342),2),MAX('Calc base'!F$12,ROUND('Calc base'!F$13*AW341,2))))</f>
        <v>0</v>
      </c>
      <c r="N342">
        <f>IF(AX341&lt;=0,0,IF(ROUND(AX341*(1+'Calc base'!L342),2)-MAX('Calc base'!G$12,ROUND('Calc base'!G$13*AX341,2))&lt;1,ROUND(AX341*(1+'Calc base'!L342),2),MAX('Calc base'!G$12,ROUND('Calc base'!G$13*AX341,2))))</f>
        <v>0</v>
      </c>
      <c r="O342">
        <f>IF(AY341&lt;=0,0,IF(ROUND(AY341*(1+'Calc base'!M342),2)-MAX('Calc base'!H$12,ROUND('Calc base'!H$13*AY341,2))&lt;1,ROUND(AY341*(1+'Calc base'!M342),2),MAX('Calc base'!H$12,ROUND('Calc base'!H$13*AY341,2))))</f>
        <v>0</v>
      </c>
      <c r="P342">
        <f>IF(AZ341&lt;=0,0,IF(ROUND(AZ341*(1+'Calc base'!N342),2)-MAX('Calc base'!I$12,ROUND('Calc base'!I$13*AZ341,2))&lt;1,ROUND(AZ341*(1+'Calc base'!N342),2),MAX('Calc base'!I$12,ROUND('Calc base'!I$13*AZ341,2))))</f>
        <v>0</v>
      </c>
      <c r="Q342">
        <f>IF(BA341&lt;=0,0,IF(ROUND(BA341*(1+'Calc base'!O342),2)-MAX('Calc base'!J$12,ROUND('Calc base'!J$13*BA341,2))&lt;1,ROUND(BA341*(1+'Calc base'!O342),2),MAX('Calc base'!J$12,ROUND('Calc base'!J$13*BA341,2))))</f>
        <v>0</v>
      </c>
      <c r="R342">
        <f>IF(BB341&lt;=0,0,IF(ROUND(BB341*(1+'Calc base'!P342),2)-MAX('Calc base'!K$12,ROUND('Calc base'!K$13*BB341,2))&lt;1,ROUND(BB341*(1+'Calc base'!P342),2),MAX('Calc base'!K$12,ROUND('Calc base'!K$13*BB341,2))))</f>
        <v>0</v>
      </c>
      <c r="S342">
        <f>IF(BC341&lt;=0,0,IF(ROUND(BC341*(1+'Calc base'!Q342),2)-MAX('Calc base'!L$12,ROUND('Calc base'!L$13*BC341,2))&lt;1,ROUND(BC341*(1+'Calc base'!Q342),2),MAX('Calc base'!L$12,ROUND('Calc base'!L$13*BC341,2))))</f>
        <v>0</v>
      </c>
      <c r="T342">
        <f>IF(BD341&lt;=0,0,IF(ROUND(BD341*(1+'Calc base'!R342),2)-MAX('Calc base'!M$12,ROUND('Calc base'!M$13*BD341,2))&lt;1,ROUND(BD341*(1+'Calc base'!R342),2),MAX('Calc base'!M$12,ROUND('Calc base'!M$13*BD341,2))))</f>
        <v>0</v>
      </c>
      <c r="U342">
        <f>IF(BE341&lt;=0,0,IF(ROUND(BE341*(1+'Calc base'!S342),2)-MAX('Calc base'!N$12,ROUND('Calc base'!N$13*BE341,2))&lt;1,ROUND(BE341*(1+'Calc base'!S342),2),MAX('Calc base'!N$12,ROUND('Calc base'!N$13*BE341,2))))</f>
        <v>0</v>
      </c>
      <c r="V342">
        <f>MAX(0,ROUND(AT341*(1+'Calc base'!H342),2)-J342-'Calc base'!T342)</f>
        <v>0</v>
      </c>
      <c r="W342">
        <f>MAX(0,ROUND(AU341*(1+'Calc base'!I342),2)-K342-'Calc base'!U342)</f>
        <v>0</v>
      </c>
      <c r="X342">
        <f>MAX(0,ROUND(AV341*(1+'Calc base'!J342),2)-L342-'Calc base'!V342)</f>
        <v>0</v>
      </c>
      <c r="Y342">
        <f>MAX(0,ROUND(AW341*(1+'Calc base'!K342),2)-M342-'Calc base'!W342)</f>
        <v>0</v>
      </c>
      <c r="Z342">
        <f>MAX(0,ROUND(AX341*(1+'Calc base'!L342),2)-N342-'Calc base'!X342)</f>
        <v>0</v>
      </c>
      <c r="AA342">
        <f>MAX(0,ROUND(AY341*(1+'Calc base'!M342),2)-O342-'Calc base'!Y342)</f>
        <v>0</v>
      </c>
      <c r="AB342">
        <f>MAX(0,ROUND(AZ341*(1+'Calc base'!N342),2)-P342-'Calc base'!Z342)</f>
        <v>0</v>
      </c>
      <c r="AC342">
        <f>MAX(0,ROUND(BA341*(1+'Calc base'!O342),2)-Q342-'Calc base'!AA342)</f>
        <v>0</v>
      </c>
      <c r="AD342">
        <f>MAX(0,ROUND(BB341*(1+'Calc base'!P342),2)-R342-'Calc base'!AB342)</f>
        <v>0</v>
      </c>
      <c r="AE342">
        <f>MAX(0,ROUND(BC341*(1+'Calc base'!Q342),2)-S342-'Calc base'!AC342)</f>
        <v>0</v>
      </c>
      <c r="AF342">
        <f>MAX(0,ROUND(BD341*(1+'Calc base'!R342),2)-T342-'Calc base'!AD342)</f>
        <v>0</v>
      </c>
      <c r="AG342">
        <f>MAX(0,ROUND(BE341*(1+'Calc base'!S342),2)-U342-'Calc base'!AE342)</f>
        <v>0</v>
      </c>
      <c r="AH342">
        <f>IF('Calc base'!C$14=0,0,MIN(V342,MAX(0,$E342-SUMPRODUCT($V342:$AG342,'Calc base'!$C$14:$N$14,('Calc base'!$H342:$S342&gt;'Calc base'!H342)+('Calc base'!$H342:$S342='Calc base'!H342)*('Calc base'!$C$17:$N$17&lt;'Calc base'!C$17)))))</f>
        <v>0</v>
      </c>
      <c r="AI342">
        <f>IF('Calc base'!D$14=0,0,MIN(W342,MAX(0,$E342-SUMPRODUCT($V342:$AG342,'Calc base'!$C$14:$N$14,('Calc base'!$H342:$S342&gt;'Calc base'!I342)+('Calc base'!$H342:$S342='Calc base'!I342)*('Calc base'!$C$17:$N$17&lt;'Calc base'!D$17)))))</f>
        <v>0</v>
      </c>
      <c r="AJ342">
        <f>IF('Calc base'!E$14=0,0,MIN(X342,MAX(0,$E342-SUMPRODUCT($V342:$AG342,'Calc base'!$C$14:$N$14,('Calc base'!$H342:$S342&gt;'Calc base'!J342)+('Calc base'!$H342:$S342='Calc base'!J342)*('Calc base'!$C$17:$N$17&lt;'Calc base'!E$17)))))</f>
        <v>0</v>
      </c>
      <c r="AK342">
        <f>IF('Calc base'!F$14=0,0,MIN(Y342,MAX(0,$E342-SUMPRODUCT($V342:$AG342,'Calc base'!$C$14:$N$14,('Calc base'!$H342:$S342&gt;'Calc base'!K342)+('Calc base'!$H342:$S342='Calc base'!K342)*('Calc base'!$C$17:$N$17&lt;'Calc base'!F$17)))))</f>
        <v>0</v>
      </c>
      <c r="AL342">
        <f>IF('Calc base'!G$14=0,0,MIN(Z342,MAX(0,$E342-SUMPRODUCT($V342:$AG342,'Calc base'!$C$14:$N$14,('Calc base'!$H342:$S342&gt;'Calc base'!L342)+('Calc base'!$H342:$S342='Calc base'!L342)*('Calc base'!$C$17:$N$17&lt;'Calc base'!G$17)))))</f>
        <v>0</v>
      </c>
      <c r="AM342">
        <f>IF('Calc base'!H$14=0,0,MIN(AA342,MAX(0,$E342-SUMPRODUCT($V342:$AG342,'Calc base'!$C$14:$N$14,('Calc base'!$H342:$S342&gt;'Calc base'!M342)+('Calc base'!$H342:$S342='Calc base'!M342)*('Calc base'!$C$17:$N$17&lt;'Calc base'!H$17)))))</f>
        <v>0</v>
      </c>
      <c r="AN342">
        <f>IF('Calc base'!I$14=0,0,MIN(AB342,MAX(0,$E342-SUMPRODUCT($V342:$AG342,'Calc base'!$C$14:$N$14,('Calc base'!$H342:$S342&gt;'Calc base'!N342)+('Calc base'!$H342:$S342='Calc base'!N342)*('Calc base'!$C$17:$N$17&lt;'Calc base'!I$17)))))</f>
        <v>0</v>
      </c>
      <c r="AO342">
        <f>IF('Calc base'!J$14=0,0,MIN(AC342,MAX(0,$E342-SUMPRODUCT($V342:$AG342,'Calc base'!$C$14:$N$14,('Calc base'!$H342:$S342&gt;'Calc base'!O342)+('Calc base'!$H342:$S342='Calc base'!O342)*('Calc base'!$C$17:$N$17&lt;'Calc base'!J$17)))))</f>
        <v>0</v>
      </c>
      <c r="AP342">
        <f>IF('Calc base'!K$14=0,0,MIN(AD342,MAX(0,$E342-SUMPRODUCT($V342:$AG342,'Calc base'!$C$14:$N$14,('Calc base'!$H342:$S342&gt;'Calc base'!P342)+('Calc base'!$H342:$S342='Calc base'!P342)*('Calc base'!$C$17:$N$17&lt;'Calc base'!K$17)))))</f>
        <v>0</v>
      </c>
      <c r="AQ342">
        <f>IF('Calc base'!L$14=0,0,MIN(AE342,MAX(0,$E342-SUMPRODUCT($V342:$AG342,'Calc base'!$C$14:$N$14,('Calc base'!$H342:$S342&gt;'Calc base'!Q342)+('Calc base'!$H342:$S342='Calc base'!Q342)*('Calc base'!$C$17:$N$17&lt;'Calc base'!L$17)))))</f>
        <v>0</v>
      </c>
      <c r="AR342">
        <f>IF('Calc base'!M$14=0,0,MIN(AF342,MAX(0,$E342-SUMPRODUCT($V342:$AG342,'Calc base'!$C$14:$N$14,('Calc base'!$H342:$S342&gt;'Calc base'!R342)+('Calc base'!$H342:$S342='Calc base'!R342)*('Calc base'!$C$17:$N$17&lt;'Calc base'!M$17)))))</f>
        <v>0</v>
      </c>
      <c r="AS342">
        <f>IF('Calc base'!N$14=0,0,MIN(AG342,MAX(0,$E342-SUMPRODUCT($V342:$AG342,'Calc base'!$C$14:$N$14,('Calc base'!$H342:$S342&gt;'Calc base'!S342)+('Calc base'!$H342:$S342='Calc base'!S342)*('Calc base'!$C$17:$N$17&lt;'Calc base'!N$17)))))</f>
        <v>0</v>
      </c>
      <c r="AT342">
        <f>V342-AH342</f>
        <v>0</v>
      </c>
      <c r="AU342">
        <f>W342-AI342</f>
        <v>0</v>
      </c>
      <c r="AV342">
        <f>X342-AJ342</f>
        <v>0</v>
      </c>
      <c r="AW342">
        <f>Y342-AK342</f>
        <v>0</v>
      </c>
      <c r="AX342">
        <f>Z342-AL342</f>
        <v>0</v>
      </c>
      <c r="AY342">
        <f>AA342-AM342</f>
        <v>0</v>
      </c>
      <c r="AZ342">
        <f>AB342-AN342</f>
        <v>0</v>
      </c>
      <c r="BA342">
        <f>AC342-AO342</f>
        <v>0</v>
      </c>
      <c r="BB342">
        <f>AD342-AP342</f>
        <v>0</v>
      </c>
      <c r="BC342">
        <f>AE342-AQ342</f>
        <v>0</v>
      </c>
      <c r="BD342">
        <f>AF342-AR342</f>
        <v>0</v>
      </c>
      <c r="BE342">
        <f>AG342-AS342</f>
        <v>0</v>
      </c>
    </row>
    <row r="343">
      <c r="A343" t="n">
        <v>313</v>
      </c>
      <c r="B343">
        <f>SUMPRODUCT(ROUND($AT342:$BE342*(1+'Calc base'!$H343:$S343),2))</f>
        <v>0</v>
      </c>
      <c r="C343">
        <f>SUM(J343:U343)</f>
        <v>0</v>
      </c>
      <c r="D343">
        <f>SUM(V343:AG343)</f>
        <v>0</v>
      </c>
      <c r="E343">
        <f>MAX(0,IF(Impostazioni!$B$7="No",'Calc base'!$C343-$C$31,'Calc base'!$C343-C343)+'Calc base'!$G343+'Calc base'!$F343-(B343-C343-D343))</f>
        <v>900</v>
      </c>
      <c r="F343">
        <f>SUM(AH343:AS343)</f>
        <v>0</v>
      </c>
      <c r="G343">
        <f>SUM(AT343:BE343)</f>
        <v>0</v>
      </c>
      <c r="H343">
        <f>B343-G342</f>
        <v>0</v>
      </c>
      <c r="I343">
        <f>B343-G343</f>
        <v>0</v>
      </c>
      <c r="J343">
        <f>IF(AT342&lt;=0,0,IF(ROUND(AT342*(1+'Calc base'!H343),2)-MAX('Calc base'!C$12,ROUND('Calc base'!C$13*AT342,2))&lt;1,ROUND(AT342*(1+'Calc base'!H343),2),MAX('Calc base'!C$12,ROUND('Calc base'!C$13*AT342,2))))</f>
        <v>0</v>
      </c>
      <c r="K343">
        <f>IF(AU342&lt;=0,0,IF(ROUND(AU342*(1+'Calc base'!I343),2)-MAX('Calc base'!D$12,ROUND('Calc base'!D$13*AU342,2))&lt;1,ROUND(AU342*(1+'Calc base'!I343),2),MAX('Calc base'!D$12,ROUND('Calc base'!D$13*AU342,2))))</f>
        <v>0</v>
      </c>
      <c r="L343">
        <f>IF(AV342&lt;=0,0,IF(ROUND(AV342*(1+'Calc base'!J343),2)-MAX('Calc base'!E$12,ROUND('Calc base'!E$13*AV342,2))&lt;1,ROUND(AV342*(1+'Calc base'!J343),2),MAX('Calc base'!E$12,ROUND('Calc base'!E$13*AV342,2))))</f>
        <v>0</v>
      </c>
      <c r="M343">
        <f>IF(AW342&lt;=0,0,IF(ROUND(AW342*(1+'Calc base'!K343),2)-MAX('Calc base'!F$12,ROUND('Calc base'!F$13*AW342,2))&lt;1,ROUND(AW342*(1+'Calc base'!K343),2),MAX('Calc base'!F$12,ROUND('Calc base'!F$13*AW342,2))))</f>
        <v>0</v>
      </c>
      <c r="N343">
        <f>IF(AX342&lt;=0,0,IF(ROUND(AX342*(1+'Calc base'!L343),2)-MAX('Calc base'!G$12,ROUND('Calc base'!G$13*AX342,2))&lt;1,ROUND(AX342*(1+'Calc base'!L343),2),MAX('Calc base'!G$12,ROUND('Calc base'!G$13*AX342,2))))</f>
        <v>0</v>
      </c>
      <c r="O343">
        <f>IF(AY342&lt;=0,0,IF(ROUND(AY342*(1+'Calc base'!M343),2)-MAX('Calc base'!H$12,ROUND('Calc base'!H$13*AY342,2))&lt;1,ROUND(AY342*(1+'Calc base'!M343),2),MAX('Calc base'!H$12,ROUND('Calc base'!H$13*AY342,2))))</f>
        <v>0</v>
      </c>
      <c r="P343">
        <f>IF(AZ342&lt;=0,0,IF(ROUND(AZ342*(1+'Calc base'!N343),2)-MAX('Calc base'!I$12,ROUND('Calc base'!I$13*AZ342,2))&lt;1,ROUND(AZ342*(1+'Calc base'!N343),2),MAX('Calc base'!I$12,ROUND('Calc base'!I$13*AZ342,2))))</f>
        <v>0</v>
      </c>
      <c r="Q343">
        <f>IF(BA342&lt;=0,0,IF(ROUND(BA342*(1+'Calc base'!O343),2)-MAX('Calc base'!J$12,ROUND('Calc base'!J$13*BA342,2))&lt;1,ROUND(BA342*(1+'Calc base'!O343),2),MAX('Calc base'!J$12,ROUND('Calc base'!J$13*BA342,2))))</f>
        <v>0</v>
      </c>
      <c r="R343">
        <f>IF(BB342&lt;=0,0,IF(ROUND(BB342*(1+'Calc base'!P343),2)-MAX('Calc base'!K$12,ROUND('Calc base'!K$13*BB342,2))&lt;1,ROUND(BB342*(1+'Calc base'!P343),2),MAX('Calc base'!K$12,ROUND('Calc base'!K$13*BB342,2))))</f>
        <v>0</v>
      </c>
      <c r="S343">
        <f>IF(BC342&lt;=0,0,IF(ROUND(BC342*(1+'Calc base'!Q343),2)-MAX('Calc base'!L$12,ROUND('Calc base'!L$13*BC342,2))&lt;1,ROUND(BC342*(1+'Calc base'!Q343),2),MAX('Calc base'!L$12,ROUND('Calc base'!L$13*BC342,2))))</f>
        <v>0</v>
      </c>
      <c r="T343">
        <f>IF(BD342&lt;=0,0,IF(ROUND(BD342*(1+'Calc base'!R343),2)-MAX('Calc base'!M$12,ROUND('Calc base'!M$13*BD342,2))&lt;1,ROUND(BD342*(1+'Calc base'!R343),2),MAX('Calc base'!M$12,ROUND('Calc base'!M$13*BD342,2))))</f>
        <v>0</v>
      </c>
      <c r="U343">
        <f>IF(BE342&lt;=0,0,IF(ROUND(BE342*(1+'Calc base'!S343),2)-MAX('Calc base'!N$12,ROUND('Calc base'!N$13*BE342,2))&lt;1,ROUND(BE342*(1+'Calc base'!S343),2),MAX('Calc base'!N$12,ROUND('Calc base'!N$13*BE342,2))))</f>
        <v>0</v>
      </c>
      <c r="V343">
        <f>MAX(0,ROUND(AT342*(1+'Calc base'!H343),2)-J343-'Calc base'!T343)</f>
        <v>0</v>
      </c>
      <c r="W343">
        <f>MAX(0,ROUND(AU342*(1+'Calc base'!I343),2)-K343-'Calc base'!U343)</f>
        <v>0</v>
      </c>
      <c r="X343">
        <f>MAX(0,ROUND(AV342*(1+'Calc base'!J343),2)-L343-'Calc base'!V343)</f>
        <v>0</v>
      </c>
      <c r="Y343">
        <f>MAX(0,ROUND(AW342*(1+'Calc base'!K343),2)-M343-'Calc base'!W343)</f>
        <v>0</v>
      </c>
      <c r="Z343">
        <f>MAX(0,ROUND(AX342*(1+'Calc base'!L343),2)-N343-'Calc base'!X343)</f>
        <v>0</v>
      </c>
      <c r="AA343">
        <f>MAX(0,ROUND(AY342*(1+'Calc base'!M343),2)-O343-'Calc base'!Y343)</f>
        <v>0</v>
      </c>
      <c r="AB343">
        <f>MAX(0,ROUND(AZ342*(1+'Calc base'!N343),2)-P343-'Calc base'!Z343)</f>
        <v>0</v>
      </c>
      <c r="AC343">
        <f>MAX(0,ROUND(BA342*(1+'Calc base'!O343),2)-Q343-'Calc base'!AA343)</f>
        <v>0</v>
      </c>
      <c r="AD343">
        <f>MAX(0,ROUND(BB342*(1+'Calc base'!P343),2)-R343-'Calc base'!AB343)</f>
        <v>0</v>
      </c>
      <c r="AE343">
        <f>MAX(0,ROUND(BC342*(1+'Calc base'!Q343),2)-S343-'Calc base'!AC343)</f>
        <v>0</v>
      </c>
      <c r="AF343">
        <f>MAX(0,ROUND(BD342*(1+'Calc base'!R343),2)-T343-'Calc base'!AD343)</f>
        <v>0</v>
      </c>
      <c r="AG343">
        <f>MAX(0,ROUND(BE342*(1+'Calc base'!S343),2)-U343-'Calc base'!AE343)</f>
        <v>0</v>
      </c>
      <c r="AH343">
        <f>IF('Calc base'!C$14=0,0,MIN(V343,MAX(0,$E343-SUMPRODUCT($V343:$AG343,'Calc base'!$C$14:$N$14,('Calc base'!$H343:$S343&gt;'Calc base'!H343)+('Calc base'!$H343:$S343='Calc base'!H343)*('Calc base'!$C$17:$N$17&lt;'Calc base'!C$17)))))</f>
        <v>0</v>
      </c>
      <c r="AI343">
        <f>IF('Calc base'!D$14=0,0,MIN(W343,MAX(0,$E343-SUMPRODUCT($V343:$AG343,'Calc base'!$C$14:$N$14,('Calc base'!$H343:$S343&gt;'Calc base'!I343)+('Calc base'!$H343:$S343='Calc base'!I343)*('Calc base'!$C$17:$N$17&lt;'Calc base'!D$17)))))</f>
        <v>0</v>
      </c>
      <c r="AJ343">
        <f>IF('Calc base'!E$14=0,0,MIN(X343,MAX(0,$E343-SUMPRODUCT($V343:$AG343,'Calc base'!$C$14:$N$14,('Calc base'!$H343:$S343&gt;'Calc base'!J343)+('Calc base'!$H343:$S343='Calc base'!J343)*('Calc base'!$C$17:$N$17&lt;'Calc base'!E$17)))))</f>
        <v>0</v>
      </c>
      <c r="AK343">
        <f>IF('Calc base'!F$14=0,0,MIN(Y343,MAX(0,$E343-SUMPRODUCT($V343:$AG343,'Calc base'!$C$14:$N$14,('Calc base'!$H343:$S343&gt;'Calc base'!K343)+('Calc base'!$H343:$S343='Calc base'!K343)*('Calc base'!$C$17:$N$17&lt;'Calc base'!F$17)))))</f>
        <v>0</v>
      </c>
      <c r="AL343">
        <f>IF('Calc base'!G$14=0,0,MIN(Z343,MAX(0,$E343-SUMPRODUCT($V343:$AG343,'Calc base'!$C$14:$N$14,('Calc base'!$H343:$S343&gt;'Calc base'!L343)+('Calc base'!$H343:$S343='Calc base'!L343)*('Calc base'!$C$17:$N$17&lt;'Calc base'!G$17)))))</f>
        <v>0</v>
      </c>
      <c r="AM343">
        <f>IF('Calc base'!H$14=0,0,MIN(AA343,MAX(0,$E343-SUMPRODUCT($V343:$AG343,'Calc base'!$C$14:$N$14,('Calc base'!$H343:$S343&gt;'Calc base'!M343)+('Calc base'!$H343:$S343='Calc base'!M343)*('Calc base'!$C$17:$N$17&lt;'Calc base'!H$17)))))</f>
        <v>0</v>
      </c>
      <c r="AN343">
        <f>IF('Calc base'!I$14=0,0,MIN(AB343,MAX(0,$E343-SUMPRODUCT($V343:$AG343,'Calc base'!$C$14:$N$14,('Calc base'!$H343:$S343&gt;'Calc base'!N343)+('Calc base'!$H343:$S343='Calc base'!N343)*('Calc base'!$C$17:$N$17&lt;'Calc base'!I$17)))))</f>
        <v>0</v>
      </c>
      <c r="AO343">
        <f>IF('Calc base'!J$14=0,0,MIN(AC343,MAX(0,$E343-SUMPRODUCT($V343:$AG343,'Calc base'!$C$14:$N$14,('Calc base'!$H343:$S343&gt;'Calc base'!O343)+('Calc base'!$H343:$S343='Calc base'!O343)*('Calc base'!$C$17:$N$17&lt;'Calc base'!J$17)))))</f>
        <v>0</v>
      </c>
      <c r="AP343">
        <f>IF('Calc base'!K$14=0,0,MIN(AD343,MAX(0,$E343-SUMPRODUCT($V343:$AG343,'Calc base'!$C$14:$N$14,('Calc base'!$H343:$S343&gt;'Calc base'!P343)+('Calc base'!$H343:$S343='Calc base'!P343)*('Calc base'!$C$17:$N$17&lt;'Calc base'!K$17)))))</f>
        <v>0</v>
      </c>
      <c r="AQ343">
        <f>IF('Calc base'!L$14=0,0,MIN(AE343,MAX(0,$E343-SUMPRODUCT($V343:$AG343,'Calc base'!$C$14:$N$14,('Calc base'!$H343:$S343&gt;'Calc base'!Q343)+('Calc base'!$H343:$S343='Calc base'!Q343)*('Calc base'!$C$17:$N$17&lt;'Calc base'!L$17)))))</f>
        <v>0</v>
      </c>
      <c r="AR343">
        <f>IF('Calc base'!M$14=0,0,MIN(AF343,MAX(0,$E343-SUMPRODUCT($V343:$AG343,'Calc base'!$C$14:$N$14,('Calc base'!$H343:$S343&gt;'Calc base'!R343)+('Calc base'!$H343:$S343='Calc base'!R343)*('Calc base'!$C$17:$N$17&lt;'Calc base'!M$17)))))</f>
        <v>0</v>
      </c>
      <c r="AS343">
        <f>IF('Calc base'!N$14=0,0,MIN(AG343,MAX(0,$E343-SUMPRODUCT($V343:$AG343,'Calc base'!$C$14:$N$14,('Calc base'!$H343:$S343&gt;'Calc base'!S343)+('Calc base'!$H343:$S343='Calc base'!S343)*('Calc base'!$C$17:$N$17&lt;'Calc base'!N$17)))))</f>
        <v>0</v>
      </c>
      <c r="AT343">
        <f>V343-AH343</f>
        <v>0</v>
      </c>
      <c r="AU343">
        <f>W343-AI343</f>
        <v>0</v>
      </c>
      <c r="AV343">
        <f>X343-AJ343</f>
        <v>0</v>
      </c>
      <c r="AW343">
        <f>Y343-AK343</f>
        <v>0</v>
      </c>
      <c r="AX343">
        <f>Z343-AL343</f>
        <v>0</v>
      </c>
      <c r="AY343">
        <f>AA343-AM343</f>
        <v>0</v>
      </c>
      <c r="AZ343">
        <f>AB343-AN343</f>
        <v>0</v>
      </c>
      <c r="BA343">
        <f>AC343-AO343</f>
        <v>0</v>
      </c>
      <c r="BB343">
        <f>AD343-AP343</f>
        <v>0</v>
      </c>
      <c r="BC343">
        <f>AE343-AQ343</f>
        <v>0</v>
      </c>
      <c r="BD343">
        <f>AF343-AR343</f>
        <v>0</v>
      </c>
      <c r="BE343">
        <f>AG343-AS343</f>
        <v>0</v>
      </c>
    </row>
    <row r="344">
      <c r="A344" t="n">
        <v>314</v>
      </c>
      <c r="B344">
        <f>SUMPRODUCT(ROUND($AT343:$BE343*(1+'Calc base'!$H344:$S344),2))</f>
        <v>0</v>
      </c>
      <c r="C344">
        <f>SUM(J344:U344)</f>
        <v>0</v>
      </c>
      <c r="D344">
        <f>SUM(V344:AG344)</f>
        <v>0</v>
      </c>
      <c r="E344">
        <f>MAX(0,IF(Impostazioni!$B$7="No",'Calc base'!$C344-$C$31,'Calc base'!$C344-C344)+'Calc base'!$G344+'Calc base'!$F344-(B344-C344-D344))</f>
        <v>900</v>
      </c>
      <c r="F344">
        <f>SUM(AH344:AS344)</f>
        <v>0</v>
      </c>
      <c r="G344">
        <f>SUM(AT344:BE344)</f>
        <v>0</v>
      </c>
      <c r="H344">
        <f>B344-G343</f>
        <v>0</v>
      </c>
      <c r="I344">
        <f>B344-G344</f>
        <v>0</v>
      </c>
      <c r="J344">
        <f>IF(AT343&lt;=0,0,IF(ROUND(AT343*(1+'Calc base'!H344),2)-MAX('Calc base'!C$12,ROUND('Calc base'!C$13*AT343,2))&lt;1,ROUND(AT343*(1+'Calc base'!H344),2),MAX('Calc base'!C$12,ROUND('Calc base'!C$13*AT343,2))))</f>
        <v>0</v>
      </c>
      <c r="K344">
        <f>IF(AU343&lt;=0,0,IF(ROUND(AU343*(1+'Calc base'!I344),2)-MAX('Calc base'!D$12,ROUND('Calc base'!D$13*AU343,2))&lt;1,ROUND(AU343*(1+'Calc base'!I344),2),MAX('Calc base'!D$12,ROUND('Calc base'!D$13*AU343,2))))</f>
        <v>0</v>
      </c>
      <c r="L344">
        <f>IF(AV343&lt;=0,0,IF(ROUND(AV343*(1+'Calc base'!J344),2)-MAX('Calc base'!E$12,ROUND('Calc base'!E$13*AV343,2))&lt;1,ROUND(AV343*(1+'Calc base'!J344),2),MAX('Calc base'!E$12,ROUND('Calc base'!E$13*AV343,2))))</f>
        <v>0</v>
      </c>
      <c r="M344">
        <f>IF(AW343&lt;=0,0,IF(ROUND(AW343*(1+'Calc base'!K344),2)-MAX('Calc base'!F$12,ROUND('Calc base'!F$13*AW343,2))&lt;1,ROUND(AW343*(1+'Calc base'!K344),2),MAX('Calc base'!F$12,ROUND('Calc base'!F$13*AW343,2))))</f>
        <v>0</v>
      </c>
      <c r="N344">
        <f>IF(AX343&lt;=0,0,IF(ROUND(AX343*(1+'Calc base'!L344),2)-MAX('Calc base'!G$12,ROUND('Calc base'!G$13*AX343,2))&lt;1,ROUND(AX343*(1+'Calc base'!L344),2),MAX('Calc base'!G$12,ROUND('Calc base'!G$13*AX343,2))))</f>
        <v>0</v>
      </c>
      <c r="O344">
        <f>IF(AY343&lt;=0,0,IF(ROUND(AY343*(1+'Calc base'!M344),2)-MAX('Calc base'!H$12,ROUND('Calc base'!H$13*AY343,2))&lt;1,ROUND(AY343*(1+'Calc base'!M344),2),MAX('Calc base'!H$12,ROUND('Calc base'!H$13*AY343,2))))</f>
        <v>0</v>
      </c>
      <c r="P344">
        <f>IF(AZ343&lt;=0,0,IF(ROUND(AZ343*(1+'Calc base'!N344),2)-MAX('Calc base'!I$12,ROUND('Calc base'!I$13*AZ343,2))&lt;1,ROUND(AZ343*(1+'Calc base'!N344),2),MAX('Calc base'!I$12,ROUND('Calc base'!I$13*AZ343,2))))</f>
        <v>0</v>
      </c>
      <c r="Q344">
        <f>IF(BA343&lt;=0,0,IF(ROUND(BA343*(1+'Calc base'!O344),2)-MAX('Calc base'!J$12,ROUND('Calc base'!J$13*BA343,2))&lt;1,ROUND(BA343*(1+'Calc base'!O344),2),MAX('Calc base'!J$12,ROUND('Calc base'!J$13*BA343,2))))</f>
        <v>0</v>
      </c>
      <c r="R344">
        <f>IF(BB343&lt;=0,0,IF(ROUND(BB343*(1+'Calc base'!P344),2)-MAX('Calc base'!K$12,ROUND('Calc base'!K$13*BB343,2))&lt;1,ROUND(BB343*(1+'Calc base'!P344),2),MAX('Calc base'!K$12,ROUND('Calc base'!K$13*BB343,2))))</f>
        <v>0</v>
      </c>
      <c r="S344">
        <f>IF(BC343&lt;=0,0,IF(ROUND(BC343*(1+'Calc base'!Q344),2)-MAX('Calc base'!L$12,ROUND('Calc base'!L$13*BC343,2))&lt;1,ROUND(BC343*(1+'Calc base'!Q344),2),MAX('Calc base'!L$12,ROUND('Calc base'!L$13*BC343,2))))</f>
        <v>0</v>
      </c>
      <c r="T344">
        <f>IF(BD343&lt;=0,0,IF(ROUND(BD343*(1+'Calc base'!R344),2)-MAX('Calc base'!M$12,ROUND('Calc base'!M$13*BD343,2))&lt;1,ROUND(BD343*(1+'Calc base'!R344),2),MAX('Calc base'!M$12,ROUND('Calc base'!M$13*BD343,2))))</f>
        <v>0</v>
      </c>
      <c r="U344">
        <f>IF(BE343&lt;=0,0,IF(ROUND(BE343*(1+'Calc base'!S344),2)-MAX('Calc base'!N$12,ROUND('Calc base'!N$13*BE343,2))&lt;1,ROUND(BE343*(1+'Calc base'!S344),2),MAX('Calc base'!N$12,ROUND('Calc base'!N$13*BE343,2))))</f>
        <v>0</v>
      </c>
      <c r="V344">
        <f>MAX(0,ROUND(AT343*(1+'Calc base'!H344),2)-J344-'Calc base'!T344)</f>
        <v>0</v>
      </c>
      <c r="W344">
        <f>MAX(0,ROUND(AU343*(1+'Calc base'!I344),2)-K344-'Calc base'!U344)</f>
        <v>0</v>
      </c>
      <c r="X344">
        <f>MAX(0,ROUND(AV343*(1+'Calc base'!J344),2)-L344-'Calc base'!V344)</f>
        <v>0</v>
      </c>
      <c r="Y344">
        <f>MAX(0,ROUND(AW343*(1+'Calc base'!K344),2)-M344-'Calc base'!W344)</f>
        <v>0</v>
      </c>
      <c r="Z344">
        <f>MAX(0,ROUND(AX343*(1+'Calc base'!L344),2)-N344-'Calc base'!X344)</f>
        <v>0</v>
      </c>
      <c r="AA344">
        <f>MAX(0,ROUND(AY343*(1+'Calc base'!M344),2)-O344-'Calc base'!Y344)</f>
        <v>0</v>
      </c>
      <c r="AB344">
        <f>MAX(0,ROUND(AZ343*(1+'Calc base'!N344),2)-P344-'Calc base'!Z344)</f>
        <v>0</v>
      </c>
      <c r="AC344">
        <f>MAX(0,ROUND(BA343*(1+'Calc base'!O344),2)-Q344-'Calc base'!AA344)</f>
        <v>0</v>
      </c>
      <c r="AD344">
        <f>MAX(0,ROUND(BB343*(1+'Calc base'!P344),2)-R344-'Calc base'!AB344)</f>
        <v>0</v>
      </c>
      <c r="AE344">
        <f>MAX(0,ROUND(BC343*(1+'Calc base'!Q344),2)-S344-'Calc base'!AC344)</f>
        <v>0</v>
      </c>
      <c r="AF344">
        <f>MAX(0,ROUND(BD343*(1+'Calc base'!R344),2)-T344-'Calc base'!AD344)</f>
        <v>0</v>
      </c>
      <c r="AG344">
        <f>MAX(0,ROUND(BE343*(1+'Calc base'!S344),2)-U344-'Calc base'!AE344)</f>
        <v>0</v>
      </c>
      <c r="AH344">
        <f>IF('Calc base'!C$14=0,0,MIN(V344,MAX(0,$E344-SUMPRODUCT($V344:$AG344,'Calc base'!$C$14:$N$14,('Calc base'!$H344:$S344&gt;'Calc base'!H344)+('Calc base'!$H344:$S344='Calc base'!H344)*('Calc base'!$C$17:$N$17&lt;'Calc base'!C$17)))))</f>
        <v>0</v>
      </c>
      <c r="AI344">
        <f>IF('Calc base'!D$14=0,0,MIN(W344,MAX(0,$E344-SUMPRODUCT($V344:$AG344,'Calc base'!$C$14:$N$14,('Calc base'!$H344:$S344&gt;'Calc base'!I344)+('Calc base'!$H344:$S344='Calc base'!I344)*('Calc base'!$C$17:$N$17&lt;'Calc base'!D$17)))))</f>
        <v>0</v>
      </c>
      <c r="AJ344">
        <f>IF('Calc base'!E$14=0,0,MIN(X344,MAX(0,$E344-SUMPRODUCT($V344:$AG344,'Calc base'!$C$14:$N$14,('Calc base'!$H344:$S344&gt;'Calc base'!J344)+('Calc base'!$H344:$S344='Calc base'!J344)*('Calc base'!$C$17:$N$17&lt;'Calc base'!E$17)))))</f>
        <v>0</v>
      </c>
      <c r="AK344">
        <f>IF('Calc base'!F$14=0,0,MIN(Y344,MAX(0,$E344-SUMPRODUCT($V344:$AG344,'Calc base'!$C$14:$N$14,('Calc base'!$H344:$S344&gt;'Calc base'!K344)+('Calc base'!$H344:$S344='Calc base'!K344)*('Calc base'!$C$17:$N$17&lt;'Calc base'!F$17)))))</f>
        <v>0</v>
      </c>
      <c r="AL344">
        <f>IF('Calc base'!G$14=0,0,MIN(Z344,MAX(0,$E344-SUMPRODUCT($V344:$AG344,'Calc base'!$C$14:$N$14,('Calc base'!$H344:$S344&gt;'Calc base'!L344)+('Calc base'!$H344:$S344='Calc base'!L344)*('Calc base'!$C$17:$N$17&lt;'Calc base'!G$17)))))</f>
        <v>0</v>
      </c>
      <c r="AM344">
        <f>IF('Calc base'!H$14=0,0,MIN(AA344,MAX(0,$E344-SUMPRODUCT($V344:$AG344,'Calc base'!$C$14:$N$14,('Calc base'!$H344:$S344&gt;'Calc base'!M344)+('Calc base'!$H344:$S344='Calc base'!M344)*('Calc base'!$C$17:$N$17&lt;'Calc base'!H$17)))))</f>
        <v>0</v>
      </c>
      <c r="AN344">
        <f>IF('Calc base'!I$14=0,0,MIN(AB344,MAX(0,$E344-SUMPRODUCT($V344:$AG344,'Calc base'!$C$14:$N$14,('Calc base'!$H344:$S344&gt;'Calc base'!N344)+('Calc base'!$H344:$S344='Calc base'!N344)*('Calc base'!$C$17:$N$17&lt;'Calc base'!I$17)))))</f>
        <v>0</v>
      </c>
      <c r="AO344">
        <f>IF('Calc base'!J$14=0,0,MIN(AC344,MAX(0,$E344-SUMPRODUCT($V344:$AG344,'Calc base'!$C$14:$N$14,('Calc base'!$H344:$S344&gt;'Calc base'!O344)+('Calc base'!$H344:$S344='Calc base'!O344)*('Calc base'!$C$17:$N$17&lt;'Calc base'!J$17)))))</f>
        <v>0</v>
      </c>
      <c r="AP344">
        <f>IF('Calc base'!K$14=0,0,MIN(AD344,MAX(0,$E344-SUMPRODUCT($V344:$AG344,'Calc base'!$C$14:$N$14,('Calc base'!$H344:$S344&gt;'Calc base'!P344)+('Calc base'!$H344:$S344='Calc base'!P344)*('Calc base'!$C$17:$N$17&lt;'Calc base'!K$17)))))</f>
        <v>0</v>
      </c>
      <c r="AQ344">
        <f>IF('Calc base'!L$14=0,0,MIN(AE344,MAX(0,$E344-SUMPRODUCT($V344:$AG344,'Calc base'!$C$14:$N$14,('Calc base'!$H344:$S344&gt;'Calc base'!Q344)+('Calc base'!$H344:$S344='Calc base'!Q344)*('Calc base'!$C$17:$N$17&lt;'Calc base'!L$17)))))</f>
        <v>0</v>
      </c>
      <c r="AR344">
        <f>IF('Calc base'!M$14=0,0,MIN(AF344,MAX(0,$E344-SUMPRODUCT($V344:$AG344,'Calc base'!$C$14:$N$14,('Calc base'!$H344:$S344&gt;'Calc base'!R344)+('Calc base'!$H344:$S344='Calc base'!R344)*('Calc base'!$C$17:$N$17&lt;'Calc base'!M$17)))))</f>
        <v>0</v>
      </c>
      <c r="AS344">
        <f>IF('Calc base'!N$14=0,0,MIN(AG344,MAX(0,$E344-SUMPRODUCT($V344:$AG344,'Calc base'!$C$14:$N$14,('Calc base'!$H344:$S344&gt;'Calc base'!S344)+('Calc base'!$H344:$S344='Calc base'!S344)*('Calc base'!$C$17:$N$17&lt;'Calc base'!N$17)))))</f>
        <v>0</v>
      </c>
      <c r="AT344">
        <f>V344-AH344</f>
        <v>0</v>
      </c>
      <c r="AU344">
        <f>W344-AI344</f>
        <v>0</v>
      </c>
      <c r="AV344">
        <f>X344-AJ344</f>
        <v>0</v>
      </c>
      <c r="AW344">
        <f>Y344-AK344</f>
        <v>0</v>
      </c>
      <c r="AX344">
        <f>Z344-AL344</f>
        <v>0</v>
      </c>
      <c r="AY344">
        <f>AA344-AM344</f>
        <v>0</v>
      </c>
      <c r="AZ344">
        <f>AB344-AN344</f>
        <v>0</v>
      </c>
      <c r="BA344">
        <f>AC344-AO344</f>
        <v>0</v>
      </c>
      <c r="BB344">
        <f>AD344-AP344</f>
        <v>0</v>
      </c>
      <c r="BC344">
        <f>AE344-AQ344</f>
        <v>0</v>
      </c>
      <c r="BD344">
        <f>AF344-AR344</f>
        <v>0</v>
      </c>
      <c r="BE344">
        <f>AG344-AS344</f>
        <v>0</v>
      </c>
    </row>
    <row r="345">
      <c r="A345" t="n">
        <v>315</v>
      </c>
      <c r="B345">
        <f>SUMPRODUCT(ROUND($AT344:$BE344*(1+'Calc base'!$H345:$S345),2))</f>
        <v>0</v>
      </c>
      <c r="C345">
        <f>SUM(J345:U345)</f>
        <v>0</v>
      </c>
      <c r="D345">
        <f>SUM(V345:AG345)</f>
        <v>0</v>
      </c>
      <c r="E345">
        <f>MAX(0,IF(Impostazioni!$B$7="No",'Calc base'!$C345-$C$31,'Calc base'!$C345-C345)+'Calc base'!$G345+'Calc base'!$F345-(B345-C345-D345))</f>
        <v>900</v>
      </c>
      <c r="F345">
        <f>SUM(AH345:AS345)</f>
        <v>0</v>
      </c>
      <c r="G345">
        <f>SUM(AT345:BE345)</f>
        <v>0</v>
      </c>
      <c r="H345">
        <f>B345-G344</f>
        <v>0</v>
      </c>
      <c r="I345">
        <f>B345-G345</f>
        <v>0</v>
      </c>
      <c r="J345">
        <f>IF(AT344&lt;=0,0,IF(ROUND(AT344*(1+'Calc base'!H345),2)-MAX('Calc base'!C$12,ROUND('Calc base'!C$13*AT344,2))&lt;1,ROUND(AT344*(1+'Calc base'!H345),2),MAX('Calc base'!C$12,ROUND('Calc base'!C$13*AT344,2))))</f>
        <v>0</v>
      </c>
      <c r="K345">
        <f>IF(AU344&lt;=0,0,IF(ROUND(AU344*(1+'Calc base'!I345),2)-MAX('Calc base'!D$12,ROUND('Calc base'!D$13*AU344,2))&lt;1,ROUND(AU344*(1+'Calc base'!I345),2),MAX('Calc base'!D$12,ROUND('Calc base'!D$13*AU344,2))))</f>
        <v>0</v>
      </c>
      <c r="L345">
        <f>IF(AV344&lt;=0,0,IF(ROUND(AV344*(1+'Calc base'!J345),2)-MAX('Calc base'!E$12,ROUND('Calc base'!E$13*AV344,2))&lt;1,ROUND(AV344*(1+'Calc base'!J345),2),MAX('Calc base'!E$12,ROUND('Calc base'!E$13*AV344,2))))</f>
        <v>0</v>
      </c>
      <c r="M345">
        <f>IF(AW344&lt;=0,0,IF(ROUND(AW344*(1+'Calc base'!K345),2)-MAX('Calc base'!F$12,ROUND('Calc base'!F$13*AW344,2))&lt;1,ROUND(AW344*(1+'Calc base'!K345),2),MAX('Calc base'!F$12,ROUND('Calc base'!F$13*AW344,2))))</f>
        <v>0</v>
      </c>
      <c r="N345">
        <f>IF(AX344&lt;=0,0,IF(ROUND(AX344*(1+'Calc base'!L345),2)-MAX('Calc base'!G$12,ROUND('Calc base'!G$13*AX344,2))&lt;1,ROUND(AX344*(1+'Calc base'!L345),2),MAX('Calc base'!G$12,ROUND('Calc base'!G$13*AX344,2))))</f>
        <v>0</v>
      </c>
      <c r="O345">
        <f>IF(AY344&lt;=0,0,IF(ROUND(AY344*(1+'Calc base'!M345),2)-MAX('Calc base'!H$12,ROUND('Calc base'!H$13*AY344,2))&lt;1,ROUND(AY344*(1+'Calc base'!M345),2),MAX('Calc base'!H$12,ROUND('Calc base'!H$13*AY344,2))))</f>
        <v>0</v>
      </c>
      <c r="P345">
        <f>IF(AZ344&lt;=0,0,IF(ROUND(AZ344*(1+'Calc base'!N345),2)-MAX('Calc base'!I$12,ROUND('Calc base'!I$13*AZ344,2))&lt;1,ROUND(AZ344*(1+'Calc base'!N345),2),MAX('Calc base'!I$12,ROUND('Calc base'!I$13*AZ344,2))))</f>
        <v>0</v>
      </c>
      <c r="Q345">
        <f>IF(BA344&lt;=0,0,IF(ROUND(BA344*(1+'Calc base'!O345),2)-MAX('Calc base'!J$12,ROUND('Calc base'!J$13*BA344,2))&lt;1,ROUND(BA344*(1+'Calc base'!O345),2),MAX('Calc base'!J$12,ROUND('Calc base'!J$13*BA344,2))))</f>
        <v>0</v>
      </c>
      <c r="R345">
        <f>IF(BB344&lt;=0,0,IF(ROUND(BB344*(1+'Calc base'!P345),2)-MAX('Calc base'!K$12,ROUND('Calc base'!K$13*BB344,2))&lt;1,ROUND(BB344*(1+'Calc base'!P345),2),MAX('Calc base'!K$12,ROUND('Calc base'!K$13*BB344,2))))</f>
        <v>0</v>
      </c>
      <c r="S345">
        <f>IF(BC344&lt;=0,0,IF(ROUND(BC344*(1+'Calc base'!Q345),2)-MAX('Calc base'!L$12,ROUND('Calc base'!L$13*BC344,2))&lt;1,ROUND(BC344*(1+'Calc base'!Q345),2),MAX('Calc base'!L$12,ROUND('Calc base'!L$13*BC344,2))))</f>
        <v>0</v>
      </c>
      <c r="T345">
        <f>IF(BD344&lt;=0,0,IF(ROUND(BD344*(1+'Calc base'!R345),2)-MAX('Calc base'!M$12,ROUND('Calc base'!M$13*BD344,2))&lt;1,ROUND(BD344*(1+'Calc base'!R345),2),MAX('Calc base'!M$12,ROUND('Calc base'!M$13*BD344,2))))</f>
        <v>0</v>
      </c>
      <c r="U345">
        <f>IF(BE344&lt;=0,0,IF(ROUND(BE344*(1+'Calc base'!S345),2)-MAX('Calc base'!N$12,ROUND('Calc base'!N$13*BE344,2))&lt;1,ROUND(BE344*(1+'Calc base'!S345),2),MAX('Calc base'!N$12,ROUND('Calc base'!N$13*BE344,2))))</f>
        <v>0</v>
      </c>
      <c r="V345">
        <f>MAX(0,ROUND(AT344*(1+'Calc base'!H345),2)-J345-'Calc base'!T345)</f>
        <v>0</v>
      </c>
      <c r="W345">
        <f>MAX(0,ROUND(AU344*(1+'Calc base'!I345),2)-K345-'Calc base'!U345)</f>
        <v>0</v>
      </c>
      <c r="X345">
        <f>MAX(0,ROUND(AV344*(1+'Calc base'!J345),2)-L345-'Calc base'!V345)</f>
        <v>0</v>
      </c>
      <c r="Y345">
        <f>MAX(0,ROUND(AW344*(1+'Calc base'!K345),2)-M345-'Calc base'!W345)</f>
        <v>0</v>
      </c>
      <c r="Z345">
        <f>MAX(0,ROUND(AX344*(1+'Calc base'!L345),2)-N345-'Calc base'!X345)</f>
        <v>0</v>
      </c>
      <c r="AA345">
        <f>MAX(0,ROUND(AY344*(1+'Calc base'!M345),2)-O345-'Calc base'!Y345)</f>
        <v>0</v>
      </c>
      <c r="AB345">
        <f>MAX(0,ROUND(AZ344*(1+'Calc base'!N345),2)-P345-'Calc base'!Z345)</f>
        <v>0</v>
      </c>
      <c r="AC345">
        <f>MAX(0,ROUND(BA344*(1+'Calc base'!O345),2)-Q345-'Calc base'!AA345)</f>
        <v>0</v>
      </c>
      <c r="AD345">
        <f>MAX(0,ROUND(BB344*(1+'Calc base'!P345),2)-R345-'Calc base'!AB345)</f>
        <v>0</v>
      </c>
      <c r="AE345">
        <f>MAX(0,ROUND(BC344*(1+'Calc base'!Q345),2)-S345-'Calc base'!AC345)</f>
        <v>0</v>
      </c>
      <c r="AF345">
        <f>MAX(0,ROUND(BD344*(1+'Calc base'!R345),2)-T345-'Calc base'!AD345)</f>
        <v>0</v>
      </c>
      <c r="AG345">
        <f>MAX(0,ROUND(BE344*(1+'Calc base'!S345),2)-U345-'Calc base'!AE345)</f>
        <v>0</v>
      </c>
      <c r="AH345">
        <f>IF('Calc base'!C$14=0,0,MIN(V345,MAX(0,$E345-SUMPRODUCT($V345:$AG345,'Calc base'!$C$14:$N$14,('Calc base'!$H345:$S345&gt;'Calc base'!H345)+('Calc base'!$H345:$S345='Calc base'!H345)*('Calc base'!$C$17:$N$17&lt;'Calc base'!C$17)))))</f>
        <v>0</v>
      </c>
      <c r="AI345">
        <f>IF('Calc base'!D$14=0,0,MIN(W345,MAX(0,$E345-SUMPRODUCT($V345:$AG345,'Calc base'!$C$14:$N$14,('Calc base'!$H345:$S345&gt;'Calc base'!I345)+('Calc base'!$H345:$S345='Calc base'!I345)*('Calc base'!$C$17:$N$17&lt;'Calc base'!D$17)))))</f>
        <v>0</v>
      </c>
      <c r="AJ345">
        <f>IF('Calc base'!E$14=0,0,MIN(X345,MAX(0,$E345-SUMPRODUCT($V345:$AG345,'Calc base'!$C$14:$N$14,('Calc base'!$H345:$S345&gt;'Calc base'!J345)+('Calc base'!$H345:$S345='Calc base'!J345)*('Calc base'!$C$17:$N$17&lt;'Calc base'!E$17)))))</f>
        <v>0</v>
      </c>
      <c r="AK345">
        <f>IF('Calc base'!F$14=0,0,MIN(Y345,MAX(0,$E345-SUMPRODUCT($V345:$AG345,'Calc base'!$C$14:$N$14,('Calc base'!$H345:$S345&gt;'Calc base'!K345)+('Calc base'!$H345:$S345='Calc base'!K345)*('Calc base'!$C$17:$N$17&lt;'Calc base'!F$17)))))</f>
        <v>0</v>
      </c>
      <c r="AL345">
        <f>IF('Calc base'!G$14=0,0,MIN(Z345,MAX(0,$E345-SUMPRODUCT($V345:$AG345,'Calc base'!$C$14:$N$14,('Calc base'!$H345:$S345&gt;'Calc base'!L345)+('Calc base'!$H345:$S345='Calc base'!L345)*('Calc base'!$C$17:$N$17&lt;'Calc base'!G$17)))))</f>
        <v>0</v>
      </c>
      <c r="AM345">
        <f>IF('Calc base'!H$14=0,0,MIN(AA345,MAX(0,$E345-SUMPRODUCT($V345:$AG345,'Calc base'!$C$14:$N$14,('Calc base'!$H345:$S345&gt;'Calc base'!M345)+('Calc base'!$H345:$S345='Calc base'!M345)*('Calc base'!$C$17:$N$17&lt;'Calc base'!H$17)))))</f>
        <v>0</v>
      </c>
      <c r="AN345">
        <f>IF('Calc base'!I$14=0,0,MIN(AB345,MAX(0,$E345-SUMPRODUCT($V345:$AG345,'Calc base'!$C$14:$N$14,('Calc base'!$H345:$S345&gt;'Calc base'!N345)+('Calc base'!$H345:$S345='Calc base'!N345)*('Calc base'!$C$17:$N$17&lt;'Calc base'!I$17)))))</f>
        <v>0</v>
      </c>
      <c r="AO345">
        <f>IF('Calc base'!J$14=0,0,MIN(AC345,MAX(0,$E345-SUMPRODUCT($V345:$AG345,'Calc base'!$C$14:$N$14,('Calc base'!$H345:$S345&gt;'Calc base'!O345)+('Calc base'!$H345:$S345='Calc base'!O345)*('Calc base'!$C$17:$N$17&lt;'Calc base'!J$17)))))</f>
        <v>0</v>
      </c>
      <c r="AP345">
        <f>IF('Calc base'!K$14=0,0,MIN(AD345,MAX(0,$E345-SUMPRODUCT($V345:$AG345,'Calc base'!$C$14:$N$14,('Calc base'!$H345:$S345&gt;'Calc base'!P345)+('Calc base'!$H345:$S345='Calc base'!P345)*('Calc base'!$C$17:$N$17&lt;'Calc base'!K$17)))))</f>
        <v>0</v>
      </c>
      <c r="AQ345">
        <f>IF('Calc base'!L$14=0,0,MIN(AE345,MAX(0,$E345-SUMPRODUCT($V345:$AG345,'Calc base'!$C$14:$N$14,('Calc base'!$H345:$S345&gt;'Calc base'!Q345)+('Calc base'!$H345:$S345='Calc base'!Q345)*('Calc base'!$C$17:$N$17&lt;'Calc base'!L$17)))))</f>
        <v>0</v>
      </c>
      <c r="AR345">
        <f>IF('Calc base'!M$14=0,0,MIN(AF345,MAX(0,$E345-SUMPRODUCT($V345:$AG345,'Calc base'!$C$14:$N$14,('Calc base'!$H345:$S345&gt;'Calc base'!R345)+('Calc base'!$H345:$S345='Calc base'!R345)*('Calc base'!$C$17:$N$17&lt;'Calc base'!M$17)))))</f>
        <v>0</v>
      </c>
      <c r="AS345">
        <f>IF('Calc base'!N$14=0,0,MIN(AG345,MAX(0,$E345-SUMPRODUCT($V345:$AG345,'Calc base'!$C$14:$N$14,('Calc base'!$H345:$S345&gt;'Calc base'!S345)+('Calc base'!$H345:$S345='Calc base'!S345)*('Calc base'!$C$17:$N$17&lt;'Calc base'!N$17)))))</f>
        <v>0</v>
      </c>
      <c r="AT345">
        <f>V345-AH345</f>
        <v>0</v>
      </c>
      <c r="AU345">
        <f>W345-AI345</f>
        <v>0</v>
      </c>
      <c r="AV345">
        <f>X345-AJ345</f>
        <v>0</v>
      </c>
      <c r="AW345">
        <f>Y345-AK345</f>
        <v>0</v>
      </c>
      <c r="AX345">
        <f>Z345-AL345</f>
        <v>0</v>
      </c>
      <c r="AY345">
        <f>AA345-AM345</f>
        <v>0</v>
      </c>
      <c r="AZ345">
        <f>AB345-AN345</f>
        <v>0</v>
      </c>
      <c r="BA345">
        <f>AC345-AO345</f>
        <v>0</v>
      </c>
      <c r="BB345">
        <f>AD345-AP345</f>
        <v>0</v>
      </c>
      <c r="BC345">
        <f>AE345-AQ345</f>
        <v>0</v>
      </c>
      <c r="BD345">
        <f>AF345-AR345</f>
        <v>0</v>
      </c>
      <c r="BE345">
        <f>AG345-AS345</f>
        <v>0</v>
      </c>
    </row>
    <row r="346">
      <c r="A346" t="n">
        <v>316</v>
      </c>
      <c r="B346">
        <f>SUMPRODUCT(ROUND($AT345:$BE345*(1+'Calc base'!$H346:$S346),2))</f>
        <v>0</v>
      </c>
      <c r="C346">
        <f>SUM(J346:U346)</f>
        <v>0</v>
      </c>
      <c r="D346">
        <f>SUM(V346:AG346)</f>
        <v>0</v>
      </c>
      <c r="E346">
        <f>MAX(0,IF(Impostazioni!$B$7="No",'Calc base'!$C346-$C$31,'Calc base'!$C346-C346)+'Calc base'!$G346+'Calc base'!$F346-(B346-C346-D346))</f>
        <v>900</v>
      </c>
      <c r="F346">
        <f>SUM(AH346:AS346)</f>
        <v>0</v>
      </c>
      <c r="G346">
        <f>SUM(AT346:BE346)</f>
        <v>0</v>
      </c>
      <c r="H346">
        <f>B346-G345</f>
        <v>0</v>
      </c>
      <c r="I346">
        <f>B346-G346</f>
        <v>0</v>
      </c>
      <c r="J346">
        <f>IF(AT345&lt;=0,0,IF(ROUND(AT345*(1+'Calc base'!H346),2)-MAX('Calc base'!C$12,ROUND('Calc base'!C$13*AT345,2))&lt;1,ROUND(AT345*(1+'Calc base'!H346),2),MAX('Calc base'!C$12,ROUND('Calc base'!C$13*AT345,2))))</f>
        <v>0</v>
      </c>
      <c r="K346">
        <f>IF(AU345&lt;=0,0,IF(ROUND(AU345*(1+'Calc base'!I346),2)-MAX('Calc base'!D$12,ROUND('Calc base'!D$13*AU345,2))&lt;1,ROUND(AU345*(1+'Calc base'!I346),2),MAX('Calc base'!D$12,ROUND('Calc base'!D$13*AU345,2))))</f>
        <v>0</v>
      </c>
      <c r="L346">
        <f>IF(AV345&lt;=0,0,IF(ROUND(AV345*(1+'Calc base'!J346),2)-MAX('Calc base'!E$12,ROUND('Calc base'!E$13*AV345,2))&lt;1,ROUND(AV345*(1+'Calc base'!J346),2),MAX('Calc base'!E$12,ROUND('Calc base'!E$13*AV345,2))))</f>
        <v>0</v>
      </c>
      <c r="M346">
        <f>IF(AW345&lt;=0,0,IF(ROUND(AW345*(1+'Calc base'!K346),2)-MAX('Calc base'!F$12,ROUND('Calc base'!F$13*AW345,2))&lt;1,ROUND(AW345*(1+'Calc base'!K346),2),MAX('Calc base'!F$12,ROUND('Calc base'!F$13*AW345,2))))</f>
        <v>0</v>
      </c>
      <c r="N346">
        <f>IF(AX345&lt;=0,0,IF(ROUND(AX345*(1+'Calc base'!L346),2)-MAX('Calc base'!G$12,ROUND('Calc base'!G$13*AX345,2))&lt;1,ROUND(AX345*(1+'Calc base'!L346),2),MAX('Calc base'!G$12,ROUND('Calc base'!G$13*AX345,2))))</f>
        <v>0</v>
      </c>
      <c r="O346">
        <f>IF(AY345&lt;=0,0,IF(ROUND(AY345*(1+'Calc base'!M346),2)-MAX('Calc base'!H$12,ROUND('Calc base'!H$13*AY345,2))&lt;1,ROUND(AY345*(1+'Calc base'!M346),2),MAX('Calc base'!H$12,ROUND('Calc base'!H$13*AY345,2))))</f>
        <v>0</v>
      </c>
      <c r="P346">
        <f>IF(AZ345&lt;=0,0,IF(ROUND(AZ345*(1+'Calc base'!N346),2)-MAX('Calc base'!I$12,ROUND('Calc base'!I$13*AZ345,2))&lt;1,ROUND(AZ345*(1+'Calc base'!N346),2),MAX('Calc base'!I$12,ROUND('Calc base'!I$13*AZ345,2))))</f>
        <v>0</v>
      </c>
      <c r="Q346">
        <f>IF(BA345&lt;=0,0,IF(ROUND(BA345*(1+'Calc base'!O346),2)-MAX('Calc base'!J$12,ROUND('Calc base'!J$13*BA345,2))&lt;1,ROUND(BA345*(1+'Calc base'!O346),2),MAX('Calc base'!J$12,ROUND('Calc base'!J$13*BA345,2))))</f>
        <v>0</v>
      </c>
      <c r="R346">
        <f>IF(BB345&lt;=0,0,IF(ROUND(BB345*(1+'Calc base'!P346),2)-MAX('Calc base'!K$12,ROUND('Calc base'!K$13*BB345,2))&lt;1,ROUND(BB345*(1+'Calc base'!P346),2),MAX('Calc base'!K$12,ROUND('Calc base'!K$13*BB345,2))))</f>
        <v>0</v>
      </c>
      <c r="S346">
        <f>IF(BC345&lt;=0,0,IF(ROUND(BC345*(1+'Calc base'!Q346),2)-MAX('Calc base'!L$12,ROUND('Calc base'!L$13*BC345,2))&lt;1,ROUND(BC345*(1+'Calc base'!Q346),2),MAX('Calc base'!L$12,ROUND('Calc base'!L$13*BC345,2))))</f>
        <v>0</v>
      </c>
      <c r="T346">
        <f>IF(BD345&lt;=0,0,IF(ROUND(BD345*(1+'Calc base'!R346),2)-MAX('Calc base'!M$12,ROUND('Calc base'!M$13*BD345,2))&lt;1,ROUND(BD345*(1+'Calc base'!R346),2),MAX('Calc base'!M$12,ROUND('Calc base'!M$13*BD345,2))))</f>
        <v>0</v>
      </c>
      <c r="U346">
        <f>IF(BE345&lt;=0,0,IF(ROUND(BE345*(1+'Calc base'!S346),2)-MAX('Calc base'!N$12,ROUND('Calc base'!N$13*BE345,2))&lt;1,ROUND(BE345*(1+'Calc base'!S346),2),MAX('Calc base'!N$12,ROUND('Calc base'!N$13*BE345,2))))</f>
        <v>0</v>
      </c>
      <c r="V346">
        <f>MAX(0,ROUND(AT345*(1+'Calc base'!H346),2)-J346-'Calc base'!T346)</f>
        <v>0</v>
      </c>
      <c r="W346">
        <f>MAX(0,ROUND(AU345*(1+'Calc base'!I346),2)-K346-'Calc base'!U346)</f>
        <v>0</v>
      </c>
      <c r="X346">
        <f>MAX(0,ROUND(AV345*(1+'Calc base'!J346),2)-L346-'Calc base'!V346)</f>
        <v>0</v>
      </c>
      <c r="Y346">
        <f>MAX(0,ROUND(AW345*(1+'Calc base'!K346),2)-M346-'Calc base'!W346)</f>
        <v>0</v>
      </c>
      <c r="Z346">
        <f>MAX(0,ROUND(AX345*(1+'Calc base'!L346),2)-N346-'Calc base'!X346)</f>
        <v>0</v>
      </c>
      <c r="AA346">
        <f>MAX(0,ROUND(AY345*(1+'Calc base'!M346),2)-O346-'Calc base'!Y346)</f>
        <v>0</v>
      </c>
      <c r="AB346">
        <f>MAX(0,ROUND(AZ345*(1+'Calc base'!N346),2)-P346-'Calc base'!Z346)</f>
        <v>0</v>
      </c>
      <c r="AC346">
        <f>MAX(0,ROUND(BA345*(1+'Calc base'!O346),2)-Q346-'Calc base'!AA346)</f>
        <v>0</v>
      </c>
      <c r="AD346">
        <f>MAX(0,ROUND(BB345*(1+'Calc base'!P346),2)-R346-'Calc base'!AB346)</f>
        <v>0</v>
      </c>
      <c r="AE346">
        <f>MAX(0,ROUND(BC345*(1+'Calc base'!Q346),2)-S346-'Calc base'!AC346)</f>
        <v>0</v>
      </c>
      <c r="AF346">
        <f>MAX(0,ROUND(BD345*(1+'Calc base'!R346),2)-T346-'Calc base'!AD346)</f>
        <v>0</v>
      </c>
      <c r="AG346">
        <f>MAX(0,ROUND(BE345*(1+'Calc base'!S346),2)-U346-'Calc base'!AE346)</f>
        <v>0</v>
      </c>
      <c r="AH346">
        <f>IF('Calc base'!C$14=0,0,MIN(V346,MAX(0,$E346-SUMPRODUCT($V346:$AG346,'Calc base'!$C$14:$N$14,('Calc base'!$H346:$S346&gt;'Calc base'!H346)+('Calc base'!$H346:$S346='Calc base'!H346)*('Calc base'!$C$17:$N$17&lt;'Calc base'!C$17)))))</f>
        <v>0</v>
      </c>
      <c r="AI346">
        <f>IF('Calc base'!D$14=0,0,MIN(W346,MAX(0,$E346-SUMPRODUCT($V346:$AG346,'Calc base'!$C$14:$N$14,('Calc base'!$H346:$S346&gt;'Calc base'!I346)+('Calc base'!$H346:$S346='Calc base'!I346)*('Calc base'!$C$17:$N$17&lt;'Calc base'!D$17)))))</f>
        <v>0</v>
      </c>
      <c r="AJ346">
        <f>IF('Calc base'!E$14=0,0,MIN(X346,MAX(0,$E346-SUMPRODUCT($V346:$AG346,'Calc base'!$C$14:$N$14,('Calc base'!$H346:$S346&gt;'Calc base'!J346)+('Calc base'!$H346:$S346='Calc base'!J346)*('Calc base'!$C$17:$N$17&lt;'Calc base'!E$17)))))</f>
        <v>0</v>
      </c>
      <c r="AK346">
        <f>IF('Calc base'!F$14=0,0,MIN(Y346,MAX(0,$E346-SUMPRODUCT($V346:$AG346,'Calc base'!$C$14:$N$14,('Calc base'!$H346:$S346&gt;'Calc base'!K346)+('Calc base'!$H346:$S346='Calc base'!K346)*('Calc base'!$C$17:$N$17&lt;'Calc base'!F$17)))))</f>
        <v>0</v>
      </c>
      <c r="AL346">
        <f>IF('Calc base'!G$14=0,0,MIN(Z346,MAX(0,$E346-SUMPRODUCT($V346:$AG346,'Calc base'!$C$14:$N$14,('Calc base'!$H346:$S346&gt;'Calc base'!L346)+('Calc base'!$H346:$S346='Calc base'!L346)*('Calc base'!$C$17:$N$17&lt;'Calc base'!G$17)))))</f>
        <v>0</v>
      </c>
      <c r="AM346">
        <f>IF('Calc base'!H$14=0,0,MIN(AA346,MAX(0,$E346-SUMPRODUCT($V346:$AG346,'Calc base'!$C$14:$N$14,('Calc base'!$H346:$S346&gt;'Calc base'!M346)+('Calc base'!$H346:$S346='Calc base'!M346)*('Calc base'!$C$17:$N$17&lt;'Calc base'!H$17)))))</f>
        <v>0</v>
      </c>
      <c r="AN346">
        <f>IF('Calc base'!I$14=0,0,MIN(AB346,MAX(0,$E346-SUMPRODUCT($V346:$AG346,'Calc base'!$C$14:$N$14,('Calc base'!$H346:$S346&gt;'Calc base'!N346)+('Calc base'!$H346:$S346='Calc base'!N346)*('Calc base'!$C$17:$N$17&lt;'Calc base'!I$17)))))</f>
        <v>0</v>
      </c>
      <c r="AO346">
        <f>IF('Calc base'!J$14=0,0,MIN(AC346,MAX(0,$E346-SUMPRODUCT($V346:$AG346,'Calc base'!$C$14:$N$14,('Calc base'!$H346:$S346&gt;'Calc base'!O346)+('Calc base'!$H346:$S346='Calc base'!O346)*('Calc base'!$C$17:$N$17&lt;'Calc base'!J$17)))))</f>
        <v>0</v>
      </c>
      <c r="AP346">
        <f>IF('Calc base'!K$14=0,0,MIN(AD346,MAX(0,$E346-SUMPRODUCT($V346:$AG346,'Calc base'!$C$14:$N$14,('Calc base'!$H346:$S346&gt;'Calc base'!P346)+('Calc base'!$H346:$S346='Calc base'!P346)*('Calc base'!$C$17:$N$17&lt;'Calc base'!K$17)))))</f>
        <v>0</v>
      </c>
      <c r="AQ346">
        <f>IF('Calc base'!L$14=0,0,MIN(AE346,MAX(0,$E346-SUMPRODUCT($V346:$AG346,'Calc base'!$C$14:$N$14,('Calc base'!$H346:$S346&gt;'Calc base'!Q346)+('Calc base'!$H346:$S346='Calc base'!Q346)*('Calc base'!$C$17:$N$17&lt;'Calc base'!L$17)))))</f>
        <v>0</v>
      </c>
      <c r="AR346">
        <f>IF('Calc base'!M$14=0,0,MIN(AF346,MAX(0,$E346-SUMPRODUCT($V346:$AG346,'Calc base'!$C$14:$N$14,('Calc base'!$H346:$S346&gt;'Calc base'!R346)+('Calc base'!$H346:$S346='Calc base'!R346)*('Calc base'!$C$17:$N$17&lt;'Calc base'!M$17)))))</f>
        <v>0</v>
      </c>
      <c r="AS346">
        <f>IF('Calc base'!N$14=0,0,MIN(AG346,MAX(0,$E346-SUMPRODUCT($V346:$AG346,'Calc base'!$C$14:$N$14,('Calc base'!$H346:$S346&gt;'Calc base'!S346)+('Calc base'!$H346:$S346='Calc base'!S346)*('Calc base'!$C$17:$N$17&lt;'Calc base'!N$17)))))</f>
        <v>0</v>
      </c>
      <c r="AT346">
        <f>V346-AH346</f>
        <v>0</v>
      </c>
      <c r="AU346">
        <f>W346-AI346</f>
        <v>0</v>
      </c>
      <c r="AV346">
        <f>X346-AJ346</f>
        <v>0</v>
      </c>
      <c r="AW346">
        <f>Y346-AK346</f>
        <v>0</v>
      </c>
      <c r="AX346">
        <f>Z346-AL346</f>
        <v>0</v>
      </c>
      <c r="AY346">
        <f>AA346-AM346</f>
        <v>0</v>
      </c>
      <c r="AZ346">
        <f>AB346-AN346</f>
        <v>0</v>
      </c>
      <c r="BA346">
        <f>AC346-AO346</f>
        <v>0</v>
      </c>
      <c r="BB346">
        <f>AD346-AP346</f>
        <v>0</v>
      </c>
      <c r="BC346">
        <f>AE346-AQ346</f>
        <v>0</v>
      </c>
      <c r="BD346">
        <f>AF346-AR346</f>
        <v>0</v>
      </c>
      <c r="BE346">
        <f>AG346-AS346</f>
        <v>0</v>
      </c>
    </row>
    <row r="347">
      <c r="A347" t="n">
        <v>317</v>
      </c>
      <c r="B347">
        <f>SUMPRODUCT(ROUND($AT346:$BE346*(1+'Calc base'!$H347:$S347),2))</f>
        <v>0</v>
      </c>
      <c r="C347">
        <f>SUM(J347:U347)</f>
        <v>0</v>
      </c>
      <c r="D347">
        <f>SUM(V347:AG347)</f>
        <v>0</v>
      </c>
      <c r="E347">
        <f>MAX(0,IF(Impostazioni!$B$7="No",'Calc base'!$C347-$C$31,'Calc base'!$C347-C347)+'Calc base'!$G347+'Calc base'!$F347-(B347-C347-D347))</f>
        <v>900</v>
      </c>
      <c r="F347">
        <f>SUM(AH347:AS347)</f>
        <v>0</v>
      </c>
      <c r="G347">
        <f>SUM(AT347:BE347)</f>
        <v>0</v>
      </c>
      <c r="H347">
        <f>B347-G346</f>
        <v>0</v>
      </c>
      <c r="I347">
        <f>B347-G347</f>
        <v>0</v>
      </c>
      <c r="J347">
        <f>IF(AT346&lt;=0,0,IF(ROUND(AT346*(1+'Calc base'!H347),2)-MAX('Calc base'!C$12,ROUND('Calc base'!C$13*AT346,2))&lt;1,ROUND(AT346*(1+'Calc base'!H347),2),MAX('Calc base'!C$12,ROUND('Calc base'!C$13*AT346,2))))</f>
        <v>0</v>
      </c>
      <c r="K347">
        <f>IF(AU346&lt;=0,0,IF(ROUND(AU346*(1+'Calc base'!I347),2)-MAX('Calc base'!D$12,ROUND('Calc base'!D$13*AU346,2))&lt;1,ROUND(AU346*(1+'Calc base'!I347),2),MAX('Calc base'!D$12,ROUND('Calc base'!D$13*AU346,2))))</f>
        <v>0</v>
      </c>
      <c r="L347">
        <f>IF(AV346&lt;=0,0,IF(ROUND(AV346*(1+'Calc base'!J347),2)-MAX('Calc base'!E$12,ROUND('Calc base'!E$13*AV346,2))&lt;1,ROUND(AV346*(1+'Calc base'!J347),2),MAX('Calc base'!E$12,ROUND('Calc base'!E$13*AV346,2))))</f>
        <v>0</v>
      </c>
      <c r="M347">
        <f>IF(AW346&lt;=0,0,IF(ROUND(AW346*(1+'Calc base'!K347),2)-MAX('Calc base'!F$12,ROUND('Calc base'!F$13*AW346,2))&lt;1,ROUND(AW346*(1+'Calc base'!K347),2),MAX('Calc base'!F$12,ROUND('Calc base'!F$13*AW346,2))))</f>
        <v>0</v>
      </c>
      <c r="N347">
        <f>IF(AX346&lt;=0,0,IF(ROUND(AX346*(1+'Calc base'!L347),2)-MAX('Calc base'!G$12,ROUND('Calc base'!G$13*AX346,2))&lt;1,ROUND(AX346*(1+'Calc base'!L347),2),MAX('Calc base'!G$12,ROUND('Calc base'!G$13*AX346,2))))</f>
        <v>0</v>
      </c>
      <c r="O347">
        <f>IF(AY346&lt;=0,0,IF(ROUND(AY346*(1+'Calc base'!M347),2)-MAX('Calc base'!H$12,ROUND('Calc base'!H$13*AY346,2))&lt;1,ROUND(AY346*(1+'Calc base'!M347),2),MAX('Calc base'!H$12,ROUND('Calc base'!H$13*AY346,2))))</f>
        <v>0</v>
      </c>
      <c r="P347">
        <f>IF(AZ346&lt;=0,0,IF(ROUND(AZ346*(1+'Calc base'!N347),2)-MAX('Calc base'!I$12,ROUND('Calc base'!I$13*AZ346,2))&lt;1,ROUND(AZ346*(1+'Calc base'!N347),2),MAX('Calc base'!I$12,ROUND('Calc base'!I$13*AZ346,2))))</f>
        <v>0</v>
      </c>
      <c r="Q347">
        <f>IF(BA346&lt;=0,0,IF(ROUND(BA346*(1+'Calc base'!O347),2)-MAX('Calc base'!J$12,ROUND('Calc base'!J$13*BA346,2))&lt;1,ROUND(BA346*(1+'Calc base'!O347),2),MAX('Calc base'!J$12,ROUND('Calc base'!J$13*BA346,2))))</f>
        <v>0</v>
      </c>
      <c r="R347">
        <f>IF(BB346&lt;=0,0,IF(ROUND(BB346*(1+'Calc base'!P347),2)-MAX('Calc base'!K$12,ROUND('Calc base'!K$13*BB346,2))&lt;1,ROUND(BB346*(1+'Calc base'!P347),2),MAX('Calc base'!K$12,ROUND('Calc base'!K$13*BB346,2))))</f>
        <v>0</v>
      </c>
      <c r="S347">
        <f>IF(BC346&lt;=0,0,IF(ROUND(BC346*(1+'Calc base'!Q347),2)-MAX('Calc base'!L$12,ROUND('Calc base'!L$13*BC346,2))&lt;1,ROUND(BC346*(1+'Calc base'!Q347),2),MAX('Calc base'!L$12,ROUND('Calc base'!L$13*BC346,2))))</f>
        <v>0</v>
      </c>
      <c r="T347">
        <f>IF(BD346&lt;=0,0,IF(ROUND(BD346*(1+'Calc base'!R347),2)-MAX('Calc base'!M$12,ROUND('Calc base'!M$13*BD346,2))&lt;1,ROUND(BD346*(1+'Calc base'!R347),2),MAX('Calc base'!M$12,ROUND('Calc base'!M$13*BD346,2))))</f>
        <v>0</v>
      </c>
      <c r="U347">
        <f>IF(BE346&lt;=0,0,IF(ROUND(BE346*(1+'Calc base'!S347),2)-MAX('Calc base'!N$12,ROUND('Calc base'!N$13*BE346,2))&lt;1,ROUND(BE346*(1+'Calc base'!S347),2),MAX('Calc base'!N$12,ROUND('Calc base'!N$13*BE346,2))))</f>
        <v>0</v>
      </c>
      <c r="V347">
        <f>MAX(0,ROUND(AT346*(1+'Calc base'!H347),2)-J347-'Calc base'!T347)</f>
        <v>0</v>
      </c>
      <c r="W347">
        <f>MAX(0,ROUND(AU346*(1+'Calc base'!I347),2)-K347-'Calc base'!U347)</f>
        <v>0</v>
      </c>
      <c r="X347">
        <f>MAX(0,ROUND(AV346*(1+'Calc base'!J347),2)-L347-'Calc base'!V347)</f>
        <v>0</v>
      </c>
      <c r="Y347">
        <f>MAX(0,ROUND(AW346*(1+'Calc base'!K347),2)-M347-'Calc base'!W347)</f>
        <v>0</v>
      </c>
      <c r="Z347">
        <f>MAX(0,ROUND(AX346*(1+'Calc base'!L347),2)-N347-'Calc base'!X347)</f>
        <v>0</v>
      </c>
      <c r="AA347">
        <f>MAX(0,ROUND(AY346*(1+'Calc base'!M347),2)-O347-'Calc base'!Y347)</f>
        <v>0</v>
      </c>
      <c r="AB347">
        <f>MAX(0,ROUND(AZ346*(1+'Calc base'!N347),2)-P347-'Calc base'!Z347)</f>
        <v>0</v>
      </c>
      <c r="AC347">
        <f>MAX(0,ROUND(BA346*(1+'Calc base'!O347),2)-Q347-'Calc base'!AA347)</f>
        <v>0</v>
      </c>
      <c r="AD347">
        <f>MAX(0,ROUND(BB346*(1+'Calc base'!P347),2)-R347-'Calc base'!AB347)</f>
        <v>0</v>
      </c>
      <c r="AE347">
        <f>MAX(0,ROUND(BC346*(1+'Calc base'!Q347),2)-S347-'Calc base'!AC347)</f>
        <v>0</v>
      </c>
      <c r="AF347">
        <f>MAX(0,ROUND(BD346*(1+'Calc base'!R347),2)-T347-'Calc base'!AD347)</f>
        <v>0</v>
      </c>
      <c r="AG347">
        <f>MAX(0,ROUND(BE346*(1+'Calc base'!S347),2)-U347-'Calc base'!AE347)</f>
        <v>0</v>
      </c>
      <c r="AH347">
        <f>IF('Calc base'!C$14=0,0,MIN(V347,MAX(0,$E347-SUMPRODUCT($V347:$AG347,'Calc base'!$C$14:$N$14,('Calc base'!$H347:$S347&gt;'Calc base'!H347)+('Calc base'!$H347:$S347='Calc base'!H347)*('Calc base'!$C$17:$N$17&lt;'Calc base'!C$17)))))</f>
        <v>0</v>
      </c>
      <c r="AI347">
        <f>IF('Calc base'!D$14=0,0,MIN(W347,MAX(0,$E347-SUMPRODUCT($V347:$AG347,'Calc base'!$C$14:$N$14,('Calc base'!$H347:$S347&gt;'Calc base'!I347)+('Calc base'!$H347:$S347='Calc base'!I347)*('Calc base'!$C$17:$N$17&lt;'Calc base'!D$17)))))</f>
        <v>0</v>
      </c>
      <c r="AJ347">
        <f>IF('Calc base'!E$14=0,0,MIN(X347,MAX(0,$E347-SUMPRODUCT($V347:$AG347,'Calc base'!$C$14:$N$14,('Calc base'!$H347:$S347&gt;'Calc base'!J347)+('Calc base'!$H347:$S347='Calc base'!J347)*('Calc base'!$C$17:$N$17&lt;'Calc base'!E$17)))))</f>
        <v>0</v>
      </c>
      <c r="AK347">
        <f>IF('Calc base'!F$14=0,0,MIN(Y347,MAX(0,$E347-SUMPRODUCT($V347:$AG347,'Calc base'!$C$14:$N$14,('Calc base'!$H347:$S347&gt;'Calc base'!K347)+('Calc base'!$H347:$S347='Calc base'!K347)*('Calc base'!$C$17:$N$17&lt;'Calc base'!F$17)))))</f>
        <v>0</v>
      </c>
      <c r="AL347">
        <f>IF('Calc base'!G$14=0,0,MIN(Z347,MAX(0,$E347-SUMPRODUCT($V347:$AG347,'Calc base'!$C$14:$N$14,('Calc base'!$H347:$S347&gt;'Calc base'!L347)+('Calc base'!$H347:$S347='Calc base'!L347)*('Calc base'!$C$17:$N$17&lt;'Calc base'!G$17)))))</f>
        <v>0</v>
      </c>
      <c r="AM347">
        <f>IF('Calc base'!H$14=0,0,MIN(AA347,MAX(0,$E347-SUMPRODUCT($V347:$AG347,'Calc base'!$C$14:$N$14,('Calc base'!$H347:$S347&gt;'Calc base'!M347)+('Calc base'!$H347:$S347='Calc base'!M347)*('Calc base'!$C$17:$N$17&lt;'Calc base'!H$17)))))</f>
        <v>0</v>
      </c>
      <c r="AN347">
        <f>IF('Calc base'!I$14=0,0,MIN(AB347,MAX(0,$E347-SUMPRODUCT($V347:$AG347,'Calc base'!$C$14:$N$14,('Calc base'!$H347:$S347&gt;'Calc base'!N347)+('Calc base'!$H347:$S347='Calc base'!N347)*('Calc base'!$C$17:$N$17&lt;'Calc base'!I$17)))))</f>
        <v>0</v>
      </c>
      <c r="AO347">
        <f>IF('Calc base'!J$14=0,0,MIN(AC347,MAX(0,$E347-SUMPRODUCT($V347:$AG347,'Calc base'!$C$14:$N$14,('Calc base'!$H347:$S347&gt;'Calc base'!O347)+('Calc base'!$H347:$S347='Calc base'!O347)*('Calc base'!$C$17:$N$17&lt;'Calc base'!J$17)))))</f>
        <v>0</v>
      </c>
      <c r="AP347">
        <f>IF('Calc base'!K$14=0,0,MIN(AD347,MAX(0,$E347-SUMPRODUCT($V347:$AG347,'Calc base'!$C$14:$N$14,('Calc base'!$H347:$S347&gt;'Calc base'!P347)+('Calc base'!$H347:$S347='Calc base'!P347)*('Calc base'!$C$17:$N$17&lt;'Calc base'!K$17)))))</f>
        <v>0</v>
      </c>
      <c r="AQ347">
        <f>IF('Calc base'!L$14=0,0,MIN(AE347,MAX(0,$E347-SUMPRODUCT($V347:$AG347,'Calc base'!$C$14:$N$14,('Calc base'!$H347:$S347&gt;'Calc base'!Q347)+('Calc base'!$H347:$S347='Calc base'!Q347)*('Calc base'!$C$17:$N$17&lt;'Calc base'!L$17)))))</f>
        <v>0</v>
      </c>
      <c r="AR347">
        <f>IF('Calc base'!M$14=0,0,MIN(AF347,MAX(0,$E347-SUMPRODUCT($V347:$AG347,'Calc base'!$C$14:$N$14,('Calc base'!$H347:$S347&gt;'Calc base'!R347)+('Calc base'!$H347:$S347='Calc base'!R347)*('Calc base'!$C$17:$N$17&lt;'Calc base'!M$17)))))</f>
        <v>0</v>
      </c>
      <c r="AS347">
        <f>IF('Calc base'!N$14=0,0,MIN(AG347,MAX(0,$E347-SUMPRODUCT($V347:$AG347,'Calc base'!$C$14:$N$14,('Calc base'!$H347:$S347&gt;'Calc base'!S347)+('Calc base'!$H347:$S347='Calc base'!S347)*('Calc base'!$C$17:$N$17&lt;'Calc base'!N$17)))))</f>
        <v>0</v>
      </c>
      <c r="AT347">
        <f>V347-AH347</f>
        <v>0</v>
      </c>
      <c r="AU347">
        <f>W347-AI347</f>
        <v>0</v>
      </c>
      <c r="AV347">
        <f>X347-AJ347</f>
        <v>0</v>
      </c>
      <c r="AW347">
        <f>Y347-AK347</f>
        <v>0</v>
      </c>
      <c r="AX347">
        <f>Z347-AL347</f>
        <v>0</v>
      </c>
      <c r="AY347">
        <f>AA347-AM347</f>
        <v>0</v>
      </c>
      <c r="AZ347">
        <f>AB347-AN347</f>
        <v>0</v>
      </c>
      <c r="BA347">
        <f>AC347-AO347</f>
        <v>0</v>
      </c>
      <c r="BB347">
        <f>AD347-AP347</f>
        <v>0</v>
      </c>
      <c r="BC347">
        <f>AE347-AQ347</f>
        <v>0</v>
      </c>
      <c r="BD347">
        <f>AF347-AR347</f>
        <v>0</v>
      </c>
      <c r="BE347">
        <f>AG347-AS347</f>
        <v>0</v>
      </c>
    </row>
    <row r="348">
      <c r="A348" t="n">
        <v>318</v>
      </c>
      <c r="B348">
        <f>SUMPRODUCT(ROUND($AT347:$BE347*(1+'Calc base'!$H348:$S348),2))</f>
        <v>0</v>
      </c>
      <c r="C348">
        <f>SUM(J348:U348)</f>
        <v>0</v>
      </c>
      <c r="D348">
        <f>SUM(V348:AG348)</f>
        <v>0</v>
      </c>
      <c r="E348">
        <f>MAX(0,IF(Impostazioni!$B$7="No",'Calc base'!$C348-$C$31,'Calc base'!$C348-C348)+'Calc base'!$G348+'Calc base'!$F348-(B348-C348-D348))</f>
        <v>900</v>
      </c>
      <c r="F348">
        <f>SUM(AH348:AS348)</f>
        <v>0</v>
      </c>
      <c r="G348">
        <f>SUM(AT348:BE348)</f>
        <v>0</v>
      </c>
      <c r="H348">
        <f>B348-G347</f>
        <v>0</v>
      </c>
      <c r="I348">
        <f>B348-G348</f>
        <v>0</v>
      </c>
      <c r="J348">
        <f>IF(AT347&lt;=0,0,IF(ROUND(AT347*(1+'Calc base'!H348),2)-MAX('Calc base'!C$12,ROUND('Calc base'!C$13*AT347,2))&lt;1,ROUND(AT347*(1+'Calc base'!H348),2),MAX('Calc base'!C$12,ROUND('Calc base'!C$13*AT347,2))))</f>
        <v>0</v>
      </c>
      <c r="K348">
        <f>IF(AU347&lt;=0,0,IF(ROUND(AU347*(1+'Calc base'!I348),2)-MAX('Calc base'!D$12,ROUND('Calc base'!D$13*AU347,2))&lt;1,ROUND(AU347*(1+'Calc base'!I348),2),MAX('Calc base'!D$12,ROUND('Calc base'!D$13*AU347,2))))</f>
        <v>0</v>
      </c>
      <c r="L348">
        <f>IF(AV347&lt;=0,0,IF(ROUND(AV347*(1+'Calc base'!J348),2)-MAX('Calc base'!E$12,ROUND('Calc base'!E$13*AV347,2))&lt;1,ROUND(AV347*(1+'Calc base'!J348),2),MAX('Calc base'!E$12,ROUND('Calc base'!E$13*AV347,2))))</f>
        <v>0</v>
      </c>
      <c r="M348">
        <f>IF(AW347&lt;=0,0,IF(ROUND(AW347*(1+'Calc base'!K348),2)-MAX('Calc base'!F$12,ROUND('Calc base'!F$13*AW347,2))&lt;1,ROUND(AW347*(1+'Calc base'!K348),2),MAX('Calc base'!F$12,ROUND('Calc base'!F$13*AW347,2))))</f>
        <v>0</v>
      </c>
      <c r="N348">
        <f>IF(AX347&lt;=0,0,IF(ROUND(AX347*(1+'Calc base'!L348),2)-MAX('Calc base'!G$12,ROUND('Calc base'!G$13*AX347,2))&lt;1,ROUND(AX347*(1+'Calc base'!L348),2),MAX('Calc base'!G$12,ROUND('Calc base'!G$13*AX347,2))))</f>
        <v>0</v>
      </c>
      <c r="O348">
        <f>IF(AY347&lt;=0,0,IF(ROUND(AY347*(1+'Calc base'!M348),2)-MAX('Calc base'!H$12,ROUND('Calc base'!H$13*AY347,2))&lt;1,ROUND(AY347*(1+'Calc base'!M348),2),MAX('Calc base'!H$12,ROUND('Calc base'!H$13*AY347,2))))</f>
        <v>0</v>
      </c>
      <c r="P348">
        <f>IF(AZ347&lt;=0,0,IF(ROUND(AZ347*(1+'Calc base'!N348),2)-MAX('Calc base'!I$12,ROUND('Calc base'!I$13*AZ347,2))&lt;1,ROUND(AZ347*(1+'Calc base'!N348),2),MAX('Calc base'!I$12,ROUND('Calc base'!I$13*AZ347,2))))</f>
        <v>0</v>
      </c>
      <c r="Q348">
        <f>IF(BA347&lt;=0,0,IF(ROUND(BA347*(1+'Calc base'!O348),2)-MAX('Calc base'!J$12,ROUND('Calc base'!J$13*BA347,2))&lt;1,ROUND(BA347*(1+'Calc base'!O348),2),MAX('Calc base'!J$12,ROUND('Calc base'!J$13*BA347,2))))</f>
        <v>0</v>
      </c>
      <c r="R348">
        <f>IF(BB347&lt;=0,0,IF(ROUND(BB347*(1+'Calc base'!P348),2)-MAX('Calc base'!K$12,ROUND('Calc base'!K$13*BB347,2))&lt;1,ROUND(BB347*(1+'Calc base'!P348),2),MAX('Calc base'!K$12,ROUND('Calc base'!K$13*BB347,2))))</f>
        <v>0</v>
      </c>
      <c r="S348">
        <f>IF(BC347&lt;=0,0,IF(ROUND(BC347*(1+'Calc base'!Q348),2)-MAX('Calc base'!L$12,ROUND('Calc base'!L$13*BC347,2))&lt;1,ROUND(BC347*(1+'Calc base'!Q348),2),MAX('Calc base'!L$12,ROUND('Calc base'!L$13*BC347,2))))</f>
        <v>0</v>
      </c>
      <c r="T348">
        <f>IF(BD347&lt;=0,0,IF(ROUND(BD347*(1+'Calc base'!R348),2)-MAX('Calc base'!M$12,ROUND('Calc base'!M$13*BD347,2))&lt;1,ROUND(BD347*(1+'Calc base'!R348),2),MAX('Calc base'!M$12,ROUND('Calc base'!M$13*BD347,2))))</f>
        <v>0</v>
      </c>
      <c r="U348">
        <f>IF(BE347&lt;=0,0,IF(ROUND(BE347*(1+'Calc base'!S348),2)-MAX('Calc base'!N$12,ROUND('Calc base'!N$13*BE347,2))&lt;1,ROUND(BE347*(1+'Calc base'!S348),2),MAX('Calc base'!N$12,ROUND('Calc base'!N$13*BE347,2))))</f>
        <v>0</v>
      </c>
      <c r="V348">
        <f>MAX(0,ROUND(AT347*(1+'Calc base'!H348),2)-J348-'Calc base'!T348)</f>
        <v>0</v>
      </c>
      <c r="W348">
        <f>MAX(0,ROUND(AU347*(1+'Calc base'!I348),2)-K348-'Calc base'!U348)</f>
        <v>0</v>
      </c>
      <c r="X348">
        <f>MAX(0,ROUND(AV347*(1+'Calc base'!J348),2)-L348-'Calc base'!V348)</f>
        <v>0</v>
      </c>
      <c r="Y348">
        <f>MAX(0,ROUND(AW347*(1+'Calc base'!K348),2)-M348-'Calc base'!W348)</f>
        <v>0</v>
      </c>
      <c r="Z348">
        <f>MAX(0,ROUND(AX347*(1+'Calc base'!L348),2)-N348-'Calc base'!X348)</f>
        <v>0</v>
      </c>
      <c r="AA348">
        <f>MAX(0,ROUND(AY347*(1+'Calc base'!M348),2)-O348-'Calc base'!Y348)</f>
        <v>0</v>
      </c>
      <c r="AB348">
        <f>MAX(0,ROUND(AZ347*(1+'Calc base'!N348),2)-P348-'Calc base'!Z348)</f>
        <v>0</v>
      </c>
      <c r="AC348">
        <f>MAX(0,ROUND(BA347*(1+'Calc base'!O348),2)-Q348-'Calc base'!AA348)</f>
        <v>0</v>
      </c>
      <c r="AD348">
        <f>MAX(0,ROUND(BB347*(1+'Calc base'!P348),2)-R348-'Calc base'!AB348)</f>
        <v>0</v>
      </c>
      <c r="AE348">
        <f>MAX(0,ROUND(BC347*(1+'Calc base'!Q348),2)-S348-'Calc base'!AC348)</f>
        <v>0</v>
      </c>
      <c r="AF348">
        <f>MAX(0,ROUND(BD347*(1+'Calc base'!R348),2)-T348-'Calc base'!AD348)</f>
        <v>0</v>
      </c>
      <c r="AG348">
        <f>MAX(0,ROUND(BE347*(1+'Calc base'!S348),2)-U348-'Calc base'!AE348)</f>
        <v>0</v>
      </c>
      <c r="AH348">
        <f>IF('Calc base'!C$14=0,0,MIN(V348,MAX(0,$E348-SUMPRODUCT($V348:$AG348,'Calc base'!$C$14:$N$14,('Calc base'!$H348:$S348&gt;'Calc base'!H348)+('Calc base'!$H348:$S348='Calc base'!H348)*('Calc base'!$C$17:$N$17&lt;'Calc base'!C$17)))))</f>
        <v>0</v>
      </c>
      <c r="AI348">
        <f>IF('Calc base'!D$14=0,0,MIN(W348,MAX(0,$E348-SUMPRODUCT($V348:$AG348,'Calc base'!$C$14:$N$14,('Calc base'!$H348:$S348&gt;'Calc base'!I348)+('Calc base'!$H348:$S348='Calc base'!I348)*('Calc base'!$C$17:$N$17&lt;'Calc base'!D$17)))))</f>
        <v>0</v>
      </c>
      <c r="AJ348">
        <f>IF('Calc base'!E$14=0,0,MIN(X348,MAX(0,$E348-SUMPRODUCT($V348:$AG348,'Calc base'!$C$14:$N$14,('Calc base'!$H348:$S348&gt;'Calc base'!J348)+('Calc base'!$H348:$S348='Calc base'!J348)*('Calc base'!$C$17:$N$17&lt;'Calc base'!E$17)))))</f>
        <v>0</v>
      </c>
      <c r="AK348">
        <f>IF('Calc base'!F$14=0,0,MIN(Y348,MAX(0,$E348-SUMPRODUCT($V348:$AG348,'Calc base'!$C$14:$N$14,('Calc base'!$H348:$S348&gt;'Calc base'!K348)+('Calc base'!$H348:$S348='Calc base'!K348)*('Calc base'!$C$17:$N$17&lt;'Calc base'!F$17)))))</f>
        <v>0</v>
      </c>
      <c r="AL348">
        <f>IF('Calc base'!G$14=0,0,MIN(Z348,MAX(0,$E348-SUMPRODUCT($V348:$AG348,'Calc base'!$C$14:$N$14,('Calc base'!$H348:$S348&gt;'Calc base'!L348)+('Calc base'!$H348:$S348='Calc base'!L348)*('Calc base'!$C$17:$N$17&lt;'Calc base'!G$17)))))</f>
        <v>0</v>
      </c>
      <c r="AM348">
        <f>IF('Calc base'!H$14=0,0,MIN(AA348,MAX(0,$E348-SUMPRODUCT($V348:$AG348,'Calc base'!$C$14:$N$14,('Calc base'!$H348:$S348&gt;'Calc base'!M348)+('Calc base'!$H348:$S348='Calc base'!M348)*('Calc base'!$C$17:$N$17&lt;'Calc base'!H$17)))))</f>
        <v>0</v>
      </c>
      <c r="AN348">
        <f>IF('Calc base'!I$14=0,0,MIN(AB348,MAX(0,$E348-SUMPRODUCT($V348:$AG348,'Calc base'!$C$14:$N$14,('Calc base'!$H348:$S348&gt;'Calc base'!N348)+('Calc base'!$H348:$S348='Calc base'!N348)*('Calc base'!$C$17:$N$17&lt;'Calc base'!I$17)))))</f>
        <v>0</v>
      </c>
      <c r="AO348">
        <f>IF('Calc base'!J$14=0,0,MIN(AC348,MAX(0,$E348-SUMPRODUCT($V348:$AG348,'Calc base'!$C$14:$N$14,('Calc base'!$H348:$S348&gt;'Calc base'!O348)+('Calc base'!$H348:$S348='Calc base'!O348)*('Calc base'!$C$17:$N$17&lt;'Calc base'!J$17)))))</f>
        <v>0</v>
      </c>
      <c r="AP348">
        <f>IF('Calc base'!K$14=0,0,MIN(AD348,MAX(0,$E348-SUMPRODUCT($V348:$AG348,'Calc base'!$C$14:$N$14,('Calc base'!$H348:$S348&gt;'Calc base'!P348)+('Calc base'!$H348:$S348='Calc base'!P348)*('Calc base'!$C$17:$N$17&lt;'Calc base'!K$17)))))</f>
        <v>0</v>
      </c>
      <c r="AQ348">
        <f>IF('Calc base'!L$14=0,0,MIN(AE348,MAX(0,$E348-SUMPRODUCT($V348:$AG348,'Calc base'!$C$14:$N$14,('Calc base'!$H348:$S348&gt;'Calc base'!Q348)+('Calc base'!$H348:$S348='Calc base'!Q348)*('Calc base'!$C$17:$N$17&lt;'Calc base'!L$17)))))</f>
        <v>0</v>
      </c>
      <c r="AR348">
        <f>IF('Calc base'!M$14=0,0,MIN(AF348,MAX(0,$E348-SUMPRODUCT($V348:$AG348,'Calc base'!$C$14:$N$14,('Calc base'!$H348:$S348&gt;'Calc base'!R348)+('Calc base'!$H348:$S348='Calc base'!R348)*('Calc base'!$C$17:$N$17&lt;'Calc base'!M$17)))))</f>
        <v>0</v>
      </c>
      <c r="AS348">
        <f>IF('Calc base'!N$14=0,0,MIN(AG348,MAX(0,$E348-SUMPRODUCT($V348:$AG348,'Calc base'!$C$14:$N$14,('Calc base'!$H348:$S348&gt;'Calc base'!S348)+('Calc base'!$H348:$S348='Calc base'!S348)*('Calc base'!$C$17:$N$17&lt;'Calc base'!N$17)))))</f>
        <v>0</v>
      </c>
      <c r="AT348">
        <f>V348-AH348</f>
        <v>0</v>
      </c>
      <c r="AU348">
        <f>W348-AI348</f>
        <v>0</v>
      </c>
      <c r="AV348">
        <f>X348-AJ348</f>
        <v>0</v>
      </c>
      <c r="AW348">
        <f>Y348-AK348</f>
        <v>0</v>
      </c>
      <c r="AX348">
        <f>Z348-AL348</f>
        <v>0</v>
      </c>
      <c r="AY348">
        <f>AA348-AM348</f>
        <v>0</v>
      </c>
      <c r="AZ348">
        <f>AB348-AN348</f>
        <v>0</v>
      </c>
      <c r="BA348">
        <f>AC348-AO348</f>
        <v>0</v>
      </c>
      <c r="BB348">
        <f>AD348-AP348</f>
        <v>0</v>
      </c>
      <c r="BC348">
        <f>AE348-AQ348</f>
        <v>0</v>
      </c>
      <c r="BD348">
        <f>AF348-AR348</f>
        <v>0</v>
      </c>
      <c r="BE348">
        <f>AG348-AS348</f>
        <v>0</v>
      </c>
    </row>
    <row r="349">
      <c r="A349" t="n">
        <v>319</v>
      </c>
      <c r="B349">
        <f>SUMPRODUCT(ROUND($AT348:$BE348*(1+'Calc base'!$H349:$S349),2))</f>
        <v>0</v>
      </c>
      <c r="C349">
        <f>SUM(J349:U349)</f>
        <v>0</v>
      </c>
      <c r="D349">
        <f>SUM(V349:AG349)</f>
        <v>0</v>
      </c>
      <c r="E349">
        <f>MAX(0,IF(Impostazioni!$B$7="No",'Calc base'!$C349-$C$31,'Calc base'!$C349-C349)+'Calc base'!$G349+'Calc base'!$F349-(B349-C349-D349))</f>
        <v>900</v>
      </c>
      <c r="F349">
        <f>SUM(AH349:AS349)</f>
        <v>0</v>
      </c>
      <c r="G349">
        <f>SUM(AT349:BE349)</f>
        <v>0</v>
      </c>
      <c r="H349">
        <f>B349-G348</f>
        <v>0</v>
      </c>
      <c r="I349">
        <f>B349-G349</f>
        <v>0</v>
      </c>
      <c r="J349">
        <f>IF(AT348&lt;=0,0,IF(ROUND(AT348*(1+'Calc base'!H349),2)-MAX('Calc base'!C$12,ROUND('Calc base'!C$13*AT348,2))&lt;1,ROUND(AT348*(1+'Calc base'!H349),2),MAX('Calc base'!C$12,ROUND('Calc base'!C$13*AT348,2))))</f>
        <v>0</v>
      </c>
      <c r="K349">
        <f>IF(AU348&lt;=0,0,IF(ROUND(AU348*(1+'Calc base'!I349),2)-MAX('Calc base'!D$12,ROUND('Calc base'!D$13*AU348,2))&lt;1,ROUND(AU348*(1+'Calc base'!I349),2),MAX('Calc base'!D$12,ROUND('Calc base'!D$13*AU348,2))))</f>
        <v>0</v>
      </c>
      <c r="L349">
        <f>IF(AV348&lt;=0,0,IF(ROUND(AV348*(1+'Calc base'!J349),2)-MAX('Calc base'!E$12,ROUND('Calc base'!E$13*AV348,2))&lt;1,ROUND(AV348*(1+'Calc base'!J349),2),MAX('Calc base'!E$12,ROUND('Calc base'!E$13*AV348,2))))</f>
        <v>0</v>
      </c>
      <c r="M349">
        <f>IF(AW348&lt;=0,0,IF(ROUND(AW348*(1+'Calc base'!K349),2)-MAX('Calc base'!F$12,ROUND('Calc base'!F$13*AW348,2))&lt;1,ROUND(AW348*(1+'Calc base'!K349),2),MAX('Calc base'!F$12,ROUND('Calc base'!F$13*AW348,2))))</f>
        <v>0</v>
      </c>
      <c r="N349">
        <f>IF(AX348&lt;=0,0,IF(ROUND(AX348*(1+'Calc base'!L349),2)-MAX('Calc base'!G$12,ROUND('Calc base'!G$13*AX348,2))&lt;1,ROUND(AX348*(1+'Calc base'!L349),2),MAX('Calc base'!G$12,ROUND('Calc base'!G$13*AX348,2))))</f>
        <v>0</v>
      </c>
      <c r="O349">
        <f>IF(AY348&lt;=0,0,IF(ROUND(AY348*(1+'Calc base'!M349),2)-MAX('Calc base'!H$12,ROUND('Calc base'!H$13*AY348,2))&lt;1,ROUND(AY348*(1+'Calc base'!M349),2),MAX('Calc base'!H$12,ROUND('Calc base'!H$13*AY348,2))))</f>
        <v>0</v>
      </c>
      <c r="P349">
        <f>IF(AZ348&lt;=0,0,IF(ROUND(AZ348*(1+'Calc base'!N349),2)-MAX('Calc base'!I$12,ROUND('Calc base'!I$13*AZ348,2))&lt;1,ROUND(AZ348*(1+'Calc base'!N349),2),MAX('Calc base'!I$12,ROUND('Calc base'!I$13*AZ348,2))))</f>
        <v>0</v>
      </c>
      <c r="Q349">
        <f>IF(BA348&lt;=0,0,IF(ROUND(BA348*(1+'Calc base'!O349),2)-MAX('Calc base'!J$12,ROUND('Calc base'!J$13*BA348,2))&lt;1,ROUND(BA348*(1+'Calc base'!O349),2),MAX('Calc base'!J$12,ROUND('Calc base'!J$13*BA348,2))))</f>
        <v>0</v>
      </c>
      <c r="R349">
        <f>IF(BB348&lt;=0,0,IF(ROUND(BB348*(1+'Calc base'!P349),2)-MAX('Calc base'!K$12,ROUND('Calc base'!K$13*BB348,2))&lt;1,ROUND(BB348*(1+'Calc base'!P349),2),MAX('Calc base'!K$12,ROUND('Calc base'!K$13*BB348,2))))</f>
        <v>0</v>
      </c>
      <c r="S349">
        <f>IF(BC348&lt;=0,0,IF(ROUND(BC348*(1+'Calc base'!Q349),2)-MAX('Calc base'!L$12,ROUND('Calc base'!L$13*BC348,2))&lt;1,ROUND(BC348*(1+'Calc base'!Q349),2),MAX('Calc base'!L$12,ROUND('Calc base'!L$13*BC348,2))))</f>
        <v>0</v>
      </c>
      <c r="T349">
        <f>IF(BD348&lt;=0,0,IF(ROUND(BD348*(1+'Calc base'!R349),2)-MAX('Calc base'!M$12,ROUND('Calc base'!M$13*BD348,2))&lt;1,ROUND(BD348*(1+'Calc base'!R349),2),MAX('Calc base'!M$12,ROUND('Calc base'!M$13*BD348,2))))</f>
        <v>0</v>
      </c>
      <c r="U349">
        <f>IF(BE348&lt;=0,0,IF(ROUND(BE348*(1+'Calc base'!S349),2)-MAX('Calc base'!N$12,ROUND('Calc base'!N$13*BE348,2))&lt;1,ROUND(BE348*(1+'Calc base'!S349),2),MAX('Calc base'!N$12,ROUND('Calc base'!N$13*BE348,2))))</f>
        <v>0</v>
      </c>
      <c r="V349">
        <f>MAX(0,ROUND(AT348*(1+'Calc base'!H349),2)-J349-'Calc base'!T349)</f>
        <v>0</v>
      </c>
      <c r="W349">
        <f>MAX(0,ROUND(AU348*(1+'Calc base'!I349),2)-K349-'Calc base'!U349)</f>
        <v>0</v>
      </c>
      <c r="X349">
        <f>MAX(0,ROUND(AV348*(1+'Calc base'!J349),2)-L349-'Calc base'!V349)</f>
        <v>0</v>
      </c>
      <c r="Y349">
        <f>MAX(0,ROUND(AW348*(1+'Calc base'!K349),2)-M349-'Calc base'!W349)</f>
        <v>0</v>
      </c>
      <c r="Z349">
        <f>MAX(0,ROUND(AX348*(1+'Calc base'!L349),2)-N349-'Calc base'!X349)</f>
        <v>0</v>
      </c>
      <c r="AA349">
        <f>MAX(0,ROUND(AY348*(1+'Calc base'!M349),2)-O349-'Calc base'!Y349)</f>
        <v>0</v>
      </c>
      <c r="AB349">
        <f>MAX(0,ROUND(AZ348*(1+'Calc base'!N349),2)-P349-'Calc base'!Z349)</f>
        <v>0</v>
      </c>
      <c r="AC349">
        <f>MAX(0,ROUND(BA348*(1+'Calc base'!O349),2)-Q349-'Calc base'!AA349)</f>
        <v>0</v>
      </c>
      <c r="AD349">
        <f>MAX(0,ROUND(BB348*(1+'Calc base'!P349),2)-R349-'Calc base'!AB349)</f>
        <v>0</v>
      </c>
      <c r="AE349">
        <f>MAX(0,ROUND(BC348*(1+'Calc base'!Q349),2)-S349-'Calc base'!AC349)</f>
        <v>0</v>
      </c>
      <c r="AF349">
        <f>MAX(0,ROUND(BD348*(1+'Calc base'!R349),2)-T349-'Calc base'!AD349)</f>
        <v>0</v>
      </c>
      <c r="AG349">
        <f>MAX(0,ROUND(BE348*(1+'Calc base'!S349),2)-U349-'Calc base'!AE349)</f>
        <v>0</v>
      </c>
      <c r="AH349">
        <f>IF('Calc base'!C$14=0,0,MIN(V349,MAX(0,$E349-SUMPRODUCT($V349:$AG349,'Calc base'!$C$14:$N$14,('Calc base'!$H349:$S349&gt;'Calc base'!H349)+('Calc base'!$H349:$S349='Calc base'!H349)*('Calc base'!$C$17:$N$17&lt;'Calc base'!C$17)))))</f>
        <v>0</v>
      </c>
      <c r="AI349">
        <f>IF('Calc base'!D$14=0,0,MIN(W349,MAX(0,$E349-SUMPRODUCT($V349:$AG349,'Calc base'!$C$14:$N$14,('Calc base'!$H349:$S349&gt;'Calc base'!I349)+('Calc base'!$H349:$S349='Calc base'!I349)*('Calc base'!$C$17:$N$17&lt;'Calc base'!D$17)))))</f>
        <v>0</v>
      </c>
      <c r="AJ349">
        <f>IF('Calc base'!E$14=0,0,MIN(X349,MAX(0,$E349-SUMPRODUCT($V349:$AG349,'Calc base'!$C$14:$N$14,('Calc base'!$H349:$S349&gt;'Calc base'!J349)+('Calc base'!$H349:$S349='Calc base'!J349)*('Calc base'!$C$17:$N$17&lt;'Calc base'!E$17)))))</f>
        <v>0</v>
      </c>
      <c r="AK349">
        <f>IF('Calc base'!F$14=0,0,MIN(Y349,MAX(0,$E349-SUMPRODUCT($V349:$AG349,'Calc base'!$C$14:$N$14,('Calc base'!$H349:$S349&gt;'Calc base'!K349)+('Calc base'!$H349:$S349='Calc base'!K349)*('Calc base'!$C$17:$N$17&lt;'Calc base'!F$17)))))</f>
        <v>0</v>
      </c>
      <c r="AL349">
        <f>IF('Calc base'!G$14=0,0,MIN(Z349,MAX(0,$E349-SUMPRODUCT($V349:$AG349,'Calc base'!$C$14:$N$14,('Calc base'!$H349:$S349&gt;'Calc base'!L349)+('Calc base'!$H349:$S349='Calc base'!L349)*('Calc base'!$C$17:$N$17&lt;'Calc base'!G$17)))))</f>
        <v>0</v>
      </c>
      <c r="AM349">
        <f>IF('Calc base'!H$14=0,0,MIN(AA349,MAX(0,$E349-SUMPRODUCT($V349:$AG349,'Calc base'!$C$14:$N$14,('Calc base'!$H349:$S349&gt;'Calc base'!M349)+('Calc base'!$H349:$S349='Calc base'!M349)*('Calc base'!$C$17:$N$17&lt;'Calc base'!H$17)))))</f>
        <v>0</v>
      </c>
      <c r="AN349">
        <f>IF('Calc base'!I$14=0,0,MIN(AB349,MAX(0,$E349-SUMPRODUCT($V349:$AG349,'Calc base'!$C$14:$N$14,('Calc base'!$H349:$S349&gt;'Calc base'!N349)+('Calc base'!$H349:$S349='Calc base'!N349)*('Calc base'!$C$17:$N$17&lt;'Calc base'!I$17)))))</f>
        <v>0</v>
      </c>
      <c r="AO349">
        <f>IF('Calc base'!J$14=0,0,MIN(AC349,MAX(0,$E349-SUMPRODUCT($V349:$AG349,'Calc base'!$C$14:$N$14,('Calc base'!$H349:$S349&gt;'Calc base'!O349)+('Calc base'!$H349:$S349='Calc base'!O349)*('Calc base'!$C$17:$N$17&lt;'Calc base'!J$17)))))</f>
        <v>0</v>
      </c>
      <c r="AP349">
        <f>IF('Calc base'!K$14=0,0,MIN(AD349,MAX(0,$E349-SUMPRODUCT($V349:$AG349,'Calc base'!$C$14:$N$14,('Calc base'!$H349:$S349&gt;'Calc base'!P349)+('Calc base'!$H349:$S349='Calc base'!P349)*('Calc base'!$C$17:$N$17&lt;'Calc base'!K$17)))))</f>
        <v>0</v>
      </c>
      <c r="AQ349">
        <f>IF('Calc base'!L$14=0,0,MIN(AE349,MAX(0,$E349-SUMPRODUCT($V349:$AG349,'Calc base'!$C$14:$N$14,('Calc base'!$H349:$S349&gt;'Calc base'!Q349)+('Calc base'!$H349:$S349='Calc base'!Q349)*('Calc base'!$C$17:$N$17&lt;'Calc base'!L$17)))))</f>
        <v>0</v>
      </c>
      <c r="AR349">
        <f>IF('Calc base'!M$14=0,0,MIN(AF349,MAX(0,$E349-SUMPRODUCT($V349:$AG349,'Calc base'!$C$14:$N$14,('Calc base'!$H349:$S349&gt;'Calc base'!R349)+('Calc base'!$H349:$S349='Calc base'!R349)*('Calc base'!$C$17:$N$17&lt;'Calc base'!M$17)))))</f>
        <v>0</v>
      </c>
      <c r="AS349">
        <f>IF('Calc base'!N$14=0,0,MIN(AG349,MAX(0,$E349-SUMPRODUCT($V349:$AG349,'Calc base'!$C$14:$N$14,('Calc base'!$H349:$S349&gt;'Calc base'!S349)+('Calc base'!$H349:$S349='Calc base'!S349)*('Calc base'!$C$17:$N$17&lt;'Calc base'!N$17)))))</f>
        <v>0</v>
      </c>
      <c r="AT349">
        <f>V349-AH349</f>
        <v>0</v>
      </c>
      <c r="AU349">
        <f>W349-AI349</f>
        <v>0</v>
      </c>
      <c r="AV349">
        <f>X349-AJ349</f>
        <v>0</v>
      </c>
      <c r="AW349">
        <f>Y349-AK349</f>
        <v>0</v>
      </c>
      <c r="AX349">
        <f>Z349-AL349</f>
        <v>0</v>
      </c>
      <c r="AY349">
        <f>AA349-AM349</f>
        <v>0</v>
      </c>
      <c r="AZ349">
        <f>AB349-AN349</f>
        <v>0</v>
      </c>
      <c r="BA349">
        <f>AC349-AO349</f>
        <v>0</v>
      </c>
      <c r="BB349">
        <f>AD349-AP349</f>
        <v>0</v>
      </c>
      <c r="BC349">
        <f>AE349-AQ349</f>
        <v>0</v>
      </c>
      <c r="BD349">
        <f>AF349-AR349</f>
        <v>0</v>
      </c>
      <c r="BE349">
        <f>AG349-AS349</f>
        <v>0</v>
      </c>
    </row>
    <row r="350">
      <c r="A350" t="n">
        <v>320</v>
      </c>
      <c r="B350">
        <f>SUMPRODUCT(ROUND($AT349:$BE349*(1+'Calc base'!$H350:$S350),2))</f>
        <v>0</v>
      </c>
      <c r="C350">
        <f>SUM(J350:U350)</f>
        <v>0</v>
      </c>
      <c r="D350">
        <f>SUM(V350:AG350)</f>
        <v>0</v>
      </c>
      <c r="E350">
        <f>MAX(0,IF(Impostazioni!$B$7="No",'Calc base'!$C350-$C$31,'Calc base'!$C350-C350)+'Calc base'!$G350+'Calc base'!$F350-(B350-C350-D350))</f>
        <v>900</v>
      </c>
      <c r="F350">
        <f>SUM(AH350:AS350)</f>
        <v>0</v>
      </c>
      <c r="G350">
        <f>SUM(AT350:BE350)</f>
        <v>0</v>
      </c>
      <c r="H350">
        <f>B350-G349</f>
        <v>0</v>
      </c>
      <c r="I350">
        <f>B350-G350</f>
        <v>0</v>
      </c>
      <c r="J350">
        <f>IF(AT349&lt;=0,0,IF(ROUND(AT349*(1+'Calc base'!H350),2)-MAX('Calc base'!C$12,ROUND('Calc base'!C$13*AT349,2))&lt;1,ROUND(AT349*(1+'Calc base'!H350),2),MAX('Calc base'!C$12,ROUND('Calc base'!C$13*AT349,2))))</f>
        <v>0</v>
      </c>
      <c r="K350">
        <f>IF(AU349&lt;=0,0,IF(ROUND(AU349*(1+'Calc base'!I350),2)-MAX('Calc base'!D$12,ROUND('Calc base'!D$13*AU349,2))&lt;1,ROUND(AU349*(1+'Calc base'!I350),2),MAX('Calc base'!D$12,ROUND('Calc base'!D$13*AU349,2))))</f>
        <v>0</v>
      </c>
      <c r="L350">
        <f>IF(AV349&lt;=0,0,IF(ROUND(AV349*(1+'Calc base'!J350),2)-MAX('Calc base'!E$12,ROUND('Calc base'!E$13*AV349,2))&lt;1,ROUND(AV349*(1+'Calc base'!J350),2),MAX('Calc base'!E$12,ROUND('Calc base'!E$13*AV349,2))))</f>
        <v>0</v>
      </c>
      <c r="M350">
        <f>IF(AW349&lt;=0,0,IF(ROUND(AW349*(1+'Calc base'!K350),2)-MAX('Calc base'!F$12,ROUND('Calc base'!F$13*AW349,2))&lt;1,ROUND(AW349*(1+'Calc base'!K350),2),MAX('Calc base'!F$12,ROUND('Calc base'!F$13*AW349,2))))</f>
        <v>0</v>
      </c>
      <c r="N350">
        <f>IF(AX349&lt;=0,0,IF(ROUND(AX349*(1+'Calc base'!L350),2)-MAX('Calc base'!G$12,ROUND('Calc base'!G$13*AX349,2))&lt;1,ROUND(AX349*(1+'Calc base'!L350),2),MAX('Calc base'!G$12,ROUND('Calc base'!G$13*AX349,2))))</f>
        <v>0</v>
      </c>
      <c r="O350">
        <f>IF(AY349&lt;=0,0,IF(ROUND(AY349*(1+'Calc base'!M350),2)-MAX('Calc base'!H$12,ROUND('Calc base'!H$13*AY349,2))&lt;1,ROUND(AY349*(1+'Calc base'!M350),2),MAX('Calc base'!H$12,ROUND('Calc base'!H$13*AY349,2))))</f>
        <v>0</v>
      </c>
      <c r="P350">
        <f>IF(AZ349&lt;=0,0,IF(ROUND(AZ349*(1+'Calc base'!N350),2)-MAX('Calc base'!I$12,ROUND('Calc base'!I$13*AZ349,2))&lt;1,ROUND(AZ349*(1+'Calc base'!N350),2),MAX('Calc base'!I$12,ROUND('Calc base'!I$13*AZ349,2))))</f>
        <v>0</v>
      </c>
      <c r="Q350">
        <f>IF(BA349&lt;=0,0,IF(ROUND(BA349*(1+'Calc base'!O350),2)-MAX('Calc base'!J$12,ROUND('Calc base'!J$13*BA349,2))&lt;1,ROUND(BA349*(1+'Calc base'!O350),2),MAX('Calc base'!J$12,ROUND('Calc base'!J$13*BA349,2))))</f>
        <v>0</v>
      </c>
      <c r="R350">
        <f>IF(BB349&lt;=0,0,IF(ROUND(BB349*(1+'Calc base'!P350),2)-MAX('Calc base'!K$12,ROUND('Calc base'!K$13*BB349,2))&lt;1,ROUND(BB349*(1+'Calc base'!P350),2),MAX('Calc base'!K$12,ROUND('Calc base'!K$13*BB349,2))))</f>
        <v>0</v>
      </c>
      <c r="S350">
        <f>IF(BC349&lt;=0,0,IF(ROUND(BC349*(1+'Calc base'!Q350),2)-MAX('Calc base'!L$12,ROUND('Calc base'!L$13*BC349,2))&lt;1,ROUND(BC349*(1+'Calc base'!Q350),2),MAX('Calc base'!L$12,ROUND('Calc base'!L$13*BC349,2))))</f>
        <v>0</v>
      </c>
      <c r="T350">
        <f>IF(BD349&lt;=0,0,IF(ROUND(BD349*(1+'Calc base'!R350),2)-MAX('Calc base'!M$12,ROUND('Calc base'!M$13*BD349,2))&lt;1,ROUND(BD349*(1+'Calc base'!R350),2),MAX('Calc base'!M$12,ROUND('Calc base'!M$13*BD349,2))))</f>
        <v>0</v>
      </c>
      <c r="U350">
        <f>IF(BE349&lt;=0,0,IF(ROUND(BE349*(1+'Calc base'!S350),2)-MAX('Calc base'!N$12,ROUND('Calc base'!N$13*BE349,2))&lt;1,ROUND(BE349*(1+'Calc base'!S350),2),MAX('Calc base'!N$12,ROUND('Calc base'!N$13*BE349,2))))</f>
        <v>0</v>
      </c>
      <c r="V350">
        <f>MAX(0,ROUND(AT349*(1+'Calc base'!H350),2)-J350-'Calc base'!T350)</f>
        <v>0</v>
      </c>
      <c r="W350">
        <f>MAX(0,ROUND(AU349*(1+'Calc base'!I350),2)-K350-'Calc base'!U350)</f>
        <v>0</v>
      </c>
      <c r="X350">
        <f>MAX(0,ROUND(AV349*(1+'Calc base'!J350),2)-L350-'Calc base'!V350)</f>
        <v>0</v>
      </c>
      <c r="Y350">
        <f>MAX(0,ROUND(AW349*(1+'Calc base'!K350),2)-M350-'Calc base'!W350)</f>
        <v>0</v>
      </c>
      <c r="Z350">
        <f>MAX(0,ROUND(AX349*(1+'Calc base'!L350),2)-N350-'Calc base'!X350)</f>
        <v>0</v>
      </c>
      <c r="AA350">
        <f>MAX(0,ROUND(AY349*(1+'Calc base'!M350),2)-O350-'Calc base'!Y350)</f>
        <v>0</v>
      </c>
      <c r="AB350">
        <f>MAX(0,ROUND(AZ349*(1+'Calc base'!N350),2)-P350-'Calc base'!Z350)</f>
        <v>0</v>
      </c>
      <c r="AC350">
        <f>MAX(0,ROUND(BA349*(1+'Calc base'!O350),2)-Q350-'Calc base'!AA350)</f>
        <v>0</v>
      </c>
      <c r="AD350">
        <f>MAX(0,ROUND(BB349*(1+'Calc base'!P350),2)-R350-'Calc base'!AB350)</f>
        <v>0</v>
      </c>
      <c r="AE350">
        <f>MAX(0,ROUND(BC349*(1+'Calc base'!Q350),2)-S350-'Calc base'!AC350)</f>
        <v>0</v>
      </c>
      <c r="AF350">
        <f>MAX(0,ROUND(BD349*(1+'Calc base'!R350),2)-T350-'Calc base'!AD350)</f>
        <v>0</v>
      </c>
      <c r="AG350">
        <f>MAX(0,ROUND(BE349*(1+'Calc base'!S350),2)-U350-'Calc base'!AE350)</f>
        <v>0</v>
      </c>
      <c r="AH350">
        <f>IF('Calc base'!C$14=0,0,MIN(V350,MAX(0,$E350-SUMPRODUCT($V350:$AG350,'Calc base'!$C$14:$N$14,('Calc base'!$H350:$S350&gt;'Calc base'!H350)+('Calc base'!$H350:$S350='Calc base'!H350)*('Calc base'!$C$17:$N$17&lt;'Calc base'!C$17)))))</f>
        <v>0</v>
      </c>
      <c r="AI350">
        <f>IF('Calc base'!D$14=0,0,MIN(W350,MAX(0,$E350-SUMPRODUCT($V350:$AG350,'Calc base'!$C$14:$N$14,('Calc base'!$H350:$S350&gt;'Calc base'!I350)+('Calc base'!$H350:$S350='Calc base'!I350)*('Calc base'!$C$17:$N$17&lt;'Calc base'!D$17)))))</f>
        <v>0</v>
      </c>
      <c r="AJ350">
        <f>IF('Calc base'!E$14=0,0,MIN(X350,MAX(0,$E350-SUMPRODUCT($V350:$AG350,'Calc base'!$C$14:$N$14,('Calc base'!$H350:$S350&gt;'Calc base'!J350)+('Calc base'!$H350:$S350='Calc base'!J350)*('Calc base'!$C$17:$N$17&lt;'Calc base'!E$17)))))</f>
        <v>0</v>
      </c>
      <c r="AK350">
        <f>IF('Calc base'!F$14=0,0,MIN(Y350,MAX(0,$E350-SUMPRODUCT($V350:$AG350,'Calc base'!$C$14:$N$14,('Calc base'!$H350:$S350&gt;'Calc base'!K350)+('Calc base'!$H350:$S350='Calc base'!K350)*('Calc base'!$C$17:$N$17&lt;'Calc base'!F$17)))))</f>
        <v>0</v>
      </c>
      <c r="AL350">
        <f>IF('Calc base'!G$14=0,0,MIN(Z350,MAX(0,$E350-SUMPRODUCT($V350:$AG350,'Calc base'!$C$14:$N$14,('Calc base'!$H350:$S350&gt;'Calc base'!L350)+('Calc base'!$H350:$S350='Calc base'!L350)*('Calc base'!$C$17:$N$17&lt;'Calc base'!G$17)))))</f>
        <v>0</v>
      </c>
      <c r="AM350">
        <f>IF('Calc base'!H$14=0,0,MIN(AA350,MAX(0,$E350-SUMPRODUCT($V350:$AG350,'Calc base'!$C$14:$N$14,('Calc base'!$H350:$S350&gt;'Calc base'!M350)+('Calc base'!$H350:$S350='Calc base'!M350)*('Calc base'!$C$17:$N$17&lt;'Calc base'!H$17)))))</f>
        <v>0</v>
      </c>
      <c r="AN350">
        <f>IF('Calc base'!I$14=0,0,MIN(AB350,MAX(0,$E350-SUMPRODUCT($V350:$AG350,'Calc base'!$C$14:$N$14,('Calc base'!$H350:$S350&gt;'Calc base'!N350)+('Calc base'!$H350:$S350='Calc base'!N350)*('Calc base'!$C$17:$N$17&lt;'Calc base'!I$17)))))</f>
        <v>0</v>
      </c>
      <c r="AO350">
        <f>IF('Calc base'!J$14=0,0,MIN(AC350,MAX(0,$E350-SUMPRODUCT($V350:$AG350,'Calc base'!$C$14:$N$14,('Calc base'!$H350:$S350&gt;'Calc base'!O350)+('Calc base'!$H350:$S350='Calc base'!O350)*('Calc base'!$C$17:$N$17&lt;'Calc base'!J$17)))))</f>
        <v>0</v>
      </c>
      <c r="AP350">
        <f>IF('Calc base'!K$14=0,0,MIN(AD350,MAX(0,$E350-SUMPRODUCT($V350:$AG350,'Calc base'!$C$14:$N$14,('Calc base'!$H350:$S350&gt;'Calc base'!P350)+('Calc base'!$H350:$S350='Calc base'!P350)*('Calc base'!$C$17:$N$17&lt;'Calc base'!K$17)))))</f>
        <v>0</v>
      </c>
      <c r="AQ350">
        <f>IF('Calc base'!L$14=0,0,MIN(AE350,MAX(0,$E350-SUMPRODUCT($V350:$AG350,'Calc base'!$C$14:$N$14,('Calc base'!$H350:$S350&gt;'Calc base'!Q350)+('Calc base'!$H350:$S350='Calc base'!Q350)*('Calc base'!$C$17:$N$17&lt;'Calc base'!L$17)))))</f>
        <v>0</v>
      </c>
      <c r="AR350">
        <f>IF('Calc base'!M$14=0,0,MIN(AF350,MAX(0,$E350-SUMPRODUCT($V350:$AG350,'Calc base'!$C$14:$N$14,('Calc base'!$H350:$S350&gt;'Calc base'!R350)+('Calc base'!$H350:$S350='Calc base'!R350)*('Calc base'!$C$17:$N$17&lt;'Calc base'!M$17)))))</f>
        <v>0</v>
      </c>
      <c r="AS350">
        <f>IF('Calc base'!N$14=0,0,MIN(AG350,MAX(0,$E350-SUMPRODUCT($V350:$AG350,'Calc base'!$C$14:$N$14,('Calc base'!$H350:$S350&gt;'Calc base'!S350)+('Calc base'!$H350:$S350='Calc base'!S350)*('Calc base'!$C$17:$N$17&lt;'Calc base'!N$17)))))</f>
        <v>0</v>
      </c>
      <c r="AT350">
        <f>V350-AH350</f>
        <v>0</v>
      </c>
      <c r="AU350">
        <f>W350-AI350</f>
        <v>0</v>
      </c>
      <c r="AV350">
        <f>X350-AJ350</f>
        <v>0</v>
      </c>
      <c r="AW350">
        <f>Y350-AK350</f>
        <v>0</v>
      </c>
      <c r="AX350">
        <f>Z350-AL350</f>
        <v>0</v>
      </c>
      <c r="AY350">
        <f>AA350-AM350</f>
        <v>0</v>
      </c>
      <c r="AZ350">
        <f>AB350-AN350</f>
        <v>0</v>
      </c>
      <c r="BA350">
        <f>AC350-AO350</f>
        <v>0</v>
      </c>
      <c r="BB350">
        <f>AD350-AP350</f>
        <v>0</v>
      </c>
      <c r="BC350">
        <f>AE350-AQ350</f>
        <v>0</v>
      </c>
      <c r="BD350">
        <f>AF350-AR350</f>
        <v>0</v>
      </c>
      <c r="BE350">
        <f>AG350-AS350</f>
        <v>0</v>
      </c>
    </row>
    <row r="351">
      <c r="A351" t="n">
        <v>321</v>
      </c>
      <c r="B351">
        <f>SUMPRODUCT(ROUND($AT350:$BE350*(1+'Calc base'!$H351:$S351),2))</f>
        <v>0</v>
      </c>
      <c r="C351">
        <f>SUM(J351:U351)</f>
        <v>0</v>
      </c>
      <c r="D351">
        <f>SUM(V351:AG351)</f>
        <v>0</v>
      </c>
      <c r="E351">
        <f>MAX(0,IF(Impostazioni!$B$7="No",'Calc base'!$C351-$C$31,'Calc base'!$C351-C351)+'Calc base'!$G351+'Calc base'!$F351-(B351-C351-D351))</f>
        <v>900</v>
      </c>
      <c r="F351">
        <f>SUM(AH351:AS351)</f>
        <v>0</v>
      </c>
      <c r="G351">
        <f>SUM(AT351:BE351)</f>
        <v>0</v>
      </c>
      <c r="H351">
        <f>B351-G350</f>
        <v>0</v>
      </c>
      <c r="I351">
        <f>B351-G351</f>
        <v>0</v>
      </c>
      <c r="J351">
        <f>IF(AT350&lt;=0,0,IF(ROUND(AT350*(1+'Calc base'!H351),2)-MAX('Calc base'!C$12,ROUND('Calc base'!C$13*AT350,2))&lt;1,ROUND(AT350*(1+'Calc base'!H351),2),MAX('Calc base'!C$12,ROUND('Calc base'!C$13*AT350,2))))</f>
        <v>0</v>
      </c>
      <c r="K351">
        <f>IF(AU350&lt;=0,0,IF(ROUND(AU350*(1+'Calc base'!I351),2)-MAX('Calc base'!D$12,ROUND('Calc base'!D$13*AU350,2))&lt;1,ROUND(AU350*(1+'Calc base'!I351),2),MAX('Calc base'!D$12,ROUND('Calc base'!D$13*AU350,2))))</f>
        <v>0</v>
      </c>
      <c r="L351">
        <f>IF(AV350&lt;=0,0,IF(ROUND(AV350*(1+'Calc base'!J351),2)-MAX('Calc base'!E$12,ROUND('Calc base'!E$13*AV350,2))&lt;1,ROUND(AV350*(1+'Calc base'!J351),2),MAX('Calc base'!E$12,ROUND('Calc base'!E$13*AV350,2))))</f>
        <v>0</v>
      </c>
      <c r="M351">
        <f>IF(AW350&lt;=0,0,IF(ROUND(AW350*(1+'Calc base'!K351),2)-MAX('Calc base'!F$12,ROUND('Calc base'!F$13*AW350,2))&lt;1,ROUND(AW350*(1+'Calc base'!K351),2),MAX('Calc base'!F$12,ROUND('Calc base'!F$13*AW350,2))))</f>
        <v>0</v>
      </c>
      <c r="N351">
        <f>IF(AX350&lt;=0,0,IF(ROUND(AX350*(1+'Calc base'!L351),2)-MAX('Calc base'!G$12,ROUND('Calc base'!G$13*AX350,2))&lt;1,ROUND(AX350*(1+'Calc base'!L351),2),MAX('Calc base'!G$12,ROUND('Calc base'!G$13*AX350,2))))</f>
        <v>0</v>
      </c>
      <c r="O351">
        <f>IF(AY350&lt;=0,0,IF(ROUND(AY350*(1+'Calc base'!M351),2)-MAX('Calc base'!H$12,ROUND('Calc base'!H$13*AY350,2))&lt;1,ROUND(AY350*(1+'Calc base'!M351),2),MAX('Calc base'!H$12,ROUND('Calc base'!H$13*AY350,2))))</f>
        <v>0</v>
      </c>
      <c r="P351">
        <f>IF(AZ350&lt;=0,0,IF(ROUND(AZ350*(1+'Calc base'!N351),2)-MAX('Calc base'!I$12,ROUND('Calc base'!I$13*AZ350,2))&lt;1,ROUND(AZ350*(1+'Calc base'!N351),2),MAX('Calc base'!I$12,ROUND('Calc base'!I$13*AZ350,2))))</f>
        <v>0</v>
      </c>
      <c r="Q351">
        <f>IF(BA350&lt;=0,0,IF(ROUND(BA350*(1+'Calc base'!O351),2)-MAX('Calc base'!J$12,ROUND('Calc base'!J$13*BA350,2))&lt;1,ROUND(BA350*(1+'Calc base'!O351),2),MAX('Calc base'!J$12,ROUND('Calc base'!J$13*BA350,2))))</f>
        <v>0</v>
      </c>
      <c r="R351">
        <f>IF(BB350&lt;=0,0,IF(ROUND(BB350*(1+'Calc base'!P351),2)-MAX('Calc base'!K$12,ROUND('Calc base'!K$13*BB350,2))&lt;1,ROUND(BB350*(1+'Calc base'!P351),2),MAX('Calc base'!K$12,ROUND('Calc base'!K$13*BB350,2))))</f>
        <v>0</v>
      </c>
      <c r="S351">
        <f>IF(BC350&lt;=0,0,IF(ROUND(BC350*(1+'Calc base'!Q351),2)-MAX('Calc base'!L$12,ROUND('Calc base'!L$13*BC350,2))&lt;1,ROUND(BC350*(1+'Calc base'!Q351),2),MAX('Calc base'!L$12,ROUND('Calc base'!L$13*BC350,2))))</f>
        <v>0</v>
      </c>
      <c r="T351">
        <f>IF(BD350&lt;=0,0,IF(ROUND(BD350*(1+'Calc base'!R351),2)-MAX('Calc base'!M$12,ROUND('Calc base'!M$13*BD350,2))&lt;1,ROUND(BD350*(1+'Calc base'!R351),2),MAX('Calc base'!M$12,ROUND('Calc base'!M$13*BD350,2))))</f>
        <v>0</v>
      </c>
      <c r="U351">
        <f>IF(BE350&lt;=0,0,IF(ROUND(BE350*(1+'Calc base'!S351),2)-MAX('Calc base'!N$12,ROUND('Calc base'!N$13*BE350,2))&lt;1,ROUND(BE350*(1+'Calc base'!S351),2),MAX('Calc base'!N$12,ROUND('Calc base'!N$13*BE350,2))))</f>
        <v>0</v>
      </c>
      <c r="V351">
        <f>MAX(0,ROUND(AT350*(1+'Calc base'!H351),2)-J351-'Calc base'!T351)</f>
        <v>0</v>
      </c>
      <c r="W351">
        <f>MAX(0,ROUND(AU350*(1+'Calc base'!I351),2)-K351-'Calc base'!U351)</f>
        <v>0</v>
      </c>
      <c r="X351">
        <f>MAX(0,ROUND(AV350*(1+'Calc base'!J351),2)-L351-'Calc base'!V351)</f>
        <v>0</v>
      </c>
      <c r="Y351">
        <f>MAX(0,ROUND(AW350*(1+'Calc base'!K351),2)-M351-'Calc base'!W351)</f>
        <v>0</v>
      </c>
      <c r="Z351">
        <f>MAX(0,ROUND(AX350*(1+'Calc base'!L351),2)-N351-'Calc base'!X351)</f>
        <v>0</v>
      </c>
      <c r="AA351">
        <f>MAX(0,ROUND(AY350*(1+'Calc base'!M351),2)-O351-'Calc base'!Y351)</f>
        <v>0</v>
      </c>
      <c r="AB351">
        <f>MAX(0,ROUND(AZ350*(1+'Calc base'!N351),2)-P351-'Calc base'!Z351)</f>
        <v>0</v>
      </c>
      <c r="AC351">
        <f>MAX(0,ROUND(BA350*(1+'Calc base'!O351),2)-Q351-'Calc base'!AA351)</f>
        <v>0</v>
      </c>
      <c r="AD351">
        <f>MAX(0,ROUND(BB350*(1+'Calc base'!P351),2)-R351-'Calc base'!AB351)</f>
        <v>0</v>
      </c>
      <c r="AE351">
        <f>MAX(0,ROUND(BC350*(1+'Calc base'!Q351),2)-S351-'Calc base'!AC351)</f>
        <v>0</v>
      </c>
      <c r="AF351">
        <f>MAX(0,ROUND(BD350*(1+'Calc base'!R351),2)-T351-'Calc base'!AD351)</f>
        <v>0</v>
      </c>
      <c r="AG351">
        <f>MAX(0,ROUND(BE350*(1+'Calc base'!S351),2)-U351-'Calc base'!AE351)</f>
        <v>0</v>
      </c>
      <c r="AH351">
        <f>IF('Calc base'!C$14=0,0,MIN(V351,MAX(0,$E351-SUMPRODUCT($V351:$AG351,'Calc base'!$C$14:$N$14,('Calc base'!$H351:$S351&gt;'Calc base'!H351)+('Calc base'!$H351:$S351='Calc base'!H351)*('Calc base'!$C$17:$N$17&lt;'Calc base'!C$17)))))</f>
        <v>0</v>
      </c>
      <c r="AI351">
        <f>IF('Calc base'!D$14=0,0,MIN(W351,MAX(0,$E351-SUMPRODUCT($V351:$AG351,'Calc base'!$C$14:$N$14,('Calc base'!$H351:$S351&gt;'Calc base'!I351)+('Calc base'!$H351:$S351='Calc base'!I351)*('Calc base'!$C$17:$N$17&lt;'Calc base'!D$17)))))</f>
        <v>0</v>
      </c>
      <c r="AJ351">
        <f>IF('Calc base'!E$14=0,0,MIN(X351,MAX(0,$E351-SUMPRODUCT($V351:$AG351,'Calc base'!$C$14:$N$14,('Calc base'!$H351:$S351&gt;'Calc base'!J351)+('Calc base'!$H351:$S351='Calc base'!J351)*('Calc base'!$C$17:$N$17&lt;'Calc base'!E$17)))))</f>
        <v>0</v>
      </c>
      <c r="AK351">
        <f>IF('Calc base'!F$14=0,0,MIN(Y351,MAX(0,$E351-SUMPRODUCT($V351:$AG351,'Calc base'!$C$14:$N$14,('Calc base'!$H351:$S351&gt;'Calc base'!K351)+('Calc base'!$H351:$S351='Calc base'!K351)*('Calc base'!$C$17:$N$17&lt;'Calc base'!F$17)))))</f>
        <v>0</v>
      </c>
      <c r="AL351">
        <f>IF('Calc base'!G$14=0,0,MIN(Z351,MAX(0,$E351-SUMPRODUCT($V351:$AG351,'Calc base'!$C$14:$N$14,('Calc base'!$H351:$S351&gt;'Calc base'!L351)+('Calc base'!$H351:$S351='Calc base'!L351)*('Calc base'!$C$17:$N$17&lt;'Calc base'!G$17)))))</f>
        <v>0</v>
      </c>
      <c r="AM351">
        <f>IF('Calc base'!H$14=0,0,MIN(AA351,MAX(0,$E351-SUMPRODUCT($V351:$AG351,'Calc base'!$C$14:$N$14,('Calc base'!$H351:$S351&gt;'Calc base'!M351)+('Calc base'!$H351:$S351='Calc base'!M351)*('Calc base'!$C$17:$N$17&lt;'Calc base'!H$17)))))</f>
        <v>0</v>
      </c>
      <c r="AN351">
        <f>IF('Calc base'!I$14=0,0,MIN(AB351,MAX(0,$E351-SUMPRODUCT($V351:$AG351,'Calc base'!$C$14:$N$14,('Calc base'!$H351:$S351&gt;'Calc base'!N351)+('Calc base'!$H351:$S351='Calc base'!N351)*('Calc base'!$C$17:$N$17&lt;'Calc base'!I$17)))))</f>
        <v>0</v>
      </c>
      <c r="AO351">
        <f>IF('Calc base'!J$14=0,0,MIN(AC351,MAX(0,$E351-SUMPRODUCT($V351:$AG351,'Calc base'!$C$14:$N$14,('Calc base'!$H351:$S351&gt;'Calc base'!O351)+('Calc base'!$H351:$S351='Calc base'!O351)*('Calc base'!$C$17:$N$17&lt;'Calc base'!J$17)))))</f>
        <v>0</v>
      </c>
      <c r="AP351">
        <f>IF('Calc base'!K$14=0,0,MIN(AD351,MAX(0,$E351-SUMPRODUCT($V351:$AG351,'Calc base'!$C$14:$N$14,('Calc base'!$H351:$S351&gt;'Calc base'!P351)+('Calc base'!$H351:$S351='Calc base'!P351)*('Calc base'!$C$17:$N$17&lt;'Calc base'!K$17)))))</f>
        <v>0</v>
      </c>
      <c r="AQ351">
        <f>IF('Calc base'!L$14=0,0,MIN(AE351,MAX(0,$E351-SUMPRODUCT($V351:$AG351,'Calc base'!$C$14:$N$14,('Calc base'!$H351:$S351&gt;'Calc base'!Q351)+('Calc base'!$H351:$S351='Calc base'!Q351)*('Calc base'!$C$17:$N$17&lt;'Calc base'!L$17)))))</f>
        <v>0</v>
      </c>
      <c r="AR351">
        <f>IF('Calc base'!M$14=0,0,MIN(AF351,MAX(0,$E351-SUMPRODUCT($V351:$AG351,'Calc base'!$C$14:$N$14,('Calc base'!$H351:$S351&gt;'Calc base'!R351)+('Calc base'!$H351:$S351='Calc base'!R351)*('Calc base'!$C$17:$N$17&lt;'Calc base'!M$17)))))</f>
        <v>0</v>
      </c>
      <c r="AS351">
        <f>IF('Calc base'!N$14=0,0,MIN(AG351,MAX(0,$E351-SUMPRODUCT($V351:$AG351,'Calc base'!$C$14:$N$14,('Calc base'!$H351:$S351&gt;'Calc base'!S351)+('Calc base'!$H351:$S351='Calc base'!S351)*('Calc base'!$C$17:$N$17&lt;'Calc base'!N$17)))))</f>
        <v>0</v>
      </c>
      <c r="AT351">
        <f>V351-AH351</f>
        <v>0</v>
      </c>
      <c r="AU351">
        <f>W351-AI351</f>
        <v>0</v>
      </c>
      <c r="AV351">
        <f>X351-AJ351</f>
        <v>0</v>
      </c>
      <c r="AW351">
        <f>Y351-AK351</f>
        <v>0</v>
      </c>
      <c r="AX351">
        <f>Z351-AL351</f>
        <v>0</v>
      </c>
      <c r="AY351">
        <f>AA351-AM351</f>
        <v>0</v>
      </c>
      <c r="AZ351">
        <f>AB351-AN351</f>
        <v>0</v>
      </c>
      <c r="BA351">
        <f>AC351-AO351</f>
        <v>0</v>
      </c>
      <c r="BB351">
        <f>AD351-AP351</f>
        <v>0</v>
      </c>
      <c r="BC351">
        <f>AE351-AQ351</f>
        <v>0</v>
      </c>
      <c r="BD351">
        <f>AF351-AR351</f>
        <v>0</v>
      </c>
      <c r="BE351">
        <f>AG351-AS351</f>
        <v>0</v>
      </c>
    </row>
    <row r="352">
      <c r="A352" t="n">
        <v>322</v>
      </c>
      <c r="B352">
        <f>SUMPRODUCT(ROUND($AT351:$BE351*(1+'Calc base'!$H352:$S352),2))</f>
        <v>0</v>
      </c>
      <c r="C352">
        <f>SUM(J352:U352)</f>
        <v>0</v>
      </c>
      <c r="D352">
        <f>SUM(V352:AG352)</f>
        <v>0</v>
      </c>
      <c r="E352">
        <f>MAX(0,IF(Impostazioni!$B$7="No",'Calc base'!$C352-$C$31,'Calc base'!$C352-C352)+'Calc base'!$G352+'Calc base'!$F352-(B352-C352-D352))</f>
        <v>900</v>
      </c>
      <c r="F352">
        <f>SUM(AH352:AS352)</f>
        <v>0</v>
      </c>
      <c r="G352">
        <f>SUM(AT352:BE352)</f>
        <v>0</v>
      </c>
      <c r="H352">
        <f>B352-G351</f>
        <v>0</v>
      </c>
      <c r="I352">
        <f>B352-G352</f>
        <v>0</v>
      </c>
      <c r="J352">
        <f>IF(AT351&lt;=0,0,IF(ROUND(AT351*(1+'Calc base'!H352),2)-MAX('Calc base'!C$12,ROUND('Calc base'!C$13*AT351,2))&lt;1,ROUND(AT351*(1+'Calc base'!H352),2),MAX('Calc base'!C$12,ROUND('Calc base'!C$13*AT351,2))))</f>
        <v>0</v>
      </c>
      <c r="K352">
        <f>IF(AU351&lt;=0,0,IF(ROUND(AU351*(1+'Calc base'!I352),2)-MAX('Calc base'!D$12,ROUND('Calc base'!D$13*AU351,2))&lt;1,ROUND(AU351*(1+'Calc base'!I352),2),MAX('Calc base'!D$12,ROUND('Calc base'!D$13*AU351,2))))</f>
        <v>0</v>
      </c>
      <c r="L352">
        <f>IF(AV351&lt;=0,0,IF(ROUND(AV351*(1+'Calc base'!J352),2)-MAX('Calc base'!E$12,ROUND('Calc base'!E$13*AV351,2))&lt;1,ROUND(AV351*(1+'Calc base'!J352),2),MAX('Calc base'!E$12,ROUND('Calc base'!E$13*AV351,2))))</f>
        <v>0</v>
      </c>
      <c r="M352">
        <f>IF(AW351&lt;=0,0,IF(ROUND(AW351*(1+'Calc base'!K352),2)-MAX('Calc base'!F$12,ROUND('Calc base'!F$13*AW351,2))&lt;1,ROUND(AW351*(1+'Calc base'!K352),2),MAX('Calc base'!F$12,ROUND('Calc base'!F$13*AW351,2))))</f>
        <v>0</v>
      </c>
      <c r="N352">
        <f>IF(AX351&lt;=0,0,IF(ROUND(AX351*(1+'Calc base'!L352),2)-MAX('Calc base'!G$12,ROUND('Calc base'!G$13*AX351,2))&lt;1,ROUND(AX351*(1+'Calc base'!L352),2),MAX('Calc base'!G$12,ROUND('Calc base'!G$13*AX351,2))))</f>
        <v>0</v>
      </c>
      <c r="O352">
        <f>IF(AY351&lt;=0,0,IF(ROUND(AY351*(1+'Calc base'!M352),2)-MAX('Calc base'!H$12,ROUND('Calc base'!H$13*AY351,2))&lt;1,ROUND(AY351*(1+'Calc base'!M352),2),MAX('Calc base'!H$12,ROUND('Calc base'!H$13*AY351,2))))</f>
        <v>0</v>
      </c>
      <c r="P352">
        <f>IF(AZ351&lt;=0,0,IF(ROUND(AZ351*(1+'Calc base'!N352),2)-MAX('Calc base'!I$12,ROUND('Calc base'!I$13*AZ351,2))&lt;1,ROUND(AZ351*(1+'Calc base'!N352),2),MAX('Calc base'!I$12,ROUND('Calc base'!I$13*AZ351,2))))</f>
        <v>0</v>
      </c>
      <c r="Q352">
        <f>IF(BA351&lt;=0,0,IF(ROUND(BA351*(1+'Calc base'!O352),2)-MAX('Calc base'!J$12,ROUND('Calc base'!J$13*BA351,2))&lt;1,ROUND(BA351*(1+'Calc base'!O352),2),MAX('Calc base'!J$12,ROUND('Calc base'!J$13*BA351,2))))</f>
        <v>0</v>
      </c>
      <c r="R352">
        <f>IF(BB351&lt;=0,0,IF(ROUND(BB351*(1+'Calc base'!P352),2)-MAX('Calc base'!K$12,ROUND('Calc base'!K$13*BB351,2))&lt;1,ROUND(BB351*(1+'Calc base'!P352),2),MAX('Calc base'!K$12,ROUND('Calc base'!K$13*BB351,2))))</f>
        <v>0</v>
      </c>
      <c r="S352">
        <f>IF(BC351&lt;=0,0,IF(ROUND(BC351*(1+'Calc base'!Q352),2)-MAX('Calc base'!L$12,ROUND('Calc base'!L$13*BC351,2))&lt;1,ROUND(BC351*(1+'Calc base'!Q352),2),MAX('Calc base'!L$12,ROUND('Calc base'!L$13*BC351,2))))</f>
        <v>0</v>
      </c>
      <c r="T352">
        <f>IF(BD351&lt;=0,0,IF(ROUND(BD351*(1+'Calc base'!R352),2)-MAX('Calc base'!M$12,ROUND('Calc base'!M$13*BD351,2))&lt;1,ROUND(BD351*(1+'Calc base'!R352),2),MAX('Calc base'!M$12,ROUND('Calc base'!M$13*BD351,2))))</f>
        <v>0</v>
      </c>
      <c r="U352">
        <f>IF(BE351&lt;=0,0,IF(ROUND(BE351*(1+'Calc base'!S352),2)-MAX('Calc base'!N$12,ROUND('Calc base'!N$13*BE351,2))&lt;1,ROUND(BE351*(1+'Calc base'!S352),2),MAX('Calc base'!N$12,ROUND('Calc base'!N$13*BE351,2))))</f>
        <v>0</v>
      </c>
      <c r="V352">
        <f>MAX(0,ROUND(AT351*(1+'Calc base'!H352),2)-J352-'Calc base'!T352)</f>
        <v>0</v>
      </c>
      <c r="W352">
        <f>MAX(0,ROUND(AU351*(1+'Calc base'!I352),2)-K352-'Calc base'!U352)</f>
        <v>0</v>
      </c>
      <c r="X352">
        <f>MAX(0,ROUND(AV351*(1+'Calc base'!J352),2)-L352-'Calc base'!V352)</f>
        <v>0</v>
      </c>
      <c r="Y352">
        <f>MAX(0,ROUND(AW351*(1+'Calc base'!K352),2)-M352-'Calc base'!W352)</f>
        <v>0</v>
      </c>
      <c r="Z352">
        <f>MAX(0,ROUND(AX351*(1+'Calc base'!L352),2)-N352-'Calc base'!X352)</f>
        <v>0</v>
      </c>
      <c r="AA352">
        <f>MAX(0,ROUND(AY351*(1+'Calc base'!M352),2)-O352-'Calc base'!Y352)</f>
        <v>0</v>
      </c>
      <c r="AB352">
        <f>MAX(0,ROUND(AZ351*(1+'Calc base'!N352),2)-P352-'Calc base'!Z352)</f>
        <v>0</v>
      </c>
      <c r="AC352">
        <f>MAX(0,ROUND(BA351*(1+'Calc base'!O352),2)-Q352-'Calc base'!AA352)</f>
        <v>0</v>
      </c>
      <c r="AD352">
        <f>MAX(0,ROUND(BB351*(1+'Calc base'!P352),2)-R352-'Calc base'!AB352)</f>
        <v>0</v>
      </c>
      <c r="AE352">
        <f>MAX(0,ROUND(BC351*(1+'Calc base'!Q352),2)-S352-'Calc base'!AC352)</f>
        <v>0</v>
      </c>
      <c r="AF352">
        <f>MAX(0,ROUND(BD351*(1+'Calc base'!R352),2)-T352-'Calc base'!AD352)</f>
        <v>0</v>
      </c>
      <c r="AG352">
        <f>MAX(0,ROUND(BE351*(1+'Calc base'!S352),2)-U352-'Calc base'!AE352)</f>
        <v>0</v>
      </c>
      <c r="AH352">
        <f>IF('Calc base'!C$14=0,0,MIN(V352,MAX(0,$E352-SUMPRODUCT($V352:$AG352,'Calc base'!$C$14:$N$14,('Calc base'!$H352:$S352&gt;'Calc base'!H352)+('Calc base'!$H352:$S352='Calc base'!H352)*('Calc base'!$C$17:$N$17&lt;'Calc base'!C$17)))))</f>
        <v>0</v>
      </c>
      <c r="AI352">
        <f>IF('Calc base'!D$14=0,0,MIN(W352,MAX(0,$E352-SUMPRODUCT($V352:$AG352,'Calc base'!$C$14:$N$14,('Calc base'!$H352:$S352&gt;'Calc base'!I352)+('Calc base'!$H352:$S352='Calc base'!I352)*('Calc base'!$C$17:$N$17&lt;'Calc base'!D$17)))))</f>
        <v>0</v>
      </c>
      <c r="AJ352">
        <f>IF('Calc base'!E$14=0,0,MIN(X352,MAX(0,$E352-SUMPRODUCT($V352:$AG352,'Calc base'!$C$14:$N$14,('Calc base'!$H352:$S352&gt;'Calc base'!J352)+('Calc base'!$H352:$S352='Calc base'!J352)*('Calc base'!$C$17:$N$17&lt;'Calc base'!E$17)))))</f>
        <v>0</v>
      </c>
      <c r="AK352">
        <f>IF('Calc base'!F$14=0,0,MIN(Y352,MAX(0,$E352-SUMPRODUCT($V352:$AG352,'Calc base'!$C$14:$N$14,('Calc base'!$H352:$S352&gt;'Calc base'!K352)+('Calc base'!$H352:$S352='Calc base'!K352)*('Calc base'!$C$17:$N$17&lt;'Calc base'!F$17)))))</f>
        <v>0</v>
      </c>
      <c r="AL352">
        <f>IF('Calc base'!G$14=0,0,MIN(Z352,MAX(0,$E352-SUMPRODUCT($V352:$AG352,'Calc base'!$C$14:$N$14,('Calc base'!$H352:$S352&gt;'Calc base'!L352)+('Calc base'!$H352:$S352='Calc base'!L352)*('Calc base'!$C$17:$N$17&lt;'Calc base'!G$17)))))</f>
        <v>0</v>
      </c>
      <c r="AM352">
        <f>IF('Calc base'!H$14=0,0,MIN(AA352,MAX(0,$E352-SUMPRODUCT($V352:$AG352,'Calc base'!$C$14:$N$14,('Calc base'!$H352:$S352&gt;'Calc base'!M352)+('Calc base'!$H352:$S352='Calc base'!M352)*('Calc base'!$C$17:$N$17&lt;'Calc base'!H$17)))))</f>
        <v>0</v>
      </c>
      <c r="AN352">
        <f>IF('Calc base'!I$14=0,0,MIN(AB352,MAX(0,$E352-SUMPRODUCT($V352:$AG352,'Calc base'!$C$14:$N$14,('Calc base'!$H352:$S352&gt;'Calc base'!N352)+('Calc base'!$H352:$S352='Calc base'!N352)*('Calc base'!$C$17:$N$17&lt;'Calc base'!I$17)))))</f>
        <v>0</v>
      </c>
      <c r="AO352">
        <f>IF('Calc base'!J$14=0,0,MIN(AC352,MAX(0,$E352-SUMPRODUCT($V352:$AG352,'Calc base'!$C$14:$N$14,('Calc base'!$H352:$S352&gt;'Calc base'!O352)+('Calc base'!$H352:$S352='Calc base'!O352)*('Calc base'!$C$17:$N$17&lt;'Calc base'!J$17)))))</f>
        <v>0</v>
      </c>
      <c r="AP352">
        <f>IF('Calc base'!K$14=0,0,MIN(AD352,MAX(0,$E352-SUMPRODUCT($V352:$AG352,'Calc base'!$C$14:$N$14,('Calc base'!$H352:$S352&gt;'Calc base'!P352)+('Calc base'!$H352:$S352='Calc base'!P352)*('Calc base'!$C$17:$N$17&lt;'Calc base'!K$17)))))</f>
        <v>0</v>
      </c>
      <c r="AQ352">
        <f>IF('Calc base'!L$14=0,0,MIN(AE352,MAX(0,$E352-SUMPRODUCT($V352:$AG352,'Calc base'!$C$14:$N$14,('Calc base'!$H352:$S352&gt;'Calc base'!Q352)+('Calc base'!$H352:$S352='Calc base'!Q352)*('Calc base'!$C$17:$N$17&lt;'Calc base'!L$17)))))</f>
        <v>0</v>
      </c>
      <c r="AR352">
        <f>IF('Calc base'!M$14=0,0,MIN(AF352,MAX(0,$E352-SUMPRODUCT($V352:$AG352,'Calc base'!$C$14:$N$14,('Calc base'!$H352:$S352&gt;'Calc base'!R352)+('Calc base'!$H352:$S352='Calc base'!R352)*('Calc base'!$C$17:$N$17&lt;'Calc base'!M$17)))))</f>
        <v>0</v>
      </c>
      <c r="AS352">
        <f>IF('Calc base'!N$14=0,0,MIN(AG352,MAX(0,$E352-SUMPRODUCT($V352:$AG352,'Calc base'!$C$14:$N$14,('Calc base'!$H352:$S352&gt;'Calc base'!S352)+('Calc base'!$H352:$S352='Calc base'!S352)*('Calc base'!$C$17:$N$17&lt;'Calc base'!N$17)))))</f>
        <v>0</v>
      </c>
      <c r="AT352">
        <f>V352-AH352</f>
        <v>0</v>
      </c>
      <c r="AU352">
        <f>W352-AI352</f>
        <v>0</v>
      </c>
      <c r="AV352">
        <f>X352-AJ352</f>
        <v>0</v>
      </c>
      <c r="AW352">
        <f>Y352-AK352</f>
        <v>0</v>
      </c>
      <c r="AX352">
        <f>Z352-AL352</f>
        <v>0</v>
      </c>
      <c r="AY352">
        <f>AA352-AM352</f>
        <v>0</v>
      </c>
      <c r="AZ352">
        <f>AB352-AN352</f>
        <v>0</v>
      </c>
      <c r="BA352">
        <f>AC352-AO352</f>
        <v>0</v>
      </c>
      <c r="BB352">
        <f>AD352-AP352</f>
        <v>0</v>
      </c>
      <c r="BC352">
        <f>AE352-AQ352</f>
        <v>0</v>
      </c>
      <c r="BD352">
        <f>AF352-AR352</f>
        <v>0</v>
      </c>
      <c r="BE352">
        <f>AG352-AS352</f>
        <v>0</v>
      </c>
    </row>
    <row r="353">
      <c r="A353" t="n">
        <v>323</v>
      </c>
      <c r="B353">
        <f>SUMPRODUCT(ROUND($AT352:$BE352*(1+'Calc base'!$H353:$S353),2))</f>
        <v>0</v>
      </c>
      <c r="C353">
        <f>SUM(J353:U353)</f>
        <v>0</v>
      </c>
      <c r="D353">
        <f>SUM(V353:AG353)</f>
        <v>0</v>
      </c>
      <c r="E353">
        <f>MAX(0,IF(Impostazioni!$B$7="No",'Calc base'!$C353-$C$31,'Calc base'!$C353-C353)+'Calc base'!$G353+'Calc base'!$F353-(B353-C353-D353))</f>
        <v>900</v>
      </c>
      <c r="F353">
        <f>SUM(AH353:AS353)</f>
        <v>0</v>
      </c>
      <c r="G353">
        <f>SUM(AT353:BE353)</f>
        <v>0</v>
      </c>
      <c r="H353">
        <f>B353-G352</f>
        <v>0</v>
      </c>
      <c r="I353">
        <f>B353-G353</f>
        <v>0</v>
      </c>
      <c r="J353">
        <f>IF(AT352&lt;=0,0,IF(ROUND(AT352*(1+'Calc base'!H353),2)-MAX('Calc base'!C$12,ROUND('Calc base'!C$13*AT352,2))&lt;1,ROUND(AT352*(1+'Calc base'!H353),2),MAX('Calc base'!C$12,ROUND('Calc base'!C$13*AT352,2))))</f>
        <v>0</v>
      </c>
      <c r="K353">
        <f>IF(AU352&lt;=0,0,IF(ROUND(AU352*(1+'Calc base'!I353),2)-MAX('Calc base'!D$12,ROUND('Calc base'!D$13*AU352,2))&lt;1,ROUND(AU352*(1+'Calc base'!I353),2),MAX('Calc base'!D$12,ROUND('Calc base'!D$13*AU352,2))))</f>
        <v>0</v>
      </c>
      <c r="L353">
        <f>IF(AV352&lt;=0,0,IF(ROUND(AV352*(1+'Calc base'!J353),2)-MAX('Calc base'!E$12,ROUND('Calc base'!E$13*AV352,2))&lt;1,ROUND(AV352*(1+'Calc base'!J353),2),MAX('Calc base'!E$12,ROUND('Calc base'!E$13*AV352,2))))</f>
        <v>0</v>
      </c>
      <c r="M353">
        <f>IF(AW352&lt;=0,0,IF(ROUND(AW352*(1+'Calc base'!K353),2)-MAX('Calc base'!F$12,ROUND('Calc base'!F$13*AW352,2))&lt;1,ROUND(AW352*(1+'Calc base'!K353),2),MAX('Calc base'!F$12,ROUND('Calc base'!F$13*AW352,2))))</f>
        <v>0</v>
      </c>
      <c r="N353">
        <f>IF(AX352&lt;=0,0,IF(ROUND(AX352*(1+'Calc base'!L353),2)-MAX('Calc base'!G$12,ROUND('Calc base'!G$13*AX352,2))&lt;1,ROUND(AX352*(1+'Calc base'!L353),2),MAX('Calc base'!G$12,ROUND('Calc base'!G$13*AX352,2))))</f>
        <v>0</v>
      </c>
      <c r="O353">
        <f>IF(AY352&lt;=0,0,IF(ROUND(AY352*(1+'Calc base'!M353),2)-MAX('Calc base'!H$12,ROUND('Calc base'!H$13*AY352,2))&lt;1,ROUND(AY352*(1+'Calc base'!M353),2),MAX('Calc base'!H$12,ROUND('Calc base'!H$13*AY352,2))))</f>
        <v>0</v>
      </c>
      <c r="P353">
        <f>IF(AZ352&lt;=0,0,IF(ROUND(AZ352*(1+'Calc base'!N353),2)-MAX('Calc base'!I$12,ROUND('Calc base'!I$13*AZ352,2))&lt;1,ROUND(AZ352*(1+'Calc base'!N353),2),MAX('Calc base'!I$12,ROUND('Calc base'!I$13*AZ352,2))))</f>
        <v>0</v>
      </c>
      <c r="Q353">
        <f>IF(BA352&lt;=0,0,IF(ROUND(BA352*(1+'Calc base'!O353),2)-MAX('Calc base'!J$12,ROUND('Calc base'!J$13*BA352,2))&lt;1,ROUND(BA352*(1+'Calc base'!O353),2),MAX('Calc base'!J$12,ROUND('Calc base'!J$13*BA352,2))))</f>
        <v>0</v>
      </c>
      <c r="R353">
        <f>IF(BB352&lt;=0,0,IF(ROUND(BB352*(1+'Calc base'!P353),2)-MAX('Calc base'!K$12,ROUND('Calc base'!K$13*BB352,2))&lt;1,ROUND(BB352*(1+'Calc base'!P353),2),MAX('Calc base'!K$12,ROUND('Calc base'!K$13*BB352,2))))</f>
        <v>0</v>
      </c>
      <c r="S353">
        <f>IF(BC352&lt;=0,0,IF(ROUND(BC352*(1+'Calc base'!Q353),2)-MAX('Calc base'!L$12,ROUND('Calc base'!L$13*BC352,2))&lt;1,ROUND(BC352*(1+'Calc base'!Q353),2),MAX('Calc base'!L$12,ROUND('Calc base'!L$13*BC352,2))))</f>
        <v>0</v>
      </c>
      <c r="T353">
        <f>IF(BD352&lt;=0,0,IF(ROUND(BD352*(1+'Calc base'!R353),2)-MAX('Calc base'!M$12,ROUND('Calc base'!M$13*BD352,2))&lt;1,ROUND(BD352*(1+'Calc base'!R353),2),MAX('Calc base'!M$12,ROUND('Calc base'!M$13*BD352,2))))</f>
        <v>0</v>
      </c>
      <c r="U353">
        <f>IF(BE352&lt;=0,0,IF(ROUND(BE352*(1+'Calc base'!S353),2)-MAX('Calc base'!N$12,ROUND('Calc base'!N$13*BE352,2))&lt;1,ROUND(BE352*(1+'Calc base'!S353),2),MAX('Calc base'!N$12,ROUND('Calc base'!N$13*BE352,2))))</f>
        <v>0</v>
      </c>
      <c r="V353">
        <f>MAX(0,ROUND(AT352*(1+'Calc base'!H353),2)-J353-'Calc base'!T353)</f>
        <v>0</v>
      </c>
      <c r="W353">
        <f>MAX(0,ROUND(AU352*(1+'Calc base'!I353),2)-K353-'Calc base'!U353)</f>
        <v>0</v>
      </c>
      <c r="X353">
        <f>MAX(0,ROUND(AV352*(1+'Calc base'!J353),2)-L353-'Calc base'!V353)</f>
        <v>0</v>
      </c>
      <c r="Y353">
        <f>MAX(0,ROUND(AW352*(1+'Calc base'!K353),2)-M353-'Calc base'!W353)</f>
        <v>0</v>
      </c>
      <c r="Z353">
        <f>MAX(0,ROUND(AX352*(1+'Calc base'!L353),2)-N353-'Calc base'!X353)</f>
        <v>0</v>
      </c>
      <c r="AA353">
        <f>MAX(0,ROUND(AY352*(1+'Calc base'!M353),2)-O353-'Calc base'!Y353)</f>
        <v>0</v>
      </c>
      <c r="AB353">
        <f>MAX(0,ROUND(AZ352*(1+'Calc base'!N353),2)-P353-'Calc base'!Z353)</f>
        <v>0</v>
      </c>
      <c r="AC353">
        <f>MAX(0,ROUND(BA352*(1+'Calc base'!O353),2)-Q353-'Calc base'!AA353)</f>
        <v>0</v>
      </c>
      <c r="AD353">
        <f>MAX(0,ROUND(BB352*(1+'Calc base'!P353),2)-R353-'Calc base'!AB353)</f>
        <v>0</v>
      </c>
      <c r="AE353">
        <f>MAX(0,ROUND(BC352*(1+'Calc base'!Q353),2)-S353-'Calc base'!AC353)</f>
        <v>0</v>
      </c>
      <c r="AF353">
        <f>MAX(0,ROUND(BD352*(1+'Calc base'!R353),2)-T353-'Calc base'!AD353)</f>
        <v>0</v>
      </c>
      <c r="AG353">
        <f>MAX(0,ROUND(BE352*(1+'Calc base'!S353),2)-U353-'Calc base'!AE353)</f>
        <v>0</v>
      </c>
      <c r="AH353">
        <f>IF('Calc base'!C$14=0,0,MIN(V353,MAX(0,$E353-SUMPRODUCT($V353:$AG353,'Calc base'!$C$14:$N$14,('Calc base'!$H353:$S353&gt;'Calc base'!H353)+('Calc base'!$H353:$S353='Calc base'!H353)*('Calc base'!$C$17:$N$17&lt;'Calc base'!C$17)))))</f>
        <v>0</v>
      </c>
      <c r="AI353">
        <f>IF('Calc base'!D$14=0,0,MIN(W353,MAX(0,$E353-SUMPRODUCT($V353:$AG353,'Calc base'!$C$14:$N$14,('Calc base'!$H353:$S353&gt;'Calc base'!I353)+('Calc base'!$H353:$S353='Calc base'!I353)*('Calc base'!$C$17:$N$17&lt;'Calc base'!D$17)))))</f>
        <v>0</v>
      </c>
      <c r="AJ353">
        <f>IF('Calc base'!E$14=0,0,MIN(X353,MAX(0,$E353-SUMPRODUCT($V353:$AG353,'Calc base'!$C$14:$N$14,('Calc base'!$H353:$S353&gt;'Calc base'!J353)+('Calc base'!$H353:$S353='Calc base'!J353)*('Calc base'!$C$17:$N$17&lt;'Calc base'!E$17)))))</f>
        <v>0</v>
      </c>
      <c r="AK353">
        <f>IF('Calc base'!F$14=0,0,MIN(Y353,MAX(0,$E353-SUMPRODUCT($V353:$AG353,'Calc base'!$C$14:$N$14,('Calc base'!$H353:$S353&gt;'Calc base'!K353)+('Calc base'!$H353:$S353='Calc base'!K353)*('Calc base'!$C$17:$N$17&lt;'Calc base'!F$17)))))</f>
        <v>0</v>
      </c>
      <c r="AL353">
        <f>IF('Calc base'!G$14=0,0,MIN(Z353,MAX(0,$E353-SUMPRODUCT($V353:$AG353,'Calc base'!$C$14:$N$14,('Calc base'!$H353:$S353&gt;'Calc base'!L353)+('Calc base'!$H353:$S353='Calc base'!L353)*('Calc base'!$C$17:$N$17&lt;'Calc base'!G$17)))))</f>
        <v>0</v>
      </c>
      <c r="AM353">
        <f>IF('Calc base'!H$14=0,0,MIN(AA353,MAX(0,$E353-SUMPRODUCT($V353:$AG353,'Calc base'!$C$14:$N$14,('Calc base'!$H353:$S353&gt;'Calc base'!M353)+('Calc base'!$H353:$S353='Calc base'!M353)*('Calc base'!$C$17:$N$17&lt;'Calc base'!H$17)))))</f>
        <v>0</v>
      </c>
      <c r="AN353">
        <f>IF('Calc base'!I$14=0,0,MIN(AB353,MAX(0,$E353-SUMPRODUCT($V353:$AG353,'Calc base'!$C$14:$N$14,('Calc base'!$H353:$S353&gt;'Calc base'!N353)+('Calc base'!$H353:$S353='Calc base'!N353)*('Calc base'!$C$17:$N$17&lt;'Calc base'!I$17)))))</f>
        <v>0</v>
      </c>
      <c r="AO353">
        <f>IF('Calc base'!J$14=0,0,MIN(AC353,MAX(0,$E353-SUMPRODUCT($V353:$AG353,'Calc base'!$C$14:$N$14,('Calc base'!$H353:$S353&gt;'Calc base'!O353)+('Calc base'!$H353:$S353='Calc base'!O353)*('Calc base'!$C$17:$N$17&lt;'Calc base'!J$17)))))</f>
        <v>0</v>
      </c>
      <c r="AP353">
        <f>IF('Calc base'!K$14=0,0,MIN(AD353,MAX(0,$E353-SUMPRODUCT($V353:$AG353,'Calc base'!$C$14:$N$14,('Calc base'!$H353:$S353&gt;'Calc base'!P353)+('Calc base'!$H353:$S353='Calc base'!P353)*('Calc base'!$C$17:$N$17&lt;'Calc base'!K$17)))))</f>
        <v>0</v>
      </c>
      <c r="AQ353">
        <f>IF('Calc base'!L$14=0,0,MIN(AE353,MAX(0,$E353-SUMPRODUCT($V353:$AG353,'Calc base'!$C$14:$N$14,('Calc base'!$H353:$S353&gt;'Calc base'!Q353)+('Calc base'!$H353:$S353='Calc base'!Q353)*('Calc base'!$C$17:$N$17&lt;'Calc base'!L$17)))))</f>
        <v>0</v>
      </c>
      <c r="AR353">
        <f>IF('Calc base'!M$14=0,0,MIN(AF353,MAX(0,$E353-SUMPRODUCT($V353:$AG353,'Calc base'!$C$14:$N$14,('Calc base'!$H353:$S353&gt;'Calc base'!R353)+('Calc base'!$H353:$S353='Calc base'!R353)*('Calc base'!$C$17:$N$17&lt;'Calc base'!M$17)))))</f>
        <v>0</v>
      </c>
      <c r="AS353">
        <f>IF('Calc base'!N$14=0,0,MIN(AG353,MAX(0,$E353-SUMPRODUCT($V353:$AG353,'Calc base'!$C$14:$N$14,('Calc base'!$H353:$S353&gt;'Calc base'!S353)+('Calc base'!$H353:$S353='Calc base'!S353)*('Calc base'!$C$17:$N$17&lt;'Calc base'!N$17)))))</f>
        <v>0</v>
      </c>
      <c r="AT353">
        <f>V353-AH353</f>
        <v>0</v>
      </c>
      <c r="AU353">
        <f>W353-AI353</f>
        <v>0</v>
      </c>
      <c r="AV353">
        <f>X353-AJ353</f>
        <v>0</v>
      </c>
      <c r="AW353">
        <f>Y353-AK353</f>
        <v>0</v>
      </c>
      <c r="AX353">
        <f>Z353-AL353</f>
        <v>0</v>
      </c>
      <c r="AY353">
        <f>AA353-AM353</f>
        <v>0</v>
      </c>
      <c r="AZ353">
        <f>AB353-AN353</f>
        <v>0</v>
      </c>
      <c r="BA353">
        <f>AC353-AO353</f>
        <v>0</v>
      </c>
      <c r="BB353">
        <f>AD353-AP353</f>
        <v>0</v>
      </c>
      <c r="BC353">
        <f>AE353-AQ353</f>
        <v>0</v>
      </c>
      <c r="BD353">
        <f>AF353-AR353</f>
        <v>0</v>
      </c>
      <c r="BE353">
        <f>AG353-AS353</f>
        <v>0</v>
      </c>
    </row>
    <row r="354">
      <c r="A354" t="n">
        <v>324</v>
      </c>
      <c r="B354">
        <f>SUMPRODUCT(ROUND($AT353:$BE353*(1+'Calc base'!$H354:$S354),2))</f>
        <v>0</v>
      </c>
      <c r="C354">
        <f>SUM(J354:U354)</f>
        <v>0</v>
      </c>
      <c r="D354">
        <f>SUM(V354:AG354)</f>
        <v>0</v>
      </c>
      <c r="E354">
        <f>MAX(0,IF(Impostazioni!$B$7="No",'Calc base'!$C354-$C$31,'Calc base'!$C354-C354)+'Calc base'!$G354+'Calc base'!$F354-(B354-C354-D354))</f>
        <v>900</v>
      </c>
      <c r="F354">
        <f>SUM(AH354:AS354)</f>
        <v>0</v>
      </c>
      <c r="G354">
        <f>SUM(AT354:BE354)</f>
        <v>0</v>
      </c>
      <c r="H354">
        <f>B354-G353</f>
        <v>0</v>
      </c>
      <c r="I354">
        <f>B354-G354</f>
        <v>0</v>
      </c>
      <c r="J354">
        <f>IF(AT353&lt;=0,0,IF(ROUND(AT353*(1+'Calc base'!H354),2)-MAX('Calc base'!C$12,ROUND('Calc base'!C$13*AT353,2))&lt;1,ROUND(AT353*(1+'Calc base'!H354),2),MAX('Calc base'!C$12,ROUND('Calc base'!C$13*AT353,2))))</f>
        <v>0</v>
      </c>
      <c r="K354">
        <f>IF(AU353&lt;=0,0,IF(ROUND(AU353*(1+'Calc base'!I354),2)-MAX('Calc base'!D$12,ROUND('Calc base'!D$13*AU353,2))&lt;1,ROUND(AU353*(1+'Calc base'!I354),2),MAX('Calc base'!D$12,ROUND('Calc base'!D$13*AU353,2))))</f>
        <v>0</v>
      </c>
      <c r="L354">
        <f>IF(AV353&lt;=0,0,IF(ROUND(AV353*(1+'Calc base'!J354),2)-MAX('Calc base'!E$12,ROUND('Calc base'!E$13*AV353,2))&lt;1,ROUND(AV353*(1+'Calc base'!J354),2),MAX('Calc base'!E$12,ROUND('Calc base'!E$13*AV353,2))))</f>
        <v>0</v>
      </c>
      <c r="M354">
        <f>IF(AW353&lt;=0,0,IF(ROUND(AW353*(1+'Calc base'!K354),2)-MAX('Calc base'!F$12,ROUND('Calc base'!F$13*AW353,2))&lt;1,ROUND(AW353*(1+'Calc base'!K354),2),MAX('Calc base'!F$12,ROUND('Calc base'!F$13*AW353,2))))</f>
        <v>0</v>
      </c>
      <c r="N354">
        <f>IF(AX353&lt;=0,0,IF(ROUND(AX353*(1+'Calc base'!L354),2)-MAX('Calc base'!G$12,ROUND('Calc base'!G$13*AX353,2))&lt;1,ROUND(AX353*(1+'Calc base'!L354),2),MAX('Calc base'!G$12,ROUND('Calc base'!G$13*AX353,2))))</f>
        <v>0</v>
      </c>
      <c r="O354">
        <f>IF(AY353&lt;=0,0,IF(ROUND(AY353*(1+'Calc base'!M354),2)-MAX('Calc base'!H$12,ROUND('Calc base'!H$13*AY353,2))&lt;1,ROUND(AY353*(1+'Calc base'!M354),2),MAX('Calc base'!H$12,ROUND('Calc base'!H$13*AY353,2))))</f>
        <v>0</v>
      </c>
      <c r="P354">
        <f>IF(AZ353&lt;=0,0,IF(ROUND(AZ353*(1+'Calc base'!N354),2)-MAX('Calc base'!I$12,ROUND('Calc base'!I$13*AZ353,2))&lt;1,ROUND(AZ353*(1+'Calc base'!N354),2),MAX('Calc base'!I$12,ROUND('Calc base'!I$13*AZ353,2))))</f>
        <v>0</v>
      </c>
      <c r="Q354">
        <f>IF(BA353&lt;=0,0,IF(ROUND(BA353*(1+'Calc base'!O354),2)-MAX('Calc base'!J$12,ROUND('Calc base'!J$13*BA353,2))&lt;1,ROUND(BA353*(1+'Calc base'!O354),2),MAX('Calc base'!J$12,ROUND('Calc base'!J$13*BA353,2))))</f>
        <v>0</v>
      </c>
      <c r="R354">
        <f>IF(BB353&lt;=0,0,IF(ROUND(BB353*(1+'Calc base'!P354),2)-MAX('Calc base'!K$12,ROUND('Calc base'!K$13*BB353,2))&lt;1,ROUND(BB353*(1+'Calc base'!P354),2),MAX('Calc base'!K$12,ROUND('Calc base'!K$13*BB353,2))))</f>
        <v>0</v>
      </c>
      <c r="S354">
        <f>IF(BC353&lt;=0,0,IF(ROUND(BC353*(1+'Calc base'!Q354),2)-MAX('Calc base'!L$12,ROUND('Calc base'!L$13*BC353,2))&lt;1,ROUND(BC353*(1+'Calc base'!Q354),2),MAX('Calc base'!L$12,ROUND('Calc base'!L$13*BC353,2))))</f>
        <v>0</v>
      </c>
      <c r="T354">
        <f>IF(BD353&lt;=0,0,IF(ROUND(BD353*(1+'Calc base'!R354),2)-MAX('Calc base'!M$12,ROUND('Calc base'!M$13*BD353,2))&lt;1,ROUND(BD353*(1+'Calc base'!R354),2),MAX('Calc base'!M$12,ROUND('Calc base'!M$13*BD353,2))))</f>
        <v>0</v>
      </c>
      <c r="U354">
        <f>IF(BE353&lt;=0,0,IF(ROUND(BE353*(1+'Calc base'!S354),2)-MAX('Calc base'!N$12,ROUND('Calc base'!N$13*BE353,2))&lt;1,ROUND(BE353*(1+'Calc base'!S354),2),MAX('Calc base'!N$12,ROUND('Calc base'!N$13*BE353,2))))</f>
        <v>0</v>
      </c>
      <c r="V354">
        <f>MAX(0,ROUND(AT353*(1+'Calc base'!H354),2)-J354-'Calc base'!T354)</f>
        <v>0</v>
      </c>
      <c r="W354">
        <f>MAX(0,ROUND(AU353*(1+'Calc base'!I354),2)-K354-'Calc base'!U354)</f>
        <v>0</v>
      </c>
      <c r="X354">
        <f>MAX(0,ROUND(AV353*(1+'Calc base'!J354),2)-L354-'Calc base'!V354)</f>
        <v>0</v>
      </c>
      <c r="Y354">
        <f>MAX(0,ROUND(AW353*(1+'Calc base'!K354),2)-M354-'Calc base'!W354)</f>
        <v>0</v>
      </c>
      <c r="Z354">
        <f>MAX(0,ROUND(AX353*(1+'Calc base'!L354),2)-N354-'Calc base'!X354)</f>
        <v>0</v>
      </c>
      <c r="AA354">
        <f>MAX(0,ROUND(AY353*(1+'Calc base'!M354),2)-O354-'Calc base'!Y354)</f>
        <v>0</v>
      </c>
      <c r="AB354">
        <f>MAX(0,ROUND(AZ353*(1+'Calc base'!N354),2)-P354-'Calc base'!Z354)</f>
        <v>0</v>
      </c>
      <c r="AC354">
        <f>MAX(0,ROUND(BA353*(1+'Calc base'!O354),2)-Q354-'Calc base'!AA354)</f>
        <v>0</v>
      </c>
      <c r="AD354">
        <f>MAX(0,ROUND(BB353*(1+'Calc base'!P354),2)-R354-'Calc base'!AB354)</f>
        <v>0</v>
      </c>
      <c r="AE354">
        <f>MAX(0,ROUND(BC353*(1+'Calc base'!Q354),2)-S354-'Calc base'!AC354)</f>
        <v>0</v>
      </c>
      <c r="AF354">
        <f>MAX(0,ROUND(BD353*(1+'Calc base'!R354),2)-T354-'Calc base'!AD354)</f>
        <v>0</v>
      </c>
      <c r="AG354">
        <f>MAX(0,ROUND(BE353*(1+'Calc base'!S354),2)-U354-'Calc base'!AE354)</f>
        <v>0</v>
      </c>
      <c r="AH354">
        <f>IF('Calc base'!C$14=0,0,MIN(V354,MAX(0,$E354-SUMPRODUCT($V354:$AG354,'Calc base'!$C$14:$N$14,('Calc base'!$H354:$S354&gt;'Calc base'!H354)+('Calc base'!$H354:$S354='Calc base'!H354)*('Calc base'!$C$17:$N$17&lt;'Calc base'!C$17)))))</f>
        <v>0</v>
      </c>
      <c r="AI354">
        <f>IF('Calc base'!D$14=0,0,MIN(W354,MAX(0,$E354-SUMPRODUCT($V354:$AG354,'Calc base'!$C$14:$N$14,('Calc base'!$H354:$S354&gt;'Calc base'!I354)+('Calc base'!$H354:$S354='Calc base'!I354)*('Calc base'!$C$17:$N$17&lt;'Calc base'!D$17)))))</f>
        <v>0</v>
      </c>
      <c r="AJ354">
        <f>IF('Calc base'!E$14=0,0,MIN(X354,MAX(0,$E354-SUMPRODUCT($V354:$AG354,'Calc base'!$C$14:$N$14,('Calc base'!$H354:$S354&gt;'Calc base'!J354)+('Calc base'!$H354:$S354='Calc base'!J354)*('Calc base'!$C$17:$N$17&lt;'Calc base'!E$17)))))</f>
        <v>0</v>
      </c>
      <c r="AK354">
        <f>IF('Calc base'!F$14=0,0,MIN(Y354,MAX(0,$E354-SUMPRODUCT($V354:$AG354,'Calc base'!$C$14:$N$14,('Calc base'!$H354:$S354&gt;'Calc base'!K354)+('Calc base'!$H354:$S354='Calc base'!K354)*('Calc base'!$C$17:$N$17&lt;'Calc base'!F$17)))))</f>
        <v>0</v>
      </c>
      <c r="AL354">
        <f>IF('Calc base'!G$14=0,0,MIN(Z354,MAX(0,$E354-SUMPRODUCT($V354:$AG354,'Calc base'!$C$14:$N$14,('Calc base'!$H354:$S354&gt;'Calc base'!L354)+('Calc base'!$H354:$S354='Calc base'!L354)*('Calc base'!$C$17:$N$17&lt;'Calc base'!G$17)))))</f>
        <v>0</v>
      </c>
      <c r="AM354">
        <f>IF('Calc base'!H$14=0,0,MIN(AA354,MAX(0,$E354-SUMPRODUCT($V354:$AG354,'Calc base'!$C$14:$N$14,('Calc base'!$H354:$S354&gt;'Calc base'!M354)+('Calc base'!$H354:$S354='Calc base'!M354)*('Calc base'!$C$17:$N$17&lt;'Calc base'!H$17)))))</f>
        <v>0</v>
      </c>
      <c r="AN354">
        <f>IF('Calc base'!I$14=0,0,MIN(AB354,MAX(0,$E354-SUMPRODUCT($V354:$AG354,'Calc base'!$C$14:$N$14,('Calc base'!$H354:$S354&gt;'Calc base'!N354)+('Calc base'!$H354:$S354='Calc base'!N354)*('Calc base'!$C$17:$N$17&lt;'Calc base'!I$17)))))</f>
        <v>0</v>
      </c>
      <c r="AO354">
        <f>IF('Calc base'!J$14=0,0,MIN(AC354,MAX(0,$E354-SUMPRODUCT($V354:$AG354,'Calc base'!$C$14:$N$14,('Calc base'!$H354:$S354&gt;'Calc base'!O354)+('Calc base'!$H354:$S354='Calc base'!O354)*('Calc base'!$C$17:$N$17&lt;'Calc base'!J$17)))))</f>
        <v>0</v>
      </c>
      <c r="AP354">
        <f>IF('Calc base'!K$14=0,0,MIN(AD354,MAX(0,$E354-SUMPRODUCT($V354:$AG354,'Calc base'!$C$14:$N$14,('Calc base'!$H354:$S354&gt;'Calc base'!P354)+('Calc base'!$H354:$S354='Calc base'!P354)*('Calc base'!$C$17:$N$17&lt;'Calc base'!K$17)))))</f>
        <v>0</v>
      </c>
      <c r="AQ354">
        <f>IF('Calc base'!L$14=0,0,MIN(AE354,MAX(0,$E354-SUMPRODUCT($V354:$AG354,'Calc base'!$C$14:$N$14,('Calc base'!$H354:$S354&gt;'Calc base'!Q354)+('Calc base'!$H354:$S354='Calc base'!Q354)*('Calc base'!$C$17:$N$17&lt;'Calc base'!L$17)))))</f>
        <v>0</v>
      </c>
      <c r="AR354">
        <f>IF('Calc base'!M$14=0,0,MIN(AF354,MAX(0,$E354-SUMPRODUCT($V354:$AG354,'Calc base'!$C$14:$N$14,('Calc base'!$H354:$S354&gt;'Calc base'!R354)+('Calc base'!$H354:$S354='Calc base'!R354)*('Calc base'!$C$17:$N$17&lt;'Calc base'!M$17)))))</f>
        <v>0</v>
      </c>
      <c r="AS354">
        <f>IF('Calc base'!N$14=0,0,MIN(AG354,MAX(0,$E354-SUMPRODUCT($V354:$AG354,'Calc base'!$C$14:$N$14,('Calc base'!$H354:$S354&gt;'Calc base'!S354)+('Calc base'!$H354:$S354='Calc base'!S354)*('Calc base'!$C$17:$N$17&lt;'Calc base'!N$17)))))</f>
        <v>0</v>
      </c>
      <c r="AT354">
        <f>V354-AH354</f>
        <v>0</v>
      </c>
      <c r="AU354">
        <f>W354-AI354</f>
        <v>0</v>
      </c>
      <c r="AV354">
        <f>X354-AJ354</f>
        <v>0</v>
      </c>
      <c r="AW354">
        <f>Y354-AK354</f>
        <v>0</v>
      </c>
      <c r="AX354">
        <f>Z354-AL354</f>
        <v>0</v>
      </c>
      <c r="AY354">
        <f>AA354-AM354</f>
        <v>0</v>
      </c>
      <c r="AZ354">
        <f>AB354-AN354</f>
        <v>0</v>
      </c>
      <c r="BA354">
        <f>AC354-AO354</f>
        <v>0</v>
      </c>
      <c r="BB354">
        <f>AD354-AP354</f>
        <v>0</v>
      </c>
      <c r="BC354">
        <f>AE354-AQ354</f>
        <v>0</v>
      </c>
      <c r="BD354">
        <f>AF354-AR354</f>
        <v>0</v>
      </c>
      <c r="BE354">
        <f>AG354-AS354</f>
        <v>0</v>
      </c>
    </row>
    <row r="355">
      <c r="A355" t="n">
        <v>325</v>
      </c>
      <c r="B355">
        <f>SUMPRODUCT(ROUND($AT354:$BE354*(1+'Calc base'!$H355:$S355),2))</f>
        <v>0</v>
      </c>
      <c r="C355">
        <f>SUM(J355:U355)</f>
        <v>0</v>
      </c>
      <c r="D355">
        <f>SUM(V355:AG355)</f>
        <v>0</v>
      </c>
      <c r="E355">
        <f>MAX(0,IF(Impostazioni!$B$7="No",'Calc base'!$C355-$C$31,'Calc base'!$C355-C355)+'Calc base'!$G355+'Calc base'!$F355-(B355-C355-D355))</f>
        <v>900</v>
      </c>
      <c r="F355">
        <f>SUM(AH355:AS355)</f>
        <v>0</v>
      </c>
      <c r="G355">
        <f>SUM(AT355:BE355)</f>
        <v>0</v>
      </c>
      <c r="H355">
        <f>B355-G354</f>
        <v>0</v>
      </c>
      <c r="I355">
        <f>B355-G355</f>
        <v>0</v>
      </c>
      <c r="J355">
        <f>IF(AT354&lt;=0,0,IF(ROUND(AT354*(1+'Calc base'!H355),2)-MAX('Calc base'!C$12,ROUND('Calc base'!C$13*AT354,2))&lt;1,ROUND(AT354*(1+'Calc base'!H355),2),MAX('Calc base'!C$12,ROUND('Calc base'!C$13*AT354,2))))</f>
        <v>0</v>
      </c>
      <c r="K355">
        <f>IF(AU354&lt;=0,0,IF(ROUND(AU354*(1+'Calc base'!I355),2)-MAX('Calc base'!D$12,ROUND('Calc base'!D$13*AU354,2))&lt;1,ROUND(AU354*(1+'Calc base'!I355),2),MAX('Calc base'!D$12,ROUND('Calc base'!D$13*AU354,2))))</f>
        <v>0</v>
      </c>
      <c r="L355">
        <f>IF(AV354&lt;=0,0,IF(ROUND(AV354*(1+'Calc base'!J355),2)-MAX('Calc base'!E$12,ROUND('Calc base'!E$13*AV354,2))&lt;1,ROUND(AV354*(1+'Calc base'!J355),2),MAX('Calc base'!E$12,ROUND('Calc base'!E$13*AV354,2))))</f>
        <v>0</v>
      </c>
      <c r="M355">
        <f>IF(AW354&lt;=0,0,IF(ROUND(AW354*(1+'Calc base'!K355),2)-MAX('Calc base'!F$12,ROUND('Calc base'!F$13*AW354,2))&lt;1,ROUND(AW354*(1+'Calc base'!K355),2),MAX('Calc base'!F$12,ROUND('Calc base'!F$13*AW354,2))))</f>
        <v>0</v>
      </c>
      <c r="N355">
        <f>IF(AX354&lt;=0,0,IF(ROUND(AX354*(1+'Calc base'!L355),2)-MAX('Calc base'!G$12,ROUND('Calc base'!G$13*AX354,2))&lt;1,ROUND(AX354*(1+'Calc base'!L355),2),MAX('Calc base'!G$12,ROUND('Calc base'!G$13*AX354,2))))</f>
        <v>0</v>
      </c>
      <c r="O355">
        <f>IF(AY354&lt;=0,0,IF(ROUND(AY354*(1+'Calc base'!M355),2)-MAX('Calc base'!H$12,ROUND('Calc base'!H$13*AY354,2))&lt;1,ROUND(AY354*(1+'Calc base'!M355),2),MAX('Calc base'!H$12,ROUND('Calc base'!H$13*AY354,2))))</f>
        <v>0</v>
      </c>
      <c r="P355">
        <f>IF(AZ354&lt;=0,0,IF(ROUND(AZ354*(1+'Calc base'!N355),2)-MAX('Calc base'!I$12,ROUND('Calc base'!I$13*AZ354,2))&lt;1,ROUND(AZ354*(1+'Calc base'!N355),2),MAX('Calc base'!I$12,ROUND('Calc base'!I$13*AZ354,2))))</f>
        <v>0</v>
      </c>
      <c r="Q355">
        <f>IF(BA354&lt;=0,0,IF(ROUND(BA354*(1+'Calc base'!O355),2)-MAX('Calc base'!J$12,ROUND('Calc base'!J$13*BA354,2))&lt;1,ROUND(BA354*(1+'Calc base'!O355),2),MAX('Calc base'!J$12,ROUND('Calc base'!J$13*BA354,2))))</f>
        <v>0</v>
      </c>
      <c r="R355">
        <f>IF(BB354&lt;=0,0,IF(ROUND(BB354*(1+'Calc base'!P355),2)-MAX('Calc base'!K$12,ROUND('Calc base'!K$13*BB354,2))&lt;1,ROUND(BB354*(1+'Calc base'!P355),2),MAX('Calc base'!K$12,ROUND('Calc base'!K$13*BB354,2))))</f>
        <v>0</v>
      </c>
      <c r="S355">
        <f>IF(BC354&lt;=0,0,IF(ROUND(BC354*(1+'Calc base'!Q355),2)-MAX('Calc base'!L$12,ROUND('Calc base'!L$13*BC354,2))&lt;1,ROUND(BC354*(1+'Calc base'!Q355),2),MAX('Calc base'!L$12,ROUND('Calc base'!L$13*BC354,2))))</f>
        <v>0</v>
      </c>
      <c r="T355">
        <f>IF(BD354&lt;=0,0,IF(ROUND(BD354*(1+'Calc base'!R355),2)-MAX('Calc base'!M$12,ROUND('Calc base'!M$13*BD354,2))&lt;1,ROUND(BD354*(1+'Calc base'!R355),2),MAX('Calc base'!M$12,ROUND('Calc base'!M$13*BD354,2))))</f>
        <v>0</v>
      </c>
      <c r="U355">
        <f>IF(BE354&lt;=0,0,IF(ROUND(BE354*(1+'Calc base'!S355),2)-MAX('Calc base'!N$12,ROUND('Calc base'!N$13*BE354,2))&lt;1,ROUND(BE354*(1+'Calc base'!S355),2),MAX('Calc base'!N$12,ROUND('Calc base'!N$13*BE354,2))))</f>
        <v>0</v>
      </c>
      <c r="V355">
        <f>MAX(0,ROUND(AT354*(1+'Calc base'!H355),2)-J355-'Calc base'!T355)</f>
        <v>0</v>
      </c>
      <c r="W355">
        <f>MAX(0,ROUND(AU354*(1+'Calc base'!I355),2)-K355-'Calc base'!U355)</f>
        <v>0</v>
      </c>
      <c r="X355">
        <f>MAX(0,ROUND(AV354*(1+'Calc base'!J355),2)-L355-'Calc base'!V355)</f>
        <v>0</v>
      </c>
      <c r="Y355">
        <f>MAX(0,ROUND(AW354*(1+'Calc base'!K355),2)-M355-'Calc base'!W355)</f>
        <v>0</v>
      </c>
      <c r="Z355">
        <f>MAX(0,ROUND(AX354*(1+'Calc base'!L355),2)-N355-'Calc base'!X355)</f>
        <v>0</v>
      </c>
      <c r="AA355">
        <f>MAX(0,ROUND(AY354*(1+'Calc base'!M355),2)-O355-'Calc base'!Y355)</f>
        <v>0</v>
      </c>
      <c r="AB355">
        <f>MAX(0,ROUND(AZ354*(1+'Calc base'!N355),2)-P355-'Calc base'!Z355)</f>
        <v>0</v>
      </c>
      <c r="AC355">
        <f>MAX(0,ROUND(BA354*(1+'Calc base'!O355),2)-Q355-'Calc base'!AA355)</f>
        <v>0</v>
      </c>
      <c r="AD355">
        <f>MAX(0,ROUND(BB354*(1+'Calc base'!P355),2)-R355-'Calc base'!AB355)</f>
        <v>0</v>
      </c>
      <c r="AE355">
        <f>MAX(0,ROUND(BC354*(1+'Calc base'!Q355),2)-S355-'Calc base'!AC355)</f>
        <v>0</v>
      </c>
      <c r="AF355">
        <f>MAX(0,ROUND(BD354*(1+'Calc base'!R355),2)-T355-'Calc base'!AD355)</f>
        <v>0</v>
      </c>
      <c r="AG355">
        <f>MAX(0,ROUND(BE354*(1+'Calc base'!S355),2)-U355-'Calc base'!AE355)</f>
        <v>0</v>
      </c>
      <c r="AH355">
        <f>IF('Calc base'!C$14=0,0,MIN(V355,MAX(0,$E355-SUMPRODUCT($V355:$AG355,'Calc base'!$C$14:$N$14,('Calc base'!$H355:$S355&gt;'Calc base'!H355)+('Calc base'!$H355:$S355='Calc base'!H355)*('Calc base'!$C$17:$N$17&lt;'Calc base'!C$17)))))</f>
        <v>0</v>
      </c>
      <c r="AI355">
        <f>IF('Calc base'!D$14=0,0,MIN(W355,MAX(0,$E355-SUMPRODUCT($V355:$AG355,'Calc base'!$C$14:$N$14,('Calc base'!$H355:$S355&gt;'Calc base'!I355)+('Calc base'!$H355:$S355='Calc base'!I355)*('Calc base'!$C$17:$N$17&lt;'Calc base'!D$17)))))</f>
        <v>0</v>
      </c>
      <c r="AJ355">
        <f>IF('Calc base'!E$14=0,0,MIN(X355,MAX(0,$E355-SUMPRODUCT($V355:$AG355,'Calc base'!$C$14:$N$14,('Calc base'!$H355:$S355&gt;'Calc base'!J355)+('Calc base'!$H355:$S355='Calc base'!J355)*('Calc base'!$C$17:$N$17&lt;'Calc base'!E$17)))))</f>
        <v>0</v>
      </c>
      <c r="AK355">
        <f>IF('Calc base'!F$14=0,0,MIN(Y355,MAX(0,$E355-SUMPRODUCT($V355:$AG355,'Calc base'!$C$14:$N$14,('Calc base'!$H355:$S355&gt;'Calc base'!K355)+('Calc base'!$H355:$S355='Calc base'!K355)*('Calc base'!$C$17:$N$17&lt;'Calc base'!F$17)))))</f>
        <v>0</v>
      </c>
      <c r="AL355">
        <f>IF('Calc base'!G$14=0,0,MIN(Z355,MAX(0,$E355-SUMPRODUCT($V355:$AG355,'Calc base'!$C$14:$N$14,('Calc base'!$H355:$S355&gt;'Calc base'!L355)+('Calc base'!$H355:$S355='Calc base'!L355)*('Calc base'!$C$17:$N$17&lt;'Calc base'!G$17)))))</f>
        <v>0</v>
      </c>
      <c r="AM355">
        <f>IF('Calc base'!H$14=0,0,MIN(AA355,MAX(0,$E355-SUMPRODUCT($V355:$AG355,'Calc base'!$C$14:$N$14,('Calc base'!$H355:$S355&gt;'Calc base'!M355)+('Calc base'!$H355:$S355='Calc base'!M355)*('Calc base'!$C$17:$N$17&lt;'Calc base'!H$17)))))</f>
        <v>0</v>
      </c>
      <c r="AN355">
        <f>IF('Calc base'!I$14=0,0,MIN(AB355,MAX(0,$E355-SUMPRODUCT($V355:$AG355,'Calc base'!$C$14:$N$14,('Calc base'!$H355:$S355&gt;'Calc base'!N355)+('Calc base'!$H355:$S355='Calc base'!N355)*('Calc base'!$C$17:$N$17&lt;'Calc base'!I$17)))))</f>
        <v>0</v>
      </c>
      <c r="AO355">
        <f>IF('Calc base'!J$14=0,0,MIN(AC355,MAX(0,$E355-SUMPRODUCT($V355:$AG355,'Calc base'!$C$14:$N$14,('Calc base'!$H355:$S355&gt;'Calc base'!O355)+('Calc base'!$H355:$S355='Calc base'!O355)*('Calc base'!$C$17:$N$17&lt;'Calc base'!J$17)))))</f>
        <v>0</v>
      </c>
      <c r="AP355">
        <f>IF('Calc base'!K$14=0,0,MIN(AD355,MAX(0,$E355-SUMPRODUCT($V355:$AG355,'Calc base'!$C$14:$N$14,('Calc base'!$H355:$S355&gt;'Calc base'!P355)+('Calc base'!$H355:$S355='Calc base'!P355)*('Calc base'!$C$17:$N$17&lt;'Calc base'!K$17)))))</f>
        <v>0</v>
      </c>
      <c r="AQ355">
        <f>IF('Calc base'!L$14=0,0,MIN(AE355,MAX(0,$E355-SUMPRODUCT($V355:$AG355,'Calc base'!$C$14:$N$14,('Calc base'!$H355:$S355&gt;'Calc base'!Q355)+('Calc base'!$H355:$S355='Calc base'!Q355)*('Calc base'!$C$17:$N$17&lt;'Calc base'!L$17)))))</f>
        <v>0</v>
      </c>
      <c r="AR355">
        <f>IF('Calc base'!M$14=0,0,MIN(AF355,MAX(0,$E355-SUMPRODUCT($V355:$AG355,'Calc base'!$C$14:$N$14,('Calc base'!$H355:$S355&gt;'Calc base'!R355)+('Calc base'!$H355:$S355='Calc base'!R355)*('Calc base'!$C$17:$N$17&lt;'Calc base'!M$17)))))</f>
        <v>0</v>
      </c>
      <c r="AS355">
        <f>IF('Calc base'!N$14=0,0,MIN(AG355,MAX(0,$E355-SUMPRODUCT($V355:$AG355,'Calc base'!$C$14:$N$14,('Calc base'!$H355:$S355&gt;'Calc base'!S355)+('Calc base'!$H355:$S355='Calc base'!S355)*('Calc base'!$C$17:$N$17&lt;'Calc base'!N$17)))))</f>
        <v>0</v>
      </c>
      <c r="AT355">
        <f>V355-AH355</f>
        <v>0</v>
      </c>
      <c r="AU355">
        <f>W355-AI355</f>
        <v>0</v>
      </c>
      <c r="AV355">
        <f>X355-AJ355</f>
        <v>0</v>
      </c>
      <c r="AW355">
        <f>Y355-AK355</f>
        <v>0</v>
      </c>
      <c r="AX355">
        <f>Z355-AL355</f>
        <v>0</v>
      </c>
      <c r="AY355">
        <f>AA355-AM355</f>
        <v>0</v>
      </c>
      <c r="AZ355">
        <f>AB355-AN355</f>
        <v>0</v>
      </c>
      <c r="BA355">
        <f>AC355-AO355</f>
        <v>0</v>
      </c>
      <c r="BB355">
        <f>AD355-AP355</f>
        <v>0</v>
      </c>
      <c r="BC355">
        <f>AE355-AQ355</f>
        <v>0</v>
      </c>
      <c r="BD355">
        <f>AF355-AR355</f>
        <v>0</v>
      </c>
      <c r="BE355">
        <f>AG355-AS355</f>
        <v>0</v>
      </c>
    </row>
    <row r="356">
      <c r="A356" t="n">
        <v>326</v>
      </c>
      <c r="B356">
        <f>SUMPRODUCT(ROUND($AT355:$BE355*(1+'Calc base'!$H356:$S356),2))</f>
        <v>0</v>
      </c>
      <c r="C356">
        <f>SUM(J356:U356)</f>
        <v>0</v>
      </c>
      <c r="D356">
        <f>SUM(V356:AG356)</f>
        <v>0</v>
      </c>
      <c r="E356">
        <f>MAX(0,IF(Impostazioni!$B$7="No",'Calc base'!$C356-$C$31,'Calc base'!$C356-C356)+'Calc base'!$G356+'Calc base'!$F356-(B356-C356-D356))</f>
        <v>900</v>
      </c>
      <c r="F356">
        <f>SUM(AH356:AS356)</f>
        <v>0</v>
      </c>
      <c r="G356">
        <f>SUM(AT356:BE356)</f>
        <v>0</v>
      </c>
      <c r="H356">
        <f>B356-G355</f>
        <v>0</v>
      </c>
      <c r="I356">
        <f>B356-G356</f>
        <v>0</v>
      </c>
      <c r="J356">
        <f>IF(AT355&lt;=0,0,IF(ROUND(AT355*(1+'Calc base'!H356),2)-MAX('Calc base'!C$12,ROUND('Calc base'!C$13*AT355,2))&lt;1,ROUND(AT355*(1+'Calc base'!H356),2),MAX('Calc base'!C$12,ROUND('Calc base'!C$13*AT355,2))))</f>
        <v>0</v>
      </c>
      <c r="K356">
        <f>IF(AU355&lt;=0,0,IF(ROUND(AU355*(1+'Calc base'!I356),2)-MAX('Calc base'!D$12,ROUND('Calc base'!D$13*AU355,2))&lt;1,ROUND(AU355*(1+'Calc base'!I356),2),MAX('Calc base'!D$12,ROUND('Calc base'!D$13*AU355,2))))</f>
        <v>0</v>
      </c>
      <c r="L356">
        <f>IF(AV355&lt;=0,0,IF(ROUND(AV355*(1+'Calc base'!J356),2)-MAX('Calc base'!E$12,ROUND('Calc base'!E$13*AV355,2))&lt;1,ROUND(AV355*(1+'Calc base'!J356),2),MAX('Calc base'!E$12,ROUND('Calc base'!E$13*AV355,2))))</f>
        <v>0</v>
      </c>
      <c r="M356">
        <f>IF(AW355&lt;=0,0,IF(ROUND(AW355*(1+'Calc base'!K356),2)-MAX('Calc base'!F$12,ROUND('Calc base'!F$13*AW355,2))&lt;1,ROUND(AW355*(1+'Calc base'!K356),2),MAX('Calc base'!F$12,ROUND('Calc base'!F$13*AW355,2))))</f>
        <v>0</v>
      </c>
      <c r="N356">
        <f>IF(AX355&lt;=0,0,IF(ROUND(AX355*(1+'Calc base'!L356),2)-MAX('Calc base'!G$12,ROUND('Calc base'!G$13*AX355,2))&lt;1,ROUND(AX355*(1+'Calc base'!L356),2),MAX('Calc base'!G$12,ROUND('Calc base'!G$13*AX355,2))))</f>
        <v>0</v>
      </c>
      <c r="O356">
        <f>IF(AY355&lt;=0,0,IF(ROUND(AY355*(1+'Calc base'!M356),2)-MAX('Calc base'!H$12,ROUND('Calc base'!H$13*AY355,2))&lt;1,ROUND(AY355*(1+'Calc base'!M356),2),MAX('Calc base'!H$12,ROUND('Calc base'!H$13*AY355,2))))</f>
        <v>0</v>
      </c>
      <c r="P356">
        <f>IF(AZ355&lt;=0,0,IF(ROUND(AZ355*(1+'Calc base'!N356),2)-MAX('Calc base'!I$12,ROUND('Calc base'!I$13*AZ355,2))&lt;1,ROUND(AZ355*(1+'Calc base'!N356),2),MAX('Calc base'!I$12,ROUND('Calc base'!I$13*AZ355,2))))</f>
        <v>0</v>
      </c>
      <c r="Q356">
        <f>IF(BA355&lt;=0,0,IF(ROUND(BA355*(1+'Calc base'!O356),2)-MAX('Calc base'!J$12,ROUND('Calc base'!J$13*BA355,2))&lt;1,ROUND(BA355*(1+'Calc base'!O356),2),MAX('Calc base'!J$12,ROUND('Calc base'!J$13*BA355,2))))</f>
        <v>0</v>
      </c>
      <c r="R356">
        <f>IF(BB355&lt;=0,0,IF(ROUND(BB355*(1+'Calc base'!P356),2)-MAX('Calc base'!K$12,ROUND('Calc base'!K$13*BB355,2))&lt;1,ROUND(BB355*(1+'Calc base'!P356),2),MAX('Calc base'!K$12,ROUND('Calc base'!K$13*BB355,2))))</f>
        <v>0</v>
      </c>
      <c r="S356">
        <f>IF(BC355&lt;=0,0,IF(ROUND(BC355*(1+'Calc base'!Q356),2)-MAX('Calc base'!L$12,ROUND('Calc base'!L$13*BC355,2))&lt;1,ROUND(BC355*(1+'Calc base'!Q356),2),MAX('Calc base'!L$12,ROUND('Calc base'!L$13*BC355,2))))</f>
        <v>0</v>
      </c>
      <c r="T356">
        <f>IF(BD355&lt;=0,0,IF(ROUND(BD355*(1+'Calc base'!R356),2)-MAX('Calc base'!M$12,ROUND('Calc base'!M$13*BD355,2))&lt;1,ROUND(BD355*(1+'Calc base'!R356),2),MAX('Calc base'!M$12,ROUND('Calc base'!M$13*BD355,2))))</f>
        <v>0</v>
      </c>
      <c r="U356">
        <f>IF(BE355&lt;=0,0,IF(ROUND(BE355*(1+'Calc base'!S356),2)-MAX('Calc base'!N$12,ROUND('Calc base'!N$13*BE355,2))&lt;1,ROUND(BE355*(1+'Calc base'!S356),2),MAX('Calc base'!N$12,ROUND('Calc base'!N$13*BE355,2))))</f>
        <v>0</v>
      </c>
      <c r="V356">
        <f>MAX(0,ROUND(AT355*(1+'Calc base'!H356),2)-J356-'Calc base'!T356)</f>
        <v>0</v>
      </c>
      <c r="W356">
        <f>MAX(0,ROUND(AU355*(1+'Calc base'!I356),2)-K356-'Calc base'!U356)</f>
        <v>0</v>
      </c>
      <c r="X356">
        <f>MAX(0,ROUND(AV355*(1+'Calc base'!J356),2)-L356-'Calc base'!V356)</f>
        <v>0</v>
      </c>
      <c r="Y356">
        <f>MAX(0,ROUND(AW355*(1+'Calc base'!K356),2)-M356-'Calc base'!W356)</f>
        <v>0</v>
      </c>
      <c r="Z356">
        <f>MAX(0,ROUND(AX355*(1+'Calc base'!L356),2)-N356-'Calc base'!X356)</f>
        <v>0</v>
      </c>
      <c r="AA356">
        <f>MAX(0,ROUND(AY355*(1+'Calc base'!M356),2)-O356-'Calc base'!Y356)</f>
        <v>0</v>
      </c>
      <c r="AB356">
        <f>MAX(0,ROUND(AZ355*(1+'Calc base'!N356),2)-P356-'Calc base'!Z356)</f>
        <v>0</v>
      </c>
      <c r="AC356">
        <f>MAX(0,ROUND(BA355*(1+'Calc base'!O356),2)-Q356-'Calc base'!AA356)</f>
        <v>0</v>
      </c>
      <c r="AD356">
        <f>MAX(0,ROUND(BB355*(1+'Calc base'!P356),2)-R356-'Calc base'!AB356)</f>
        <v>0</v>
      </c>
      <c r="AE356">
        <f>MAX(0,ROUND(BC355*(1+'Calc base'!Q356),2)-S356-'Calc base'!AC356)</f>
        <v>0</v>
      </c>
      <c r="AF356">
        <f>MAX(0,ROUND(BD355*(1+'Calc base'!R356),2)-T356-'Calc base'!AD356)</f>
        <v>0</v>
      </c>
      <c r="AG356">
        <f>MAX(0,ROUND(BE355*(1+'Calc base'!S356),2)-U356-'Calc base'!AE356)</f>
        <v>0</v>
      </c>
      <c r="AH356">
        <f>IF('Calc base'!C$14=0,0,MIN(V356,MAX(0,$E356-SUMPRODUCT($V356:$AG356,'Calc base'!$C$14:$N$14,('Calc base'!$H356:$S356&gt;'Calc base'!H356)+('Calc base'!$H356:$S356='Calc base'!H356)*('Calc base'!$C$17:$N$17&lt;'Calc base'!C$17)))))</f>
        <v>0</v>
      </c>
      <c r="AI356">
        <f>IF('Calc base'!D$14=0,0,MIN(W356,MAX(0,$E356-SUMPRODUCT($V356:$AG356,'Calc base'!$C$14:$N$14,('Calc base'!$H356:$S356&gt;'Calc base'!I356)+('Calc base'!$H356:$S356='Calc base'!I356)*('Calc base'!$C$17:$N$17&lt;'Calc base'!D$17)))))</f>
        <v>0</v>
      </c>
      <c r="AJ356">
        <f>IF('Calc base'!E$14=0,0,MIN(X356,MAX(0,$E356-SUMPRODUCT($V356:$AG356,'Calc base'!$C$14:$N$14,('Calc base'!$H356:$S356&gt;'Calc base'!J356)+('Calc base'!$H356:$S356='Calc base'!J356)*('Calc base'!$C$17:$N$17&lt;'Calc base'!E$17)))))</f>
        <v>0</v>
      </c>
      <c r="AK356">
        <f>IF('Calc base'!F$14=0,0,MIN(Y356,MAX(0,$E356-SUMPRODUCT($V356:$AG356,'Calc base'!$C$14:$N$14,('Calc base'!$H356:$S356&gt;'Calc base'!K356)+('Calc base'!$H356:$S356='Calc base'!K356)*('Calc base'!$C$17:$N$17&lt;'Calc base'!F$17)))))</f>
        <v>0</v>
      </c>
      <c r="AL356">
        <f>IF('Calc base'!G$14=0,0,MIN(Z356,MAX(0,$E356-SUMPRODUCT($V356:$AG356,'Calc base'!$C$14:$N$14,('Calc base'!$H356:$S356&gt;'Calc base'!L356)+('Calc base'!$H356:$S356='Calc base'!L356)*('Calc base'!$C$17:$N$17&lt;'Calc base'!G$17)))))</f>
        <v>0</v>
      </c>
      <c r="AM356">
        <f>IF('Calc base'!H$14=0,0,MIN(AA356,MAX(0,$E356-SUMPRODUCT($V356:$AG356,'Calc base'!$C$14:$N$14,('Calc base'!$H356:$S356&gt;'Calc base'!M356)+('Calc base'!$H356:$S356='Calc base'!M356)*('Calc base'!$C$17:$N$17&lt;'Calc base'!H$17)))))</f>
        <v>0</v>
      </c>
      <c r="AN356">
        <f>IF('Calc base'!I$14=0,0,MIN(AB356,MAX(0,$E356-SUMPRODUCT($V356:$AG356,'Calc base'!$C$14:$N$14,('Calc base'!$H356:$S356&gt;'Calc base'!N356)+('Calc base'!$H356:$S356='Calc base'!N356)*('Calc base'!$C$17:$N$17&lt;'Calc base'!I$17)))))</f>
        <v>0</v>
      </c>
      <c r="AO356">
        <f>IF('Calc base'!J$14=0,0,MIN(AC356,MAX(0,$E356-SUMPRODUCT($V356:$AG356,'Calc base'!$C$14:$N$14,('Calc base'!$H356:$S356&gt;'Calc base'!O356)+('Calc base'!$H356:$S356='Calc base'!O356)*('Calc base'!$C$17:$N$17&lt;'Calc base'!J$17)))))</f>
        <v>0</v>
      </c>
      <c r="AP356">
        <f>IF('Calc base'!K$14=0,0,MIN(AD356,MAX(0,$E356-SUMPRODUCT($V356:$AG356,'Calc base'!$C$14:$N$14,('Calc base'!$H356:$S356&gt;'Calc base'!P356)+('Calc base'!$H356:$S356='Calc base'!P356)*('Calc base'!$C$17:$N$17&lt;'Calc base'!K$17)))))</f>
        <v>0</v>
      </c>
      <c r="AQ356">
        <f>IF('Calc base'!L$14=0,0,MIN(AE356,MAX(0,$E356-SUMPRODUCT($V356:$AG356,'Calc base'!$C$14:$N$14,('Calc base'!$H356:$S356&gt;'Calc base'!Q356)+('Calc base'!$H356:$S356='Calc base'!Q356)*('Calc base'!$C$17:$N$17&lt;'Calc base'!L$17)))))</f>
        <v>0</v>
      </c>
      <c r="AR356">
        <f>IF('Calc base'!M$14=0,0,MIN(AF356,MAX(0,$E356-SUMPRODUCT($V356:$AG356,'Calc base'!$C$14:$N$14,('Calc base'!$H356:$S356&gt;'Calc base'!R356)+('Calc base'!$H356:$S356='Calc base'!R356)*('Calc base'!$C$17:$N$17&lt;'Calc base'!M$17)))))</f>
        <v>0</v>
      </c>
      <c r="AS356">
        <f>IF('Calc base'!N$14=0,0,MIN(AG356,MAX(0,$E356-SUMPRODUCT($V356:$AG356,'Calc base'!$C$14:$N$14,('Calc base'!$H356:$S356&gt;'Calc base'!S356)+('Calc base'!$H356:$S356='Calc base'!S356)*('Calc base'!$C$17:$N$17&lt;'Calc base'!N$17)))))</f>
        <v>0</v>
      </c>
      <c r="AT356">
        <f>V356-AH356</f>
        <v>0</v>
      </c>
      <c r="AU356">
        <f>W356-AI356</f>
        <v>0</v>
      </c>
      <c r="AV356">
        <f>X356-AJ356</f>
        <v>0</v>
      </c>
      <c r="AW356">
        <f>Y356-AK356</f>
        <v>0</v>
      </c>
      <c r="AX356">
        <f>Z356-AL356</f>
        <v>0</v>
      </c>
      <c r="AY356">
        <f>AA356-AM356</f>
        <v>0</v>
      </c>
      <c r="AZ356">
        <f>AB356-AN356</f>
        <v>0</v>
      </c>
      <c r="BA356">
        <f>AC356-AO356</f>
        <v>0</v>
      </c>
      <c r="BB356">
        <f>AD356-AP356</f>
        <v>0</v>
      </c>
      <c r="BC356">
        <f>AE356-AQ356</f>
        <v>0</v>
      </c>
      <c r="BD356">
        <f>AF356-AR356</f>
        <v>0</v>
      </c>
      <c r="BE356">
        <f>AG356-AS356</f>
        <v>0</v>
      </c>
    </row>
    <row r="357">
      <c r="A357" t="n">
        <v>327</v>
      </c>
      <c r="B357">
        <f>SUMPRODUCT(ROUND($AT356:$BE356*(1+'Calc base'!$H357:$S357),2))</f>
        <v>0</v>
      </c>
      <c r="C357">
        <f>SUM(J357:U357)</f>
        <v>0</v>
      </c>
      <c r="D357">
        <f>SUM(V357:AG357)</f>
        <v>0</v>
      </c>
      <c r="E357">
        <f>MAX(0,IF(Impostazioni!$B$7="No",'Calc base'!$C357-$C$31,'Calc base'!$C357-C357)+'Calc base'!$G357+'Calc base'!$F357-(B357-C357-D357))</f>
        <v>900</v>
      </c>
      <c r="F357">
        <f>SUM(AH357:AS357)</f>
        <v>0</v>
      </c>
      <c r="G357">
        <f>SUM(AT357:BE357)</f>
        <v>0</v>
      </c>
      <c r="H357">
        <f>B357-G356</f>
        <v>0</v>
      </c>
      <c r="I357">
        <f>B357-G357</f>
        <v>0</v>
      </c>
      <c r="J357">
        <f>IF(AT356&lt;=0,0,IF(ROUND(AT356*(1+'Calc base'!H357),2)-MAX('Calc base'!C$12,ROUND('Calc base'!C$13*AT356,2))&lt;1,ROUND(AT356*(1+'Calc base'!H357),2),MAX('Calc base'!C$12,ROUND('Calc base'!C$13*AT356,2))))</f>
        <v>0</v>
      </c>
      <c r="K357">
        <f>IF(AU356&lt;=0,0,IF(ROUND(AU356*(1+'Calc base'!I357),2)-MAX('Calc base'!D$12,ROUND('Calc base'!D$13*AU356,2))&lt;1,ROUND(AU356*(1+'Calc base'!I357),2),MAX('Calc base'!D$12,ROUND('Calc base'!D$13*AU356,2))))</f>
        <v>0</v>
      </c>
      <c r="L357">
        <f>IF(AV356&lt;=0,0,IF(ROUND(AV356*(1+'Calc base'!J357),2)-MAX('Calc base'!E$12,ROUND('Calc base'!E$13*AV356,2))&lt;1,ROUND(AV356*(1+'Calc base'!J357),2),MAX('Calc base'!E$12,ROUND('Calc base'!E$13*AV356,2))))</f>
        <v>0</v>
      </c>
      <c r="M357">
        <f>IF(AW356&lt;=0,0,IF(ROUND(AW356*(1+'Calc base'!K357),2)-MAX('Calc base'!F$12,ROUND('Calc base'!F$13*AW356,2))&lt;1,ROUND(AW356*(1+'Calc base'!K357),2),MAX('Calc base'!F$12,ROUND('Calc base'!F$13*AW356,2))))</f>
        <v>0</v>
      </c>
      <c r="N357">
        <f>IF(AX356&lt;=0,0,IF(ROUND(AX356*(1+'Calc base'!L357),2)-MAX('Calc base'!G$12,ROUND('Calc base'!G$13*AX356,2))&lt;1,ROUND(AX356*(1+'Calc base'!L357),2),MAX('Calc base'!G$12,ROUND('Calc base'!G$13*AX356,2))))</f>
        <v>0</v>
      </c>
      <c r="O357">
        <f>IF(AY356&lt;=0,0,IF(ROUND(AY356*(1+'Calc base'!M357),2)-MAX('Calc base'!H$12,ROUND('Calc base'!H$13*AY356,2))&lt;1,ROUND(AY356*(1+'Calc base'!M357),2),MAX('Calc base'!H$12,ROUND('Calc base'!H$13*AY356,2))))</f>
        <v>0</v>
      </c>
      <c r="P357">
        <f>IF(AZ356&lt;=0,0,IF(ROUND(AZ356*(1+'Calc base'!N357),2)-MAX('Calc base'!I$12,ROUND('Calc base'!I$13*AZ356,2))&lt;1,ROUND(AZ356*(1+'Calc base'!N357),2),MAX('Calc base'!I$12,ROUND('Calc base'!I$13*AZ356,2))))</f>
        <v>0</v>
      </c>
      <c r="Q357">
        <f>IF(BA356&lt;=0,0,IF(ROUND(BA356*(1+'Calc base'!O357),2)-MAX('Calc base'!J$12,ROUND('Calc base'!J$13*BA356,2))&lt;1,ROUND(BA356*(1+'Calc base'!O357),2),MAX('Calc base'!J$12,ROUND('Calc base'!J$13*BA356,2))))</f>
        <v>0</v>
      </c>
      <c r="R357">
        <f>IF(BB356&lt;=0,0,IF(ROUND(BB356*(1+'Calc base'!P357),2)-MAX('Calc base'!K$12,ROUND('Calc base'!K$13*BB356,2))&lt;1,ROUND(BB356*(1+'Calc base'!P357),2),MAX('Calc base'!K$12,ROUND('Calc base'!K$13*BB356,2))))</f>
        <v>0</v>
      </c>
      <c r="S357">
        <f>IF(BC356&lt;=0,0,IF(ROUND(BC356*(1+'Calc base'!Q357),2)-MAX('Calc base'!L$12,ROUND('Calc base'!L$13*BC356,2))&lt;1,ROUND(BC356*(1+'Calc base'!Q357),2),MAX('Calc base'!L$12,ROUND('Calc base'!L$13*BC356,2))))</f>
        <v>0</v>
      </c>
      <c r="T357">
        <f>IF(BD356&lt;=0,0,IF(ROUND(BD356*(1+'Calc base'!R357),2)-MAX('Calc base'!M$12,ROUND('Calc base'!M$13*BD356,2))&lt;1,ROUND(BD356*(1+'Calc base'!R357),2),MAX('Calc base'!M$12,ROUND('Calc base'!M$13*BD356,2))))</f>
        <v>0</v>
      </c>
      <c r="U357">
        <f>IF(BE356&lt;=0,0,IF(ROUND(BE356*(1+'Calc base'!S357),2)-MAX('Calc base'!N$12,ROUND('Calc base'!N$13*BE356,2))&lt;1,ROUND(BE356*(1+'Calc base'!S357),2),MAX('Calc base'!N$12,ROUND('Calc base'!N$13*BE356,2))))</f>
        <v>0</v>
      </c>
      <c r="V357">
        <f>MAX(0,ROUND(AT356*(1+'Calc base'!H357),2)-J357-'Calc base'!T357)</f>
        <v>0</v>
      </c>
      <c r="W357">
        <f>MAX(0,ROUND(AU356*(1+'Calc base'!I357),2)-K357-'Calc base'!U357)</f>
        <v>0</v>
      </c>
      <c r="X357">
        <f>MAX(0,ROUND(AV356*(1+'Calc base'!J357),2)-L357-'Calc base'!V357)</f>
        <v>0</v>
      </c>
      <c r="Y357">
        <f>MAX(0,ROUND(AW356*(1+'Calc base'!K357),2)-M357-'Calc base'!W357)</f>
        <v>0</v>
      </c>
      <c r="Z357">
        <f>MAX(0,ROUND(AX356*(1+'Calc base'!L357),2)-N357-'Calc base'!X357)</f>
        <v>0</v>
      </c>
      <c r="AA357">
        <f>MAX(0,ROUND(AY356*(1+'Calc base'!M357),2)-O357-'Calc base'!Y357)</f>
        <v>0</v>
      </c>
      <c r="AB357">
        <f>MAX(0,ROUND(AZ356*(1+'Calc base'!N357),2)-P357-'Calc base'!Z357)</f>
        <v>0</v>
      </c>
      <c r="AC357">
        <f>MAX(0,ROUND(BA356*(1+'Calc base'!O357),2)-Q357-'Calc base'!AA357)</f>
        <v>0</v>
      </c>
      <c r="AD357">
        <f>MAX(0,ROUND(BB356*(1+'Calc base'!P357),2)-R357-'Calc base'!AB357)</f>
        <v>0</v>
      </c>
      <c r="AE357">
        <f>MAX(0,ROUND(BC356*(1+'Calc base'!Q357),2)-S357-'Calc base'!AC357)</f>
        <v>0</v>
      </c>
      <c r="AF357">
        <f>MAX(0,ROUND(BD356*(1+'Calc base'!R357),2)-T357-'Calc base'!AD357)</f>
        <v>0</v>
      </c>
      <c r="AG357">
        <f>MAX(0,ROUND(BE356*(1+'Calc base'!S357),2)-U357-'Calc base'!AE357)</f>
        <v>0</v>
      </c>
      <c r="AH357">
        <f>IF('Calc base'!C$14=0,0,MIN(V357,MAX(0,$E357-SUMPRODUCT($V357:$AG357,'Calc base'!$C$14:$N$14,('Calc base'!$H357:$S357&gt;'Calc base'!H357)+('Calc base'!$H357:$S357='Calc base'!H357)*('Calc base'!$C$17:$N$17&lt;'Calc base'!C$17)))))</f>
        <v>0</v>
      </c>
      <c r="AI357">
        <f>IF('Calc base'!D$14=0,0,MIN(W357,MAX(0,$E357-SUMPRODUCT($V357:$AG357,'Calc base'!$C$14:$N$14,('Calc base'!$H357:$S357&gt;'Calc base'!I357)+('Calc base'!$H357:$S357='Calc base'!I357)*('Calc base'!$C$17:$N$17&lt;'Calc base'!D$17)))))</f>
        <v>0</v>
      </c>
      <c r="AJ357">
        <f>IF('Calc base'!E$14=0,0,MIN(X357,MAX(0,$E357-SUMPRODUCT($V357:$AG357,'Calc base'!$C$14:$N$14,('Calc base'!$H357:$S357&gt;'Calc base'!J357)+('Calc base'!$H357:$S357='Calc base'!J357)*('Calc base'!$C$17:$N$17&lt;'Calc base'!E$17)))))</f>
        <v>0</v>
      </c>
      <c r="AK357">
        <f>IF('Calc base'!F$14=0,0,MIN(Y357,MAX(0,$E357-SUMPRODUCT($V357:$AG357,'Calc base'!$C$14:$N$14,('Calc base'!$H357:$S357&gt;'Calc base'!K357)+('Calc base'!$H357:$S357='Calc base'!K357)*('Calc base'!$C$17:$N$17&lt;'Calc base'!F$17)))))</f>
        <v>0</v>
      </c>
      <c r="AL357">
        <f>IF('Calc base'!G$14=0,0,MIN(Z357,MAX(0,$E357-SUMPRODUCT($V357:$AG357,'Calc base'!$C$14:$N$14,('Calc base'!$H357:$S357&gt;'Calc base'!L357)+('Calc base'!$H357:$S357='Calc base'!L357)*('Calc base'!$C$17:$N$17&lt;'Calc base'!G$17)))))</f>
        <v>0</v>
      </c>
      <c r="AM357">
        <f>IF('Calc base'!H$14=0,0,MIN(AA357,MAX(0,$E357-SUMPRODUCT($V357:$AG357,'Calc base'!$C$14:$N$14,('Calc base'!$H357:$S357&gt;'Calc base'!M357)+('Calc base'!$H357:$S357='Calc base'!M357)*('Calc base'!$C$17:$N$17&lt;'Calc base'!H$17)))))</f>
        <v>0</v>
      </c>
      <c r="AN357">
        <f>IF('Calc base'!I$14=0,0,MIN(AB357,MAX(0,$E357-SUMPRODUCT($V357:$AG357,'Calc base'!$C$14:$N$14,('Calc base'!$H357:$S357&gt;'Calc base'!N357)+('Calc base'!$H357:$S357='Calc base'!N357)*('Calc base'!$C$17:$N$17&lt;'Calc base'!I$17)))))</f>
        <v>0</v>
      </c>
      <c r="AO357">
        <f>IF('Calc base'!J$14=0,0,MIN(AC357,MAX(0,$E357-SUMPRODUCT($V357:$AG357,'Calc base'!$C$14:$N$14,('Calc base'!$H357:$S357&gt;'Calc base'!O357)+('Calc base'!$H357:$S357='Calc base'!O357)*('Calc base'!$C$17:$N$17&lt;'Calc base'!J$17)))))</f>
        <v>0</v>
      </c>
      <c r="AP357">
        <f>IF('Calc base'!K$14=0,0,MIN(AD357,MAX(0,$E357-SUMPRODUCT($V357:$AG357,'Calc base'!$C$14:$N$14,('Calc base'!$H357:$S357&gt;'Calc base'!P357)+('Calc base'!$H357:$S357='Calc base'!P357)*('Calc base'!$C$17:$N$17&lt;'Calc base'!K$17)))))</f>
        <v>0</v>
      </c>
      <c r="AQ357">
        <f>IF('Calc base'!L$14=0,0,MIN(AE357,MAX(0,$E357-SUMPRODUCT($V357:$AG357,'Calc base'!$C$14:$N$14,('Calc base'!$H357:$S357&gt;'Calc base'!Q357)+('Calc base'!$H357:$S357='Calc base'!Q357)*('Calc base'!$C$17:$N$17&lt;'Calc base'!L$17)))))</f>
        <v>0</v>
      </c>
      <c r="AR357">
        <f>IF('Calc base'!M$14=0,0,MIN(AF357,MAX(0,$E357-SUMPRODUCT($V357:$AG357,'Calc base'!$C$14:$N$14,('Calc base'!$H357:$S357&gt;'Calc base'!R357)+('Calc base'!$H357:$S357='Calc base'!R357)*('Calc base'!$C$17:$N$17&lt;'Calc base'!M$17)))))</f>
        <v>0</v>
      </c>
      <c r="AS357">
        <f>IF('Calc base'!N$14=0,0,MIN(AG357,MAX(0,$E357-SUMPRODUCT($V357:$AG357,'Calc base'!$C$14:$N$14,('Calc base'!$H357:$S357&gt;'Calc base'!S357)+('Calc base'!$H357:$S357='Calc base'!S357)*('Calc base'!$C$17:$N$17&lt;'Calc base'!N$17)))))</f>
        <v>0</v>
      </c>
      <c r="AT357">
        <f>V357-AH357</f>
        <v>0</v>
      </c>
      <c r="AU357">
        <f>W357-AI357</f>
        <v>0</v>
      </c>
      <c r="AV357">
        <f>X357-AJ357</f>
        <v>0</v>
      </c>
      <c r="AW357">
        <f>Y357-AK357</f>
        <v>0</v>
      </c>
      <c r="AX357">
        <f>Z357-AL357</f>
        <v>0</v>
      </c>
      <c r="AY357">
        <f>AA357-AM357</f>
        <v>0</v>
      </c>
      <c r="AZ357">
        <f>AB357-AN357</f>
        <v>0</v>
      </c>
      <c r="BA357">
        <f>AC357-AO357</f>
        <v>0</v>
      </c>
      <c r="BB357">
        <f>AD357-AP357</f>
        <v>0</v>
      </c>
      <c r="BC357">
        <f>AE357-AQ357</f>
        <v>0</v>
      </c>
      <c r="BD357">
        <f>AF357-AR357</f>
        <v>0</v>
      </c>
      <c r="BE357">
        <f>AG357-AS357</f>
        <v>0</v>
      </c>
    </row>
    <row r="358">
      <c r="A358" t="n">
        <v>328</v>
      </c>
      <c r="B358">
        <f>SUMPRODUCT(ROUND($AT357:$BE357*(1+'Calc base'!$H358:$S358),2))</f>
        <v>0</v>
      </c>
      <c r="C358">
        <f>SUM(J358:U358)</f>
        <v>0</v>
      </c>
      <c r="D358">
        <f>SUM(V358:AG358)</f>
        <v>0</v>
      </c>
      <c r="E358">
        <f>MAX(0,IF(Impostazioni!$B$7="No",'Calc base'!$C358-$C$31,'Calc base'!$C358-C358)+'Calc base'!$G358+'Calc base'!$F358-(B358-C358-D358))</f>
        <v>900</v>
      </c>
      <c r="F358">
        <f>SUM(AH358:AS358)</f>
        <v>0</v>
      </c>
      <c r="G358">
        <f>SUM(AT358:BE358)</f>
        <v>0</v>
      </c>
      <c r="H358">
        <f>B358-G357</f>
        <v>0</v>
      </c>
      <c r="I358">
        <f>B358-G358</f>
        <v>0</v>
      </c>
      <c r="J358">
        <f>IF(AT357&lt;=0,0,IF(ROUND(AT357*(1+'Calc base'!H358),2)-MAX('Calc base'!C$12,ROUND('Calc base'!C$13*AT357,2))&lt;1,ROUND(AT357*(1+'Calc base'!H358),2),MAX('Calc base'!C$12,ROUND('Calc base'!C$13*AT357,2))))</f>
        <v>0</v>
      </c>
      <c r="K358">
        <f>IF(AU357&lt;=0,0,IF(ROUND(AU357*(1+'Calc base'!I358),2)-MAX('Calc base'!D$12,ROUND('Calc base'!D$13*AU357,2))&lt;1,ROUND(AU357*(1+'Calc base'!I358),2),MAX('Calc base'!D$12,ROUND('Calc base'!D$13*AU357,2))))</f>
        <v>0</v>
      </c>
      <c r="L358">
        <f>IF(AV357&lt;=0,0,IF(ROUND(AV357*(1+'Calc base'!J358),2)-MAX('Calc base'!E$12,ROUND('Calc base'!E$13*AV357,2))&lt;1,ROUND(AV357*(1+'Calc base'!J358),2),MAX('Calc base'!E$12,ROUND('Calc base'!E$13*AV357,2))))</f>
        <v>0</v>
      </c>
      <c r="M358">
        <f>IF(AW357&lt;=0,0,IF(ROUND(AW357*(1+'Calc base'!K358),2)-MAX('Calc base'!F$12,ROUND('Calc base'!F$13*AW357,2))&lt;1,ROUND(AW357*(1+'Calc base'!K358),2),MAX('Calc base'!F$12,ROUND('Calc base'!F$13*AW357,2))))</f>
        <v>0</v>
      </c>
      <c r="N358">
        <f>IF(AX357&lt;=0,0,IF(ROUND(AX357*(1+'Calc base'!L358),2)-MAX('Calc base'!G$12,ROUND('Calc base'!G$13*AX357,2))&lt;1,ROUND(AX357*(1+'Calc base'!L358),2),MAX('Calc base'!G$12,ROUND('Calc base'!G$13*AX357,2))))</f>
        <v>0</v>
      </c>
      <c r="O358">
        <f>IF(AY357&lt;=0,0,IF(ROUND(AY357*(1+'Calc base'!M358),2)-MAX('Calc base'!H$12,ROUND('Calc base'!H$13*AY357,2))&lt;1,ROUND(AY357*(1+'Calc base'!M358),2),MAX('Calc base'!H$12,ROUND('Calc base'!H$13*AY357,2))))</f>
        <v>0</v>
      </c>
      <c r="P358">
        <f>IF(AZ357&lt;=0,0,IF(ROUND(AZ357*(1+'Calc base'!N358),2)-MAX('Calc base'!I$12,ROUND('Calc base'!I$13*AZ357,2))&lt;1,ROUND(AZ357*(1+'Calc base'!N358),2),MAX('Calc base'!I$12,ROUND('Calc base'!I$13*AZ357,2))))</f>
        <v>0</v>
      </c>
      <c r="Q358">
        <f>IF(BA357&lt;=0,0,IF(ROUND(BA357*(1+'Calc base'!O358),2)-MAX('Calc base'!J$12,ROUND('Calc base'!J$13*BA357,2))&lt;1,ROUND(BA357*(1+'Calc base'!O358),2),MAX('Calc base'!J$12,ROUND('Calc base'!J$13*BA357,2))))</f>
        <v>0</v>
      </c>
      <c r="R358">
        <f>IF(BB357&lt;=0,0,IF(ROUND(BB357*(1+'Calc base'!P358),2)-MAX('Calc base'!K$12,ROUND('Calc base'!K$13*BB357,2))&lt;1,ROUND(BB357*(1+'Calc base'!P358),2),MAX('Calc base'!K$12,ROUND('Calc base'!K$13*BB357,2))))</f>
        <v>0</v>
      </c>
      <c r="S358">
        <f>IF(BC357&lt;=0,0,IF(ROUND(BC357*(1+'Calc base'!Q358),2)-MAX('Calc base'!L$12,ROUND('Calc base'!L$13*BC357,2))&lt;1,ROUND(BC357*(1+'Calc base'!Q358),2),MAX('Calc base'!L$12,ROUND('Calc base'!L$13*BC357,2))))</f>
        <v>0</v>
      </c>
      <c r="T358">
        <f>IF(BD357&lt;=0,0,IF(ROUND(BD357*(1+'Calc base'!R358),2)-MAX('Calc base'!M$12,ROUND('Calc base'!M$13*BD357,2))&lt;1,ROUND(BD357*(1+'Calc base'!R358),2),MAX('Calc base'!M$12,ROUND('Calc base'!M$13*BD357,2))))</f>
        <v>0</v>
      </c>
      <c r="U358">
        <f>IF(BE357&lt;=0,0,IF(ROUND(BE357*(1+'Calc base'!S358),2)-MAX('Calc base'!N$12,ROUND('Calc base'!N$13*BE357,2))&lt;1,ROUND(BE357*(1+'Calc base'!S358),2),MAX('Calc base'!N$12,ROUND('Calc base'!N$13*BE357,2))))</f>
        <v>0</v>
      </c>
      <c r="V358">
        <f>MAX(0,ROUND(AT357*(1+'Calc base'!H358),2)-J358-'Calc base'!T358)</f>
        <v>0</v>
      </c>
      <c r="W358">
        <f>MAX(0,ROUND(AU357*(1+'Calc base'!I358),2)-K358-'Calc base'!U358)</f>
        <v>0</v>
      </c>
      <c r="X358">
        <f>MAX(0,ROUND(AV357*(1+'Calc base'!J358),2)-L358-'Calc base'!V358)</f>
        <v>0</v>
      </c>
      <c r="Y358">
        <f>MAX(0,ROUND(AW357*(1+'Calc base'!K358),2)-M358-'Calc base'!W358)</f>
        <v>0</v>
      </c>
      <c r="Z358">
        <f>MAX(0,ROUND(AX357*(1+'Calc base'!L358),2)-N358-'Calc base'!X358)</f>
        <v>0</v>
      </c>
      <c r="AA358">
        <f>MAX(0,ROUND(AY357*(1+'Calc base'!M358),2)-O358-'Calc base'!Y358)</f>
        <v>0</v>
      </c>
      <c r="AB358">
        <f>MAX(0,ROUND(AZ357*(1+'Calc base'!N358),2)-P358-'Calc base'!Z358)</f>
        <v>0</v>
      </c>
      <c r="AC358">
        <f>MAX(0,ROUND(BA357*(1+'Calc base'!O358),2)-Q358-'Calc base'!AA358)</f>
        <v>0</v>
      </c>
      <c r="AD358">
        <f>MAX(0,ROUND(BB357*(1+'Calc base'!P358),2)-R358-'Calc base'!AB358)</f>
        <v>0</v>
      </c>
      <c r="AE358">
        <f>MAX(0,ROUND(BC357*(1+'Calc base'!Q358),2)-S358-'Calc base'!AC358)</f>
        <v>0</v>
      </c>
      <c r="AF358">
        <f>MAX(0,ROUND(BD357*(1+'Calc base'!R358),2)-T358-'Calc base'!AD358)</f>
        <v>0</v>
      </c>
      <c r="AG358">
        <f>MAX(0,ROUND(BE357*(1+'Calc base'!S358),2)-U358-'Calc base'!AE358)</f>
        <v>0</v>
      </c>
      <c r="AH358">
        <f>IF('Calc base'!C$14=0,0,MIN(V358,MAX(0,$E358-SUMPRODUCT($V358:$AG358,'Calc base'!$C$14:$N$14,('Calc base'!$H358:$S358&gt;'Calc base'!H358)+('Calc base'!$H358:$S358='Calc base'!H358)*('Calc base'!$C$17:$N$17&lt;'Calc base'!C$17)))))</f>
        <v>0</v>
      </c>
      <c r="AI358">
        <f>IF('Calc base'!D$14=0,0,MIN(W358,MAX(0,$E358-SUMPRODUCT($V358:$AG358,'Calc base'!$C$14:$N$14,('Calc base'!$H358:$S358&gt;'Calc base'!I358)+('Calc base'!$H358:$S358='Calc base'!I358)*('Calc base'!$C$17:$N$17&lt;'Calc base'!D$17)))))</f>
        <v>0</v>
      </c>
      <c r="AJ358">
        <f>IF('Calc base'!E$14=0,0,MIN(X358,MAX(0,$E358-SUMPRODUCT($V358:$AG358,'Calc base'!$C$14:$N$14,('Calc base'!$H358:$S358&gt;'Calc base'!J358)+('Calc base'!$H358:$S358='Calc base'!J358)*('Calc base'!$C$17:$N$17&lt;'Calc base'!E$17)))))</f>
        <v>0</v>
      </c>
      <c r="AK358">
        <f>IF('Calc base'!F$14=0,0,MIN(Y358,MAX(0,$E358-SUMPRODUCT($V358:$AG358,'Calc base'!$C$14:$N$14,('Calc base'!$H358:$S358&gt;'Calc base'!K358)+('Calc base'!$H358:$S358='Calc base'!K358)*('Calc base'!$C$17:$N$17&lt;'Calc base'!F$17)))))</f>
        <v>0</v>
      </c>
      <c r="AL358">
        <f>IF('Calc base'!G$14=0,0,MIN(Z358,MAX(0,$E358-SUMPRODUCT($V358:$AG358,'Calc base'!$C$14:$N$14,('Calc base'!$H358:$S358&gt;'Calc base'!L358)+('Calc base'!$H358:$S358='Calc base'!L358)*('Calc base'!$C$17:$N$17&lt;'Calc base'!G$17)))))</f>
        <v>0</v>
      </c>
      <c r="AM358">
        <f>IF('Calc base'!H$14=0,0,MIN(AA358,MAX(0,$E358-SUMPRODUCT($V358:$AG358,'Calc base'!$C$14:$N$14,('Calc base'!$H358:$S358&gt;'Calc base'!M358)+('Calc base'!$H358:$S358='Calc base'!M358)*('Calc base'!$C$17:$N$17&lt;'Calc base'!H$17)))))</f>
        <v>0</v>
      </c>
      <c r="AN358">
        <f>IF('Calc base'!I$14=0,0,MIN(AB358,MAX(0,$E358-SUMPRODUCT($V358:$AG358,'Calc base'!$C$14:$N$14,('Calc base'!$H358:$S358&gt;'Calc base'!N358)+('Calc base'!$H358:$S358='Calc base'!N358)*('Calc base'!$C$17:$N$17&lt;'Calc base'!I$17)))))</f>
        <v>0</v>
      </c>
      <c r="AO358">
        <f>IF('Calc base'!J$14=0,0,MIN(AC358,MAX(0,$E358-SUMPRODUCT($V358:$AG358,'Calc base'!$C$14:$N$14,('Calc base'!$H358:$S358&gt;'Calc base'!O358)+('Calc base'!$H358:$S358='Calc base'!O358)*('Calc base'!$C$17:$N$17&lt;'Calc base'!J$17)))))</f>
        <v>0</v>
      </c>
      <c r="AP358">
        <f>IF('Calc base'!K$14=0,0,MIN(AD358,MAX(0,$E358-SUMPRODUCT($V358:$AG358,'Calc base'!$C$14:$N$14,('Calc base'!$H358:$S358&gt;'Calc base'!P358)+('Calc base'!$H358:$S358='Calc base'!P358)*('Calc base'!$C$17:$N$17&lt;'Calc base'!K$17)))))</f>
        <v>0</v>
      </c>
      <c r="AQ358">
        <f>IF('Calc base'!L$14=0,0,MIN(AE358,MAX(0,$E358-SUMPRODUCT($V358:$AG358,'Calc base'!$C$14:$N$14,('Calc base'!$H358:$S358&gt;'Calc base'!Q358)+('Calc base'!$H358:$S358='Calc base'!Q358)*('Calc base'!$C$17:$N$17&lt;'Calc base'!L$17)))))</f>
        <v>0</v>
      </c>
      <c r="AR358">
        <f>IF('Calc base'!M$14=0,0,MIN(AF358,MAX(0,$E358-SUMPRODUCT($V358:$AG358,'Calc base'!$C$14:$N$14,('Calc base'!$H358:$S358&gt;'Calc base'!R358)+('Calc base'!$H358:$S358='Calc base'!R358)*('Calc base'!$C$17:$N$17&lt;'Calc base'!M$17)))))</f>
        <v>0</v>
      </c>
      <c r="AS358">
        <f>IF('Calc base'!N$14=0,0,MIN(AG358,MAX(0,$E358-SUMPRODUCT($V358:$AG358,'Calc base'!$C$14:$N$14,('Calc base'!$H358:$S358&gt;'Calc base'!S358)+('Calc base'!$H358:$S358='Calc base'!S358)*('Calc base'!$C$17:$N$17&lt;'Calc base'!N$17)))))</f>
        <v>0</v>
      </c>
      <c r="AT358">
        <f>V358-AH358</f>
        <v>0</v>
      </c>
      <c r="AU358">
        <f>W358-AI358</f>
        <v>0</v>
      </c>
      <c r="AV358">
        <f>X358-AJ358</f>
        <v>0</v>
      </c>
      <c r="AW358">
        <f>Y358-AK358</f>
        <v>0</v>
      </c>
      <c r="AX358">
        <f>Z358-AL358</f>
        <v>0</v>
      </c>
      <c r="AY358">
        <f>AA358-AM358</f>
        <v>0</v>
      </c>
      <c r="AZ358">
        <f>AB358-AN358</f>
        <v>0</v>
      </c>
      <c r="BA358">
        <f>AC358-AO358</f>
        <v>0</v>
      </c>
      <c r="BB358">
        <f>AD358-AP358</f>
        <v>0</v>
      </c>
      <c r="BC358">
        <f>AE358-AQ358</f>
        <v>0</v>
      </c>
      <c r="BD358">
        <f>AF358-AR358</f>
        <v>0</v>
      </c>
      <c r="BE358">
        <f>AG358-AS358</f>
        <v>0</v>
      </c>
    </row>
    <row r="359">
      <c r="A359" t="n">
        <v>329</v>
      </c>
      <c r="B359">
        <f>SUMPRODUCT(ROUND($AT358:$BE358*(1+'Calc base'!$H359:$S359),2))</f>
        <v>0</v>
      </c>
      <c r="C359">
        <f>SUM(J359:U359)</f>
        <v>0</v>
      </c>
      <c r="D359">
        <f>SUM(V359:AG359)</f>
        <v>0</v>
      </c>
      <c r="E359">
        <f>MAX(0,IF(Impostazioni!$B$7="No",'Calc base'!$C359-$C$31,'Calc base'!$C359-C359)+'Calc base'!$G359+'Calc base'!$F359-(B359-C359-D359))</f>
        <v>900</v>
      </c>
      <c r="F359">
        <f>SUM(AH359:AS359)</f>
        <v>0</v>
      </c>
      <c r="G359">
        <f>SUM(AT359:BE359)</f>
        <v>0</v>
      </c>
      <c r="H359">
        <f>B359-G358</f>
        <v>0</v>
      </c>
      <c r="I359">
        <f>B359-G359</f>
        <v>0</v>
      </c>
      <c r="J359">
        <f>IF(AT358&lt;=0,0,IF(ROUND(AT358*(1+'Calc base'!H359),2)-MAX('Calc base'!C$12,ROUND('Calc base'!C$13*AT358,2))&lt;1,ROUND(AT358*(1+'Calc base'!H359),2),MAX('Calc base'!C$12,ROUND('Calc base'!C$13*AT358,2))))</f>
        <v>0</v>
      </c>
      <c r="K359">
        <f>IF(AU358&lt;=0,0,IF(ROUND(AU358*(1+'Calc base'!I359),2)-MAX('Calc base'!D$12,ROUND('Calc base'!D$13*AU358,2))&lt;1,ROUND(AU358*(1+'Calc base'!I359),2),MAX('Calc base'!D$12,ROUND('Calc base'!D$13*AU358,2))))</f>
        <v>0</v>
      </c>
      <c r="L359">
        <f>IF(AV358&lt;=0,0,IF(ROUND(AV358*(1+'Calc base'!J359),2)-MAX('Calc base'!E$12,ROUND('Calc base'!E$13*AV358,2))&lt;1,ROUND(AV358*(1+'Calc base'!J359),2),MAX('Calc base'!E$12,ROUND('Calc base'!E$13*AV358,2))))</f>
        <v>0</v>
      </c>
      <c r="M359">
        <f>IF(AW358&lt;=0,0,IF(ROUND(AW358*(1+'Calc base'!K359),2)-MAX('Calc base'!F$12,ROUND('Calc base'!F$13*AW358,2))&lt;1,ROUND(AW358*(1+'Calc base'!K359),2),MAX('Calc base'!F$12,ROUND('Calc base'!F$13*AW358,2))))</f>
        <v>0</v>
      </c>
      <c r="N359">
        <f>IF(AX358&lt;=0,0,IF(ROUND(AX358*(1+'Calc base'!L359),2)-MAX('Calc base'!G$12,ROUND('Calc base'!G$13*AX358,2))&lt;1,ROUND(AX358*(1+'Calc base'!L359),2),MAX('Calc base'!G$12,ROUND('Calc base'!G$13*AX358,2))))</f>
        <v>0</v>
      </c>
      <c r="O359">
        <f>IF(AY358&lt;=0,0,IF(ROUND(AY358*(1+'Calc base'!M359),2)-MAX('Calc base'!H$12,ROUND('Calc base'!H$13*AY358,2))&lt;1,ROUND(AY358*(1+'Calc base'!M359),2),MAX('Calc base'!H$12,ROUND('Calc base'!H$13*AY358,2))))</f>
        <v>0</v>
      </c>
      <c r="P359">
        <f>IF(AZ358&lt;=0,0,IF(ROUND(AZ358*(1+'Calc base'!N359),2)-MAX('Calc base'!I$12,ROUND('Calc base'!I$13*AZ358,2))&lt;1,ROUND(AZ358*(1+'Calc base'!N359),2),MAX('Calc base'!I$12,ROUND('Calc base'!I$13*AZ358,2))))</f>
        <v>0</v>
      </c>
      <c r="Q359">
        <f>IF(BA358&lt;=0,0,IF(ROUND(BA358*(1+'Calc base'!O359),2)-MAX('Calc base'!J$12,ROUND('Calc base'!J$13*BA358,2))&lt;1,ROUND(BA358*(1+'Calc base'!O359),2),MAX('Calc base'!J$12,ROUND('Calc base'!J$13*BA358,2))))</f>
        <v>0</v>
      </c>
      <c r="R359">
        <f>IF(BB358&lt;=0,0,IF(ROUND(BB358*(1+'Calc base'!P359),2)-MAX('Calc base'!K$12,ROUND('Calc base'!K$13*BB358,2))&lt;1,ROUND(BB358*(1+'Calc base'!P359),2),MAX('Calc base'!K$12,ROUND('Calc base'!K$13*BB358,2))))</f>
        <v>0</v>
      </c>
      <c r="S359">
        <f>IF(BC358&lt;=0,0,IF(ROUND(BC358*(1+'Calc base'!Q359),2)-MAX('Calc base'!L$12,ROUND('Calc base'!L$13*BC358,2))&lt;1,ROUND(BC358*(1+'Calc base'!Q359),2),MAX('Calc base'!L$12,ROUND('Calc base'!L$13*BC358,2))))</f>
        <v>0</v>
      </c>
      <c r="T359">
        <f>IF(BD358&lt;=0,0,IF(ROUND(BD358*(1+'Calc base'!R359),2)-MAX('Calc base'!M$12,ROUND('Calc base'!M$13*BD358,2))&lt;1,ROUND(BD358*(1+'Calc base'!R359),2),MAX('Calc base'!M$12,ROUND('Calc base'!M$13*BD358,2))))</f>
        <v>0</v>
      </c>
      <c r="U359">
        <f>IF(BE358&lt;=0,0,IF(ROUND(BE358*(1+'Calc base'!S359),2)-MAX('Calc base'!N$12,ROUND('Calc base'!N$13*BE358,2))&lt;1,ROUND(BE358*(1+'Calc base'!S359),2),MAX('Calc base'!N$12,ROUND('Calc base'!N$13*BE358,2))))</f>
        <v>0</v>
      </c>
      <c r="V359">
        <f>MAX(0,ROUND(AT358*(1+'Calc base'!H359),2)-J359-'Calc base'!T359)</f>
        <v>0</v>
      </c>
      <c r="W359">
        <f>MAX(0,ROUND(AU358*(1+'Calc base'!I359),2)-K359-'Calc base'!U359)</f>
        <v>0</v>
      </c>
      <c r="X359">
        <f>MAX(0,ROUND(AV358*(1+'Calc base'!J359),2)-L359-'Calc base'!V359)</f>
        <v>0</v>
      </c>
      <c r="Y359">
        <f>MAX(0,ROUND(AW358*(1+'Calc base'!K359),2)-M359-'Calc base'!W359)</f>
        <v>0</v>
      </c>
      <c r="Z359">
        <f>MAX(0,ROUND(AX358*(1+'Calc base'!L359),2)-N359-'Calc base'!X359)</f>
        <v>0</v>
      </c>
      <c r="AA359">
        <f>MAX(0,ROUND(AY358*(1+'Calc base'!M359),2)-O359-'Calc base'!Y359)</f>
        <v>0</v>
      </c>
      <c r="AB359">
        <f>MAX(0,ROUND(AZ358*(1+'Calc base'!N359),2)-P359-'Calc base'!Z359)</f>
        <v>0</v>
      </c>
      <c r="AC359">
        <f>MAX(0,ROUND(BA358*(1+'Calc base'!O359),2)-Q359-'Calc base'!AA359)</f>
        <v>0</v>
      </c>
      <c r="AD359">
        <f>MAX(0,ROUND(BB358*(1+'Calc base'!P359),2)-R359-'Calc base'!AB359)</f>
        <v>0</v>
      </c>
      <c r="AE359">
        <f>MAX(0,ROUND(BC358*(1+'Calc base'!Q359),2)-S359-'Calc base'!AC359)</f>
        <v>0</v>
      </c>
      <c r="AF359">
        <f>MAX(0,ROUND(BD358*(1+'Calc base'!R359),2)-T359-'Calc base'!AD359)</f>
        <v>0</v>
      </c>
      <c r="AG359">
        <f>MAX(0,ROUND(BE358*(1+'Calc base'!S359),2)-U359-'Calc base'!AE359)</f>
        <v>0</v>
      </c>
      <c r="AH359">
        <f>IF('Calc base'!C$14=0,0,MIN(V359,MAX(0,$E359-SUMPRODUCT($V359:$AG359,'Calc base'!$C$14:$N$14,('Calc base'!$H359:$S359&gt;'Calc base'!H359)+('Calc base'!$H359:$S359='Calc base'!H359)*('Calc base'!$C$17:$N$17&lt;'Calc base'!C$17)))))</f>
        <v>0</v>
      </c>
      <c r="AI359">
        <f>IF('Calc base'!D$14=0,0,MIN(W359,MAX(0,$E359-SUMPRODUCT($V359:$AG359,'Calc base'!$C$14:$N$14,('Calc base'!$H359:$S359&gt;'Calc base'!I359)+('Calc base'!$H359:$S359='Calc base'!I359)*('Calc base'!$C$17:$N$17&lt;'Calc base'!D$17)))))</f>
        <v>0</v>
      </c>
      <c r="AJ359">
        <f>IF('Calc base'!E$14=0,0,MIN(X359,MAX(0,$E359-SUMPRODUCT($V359:$AG359,'Calc base'!$C$14:$N$14,('Calc base'!$H359:$S359&gt;'Calc base'!J359)+('Calc base'!$H359:$S359='Calc base'!J359)*('Calc base'!$C$17:$N$17&lt;'Calc base'!E$17)))))</f>
        <v>0</v>
      </c>
      <c r="AK359">
        <f>IF('Calc base'!F$14=0,0,MIN(Y359,MAX(0,$E359-SUMPRODUCT($V359:$AG359,'Calc base'!$C$14:$N$14,('Calc base'!$H359:$S359&gt;'Calc base'!K359)+('Calc base'!$H359:$S359='Calc base'!K359)*('Calc base'!$C$17:$N$17&lt;'Calc base'!F$17)))))</f>
        <v>0</v>
      </c>
      <c r="AL359">
        <f>IF('Calc base'!G$14=0,0,MIN(Z359,MAX(0,$E359-SUMPRODUCT($V359:$AG359,'Calc base'!$C$14:$N$14,('Calc base'!$H359:$S359&gt;'Calc base'!L359)+('Calc base'!$H359:$S359='Calc base'!L359)*('Calc base'!$C$17:$N$17&lt;'Calc base'!G$17)))))</f>
        <v>0</v>
      </c>
      <c r="AM359">
        <f>IF('Calc base'!H$14=0,0,MIN(AA359,MAX(0,$E359-SUMPRODUCT($V359:$AG359,'Calc base'!$C$14:$N$14,('Calc base'!$H359:$S359&gt;'Calc base'!M359)+('Calc base'!$H359:$S359='Calc base'!M359)*('Calc base'!$C$17:$N$17&lt;'Calc base'!H$17)))))</f>
        <v>0</v>
      </c>
      <c r="AN359">
        <f>IF('Calc base'!I$14=0,0,MIN(AB359,MAX(0,$E359-SUMPRODUCT($V359:$AG359,'Calc base'!$C$14:$N$14,('Calc base'!$H359:$S359&gt;'Calc base'!N359)+('Calc base'!$H359:$S359='Calc base'!N359)*('Calc base'!$C$17:$N$17&lt;'Calc base'!I$17)))))</f>
        <v>0</v>
      </c>
      <c r="AO359">
        <f>IF('Calc base'!J$14=0,0,MIN(AC359,MAX(0,$E359-SUMPRODUCT($V359:$AG359,'Calc base'!$C$14:$N$14,('Calc base'!$H359:$S359&gt;'Calc base'!O359)+('Calc base'!$H359:$S359='Calc base'!O359)*('Calc base'!$C$17:$N$17&lt;'Calc base'!J$17)))))</f>
        <v>0</v>
      </c>
      <c r="AP359">
        <f>IF('Calc base'!K$14=0,0,MIN(AD359,MAX(0,$E359-SUMPRODUCT($V359:$AG359,'Calc base'!$C$14:$N$14,('Calc base'!$H359:$S359&gt;'Calc base'!P359)+('Calc base'!$H359:$S359='Calc base'!P359)*('Calc base'!$C$17:$N$17&lt;'Calc base'!K$17)))))</f>
        <v>0</v>
      </c>
      <c r="AQ359">
        <f>IF('Calc base'!L$14=0,0,MIN(AE359,MAX(0,$E359-SUMPRODUCT($V359:$AG359,'Calc base'!$C$14:$N$14,('Calc base'!$H359:$S359&gt;'Calc base'!Q359)+('Calc base'!$H359:$S359='Calc base'!Q359)*('Calc base'!$C$17:$N$17&lt;'Calc base'!L$17)))))</f>
        <v>0</v>
      </c>
      <c r="AR359">
        <f>IF('Calc base'!M$14=0,0,MIN(AF359,MAX(0,$E359-SUMPRODUCT($V359:$AG359,'Calc base'!$C$14:$N$14,('Calc base'!$H359:$S359&gt;'Calc base'!R359)+('Calc base'!$H359:$S359='Calc base'!R359)*('Calc base'!$C$17:$N$17&lt;'Calc base'!M$17)))))</f>
        <v>0</v>
      </c>
      <c r="AS359">
        <f>IF('Calc base'!N$14=0,0,MIN(AG359,MAX(0,$E359-SUMPRODUCT($V359:$AG359,'Calc base'!$C$14:$N$14,('Calc base'!$H359:$S359&gt;'Calc base'!S359)+('Calc base'!$H359:$S359='Calc base'!S359)*('Calc base'!$C$17:$N$17&lt;'Calc base'!N$17)))))</f>
        <v>0</v>
      </c>
      <c r="AT359">
        <f>V359-AH359</f>
        <v>0</v>
      </c>
      <c r="AU359">
        <f>W359-AI359</f>
        <v>0</v>
      </c>
      <c r="AV359">
        <f>X359-AJ359</f>
        <v>0</v>
      </c>
      <c r="AW359">
        <f>Y359-AK359</f>
        <v>0</v>
      </c>
      <c r="AX359">
        <f>Z359-AL359</f>
        <v>0</v>
      </c>
      <c r="AY359">
        <f>AA359-AM359</f>
        <v>0</v>
      </c>
      <c r="AZ359">
        <f>AB359-AN359</f>
        <v>0</v>
      </c>
      <c r="BA359">
        <f>AC359-AO359</f>
        <v>0</v>
      </c>
      <c r="BB359">
        <f>AD359-AP359</f>
        <v>0</v>
      </c>
      <c r="BC359">
        <f>AE359-AQ359</f>
        <v>0</v>
      </c>
      <c r="BD359">
        <f>AF359-AR359</f>
        <v>0</v>
      </c>
      <c r="BE359">
        <f>AG359-AS359</f>
        <v>0</v>
      </c>
    </row>
    <row r="360">
      <c r="A360" t="n">
        <v>330</v>
      </c>
      <c r="B360">
        <f>SUMPRODUCT(ROUND($AT359:$BE359*(1+'Calc base'!$H360:$S360),2))</f>
        <v>0</v>
      </c>
      <c r="C360">
        <f>SUM(J360:U360)</f>
        <v>0</v>
      </c>
      <c r="D360">
        <f>SUM(V360:AG360)</f>
        <v>0</v>
      </c>
      <c r="E360">
        <f>MAX(0,IF(Impostazioni!$B$7="No",'Calc base'!$C360-$C$31,'Calc base'!$C360-C360)+'Calc base'!$G360+'Calc base'!$F360-(B360-C360-D360))</f>
        <v>900</v>
      </c>
      <c r="F360">
        <f>SUM(AH360:AS360)</f>
        <v>0</v>
      </c>
      <c r="G360">
        <f>SUM(AT360:BE360)</f>
        <v>0</v>
      </c>
      <c r="H360">
        <f>B360-G359</f>
        <v>0</v>
      </c>
      <c r="I360">
        <f>B360-G360</f>
        <v>0</v>
      </c>
      <c r="J360">
        <f>IF(AT359&lt;=0,0,IF(ROUND(AT359*(1+'Calc base'!H360),2)-MAX('Calc base'!C$12,ROUND('Calc base'!C$13*AT359,2))&lt;1,ROUND(AT359*(1+'Calc base'!H360),2),MAX('Calc base'!C$12,ROUND('Calc base'!C$13*AT359,2))))</f>
        <v>0</v>
      </c>
      <c r="K360">
        <f>IF(AU359&lt;=0,0,IF(ROUND(AU359*(1+'Calc base'!I360),2)-MAX('Calc base'!D$12,ROUND('Calc base'!D$13*AU359,2))&lt;1,ROUND(AU359*(1+'Calc base'!I360),2),MAX('Calc base'!D$12,ROUND('Calc base'!D$13*AU359,2))))</f>
        <v>0</v>
      </c>
      <c r="L360">
        <f>IF(AV359&lt;=0,0,IF(ROUND(AV359*(1+'Calc base'!J360),2)-MAX('Calc base'!E$12,ROUND('Calc base'!E$13*AV359,2))&lt;1,ROUND(AV359*(1+'Calc base'!J360),2),MAX('Calc base'!E$12,ROUND('Calc base'!E$13*AV359,2))))</f>
        <v>0</v>
      </c>
      <c r="M360">
        <f>IF(AW359&lt;=0,0,IF(ROUND(AW359*(1+'Calc base'!K360),2)-MAX('Calc base'!F$12,ROUND('Calc base'!F$13*AW359,2))&lt;1,ROUND(AW359*(1+'Calc base'!K360),2),MAX('Calc base'!F$12,ROUND('Calc base'!F$13*AW359,2))))</f>
        <v>0</v>
      </c>
      <c r="N360">
        <f>IF(AX359&lt;=0,0,IF(ROUND(AX359*(1+'Calc base'!L360),2)-MAX('Calc base'!G$12,ROUND('Calc base'!G$13*AX359,2))&lt;1,ROUND(AX359*(1+'Calc base'!L360),2),MAX('Calc base'!G$12,ROUND('Calc base'!G$13*AX359,2))))</f>
        <v>0</v>
      </c>
      <c r="O360">
        <f>IF(AY359&lt;=0,0,IF(ROUND(AY359*(1+'Calc base'!M360),2)-MAX('Calc base'!H$12,ROUND('Calc base'!H$13*AY359,2))&lt;1,ROUND(AY359*(1+'Calc base'!M360),2),MAX('Calc base'!H$12,ROUND('Calc base'!H$13*AY359,2))))</f>
        <v>0</v>
      </c>
      <c r="P360">
        <f>IF(AZ359&lt;=0,0,IF(ROUND(AZ359*(1+'Calc base'!N360),2)-MAX('Calc base'!I$12,ROUND('Calc base'!I$13*AZ359,2))&lt;1,ROUND(AZ359*(1+'Calc base'!N360),2),MAX('Calc base'!I$12,ROUND('Calc base'!I$13*AZ359,2))))</f>
        <v>0</v>
      </c>
      <c r="Q360">
        <f>IF(BA359&lt;=0,0,IF(ROUND(BA359*(1+'Calc base'!O360),2)-MAX('Calc base'!J$12,ROUND('Calc base'!J$13*BA359,2))&lt;1,ROUND(BA359*(1+'Calc base'!O360),2),MAX('Calc base'!J$12,ROUND('Calc base'!J$13*BA359,2))))</f>
        <v>0</v>
      </c>
      <c r="R360">
        <f>IF(BB359&lt;=0,0,IF(ROUND(BB359*(1+'Calc base'!P360),2)-MAX('Calc base'!K$12,ROUND('Calc base'!K$13*BB359,2))&lt;1,ROUND(BB359*(1+'Calc base'!P360),2),MAX('Calc base'!K$12,ROUND('Calc base'!K$13*BB359,2))))</f>
        <v>0</v>
      </c>
      <c r="S360">
        <f>IF(BC359&lt;=0,0,IF(ROUND(BC359*(1+'Calc base'!Q360),2)-MAX('Calc base'!L$12,ROUND('Calc base'!L$13*BC359,2))&lt;1,ROUND(BC359*(1+'Calc base'!Q360),2),MAX('Calc base'!L$12,ROUND('Calc base'!L$13*BC359,2))))</f>
        <v>0</v>
      </c>
      <c r="T360">
        <f>IF(BD359&lt;=0,0,IF(ROUND(BD359*(1+'Calc base'!R360),2)-MAX('Calc base'!M$12,ROUND('Calc base'!M$13*BD359,2))&lt;1,ROUND(BD359*(1+'Calc base'!R360),2),MAX('Calc base'!M$12,ROUND('Calc base'!M$13*BD359,2))))</f>
        <v>0</v>
      </c>
      <c r="U360">
        <f>IF(BE359&lt;=0,0,IF(ROUND(BE359*(1+'Calc base'!S360),2)-MAX('Calc base'!N$12,ROUND('Calc base'!N$13*BE359,2))&lt;1,ROUND(BE359*(1+'Calc base'!S360),2),MAX('Calc base'!N$12,ROUND('Calc base'!N$13*BE359,2))))</f>
        <v>0</v>
      </c>
      <c r="V360">
        <f>MAX(0,ROUND(AT359*(1+'Calc base'!H360),2)-J360-'Calc base'!T360)</f>
        <v>0</v>
      </c>
      <c r="W360">
        <f>MAX(0,ROUND(AU359*(1+'Calc base'!I360),2)-K360-'Calc base'!U360)</f>
        <v>0</v>
      </c>
      <c r="X360">
        <f>MAX(0,ROUND(AV359*(1+'Calc base'!J360),2)-L360-'Calc base'!V360)</f>
        <v>0</v>
      </c>
      <c r="Y360">
        <f>MAX(0,ROUND(AW359*(1+'Calc base'!K360),2)-M360-'Calc base'!W360)</f>
        <v>0</v>
      </c>
      <c r="Z360">
        <f>MAX(0,ROUND(AX359*(1+'Calc base'!L360),2)-N360-'Calc base'!X360)</f>
        <v>0</v>
      </c>
      <c r="AA360">
        <f>MAX(0,ROUND(AY359*(1+'Calc base'!M360),2)-O360-'Calc base'!Y360)</f>
        <v>0</v>
      </c>
      <c r="AB360">
        <f>MAX(0,ROUND(AZ359*(1+'Calc base'!N360),2)-P360-'Calc base'!Z360)</f>
        <v>0</v>
      </c>
      <c r="AC360">
        <f>MAX(0,ROUND(BA359*(1+'Calc base'!O360),2)-Q360-'Calc base'!AA360)</f>
        <v>0</v>
      </c>
      <c r="AD360">
        <f>MAX(0,ROUND(BB359*(1+'Calc base'!P360),2)-R360-'Calc base'!AB360)</f>
        <v>0</v>
      </c>
      <c r="AE360">
        <f>MAX(0,ROUND(BC359*(1+'Calc base'!Q360),2)-S360-'Calc base'!AC360)</f>
        <v>0</v>
      </c>
      <c r="AF360">
        <f>MAX(0,ROUND(BD359*(1+'Calc base'!R360),2)-T360-'Calc base'!AD360)</f>
        <v>0</v>
      </c>
      <c r="AG360">
        <f>MAX(0,ROUND(BE359*(1+'Calc base'!S360),2)-U360-'Calc base'!AE360)</f>
        <v>0</v>
      </c>
      <c r="AH360">
        <f>IF('Calc base'!C$14=0,0,MIN(V360,MAX(0,$E360-SUMPRODUCT($V360:$AG360,'Calc base'!$C$14:$N$14,('Calc base'!$H360:$S360&gt;'Calc base'!H360)+('Calc base'!$H360:$S360='Calc base'!H360)*('Calc base'!$C$17:$N$17&lt;'Calc base'!C$17)))))</f>
        <v>0</v>
      </c>
      <c r="AI360">
        <f>IF('Calc base'!D$14=0,0,MIN(W360,MAX(0,$E360-SUMPRODUCT($V360:$AG360,'Calc base'!$C$14:$N$14,('Calc base'!$H360:$S360&gt;'Calc base'!I360)+('Calc base'!$H360:$S360='Calc base'!I360)*('Calc base'!$C$17:$N$17&lt;'Calc base'!D$17)))))</f>
        <v>0</v>
      </c>
      <c r="AJ360">
        <f>IF('Calc base'!E$14=0,0,MIN(X360,MAX(0,$E360-SUMPRODUCT($V360:$AG360,'Calc base'!$C$14:$N$14,('Calc base'!$H360:$S360&gt;'Calc base'!J360)+('Calc base'!$H360:$S360='Calc base'!J360)*('Calc base'!$C$17:$N$17&lt;'Calc base'!E$17)))))</f>
        <v>0</v>
      </c>
      <c r="AK360">
        <f>IF('Calc base'!F$14=0,0,MIN(Y360,MAX(0,$E360-SUMPRODUCT($V360:$AG360,'Calc base'!$C$14:$N$14,('Calc base'!$H360:$S360&gt;'Calc base'!K360)+('Calc base'!$H360:$S360='Calc base'!K360)*('Calc base'!$C$17:$N$17&lt;'Calc base'!F$17)))))</f>
        <v>0</v>
      </c>
      <c r="AL360">
        <f>IF('Calc base'!G$14=0,0,MIN(Z360,MAX(0,$E360-SUMPRODUCT($V360:$AG360,'Calc base'!$C$14:$N$14,('Calc base'!$H360:$S360&gt;'Calc base'!L360)+('Calc base'!$H360:$S360='Calc base'!L360)*('Calc base'!$C$17:$N$17&lt;'Calc base'!G$17)))))</f>
        <v>0</v>
      </c>
      <c r="AM360">
        <f>IF('Calc base'!H$14=0,0,MIN(AA360,MAX(0,$E360-SUMPRODUCT($V360:$AG360,'Calc base'!$C$14:$N$14,('Calc base'!$H360:$S360&gt;'Calc base'!M360)+('Calc base'!$H360:$S360='Calc base'!M360)*('Calc base'!$C$17:$N$17&lt;'Calc base'!H$17)))))</f>
        <v>0</v>
      </c>
      <c r="AN360">
        <f>IF('Calc base'!I$14=0,0,MIN(AB360,MAX(0,$E360-SUMPRODUCT($V360:$AG360,'Calc base'!$C$14:$N$14,('Calc base'!$H360:$S360&gt;'Calc base'!N360)+('Calc base'!$H360:$S360='Calc base'!N360)*('Calc base'!$C$17:$N$17&lt;'Calc base'!I$17)))))</f>
        <v>0</v>
      </c>
      <c r="AO360">
        <f>IF('Calc base'!J$14=0,0,MIN(AC360,MAX(0,$E360-SUMPRODUCT($V360:$AG360,'Calc base'!$C$14:$N$14,('Calc base'!$H360:$S360&gt;'Calc base'!O360)+('Calc base'!$H360:$S360='Calc base'!O360)*('Calc base'!$C$17:$N$17&lt;'Calc base'!J$17)))))</f>
        <v>0</v>
      </c>
      <c r="AP360">
        <f>IF('Calc base'!K$14=0,0,MIN(AD360,MAX(0,$E360-SUMPRODUCT($V360:$AG360,'Calc base'!$C$14:$N$14,('Calc base'!$H360:$S360&gt;'Calc base'!P360)+('Calc base'!$H360:$S360='Calc base'!P360)*('Calc base'!$C$17:$N$17&lt;'Calc base'!K$17)))))</f>
        <v>0</v>
      </c>
      <c r="AQ360">
        <f>IF('Calc base'!L$14=0,0,MIN(AE360,MAX(0,$E360-SUMPRODUCT($V360:$AG360,'Calc base'!$C$14:$N$14,('Calc base'!$H360:$S360&gt;'Calc base'!Q360)+('Calc base'!$H360:$S360='Calc base'!Q360)*('Calc base'!$C$17:$N$17&lt;'Calc base'!L$17)))))</f>
        <v>0</v>
      </c>
      <c r="AR360">
        <f>IF('Calc base'!M$14=0,0,MIN(AF360,MAX(0,$E360-SUMPRODUCT($V360:$AG360,'Calc base'!$C$14:$N$14,('Calc base'!$H360:$S360&gt;'Calc base'!R360)+('Calc base'!$H360:$S360='Calc base'!R360)*('Calc base'!$C$17:$N$17&lt;'Calc base'!M$17)))))</f>
        <v>0</v>
      </c>
      <c r="AS360">
        <f>IF('Calc base'!N$14=0,0,MIN(AG360,MAX(0,$E360-SUMPRODUCT($V360:$AG360,'Calc base'!$C$14:$N$14,('Calc base'!$H360:$S360&gt;'Calc base'!S360)+('Calc base'!$H360:$S360='Calc base'!S360)*('Calc base'!$C$17:$N$17&lt;'Calc base'!N$17)))))</f>
        <v>0</v>
      </c>
      <c r="AT360">
        <f>V360-AH360</f>
        <v>0</v>
      </c>
      <c r="AU360">
        <f>W360-AI360</f>
        <v>0</v>
      </c>
      <c r="AV360">
        <f>X360-AJ360</f>
        <v>0</v>
      </c>
      <c r="AW360">
        <f>Y360-AK360</f>
        <v>0</v>
      </c>
      <c r="AX360">
        <f>Z360-AL360</f>
        <v>0</v>
      </c>
      <c r="AY360">
        <f>AA360-AM360</f>
        <v>0</v>
      </c>
      <c r="AZ360">
        <f>AB360-AN360</f>
        <v>0</v>
      </c>
      <c r="BA360">
        <f>AC360-AO360</f>
        <v>0</v>
      </c>
      <c r="BB360">
        <f>AD360-AP360</f>
        <v>0</v>
      </c>
      <c r="BC360">
        <f>AE360-AQ360</f>
        <v>0</v>
      </c>
      <c r="BD360">
        <f>AF360-AR360</f>
        <v>0</v>
      </c>
      <c r="BE360">
        <f>AG360-AS360</f>
        <v>0</v>
      </c>
    </row>
    <row r="361">
      <c r="A361" t="n">
        <v>331</v>
      </c>
      <c r="B361">
        <f>SUMPRODUCT(ROUND($AT360:$BE360*(1+'Calc base'!$H361:$S361),2))</f>
        <v>0</v>
      </c>
      <c r="C361">
        <f>SUM(J361:U361)</f>
        <v>0</v>
      </c>
      <c r="D361">
        <f>SUM(V361:AG361)</f>
        <v>0</v>
      </c>
      <c r="E361">
        <f>MAX(0,IF(Impostazioni!$B$7="No",'Calc base'!$C361-$C$31,'Calc base'!$C361-C361)+'Calc base'!$G361+'Calc base'!$F361-(B361-C361-D361))</f>
        <v>900</v>
      </c>
      <c r="F361">
        <f>SUM(AH361:AS361)</f>
        <v>0</v>
      </c>
      <c r="G361">
        <f>SUM(AT361:BE361)</f>
        <v>0</v>
      </c>
      <c r="H361">
        <f>B361-G360</f>
        <v>0</v>
      </c>
      <c r="I361">
        <f>B361-G361</f>
        <v>0</v>
      </c>
      <c r="J361">
        <f>IF(AT360&lt;=0,0,IF(ROUND(AT360*(1+'Calc base'!H361),2)-MAX('Calc base'!C$12,ROUND('Calc base'!C$13*AT360,2))&lt;1,ROUND(AT360*(1+'Calc base'!H361),2),MAX('Calc base'!C$12,ROUND('Calc base'!C$13*AT360,2))))</f>
        <v>0</v>
      </c>
      <c r="K361">
        <f>IF(AU360&lt;=0,0,IF(ROUND(AU360*(1+'Calc base'!I361),2)-MAX('Calc base'!D$12,ROUND('Calc base'!D$13*AU360,2))&lt;1,ROUND(AU360*(1+'Calc base'!I361),2),MAX('Calc base'!D$12,ROUND('Calc base'!D$13*AU360,2))))</f>
        <v>0</v>
      </c>
      <c r="L361">
        <f>IF(AV360&lt;=0,0,IF(ROUND(AV360*(1+'Calc base'!J361),2)-MAX('Calc base'!E$12,ROUND('Calc base'!E$13*AV360,2))&lt;1,ROUND(AV360*(1+'Calc base'!J361),2),MAX('Calc base'!E$12,ROUND('Calc base'!E$13*AV360,2))))</f>
        <v>0</v>
      </c>
      <c r="M361">
        <f>IF(AW360&lt;=0,0,IF(ROUND(AW360*(1+'Calc base'!K361),2)-MAX('Calc base'!F$12,ROUND('Calc base'!F$13*AW360,2))&lt;1,ROUND(AW360*(1+'Calc base'!K361),2),MAX('Calc base'!F$12,ROUND('Calc base'!F$13*AW360,2))))</f>
        <v>0</v>
      </c>
      <c r="N361">
        <f>IF(AX360&lt;=0,0,IF(ROUND(AX360*(1+'Calc base'!L361),2)-MAX('Calc base'!G$12,ROUND('Calc base'!G$13*AX360,2))&lt;1,ROUND(AX360*(1+'Calc base'!L361),2),MAX('Calc base'!G$12,ROUND('Calc base'!G$13*AX360,2))))</f>
        <v>0</v>
      </c>
      <c r="O361">
        <f>IF(AY360&lt;=0,0,IF(ROUND(AY360*(1+'Calc base'!M361),2)-MAX('Calc base'!H$12,ROUND('Calc base'!H$13*AY360,2))&lt;1,ROUND(AY360*(1+'Calc base'!M361),2),MAX('Calc base'!H$12,ROUND('Calc base'!H$13*AY360,2))))</f>
        <v>0</v>
      </c>
      <c r="P361">
        <f>IF(AZ360&lt;=0,0,IF(ROUND(AZ360*(1+'Calc base'!N361),2)-MAX('Calc base'!I$12,ROUND('Calc base'!I$13*AZ360,2))&lt;1,ROUND(AZ360*(1+'Calc base'!N361),2),MAX('Calc base'!I$12,ROUND('Calc base'!I$13*AZ360,2))))</f>
        <v>0</v>
      </c>
      <c r="Q361">
        <f>IF(BA360&lt;=0,0,IF(ROUND(BA360*(1+'Calc base'!O361),2)-MAX('Calc base'!J$12,ROUND('Calc base'!J$13*BA360,2))&lt;1,ROUND(BA360*(1+'Calc base'!O361),2),MAX('Calc base'!J$12,ROUND('Calc base'!J$13*BA360,2))))</f>
        <v>0</v>
      </c>
      <c r="R361">
        <f>IF(BB360&lt;=0,0,IF(ROUND(BB360*(1+'Calc base'!P361),2)-MAX('Calc base'!K$12,ROUND('Calc base'!K$13*BB360,2))&lt;1,ROUND(BB360*(1+'Calc base'!P361),2),MAX('Calc base'!K$12,ROUND('Calc base'!K$13*BB360,2))))</f>
        <v>0</v>
      </c>
      <c r="S361">
        <f>IF(BC360&lt;=0,0,IF(ROUND(BC360*(1+'Calc base'!Q361),2)-MAX('Calc base'!L$12,ROUND('Calc base'!L$13*BC360,2))&lt;1,ROUND(BC360*(1+'Calc base'!Q361),2),MAX('Calc base'!L$12,ROUND('Calc base'!L$13*BC360,2))))</f>
        <v>0</v>
      </c>
      <c r="T361">
        <f>IF(BD360&lt;=0,0,IF(ROUND(BD360*(1+'Calc base'!R361),2)-MAX('Calc base'!M$12,ROUND('Calc base'!M$13*BD360,2))&lt;1,ROUND(BD360*(1+'Calc base'!R361),2),MAX('Calc base'!M$12,ROUND('Calc base'!M$13*BD360,2))))</f>
        <v>0</v>
      </c>
      <c r="U361">
        <f>IF(BE360&lt;=0,0,IF(ROUND(BE360*(1+'Calc base'!S361),2)-MAX('Calc base'!N$12,ROUND('Calc base'!N$13*BE360,2))&lt;1,ROUND(BE360*(1+'Calc base'!S361),2),MAX('Calc base'!N$12,ROUND('Calc base'!N$13*BE360,2))))</f>
        <v>0</v>
      </c>
      <c r="V361">
        <f>MAX(0,ROUND(AT360*(1+'Calc base'!H361),2)-J361-'Calc base'!T361)</f>
        <v>0</v>
      </c>
      <c r="W361">
        <f>MAX(0,ROUND(AU360*(1+'Calc base'!I361),2)-K361-'Calc base'!U361)</f>
        <v>0</v>
      </c>
      <c r="X361">
        <f>MAX(0,ROUND(AV360*(1+'Calc base'!J361),2)-L361-'Calc base'!V361)</f>
        <v>0</v>
      </c>
      <c r="Y361">
        <f>MAX(0,ROUND(AW360*(1+'Calc base'!K361),2)-M361-'Calc base'!W361)</f>
        <v>0</v>
      </c>
      <c r="Z361">
        <f>MAX(0,ROUND(AX360*(1+'Calc base'!L361),2)-N361-'Calc base'!X361)</f>
        <v>0</v>
      </c>
      <c r="AA361">
        <f>MAX(0,ROUND(AY360*(1+'Calc base'!M361),2)-O361-'Calc base'!Y361)</f>
        <v>0</v>
      </c>
      <c r="AB361">
        <f>MAX(0,ROUND(AZ360*(1+'Calc base'!N361),2)-P361-'Calc base'!Z361)</f>
        <v>0</v>
      </c>
      <c r="AC361">
        <f>MAX(0,ROUND(BA360*(1+'Calc base'!O361),2)-Q361-'Calc base'!AA361)</f>
        <v>0</v>
      </c>
      <c r="AD361">
        <f>MAX(0,ROUND(BB360*(1+'Calc base'!P361),2)-R361-'Calc base'!AB361)</f>
        <v>0</v>
      </c>
      <c r="AE361">
        <f>MAX(0,ROUND(BC360*(1+'Calc base'!Q361),2)-S361-'Calc base'!AC361)</f>
        <v>0</v>
      </c>
      <c r="AF361">
        <f>MAX(0,ROUND(BD360*(1+'Calc base'!R361),2)-T361-'Calc base'!AD361)</f>
        <v>0</v>
      </c>
      <c r="AG361">
        <f>MAX(0,ROUND(BE360*(1+'Calc base'!S361),2)-U361-'Calc base'!AE361)</f>
        <v>0</v>
      </c>
      <c r="AH361">
        <f>IF('Calc base'!C$14=0,0,MIN(V361,MAX(0,$E361-SUMPRODUCT($V361:$AG361,'Calc base'!$C$14:$N$14,('Calc base'!$H361:$S361&gt;'Calc base'!H361)+('Calc base'!$H361:$S361='Calc base'!H361)*('Calc base'!$C$17:$N$17&lt;'Calc base'!C$17)))))</f>
        <v>0</v>
      </c>
      <c r="AI361">
        <f>IF('Calc base'!D$14=0,0,MIN(W361,MAX(0,$E361-SUMPRODUCT($V361:$AG361,'Calc base'!$C$14:$N$14,('Calc base'!$H361:$S361&gt;'Calc base'!I361)+('Calc base'!$H361:$S361='Calc base'!I361)*('Calc base'!$C$17:$N$17&lt;'Calc base'!D$17)))))</f>
        <v>0</v>
      </c>
      <c r="AJ361">
        <f>IF('Calc base'!E$14=0,0,MIN(X361,MAX(0,$E361-SUMPRODUCT($V361:$AG361,'Calc base'!$C$14:$N$14,('Calc base'!$H361:$S361&gt;'Calc base'!J361)+('Calc base'!$H361:$S361='Calc base'!J361)*('Calc base'!$C$17:$N$17&lt;'Calc base'!E$17)))))</f>
        <v>0</v>
      </c>
      <c r="AK361">
        <f>IF('Calc base'!F$14=0,0,MIN(Y361,MAX(0,$E361-SUMPRODUCT($V361:$AG361,'Calc base'!$C$14:$N$14,('Calc base'!$H361:$S361&gt;'Calc base'!K361)+('Calc base'!$H361:$S361='Calc base'!K361)*('Calc base'!$C$17:$N$17&lt;'Calc base'!F$17)))))</f>
        <v>0</v>
      </c>
      <c r="AL361">
        <f>IF('Calc base'!G$14=0,0,MIN(Z361,MAX(0,$E361-SUMPRODUCT($V361:$AG361,'Calc base'!$C$14:$N$14,('Calc base'!$H361:$S361&gt;'Calc base'!L361)+('Calc base'!$H361:$S361='Calc base'!L361)*('Calc base'!$C$17:$N$17&lt;'Calc base'!G$17)))))</f>
        <v>0</v>
      </c>
      <c r="AM361">
        <f>IF('Calc base'!H$14=0,0,MIN(AA361,MAX(0,$E361-SUMPRODUCT($V361:$AG361,'Calc base'!$C$14:$N$14,('Calc base'!$H361:$S361&gt;'Calc base'!M361)+('Calc base'!$H361:$S361='Calc base'!M361)*('Calc base'!$C$17:$N$17&lt;'Calc base'!H$17)))))</f>
        <v>0</v>
      </c>
      <c r="AN361">
        <f>IF('Calc base'!I$14=0,0,MIN(AB361,MAX(0,$E361-SUMPRODUCT($V361:$AG361,'Calc base'!$C$14:$N$14,('Calc base'!$H361:$S361&gt;'Calc base'!N361)+('Calc base'!$H361:$S361='Calc base'!N361)*('Calc base'!$C$17:$N$17&lt;'Calc base'!I$17)))))</f>
        <v>0</v>
      </c>
      <c r="AO361">
        <f>IF('Calc base'!J$14=0,0,MIN(AC361,MAX(0,$E361-SUMPRODUCT($V361:$AG361,'Calc base'!$C$14:$N$14,('Calc base'!$H361:$S361&gt;'Calc base'!O361)+('Calc base'!$H361:$S361='Calc base'!O361)*('Calc base'!$C$17:$N$17&lt;'Calc base'!J$17)))))</f>
        <v>0</v>
      </c>
      <c r="AP361">
        <f>IF('Calc base'!K$14=0,0,MIN(AD361,MAX(0,$E361-SUMPRODUCT($V361:$AG361,'Calc base'!$C$14:$N$14,('Calc base'!$H361:$S361&gt;'Calc base'!P361)+('Calc base'!$H361:$S361='Calc base'!P361)*('Calc base'!$C$17:$N$17&lt;'Calc base'!K$17)))))</f>
        <v>0</v>
      </c>
      <c r="AQ361">
        <f>IF('Calc base'!L$14=0,0,MIN(AE361,MAX(0,$E361-SUMPRODUCT($V361:$AG361,'Calc base'!$C$14:$N$14,('Calc base'!$H361:$S361&gt;'Calc base'!Q361)+('Calc base'!$H361:$S361='Calc base'!Q361)*('Calc base'!$C$17:$N$17&lt;'Calc base'!L$17)))))</f>
        <v>0</v>
      </c>
      <c r="AR361">
        <f>IF('Calc base'!M$14=0,0,MIN(AF361,MAX(0,$E361-SUMPRODUCT($V361:$AG361,'Calc base'!$C$14:$N$14,('Calc base'!$H361:$S361&gt;'Calc base'!R361)+('Calc base'!$H361:$S361='Calc base'!R361)*('Calc base'!$C$17:$N$17&lt;'Calc base'!M$17)))))</f>
        <v>0</v>
      </c>
      <c r="AS361">
        <f>IF('Calc base'!N$14=0,0,MIN(AG361,MAX(0,$E361-SUMPRODUCT($V361:$AG361,'Calc base'!$C$14:$N$14,('Calc base'!$H361:$S361&gt;'Calc base'!S361)+('Calc base'!$H361:$S361='Calc base'!S361)*('Calc base'!$C$17:$N$17&lt;'Calc base'!N$17)))))</f>
        <v>0</v>
      </c>
      <c r="AT361">
        <f>V361-AH361</f>
        <v>0</v>
      </c>
      <c r="AU361">
        <f>W361-AI361</f>
        <v>0</v>
      </c>
      <c r="AV361">
        <f>X361-AJ361</f>
        <v>0</v>
      </c>
      <c r="AW361">
        <f>Y361-AK361</f>
        <v>0</v>
      </c>
      <c r="AX361">
        <f>Z361-AL361</f>
        <v>0</v>
      </c>
      <c r="AY361">
        <f>AA361-AM361</f>
        <v>0</v>
      </c>
      <c r="AZ361">
        <f>AB361-AN361</f>
        <v>0</v>
      </c>
      <c r="BA361">
        <f>AC361-AO361</f>
        <v>0</v>
      </c>
      <c r="BB361">
        <f>AD361-AP361</f>
        <v>0</v>
      </c>
      <c r="BC361">
        <f>AE361-AQ361</f>
        <v>0</v>
      </c>
      <c r="BD361">
        <f>AF361-AR361</f>
        <v>0</v>
      </c>
      <c r="BE361">
        <f>AG361-AS361</f>
        <v>0</v>
      </c>
    </row>
    <row r="362">
      <c r="A362" t="n">
        <v>332</v>
      </c>
      <c r="B362">
        <f>SUMPRODUCT(ROUND($AT361:$BE361*(1+'Calc base'!$H362:$S362),2))</f>
        <v>0</v>
      </c>
      <c r="C362">
        <f>SUM(J362:U362)</f>
        <v>0</v>
      </c>
      <c r="D362">
        <f>SUM(V362:AG362)</f>
        <v>0</v>
      </c>
      <c r="E362">
        <f>MAX(0,IF(Impostazioni!$B$7="No",'Calc base'!$C362-$C$31,'Calc base'!$C362-C362)+'Calc base'!$G362+'Calc base'!$F362-(B362-C362-D362))</f>
        <v>900</v>
      </c>
      <c r="F362">
        <f>SUM(AH362:AS362)</f>
        <v>0</v>
      </c>
      <c r="G362">
        <f>SUM(AT362:BE362)</f>
        <v>0</v>
      </c>
      <c r="H362">
        <f>B362-G361</f>
        <v>0</v>
      </c>
      <c r="I362">
        <f>B362-G362</f>
        <v>0</v>
      </c>
      <c r="J362">
        <f>IF(AT361&lt;=0,0,IF(ROUND(AT361*(1+'Calc base'!H362),2)-MAX('Calc base'!C$12,ROUND('Calc base'!C$13*AT361,2))&lt;1,ROUND(AT361*(1+'Calc base'!H362),2),MAX('Calc base'!C$12,ROUND('Calc base'!C$13*AT361,2))))</f>
        <v>0</v>
      </c>
      <c r="K362">
        <f>IF(AU361&lt;=0,0,IF(ROUND(AU361*(1+'Calc base'!I362),2)-MAX('Calc base'!D$12,ROUND('Calc base'!D$13*AU361,2))&lt;1,ROUND(AU361*(1+'Calc base'!I362),2),MAX('Calc base'!D$12,ROUND('Calc base'!D$13*AU361,2))))</f>
        <v>0</v>
      </c>
      <c r="L362">
        <f>IF(AV361&lt;=0,0,IF(ROUND(AV361*(1+'Calc base'!J362),2)-MAX('Calc base'!E$12,ROUND('Calc base'!E$13*AV361,2))&lt;1,ROUND(AV361*(1+'Calc base'!J362),2),MAX('Calc base'!E$12,ROUND('Calc base'!E$13*AV361,2))))</f>
        <v>0</v>
      </c>
      <c r="M362">
        <f>IF(AW361&lt;=0,0,IF(ROUND(AW361*(1+'Calc base'!K362),2)-MAX('Calc base'!F$12,ROUND('Calc base'!F$13*AW361,2))&lt;1,ROUND(AW361*(1+'Calc base'!K362),2),MAX('Calc base'!F$12,ROUND('Calc base'!F$13*AW361,2))))</f>
        <v>0</v>
      </c>
      <c r="N362">
        <f>IF(AX361&lt;=0,0,IF(ROUND(AX361*(1+'Calc base'!L362),2)-MAX('Calc base'!G$12,ROUND('Calc base'!G$13*AX361,2))&lt;1,ROUND(AX361*(1+'Calc base'!L362),2),MAX('Calc base'!G$12,ROUND('Calc base'!G$13*AX361,2))))</f>
        <v>0</v>
      </c>
      <c r="O362">
        <f>IF(AY361&lt;=0,0,IF(ROUND(AY361*(1+'Calc base'!M362),2)-MAX('Calc base'!H$12,ROUND('Calc base'!H$13*AY361,2))&lt;1,ROUND(AY361*(1+'Calc base'!M362),2),MAX('Calc base'!H$12,ROUND('Calc base'!H$13*AY361,2))))</f>
        <v>0</v>
      </c>
      <c r="P362">
        <f>IF(AZ361&lt;=0,0,IF(ROUND(AZ361*(1+'Calc base'!N362),2)-MAX('Calc base'!I$12,ROUND('Calc base'!I$13*AZ361,2))&lt;1,ROUND(AZ361*(1+'Calc base'!N362),2),MAX('Calc base'!I$12,ROUND('Calc base'!I$13*AZ361,2))))</f>
        <v>0</v>
      </c>
      <c r="Q362">
        <f>IF(BA361&lt;=0,0,IF(ROUND(BA361*(1+'Calc base'!O362),2)-MAX('Calc base'!J$12,ROUND('Calc base'!J$13*BA361,2))&lt;1,ROUND(BA361*(1+'Calc base'!O362),2),MAX('Calc base'!J$12,ROUND('Calc base'!J$13*BA361,2))))</f>
        <v>0</v>
      </c>
      <c r="R362">
        <f>IF(BB361&lt;=0,0,IF(ROUND(BB361*(1+'Calc base'!P362),2)-MAX('Calc base'!K$12,ROUND('Calc base'!K$13*BB361,2))&lt;1,ROUND(BB361*(1+'Calc base'!P362),2),MAX('Calc base'!K$12,ROUND('Calc base'!K$13*BB361,2))))</f>
        <v>0</v>
      </c>
      <c r="S362">
        <f>IF(BC361&lt;=0,0,IF(ROUND(BC361*(1+'Calc base'!Q362),2)-MAX('Calc base'!L$12,ROUND('Calc base'!L$13*BC361,2))&lt;1,ROUND(BC361*(1+'Calc base'!Q362),2),MAX('Calc base'!L$12,ROUND('Calc base'!L$13*BC361,2))))</f>
        <v>0</v>
      </c>
      <c r="T362">
        <f>IF(BD361&lt;=0,0,IF(ROUND(BD361*(1+'Calc base'!R362),2)-MAX('Calc base'!M$12,ROUND('Calc base'!M$13*BD361,2))&lt;1,ROUND(BD361*(1+'Calc base'!R362),2),MAX('Calc base'!M$12,ROUND('Calc base'!M$13*BD361,2))))</f>
        <v>0</v>
      </c>
      <c r="U362">
        <f>IF(BE361&lt;=0,0,IF(ROUND(BE361*(1+'Calc base'!S362),2)-MAX('Calc base'!N$12,ROUND('Calc base'!N$13*BE361,2))&lt;1,ROUND(BE361*(1+'Calc base'!S362),2),MAX('Calc base'!N$12,ROUND('Calc base'!N$13*BE361,2))))</f>
        <v>0</v>
      </c>
      <c r="V362">
        <f>MAX(0,ROUND(AT361*(1+'Calc base'!H362),2)-J362-'Calc base'!T362)</f>
        <v>0</v>
      </c>
      <c r="W362">
        <f>MAX(0,ROUND(AU361*(1+'Calc base'!I362),2)-K362-'Calc base'!U362)</f>
        <v>0</v>
      </c>
      <c r="X362">
        <f>MAX(0,ROUND(AV361*(1+'Calc base'!J362),2)-L362-'Calc base'!V362)</f>
        <v>0</v>
      </c>
      <c r="Y362">
        <f>MAX(0,ROUND(AW361*(1+'Calc base'!K362),2)-M362-'Calc base'!W362)</f>
        <v>0</v>
      </c>
      <c r="Z362">
        <f>MAX(0,ROUND(AX361*(1+'Calc base'!L362),2)-N362-'Calc base'!X362)</f>
        <v>0</v>
      </c>
      <c r="AA362">
        <f>MAX(0,ROUND(AY361*(1+'Calc base'!M362),2)-O362-'Calc base'!Y362)</f>
        <v>0</v>
      </c>
      <c r="AB362">
        <f>MAX(0,ROUND(AZ361*(1+'Calc base'!N362),2)-P362-'Calc base'!Z362)</f>
        <v>0</v>
      </c>
      <c r="AC362">
        <f>MAX(0,ROUND(BA361*(1+'Calc base'!O362),2)-Q362-'Calc base'!AA362)</f>
        <v>0</v>
      </c>
      <c r="AD362">
        <f>MAX(0,ROUND(BB361*(1+'Calc base'!P362),2)-R362-'Calc base'!AB362)</f>
        <v>0</v>
      </c>
      <c r="AE362">
        <f>MAX(0,ROUND(BC361*(1+'Calc base'!Q362),2)-S362-'Calc base'!AC362)</f>
        <v>0</v>
      </c>
      <c r="AF362">
        <f>MAX(0,ROUND(BD361*(1+'Calc base'!R362),2)-T362-'Calc base'!AD362)</f>
        <v>0</v>
      </c>
      <c r="AG362">
        <f>MAX(0,ROUND(BE361*(1+'Calc base'!S362),2)-U362-'Calc base'!AE362)</f>
        <v>0</v>
      </c>
      <c r="AH362">
        <f>IF('Calc base'!C$14=0,0,MIN(V362,MAX(0,$E362-SUMPRODUCT($V362:$AG362,'Calc base'!$C$14:$N$14,('Calc base'!$H362:$S362&gt;'Calc base'!H362)+('Calc base'!$H362:$S362='Calc base'!H362)*('Calc base'!$C$17:$N$17&lt;'Calc base'!C$17)))))</f>
        <v>0</v>
      </c>
      <c r="AI362">
        <f>IF('Calc base'!D$14=0,0,MIN(W362,MAX(0,$E362-SUMPRODUCT($V362:$AG362,'Calc base'!$C$14:$N$14,('Calc base'!$H362:$S362&gt;'Calc base'!I362)+('Calc base'!$H362:$S362='Calc base'!I362)*('Calc base'!$C$17:$N$17&lt;'Calc base'!D$17)))))</f>
        <v>0</v>
      </c>
      <c r="AJ362">
        <f>IF('Calc base'!E$14=0,0,MIN(X362,MAX(0,$E362-SUMPRODUCT($V362:$AG362,'Calc base'!$C$14:$N$14,('Calc base'!$H362:$S362&gt;'Calc base'!J362)+('Calc base'!$H362:$S362='Calc base'!J362)*('Calc base'!$C$17:$N$17&lt;'Calc base'!E$17)))))</f>
        <v>0</v>
      </c>
      <c r="AK362">
        <f>IF('Calc base'!F$14=0,0,MIN(Y362,MAX(0,$E362-SUMPRODUCT($V362:$AG362,'Calc base'!$C$14:$N$14,('Calc base'!$H362:$S362&gt;'Calc base'!K362)+('Calc base'!$H362:$S362='Calc base'!K362)*('Calc base'!$C$17:$N$17&lt;'Calc base'!F$17)))))</f>
        <v>0</v>
      </c>
      <c r="AL362">
        <f>IF('Calc base'!G$14=0,0,MIN(Z362,MAX(0,$E362-SUMPRODUCT($V362:$AG362,'Calc base'!$C$14:$N$14,('Calc base'!$H362:$S362&gt;'Calc base'!L362)+('Calc base'!$H362:$S362='Calc base'!L362)*('Calc base'!$C$17:$N$17&lt;'Calc base'!G$17)))))</f>
        <v>0</v>
      </c>
      <c r="AM362">
        <f>IF('Calc base'!H$14=0,0,MIN(AA362,MAX(0,$E362-SUMPRODUCT($V362:$AG362,'Calc base'!$C$14:$N$14,('Calc base'!$H362:$S362&gt;'Calc base'!M362)+('Calc base'!$H362:$S362='Calc base'!M362)*('Calc base'!$C$17:$N$17&lt;'Calc base'!H$17)))))</f>
        <v>0</v>
      </c>
      <c r="AN362">
        <f>IF('Calc base'!I$14=0,0,MIN(AB362,MAX(0,$E362-SUMPRODUCT($V362:$AG362,'Calc base'!$C$14:$N$14,('Calc base'!$H362:$S362&gt;'Calc base'!N362)+('Calc base'!$H362:$S362='Calc base'!N362)*('Calc base'!$C$17:$N$17&lt;'Calc base'!I$17)))))</f>
        <v>0</v>
      </c>
      <c r="AO362">
        <f>IF('Calc base'!J$14=0,0,MIN(AC362,MAX(0,$E362-SUMPRODUCT($V362:$AG362,'Calc base'!$C$14:$N$14,('Calc base'!$H362:$S362&gt;'Calc base'!O362)+('Calc base'!$H362:$S362='Calc base'!O362)*('Calc base'!$C$17:$N$17&lt;'Calc base'!J$17)))))</f>
        <v>0</v>
      </c>
      <c r="AP362">
        <f>IF('Calc base'!K$14=0,0,MIN(AD362,MAX(0,$E362-SUMPRODUCT($V362:$AG362,'Calc base'!$C$14:$N$14,('Calc base'!$H362:$S362&gt;'Calc base'!P362)+('Calc base'!$H362:$S362='Calc base'!P362)*('Calc base'!$C$17:$N$17&lt;'Calc base'!K$17)))))</f>
        <v>0</v>
      </c>
      <c r="AQ362">
        <f>IF('Calc base'!L$14=0,0,MIN(AE362,MAX(0,$E362-SUMPRODUCT($V362:$AG362,'Calc base'!$C$14:$N$14,('Calc base'!$H362:$S362&gt;'Calc base'!Q362)+('Calc base'!$H362:$S362='Calc base'!Q362)*('Calc base'!$C$17:$N$17&lt;'Calc base'!L$17)))))</f>
        <v>0</v>
      </c>
      <c r="AR362">
        <f>IF('Calc base'!M$14=0,0,MIN(AF362,MAX(0,$E362-SUMPRODUCT($V362:$AG362,'Calc base'!$C$14:$N$14,('Calc base'!$H362:$S362&gt;'Calc base'!R362)+('Calc base'!$H362:$S362='Calc base'!R362)*('Calc base'!$C$17:$N$17&lt;'Calc base'!M$17)))))</f>
        <v>0</v>
      </c>
      <c r="AS362">
        <f>IF('Calc base'!N$14=0,0,MIN(AG362,MAX(0,$E362-SUMPRODUCT($V362:$AG362,'Calc base'!$C$14:$N$14,('Calc base'!$H362:$S362&gt;'Calc base'!S362)+('Calc base'!$H362:$S362='Calc base'!S362)*('Calc base'!$C$17:$N$17&lt;'Calc base'!N$17)))))</f>
        <v>0</v>
      </c>
      <c r="AT362">
        <f>V362-AH362</f>
        <v>0</v>
      </c>
      <c r="AU362">
        <f>W362-AI362</f>
        <v>0</v>
      </c>
      <c r="AV362">
        <f>X362-AJ362</f>
        <v>0</v>
      </c>
      <c r="AW362">
        <f>Y362-AK362</f>
        <v>0</v>
      </c>
      <c r="AX362">
        <f>Z362-AL362</f>
        <v>0</v>
      </c>
      <c r="AY362">
        <f>AA362-AM362</f>
        <v>0</v>
      </c>
      <c r="AZ362">
        <f>AB362-AN362</f>
        <v>0</v>
      </c>
      <c r="BA362">
        <f>AC362-AO362</f>
        <v>0</v>
      </c>
      <c r="BB362">
        <f>AD362-AP362</f>
        <v>0</v>
      </c>
      <c r="BC362">
        <f>AE362-AQ362</f>
        <v>0</v>
      </c>
      <c r="BD362">
        <f>AF362-AR362</f>
        <v>0</v>
      </c>
      <c r="BE362">
        <f>AG362-AS362</f>
        <v>0</v>
      </c>
    </row>
    <row r="363">
      <c r="A363" t="n">
        <v>333</v>
      </c>
      <c r="B363">
        <f>SUMPRODUCT(ROUND($AT362:$BE362*(1+'Calc base'!$H363:$S363),2))</f>
        <v>0</v>
      </c>
      <c r="C363">
        <f>SUM(J363:U363)</f>
        <v>0</v>
      </c>
      <c r="D363">
        <f>SUM(V363:AG363)</f>
        <v>0</v>
      </c>
      <c r="E363">
        <f>MAX(0,IF(Impostazioni!$B$7="No",'Calc base'!$C363-$C$31,'Calc base'!$C363-C363)+'Calc base'!$G363+'Calc base'!$F363-(B363-C363-D363))</f>
        <v>900</v>
      </c>
      <c r="F363">
        <f>SUM(AH363:AS363)</f>
        <v>0</v>
      </c>
      <c r="G363">
        <f>SUM(AT363:BE363)</f>
        <v>0</v>
      </c>
      <c r="H363">
        <f>B363-G362</f>
        <v>0</v>
      </c>
      <c r="I363">
        <f>B363-G363</f>
        <v>0</v>
      </c>
      <c r="J363">
        <f>IF(AT362&lt;=0,0,IF(ROUND(AT362*(1+'Calc base'!H363),2)-MAX('Calc base'!C$12,ROUND('Calc base'!C$13*AT362,2))&lt;1,ROUND(AT362*(1+'Calc base'!H363),2),MAX('Calc base'!C$12,ROUND('Calc base'!C$13*AT362,2))))</f>
        <v>0</v>
      </c>
      <c r="K363">
        <f>IF(AU362&lt;=0,0,IF(ROUND(AU362*(1+'Calc base'!I363),2)-MAX('Calc base'!D$12,ROUND('Calc base'!D$13*AU362,2))&lt;1,ROUND(AU362*(1+'Calc base'!I363),2),MAX('Calc base'!D$12,ROUND('Calc base'!D$13*AU362,2))))</f>
        <v>0</v>
      </c>
      <c r="L363">
        <f>IF(AV362&lt;=0,0,IF(ROUND(AV362*(1+'Calc base'!J363),2)-MAX('Calc base'!E$12,ROUND('Calc base'!E$13*AV362,2))&lt;1,ROUND(AV362*(1+'Calc base'!J363),2),MAX('Calc base'!E$12,ROUND('Calc base'!E$13*AV362,2))))</f>
        <v>0</v>
      </c>
      <c r="M363">
        <f>IF(AW362&lt;=0,0,IF(ROUND(AW362*(1+'Calc base'!K363),2)-MAX('Calc base'!F$12,ROUND('Calc base'!F$13*AW362,2))&lt;1,ROUND(AW362*(1+'Calc base'!K363),2),MAX('Calc base'!F$12,ROUND('Calc base'!F$13*AW362,2))))</f>
        <v>0</v>
      </c>
      <c r="N363">
        <f>IF(AX362&lt;=0,0,IF(ROUND(AX362*(1+'Calc base'!L363),2)-MAX('Calc base'!G$12,ROUND('Calc base'!G$13*AX362,2))&lt;1,ROUND(AX362*(1+'Calc base'!L363),2),MAX('Calc base'!G$12,ROUND('Calc base'!G$13*AX362,2))))</f>
        <v>0</v>
      </c>
      <c r="O363">
        <f>IF(AY362&lt;=0,0,IF(ROUND(AY362*(1+'Calc base'!M363),2)-MAX('Calc base'!H$12,ROUND('Calc base'!H$13*AY362,2))&lt;1,ROUND(AY362*(1+'Calc base'!M363),2),MAX('Calc base'!H$12,ROUND('Calc base'!H$13*AY362,2))))</f>
        <v>0</v>
      </c>
      <c r="P363">
        <f>IF(AZ362&lt;=0,0,IF(ROUND(AZ362*(1+'Calc base'!N363),2)-MAX('Calc base'!I$12,ROUND('Calc base'!I$13*AZ362,2))&lt;1,ROUND(AZ362*(1+'Calc base'!N363),2),MAX('Calc base'!I$12,ROUND('Calc base'!I$13*AZ362,2))))</f>
        <v>0</v>
      </c>
      <c r="Q363">
        <f>IF(BA362&lt;=0,0,IF(ROUND(BA362*(1+'Calc base'!O363),2)-MAX('Calc base'!J$12,ROUND('Calc base'!J$13*BA362,2))&lt;1,ROUND(BA362*(1+'Calc base'!O363),2),MAX('Calc base'!J$12,ROUND('Calc base'!J$13*BA362,2))))</f>
        <v>0</v>
      </c>
      <c r="R363">
        <f>IF(BB362&lt;=0,0,IF(ROUND(BB362*(1+'Calc base'!P363),2)-MAX('Calc base'!K$12,ROUND('Calc base'!K$13*BB362,2))&lt;1,ROUND(BB362*(1+'Calc base'!P363),2),MAX('Calc base'!K$12,ROUND('Calc base'!K$13*BB362,2))))</f>
        <v>0</v>
      </c>
      <c r="S363">
        <f>IF(BC362&lt;=0,0,IF(ROUND(BC362*(1+'Calc base'!Q363),2)-MAX('Calc base'!L$12,ROUND('Calc base'!L$13*BC362,2))&lt;1,ROUND(BC362*(1+'Calc base'!Q363),2),MAX('Calc base'!L$12,ROUND('Calc base'!L$13*BC362,2))))</f>
        <v>0</v>
      </c>
      <c r="T363">
        <f>IF(BD362&lt;=0,0,IF(ROUND(BD362*(1+'Calc base'!R363),2)-MAX('Calc base'!M$12,ROUND('Calc base'!M$13*BD362,2))&lt;1,ROUND(BD362*(1+'Calc base'!R363),2),MAX('Calc base'!M$12,ROUND('Calc base'!M$13*BD362,2))))</f>
        <v>0</v>
      </c>
      <c r="U363">
        <f>IF(BE362&lt;=0,0,IF(ROUND(BE362*(1+'Calc base'!S363),2)-MAX('Calc base'!N$12,ROUND('Calc base'!N$13*BE362,2))&lt;1,ROUND(BE362*(1+'Calc base'!S363),2),MAX('Calc base'!N$12,ROUND('Calc base'!N$13*BE362,2))))</f>
        <v>0</v>
      </c>
      <c r="V363">
        <f>MAX(0,ROUND(AT362*(1+'Calc base'!H363),2)-J363-'Calc base'!T363)</f>
        <v>0</v>
      </c>
      <c r="W363">
        <f>MAX(0,ROUND(AU362*(1+'Calc base'!I363),2)-K363-'Calc base'!U363)</f>
        <v>0</v>
      </c>
      <c r="X363">
        <f>MAX(0,ROUND(AV362*(1+'Calc base'!J363),2)-L363-'Calc base'!V363)</f>
        <v>0</v>
      </c>
      <c r="Y363">
        <f>MAX(0,ROUND(AW362*(1+'Calc base'!K363),2)-M363-'Calc base'!W363)</f>
        <v>0</v>
      </c>
      <c r="Z363">
        <f>MAX(0,ROUND(AX362*(1+'Calc base'!L363),2)-N363-'Calc base'!X363)</f>
        <v>0</v>
      </c>
      <c r="AA363">
        <f>MAX(0,ROUND(AY362*(1+'Calc base'!M363),2)-O363-'Calc base'!Y363)</f>
        <v>0</v>
      </c>
      <c r="AB363">
        <f>MAX(0,ROUND(AZ362*(1+'Calc base'!N363),2)-P363-'Calc base'!Z363)</f>
        <v>0</v>
      </c>
      <c r="AC363">
        <f>MAX(0,ROUND(BA362*(1+'Calc base'!O363),2)-Q363-'Calc base'!AA363)</f>
        <v>0</v>
      </c>
      <c r="AD363">
        <f>MAX(0,ROUND(BB362*(1+'Calc base'!P363),2)-R363-'Calc base'!AB363)</f>
        <v>0</v>
      </c>
      <c r="AE363">
        <f>MAX(0,ROUND(BC362*(1+'Calc base'!Q363),2)-S363-'Calc base'!AC363)</f>
        <v>0</v>
      </c>
      <c r="AF363">
        <f>MAX(0,ROUND(BD362*(1+'Calc base'!R363),2)-T363-'Calc base'!AD363)</f>
        <v>0</v>
      </c>
      <c r="AG363">
        <f>MAX(0,ROUND(BE362*(1+'Calc base'!S363),2)-U363-'Calc base'!AE363)</f>
        <v>0</v>
      </c>
      <c r="AH363">
        <f>IF('Calc base'!C$14=0,0,MIN(V363,MAX(0,$E363-SUMPRODUCT($V363:$AG363,'Calc base'!$C$14:$N$14,('Calc base'!$H363:$S363&gt;'Calc base'!H363)+('Calc base'!$H363:$S363='Calc base'!H363)*('Calc base'!$C$17:$N$17&lt;'Calc base'!C$17)))))</f>
        <v>0</v>
      </c>
      <c r="AI363">
        <f>IF('Calc base'!D$14=0,0,MIN(W363,MAX(0,$E363-SUMPRODUCT($V363:$AG363,'Calc base'!$C$14:$N$14,('Calc base'!$H363:$S363&gt;'Calc base'!I363)+('Calc base'!$H363:$S363='Calc base'!I363)*('Calc base'!$C$17:$N$17&lt;'Calc base'!D$17)))))</f>
        <v>0</v>
      </c>
      <c r="AJ363">
        <f>IF('Calc base'!E$14=0,0,MIN(X363,MAX(0,$E363-SUMPRODUCT($V363:$AG363,'Calc base'!$C$14:$N$14,('Calc base'!$H363:$S363&gt;'Calc base'!J363)+('Calc base'!$H363:$S363='Calc base'!J363)*('Calc base'!$C$17:$N$17&lt;'Calc base'!E$17)))))</f>
        <v>0</v>
      </c>
      <c r="AK363">
        <f>IF('Calc base'!F$14=0,0,MIN(Y363,MAX(0,$E363-SUMPRODUCT($V363:$AG363,'Calc base'!$C$14:$N$14,('Calc base'!$H363:$S363&gt;'Calc base'!K363)+('Calc base'!$H363:$S363='Calc base'!K363)*('Calc base'!$C$17:$N$17&lt;'Calc base'!F$17)))))</f>
        <v>0</v>
      </c>
      <c r="AL363">
        <f>IF('Calc base'!G$14=0,0,MIN(Z363,MAX(0,$E363-SUMPRODUCT($V363:$AG363,'Calc base'!$C$14:$N$14,('Calc base'!$H363:$S363&gt;'Calc base'!L363)+('Calc base'!$H363:$S363='Calc base'!L363)*('Calc base'!$C$17:$N$17&lt;'Calc base'!G$17)))))</f>
        <v>0</v>
      </c>
      <c r="AM363">
        <f>IF('Calc base'!H$14=0,0,MIN(AA363,MAX(0,$E363-SUMPRODUCT($V363:$AG363,'Calc base'!$C$14:$N$14,('Calc base'!$H363:$S363&gt;'Calc base'!M363)+('Calc base'!$H363:$S363='Calc base'!M363)*('Calc base'!$C$17:$N$17&lt;'Calc base'!H$17)))))</f>
        <v>0</v>
      </c>
      <c r="AN363">
        <f>IF('Calc base'!I$14=0,0,MIN(AB363,MAX(0,$E363-SUMPRODUCT($V363:$AG363,'Calc base'!$C$14:$N$14,('Calc base'!$H363:$S363&gt;'Calc base'!N363)+('Calc base'!$H363:$S363='Calc base'!N363)*('Calc base'!$C$17:$N$17&lt;'Calc base'!I$17)))))</f>
        <v>0</v>
      </c>
      <c r="AO363">
        <f>IF('Calc base'!J$14=0,0,MIN(AC363,MAX(0,$E363-SUMPRODUCT($V363:$AG363,'Calc base'!$C$14:$N$14,('Calc base'!$H363:$S363&gt;'Calc base'!O363)+('Calc base'!$H363:$S363='Calc base'!O363)*('Calc base'!$C$17:$N$17&lt;'Calc base'!J$17)))))</f>
        <v>0</v>
      </c>
      <c r="AP363">
        <f>IF('Calc base'!K$14=0,0,MIN(AD363,MAX(0,$E363-SUMPRODUCT($V363:$AG363,'Calc base'!$C$14:$N$14,('Calc base'!$H363:$S363&gt;'Calc base'!P363)+('Calc base'!$H363:$S363='Calc base'!P363)*('Calc base'!$C$17:$N$17&lt;'Calc base'!K$17)))))</f>
        <v>0</v>
      </c>
      <c r="AQ363">
        <f>IF('Calc base'!L$14=0,0,MIN(AE363,MAX(0,$E363-SUMPRODUCT($V363:$AG363,'Calc base'!$C$14:$N$14,('Calc base'!$H363:$S363&gt;'Calc base'!Q363)+('Calc base'!$H363:$S363='Calc base'!Q363)*('Calc base'!$C$17:$N$17&lt;'Calc base'!L$17)))))</f>
        <v>0</v>
      </c>
      <c r="AR363">
        <f>IF('Calc base'!M$14=0,0,MIN(AF363,MAX(0,$E363-SUMPRODUCT($V363:$AG363,'Calc base'!$C$14:$N$14,('Calc base'!$H363:$S363&gt;'Calc base'!R363)+('Calc base'!$H363:$S363='Calc base'!R363)*('Calc base'!$C$17:$N$17&lt;'Calc base'!M$17)))))</f>
        <v>0</v>
      </c>
      <c r="AS363">
        <f>IF('Calc base'!N$14=0,0,MIN(AG363,MAX(0,$E363-SUMPRODUCT($V363:$AG363,'Calc base'!$C$14:$N$14,('Calc base'!$H363:$S363&gt;'Calc base'!S363)+('Calc base'!$H363:$S363='Calc base'!S363)*('Calc base'!$C$17:$N$17&lt;'Calc base'!N$17)))))</f>
        <v>0</v>
      </c>
      <c r="AT363">
        <f>V363-AH363</f>
        <v>0</v>
      </c>
      <c r="AU363">
        <f>W363-AI363</f>
        <v>0</v>
      </c>
      <c r="AV363">
        <f>X363-AJ363</f>
        <v>0</v>
      </c>
      <c r="AW363">
        <f>Y363-AK363</f>
        <v>0</v>
      </c>
      <c r="AX363">
        <f>Z363-AL363</f>
        <v>0</v>
      </c>
      <c r="AY363">
        <f>AA363-AM363</f>
        <v>0</v>
      </c>
      <c r="AZ363">
        <f>AB363-AN363</f>
        <v>0</v>
      </c>
      <c r="BA363">
        <f>AC363-AO363</f>
        <v>0</v>
      </c>
      <c r="BB363">
        <f>AD363-AP363</f>
        <v>0</v>
      </c>
      <c r="BC363">
        <f>AE363-AQ363</f>
        <v>0</v>
      </c>
      <c r="BD363">
        <f>AF363-AR363</f>
        <v>0</v>
      </c>
      <c r="BE363">
        <f>AG363-AS363</f>
        <v>0</v>
      </c>
    </row>
    <row r="364">
      <c r="A364" t="n">
        <v>334</v>
      </c>
      <c r="B364">
        <f>SUMPRODUCT(ROUND($AT363:$BE363*(1+'Calc base'!$H364:$S364),2))</f>
        <v>0</v>
      </c>
      <c r="C364">
        <f>SUM(J364:U364)</f>
        <v>0</v>
      </c>
      <c r="D364">
        <f>SUM(V364:AG364)</f>
        <v>0</v>
      </c>
      <c r="E364">
        <f>MAX(0,IF(Impostazioni!$B$7="No",'Calc base'!$C364-$C$31,'Calc base'!$C364-C364)+'Calc base'!$G364+'Calc base'!$F364-(B364-C364-D364))</f>
        <v>900</v>
      </c>
      <c r="F364">
        <f>SUM(AH364:AS364)</f>
        <v>0</v>
      </c>
      <c r="G364">
        <f>SUM(AT364:BE364)</f>
        <v>0</v>
      </c>
      <c r="H364">
        <f>B364-G363</f>
        <v>0</v>
      </c>
      <c r="I364">
        <f>B364-G364</f>
        <v>0</v>
      </c>
      <c r="J364">
        <f>IF(AT363&lt;=0,0,IF(ROUND(AT363*(1+'Calc base'!H364),2)-MAX('Calc base'!C$12,ROUND('Calc base'!C$13*AT363,2))&lt;1,ROUND(AT363*(1+'Calc base'!H364),2),MAX('Calc base'!C$12,ROUND('Calc base'!C$13*AT363,2))))</f>
        <v>0</v>
      </c>
      <c r="K364">
        <f>IF(AU363&lt;=0,0,IF(ROUND(AU363*(1+'Calc base'!I364),2)-MAX('Calc base'!D$12,ROUND('Calc base'!D$13*AU363,2))&lt;1,ROUND(AU363*(1+'Calc base'!I364),2),MAX('Calc base'!D$12,ROUND('Calc base'!D$13*AU363,2))))</f>
        <v>0</v>
      </c>
      <c r="L364">
        <f>IF(AV363&lt;=0,0,IF(ROUND(AV363*(1+'Calc base'!J364),2)-MAX('Calc base'!E$12,ROUND('Calc base'!E$13*AV363,2))&lt;1,ROUND(AV363*(1+'Calc base'!J364),2),MAX('Calc base'!E$12,ROUND('Calc base'!E$13*AV363,2))))</f>
        <v>0</v>
      </c>
      <c r="M364">
        <f>IF(AW363&lt;=0,0,IF(ROUND(AW363*(1+'Calc base'!K364),2)-MAX('Calc base'!F$12,ROUND('Calc base'!F$13*AW363,2))&lt;1,ROUND(AW363*(1+'Calc base'!K364),2),MAX('Calc base'!F$12,ROUND('Calc base'!F$13*AW363,2))))</f>
        <v>0</v>
      </c>
      <c r="N364">
        <f>IF(AX363&lt;=0,0,IF(ROUND(AX363*(1+'Calc base'!L364),2)-MAX('Calc base'!G$12,ROUND('Calc base'!G$13*AX363,2))&lt;1,ROUND(AX363*(1+'Calc base'!L364),2),MAX('Calc base'!G$12,ROUND('Calc base'!G$13*AX363,2))))</f>
        <v>0</v>
      </c>
      <c r="O364">
        <f>IF(AY363&lt;=0,0,IF(ROUND(AY363*(1+'Calc base'!M364),2)-MAX('Calc base'!H$12,ROUND('Calc base'!H$13*AY363,2))&lt;1,ROUND(AY363*(1+'Calc base'!M364),2),MAX('Calc base'!H$12,ROUND('Calc base'!H$13*AY363,2))))</f>
        <v>0</v>
      </c>
      <c r="P364">
        <f>IF(AZ363&lt;=0,0,IF(ROUND(AZ363*(1+'Calc base'!N364),2)-MAX('Calc base'!I$12,ROUND('Calc base'!I$13*AZ363,2))&lt;1,ROUND(AZ363*(1+'Calc base'!N364),2),MAX('Calc base'!I$12,ROUND('Calc base'!I$13*AZ363,2))))</f>
        <v>0</v>
      </c>
      <c r="Q364">
        <f>IF(BA363&lt;=0,0,IF(ROUND(BA363*(1+'Calc base'!O364),2)-MAX('Calc base'!J$12,ROUND('Calc base'!J$13*BA363,2))&lt;1,ROUND(BA363*(1+'Calc base'!O364),2),MAX('Calc base'!J$12,ROUND('Calc base'!J$13*BA363,2))))</f>
        <v>0</v>
      </c>
      <c r="R364">
        <f>IF(BB363&lt;=0,0,IF(ROUND(BB363*(1+'Calc base'!P364),2)-MAX('Calc base'!K$12,ROUND('Calc base'!K$13*BB363,2))&lt;1,ROUND(BB363*(1+'Calc base'!P364),2),MAX('Calc base'!K$12,ROUND('Calc base'!K$13*BB363,2))))</f>
        <v>0</v>
      </c>
      <c r="S364">
        <f>IF(BC363&lt;=0,0,IF(ROUND(BC363*(1+'Calc base'!Q364),2)-MAX('Calc base'!L$12,ROUND('Calc base'!L$13*BC363,2))&lt;1,ROUND(BC363*(1+'Calc base'!Q364),2),MAX('Calc base'!L$12,ROUND('Calc base'!L$13*BC363,2))))</f>
        <v>0</v>
      </c>
      <c r="T364">
        <f>IF(BD363&lt;=0,0,IF(ROUND(BD363*(1+'Calc base'!R364),2)-MAX('Calc base'!M$12,ROUND('Calc base'!M$13*BD363,2))&lt;1,ROUND(BD363*(1+'Calc base'!R364),2),MAX('Calc base'!M$12,ROUND('Calc base'!M$13*BD363,2))))</f>
        <v>0</v>
      </c>
      <c r="U364">
        <f>IF(BE363&lt;=0,0,IF(ROUND(BE363*(1+'Calc base'!S364),2)-MAX('Calc base'!N$12,ROUND('Calc base'!N$13*BE363,2))&lt;1,ROUND(BE363*(1+'Calc base'!S364),2),MAX('Calc base'!N$12,ROUND('Calc base'!N$13*BE363,2))))</f>
        <v>0</v>
      </c>
      <c r="V364">
        <f>MAX(0,ROUND(AT363*(1+'Calc base'!H364),2)-J364-'Calc base'!T364)</f>
        <v>0</v>
      </c>
      <c r="W364">
        <f>MAX(0,ROUND(AU363*(1+'Calc base'!I364),2)-K364-'Calc base'!U364)</f>
        <v>0</v>
      </c>
      <c r="X364">
        <f>MAX(0,ROUND(AV363*(1+'Calc base'!J364),2)-L364-'Calc base'!V364)</f>
        <v>0</v>
      </c>
      <c r="Y364">
        <f>MAX(0,ROUND(AW363*(1+'Calc base'!K364),2)-M364-'Calc base'!W364)</f>
        <v>0</v>
      </c>
      <c r="Z364">
        <f>MAX(0,ROUND(AX363*(1+'Calc base'!L364),2)-N364-'Calc base'!X364)</f>
        <v>0</v>
      </c>
      <c r="AA364">
        <f>MAX(0,ROUND(AY363*(1+'Calc base'!M364),2)-O364-'Calc base'!Y364)</f>
        <v>0</v>
      </c>
      <c r="AB364">
        <f>MAX(0,ROUND(AZ363*(1+'Calc base'!N364),2)-P364-'Calc base'!Z364)</f>
        <v>0</v>
      </c>
      <c r="AC364">
        <f>MAX(0,ROUND(BA363*(1+'Calc base'!O364),2)-Q364-'Calc base'!AA364)</f>
        <v>0</v>
      </c>
      <c r="AD364">
        <f>MAX(0,ROUND(BB363*(1+'Calc base'!P364),2)-R364-'Calc base'!AB364)</f>
        <v>0</v>
      </c>
      <c r="AE364">
        <f>MAX(0,ROUND(BC363*(1+'Calc base'!Q364),2)-S364-'Calc base'!AC364)</f>
        <v>0</v>
      </c>
      <c r="AF364">
        <f>MAX(0,ROUND(BD363*(1+'Calc base'!R364),2)-T364-'Calc base'!AD364)</f>
        <v>0</v>
      </c>
      <c r="AG364">
        <f>MAX(0,ROUND(BE363*(1+'Calc base'!S364),2)-U364-'Calc base'!AE364)</f>
        <v>0</v>
      </c>
      <c r="AH364">
        <f>IF('Calc base'!C$14=0,0,MIN(V364,MAX(0,$E364-SUMPRODUCT($V364:$AG364,'Calc base'!$C$14:$N$14,('Calc base'!$H364:$S364&gt;'Calc base'!H364)+('Calc base'!$H364:$S364='Calc base'!H364)*('Calc base'!$C$17:$N$17&lt;'Calc base'!C$17)))))</f>
        <v>0</v>
      </c>
      <c r="AI364">
        <f>IF('Calc base'!D$14=0,0,MIN(W364,MAX(0,$E364-SUMPRODUCT($V364:$AG364,'Calc base'!$C$14:$N$14,('Calc base'!$H364:$S364&gt;'Calc base'!I364)+('Calc base'!$H364:$S364='Calc base'!I364)*('Calc base'!$C$17:$N$17&lt;'Calc base'!D$17)))))</f>
        <v>0</v>
      </c>
      <c r="AJ364">
        <f>IF('Calc base'!E$14=0,0,MIN(X364,MAX(0,$E364-SUMPRODUCT($V364:$AG364,'Calc base'!$C$14:$N$14,('Calc base'!$H364:$S364&gt;'Calc base'!J364)+('Calc base'!$H364:$S364='Calc base'!J364)*('Calc base'!$C$17:$N$17&lt;'Calc base'!E$17)))))</f>
        <v>0</v>
      </c>
      <c r="AK364">
        <f>IF('Calc base'!F$14=0,0,MIN(Y364,MAX(0,$E364-SUMPRODUCT($V364:$AG364,'Calc base'!$C$14:$N$14,('Calc base'!$H364:$S364&gt;'Calc base'!K364)+('Calc base'!$H364:$S364='Calc base'!K364)*('Calc base'!$C$17:$N$17&lt;'Calc base'!F$17)))))</f>
        <v>0</v>
      </c>
      <c r="AL364">
        <f>IF('Calc base'!G$14=0,0,MIN(Z364,MAX(0,$E364-SUMPRODUCT($V364:$AG364,'Calc base'!$C$14:$N$14,('Calc base'!$H364:$S364&gt;'Calc base'!L364)+('Calc base'!$H364:$S364='Calc base'!L364)*('Calc base'!$C$17:$N$17&lt;'Calc base'!G$17)))))</f>
        <v>0</v>
      </c>
      <c r="AM364">
        <f>IF('Calc base'!H$14=0,0,MIN(AA364,MAX(0,$E364-SUMPRODUCT($V364:$AG364,'Calc base'!$C$14:$N$14,('Calc base'!$H364:$S364&gt;'Calc base'!M364)+('Calc base'!$H364:$S364='Calc base'!M364)*('Calc base'!$C$17:$N$17&lt;'Calc base'!H$17)))))</f>
        <v>0</v>
      </c>
      <c r="AN364">
        <f>IF('Calc base'!I$14=0,0,MIN(AB364,MAX(0,$E364-SUMPRODUCT($V364:$AG364,'Calc base'!$C$14:$N$14,('Calc base'!$H364:$S364&gt;'Calc base'!N364)+('Calc base'!$H364:$S364='Calc base'!N364)*('Calc base'!$C$17:$N$17&lt;'Calc base'!I$17)))))</f>
        <v>0</v>
      </c>
      <c r="AO364">
        <f>IF('Calc base'!J$14=0,0,MIN(AC364,MAX(0,$E364-SUMPRODUCT($V364:$AG364,'Calc base'!$C$14:$N$14,('Calc base'!$H364:$S364&gt;'Calc base'!O364)+('Calc base'!$H364:$S364='Calc base'!O364)*('Calc base'!$C$17:$N$17&lt;'Calc base'!J$17)))))</f>
        <v>0</v>
      </c>
      <c r="AP364">
        <f>IF('Calc base'!K$14=0,0,MIN(AD364,MAX(0,$E364-SUMPRODUCT($V364:$AG364,'Calc base'!$C$14:$N$14,('Calc base'!$H364:$S364&gt;'Calc base'!P364)+('Calc base'!$H364:$S364='Calc base'!P364)*('Calc base'!$C$17:$N$17&lt;'Calc base'!K$17)))))</f>
        <v>0</v>
      </c>
      <c r="AQ364">
        <f>IF('Calc base'!L$14=0,0,MIN(AE364,MAX(0,$E364-SUMPRODUCT($V364:$AG364,'Calc base'!$C$14:$N$14,('Calc base'!$H364:$S364&gt;'Calc base'!Q364)+('Calc base'!$H364:$S364='Calc base'!Q364)*('Calc base'!$C$17:$N$17&lt;'Calc base'!L$17)))))</f>
        <v>0</v>
      </c>
      <c r="AR364">
        <f>IF('Calc base'!M$14=0,0,MIN(AF364,MAX(0,$E364-SUMPRODUCT($V364:$AG364,'Calc base'!$C$14:$N$14,('Calc base'!$H364:$S364&gt;'Calc base'!R364)+('Calc base'!$H364:$S364='Calc base'!R364)*('Calc base'!$C$17:$N$17&lt;'Calc base'!M$17)))))</f>
        <v>0</v>
      </c>
      <c r="AS364">
        <f>IF('Calc base'!N$14=0,0,MIN(AG364,MAX(0,$E364-SUMPRODUCT($V364:$AG364,'Calc base'!$C$14:$N$14,('Calc base'!$H364:$S364&gt;'Calc base'!S364)+('Calc base'!$H364:$S364='Calc base'!S364)*('Calc base'!$C$17:$N$17&lt;'Calc base'!N$17)))))</f>
        <v>0</v>
      </c>
      <c r="AT364">
        <f>V364-AH364</f>
        <v>0</v>
      </c>
      <c r="AU364">
        <f>W364-AI364</f>
        <v>0</v>
      </c>
      <c r="AV364">
        <f>X364-AJ364</f>
        <v>0</v>
      </c>
      <c r="AW364">
        <f>Y364-AK364</f>
        <v>0</v>
      </c>
      <c r="AX364">
        <f>Z364-AL364</f>
        <v>0</v>
      </c>
      <c r="AY364">
        <f>AA364-AM364</f>
        <v>0</v>
      </c>
      <c r="AZ364">
        <f>AB364-AN364</f>
        <v>0</v>
      </c>
      <c r="BA364">
        <f>AC364-AO364</f>
        <v>0</v>
      </c>
      <c r="BB364">
        <f>AD364-AP364</f>
        <v>0</v>
      </c>
      <c r="BC364">
        <f>AE364-AQ364</f>
        <v>0</v>
      </c>
      <c r="BD364">
        <f>AF364-AR364</f>
        <v>0</v>
      </c>
      <c r="BE364">
        <f>AG364-AS364</f>
        <v>0</v>
      </c>
    </row>
    <row r="365">
      <c r="A365" t="n">
        <v>335</v>
      </c>
      <c r="B365">
        <f>SUMPRODUCT(ROUND($AT364:$BE364*(1+'Calc base'!$H365:$S365),2))</f>
        <v>0</v>
      </c>
      <c r="C365">
        <f>SUM(J365:U365)</f>
        <v>0</v>
      </c>
      <c r="D365">
        <f>SUM(V365:AG365)</f>
        <v>0</v>
      </c>
      <c r="E365">
        <f>MAX(0,IF(Impostazioni!$B$7="No",'Calc base'!$C365-$C$31,'Calc base'!$C365-C365)+'Calc base'!$G365+'Calc base'!$F365-(B365-C365-D365))</f>
        <v>900</v>
      </c>
      <c r="F365">
        <f>SUM(AH365:AS365)</f>
        <v>0</v>
      </c>
      <c r="G365">
        <f>SUM(AT365:BE365)</f>
        <v>0</v>
      </c>
      <c r="H365">
        <f>B365-G364</f>
        <v>0</v>
      </c>
      <c r="I365">
        <f>B365-G365</f>
        <v>0</v>
      </c>
      <c r="J365">
        <f>IF(AT364&lt;=0,0,IF(ROUND(AT364*(1+'Calc base'!H365),2)-MAX('Calc base'!C$12,ROUND('Calc base'!C$13*AT364,2))&lt;1,ROUND(AT364*(1+'Calc base'!H365),2),MAX('Calc base'!C$12,ROUND('Calc base'!C$13*AT364,2))))</f>
        <v>0</v>
      </c>
      <c r="K365">
        <f>IF(AU364&lt;=0,0,IF(ROUND(AU364*(1+'Calc base'!I365),2)-MAX('Calc base'!D$12,ROUND('Calc base'!D$13*AU364,2))&lt;1,ROUND(AU364*(1+'Calc base'!I365),2),MAX('Calc base'!D$12,ROUND('Calc base'!D$13*AU364,2))))</f>
        <v>0</v>
      </c>
      <c r="L365">
        <f>IF(AV364&lt;=0,0,IF(ROUND(AV364*(1+'Calc base'!J365),2)-MAX('Calc base'!E$12,ROUND('Calc base'!E$13*AV364,2))&lt;1,ROUND(AV364*(1+'Calc base'!J365),2),MAX('Calc base'!E$12,ROUND('Calc base'!E$13*AV364,2))))</f>
        <v>0</v>
      </c>
      <c r="M365">
        <f>IF(AW364&lt;=0,0,IF(ROUND(AW364*(1+'Calc base'!K365),2)-MAX('Calc base'!F$12,ROUND('Calc base'!F$13*AW364,2))&lt;1,ROUND(AW364*(1+'Calc base'!K365),2),MAX('Calc base'!F$12,ROUND('Calc base'!F$13*AW364,2))))</f>
        <v>0</v>
      </c>
      <c r="N365">
        <f>IF(AX364&lt;=0,0,IF(ROUND(AX364*(1+'Calc base'!L365),2)-MAX('Calc base'!G$12,ROUND('Calc base'!G$13*AX364,2))&lt;1,ROUND(AX364*(1+'Calc base'!L365),2),MAX('Calc base'!G$12,ROUND('Calc base'!G$13*AX364,2))))</f>
        <v>0</v>
      </c>
      <c r="O365">
        <f>IF(AY364&lt;=0,0,IF(ROUND(AY364*(1+'Calc base'!M365),2)-MAX('Calc base'!H$12,ROUND('Calc base'!H$13*AY364,2))&lt;1,ROUND(AY364*(1+'Calc base'!M365),2),MAX('Calc base'!H$12,ROUND('Calc base'!H$13*AY364,2))))</f>
        <v>0</v>
      </c>
      <c r="P365">
        <f>IF(AZ364&lt;=0,0,IF(ROUND(AZ364*(1+'Calc base'!N365),2)-MAX('Calc base'!I$12,ROUND('Calc base'!I$13*AZ364,2))&lt;1,ROUND(AZ364*(1+'Calc base'!N365),2),MAX('Calc base'!I$12,ROUND('Calc base'!I$13*AZ364,2))))</f>
        <v>0</v>
      </c>
      <c r="Q365">
        <f>IF(BA364&lt;=0,0,IF(ROUND(BA364*(1+'Calc base'!O365),2)-MAX('Calc base'!J$12,ROUND('Calc base'!J$13*BA364,2))&lt;1,ROUND(BA364*(1+'Calc base'!O365),2),MAX('Calc base'!J$12,ROUND('Calc base'!J$13*BA364,2))))</f>
        <v>0</v>
      </c>
      <c r="R365">
        <f>IF(BB364&lt;=0,0,IF(ROUND(BB364*(1+'Calc base'!P365),2)-MAX('Calc base'!K$12,ROUND('Calc base'!K$13*BB364,2))&lt;1,ROUND(BB364*(1+'Calc base'!P365),2),MAX('Calc base'!K$12,ROUND('Calc base'!K$13*BB364,2))))</f>
        <v>0</v>
      </c>
      <c r="S365">
        <f>IF(BC364&lt;=0,0,IF(ROUND(BC364*(1+'Calc base'!Q365),2)-MAX('Calc base'!L$12,ROUND('Calc base'!L$13*BC364,2))&lt;1,ROUND(BC364*(1+'Calc base'!Q365),2),MAX('Calc base'!L$12,ROUND('Calc base'!L$13*BC364,2))))</f>
        <v>0</v>
      </c>
      <c r="T365">
        <f>IF(BD364&lt;=0,0,IF(ROUND(BD364*(1+'Calc base'!R365),2)-MAX('Calc base'!M$12,ROUND('Calc base'!M$13*BD364,2))&lt;1,ROUND(BD364*(1+'Calc base'!R365),2),MAX('Calc base'!M$12,ROUND('Calc base'!M$13*BD364,2))))</f>
        <v>0</v>
      </c>
      <c r="U365">
        <f>IF(BE364&lt;=0,0,IF(ROUND(BE364*(1+'Calc base'!S365),2)-MAX('Calc base'!N$12,ROUND('Calc base'!N$13*BE364,2))&lt;1,ROUND(BE364*(1+'Calc base'!S365),2),MAX('Calc base'!N$12,ROUND('Calc base'!N$13*BE364,2))))</f>
        <v>0</v>
      </c>
      <c r="V365">
        <f>MAX(0,ROUND(AT364*(1+'Calc base'!H365),2)-J365-'Calc base'!T365)</f>
        <v>0</v>
      </c>
      <c r="W365">
        <f>MAX(0,ROUND(AU364*(1+'Calc base'!I365),2)-K365-'Calc base'!U365)</f>
        <v>0</v>
      </c>
      <c r="X365">
        <f>MAX(0,ROUND(AV364*(1+'Calc base'!J365),2)-L365-'Calc base'!V365)</f>
        <v>0</v>
      </c>
      <c r="Y365">
        <f>MAX(0,ROUND(AW364*(1+'Calc base'!K365),2)-M365-'Calc base'!W365)</f>
        <v>0</v>
      </c>
      <c r="Z365">
        <f>MAX(0,ROUND(AX364*(1+'Calc base'!L365),2)-N365-'Calc base'!X365)</f>
        <v>0</v>
      </c>
      <c r="AA365">
        <f>MAX(0,ROUND(AY364*(1+'Calc base'!M365),2)-O365-'Calc base'!Y365)</f>
        <v>0</v>
      </c>
      <c r="AB365">
        <f>MAX(0,ROUND(AZ364*(1+'Calc base'!N365),2)-P365-'Calc base'!Z365)</f>
        <v>0</v>
      </c>
      <c r="AC365">
        <f>MAX(0,ROUND(BA364*(1+'Calc base'!O365),2)-Q365-'Calc base'!AA365)</f>
        <v>0</v>
      </c>
      <c r="AD365">
        <f>MAX(0,ROUND(BB364*(1+'Calc base'!P365),2)-R365-'Calc base'!AB365)</f>
        <v>0</v>
      </c>
      <c r="AE365">
        <f>MAX(0,ROUND(BC364*(1+'Calc base'!Q365),2)-S365-'Calc base'!AC365)</f>
        <v>0</v>
      </c>
      <c r="AF365">
        <f>MAX(0,ROUND(BD364*(1+'Calc base'!R365),2)-T365-'Calc base'!AD365)</f>
        <v>0</v>
      </c>
      <c r="AG365">
        <f>MAX(0,ROUND(BE364*(1+'Calc base'!S365),2)-U365-'Calc base'!AE365)</f>
        <v>0</v>
      </c>
      <c r="AH365">
        <f>IF('Calc base'!C$14=0,0,MIN(V365,MAX(0,$E365-SUMPRODUCT($V365:$AG365,'Calc base'!$C$14:$N$14,('Calc base'!$H365:$S365&gt;'Calc base'!H365)+('Calc base'!$H365:$S365='Calc base'!H365)*('Calc base'!$C$17:$N$17&lt;'Calc base'!C$17)))))</f>
        <v>0</v>
      </c>
      <c r="AI365">
        <f>IF('Calc base'!D$14=0,0,MIN(W365,MAX(0,$E365-SUMPRODUCT($V365:$AG365,'Calc base'!$C$14:$N$14,('Calc base'!$H365:$S365&gt;'Calc base'!I365)+('Calc base'!$H365:$S365='Calc base'!I365)*('Calc base'!$C$17:$N$17&lt;'Calc base'!D$17)))))</f>
        <v>0</v>
      </c>
      <c r="AJ365">
        <f>IF('Calc base'!E$14=0,0,MIN(X365,MAX(0,$E365-SUMPRODUCT($V365:$AG365,'Calc base'!$C$14:$N$14,('Calc base'!$H365:$S365&gt;'Calc base'!J365)+('Calc base'!$H365:$S365='Calc base'!J365)*('Calc base'!$C$17:$N$17&lt;'Calc base'!E$17)))))</f>
        <v>0</v>
      </c>
      <c r="AK365">
        <f>IF('Calc base'!F$14=0,0,MIN(Y365,MAX(0,$E365-SUMPRODUCT($V365:$AG365,'Calc base'!$C$14:$N$14,('Calc base'!$H365:$S365&gt;'Calc base'!K365)+('Calc base'!$H365:$S365='Calc base'!K365)*('Calc base'!$C$17:$N$17&lt;'Calc base'!F$17)))))</f>
        <v>0</v>
      </c>
      <c r="AL365">
        <f>IF('Calc base'!G$14=0,0,MIN(Z365,MAX(0,$E365-SUMPRODUCT($V365:$AG365,'Calc base'!$C$14:$N$14,('Calc base'!$H365:$S365&gt;'Calc base'!L365)+('Calc base'!$H365:$S365='Calc base'!L365)*('Calc base'!$C$17:$N$17&lt;'Calc base'!G$17)))))</f>
        <v>0</v>
      </c>
      <c r="AM365">
        <f>IF('Calc base'!H$14=0,0,MIN(AA365,MAX(0,$E365-SUMPRODUCT($V365:$AG365,'Calc base'!$C$14:$N$14,('Calc base'!$H365:$S365&gt;'Calc base'!M365)+('Calc base'!$H365:$S365='Calc base'!M365)*('Calc base'!$C$17:$N$17&lt;'Calc base'!H$17)))))</f>
        <v>0</v>
      </c>
      <c r="AN365">
        <f>IF('Calc base'!I$14=0,0,MIN(AB365,MAX(0,$E365-SUMPRODUCT($V365:$AG365,'Calc base'!$C$14:$N$14,('Calc base'!$H365:$S365&gt;'Calc base'!N365)+('Calc base'!$H365:$S365='Calc base'!N365)*('Calc base'!$C$17:$N$17&lt;'Calc base'!I$17)))))</f>
        <v>0</v>
      </c>
      <c r="AO365">
        <f>IF('Calc base'!J$14=0,0,MIN(AC365,MAX(0,$E365-SUMPRODUCT($V365:$AG365,'Calc base'!$C$14:$N$14,('Calc base'!$H365:$S365&gt;'Calc base'!O365)+('Calc base'!$H365:$S365='Calc base'!O365)*('Calc base'!$C$17:$N$17&lt;'Calc base'!J$17)))))</f>
        <v>0</v>
      </c>
      <c r="AP365">
        <f>IF('Calc base'!K$14=0,0,MIN(AD365,MAX(0,$E365-SUMPRODUCT($V365:$AG365,'Calc base'!$C$14:$N$14,('Calc base'!$H365:$S365&gt;'Calc base'!P365)+('Calc base'!$H365:$S365='Calc base'!P365)*('Calc base'!$C$17:$N$17&lt;'Calc base'!K$17)))))</f>
        <v>0</v>
      </c>
      <c r="AQ365">
        <f>IF('Calc base'!L$14=0,0,MIN(AE365,MAX(0,$E365-SUMPRODUCT($V365:$AG365,'Calc base'!$C$14:$N$14,('Calc base'!$H365:$S365&gt;'Calc base'!Q365)+('Calc base'!$H365:$S365='Calc base'!Q365)*('Calc base'!$C$17:$N$17&lt;'Calc base'!L$17)))))</f>
        <v>0</v>
      </c>
      <c r="AR365">
        <f>IF('Calc base'!M$14=0,0,MIN(AF365,MAX(0,$E365-SUMPRODUCT($V365:$AG365,'Calc base'!$C$14:$N$14,('Calc base'!$H365:$S365&gt;'Calc base'!R365)+('Calc base'!$H365:$S365='Calc base'!R365)*('Calc base'!$C$17:$N$17&lt;'Calc base'!M$17)))))</f>
        <v>0</v>
      </c>
      <c r="AS365">
        <f>IF('Calc base'!N$14=0,0,MIN(AG365,MAX(0,$E365-SUMPRODUCT($V365:$AG365,'Calc base'!$C$14:$N$14,('Calc base'!$H365:$S365&gt;'Calc base'!S365)+('Calc base'!$H365:$S365='Calc base'!S365)*('Calc base'!$C$17:$N$17&lt;'Calc base'!N$17)))))</f>
        <v>0</v>
      </c>
      <c r="AT365">
        <f>V365-AH365</f>
        <v>0</v>
      </c>
      <c r="AU365">
        <f>W365-AI365</f>
        <v>0</v>
      </c>
      <c r="AV365">
        <f>X365-AJ365</f>
        <v>0</v>
      </c>
      <c r="AW365">
        <f>Y365-AK365</f>
        <v>0</v>
      </c>
      <c r="AX365">
        <f>Z365-AL365</f>
        <v>0</v>
      </c>
      <c r="AY365">
        <f>AA365-AM365</f>
        <v>0</v>
      </c>
      <c r="AZ365">
        <f>AB365-AN365</f>
        <v>0</v>
      </c>
      <c r="BA365">
        <f>AC365-AO365</f>
        <v>0</v>
      </c>
      <c r="BB365">
        <f>AD365-AP365</f>
        <v>0</v>
      </c>
      <c r="BC365">
        <f>AE365-AQ365</f>
        <v>0</v>
      </c>
      <c r="BD365">
        <f>AF365-AR365</f>
        <v>0</v>
      </c>
      <c r="BE365">
        <f>AG365-AS365</f>
        <v>0</v>
      </c>
    </row>
    <row r="366">
      <c r="A366" t="n">
        <v>336</v>
      </c>
      <c r="B366">
        <f>SUMPRODUCT(ROUND($AT365:$BE365*(1+'Calc base'!$H366:$S366),2))</f>
        <v>0</v>
      </c>
      <c r="C366">
        <f>SUM(J366:U366)</f>
        <v>0</v>
      </c>
      <c r="D366">
        <f>SUM(V366:AG366)</f>
        <v>0</v>
      </c>
      <c r="E366">
        <f>MAX(0,IF(Impostazioni!$B$7="No",'Calc base'!$C366-$C$31,'Calc base'!$C366-C366)+'Calc base'!$G366+'Calc base'!$F366-(B366-C366-D366))</f>
        <v>900</v>
      </c>
      <c r="F366">
        <f>SUM(AH366:AS366)</f>
        <v>0</v>
      </c>
      <c r="G366">
        <f>SUM(AT366:BE366)</f>
        <v>0</v>
      </c>
      <c r="H366">
        <f>B366-G365</f>
        <v>0</v>
      </c>
      <c r="I366">
        <f>B366-G366</f>
        <v>0</v>
      </c>
      <c r="J366">
        <f>IF(AT365&lt;=0,0,IF(ROUND(AT365*(1+'Calc base'!H366),2)-MAX('Calc base'!C$12,ROUND('Calc base'!C$13*AT365,2))&lt;1,ROUND(AT365*(1+'Calc base'!H366),2),MAX('Calc base'!C$12,ROUND('Calc base'!C$13*AT365,2))))</f>
        <v>0</v>
      </c>
      <c r="K366">
        <f>IF(AU365&lt;=0,0,IF(ROUND(AU365*(1+'Calc base'!I366),2)-MAX('Calc base'!D$12,ROUND('Calc base'!D$13*AU365,2))&lt;1,ROUND(AU365*(1+'Calc base'!I366),2),MAX('Calc base'!D$12,ROUND('Calc base'!D$13*AU365,2))))</f>
        <v>0</v>
      </c>
      <c r="L366">
        <f>IF(AV365&lt;=0,0,IF(ROUND(AV365*(1+'Calc base'!J366),2)-MAX('Calc base'!E$12,ROUND('Calc base'!E$13*AV365,2))&lt;1,ROUND(AV365*(1+'Calc base'!J366),2),MAX('Calc base'!E$12,ROUND('Calc base'!E$13*AV365,2))))</f>
        <v>0</v>
      </c>
      <c r="M366">
        <f>IF(AW365&lt;=0,0,IF(ROUND(AW365*(1+'Calc base'!K366),2)-MAX('Calc base'!F$12,ROUND('Calc base'!F$13*AW365,2))&lt;1,ROUND(AW365*(1+'Calc base'!K366),2),MAX('Calc base'!F$12,ROUND('Calc base'!F$13*AW365,2))))</f>
        <v>0</v>
      </c>
      <c r="N366">
        <f>IF(AX365&lt;=0,0,IF(ROUND(AX365*(1+'Calc base'!L366),2)-MAX('Calc base'!G$12,ROUND('Calc base'!G$13*AX365,2))&lt;1,ROUND(AX365*(1+'Calc base'!L366),2),MAX('Calc base'!G$12,ROUND('Calc base'!G$13*AX365,2))))</f>
        <v>0</v>
      </c>
      <c r="O366">
        <f>IF(AY365&lt;=0,0,IF(ROUND(AY365*(1+'Calc base'!M366),2)-MAX('Calc base'!H$12,ROUND('Calc base'!H$13*AY365,2))&lt;1,ROUND(AY365*(1+'Calc base'!M366),2),MAX('Calc base'!H$12,ROUND('Calc base'!H$13*AY365,2))))</f>
        <v>0</v>
      </c>
      <c r="P366">
        <f>IF(AZ365&lt;=0,0,IF(ROUND(AZ365*(1+'Calc base'!N366),2)-MAX('Calc base'!I$12,ROUND('Calc base'!I$13*AZ365,2))&lt;1,ROUND(AZ365*(1+'Calc base'!N366),2),MAX('Calc base'!I$12,ROUND('Calc base'!I$13*AZ365,2))))</f>
        <v>0</v>
      </c>
      <c r="Q366">
        <f>IF(BA365&lt;=0,0,IF(ROUND(BA365*(1+'Calc base'!O366),2)-MAX('Calc base'!J$12,ROUND('Calc base'!J$13*BA365,2))&lt;1,ROUND(BA365*(1+'Calc base'!O366),2),MAX('Calc base'!J$12,ROUND('Calc base'!J$13*BA365,2))))</f>
        <v>0</v>
      </c>
      <c r="R366">
        <f>IF(BB365&lt;=0,0,IF(ROUND(BB365*(1+'Calc base'!P366),2)-MAX('Calc base'!K$12,ROUND('Calc base'!K$13*BB365,2))&lt;1,ROUND(BB365*(1+'Calc base'!P366),2),MAX('Calc base'!K$12,ROUND('Calc base'!K$13*BB365,2))))</f>
        <v>0</v>
      </c>
      <c r="S366">
        <f>IF(BC365&lt;=0,0,IF(ROUND(BC365*(1+'Calc base'!Q366),2)-MAX('Calc base'!L$12,ROUND('Calc base'!L$13*BC365,2))&lt;1,ROUND(BC365*(1+'Calc base'!Q366),2),MAX('Calc base'!L$12,ROUND('Calc base'!L$13*BC365,2))))</f>
        <v>0</v>
      </c>
      <c r="T366">
        <f>IF(BD365&lt;=0,0,IF(ROUND(BD365*(1+'Calc base'!R366),2)-MAX('Calc base'!M$12,ROUND('Calc base'!M$13*BD365,2))&lt;1,ROUND(BD365*(1+'Calc base'!R366),2),MAX('Calc base'!M$12,ROUND('Calc base'!M$13*BD365,2))))</f>
        <v>0</v>
      </c>
      <c r="U366">
        <f>IF(BE365&lt;=0,0,IF(ROUND(BE365*(1+'Calc base'!S366),2)-MAX('Calc base'!N$12,ROUND('Calc base'!N$13*BE365,2))&lt;1,ROUND(BE365*(1+'Calc base'!S366),2),MAX('Calc base'!N$12,ROUND('Calc base'!N$13*BE365,2))))</f>
        <v>0</v>
      </c>
      <c r="V366">
        <f>MAX(0,ROUND(AT365*(1+'Calc base'!H366),2)-J366-'Calc base'!T366)</f>
        <v>0</v>
      </c>
      <c r="W366">
        <f>MAX(0,ROUND(AU365*(1+'Calc base'!I366),2)-K366-'Calc base'!U366)</f>
        <v>0</v>
      </c>
      <c r="X366">
        <f>MAX(0,ROUND(AV365*(1+'Calc base'!J366),2)-L366-'Calc base'!V366)</f>
        <v>0</v>
      </c>
      <c r="Y366">
        <f>MAX(0,ROUND(AW365*(1+'Calc base'!K366),2)-M366-'Calc base'!W366)</f>
        <v>0</v>
      </c>
      <c r="Z366">
        <f>MAX(0,ROUND(AX365*(1+'Calc base'!L366),2)-N366-'Calc base'!X366)</f>
        <v>0</v>
      </c>
      <c r="AA366">
        <f>MAX(0,ROUND(AY365*(1+'Calc base'!M366),2)-O366-'Calc base'!Y366)</f>
        <v>0</v>
      </c>
      <c r="AB366">
        <f>MAX(0,ROUND(AZ365*(1+'Calc base'!N366),2)-P366-'Calc base'!Z366)</f>
        <v>0</v>
      </c>
      <c r="AC366">
        <f>MAX(0,ROUND(BA365*(1+'Calc base'!O366),2)-Q366-'Calc base'!AA366)</f>
        <v>0</v>
      </c>
      <c r="AD366">
        <f>MAX(0,ROUND(BB365*(1+'Calc base'!P366),2)-R366-'Calc base'!AB366)</f>
        <v>0</v>
      </c>
      <c r="AE366">
        <f>MAX(0,ROUND(BC365*(1+'Calc base'!Q366),2)-S366-'Calc base'!AC366)</f>
        <v>0</v>
      </c>
      <c r="AF366">
        <f>MAX(0,ROUND(BD365*(1+'Calc base'!R366),2)-T366-'Calc base'!AD366)</f>
        <v>0</v>
      </c>
      <c r="AG366">
        <f>MAX(0,ROUND(BE365*(1+'Calc base'!S366),2)-U366-'Calc base'!AE366)</f>
        <v>0</v>
      </c>
      <c r="AH366">
        <f>IF('Calc base'!C$14=0,0,MIN(V366,MAX(0,$E366-SUMPRODUCT($V366:$AG366,'Calc base'!$C$14:$N$14,('Calc base'!$H366:$S366&gt;'Calc base'!H366)+('Calc base'!$H366:$S366='Calc base'!H366)*('Calc base'!$C$17:$N$17&lt;'Calc base'!C$17)))))</f>
        <v>0</v>
      </c>
      <c r="AI366">
        <f>IF('Calc base'!D$14=0,0,MIN(W366,MAX(0,$E366-SUMPRODUCT($V366:$AG366,'Calc base'!$C$14:$N$14,('Calc base'!$H366:$S366&gt;'Calc base'!I366)+('Calc base'!$H366:$S366='Calc base'!I366)*('Calc base'!$C$17:$N$17&lt;'Calc base'!D$17)))))</f>
        <v>0</v>
      </c>
      <c r="AJ366">
        <f>IF('Calc base'!E$14=0,0,MIN(X366,MAX(0,$E366-SUMPRODUCT($V366:$AG366,'Calc base'!$C$14:$N$14,('Calc base'!$H366:$S366&gt;'Calc base'!J366)+('Calc base'!$H366:$S366='Calc base'!J366)*('Calc base'!$C$17:$N$17&lt;'Calc base'!E$17)))))</f>
        <v>0</v>
      </c>
      <c r="AK366">
        <f>IF('Calc base'!F$14=0,0,MIN(Y366,MAX(0,$E366-SUMPRODUCT($V366:$AG366,'Calc base'!$C$14:$N$14,('Calc base'!$H366:$S366&gt;'Calc base'!K366)+('Calc base'!$H366:$S366='Calc base'!K366)*('Calc base'!$C$17:$N$17&lt;'Calc base'!F$17)))))</f>
        <v>0</v>
      </c>
      <c r="AL366">
        <f>IF('Calc base'!G$14=0,0,MIN(Z366,MAX(0,$E366-SUMPRODUCT($V366:$AG366,'Calc base'!$C$14:$N$14,('Calc base'!$H366:$S366&gt;'Calc base'!L366)+('Calc base'!$H366:$S366='Calc base'!L366)*('Calc base'!$C$17:$N$17&lt;'Calc base'!G$17)))))</f>
        <v>0</v>
      </c>
      <c r="AM366">
        <f>IF('Calc base'!H$14=0,0,MIN(AA366,MAX(0,$E366-SUMPRODUCT($V366:$AG366,'Calc base'!$C$14:$N$14,('Calc base'!$H366:$S366&gt;'Calc base'!M366)+('Calc base'!$H366:$S366='Calc base'!M366)*('Calc base'!$C$17:$N$17&lt;'Calc base'!H$17)))))</f>
        <v>0</v>
      </c>
      <c r="AN366">
        <f>IF('Calc base'!I$14=0,0,MIN(AB366,MAX(0,$E366-SUMPRODUCT($V366:$AG366,'Calc base'!$C$14:$N$14,('Calc base'!$H366:$S366&gt;'Calc base'!N366)+('Calc base'!$H366:$S366='Calc base'!N366)*('Calc base'!$C$17:$N$17&lt;'Calc base'!I$17)))))</f>
        <v>0</v>
      </c>
      <c r="AO366">
        <f>IF('Calc base'!J$14=0,0,MIN(AC366,MAX(0,$E366-SUMPRODUCT($V366:$AG366,'Calc base'!$C$14:$N$14,('Calc base'!$H366:$S366&gt;'Calc base'!O366)+('Calc base'!$H366:$S366='Calc base'!O366)*('Calc base'!$C$17:$N$17&lt;'Calc base'!J$17)))))</f>
        <v>0</v>
      </c>
      <c r="AP366">
        <f>IF('Calc base'!K$14=0,0,MIN(AD366,MAX(0,$E366-SUMPRODUCT($V366:$AG366,'Calc base'!$C$14:$N$14,('Calc base'!$H366:$S366&gt;'Calc base'!P366)+('Calc base'!$H366:$S366='Calc base'!P366)*('Calc base'!$C$17:$N$17&lt;'Calc base'!K$17)))))</f>
        <v>0</v>
      </c>
      <c r="AQ366">
        <f>IF('Calc base'!L$14=0,0,MIN(AE366,MAX(0,$E366-SUMPRODUCT($V366:$AG366,'Calc base'!$C$14:$N$14,('Calc base'!$H366:$S366&gt;'Calc base'!Q366)+('Calc base'!$H366:$S366='Calc base'!Q366)*('Calc base'!$C$17:$N$17&lt;'Calc base'!L$17)))))</f>
        <v>0</v>
      </c>
      <c r="AR366">
        <f>IF('Calc base'!M$14=0,0,MIN(AF366,MAX(0,$E366-SUMPRODUCT($V366:$AG366,'Calc base'!$C$14:$N$14,('Calc base'!$H366:$S366&gt;'Calc base'!R366)+('Calc base'!$H366:$S366='Calc base'!R366)*('Calc base'!$C$17:$N$17&lt;'Calc base'!M$17)))))</f>
        <v>0</v>
      </c>
      <c r="AS366">
        <f>IF('Calc base'!N$14=0,0,MIN(AG366,MAX(0,$E366-SUMPRODUCT($V366:$AG366,'Calc base'!$C$14:$N$14,('Calc base'!$H366:$S366&gt;'Calc base'!S366)+('Calc base'!$H366:$S366='Calc base'!S366)*('Calc base'!$C$17:$N$17&lt;'Calc base'!N$17)))))</f>
        <v>0</v>
      </c>
      <c r="AT366">
        <f>V366-AH366</f>
        <v>0</v>
      </c>
      <c r="AU366">
        <f>W366-AI366</f>
        <v>0</v>
      </c>
      <c r="AV366">
        <f>X366-AJ366</f>
        <v>0</v>
      </c>
      <c r="AW366">
        <f>Y366-AK366</f>
        <v>0</v>
      </c>
      <c r="AX366">
        <f>Z366-AL366</f>
        <v>0</v>
      </c>
      <c r="AY366">
        <f>AA366-AM366</f>
        <v>0</v>
      </c>
      <c r="AZ366">
        <f>AB366-AN366</f>
        <v>0</v>
      </c>
      <c r="BA366">
        <f>AC366-AO366</f>
        <v>0</v>
      </c>
      <c r="BB366">
        <f>AD366-AP366</f>
        <v>0</v>
      </c>
      <c r="BC366">
        <f>AE366-AQ366</f>
        <v>0</v>
      </c>
      <c r="BD366">
        <f>AF366-AR366</f>
        <v>0</v>
      </c>
      <c r="BE366">
        <f>AG366-AS366</f>
        <v>0</v>
      </c>
    </row>
    <row r="367">
      <c r="A367" t="n">
        <v>337</v>
      </c>
      <c r="B367">
        <f>SUMPRODUCT(ROUND($AT366:$BE366*(1+'Calc base'!$H367:$S367),2))</f>
        <v>0</v>
      </c>
      <c r="C367">
        <f>SUM(J367:U367)</f>
        <v>0</v>
      </c>
      <c r="D367">
        <f>SUM(V367:AG367)</f>
        <v>0</v>
      </c>
      <c r="E367">
        <f>MAX(0,IF(Impostazioni!$B$7="No",'Calc base'!$C367-$C$31,'Calc base'!$C367-C367)+'Calc base'!$G367+'Calc base'!$F367-(B367-C367-D367))</f>
        <v>900</v>
      </c>
      <c r="F367">
        <f>SUM(AH367:AS367)</f>
        <v>0</v>
      </c>
      <c r="G367">
        <f>SUM(AT367:BE367)</f>
        <v>0</v>
      </c>
      <c r="H367">
        <f>B367-G366</f>
        <v>0</v>
      </c>
      <c r="I367">
        <f>B367-G367</f>
        <v>0</v>
      </c>
      <c r="J367">
        <f>IF(AT366&lt;=0,0,IF(ROUND(AT366*(1+'Calc base'!H367),2)-MAX('Calc base'!C$12,ROUND('Calc base'!C$13*AT366,2))&lt;1,ROUND(AT366*(1+'Calc base'!H367),2),MAX('Calc base'!C$12,ROUND('Calc base'!C$13*AT366,2))))</f>
        <v>0</v>
      </c>
      <c r="K367">
        <f>IF(AU366&lt;=0,0,IF(ROUND(AU366*(1+'Calc base'!I367),2)-MAX('Calc base'!D$12,ROUND('Calc base'!D$13*AU366,2))&lt;1,ROUND(AU366*(1+'Calc base'!I367),2),MAX('Calc base'!D$12,ROUND('Calc base'!D$13*AU366,2))))</f>
        <v>0</v>
      </c>
      <c r="L367">
        <f>IF(AV366&lt;=0,0,IF(ROUND(AV366*(1+'Calc base'!J367),2)-MAX('Calc base'!E$12,ROUND('Calc base'!E$13*AV366,2))&lt;1,ROUND(AV366*(1+'Calc base'!J367),2),MAX('Calc base'!E$12,ROUND('Calc base'!E$13*AV366,2))))</f>
        <v>0</v>
      </c>
      <c r="M367">
        <f>IF(AW366&lt;=0,0,IF(ROUND(AW366*(1+'Calc base'!K367),2)-MAX('Calc base'!F$12,ROUND('Calc base'!F$13*AW366,2))&lt;1,ROUND(AW366*(1+'Calc base'!K367),2),MAX('Calc base'!F$12,ROUND('Calc base'!F$13*AW366,2))))</f>
        <v>0</v>
      </c>
      <c r="N367">
        <f>IF(AX366&lt;=0,0,IF(ROUND(AX366*(1+'Calc base'!L367),2)-MAX('Calc base'!G$12,ROUND('Calc base'!G$13*AX366,2))&lt;1,ROUND(AX366*(1+'Calc base'!L367),2),MAX('Calc base'!G$12,ROUND('Calc base'!G$13*AX366,2))))</f>
        <v>0</v>
      </c>
      <c r="O367">
        <f>IF(AY366&lt;=0,0,IF(ROUND(AY366*(1+'Calc base'!M367),2)-MAX('Calc base'!H$12,ROUND('Calc base'!H$13*AY366,2))&lt;1,ROUND(AY366*(1+'Calc base'!M367),2),MAX('Calc base'!H$12,ROUND('Calc base'!H$13*AY366,2))))</f>
        <v>0</v>
      </c>
      <c r="P367">
        <f>IF(AZ366&lt;=0,0,IF(ROUND(AZ366*(1+'Calc base'!N367),2)-MAX('Calc base'!I$12,ROUND('Calc base'!I$13*AZ366,2))&lt;1,ROUND(AZ366*(1+'Calc base'!N367),2),MAX('Calc base'!I$12,ROUND('Calc base'!I$13*AZ366,2))))</f>
        <v>0</v>
      </c>
      <c r="Q367">
        <f>IF(BA366&lt;=0,0,IF(ROUND(BA366*(1+'Calc base'!O367),2)-MAX('Calc base'!J$12,ROUND('Calc base'!J$13*BA366,2))&lt;1,ROUND(BA366*(1+'Calc base'!O367),2),MAX('Calc base'!J$12,ROUND('Calc base'!J$13*BA366,2))))</f>
        <v>0</v>
      </c>
      <c r="R367">
        <f>IF(BB366&lt;=0,0,IF(ROUND(BB366*(1+'Calc base'!P367),2)-MAX('Calc base'!K$12,ROUND('Calc base'!K$13*BB366,2))&lt;1,ROUND(BB366*(1+'Calc base'!P367),2),MAX('Calc base'!K$12,ROUND('Calc base'!K$13*BB366,2))))</f>
        <v>0</v>
      </c>
      <c r="S367">
        <f>IF(BC366&lt;=0,0,IF(ROUND(BC366*(1+'Calc base'!Q367),2)-MAX('Calc base'!L$12,ROUND('Calc base'!L$13*BC366,2))&lt;1,ROUND(BC366*(1+'Calc base'!Q367),2),MAX('Calc base'!L$12,ROUND('Calc base'!L$13*BC366,2))))</f>
        <v>0</v>
      </c>
      <c r="T367">
        <f>IF(BD366&lt;=0,0,IF(ROUND(BD366*(1+'Calc base'!R367),2)-MAX('Calc base'!M$12,ROUND('Calc base'!M$13*BD366,2))&lt;1,ROUND(BD366*(1+'Calc base'!R367),2),MAX('Calc base'!M$12,ROUND('Calc base'!M$13*BD366,2))))</f>
        <v>0</v>
      </c>
      <c r="U367">
        <f>IF(BE366&lt;=0,0,IF(ROUND(BE366*(1+'Calc base'!S367),2)-MAX('Calc base'!N$12,ROUND('Calc base'!N$13*BE366,2))&lt;1,ROUND(BE366*(1+'Calc base'!S367),2),MAX('Calc base'!N$12,ROUND('Calc base'!N$13*BE366,2))))</f>
        <v>0</v>
      </c>
      <c r="V367">
        <f>MAX(0,ROUND(AT366*(1+'Calc base'!H367),2)-J367-'Calc base'!T367)</f>
        <v>0</v>
      </c>
      <c r="W367">
        <f>MAX(0,ROUND(AU366*(1+'Calc base'!I367),2)-K367-'Calc base'!U367)</f>
        <v>0</v>
      </c>
      <c r="X367">
        <f>MAX(0,ROUND(AV366*(1+'Calc base'!J367),2)-L367-'Calc base'!V367)</f>
        <v>0</v>
      </c>
      <c r="Y367">
        <f>MAX(0,ROUND(AW366*(1+'Calc base'!K367),2)-M367-'Calc base'!W367)</f>
        <v>0</v>
      </c>
      <c r="Z367">
        <f>MAX(0,ROUND(AX366*(1+'Calc base'!L367),2)-N367-'Calc base'!X367)</f>
        <v>0</v>
      </c>
      <c r="AA367">
        <f>MAX(0,ROUND(AY366*(1+'Calc base'!M367),2)-O367-'Calc base'!Y367)</f>
        <v>0</v>
      </c>
      <c r="AB367">
        <f>MAX(0,ROUND(AZ366*(1+'Calc base'!N367),2)-P367-'Calc base'!Z367)</f>
        <v>0</v>
      </c>
      <c r="AC367">
        <f>MAX(0,ROUND(BA366*(1+'Calc base'!O367),2)-Q367-'Calc base'!AA367)</f>
        <v>0</v>
      </c>
      <c r="AD367">
        <f>MAX(0,ROUND(BB366*(1+'Calc base'!P367),2)-R367-'Calc base'!AB367)</f>
        <v>0</v>
      </c>
      <c r="AE367">
        <f>MAX(0,ROUND(BC366*(1+'Calc base'!Q367),2)-S367-'Calc base'!AC367)</f>
        <v>0</v>
      </c>
      <c r="AF367">
        <f>MAX(0,ROUND(BD366*(1+'Calc base'!R367),2)-T367-'Calc base'!AD367)</f>
        <v>0</v>
      </c>
      <c r="AG367">
        <f>MAX(0,ROUND(BE366*(1+'Calc base'!S367),2)-U367-'Calc base'!AE367)</f>
        <v>0</v>
      </c>
      <c r="AH367">
        <f>IF('Calc base'!C$14=0,0,MIN(V367,MAX(0,$E367-SUMPRODUCT($V367:$AG367,'Calc base'!$C$14:$N$14,('Calc base'!$H367:$S367&gt;'Calc base'!H367)+('Calc base'!$H367:$S367='Calc base'!H367)*('Calc base'!$C$17:$N$17&lt;'Calc base'!C$17)))))</f>
        <v>0</v>
      </c>
      <c r="AI367">
        <f>IF('Calc base'!D$14=0,0,MIN(W367,MAX(0,$E367-SUMPRODUCT($V367:$AG367,'Calc base'!$C$14:$N$14,('Calc base'!$H367:$S367&gt;'Calc base'!I367)+('Calc base'!$H367:$S367='Calc base'!I367)*('Calc base'!$C$17:$N$17&lt;'Calc base'!D$17)))))</f>
        <v>0</v>
      </c>
      <c r="AJ367">
        <f>IF('Calc base'!E$14=0,0,MIN(X367,MAX(0,$E367-SUMPRODUCT($V367:$AG367,'Calc base'!$C$14:$N$14,('Calc base'!$H367:$S367&gt;'Calc base'!J367)+('Calc base'!$H367:$S367='Calc base'!J367)*('Calc base'!$C$17:$N$17&lt;'Calc base'!E$17)))))</f>
        <v>0</v>
      </c>
      <c r="AK367">
        <f>IF('Calc base'!F$14=0,0,MIN(Y367,MAX(0,$E367-SUMPRODUCT($V367:$AG367,'Calc base'!$C$14:$N$14,('Calc base'!$H367:$S367&gt;'Calc base'!K367)+('Calc base'!$H367:$S367='Calc base'!K367)*('Calc base'!$C$17:$N$17&lt;'Calc base'!F$17)))))</f>
        <v>0</v>
      </c>
      <c r="AL367">
        <f>IF('Calc base'!G$14=0,0,MIN(Z367,MAX(0,$E367-SUMPRODUCT($V367:$AG367,'Calc base'!$C$14:$N$14,('Calc base'!$H367:$S367&gt;'Calc base'!L367)+('Calc base'!$H367:$S367='Calc base'!L367)*('Calc base'!$C$17:$N$17&lt;'Calc base'!G$17)))))</f>
        <v>0</v>
      </c>
      <c r="AM367">
        <f>IF('Calc base'!H$14=0,0,MIN(AA367,MAX(0,$E367-SUMPRODUCT($V367:$AG367,'Calc base'!$C$14:$N$14,('Calc base'!$H367:$S367&gt;'Calc base'!M367)+('Calc base'!$H367:$S367='Calc base'!M367)*('Calc base'!$C$17:$N$17&lt;'Calc base'!H$17)))))</f>
        <v>0</v>
      </c>
      <c r="AN367">
        <f>IF('Calc base'!I$14=0,0,MIN(AB367,MAX(0,$E367-SUMPRODUCT($V367:$AG367,'Calc base'!$C$14:$N$14,('Calc base'!$H367:$S367&gt;'Calc base'!N367)+('Calc base'!$H367:$S367='Calc base'!N367)*('Calc base'!$C$17:$N$17&lt;'Calc base'!I$17)))))</f>
        <v>0</v>
      </c>
      <c r="AO367">
        <f>IF('Calc base'!J$14=0,0,MIN(AC367,MAX(0,$E367-SUMPRODUCT($V367:$AG367,'Calc base'!$C$14:$N$14,('Calc base'!$H367:$S367&gt;'Calc base'!O367)+('Calc base'!$H367:$S367='Calc base'!O367)*('Calc base'!$C$17:$N$17&lt;'Calc base'!J$17)))))</f>
        <v>0</v>
      </c>
      <c r="AP367">
        <f>IF('Calc base'!K$14=0,0,MIN(AD367,MAX(0,$E367-SUMPRODUCT($V367:$AG367,'Calc base'!$C$14:$N$14,('Calc base'!$H367:$S367&gt;'Calc base'!P367)+('Calc base'!$H367:$S367='Calc base'!P367)*('Calc base'!$C$17:$N$17&lt;'Calc base'!K$17)))))</f>
        <v>0</v>
      </c>
      <c r="AQ367">
        <f>IF('Calc base'!L$14=0,0,MIN(AE367,MAX(0,$E367-SUMPRODUCT($V367:$AG367,'Calc base'!$C$14:$N$14,('Calc base'!$H367:$S367&gt;'Calc base'!Q367)+('Calc base'!$H367:$S367='Calc base'!Q367)*('Calc base'!$C$17:$N$17&lt;'Calc base'!L$17)))))</f>
        <v>0</v>
      </c>
      <c r="AR367">
        <f>IF('Calc base'!M$14=0,0,MIN(AF367,MAX(0,$E367-SUMPRODUCT($V367:$AG367,'Calc base'!$C$14:$N$14,('Calc base'!$H367:$S367&gt;'Calc base'!R367)+('Calc base'!$H367:$S367='Calc base'!R367)*('Calc base'!$C$17:$N$17&lt;'Calc base'!M$17)))))</f>
        <v>0</v>
      </c>
      <c r="AS367">
        <f>IF('Calc base'!N$14=0,0,MIN(AG367,MAX(0,$E367-SUMPRODUCT($V367:$AG367,'Calc base'!$C$14:$N$14,('Calc base'!$H367:$S367&gt;'Calc base'!S367)+('Calc base'!$H367:$S367='Calc base'!S367)*('Calc base'!$C$17:$N$17&lt;'Calc base'!N$17)))))</f>
        <v>0</v>
      </c>
      <c r="AT367">
        <f>V367-AH367</f>
        <v>0</v>
      </c>
      <c r="AU367">
        <f>W367-AI367</f>
        <v>0</v>
      </c>
      <c r="AV367">
        <f>X367-AJ367</f>
        <v>0</v>
      </c>
      <c r="AW367">
        <f>Y367-AK367</f>
        <v>0</v>
      </c>
      <c r="AX367">
        <f>Z367-AL367</f>
        <v>0</v>
      </c>
      <c r="AY367">
        <f>AA367-AM367</f>
        <v>0</v>
      </c>
      <c r="AZ367">
        <f>AB367-AN367</f>
        <v>0</v>
      </c>
      <c r="BA367">
        <f>AC367-AO367</f>
        <v>0</v>
      </c>
      <c r="BB367">
        <f>AD367-AP367</f>
        <v>0</v>
      </c>
      <c r="BC367">
        <f>AE367-AQ367</f>
        <v>0</v>
      </c>
      <c r="BD367">
        <f>AF367-AR367</f>
        <v>0</v>
      </c>
      <c r="BE367">
        <f>AG367-AS367</f>
        <v>0</v>
      </c>
    </row>
    <row r="368">
      <c r="A368" t="n">
        <v>338</v>
      </c>
      <c r="B368">
        <f>SUMPRODUCT(ROUND($AT367:$BE367*(1+'Calc base'!$H368:$S368),2))</f>
        <v>0</v>
      </c>
      <c r="C368">
        <f>SUM(J368:U368)</f>
        <v>0</v>
      </c>
      <c r="D368">
        <f>SUM(V368:AG368)</f>
        <v>0</v>
      </c>
      <c r="E368">
        <f>MAX(0,IF(Impostazioni!$B$7="No",'Calc base'!$C368-$C$31,'Calc base'!$C368-C368)+'Calc base'!$G368+'Calc base'!$F368-(B368-C368-D368))</f>
        <v>900</v>
      </c>
      <c r="F368">
        <f>SUM(AH368:AS368)</f>
        <v>0</v>
      </c>
      <c r="G368">
        <f>SUM(AT368:BE368)</f>
        <v>0</v>
      </c>
      <c r="H368">
        <f>B368-G367</f>
        <v>0</v>
      </c>
      <c r="I368">
        <f>B368-G368</f>
        <v>0</v>
      </c>
      <c r="J368">
        <f>IF(AT367&lt;=0,0,IF(ROUND(AT367*(1+'Calc base'!H368),2)-MAX('Calc base'!C$12,ROUND('Calc base'!C$13*AT367,2))&lt;1,ROUND(AT367*(1+'Calc base'!H368),2),MAX('Calc base'!C$12,ROUND('Calc base'!C$13*AT367,2))))</f>
        <v>0</v>
      </c>
      <c r="K368">
        <f>IF(AU367&lt;=0,0,IF(ROUND(AU367*(1+'Calc base'!I368),2)-MAX('Calc base'!D$12,ROUND('Calc base'!D$13*AU367,2))&lt;1,ROUND(AU367*(1+'Calc base'!I368),2),MAX('Calc base'!D$12,ROUND('Calc base'!D$13*AU367,2))))</f>
        <v>0</v>
      </c>
      <c r="L368">
        <f>IF(AV367&lt;=0,0,IF(ROUND(AV367*(1+'Calc base'!J368),2)-MAX('Calc base'!E$12,ROUND('Calc base'!E$13*AV367,2))&lt;1,ROUND(AV367*(1+'Calc base'!J368),2),MAX('Calc base'!E$12,ROUND('Calc base'!E$13*AV367,2))))</f>
        <v>0</v>
      </c>
      <c r="M368">
        <f>IF(AW367&lt;=0,0,IF(ROUND(AW367*(1+'Calc base'!K368),2)-MAX('Calc base'!F$12,ROUND('Calc base'!F$13*AW367,2))&lt;1,ROUND(AW367*(1+'Calc base'!K368),2),MAX('Calc base'!F$12,ROUND('Calc base'!F$13*AW367,2))))</f>
        <v>0</v>
      </c>
      <c r="N368">
        <f>IF(AX367&lt;=0,0,IF(ROUND(AX367*(1+'Calc base'!L368),2)-MAX('Calc base'!G$12,ROUND('Calc base'!G$13*AX367,2))&lt;1,ROUND(AX367*(1+'Calc base'!L368),2),MAX('Calc base'!G$12,ROUND('Calc base'!G$13*AX367,2))))</f>
        <v>0</v>
      </c>
      <c r="O368">
        <f>IF(AY367&lt;=0,0,IF(ROUND(AY367*(1+'Calc base'!M368),2)-MAX('Calc base'!H$12,ROUND('Calc base'!H$13*AY367,2))&lt;1,ROUND(AY367*(1+'Calc base'!M368),2),MAX('Calc base'!H$12,ROUND('Calc base'!H$13*AY367,2))))</f>
        <v>0</v>
      </c>
      <c r="P368">
        <f>IF(AZ367&lt;=0,0,IF(ROUND(AZ367*(1+'Calc base'!N368),2)-MAX('Calc base'!I$12,ROUND('Calc base'!I$13*AZ367,2))&lt;1,ROUND(AZ367*(1+'Calc base'!N368),2),MAX('Calc base'!I$12,ROUND('Calc base'!I$13*AZ367,2))))</f>
        <v>0</v>
      </c>
      <c r="Q368">
        <f>IF(BA367&lt;=0,0,IF(ROUND(BA367*(1+'Calc base'!O368),2)-MAX('Calc base'!J$12,ROUND('Calc base'!J$13*BA367,2))&lt;1,ROUND(BA367*(1+'Calc base'!O368),2),MAX('Calc base'!J$12,ROUND('Calc base'!J$13*BA367,2))))</f>
        <v>0</v>
      </c>
      <c r="R368">
        <f>IF(BB367&lt;=0,0,IF(ROUND(BB367*(1+'Calc base'!P368),2)-MAX('Calc base'!K$12,ROUND('Calc base'!K$13*BB367,2))&lt;1,ROUND(BB367*(1+'Calc base'!P368),2),MAX('Calc base'!K$12,ROUND('Calc base'!K$13*BB367,2))))</f>
        <v>0</v>
      </c>
      <c r="S368">
        <f>IF(BC367&lt;=0,0,IF(ROUND(BC367*(1+'Calc base'!Q368),2)-MAX('Calc base'!L$12,ROUND('Calc base'!L$13*BC367,2))&lt;1,ROUND(BC367*(1+'Calc base'!Q368),2),MAX('Calc base'!L$12,ROUND('Calc base'!L$13*BC367,2))))</f>
        <v>0</v>
      </c>
      <c r="T368">
        <f>IF(BD367&lt;=0,0,IF(ROUND(BD367*(1+'Calc base'!R368),2)-MAX('Calc base'!M$12,ROUND('Calc base'!M$13*BD367,2))&lt;1,ROUND(BD367*(1+'Calc base'!R368),2),MAX('Calc base'!M$12,ROUND('Calc base'!M$13*BD367,2))))</f>
        <v>0</v>
      </c>
      <c r="U368">
        <f>IF(BE367&lt;=0,0,IF(ROUND(BE367*(1+'Calc base'!S368),2)-MAX('Calc base'!N$12,ROUND('Calc base'!N$13*BE367,2))&lt;1,ROUND(BE367*(1+'Calc base'!S368),2),MAX('Calc base'!N$12,ROUND('Calc base'!N$13*BE367,2))))</f>
        <v>0</v>
      </c>
      <c r="V368">
        <f>MAX(0,ROUND(AT367*(1+'Calc base'!H368),2)-J368-'Calc base'!T368)</f>
        <v>0</v>
      </c>
      <c r="W368">
        <f>MAX(0,ROUND(AU367*(1+'Calc base'!I368),2)-K368-'Calc base'!U368)</f>
        <v>0</v>
      </c>
      <c r="X368">
        <f>MAX(0,ROUND(AV367*(1+'Calc base'!J368),2)-L368-'Calc base'!V368)</f>
        <v>0</v>
      </c>
      <c r="Y368">
        <f>MAX(0,ROUND(AW367*(1+'Calc base'!K368),2)-M368-'Calc base'!W368)</f>
        <v>0</v>
      </c>
      <c r="Z368">
        <f>MAX(0,ROUND(AX367*(1+'Calc base'!L368),2)-N368-'Calc base'!X368)</f>
        <v>0</v>
      </c>
      <c r="AA368">
        <f>MAX(0,ROUND(AY367*(1+'Calc base'!M368),2)-O368-'Calc base'!Y368)</f>
        <v>0</v>
      </c>
      <c r="AB368">
        <f>MAX(0,ROUND(AZ367*(1+'Calc base'!N368),2)-P368-'Calc base'!Z368)</f>
        <v>0</v>
      </c>
      <c r="AC368">
        <f>MAX(0,ROUND(BA367*(1+'Calc base'!O368),2)-Q368-'Calc base'!AA368)</f>
        <v>0</v>
      </c>
      <c r="AD368">
        <f>MAX(0,ROUND(BB367*(1+'Calc base'!P368),2)-R368-'Calc base'!AB368)</f>
        <v>0</v>
      </c>
      <c r="AE368">
        <f>MAX(0,ROUND(BC367*(1+'Calc base'!Q368),2)-S368-'Calc base'!AC368)</f>
        <v>0</v>
      </c>
      <c r="AF368">
        <f>MAX(0,ROUND(BD367*(1+'Calc base'!R368),2)-T368-'Calc base'!AD368)</f>
        <v>0</v>
      </c>
      <c r="AG368">
        <f>MAX(0,ROUND(BE367*(1+'Calc base'!S368),2)-U368-'Calc base'!AE368)</f>
        <v>0</v>
      </c>
      <c r="AH368">
        <f>IF('Calc base'!C$14=0,0,MIN(V368,MAX(0,$E368-SUMPRODUCT($V368:$AG368,'Calc base'!$C$14:$N$14,('Calc base'!$H368:$S368&gt;'Calc base'!H368)+('Calc base'!$H368:$S368='Calc base'!H368)*('Calc base'!$C$17:$N$17&lt;'Calc base'!C$17)))))</f>
        <v>0</v>
      </c>
      <c r="AI368">
        <f>IF('Calc base'!D$14=0,0,MIN(W368,MAX(0,$E368-SUMPRODUCT($V368:$AG368,'Calc base'!$C$14:$N$14,('Calc base'!$H368:$S368&gt;'Calc base'!I368)+('Calc base'!$H368:$S368='Calc base'!I368)*('Calc base'!$C$17:$N$17&lt;'Calc base'!D$17)))))</f>
        <v>0</v>
      </c>
      <c r="AJ368">
        <f>IF('Calc base'!E$14=0,0,MIN(X368,MAX(0,$E368-SUMPRODUCT($V368:$AG368,'Calc base'!$C$14:$N$14,('Calc base'!$H368:$S368&gt;'Calc base'!J368)+('Calc base'!$H368:$S368='Calc base'!J368)*('Calc base'!$C$17:$N$17&lt;'Calc base'!E$17)))))</f>
        <v>0</v>
      </c>
      <c r="AK368">
        <f>IF('Calc base'!F$14=0,0,MIN(Y368,MAX(0,$E368-SUMPRODUCT($V368:$AG368,'Calc base'!$C$14:$N$14,('Calc base'!$H368:$S368&gt;'Calc base'!K368)+('Calc base'!$H368:$S368='Calc base'!K368)*('Calc base'!$C$17:$N$17&lt;'Calc base'!F$17)))))</f>
        <v>0</v>
      </c>
      <c r="AL368">
        <f>IF('Calc base'!G$14=0,0,MIN(Z368,MAX(0,$E368-SUMPRODUCT($V368:$AG368,'Calc base'!$C$14:$N$14,('Calc base'!$H368:$S368&gt;'Calc base'!L368)+('Calc base'!$H368:$S368='Calc base'!L368)*('Calc base'!$C$17:$N$17&lt;'Calc base'!G$17)))))</f>
        <v>0</v>
      </c>
      <c r="AM368">
        <f>IF('Calc base'!H$14=0,0,MIN(AA368,MAX(0,$E368-SUMPRODUCT($V368:$AG368,'Calc base'!$C$14:$N$14,('Calc base'!$H368:$S368&gt;'Calc base'!M368)+('Calc base'!$H368:$S368='Calc base'!M368)*('Calc base'!$C$17:$N$17&lt;'Calc base'!H$17)))))</f>
        <v>0</v>
      </c>
      <c r="AN368">
        <f>IF('Calc base'!I$14=0,0,MIN(AB368,MAX(0,$E368-SUMPRODUCT($V368:$AG368,'Calc base'!$C$14:$N$14,('Calc base'!$H368:$S368&gt;'Calc base'!N368)+('Calc base'!$H368:$S368='Calc base'!N368)*('Calc base'!$C$17:$N$17&lt;'Calc base'!I$17)))))</f>
        <v>0</v>
      </c>
      <c r="AO368">
        <f>IF('Calc base'!J$14=0,0,MIN(AC368,MAX(0,$E368-SUMPRODUCT($V368:$AG368,'Calc base'!$C$14:$N$14,('Calc base'!$H368:$S368&gt;'Calc base'!O368)+('Calc base'!$H368:$S368='Calc base'!O368)*('Calc base'!$C$17:$N$17&lt;'Calc base'!J$17)))))</f>
        <v>0</v>
      </c>
      <c r="AP368">
        <f>IF('Calc base'!K$14=0,0,MIN(AD368,MAX(0,$E368-SUMPRODUCT($V368:$AG368,'Calc base'!$C$14:$N$14,('Calc base'!$H368:$S368&gt;'Calc base'!P368)+('Calc base'!$H368:$S368='Calc base'!P368)*('Calc base'!$C$17:$N$17&lt;'Calc base'!K$17)))))</f>
        <v>0</v>
      </c>
      <c r="AQ368">
        <f>IF('Calc base'!L$14=0,0,MIN(AE368,MAX(0,$E368-SUMPRODUCT($V368:$AG368,'Calc base'!$C$14:$N$14,('Calc base'!$H368:$S368&gt;'Calc base'!Q368)+('Calc base'!$H368:$S368='Calc base'!Q368)*('Calc base'!$C$17:$N$17&lt;'Calc base'!L$17)))))</f>
        <v>0</v>
      </c>
      <c r="AR368">
        <f>IF('Calc base'!M$14=0,0,MIN(AF368,MAX(0,$E368-SUMPRODUCT($V368:$AG368,'Calc base'!$C$14:$N$14,('Calc base'!$H368:$S368&gt;'Calc base'!R368)+('Calc base'!$H368:$S368='Calc base'!R368)*('Calc base'!$C$17:$N$17&lt;'Calc base'!M$17)))))</f>
        <v>0</v>
      </c>
      <c r="AS368">
        <f>IF('Calc base'!N$14=0,0,MIN(AG368,MAX(0,$E368-SUMPRODUCT($V368:$AG368,'Calc base'!$C$14:$N$14,('Calc base'!$H368:$S368&gt;'Calc base'!S368)+('Calc base'!$H368:$S368='Calc base'!S368)*('Calc base'!$C$17:$N$17&lt;'Calc base'!N$17)))))</f>
        <v>0</v>
      </c>
      <c r="AT368">
        <f>V368-AH368</f>
        <v>0</v>
      </c>
      <c r="AU368">
        <f>W368-AI368</f>
        <v>0</v>
      </c>
      <c r="AV368">
        <f>X368-AJ368</f>
        <v>0</v>
      </c>
      <c r="AW368">
        <f>Y368-AK368</f>
        <v>0</v>
      </c>
      <c r="AX368">
        <f>Z368-AL368</f>
        <v>0</v>
      </c>
      <c r="AY368">
        <f>AA368-AM368</f>
        <v>0</v>
      </c>
      <c r="AZ368">
        <f>AB368-AN368</f>
        <v>0</v>
      </c>
      <c r="BA368">
        <f>AC368-AO368</f>
        <v>0</v>
      </c>
      <c r="BB368">
        <f>AD368-AP368</f>
        <v>0</v>
      </c>
      <c r="BC368">
        <f>AE368-AQ368</f>
        <v>0</v>
      </c>
      <c r="BD368">
        <f>AF368-AR368</f>
        <v>0</v>
      </c>
      <c r="BE368">
        <f>AG368-AS368</f>
        <v>0</v>
      </c>
    </row>
    <row r="369">
      <c r="A369" t="n">
        <v>339</v>
      </c>
      <c r="B369">
        <f>SUMPRODUCT(ROUND($AT368:$BE368*(1+'Calc base'!$H369:$S369),2))</f>
        <v>0</v>
      </c>
      <c r="C369">
        <f>SUM(J369:U369)</f>
        <v>0</v>
      </c>
      <c r="D369">
        <f>SUM(V369:AG369)</f>
        <v>0</v>
      </c>
      <c r="E369">
        <f>MAX(0,IF(Impostazioni!$B$7="No",'Calc base'!$C369-$C$31,'Calc base'!$C369-C369)+'Calc base'!$G369+'Calc base'!$F369-(B369-C369-D369))</f>
        <v>900</v>
      </c>
      <c r="F369">
        <f>SUM(AH369:AS369)</f>
        <v>0</v>
      </c>
      <c r="G369">
        <f>SUM(AT369:BE369)</f>
        <v>0</v>
      </c>
      <c r="H369">
        <f>B369-G368</f>
        <v>0</v>
      </c>
      <c r="I369">
        <f>B369-G369</f>
        <v>0</v>
      </c>
      <c r="J369">
        <f>IF(AT368&lt;=0,0,IF(ROUND(AT368*(1+'Calc base'!H369),2)-MAX('Calc base'!C$12,ROUND('Calc base'!C$13*AT368,2))&lt;1,ROUND(AT368*(1+'Calc base'!H369),2),MAX('Calc base'!C$12,ROUND('Calc base'!C$13*AT368,2))))</f>
        <v>0</v>
      </c>
      <c r="K369">
        <f>IF(AU368&lt;=0,0,IF(ROUND(AU368*(1+'Calc base'!I369),2)-MAX('Calc base'!D$12,ROUND('Calc base'!D$13*AU368,2))&lt;1,ROUND(AU368*(1+'Calc base'!I369),2),MAX('Calc base'!D$12,ROUND('Calc base'!D$13*AU368,2))))</f>
        <v>0</v>
      </c>
      <c r="L369">
        <f>IF(AV368&lt;=0,0,IF(ROUND(AV368*(1+'Calc base'!J369),2)-MAX('Calc base'!E$12,ROUND('Calc base'!E$13*AV368,2))&lt;1,ROUND(AV368*(1+'Calc base'!J369),2),MAX('Calc base'!E$12,ROUND('Calc base'!E$13*AV368,2))))</f>
        <v>0</v>
      </c>
      <c r="M369">
        <f>IF(AW368&lt;=0,0,IF(ROUND(AW368*(1+'Calc base'!K369),2)-MAX('Calc base'!F$12,ROUND('Calc base'!F$13*AW368,2))&lt;1,ROUND(AW368*(1+'Calc base'!K369),2),MAX('Calc base'!F$12,ROUND('Calc base'!F$13*AW368,2))))</f>
        <v>0</v>
      </c>
      <c r="N369">
        <f>IF(AX368&lt;=0,0,IF(ROUND(AX368*(1+'Calc base'!L369),2)-MAX('Calc base'!G$12,ROUND('Calc base'!G$13*AX368,2))&lt;1,ROUND(AX368*(1+'Calc base'!L369),2),MAX('Calc base'!G$12,ROUND('Calc base'!G$13*AX368,2))))</f>
        <v>0</v>
      </c>
      <c r="O369">
        <f>IF(AY368&lt;=0,0,IF(ROUND(AY368*(1+'Calc base'!M369),2)-MAX('Calc base'!H$12,ROUND('Calc base'!H$13*AY368,2))&lt;1,ROUND(AY368*(1+'Calc base'!M369),2),MAX('Calc base'!H$12,ROUND('Calc base'!H$13*AY368,2))))</f>
        <v>0</v>
      </c>
      <c r="P369">
        <f>IF(AZ368&lt;=0,0,IF(ROUND(AZ368*(1+'Calc base'!N369),2)-MAX('Calc base'!I$12,ROUND('Calc base'!I$13*AZ368,2))&lt;1,ROUND(AZ368*(1+'Calc base'!N369),2),MAX('Calc base'!I$12,ROUND('Calc base'!I$13*AZ368,2))))</f>
        <v>0</v>
      </c>
      <c r="Q369">
        <f>IF(BA368&lt;=0,0,IF(ROUND(BA368*(1+'Calc base'!O369),2)-MAX('Calc base'!J$12,ROUND('Calc base'!J$13*BA368,2))&lt;1,ROUND(BA368*(1+'Calc base'!O369),2),MAX('Calc base'!J$12,ROUND('Calc base'!J$13*BA368,2))))</f>
        <v>0</v>
      </c>
      <c r="R369">
        <f>IF(BB368&lt;=0,0,IF(ROUND(BB368*(1+'Calc base'!P369),2)-MAX('Calc base'!K$12,ROUND('Calc base'!K$13*BB368,2))&lt;1,ROUND(BB368*(1+'Calc base'!P369),2),MAX('Calc base'!K$12,ROUND('Calc base'!K$13*BB368,2))))</f>
        <v>0</v>
      </c>
      <c r="S369">
        <f>IF(BC368&lt;=0,0,IF(ROUND(BC368*(1+'Calc base'!Q369),2)-MAX('Calc base'!L$12,ROUND('Calc base'!L$13*BC368,2))&lt;1,ROUND(BC368*(1+'Calc base'!Q369),2),MAX('Calc base'!L$12,ROUND('Calc base'!L$13*BC368,2))))</f>
        <v>0</v>
      </c>
      <c r="T369">
        <f>IF(BD368&lt;=0,0,IF(ROUND(BD368*(1+'Calc base'!R369),2)-MAX('Calc base'!M$12,ROUND('Calc base'!M$13*BD368,2))&lt;1,ROUND(BD368*(1+'Calc base'!R369),2),MAX('Calc base'!M$12,ROUND('Calc base'!M$13*BD368,2))))</f>
        <v>0</v>
      </c>
      <c r="U369">
        <f>IF(BE368&lt;=0,0,IF(ROUND(BE368*(1+'Calc base'!S369),2)-MAX('Calc base'!N$12,ROUND('Calc base'!N$13*BE368,2))&lt;1,ROUND(BE368*(1+'Calc base'!S369),2),MAX('Calc base'!N$12,ROUND('Calc base'!N$13*BE368,2))))</f>
        <v>0</v>
      </c>
      <c r="V369">
        <f>MAX(0,ROUND(AT368*(1+'Calc base'!H369),2)-J369-'Calc base'!T369)</f>
        <v>0</v>
      </c>
      <c r="W369">
        <f>MAX(0,ROUND(AU368*(1+'Calc base'!I369),2)-K369-'Calc base'!U369)</f>
        <v>0</v>
      </c>
      <c r="X369">
        <f>MAX(0,ROUND(AV368*(1+'Calc base'!J369),2)-L369-'Calc base'!V369)</f>
        <v>0</v>
      </c>
      <c r="Y369">
        <f>MAX(0,ROUND(AW368*(1+'Calc base'!K369),2)-M369-'Calc base'!W369)</f>
        <v>0</v>
      </c>
      <c r="Z369">
        <f>MAX(0,ROUND(AX368*(1+'Calc base'!L369),2)-N369-'Calc base'!X369)</f>
        <v>0</v>
      </c>
      <c r="AA369">
        <f>MAX(0,ROUND(AY368*(1+'Calc base'!M369),2)-O369-'Calc base'!Y369)</f>
        <v>0</v>
      </c>
      <c r="AB369">
        <f>MAX(0,ROUND(AZ368*(1+'Calc base'!N369),2)-P369-'Calc base'!Z369)</f>
        <v>0</v>
      </c>
      <c r="AC369">
        <f>MAX(0,ROUND(BA368*(1+'Calc base'!O369),2)-Q369-'Calc base'!AA369)</f>
        <v>0</v>
      </c>
      <c r="AD369">
        <f>MAX(0,ROUND(BB368*(1+'Calc base'!P369),2)-R369-'Calc base'!AB369)</f>
        <v>0</v>
      </c>
      <c r="AE369">
        <f>MAX(0,ROUND(BC368*(1+'Calc base'!Q369),2)-S369-'Calc base'!AC369)</f>
        <v>0</v>
      </c>
      <c r="AF369">
        <f>MAX(0,ROUND(BD368*(1+'Calc base'!R369),2)-T369-'Calc base'!AD369)</f>
        <v>0</v>
      </c>
      <c r="AG369">
        <f>MAX(0,ROUND(BE368*(1+'Calc base'!S369),2)-U369-'Calc base'!AE369)</f>
        <v>0</v>
      </c>
      <c r="AH369">
        <f>IF('Calc base'!C$14=0,0,MIN(V369,MAX(0,$E369-SUMPRODUCT($V369:$AG369,'Calc base'!$C$14:$N$14,('Calc base'!$H369:$S369&gt;'Calc base'!H369)+('Calc base'!$H369:$S369='Calc base'!H369)*('Calc base'!$C$17:$N$17&lt;'Calc base'!C$17)))))</f>
        <v>0</v>
      </c>
      <c r="AI369">
        <f>IF('Calc base'!D$14=0,0,MIN(W369,MAX(0,$E369-SUMPRODUCT($V369:$AG369,'Calc base'!$C$14:$N$14,('Calc base'!$H369:$S369&gt;'Calc base'!I369)+('Calc base'!$H369:$S369='Calc base'!I369)*('Calc base'!$C$17:$N$17&lt;'Calc base'!D$17)))))</f>
        <v>0</v>
      </c>
      <c r="AJ369">
        <f>IF('Calc base'!E$14=0,0,MIN(X369,MAX(0,$E369-SUMPRODUCT($V369:$AG369,'Calc base'!$C$14:$N$14,('Calc base'!$H369:$S369&gt;'Calc base'!J369)+('Calc base'!$H369:$S369='Calc base'!J369)*('Calc base'!$C$17:$N$17&lt;'Calc base'!E$17)))))</f>
        <v>0</v>
      </c>
      <c r="AK369">
        <f>IF('Calc base'!F$14=0,0,MIN(Y369,MAX(0,$E369-SUMPRODUCT($V369:$AG369,'Calc base'!$C$14:$N$14,('Calc base'!$H369:$S369&gt;'Calc base'!K369)+('Calc base'!$H369:$S369='Calc base'!K369)*('Calc base'!$C$17:$N$17&lt;'Calc base'!F$17)))))</f>
        <v>0</v>
      </c>
      <c r="AL369">
        <f>IF('Calc base'!G$14=0,0,MIN(Z369,MAX(0,$E369-SUMPRODUCT($V369:$AG369,'Calc base'!$C$14:$N$14,('Calc base'!$H369:$S369&gt;'Calc base'!L369)+('Calc base'!$H369:$S369='Calc base'!L369)*('Calc base'!$C$17:$N$17&lt;'Calc base'!G$17)))))</f>
        <v>0</v>
      </c>
      <c r="AM369">
        <f>IF('Calc base'!H$14=0,0,MIN(AA369,MAX(0,$E369-SUMPRODUCT($V369:$AG369,'Calc base'!$C$14:$N$14,('Calc base'!$H369:$S369&gt;'Calc base'!M369)+('Calc base'!$H369:$S369='Calc base'!M369)*('Calc base'!$C$17:$N$17&lt;'Calc base'!H$17)))))</f>
        <v>0</v>
      </c>
      <c r="AN369">
        <f>IF('Calc base'!I$14=0,0,MIN(AB369,MAX(0,$E369-SUMPRODUCT($V369:$AG369,'Calc base'!$C$14:$N$14,('Calc base'!$H369:$S369&gt;'Calc base'!N369)+('Calc base'!$H369:$S369='Calc base'!N369)*('Calc base'!$C$17:$N$17&lt;'Calc base'!I$17)))))</f>
        <v>0</v>
      </c>
      <c r="AO369">
        <f>IF('Calc base'!J$14=0,0,MIN(AC369,MAX(0,$E369-SUMPRODUCT($V369:$AG369,'Calc base'!$C$14:$N$14,('Calc base'!$H369:$S369&gt;'Calc base'!O369)+('Calc base'!$H369:$S369='Calc base'!O369)*('Calc base'!$C$17:$N$17&lt;'Calc base'!J$17)))))</f>
        <v>0</v>
      </c>
      <c r="AP369">
        <f>IF('Calc base'!K$14=0,0,MIN(AD369,MAX(0,$E369-SUMPRODUCT($V369:$AG369,'Calc base'!$C$14:$N$14,('Calc base'!$H369:$S369&gt;'Calc base'!P369)+('Calc base'!$H369:$S369='Calc base'!P369)*('Calc base'!$C$17:$N$17&lt;'Calc base'!K$17)))))</f>
        <v>0</v>
      </c>
      <c r="AQ369">
        <f>IF('Calc base'!L$14=0,0,MIN(AE369,MAX(0,$E369-SUMPRODUCT($V369:$AG369,'Calc base'!$C$14:$N$14,('Calc base'!$H369:$S369&gt;'Calc base'!Q369)+('Calc base'!$H369:$S369='Calc base'!Q369)*('Calc base'!$C$17:$N$17&lt;'Calc base'!L$17)))))</f>
        <v>0</v>
      </c>
      <c r="AR369">
        <f>IF('Calc base'!M$14=0,0,MIN(AF369,MAX(0,$E369-SUMPRODUCT($V369:$AG369,'Calc base'!$C$14:$N$14,('Calc base'!$H369:$S369&gt;'Calc base'!R369)+('Calc base'!$H369:$S369='Calc base'!R369)*('Calc base'!$C$17:$N$17&lt;'Calc base'!M$17)))))</f>
        <v>0</v>
      </c>
      <c r="AS369">
        <f>IF('Calc base'!N$14=0,0,MIN(AG369,MAX(0,$E369-SUMPRODUCT($V369:$AG369,'Calc base'!$C$14:$N$14,('Calc base'!$H369:$S369&gt;'Calc base'!S369)+('Calc base'!$H369:$S369='Calc base'!S369)*('Calc base'!$C$17:$N$17&lt;'Calc base'!N$17)))))</f>
        <v>0</v>
      </c>
      <c r="AT369">
        <f>V369-AH369</f>
        <v>0</v>
      </c>
      <c r="AU369">
        <f>W369-AI369</f>
        <v>0</v>
      </c>
      <c r="AV369">
        <f>X369-AJ369</f>
        <v>0</v>
      </c>
      <c r="AW369">
        <f>Y369-AK369</f>
        <v>0</v>
      </c>
      <c r="AX369">
        <f>Z369-AL369</f>
        <v>0</v>
      </c>
      <c r="AY369">
        <f>AA369-AM369</f>
        <v>0</v>
      </c>
      <c r="AZ369">
        <f>AB369-AN369</f>
        <v>0</v>
      </c>
      <c r="BA369">
        <f>AC369-AO369</f>
        <v>0</v>
      </c>
      <c r="BB369">
        <f>AD369-AP369</f>
        <v>0</v>
      </c>
      <c r="BC369">
        <f>AE369-AQ369</f>
        <v>0</v>
      </c>
      <c r="BD369">
        <f>AF369-AR369</f>
        <v>0</v>
      </c>
      <c r="BE369">
        <f>AG369-AS369</f>
        <v>0</v>
      </c>
    </row>
    <row r="370">
      <c r="A370" t="n">
        <v>340</v>
      </c>
      <c r="B370">
        <f>SUMPRODUCT(ROUND($AT369:$BE369*(1+'Calc base'!$H370:$S370),2))</f>
        <v>0</v>
      </c>
      <c r="C370">
        <f>SUM(J370:U370)</f>
        <v>0</v>
      </c>
      <c r="D370">
        <f>SUM(V370:AG370)</f>
        <v>0</v>
      </c>
      <c r="E370">
        <f>MAX(0,IF(Impostazioni!$B$7="No",'Calc base'!$C370-$C$31,'Calc base'!$C370-C370)+'Calc base'!$G370+'Calc base'!$F370-(B370-C370-D370))</f>
        <v>900</v>
      </c>
      <c r="F370">
        <f>SUM(AH370:AS370)</f>
        <v>0</v>
      </c>
      <c r="G370">
        <f>SUM(AT370:BE370)</f>
        <v>0</v>
      </c>
      <c r="H370">
        <f>B370-G369</f>
        <v>0</v>
      </c>
      <c r="I370">
        <f>B370-G370</f>
        <v>0</v>
      </c>
      <c r="J370">
        <f>IF(AT369&lt;=0,0,IF(ROUND(AT369*(1+'Calc base'!H370),2)-MAX('Calc base'!C$12,ROUND('Calc base'!C$13*AT369,2))&lt;1,ROUND(AT369*(1+'Calc base'!H370),2),MAX('Calc base'!C$12,ROUND('Calc base'!C$13*AT369,2))))</f>
        <v>0</v>
      </c>
      <c r="K370">
        <f>IF(AU369&lt;=0,0,IF(ROUND(AU369*(1+'Calc base'!I370),2)-MAX('Calc base'!D$12,ROUND('Calc base'!D$13*AU369,2))&lt;1,ROUND(AU369*(1+'Calc base'!I370),2),MAX('Calc base'!D$12,ROUND('Calc base'!D$13*AU369,2))))</f>
        <v>0</v>
      </c>
      <c r="L370">
        <f>IF(AV369&lt;=0,0,IF(ROUND(AV369*(1+'Calc base'!J370),2)-MAX('Calc base'!E$12,ROUND('Calc base'!E$13*AV369,2))&lt;1,ROUND(AV369*(1+'Calc base'!J370),2),MAX('Calc base'!E$12,ROUND('Calc base'!E$13*AV369,2))))</f>
        <v>0</v>
      </c>
      <c r="M370">
        <f>IF(AW369&lt;=0,0,IF(ROUND(AW369*(1+'Calc base'!K370),2)-MAX('Calc base'!F$12,ROUND('Calc base'!F$13*AW369,2))&lt;1,ROUND(AW369*(1+'Calc base'!K370),2),MAX('Calc base'!F$12,ROUND('Calc base'!F$13*AW369,2))))</f>
        <v>0</v>
      </c>
      <c r="N370">
        <f>IF(AX369&lt;=0,0,IF(ROUND(AX369*(1+'Calc base'!L370),2)-MAX('Calc base'!G$12,ROUND('Calc base'!G$13*AX369,2))&lt;1,ROUND(AX369*(1+'Calc base'!L370),2),MAX('Calc base'!G$12,ROUND('Calc base'!G$13*AX369,2))))</f>
        <v>0</v>
      </c>
      <c r="O370">
        <f>IF(AY369&lt;=0,0,IF(ROUND(AY369*(1+'Calc base'!M370),2)-MAX('Calc base'!H$12,ROUND('Calc base'!H$13*AY369,2))&lt;1,ROUND(AY369*(1+'Calc base'!M370),2),MAX('Calc base'!H$12,ROUND('Calc base'!H$13*AY369,2))))</f>
        <v>0</v>
      </c>
      <c r="P370">
        <f>IF(AZ369&lt;=0,0,IF(ROUND(AZ369*(1+'Calc base'!N370),2)-MAX('Calc base'!I$12,ROUND('Calc base'!I$13*AZ369,2))&lt;1,ROUND(AZ369*(1+'Calc base'!N370),2),MAX('Calc base'!I$12,ROUND('Calc base'!I$13*AZ369,2))))</f>
        <v>0</v>
      </c>
      <c r="Q370">
        <f>IF(BA369&lt;=0,0,IF(ROUND(BA369*(1+'Calc base'!O370),2)-MAX('Calc base'!J$12,ROUND('Calc base'!J$13*BA369,2))&lt;1,ROUND(BA369*(1+'Calc base'!O370),2),MAX('Calc base'!J$12,ROUND('Calc base'!J$13*BA369,2))))</f>
        <v>0</v>
      </c>
      <c r="R370">
        <f>IF(BB369&lt;=0,0,IF(ROUND(BB369*(1+'Calc base'!P370),2)-MAX('Calc base'!K$12,ROUND('Calc base'!K$13*BB369,2))&lt;1,ROUND(BB369*(1+'Calc base'!P370),2),MAX('Calc base'!K$12,ROUND('Calc base'!K$13*BB369,2))))</f>
        <v>0</v>
      </c>
      <c r="S370">
        <f>IF(BC369&lt;=0,0,IF(ROUND(BC369*(1+'Calc base'!Q370),2)-MAX('Calc base'!L$12,ROUND('Calc base'!L$13*BC369,2))&lt;1,ROUND(BC369*(1+'Calc base'!Q370),2),MAX('Calc base'!L$12,ROUND('Calc base'!L$13*BC369,2))))</f>
        <v>0</v>
      </c>
      <c r="T370">
        <f>IF(BD369&lt;=0,0,IF(ROUND(BD369*(1+'Calc base'!R370),2)-MAX('Calc base'!M$12,ROUND('Calc base'!M$13*BD369,2))&lt;1,ROUND(BD369*(1+'Calc base'!R370),2),MAX('Calc base'!M$12,ROUND('Calc base'!M$13*BD369,2))))</f>
        <v>0</v>
      </c>
      <c r="U370">
        <f>IF(BE369&lt;=0,0,IF(ROUND(BE369*(1+'Calc base'!S370),2)-MAX('Calc base'!N$12,ROUND('Calc base'!N$13*BE369,2))&lt;1,ROUND(BE369*(1+'Calc base'!S370),2),MAX('Calc base'!N$12,ROUND('Calc base'!N$13*BE369,2))))</f>
        <v>0</v>
      </c>
      <c r="V370">
        <f>MAX(0,ROUND(AT369*(1+'Calc base'!H370),2)-J370-'Calc base'!T370)</f>
        <v>0</v>
      </c>
      <c r="W370">
        <f>MAX(0,ROUND(AU369*(1+'Calc base'!I370),2)-K370-'Calc base'!U370)</f>
        <v>0</v>
      </c>
      <c r="X370">
        <f>MAX(0,ROUND(AV369*(1+'Calc base'!J370),2)-L370-'Calc base'!V370)</f>
        <v>0</v>
      </c>
      <c r="Y370">
        <f>MAX(0,ROUND(AW369*(1+'Calc base'!K370),2)-M370-'Calc base'!W370)</f>
        <v>0</v>
      </c>
      <c r="Z370">
        <f>MAX(0,ROUND(AX369*(1+'Calc base'!L370),2)-N370-'Calc base'!X370)</f>
        <v>0</v>
      </c>
      <c r="AA370">
        <f>MAX(0,ROUND(AY369*(1+'Calc base'!M370),2)-O370-'Calc base'!Y370)</f>
        <v>0</v>
      </c>
      <c r="AB370">
        <f>MAX(0,ROUND(AZ369*(1+'Calc base'!N370),2)-P370-'Calc base'!Z370)</f>
        <v>0</v>
      </c>
      <c r="AC370">
        <f>MAX(0,ROUND(BA369*(1+'Calc base'!O370),2)-Q370-'Calc base'!AA370)</f>
        <v>0</v>
      </c>
      <c r="AD370">
        <f>MAX(0,ROUND(BB369*(1+'Calc base'!P370),2)-R370-'Calc base'!AB370)</f>
        <v>0</v>
      </c>
      <c r="AE370">
        <f>MAX(0,ROUND(BC369*(1+'Calc base'!Q370),2)-S370-'Calc base'!AC370)</f>
        <v>0</v>
      </c>
      <c r="AF370">
        <f>MAX(0,ROUND(BD369*(1+'Calc base'!R370),2)-T370-'Calc base'!AD370)</f>
        <v>0</v>
      </c>
      <c r="AG370">
        <f>MAX(0,ROUND(BE369*(1+'Calc base'!S370),2)-U370-'Calc base'!AE370)</f>
        <v>0</v>
      </c>
      <c r="AH370">
        <f>IF('Calc base'!C$14=0,0,MIN(V370,MAX(0,$E370-SUMPRODUCT($V370:$AG370,'Calc base'!$C$14:$N$14,('Calc base'!$H370:$S370&gt;'Calc base'!H370)+('Calc base'!$H370:$S370='Calc base'!H370)*('Calc base'!$C$17:$N$17&lt;'Calc base'!C$17)))))</f>
        <v>0</v>
      </c>
      <c r="AI370">
        <f>IF('Calc base'!D$14=0,0,MIN(W370,MAX(0,$E370-SUMPRODUCT($V370:$AG370,'Calc base'!$C$14:$N$14,('Calc base'!$H370:$S370&gt;'Calc base'!I370)+('Calc base'!$H370:$S370='Calc base'!I370)*('Calc base'!$C$17:$N$17&lt;'Calc base'!D$17)))))</f>
        <v>0</v>
      </c>
      <c r="AJ370">
        <f>IF('Calc base'!E$14=0,0,MIN(X370,MAX(0,$E370-SUMPRODUCT($V370:$AG370,'Calc base'!$C$14:$N$14,('Calc base'!$H370:$S370&gt;'Calc base'!J370)+('Calc base'!$H370:$S370='Calc base'!J370)*('Calc base'!$C$17:$N$17&lt;'Calc base'!E$17)))))</f>
        <v>0</v>
      </c>
      <c r="AK370">
        <f>IF('Calc base'!F$14=0,0,MIN(Y370,MAX(0,$E370-SUMPRODUCT($V370:$AG370,'Calc base'!$C$14:$N$14,('Calc base'!$H370:$S370&gt;'Calc base'!K370)+('Calc base'!$H370:$S370='Calc base'!K370)*('Calc base'!$C$17:$N$17&lt;'Calc base'!F$17)))))</f>
        <v>0</v>
      </c>
      <c r="AL370">
        <f>IF('Calc base'!G$14=0,0,MIN(Z370,MAX(0,$E370-SUMPRODUCT($V370:$AG370,'Calc base'!$C$14:$N$14,('Calc base'!$H370:$S370&gt;'Calc base'!L370)+('Calc base'!$H370:$S370='Calc base'!L370)*('Calc base'!$C$17:$N$17&lt;'Calc base'!G$17)))))</f>
        <v>0</v>
      </c>
      <c r="AM370">
        <f>IF('Calc base'!H$14=0,0,MIN(AA370,MAX(0,$E370-SUMPRODUCT($V370:$AG370,'Calc base'!$C$14:$N$14,('Calc base'!$H370:$S370&gt;'Calc base'!M370)+('Calc base'!$H370:$S370='Calc base'!M370)*('Calc base'!$C$17:$N$17&lt;'Calc base'!H$17)))))</f>
        <v>0</v>
      </c>
      <c r="AN370">
        <f>IF('Calc base'!I$14=0,0,MIN(AB370,MAX(0,$E370-SUMPRODUCT($V370:$AG370,'Calc base'!$C$14:$N$14,('Calc base'!$H370:$S370&gt;'Calc base'!N370)+('Calc base'!$H370:$S370='Calc base'!N370)*('Calc base'!$C$17:$N$17&lt;'Calc base'!I$17)))))</f>
        <v>0</v>
      </c>
      <c r="AO370">
        <f>IF('Calc base'!J$14=0,0,MIN(AC370,MAX(0,$E370-SUMPRODUCT($V370:$AG370,'Calc base'!$C$14:$N$14,('Calc base'!$H370:$S370&gt;'Calc base'!O370)+('Calc base'!$H370:$S370='Calc base'!O370)*('Calc base'!$C$17:$N$17&lt;'Calc base'!J$17)))))</f>
        <v>0</v>
      </c>
      <c r="AP370">
        <f>IF('Calc base'!K$14=0,0,MIN(AD370,MAX(0,$E370-SUMPRODUCT($V370:$AG370,'Calc base'!$C$14:$N$14,('Calc base'!$H370:$S370&gt;'Calc base'!P370)+('Calc base'!$H370:$S370='Calc base'!P370)*('Calc base'!$C$17:$N$17&lt;'Calc base'!K$17)))))</f>
        <v>0</v>
      </c>
      <c r="AQ370">
        <f>IF('Calc base'!L$14=0,0,MIN(AE370,MAX(0,$E370-SUMPRODUCT($V370:$AG370,'Calc base'!$C$14:$N$14,('Calc base'!$H370:$S370&gt;'Calc base'!Q370)+('Calc base'!$H370:$S370='Calc base'!Q370)*('Calc base'!$C$17:$N$17&lt;'Calc base'!L$17)))))</f>
        <v>0</v>
      </c>
      <c r="AR370">
        <f>IF('Calc base'!M$14=0,0,MIN(AF370,MAX(0,$E370-SUMPRODUCT($V370:$AG370,'Calc base'!$C$14:$N$14,('Calc base'!$H370:$S370&gt;'Calc base'!R370)+('Calc base'!$H370:$S370='Calc base'!R370)*('Calc base'!$C$17:$N$17&lt;'Calc base'!M$17)))))</f>
        <v>0</v>
      </c>
      <c r="AS370">
        <f>IF('Calc base'!N$14=0,0,MIN(AG370,MAX(0,$E370-SUMPRODUCT($V370:$AG370,'Calc base'!$C$14:$N$14,('Calc base'!$H370:$S370&gt;'Calc base'!S370)+('Calc base'!$H370:$S370='Calc base'!S370)*('Calc base'!$C$17:$N$17&lt;'Calc base'!N$17)))))</f>
        <v>0</v>
      </c>
      <c r="AT370">
        <f>V370-AH370</f>
        <v>0</v>
      </c>
      <c r="AU370">
        <f>W370-AI370</f>
        <v>0</v>
      </c>
      <c r="AV370">
        <f>X370-AJ370</f>
        <v>0</v>
      </c>
      <c r="AW370">
        <f>Y370-AK370</f>
        <v>0</v>
      </c>
      <c r="AX370">
        <f>Z370-AL370</f>
        <v>0</v>
      </c>
      <c r="AY370">
        <f>AA370-AM370</f>
        <v>0</v>
      </c>
      <c r="AZ370">
        <f>AB370-AN370</f>
        <v>0</v>
      </c>
      <c r="BA370">
        <f>AC370-AO370</f>
        <v>0</v>
      </c>
      <c r="BB370">
        <f>AD370-AP370</f>
        <v>0</v>
      </c>
      <c r="BC370">
        <f>AE370-AQ370</f>
        <v>0</v>
      </c>
      <c r="BD370">
        <f>AF370-AR370</f>
        <v>0</v>
      </c>
      <c r="BE370">
        <f>AG370-AS370</f>
        <v>0</v>
      </c>
    </row>
    <row r="371">
      <c r="A371" t="n">
        <v>341</v>
      </c>
      <c r="B371">
        <f>SUMPRODUCT(ROUND($AT370:$BE370*(1+'Calc base'!$H371:$S371),2))</f>
        <v>0</v>
      </c>
      <c r="C371">
        <f>SUM(J371:U371)</f>
        <v>0</v>
      </c>
      <c r="D371">
        <f>SUM(V371:AG371)</f>
        <v>0</v>
      </c>
      <c r="E371">
        <f>MAX(0,IF(Impostazioni!$B$7="No",'Calc base'!$C371-$C$31,'Calc base'!$C371-C371)+'Calc base'!$G371+'Calc base'!$F371-(B371-C371-D371))</f>
        <v>900</v>
      </c>
      <c r="F371">
        <f>SUM(AH371:AS371)</f>
        <v>0</v>
      </c>
      <c r="G371">
        <f>SUM(AT371:BE371)</f>
        <v>0</v>
      </c>
      <c r="H371">
        <f>B371-G370</f>
        <v>0</v>
      </c>
      <c r="I371">
        <f>B371-G371</f>
        <v>0</v>
      </c>
      <c r="J371">
        <f>IF(AT370&lt;=0,0,IF(ROUND(AT370*(1+'Calc base'!H371),2)-MAX('Calc base'!C$12,ROUND('Calc base'!C$13*AT370,2))&lt;1,ROUND(AT370*(1+'Calc base'!H371),2),MAX('Calc base'!C$12,ROUND('Calc base'!C$13*AT370,2))))</f>
        <v>0</v>
      </c>
      <c r="K371">
        <f>IF(AU370&lt;=0,0,IF(ROUND(AU370*(1+'Calc base'!I371),2)-MAX('Calc base'!D$12,ROUND('Calc base'!D$13*AU370,2))&lt;1,ROUND(AU370*(1+'Calc base'!I371),2),MAX('Calc base'!D$12,ROUND('Calc base'!D$13*AU370,2))))</f>
        <v>0</v>
      </c>
      <c r="L371">
        <f>IF(AV370&lt;=0,0,IF(ROUND(AV370*(1+'Calc base'!J371),2)-MAX('Calc base'!E$12,ROUND('Calc base'!E$13*AV370,2))&lt;1,ROUND(AV370*(1+'Calc base'!J371),2),MAX('Calc base'!E$12,ROUND('Calc base'!E$13*AV370,2))))</f>
        <v>0</v>
      </c>
      <c r="M371">
        <f>IF(AW370&lt;=0,0,IF(ROUND(AW370*(1+'Calc base'!K371),2)-MAX('Calc base'!F$12,ROUND('Calc base'!F$13*AW370,2))&lt;1,ROUND(AW370*(1+'Calc base'!K371),2),MAX('Calc base'!F$12,ROUND('Calc base'!F$13*AW370,2))))</f>
        <v>0</v>
      </c>
      <c r="N371">
        <f>IF(AX370&lt;=0,0,IF(ROUND(AX370*(1+'Calc base'!L371),2)-MAX('Calc base'!G$12,ROUND('Calc base'!G$13*AX370,2))&lt;1,ROUND(AX370*(1+'Calc base'!L371),2),MAX('Calc base'!G$12,ROUND('Calc base'!G$13*AX370,2))))</f>
        <v>0</v>
      </c>
      <c r="O371">
        <f>IF(AY370&lt;=0,0,IF(ROUND(AY370*(1+'Calc base'!M371),2)-MAX('Calc base'!H$12,ROUND('Calc base'!H$13*AY370,2))&lt;1,ROUND(AY370*(1+'Calc base'!M371),2),MAX('Calc base'!H$12,ROUND('Calc base'!H$13*AY370,2))))</f>
        <v>0</v>
      </c>
      <c r="P371">
        <f>IF(AZ370&lt;=0,0,IF(ROUND(AZ370*(1+'Calc base'!N371),2)-MAX('Calc base'!I$12,ROUND('Calc base'!I$13*AZ370,2))&lt;1,ROUND(AZ370*(1+'Calc base'!N371),2),MAX('Calc base'!I$12,ROUND('Calc base'!I$13*AZ370,2))))</f>
        <v>0</v>
      </c>
      <c r="Q371">
        <f>IF(BA370&lt;=0,0,IF(ROUND(BA370*(1+'Calc base'!O371),2)-MAX('Calc base'!J$12,ROUND('Calc base'!J$13*BA370,2))&lt;1,ROUND(BA370*(1+'Calc base'!O371),2),MAX('Calc base'!J$12,ROUND('Calc base'!J$13*BA370,2))))</f>
        <v>0</v>
      </c>
      <c r="R371">
        <f>IF(BB370&lt;=0,0,IF(ROUND(BB370*(1+'Calc base'!P371),2)-MAX('Calc base'!K$12,ROUND('Calc base'!K$13*BB370,2))&lt;1,ROUND(BB370*(1+'Calc base'!P371),2),MAX('Calc base'!K$12,ROUND('Calc base'!K$13*BB370,2))))</f>
        <v>0</v>
      </c>
      <c r="S371">
        <f>IF(BC370&lt;=0,0,IF(ROUND(BC370*(1+'Calc base'!Q371),2)-MAX('Calc base'!L$12,ROUND('Calc base'!L$13*BC370,2))&lt;1,ROUND(BC370*(1+'Calc base'!Q371),2),MAX('Calc base'!L$12,ROUND('Calc base'!L$13*BC370,2))))</f>
        <v>0</v>
      </c>
      <c r="T371">
        <f>IF(BD370&lt;=0,0,IF(ROUND(BD370*(1+'Calc base'!R371),2)-MAX('Calc base'!M$12,ROUND('Calc base'!M$13*BD370,2))&lt;1,ROUND(BD370*(1+'Calc base'!R371),2),MAX('Calc base'!M$12,ROUND('Calc base'!M$13*BD370,2))))</f>
        <v>0</v>
      </c>
      <c r="U371">
        <f>IF(BE370&lt;=0,0,IF(ROUND(BE370*(1+'Calc base'!S371),2)-MAX('Calc base'!N$12,ROUND('Calc base'!N$13*BE370,2))&lt;1,ROUND(BE370*(1+'Calc base'!S371),2),MAX('Calc base'!N$12,ROUND('Calc base'!N$13*BE370,2))))</f>
        <v>0</v>
      </c>
      <c r="V371">
        <f>MAX(0,ROUND(AT370*(1+'Calc base'!H371),2)-J371-'Calc base'!T371)</f>
        <v>0</v>
      </c>
      <c r="W371">
        <f>MAX(0,ROUND(AU370*(1+'Calc base'!I371),2)-K371-'Calc base'!U371)</f>
        <v>0</v>
      </c>
      <c r="X371">
        <f>MAX(0,ROUND(AV370*(1+'Calc base'!J371),2)-L371-'Calc base'!V371)</f>
        <v>0</v>
      </c>
      <c r="Y371">
        <f>MAX(0,ROUND(AW370*(1+'Calc base'!K371),2)-M371-'Calc base'!W371)</f>
        <v>0</v>
      </c>
      <c r="Z371">
        <f>MAX(0,ROUND(AX370*(1+'Calc base'!L371),2)-N371-'Calc base'!X371)</f>
        <v>0</v>
      </c>
      <c r="AA371">
        <f>MAX(0,ROUND(AY370*(1+'Calc base'!M371),2)-O371-'Calc base'!Y371)</f>
        <v>0</v>
      </c>
      <c r="AB371">
        <f>MAX(0,ROUND(AZ370*(1+'Calc base'!N371),2)-P371-'Calc base'!Z371)</f>
        <v>0</v>
      </c>
      <c r="AC371">
        <f>MAX(0,ROUND(BA370*(1+'Calc base'!O371),2)-Q371-'Calc base'!AA371)</f>
        <v>0</v>
      </c>
      <c r="AD371">
        <f>MAX(0,ROUND(BB370*(1+'Calc base'!P371),2)-R371-'Calc base'!AB371)</f>
        <v>0</v>
      </c>
      <c r="AE371">
        <f>MAX(0,ROUND(BC370*(1+'Calc base'!Q371),2)-S371-'Calc base'!AC371)</f>
        <v>0</v>
      </c>
      <c r="AF371">
        <f>MAX(0,ROUND(BD370*(1+'Calc base'!R371),2)-T371-'Calc base'!AD371)</f>
        <v>0</v>
      </c>
      <c r="AG371">
        <f>MAX(0,ROUND(BE370*(1+'Calc base'!S371),2)-U371-'Calc base'!AE371)</f>
        <v>0</v>
      </c>
      <c r="AH371">
        <f>IF('Calc base'!C$14=0,0,MIN(V371,MAX(0,$E371-SUMPRODUCT($V371:$AG371,'Calc base'!$C$14:$N$14,('Calc base'!$H371:$S371&gt;'Calc base'!H371)+('Calc base'!$H371:$S371='Calc base'!H371)*('Calc base'!$C$17:$N$17&lt;'Calc base'!C$17)))))</f>
        <v>0</v>
      </c>
      <c r="AI371">
        <f>IF('Calc base'!D$14=0,0,MIN(W371,MAX(0,$E371-SUMPRODUCT($V371:$AG371,'Calc base'!$C$14:$N$14,('Calc base'!$H371:$S371&gt;'Calc base'!I371)+('Calc base'!$H371:$S371='Calc base'!I371)*('Calc base'!$C$17:$N$17&lt;'Calc base'!D$17)))))</f>
        <v>0</v>
      </c>
      <c r="AJ371">
        <f>IF('Calc base'!E$14=0,0,MIN(X371,MAX(0,$E371-SUMPRODUCT($V371:$AG371,'Calc base'!$C$14:$N$14,('Calc base'!$H371:$S371&gt;'Calc base'!J371)+('Calc base'!$H371:$S371='Calc base'!J371)*('Calc base'!$C$17:$N$17&lt;'Calc base'!E$17)))))</f>
        <v>0</v>
      </c>
      <c r="AK371">
        <f>IF('Calc base'!F$14=0,0,MIN(Y371,MAX(0,$E371-SUMPRODUCT($V371:$AG371,'Calc base'!$C$14:$N$14,('Calc base'!$H371:$S371&gt;'Calc base'!K371)+('Calc base'!$H371:$S371='Calc base'!K371)*('Calc base'!$C$17:$N$17&lt;'Calc base'!F$17)))))</f>
        <v>0</v>
      </c>
      <c r="AL371">
        <f>IF('Calc base'!G$14=0,0,MIN(Z371,MAX(0,$E371-SUMPRODUCT($V371:$AG371,'Calc base'!$C$14:$N$14,('Calc base'!$H371:$S371&gt;'Calc base'!L371)+('Calc base'!$H371:$S371='Calc base'!L371)*('Calc base'!$C$17:$N$17&lt;'Calc base'!G$17)))))</f>
        <v>0</v>
      </c>
      <c r="AM371">
        <f>IF('Calc base'!H$14=0,0,MIN(AA371,MAX(0,$E371-SUMPRODUCT($V371:$AG371,'Calc base'!$C$14:$N$14,('Calc base'!$H371:$S371&gt;'Calc base'!M371)+('Calc base'!$H371:$S371='Calc base'!M371)*('Calc base'!$C$17:$N$17&lt;'Calc base'!H$17)))))</f>
        <v>0</v>
      </c>
      <c r="AN371">
        <f>IF('Calc base'!I$14=0,0,MIN(AB371,MAX(0,$E371-SUMPRODUCT($V371:$AG371,'Calc base'!$C$14:$N$14,('Calc base'!$H371:$S371&gt;'Calc base'!N371)+('Calc base'!$H371:$S371='Calc base'!N371)*('Calc base'!$C$17:$N$17&lt;'Calc base'!I$17)))))</f>
        <v>0</v>
      </c>
      <c r="AO371">
        <f>IF('Calc base'!J$14=0,0,MIN(AC371,MAX(0,$E371-SUMPRODUCT($V371:$AG371,'Calc base'!$C$14:$N$14,('Calc base'!$H371:$S371&gt;'Calc base'!O371)+('Calc base'!$H371:$S371='Calc base'!O371)*('Calc base'!$C$17:$N$17&lt;'Calc base'!J$17)))))</f>
        <v>0</v>
      </c>
      <c r="AP371">
        <f>IF('Calc base'!K$14=0,0,MIN(AD371,MAX(0,$E371-SUMPRODUCT($V371:$AG371,'Calc base'!$C$14:$N$14,('Calc base'!$H371:$S371&gt;'Calc base'!P371)+('Calc base'!$H371:$S371='Calc base'!P371)*('Calc base'!$C$17:$N$17&lt;'Calc base'!K$17)))))</f>
        <v>0</v>
      </c>
      <c r="AQ371">
        <f>IF('Calc base'!L$14=0,0,MIN(AE371,MAX(0,$E371-SUMPRODUCT($V371:$AG371,'Calc base'!$C$14:$N$14,('Calc base'!$H371:$S371&gt;'Calc base'!Q371)+('Calc base'!$H371:$S371='Calc base'!Q371)*('Calc base'!$C$17:$N$17&lt;'Calc base'!L$17)))))</f>
        <v>0</v>
      </c>
      <c r="AR371">
        <f>IF('Calc base'!M$14=0,0,MIN(AF371,MAX(0,$E371-SUMPRODUCT($V371:$AG371,'Calc base'!$C$14:$N$14,('Calc base'!$H371:$S371&gt;'Calc base'!R371)+('Calc base'!$H371:$S371='Calc base'!R371)*('Calc base'!$C$17:$N$17&lt;'Calc base'!M$17)))))</f>
        <v>0</v>
      </c>
      <c r="AS371">
        <f>IF('Calc base'!N$14=0,0,MIN(AG371,MAX(0,$E371-SUMPRODUCT($V371:$AG371,'Calc base'!$C$14:$N$14,('Calc base'!$H371:$S371&gt;'Calc base'!S371)+('Calc base'!$H371:$S371='Calc base'!S371)*('Calc base'!$C$17:$N$17&lt;'Calc base'!N$17)))))</f>
        <v>0</v>
      </c>
      <c r="AT371">
        <f>V371-AH371</f>
        <v>0</v>
      </c>
      <c r="AU371">
        <f>W371-AI371</f>
        <v>0</v>
      </c>
      <c r="AV371">
        <f>X371-AJ371</f>
        <v>0</v>
      </c>
      <c r="AW371">
        <f>Y371-AK371</f>
        <v>0</v>
      </c>
      <c r="AX371">
        <f>Z371-AL371</f>
        <v>0</v>
      </c>
      <c r="AY371">
        <f>AA371-AM371</f>
        <v>0</v>
      </c>
      <c r="AZ371">
        <f>AB371-AN371</f>
        <v>0</v>
      </c>
      <c r="BA371">
        <f>AC371-AO371</f>
        <v>0</v>
      </c>
      <c r="BB371">
        <f>AD371-AP371</f>
        <v>0</v>
      </c>
      <c r="BC371">
        <f>AE371-AQ371</f>
        <v>0</v>
      </c>
      <c r="BD371">
        <f>AF371-AR371</f>
        <v>0</v>
      </c>
      <c r="BE371">
        <f>AG371-AS371</f>
        <v>0</v>
      </c>
    </row>
    <row r="372">
      <c r="A372" t="n">
        <v>342</v>
      </c>
      <c r="B372">
        <f>SUMPRODUCT(ROUND($AT371:$BE371*(1+'Calc base'!$H372:$S372),2))</f>
        <v>0</v>
      </c>
      <c r="C372">
        <f>SUM(J372:U372)</f>
        <v>0</v>
      </c>
      <c r="D372">
        <f>SUM(V372:AG372)</f>
        <v>0</v>
      </c>
      <c r="E372">
        <f>MAX(0,IF(Impostazioni!$B$7="No",'Calc base'!$C372-$C$31,'Calc base'!$C372-C372)+'Calc base'!$G372+'Calc base'!$F372-(B372-C372-D372))</f>
        <v>900</v>
      </c>
      <c r="F372">
        <f>SUM(AH372:AS372)</f>
        <v>0</v>
      </c>
      <c r="G372">
        <f>SUM(AT372:BE372)</f>
        <v>0</v>
      </c>
      <c r="H372">
        <f>B372-G371</f>
        <v>0</v>
      </c>
      <c r="I372">
        <f>B372-G372</f>
        <v>0</v>
      </c>
      <c r="J372">
        <f>IF(AT371&lt;=0,0,IF(ROUND(AT371*(1+'Calc base'!H372),2)-MAX('Calc base'!C$12,ROUND('Calc base'!C$13*AT371,2))&lt;1,ROUND(AT371*(1+'Calc base'!H372),2),MAX('Calc base'!C$12,ROUND('Calc base'!C$13*AT371,2))))</f>
        <v>0</v>
      </c>
      <c r="K372">
        <f>IF(AU371&lt;=0,0,IF(ROUND(AU371*(1+'Calc base'!I372),2)-MAX('Calc base'!D$12,ROUND('Calc base'!D$13*AU371,2))&lt;1,ROUND(AU371*(1+'Calc base'!I372),2),MAX('Calc base'!D$12,ROUND('Calc base'!D$13*AU371,2))))</f>
        <v>0</v>
      </c>
      <c r="L372">
        <f>IF(AV371&lt;=0,0,IF(ROUND(AV371*(1+'Calc base'!J372),2)-MAX('Calc base'!E$12,ROUND('Calc base'!E$13*AV371,2))&lt;1,ROUND(AV371*(1+'Calc base'!J372),2),MAX('Calc base'!E$12,ROUND('Calc base'!E$13*AV371,2))))</f>
        <v>0</v>
      </c>
      <c r="M372">
        <f>IF(AW371&lt;=0,0,IF(ROUND(AW371*(1+'Calc base'!K372),2)-MAX('Calc base'!F$12,ROUND('Calc base'!F$13*AW371,2))&lt;1,ROUND(AW371*(1+'Calc base'!K372),2),MAX('Calc base'!F$12,ROUND('Calc base'!F$13*AW371,2))))</f>
        <v>0</v>
      </c>
      <c r="N372">
        <f>IF(AX371&lt;=0,0,IF(ROUND(AX371*(1+'Calc base'!L372),2)-MAX('Calc base'!G$12,ROUND('Calc base'!G$13*AX371,2))&lt;1,ROUND(AX371*(1+'Calc base'!L372),2),MAX('Calc base'!G$12,ROUND('Calc base'!G$13*AX371,2))))</f>
        <v>0</v>
      </c>
      <c r="O372">
        <f>IF(AY371&lt;=0,0,IF(ROUND(AY371*(1+'Calc base'!M372),2)-MAX('Calc base'!H$12,ROUND('Calc base'!H$13*AY371,2))&lt;1,ROUND(AY371*(1+'Calc base'!M372),2),MAX('Calc base'!H$12,ROUND('Calc base'!H$13*AY371,2))))</f>
        <v>0</v>
      </c>
      <c r="P372">
        <f>IF(AZ371&lt;=0,0,IF(ROUND(AZ371*(1+'Calc base'!N372),2)-MAX('Calc base'!I$12,ROUND('Calc base'!I$13*AZ371,2))&lt;1,ROUND(AZ371*(1+'Calc base'!N372),2),MAX('Calc base'!I$12,ROUND('Calc base'!I$13*AZ371,2))))</f>
        <v>0</v>
      </c>
      <c r="Q372">
        <f>IF(BA371&lt;=0,0,IF(ROUND(BA371*(1+'Calc base'!O372),2)-MAX('Calc base'!J$12,ROUND('Calc base'!J$13*BA371,2))&lt;1,ROUND(BA371*(1+'Calc base'!O372),2),MAX('Calc base'!J$12,ROUND('Calc base'!J$13*BA371,2))))</f>
        <v>0</v>
      </c>
      <c r="R372">
        <f>IF(BB371&lt;=0,0,IF(ROUND(BB371*(1+'Calc base'!P372),2)-MAX('Calc base'!K$12,ROUND('Calc base'!K$13*BB371,2))&lt;1,ROUND(BB371*(1+'Calc base'!P372),2),MAX('Calc base'!K$12,ROUND('Calc base'!K$13*BB371,2))))</f>
        <v>0</v>
      </c>
      <c r="S372">
        <f>IF(BC371&lt;=0,0,IF(ROUND(BC371*(1+'Calc base'!Q372),2)-MAX('Calc base'!L$12,ROUND('Calc base'!L$13*BC371,2))&lt;1,ROUND(BC371*(1+'Calc base'!Q372),2),MAX('Calc base'!L$12,ROUND('Calc base'!L$13*BC371,2))))</f>
        <v>0</v>
      </c>
      <c r="T372">
        <f>IF(BD371&lt;=0,0,IF(ROUND(BD371*(1+'Calc base'!R372),2)-MAX('Calc base'!M$12,ROUND('Calc base'!M$13*BD371,2))&lt;1,ROUND(BD371*(1+'Calc base'!R372),2),MAX('Calc base'!M$12,ROUND('Calc base'!M$13*BD371,2))))</f>
        <v>0</v>
      </c>
      <c r="U372">
        <f>IF(BE371&lt;=0,0,IF(ROUND(BE371*(1+'Calc base'!S372),2)-MAX('Calc base'!N$12,ROUND('Calc base'!N$13*BE371,2))&lt;1,ROUND(BE371*(1+'Calc base'!S372),2),MAX('Calc base'!N$12,ROUND('Calc base'!N$13*BE371,2))))</f>
        <v>0</v>
      </c>
      <c r="V372">
        <f>MAX(0,ROUND(AT371*(1+'Calc base'!H372),2)-J372-'Calc base'!T372)</f>
        <v>0</v>
      </c>
      <c r="W372">
        <f>MAX(0,ROUND(AU371*(1+'Calc base'!I372),2)-K372-'Calc base'!U372)</f>
        <v>0</v>
      </c>
      <c r="X372">
        <f>MAX(0,ROUND(AV371*(1+'Calc base'!J372),2)-L372-'Calc base'!V372)</f>
        <v>0</v>
      </c>
      <c r="Y372">
        <f>MAX(0,ROUND(AW371*(1+'Calc base'!K372),2)-M372-'Calc base'!W372)</f>
        <v>0</v>
      </c>
      <c r="Z372">
        <f>MAX(0,ROUND(AX371*(1+'Calc base'!L372),2)-N372-'Calc base'!X372)</f>
        <v>0</v>
      </c>
      <c r="AA372">
        <f>MAX(0,ROUND(AY371*(1+'Calc base'!M372),2)-O372-'Calc base'!Y372)</f>
        <v>0</v>
      </c>
      <c r="AB372">
        <f>MAX(0,ROUND(AZ371*(1+'Calc base'!N372),2)-P372-'Calc base'!Z372)</f>
        <v>0</v>
      </c>
      <c r="AC372">
        <f>MAX(0,ROUND(BA371*(1+'Calc base'!O372),2)-Q372-'Calc base'!AA372)</f>
        <v>0</v>
      </c>
      <c r="AD372">
        <f>MAX(0,ROUND(BB371*(1+'Calc base'!P372),2)-R372-'Calc base'!AB372)</f>
        <v>0</v>
      </c>
      <c r="AE372">
        <f>MAX(0,ROUND(BC371*(1+'Calc base'!Q372),2)-S372-'Calc base'!AC372)</f>
        <v>0</v>
      </c>
      <c r="AF372">
        <f>MAX(0,ROUND(BD371*(1+'Calc base'!R372),2)-T372-'Calc base'!AD372)</f>
        <v>0</v>
      </c>
      <c r="AG372">
        <f>MAX(0,ROUND(BE371*(1+'Calc base'!S372),2)-U372-'Calc base'!AE372)</f>
        <v>0</v>
      </c>
      <c r="AH372">
        <f>IF('Calc base'!C$14=0,0,MIN(V372,MAX(0,$E372-SUMPRODUCT($V372:$AG372,'Calc base'!$C$14:$N$14,('Calc base'!$H372:$S372&gt;'Calc base'!H372)+('Calc base'!$H372:$S372='Calc base'!H372)*('Calc base'!$C$17:$N$17&lt;'Calc base'!C$17)))))</f>
        <v>0</v>
      </c>
      <c r="AI372">
        <f>IF('Calc base'!D$14=0,0,MIN(W372,MAX(0,$E372-SUMPRODUCT($V372:$AG372,'Calc base'!$C$14:$N$14,('Calc base'!$H372:$S372&gt;'Calc base'!I372)+('Calc base'!$H372:$S372='Calc base'!I372)*('Calc base'!$C$17:$N$17&lt;'Calc base'!D$17)))))</f>
        <v>0</v>
      </c>
      <c r="AJ372">
        <f>IF('Calc base'!E$14=0,0,MIN(X372,MAX(0,$E372-SUMPRODUCT($V372:$AG372,'Calc base'!$C$14:$N$14,('Calc base'!$H372:$S372&gt;'Calc base'!J372)+('Calc base'!$H372:$S372='Calc base'!J372)*('Calc base'!$C$17:$N$17&lt;'Calc base'!E$17)))))</f>
        <v>0</v>
      </c>
      <c r="AK372">
        <f>IF('Calc base'!F$14=0,0,MIN(Y372,MAX(0,$E372-SUMPRODUCT($V372:$AG372,'Calc base'!$C$14:$N$14,('Calc base'!$H372:$S372&gt;'Calc base'!K372)+('Calc base'!$H372:$S372='Calc base'!K372)*('Calc base'!$C$17:$N$17&lt;'Calc base'!F$17)))))</f>
        <v>0</v>
      </c>
      <c r="AL372">
        <f>IF('Calc base'!G$14=0,0,MIN(Z372,MAX(0,$E372-SUMPRODUCT($V372:$AG372,'Calc base'!$C$14:$N$14,('Calc base'!$H372:$S372&gt;'Calc base'!L372)+('Calc base'!$H372:$S372='Calc base'!L372)*('Calc base'!$C$17:$N$17&lt;'Calc base'!G$17)))))</f>
        <v>0</v>
      </c>
      <c r="AM372">
        <f>IF('Calc base'!H$14=0,0,MIN(AA372,MAX(0,$E372-SUMPRODUCT($V372:$AG372,'Calc base'!$C$14:$N$14,('Calc base'!$H372:$S372&gt;'Calc base'!M372)+('Calc base'!$H372:$S372='Calc base'!M372)*('Calc base'!$C$17:$N$17&lt;'Calc base'!H$17)))))</f>
        <v>0</v>
      </c>
      <c r="AN372">
        <f>IF('Calc base'!I$14=0,0,MIN(AB372,MAX(0,$E372-SUMPRODUCT($V372:$AG372,'Calc base'!$C$14:$N$14,('Calc base'!$H372:$S372&gt;'Calc base'!N372)+('Calc base'!$H372:$S372='Calc base'!N372)*('Calc base'!$C$17:$N$17&lt;'Calc base'!I$17)))))</f>
        <v>0</v>
      </c>
      <c r="AO372">
        <f>IF('Calc base'!J$14=0,0,MIN(AC372,MAX(0,$E372-SUMPRODUCT($V372:$AG372,'Calc base'!$C$14:$N$14,('Calc base'!$H372:$S372&gt;'Calc base'!O372)+('Calc base'!$H372:$S372='Calc base'!O372)*('Calc base'!$C$17:$N$17&lt;'Calc base'!J$17)))))</f>
        <v>0</v>
      </c>
      <c r="AP372">
        <f>IF('Calc base'!K$14=0,0,MIN(AD372,MAX(0,$E372-SUMPRODUCT($V372:$AG372,'Calc base'!$C$14:$N$14,('Calc base'!$H372:$S372&gt;'Calc base'!P372)+('Calc base'!$H372:$S372='Calc base'!P372)*('Calc base'!$C$17:$N$17&lt;'Calc base'!K$17)))))</f>
        <v>0</v>
      </c>
      <c r="AQ372">
        <f>IF('Calc base'!L$14=0,0,MIN(AE372,MAX(0,$E372-SUMPRODUCT($V372:$AG372,'Calc base'!$C$14:$N$14,('Calc base'!$H372:$S372&gt;'Calc base'!Q372)+('Calc base'!$H372:$S372='Calc base'!Q372)*('Calc base'!$C$17:$N$17&lt;'Calc base'!L$17)))))</f>
        <v>0</v>
      </c>
      <c r="AR372">
        <f>IF('Calc base'!M$14=0,0,MIN(AF372,MAX(0,$E372-SUMPRODUCT($V372:$AG372,'Calc base'!$C$14:$N$14,('Calc base'!$H372:$S372&gt;'Calc base'!R372)+('Calc base'!$H372:$S372='Calc base'!R372)*('Calc base'!$C$17:$N$17&lt;'Calc base'!M$17)))))</f>
        <v>0</v>
      </c>
      <c r="AS372">
        <f>IF('Calc base'!N$14=0,0,MIN(AG372,MAX(0,$E372-SUMPRODUCT($V372:$AG372,'Calc base'!$C$14:$N$14,('Calc base'!$H372:$S372&gt;'Calc base'!S372)+('Calc base'!$H372:$S372='Calc base'!S372)*('Calc base'!$C$17:$N$17&lt;'Calc base'!N$17)))))</f>
        <v>0</v>
      </c>
      <c r="AT372">
        <f>V372-AH372</f>
        <v>0</v>
      </c>
      <c r="AU372">
        <f>W372-AI372</f>
        <v>0</v>
      </c>
      <c r="AV372">
        <f>X372-AJ372</f>
        <v>0</v>
      </c>
      <c r="AW372">
        <f>Y372-AK372</f>
        <v>0</v>
      </c>
      <c r="AX372">
        <f>Z372-AL372</f>
        <v>0</v>
      </c>
      <c r="AY372">
        <f>AA372-AM372</f>
        <v>0</v>
      </c>
      <c r="AZ372">
        <f>AB372-AN372</f>
        <v>0</v>
      </c>
      <c r="BA372">
        <f>AC372-AO372</f>
        <v>0</v>
      </c>
      <c r="BB372">
        <f>AD372-AP372</f>
        <v>0</v>
      </c>
      <c r="BC372">
        <f>AE372-AQ372</f>
        <v>0</v>
      </c>
      <c r="BD372">
        <f>AF372-AR372</f>
        <v>0</v>
      </c>
      <c r="BE372">
        <f>AG372-AS372</f>
        <v>0</v>
      </c>
    </row>
    <row r="373">
      <c r="A373" t="n">
        <v>343</v>
      </c>
      <c r="B373">
        <f>SUMPRODUCT(ROUND($AT372:$BE372*(1+'Calc base'!$H373:$S373),2))</f>
        <v>0</v>
      </c>
      <c r="C373">
        <f>SUM(J373:U373)</f>
        <v>0</v>
      </c>
      <c r="D373">
        <f>SUM(V373:AG373)</f>
        <v>0</v>
      </c>
      <c r="E373">
        <f>MAX(0,IF(Impostazioni!$B$7="No",'Calc base'!$C373-$C$31,'Calc base'!$C373-C373)+'Calc base'!$G373+'Calc base'!$F373-(B373-C373-D373))</f>
        <v>900</v>
      </c>
      <c r="F373">
        <f>SUM(AH373:AS373)</f>
        <v>0</v>
      </c>
      <c r="G373">
        <f>SUM(AT373:BE373)</f>
        <v>0</v>
      </c>
      <c r="H373">
        <f>B373-G372</f>
        <v>0</v>
      </c>
      <c r="I373">
        <f>B373-G373</f>
        <v>0</v>
      </c>
      <c r="J373">
        <f>IF(AT372&lt;=0,0,IF(ROUND(AT372*(1+'Calc base'!H373),2)-MAX('Calc base'!C$12,ROUND('Calc base'!C$13*AT372,2))&lt;1,ROUND(AT372*(1+'Calc base'!H373),2),MAX('Calc base'!C$12,ROUND('Calc base'!C$13*AT372,2))))</f>
        <v>0</v>
      </c>
      <c r="K373">
        <f>IF(AU372&lt;=0,0,IF(ROUND(AU372*(1+'Calc base'!I373),2)-MAX('Calc base'!D$12,ROUND('Calc base'!D$13*AU372,2))&lt;1,ROUND(AU372*(1+'Calc base'!I373),2),MAX('Calc base'!D$12,ROUND('Calc base'!D$13*AU372,2))))</f>
        <v>0</v>
      </c>
      <c r="L373">
        <f>IF(AV372&lt;=0,0,IF(ROUND(AV372*(1+'Calc base'!J373),2)-MAX('Calc base'!E$12,ROUND('Calc base'!E$13*AV372,2))&lt;1,ROUND(AV372*(1+'Calc base'!J373),2),MAX('Calc base'!E$12,ROUND('Calc base'!E$13*AV372,2))))</f>
        <v>0</v>
      </c>
      <c r="M373">
        <f>IF(AW372&lt;=0,0,IF(ROUND(AW372*(1+'Calc base'!K373),2)-MAX('Calc base'!F$12,ROUND('Calc base'!F$13*AW372,2))&lt;1,ROUND(AW372*(1+'Calc base'!K373),2),MAX('Calc base'!F$12,ROUND('Calc base'!F$13*AW372,2))))</f>
        <v>0</v>
      </c>
      <c r="N373">
        <f>IF(AX372&lt;=0,0,IF(ROUND(AX372*(1+'Calc base'!L373),2)-MAX('Calc base'!G$12,ROUND('Calc base'!G$13*AX372,2))&lt;1,ROUND(AX372*(1+'Calc base'!L373),2),MAX('Calc base'!G$12,ROUND('Calc base'!G$13*AX372,2))))</f>
        <v>0</v>
      </c>
      <c r="O373">
        <f>IF(AY372&lt;=0,0,IF(ROUND(AY372*(1+'Calc base'!M373),2)-MAX('Calc base'!H$12,ROUND('Calc base'!H$13*AY372,2))&lt;1,ROUND(AY372*(1+'Calc base'!M373),2),MAX('Calc base'!H$12,ROUND('Calc base'!H$13*AY372,2))))</f>
        <v>0</v>
      </c>
      <c r="P373">
        <f>IF(AZ372&lt;=0,0,IF(ROUND(AZ372*(1+'Calc base'!N373),2)-MAX('Calc base'!I$12,ROUND('Calc base'!I$13*AZ372,2))&lt;1,ROUND(AZ372*(1+'Calc base'!N373),2),MAX('Calc base'!I$12,ROUND('Calc base'!I$13*AZ372,2))))</f>
        <v>0</v>
      </c>
      <c r="Q373">
        <f>IF(BA372&lt;=0,0,IF(ROUND(BA372*(1+'Calc base'!O373),2)-MAX('Calc base'!J$12,ROUND('Calc base'!J$13*BA372,2))&lt;1,ROUND(BA372*(1+'Calc base'!O373),2),MAX('Calc base'!J$12,ROUND('Calc base'!J$13*BA372,2))))</f>
        <v>0</v>
      </c>
      <c r="R373">
        <f>IF(BB372&lt;=0,0,IF(ROUND(BB372*(1+'Calc base'!P373),2)-MAX('Calc base'!K$12,ROUND('Calc base'!K$13*BB372,2))&lt;1,ROUND(BB372*(1+'Calc base'!P373),2),MAX('Calc base'!K$12,ROUND('Calc base'!K$13*BB372,2))))</f>
        <v>0</v>
      </c>
      <c r="S373">
        <f>IF(BC372&lt;=0,0,IF(ROUND(BC372*(1+'Calc base'!Q373),2)-MAX('Calc base'!L$12,ROUND('Calc base'!L$13*BC372,2))&lt;1,ROUND(BC372*(1+'Calc base'!Q373),2),MAX('Calc base'!L$12,ROUND('Calc base'!L$13*BC372,2))))</f>
        <v>0</v>
      </c>
      <c r="T373">
        <f>IF(BD372&lt;=0,0,IF(ROUND(BD372*(1+'Calc base'!R373),2)-MAX('Calc base'!M$12,ROUND('Calc base'!M$13*BD372,2))&lt;1,ROUND(BD372*(1+'Calc base'!R373),2),MAX('Calc base'!M$12,ROUND('Calc base'!M$13*BD372,2))))</f>
        <v>0</v>
      </c>
      <c r="U373">
        <f>IF(BE372&lt;=0,0,IF(ROUND(BE372*(1+'Calc base'!S373),2)-MAX('Calc base'!N$12,ROUND('Calc base'!N$13*BE372,2))&lt;1,ROUND(BE372*(1+'Calc base'!S373),2),MAX('Calc base'!N$12,ROUND('Calc base'!N$13*BE372,2))))</f>
        <v>0</v>
      </c>
      <c r="V373">
        <f>MAX(0,ROUND(AT372*(1+'Calc base'!H373),2)-J373-'Calc base'!T373)</f>
        <v>0</v>
      </c>
      <c r="W373">
        <f>MAX(0,ROUND(AU372*(1+'Calc base'!I373),2)-K373-'Calc base'!U373)</f>
        <v>0</v>
      </c>
      <c r="X373">
        <f>MAX(0,ROUND(AV372*(1+'Calc base'!J373),2)-L373-'Calc base'!V373)</f>
        <v>0</v>
      </c>
      <c r="Y373">
        <f>MAX(0,ROUND(AW372*(1+'Calc base'!K373),2)-M373-'Calc base'!W373)</f>
        <v>0</v>
      </c>
      <c r="Z373">
        <f>MAX(0,ROUND(AX372*(1+'Calc base'!L373),2)-N373-'Calc base'!X373)</f>
        <v>0</v>
      </c>
      <c r="AA373">
        <f>MAX(0,ROUND(AY372*(1+'Calc base'!M373),2)-O373-'Calc base'!Y373)</f>
        <v>0</v>
      </c>
      <c r="AB373">
        <f>MAX(0,ROUND(AZ372*(1+'Calc base'!N373),2)-P373-'Calc base'!Z373)</f>
        <v>0</v>
      </c>
      <c r="AC373">
        <f>MAX(0,ROUND(BA372*(1+'Calc base'!O373),2)-Q373-'Calc base'!AA373)</f>
        <v>0</v>
      </c>
      <c r="AD373">
        <f>MAX(0,ROUND(BB372*(1+'Calc base'!P373),2)-R373-'Calc base'!AB373)</f>
        <v>0</v>
      </c>
      <c r="AE373">
        <f>MAX(0,ROUND(BC372*(1+'Calc base'!Q373),2)-S373-'Calc base'!AC373)</f>
        <v>0</v>
      </c>
      <c r="AF373">
        <f>MAX(0,ROUND(BD372*(1+'Calc base'!R373),2)-T373-'Calc base'!AD373)</f>
        <v>0</v>
      </c>
      <c r="AG373">
        <f>MAX(0,ROUND(BE372*(1+'Calc base'!S373),2)-U373-'Calc base'!AE373)</f>
        <v>0</v>
      </c>
      <c r="AH373">
        <f>IF('Calc base'!C$14=0,0,MIN(V373,MAX(0,$E373-SUMPRODUCT($V373:$AG373,'Calc base'!$C$14:$N$14,('Calc base'!$H373:$S373&gt;'Calc base'!H373)+('Calc base'!$H373:$S373='Calc base'!H373)*('Calc base'!$C$17:$N$17&lt;'Calc base'!C$17)))))</f>
        <v>0</v>
      </c>
      <c r="AI373">
        <f>IF('Calc base'!D$14=0,0,MIN(W373,MAX(0,$E373-SUMPRODUCT($V373:$AG373,'Calc base'!$C$14:$N$14,('Calc base'!$H373:$S373&gt;'Calc base'!I373)+('Calc base'!$H373:$S373='Calc base'!I373)*('Calc base'!$C$17:$N$17&lt;'Calc base'!D$17)))))</f>
        <v>0</v>
      </c>
      <c r="AJ373">
        <f>IF('Calc base'!E$14=0,0,MIN(X373,MAX(0,$E373-SUMPRODUCT($V373:$AG373,'Calc base'!$C$14:$N$14,('Calc base'!$H373:$S373&gt;'Calc base'!J373)+('Calc base'!$H373:$S373='Calc base'!J373)*('Calc base'!$C$17:$N$17&lt;'Calc base'!E$17)))))</f>
        <v>0</v>
      </c>
      <c r="AK373">
        <f>IF('Calc base'!F$14=0,0,MIN(Y373,MAX(0,$E373-SUMPRODUCT($V373:$AG373,'Calc base'!$C$14:$N$14,('Calc base'!$H373:$S373&gt;'Calc base'!K373)+('Calc base'!$H373:$S373='Calc base'!K373)*('Calc base'!$C$17:$N$17&lt;'Calc base'!F$17)))))</f>
        <v>0</v>
      </c>
      <c r="AL373">
        <f>IF('Calc base'!G$14=0,0,MIN(Z373,MAX(0,$E373-SUMPRODUCT($V373:$AG373,'Calc base'!$C$14:$N$14,('Calc base'!$H373:$S373&gt;'Calc base'!L373)+('Calc base'!$H373:$S373='Calc base'!L373)*('Calc base'!$C$17:$N$17&lt;'Calc base'!G$17)))))</f>
        <v>0</v>
      </c>
      <c r="AM373">
        <f>IF('Calc base'!H$14=0,0,MIN(AA373,MAX(0,$E373-SUMPRODUCT($V373:$AG373,'Calc base'!$C$14:$N$14,('Calc base'!$H373:$S373&gt;'Calc base'!M373)+('Calc base'!$H373:$S373='Calc base'!M373)*('Calc base'!$C$17:$N$17&lt;'Calc base'!H$17)))))</f>
        <v>0</v>
      </c>
      <c r="AN373">
        <f>IF('Calc base'!I$14=0,0,MIN(AB373,MAX(0,$E373-SUMPRODUCT($V373:$AG373,'Calc base'!$C$14:$N$14,('Calc base'!$H373:$S373&gt;'Calc base'!N373)+('Calc base'!$H373:$S373='Calc base'!N373)*('Calc base'!$C$17:$N$17&lt;'Calc base'!I$17)))))</f>
        <v>0</v>
      </c>
      <c r="AO373">
        <f>IF('Calc base'!J$14=0,0,MIN(AC373,MAX(0,$E373-SUMPRODUCT($V373:$AG373,'Calc base'!$C$14:$N$14,('Calc base'!$H373:$S373&gt;'Calc base'!O373)+('Calc base'!$H373:$S373='Calc base'!O373)*('Calc base'!$C$17:$N$17&lt;'Calc base'!J$17)))))</f>
        <v>0</v>
      </c>
      <c r="AP373">
        <f>IF('Calc base'!K$14=0,0,MIN(AD373,MAX(0,$E373-SUMPRODUCT($V373:$AG373,'Calc base'!$C$14:$N$14,('Calc base'!$H373:$S373&gt;'Calc base'!P373)+('Calc base'!$H373:$S373='Calc base'!P373)*('Calc base'!$C$17:$N$17&lt;'Calc base'!K$17)))))</f>
        <v>0</v>
      </c>
      <c r="AQ373">
        <f>IF('Calc base'!L$14=0,0,MIN(AE373,MAX(0,$E373-SUMPRODUCT($V373:$AG373,'Calc base'!$C$14:$N$14,('Calc base'!$H373:$S373&gt;'Calc base'!Q373)+('Calc base'!$H373:$S373='Calc base'!Q373)*('Calc base'!$C$17:$N$17&lt;'Calc base'!L$17)))))</f>
        <v>0</v>
      </c>
      <c r="AR373">
        <f>IF('Calc base'!M$14=0,0,MIN(AF373,MAX(0,$E373-SUMPRODUCT($V373:$AG373,'Calc base'!$C$14:$N$14,('Calc base'!$H373:$S373&gt;'Calc base'!R373)+('Calc base'!$H373:$S373='Calc base'!R373)*('Calc base'!$C$17:$N$17&lt;'Calc base'!M$17)))))</f>
        <v>0</v>
      </c>
      <c r="AS373">
        <f>IF('Calc base'!N$14=0,0,MIN(AG373,MAX(0,$E373-SUMPRODUCT($V373:$AG373,'Calc base'!$C$14:$N$14,('Calc base'!$H373:$S373&gt;'Calc base'!S373)+('Calc base'!$H373:$S373='Calc base'!S373)*('Calc base'!$C$17:$N$17&lt;'Calc base'!N$17)))))</f>
        <v>0</v>
      </c>
      <c r="AT373">
        <f>V373-AH373</f>
        <v>0</v>
      </c>
      <c r="AU373">
        <f>W373-AI373</f>
        <v>0</v>
      </c>
      <c r="AV373">
        <f>X373-AJ373</f>
        <v>0</v>
      </c>
      <c r="AW373">
        <f>Y373-AK373</f>
        <v>0</v>
      </c>
      <c r="AX373">
        <f>Z373-AL373</f>
        <v>0</v>
      </c>
      <c r="AY373">
        <f>AA373-AM373</f>
        <v>0</v>
      </c>
      <c r="AZ373">
        <f>AB373-AN373</f>
        <v>0</v>
      </c>
      <c r="BA373">
        <f>AC373-AO373</f>
        <v>0</v>
      </c>
      <c r="BB373">
        <f>AD373-AP373</f>
        <v>0</v>
      </c>
      <c r="BC373">
        <f>AE373-AQ373</f>
        <v>0</v>
      </c>
      <c r="BD373">
        <f>AF373-AR373</f>
        <v>0</v>
      </c>
      <c r="BE373">
        <f>AG373-AS373</f>
        <v>0</v>
      </c>
    </row>
    <row r="374">
      <c r="A374" t="n">
        <v>344</v>
      </c>
      <c r="B374">
        <f>SUMPRODUCT(ROUND($AT373:$BE373*(1+'Calc base'!$H374:$S374),2))</f>
        <v>0</v>
      </c>
      <c r="C374">
        <f>SUM(J374:U374)</f>
        <v>0</v>
      </c>
      <c r="D374">
        <f>SUM(V374:AG374)</f>
        <v>0</v>
      </c>
      <c r="E374">
        <f>MAX(0,IF(Impostazioni!$B$7="No",'Calc base'!$C374-$C$31,'Calc base'!$C374-C374)+'Calc base'!$G374+'Calc base'!$F374-(B374-C374-D374))</f>
        <v>900</v>
      </c>
      <c r="F374">
        <f>SUM(AH374:AS374)</f>
        <v>0</v>
      </c>
      <c r="G374">
        <f>SUM(AT374:BE374)</f>
        <v>0</v>
      </c>
      <c r="H374">
        <f>B374-G373</f>
        <v>0</v>
      </c>
      <c r="I374">
        <f>B374-G374</f>
        <v>0</v>
      </c>
      <c r="J374">
        <f>IF(AT373&lt;=0,0,IF(ROUND(AT373*(1+'Calc base'!H374),2)-MAX('Calc base'!C$12,ROUND('Calc base'!C$13*AT373,2))&lt;1,ROUND(AT373*(1+'Calc base'!H374),2),MAX('Calc base'!C$12,ROUND('Calc base'!C$13*AT373,2))))</f>
        <v>0</v>
      </c>
      <c r="K374">
        <f>IF(AU373&lt;=0,0,IF(ROUND(AU373*(1+'Calc base'!I374),2)-MAX('Calc base'!D$12,ROUND('Calc base'!D$13*AU373,2))&lt;1,ROUND(AU373*(1+'Calc base'!I374),2),MAX('Calc base'!D$12,ROUND('Calc base'!D$13*AU373,2))))</f>
        <v>0</v>
      </c>
      <c r="L374">
        <f>IF(AV373&lt;=0,0,IF(ROUND(AV373*(1+'Calc base'!J374),2)-MAX('Calc base'!E$12,ROUND('Calc base'!E$13*AV373,2))&lt;1,ROUND(AV373*(1+'Calc base'!J374),2),MAX('Calc base'!E$12,ROUND('Calc base'!E$13*AV373,2))))</f>
        <v>0</v>
      </c>
      <c r="M374">
        <f>IF(AW373&lt;=0,0,IF(ROUND(AW373*(1+'Calc base'!K374),2)-MAX('Calc base'!F$12,ROUND('Calc base'!F$13*AW373,2))&lt;1,ROUND(AW373*(1+'Calc base'!K374),2),MAX('Calc base'!F$12,ROUND('Calc base'!F$13*AW373,2))))</f>
        <v>0</v>
      </c>
      <c r="N374">
        <f>IF(AX373&lt;=0,0,IF(ROUND(AX373*(1+'Calc base'!L374),2)-MAX('Calc base'!G$12,ROUND('Calc base'!G$13*AX373,2))&lt;1,ROUND(AX373*(1+'Calc base'!L374),2),MAX('Calc base'!G$12,ROUND('Calc base'!G$13*AX373,2))))</f>
        <v>0</v>
      </c>
      <c r="O374">
        <f>IF(AY373&lt;=0,0,IF(ROUND(AY373*(1+'Calc base'!M374),2)-MAX('Calc base'!H$12,ROUND('Calc base'!H$13*AY373,2))&lt;1,ROUND(AY373*(1+'Calc base'!M374),2),MAX('Calc base'!H$12,ROUND('Calc base'!H$13*AY373,2))))</f>
        <v>0</v>
      </c>
      <c r="P374">
        <f>IF(AZ373&lt;=0,0,IF(ROUND(AZ373*(1+'Calc base'!N374),2)-MAX('Calc base'!I$12,ROUND('Calc base'!I$13*AZ373,2))&lt;1,ROUND(AZ373*(1+'Calc base'!N374),2),MAX('Calc base'!I$12,ROUND('Calc base'!I$13*AZ373,2))))</f>
        <v>0</v>
      </c>
      <c r="Q374">
        <f>IF(BA373&lt;=0,0,IF(ROUND(BA373*(1+'Calc base'!O374),2)-MAX('Calc base'!J$12,ROUND('Calc base'!J$13*BA373,2))&lt;1,ROUND(BA373*(1+'Calc base'!O374),2),MAX('Calc base'!J$12,ROUND('Calc base'!J$13*BA373,2))))</f>
        <v>0</v>
      </c>
      <c r="R374">
        <f>IF(BB373&lt;=0,0,IF(ROUND(BB373*(1+'Calc base'!P374),2)-MAX('Calc base'!K$12,ROUND('Calc base'!K$13*BB373,2))&lt;1,ROUND(BB373*(1+'Calc base'!P374),2),MAX('Calc base'!K$12,ROUND('Calc base'!K$13*BB373,2))))</f>
        <v>0</v>
      </c>
      <c r="S374">
        <f>IF(BC373&lt;=0,0,IF(ROUND(BC373*(1+'Calc base'!Q374),2)-MAX('Calc base'!L$12,ROUND('Calc base'!L$13*BC373,2))&lt;1,ROUND(BC373*(1+'Calc base'!Q374),2),MAX('Calc base'!L$12,ROUND('Calc base'!L$13*BC373,2))))</f>
        <v>0</v>
      </c>
      <c r="T374">
        <f>IF(BD373&lt;=0,0,IF(ROUND(BD373*(1+'Calc base'!R374),2)-MAX('Calc base'!M$12,ROUND('Calc base'!M$13*BD373,2))&lt;1,ROUND(BD373*(1+'Calc base'!R374),2),MAX('Calc base'!M$12,ROUND('Calc base'!M$13*BD373,2))))</f>
        <v>0</v>
      </c>
      <c r="U374">
        <f>IF(BE373&lt;=0,0,IF(ROUND(BE373*(1+'Calc base'!S374),2)-MAX('Calc base'!N$12,ROUND('Calc base'!N$13*BE373,2))&lt;1,ROUND(BE373*(1+'Calc base'!S374),2),MAX('Calc base'!N$12,ROUND('Calc base'!N$13*BE373,2))))</f>
        <v>0</v>
      </c>
      <c r="V374">
        <f>MAX(0,ROUND(AT373*(1+'Calc base'!H374),2)-J374-'Calc base'!T374)</f>
        <v>0</v>
      </c>
      <c r="W374">
        <f>MAX(0,ROUND(AU373*(1+'Calc base'!I374),2)-K374-'Calc base'!U374)</f>
        <v>0</v>
      </c>
      <c r="X374">
        <f>MAX(0,ROUND(AV373*(1+'Calc base'!J374),2)-L374-'Calc base'!V374)</f>
        <v>0</v>
      </c>
      <c r="Y374">
        <f>MAX(0,ROUND(AW373*(1+'Calc base'!K374),2)-M374-'Calc base'!W374)</f>
        <v>0</v>
      </c>
      <c r="Z374">
        <f>MAX(0,ROUND(AX373*(1+'Calc base'!L374),2)-N374-'Calc base'!X374)</f>
        <v>0</v>
      </c>
      <c r="AA374">
        <f>MAX(0,ROUND(AY373*(1+'Calc base'!M374),2)-O374-'Calc base'!Y374)</f>
        <v>0</v>
      </c>
      <c r="AB374">
        <f>MAX(0,ROUND(AZ373*(1+'Calc base'!N374),2)-P374-'Calc base'!Z374)</f>
        <v>0</v>
      </c>
      <c r="AC374">
        <f>MAX(0,ROUND(BA373*(1+'Calc base'!O374),2)-Q374-'Calc base'!AA374)</f>
        <v>0</v>
      </c>
      <c r="AD374">
        <f>MAX(0,ROUND(BB373*(1+'Calc base'!P374),2)-R374-'Calc base'!AB374)</f>
        <v>0</v>
      </c>
      <c r="AE374">
        <f>MAX(0,ROUND(BC373*(1+'Calc base'!Q374),2)-S374-'Calc base'!AC374)</f>
        <v>0</v>
      </c>
      <c r="AF374">
        <f>MAX(0,ROUND(BD373*(1+'Calc base'!R374),2)-T374-'Calc base'!AD374)</f>
        <v>0</v>
      </c>
      <c r="AG374">
        <f>MAX(0,ROUND(BE373*(1+'Calc base'!S374),2)-U374-'Calc base'!AE374)</f>
        <v>0</v>
      </c>
      <c r="AH374">
        <f>IF('Calc base'!C$14=0,0,MIN(V374,MAX(0,$E374-SUMPRODUCT($V374:$AG374,'Calc base'!$C$14:$N$14,('Calc base'!$H374:$S374&gt;'Calc base'!H374)+('Calc base'!$H374:$S374='Calc base'!H374)*('Calc base'!$C$17:$N$17&lt;'Calc base'!C$17)))))</f>
        <v>0</v>
      </c>
      <c r="AI374">
        <f>IF('Calc base'!D$14=0,0,MIN(W374,MAX(0,$E374-SUMPRODUCT($V374:$AG374,'Calc base'!$C$14:$N$14,('Calc base'!$H374:$S374&gt;'Calc base'!I374)+('Calc base'!$H374:$S374='Calc base'!I374)*('Calc base'!$C$17:$N$17&lt;'Calc base'!D$17)))))</f>
        <v>0</v>
      </c>
      <c r="AJ374">
        <f>IF('Calc base'!E$14=0,0,MIN(X374,MAX(0,$E374-SUMPRODUCT($V374:$AG374,'Calc base'!$C$14:$N$14,('Calc base'!$H374:$S374&gt;'Calc base'!J374)+('Calc base'!$H374:$S374='Calc base'!J374)*('Calc base'!$C$17:$N$17&lt;'Calc base'!E$17)))))</f>
        <v>0</v>
      </c>
      <c r="AK374">
        <f>IF('Calc base'!F$14=0,0,MIN(Y374,MAX(0,$E374-SUMPRODUCT($V374:$AG374,'Calc base'!$C$14:$N$14,('Calc base'!$H374:$S374&gt;'Calc base'!K374)+('Calc base'!$H374:$S374='Calc base'!K374)*('Calc base'!$C$17:$N$17&lt;'Calc base'!F$17)))))</f>
        <v>0</v>
      </c>
      <c r="AL374">
        <f>IF('Calc base'!G$14=0,0,MIN(Z374,MAX(0,$E374-SUMPRODUCT($V374:$AG374,'Calc base'!$C$14:$N$14,('Calc base'!$H374:$S374&gt;'Calc base'!L374)+('Calc base'!$H374:$S374='Calc base'!L374)*('Calc base'!$C$17:$N$17&lt;'Calc base'!G$17)))))</f>
        <v>0</v>
      </c>
      <c r="AM374">
        <f>IF('Calc base'!H$14=0,0,MIN(AA374,MAX(0,$E374-SUMPRODUCT($V374:$AG374,'Calc base'!$C$14:$N$14,('Calc base'!$H374:$S374&gt;'Calc base'!M374)+('Calc base'!$H374:$S374='Calc base'!M374)*('Calc base'!$C$17:$N$17&lt;'Calc base'!H$17)))))</f>
        <v>0</v>
      </c>
      <c r="AN374">
        <f>IF('Calc base'!I$14=0,0,MIN(AB374,MAX(0,$E374-SUMPRODUCT($V374:$AG374,'Calc base'!$C$14:$N$14,('Calc base'!$H374:$S374&gt;'Calc base'!N374)+('Calc base'!$H374:$S374='Calc base'!N374)*('Calc base'!$C$17:$N$17&lt;'Calc base'!I$17)))))</f>
        <v>0</v>
      </c>
      <c r="AO374">
        <f>IF('Calc base'!J$14=0,0,MIN(AC374,MAX(0,$E374-SUMPRODUCT($V374:$AG374,'Calc base'!$C$14:$N$14,('Calc base'!$H374:$S374&gt;'Calc base'!O374)+('Calc base'!$H374:$S374='Calc base'!O374)*('Calc base'!$C$17:$N$17&lt;'Calc base'!J$17)))))</f>
        <v>0</v>
      </c>
      <c r="AP374">
        <f>IF('Calc base'!K$14=0,0,MIN(AD374,MAX(0,$E374-SUMPRODUCT($V374:$AG374,'Calc base'!$C$14:$N$14,('Calc base'!$H374:$S374&gt;'Calc base'!P374)+('Calc base'!$H374:$S374='Calc base'!P374)*('Calc base'!$C$17:$N$17&lt;'Calc base'!K$17)))))</f>
        <v>0</v>
      </c>
      <c r="AQ374">
        <f>IF('Calc base'!L$14=0,0,MIN(AE374,MAX(0,$E374-SUMPRODUCT($V374:$AG374,'Calc base'!$C$14:$N$14,('Calc base'!$H374:$S374&gt;'Calc base'!Q374)+('Calc base'!$H374:$S374='Calc base'!Q374)*('Calc base'!$C$17:$N$17&lt;'Calc base'!L$17)))))</f>
        <v>0</v>
      </c>
      <c r="AR374">
        <f>IF('Calc base'!M$14=0,0,MIN(AF374,MAX(0,$E374-SUMPRODUCT($V374:$AG374,'Calc base'!$C$14:$N$14,('Calc base'!$H374:$S374&gt;'Calc base'!R374)+('Calc base'!$H374:$S374='Calc base'!R374)*('Calc base'!$C$17:$N$17&lt;'Calc base'!M$17)))))</f>
        <v>0</v>
      </c>
      <c r="AS374">
        <f>IF('Calc base'!N$14=0,0,MIN(AG374,MAX(0,$E374-SUMPRODUCT($V374:$AG374,'Calc base'!$C$14:$N$14,('Calc base'!$H374:$S374&gt;'Calc base'!S374)+('Calc base'!$H374:$S374='Calc base'!S374)*('Calc base'!$C$17:$N$17&lt;'Calc base'!N$17)))))</f>
        <v>0</v>
      </c>
      <c r="AT374">
        <f>V374-AH374</f>
        <v>0</v>
      </c>
      <c r="AU374">
        <f>W374-AI374</f>
        <v>0</v>
      </c>
      <c r="AV374">
        <f>X374-AJ374</f>
        <v>0</v>
      </c>
      <c r="AW374">
        <f>Y374-AK374</f>
        <v>0</v>
      </c>
      <c r="AX374">
        <f>Z374-AL374</f>
        <v>0</v>
      </c>
      <c r="AY374">
        <f>AA374-AM374</f>
        <v>0</v>
      </c>
      <c r="AZ374">
        <f>AB374-AN374</f>
        <v>0</v>
      </c>
      <c r="BA374">
        <f>AC374-AO374</f>
        <v>0</v>
      </c>
      <c r="BB374">
        <f>AD374-AP374</f>
        <v>0</v>
      </c>
      <c r="BC374">
        <f>AE374-AQ374</f>
        <v>0</v>
      </c>
      <c r="BD374">
        <f>AF374-AR374</f>
        <v>0</v>
      </c>
      <c r="BE374">
        <f>AG374-AS374</f>
        <v>0</v>
      </c>
    </row>
    <row r="375">
      <c r="A375" t="n">
        <v>345</v>
      </c>
      <c r="B375">
        <f>SUMPRODUCT(ROUND($AT374:$BE374*(1+'Calc base'!$H375:$S375),2))</f>
        <v>0</v>
      </c>
      <c r="C375">
        <f>SUM(J375:U375)</f>
        <v>0</v>
      </c>
      <c r="D375">
        <f>SUM(V375:AG375)</f>
        <v>0</v>
      </c>
      <c r="E375">
        <f>MAX(0,IF(Impostazioni!$B$7="No",'Calc base'!$C375-$C$31,'Calc base'!$C375-C375)+'Calc base'!$G375+'Calc base'!$F375-(B375-C375-D375))</f>
        <v>900</v>
      </c>
      <c r="F375">
        <f>SUM(AH375:AS375)</f>
        <v>0</v>
      </c>
      <c r="G375">
        <f>SUM(AT375:BE375)</f>
        <v>0</v>
      </c>
      <c r="H375">
        <f>B375-G374</f>
        <v>0</v>
      </c>
      <c r="I375">
        <f>B375-G375</f>
        <v>0</v>
      </c>
      <c r="J375">
        <f>IF(AT374&lt;=0,0,IF(ROUND(AT374*(1+'Calc base'!H375),2)-MAX('Calc base'!C$12,ROUND('Calc base'!C$13*AT374,2))&lt;1,ROUND(AT374*(1+'Calc base'!H375),2),MAX('Calc base'!C$12,ROUND('Calc base'!C$13*AT374,2))))</f>
        <v>0</v>
      </c>
      <c r="K375">
        <f>IF(AU374&lt;=0,0,IF(ROUND(AU374*(1+'Calc base'!I375),2)-MAX('Calc base'!D$12,ROUND('Calc base'!D$13*AU374,2))&lt;1,ROUND(AU374*(1+'Calc base'!I375),2),MAX('Calc base'!D$12,ROUND('Calc base'!D$13*AU374,2))))</f>
        <v>0</v>
      </c>
      <c r="L375">
        <f>IF(AV374&lt;=0,0,IF(ROUND(AV374*(1+'Calc base'!J375),2)-MAX('Calc base'!E$12,ROUND('Calc base'!E$13*AV374,2))&lt;1,ROUND(AV374*(1+'Calc base'!J375),2),MAX('Calc base'!E$12,ROUND('Calc base'!E$13*AV374,2))))</f>
        <v>0</v>
      </c>
      <c r="M375">
        <f>IF(AW374&lt;=0,0,IF(ROUND(AW374*(1+'Calc base'!K375),2)-MAX('Calc base'!F$12,ROUND('Calc base'!F$13*AW374,2))&lt;1,ROUND(AW374*(1+'Calc base'!K375),2),MAX('Calc base'!F$12,ROUND('Calc base'!F$13*AW374,2))))</f>
        <v>0</v>
      </c>
      <c r="N375">
        <f>IF(AX374&lt;=0,0,IF(ROUND(AX374*(1+'Calc base'!L375),2)-MAX('Calc base'!G$12,ROUND('Calc base'!G$13*AX374,2))&lt;1,ROUND(AX374*(1+'Calc base'!L375),2),MAX('Calc base'!G$12,ROUND('Calc base'!G$13*AX374,2))))</f>
        <v>0</v>
      </c>
      <c r="O375">
        <f>IF(AY374&lt;=0,0,IF(ROUND(AY374*(1+'Calc base'!M375),2)-MAX('Calc base'!H$12,ROUND('Calc base'!H$13*AY374,2))&lt;1,ROUND(AY374*(1+'Calc base'!M375),2),MAX('Calc base'!H$12,ROUND('Calc base'!H$13*AY374,2))))</f>
        <v>0</v>
      </c>
      <c r="P375">
        <f>IF(AZ374&lt;=0,0,IF(ROUND(AZ374*(1+'Calc base'!N375),2)-MAX('Calc base'!I$12,ROUND('Calc base'!I$13*AZ374,2))&lt;1,ROUND(AZ374*(1+'Calc base'!N375),2),MAX('Calc base'!I$12,ROUND('Calc base'!I$13*AZ374,2))))</f>
        <v>0</v>
      </c>
      <c r="Q375">
        <f>IF(BA374&lt;=0,0,IF(ROUND(BA374*(1+'Calc base'!O375),2)-MAX('Calc base'!J$12,ROUND('Calc base'!J$13*BA374,2))&lt;1,ROUND(BA374*(1+'Calc base'!O375),2),MAX('Calc base'!J$12,ROUND('Calc base'!J$13*BA374,2))))</f>
        <v>0</v>
      </c>
      <c r="R375">
        <f>IF(BB374&lt;=0,0,IF(ROUND(BB374*(1+'Calc base'!P375),2)-MAX('Calc base'!K$12,ROUND('Calc base'!K$13*BB374,2))&lt;1,ROUND(BB374*(1+'Calc base'!P375),2),MAX('Calc base'!K$12,ROUND('Calc base'!K$13*BB374,2))))</f>
        <v>0</v>
      </c>
      <c r="S375">
        <f>IF(BC374&lt;=0,0,IF(ROUND(BC374*(1+'Calc base'!Q375),2)-MAX('Calc base'!L$12,ROUND('Calc base'!L$13*BC374,2))&lt;1,ROUND(BC374*(1+'Calc base'!Q375),2),MAX('Calc base'!L$12,ROUND('Calc base'!L$13*BC374,2))))</f>
        <v>0</v>
      </c>
      <c r="T375">
        <f>IF(BD374&lt;=0,0,IF(ROUND(BD374*(1+'Calc base'!R375),2)-MAX('Calc base'!M$12,ROUND('Calc base'!M$13*BD374,2))&lt;1,ROUND(BD374*(1+'Calc base'!R375),2),MAX('Calc base'!M$12,ROUND('Calc base'!M$13*BD374,2))))</f>
        <v>0</v>
      </c>
      <c r="U375">
        <f>IF(BE374&lt;=0,0,IF(ROUND(BE374*(1+'Calc base'!S375),2)-MAX('Calc base'!N$12,ROUND('Calc base'!N$13*BE374,2))&lt;1,ROUND(BE374*(1+'Calc base'!S375),2),MAX('Calc base'!N$12,ROUND('Calc base'!N$13*BE374,2))))</f>
        <v>0</v>
      </c>
      <c r="V375">
        <f>MAX(0,ROUND(AT374*(1+'Calc base'!H375),2)-J375-'Calc base'!T375)</f>
        <v>0</v>
      </c>
      <c r="W375">
        <f>MAX(0,ROUND(AU374*(1+'Calc base'!I375),2)-K375-'Calc base'!U375)</f>
        <v>0</v>
      </c>
      <c r="X375">
        <f>MAX(0,ROUND(AV374*(1+'Calc base'!J375),2)-L375-'Calc base'!V375)</f>
        <v>0</v>
      </c>
      <c r="Y375">
        <f>MAX(0,ROUND(AW374*(1+'Calc base'!K375),2)-M375-'Calc base'!W375)</f>
        <v>0</v>
      </c>
      <c r="Z375">
        <f>MAX(0,ROUND(AX374*(1+'Calc base'!L375),2)-N375-'Calc base'!X375)</f>
        <v>0</v>
      </c>
      <c r="AA375">
        <f>MAX(0,ROUND(AY374*(1+'Calc base'!M375),2)-O375-'Calc base'!Y375)</f>
        <v>0</v>
      </c>
      <c r="AB375">
        <f>MAX(0,ROUND(AZ374*(1+'Calc base'!N375),2)-P375-'Calc base'!Z375)</f>
        <v>0</v>
      </c>
      <c r="AC375">
        <f>MAX(0,ROUND(BA374*(1+'Calc base'!O375),2)-Q375-'Calc base'!AA375)</f>
        <v>0</v>
      </c>
      <c r="AD375">
        <f>MAX(0,ROUND(BB374*(1+'Calc base'!P375),2)-R375-'Calc base'!AB375)</f>
        <v>0</v>
      </c>
      <c r="AE375">
        <f>MAX(0,ROUND(BC374*(1+'Calc base'!Q375),2)-S375-'Calc base'!AC375)</f>
        <v>0</v>
      </c>
      <c r="AF375">
        <f>MAX(0,ROUND(BD374*(1+'Calc base'!R375),2)-T375-'Calc base'!AD375)</f>
        <v>0</v>
      </c>
      <c r="AG375">
        <f>MAX(0,ROUND(BE374*(1+'Calc base'!S375),2)-U375-'Calc base'!AE375)</f>
        <v>0</v>
      </c>
      <c r="AH375">
        <f>IF('Calc base'!C$14=0,0,MIN(V375,MAX(0,$E375-SUMPRODUCT($V375:$AG375,'Calc base'!$C$14:$N$14,('Calc base'!$H375:$S375&gt;'Calc base'!H375)+('Calc base'!$H375:$S375='Calc base'!H375)*('Calc base'!$C$17:$N$17&lt;'Calc base'!C$17)))))</f>
        <v>0</v>
      </c>
      <c r="AI375">
        <f>IF('Calc base'!D$14=0,0,MIN(W375,MAX(0,$E375-SUMPRODUCT($V375:$AG375,'Calc base'!$C$14:$N$14,('Calc base'!$H375:$S375&gt;'Calc base'!I375)+('Calc base'!$H375:$S375='Calc base'!I375)*('Calc base'!$C$17:$N$17&lt;'Calc base'!D$17)))))</f>
        <v>0</v>
      </c>
      <c r="AJ375">
        <f>IF('Calc base'!E$14=0,0,MIN(X375,MAX(0,$E375-SUMPRODUCT($V375:$AG375,'Calc base'!$C$14:$N$14,('Calc base'!$H375:$S375&gt;'Calc base'!J375)+('Calc base'!$H375:$S375='Calc base'!J375)*('Calc base'!$C$17:$N$17&lt;'Calc base'!E$17)))))</f>
        <v>0</v>
      </c>
      <c r="AK375">
        <f>IF('Calc base'!F$14=0,0,MIN(Y375,MAX(0,$E375-SUMPRODUCT($V375:$AG375,'Calc base'!$C$14:$N$14,('Calc base'!$H375:$S375&gt;'Calc base'!K375)+('Calc base'!$H375:$S375='Calc base'!K375)*('Calc base'!$C$17:$N$17&lt;'Calc base'!F$17)))))</f>
        <v>0</v>
      </c>
      <c r="AL375">
        <f>IF('Calc base'!G$14=0,0,MIN(Z375,MAX(0,$E375-SUMPRODUCT($V375:$AG375,'Calc base'!$C$14:$N$14,('Calc base'!$H375:$S375&gt;'Calc base'!L375)+('Calc base'!$H375:$S375='Calc base'!L375)*('Calc base'!$C$17:$N$17&lt;'Calc base'!G$17)))))</f>
        <v>0</v>
      </c>
      <c r="AM375">
        <f>IF('Calc base'!H$14=0,0,MIN(AA375,MAX(0,$E375-SUMPRODUCT($V375:$AG375,'Calc base'!$C$14:$N$14,('Calc base'!$H375:$S375&gt;'Calc base'!M375)+('Calc base'!$H375:$S375='Calc base'!M375)*('Calc base'!$C$17:$N$17&lt;'Calc base'!H$17)))))</f>
        <v>0</v>
      </c>
      <c r="AN375">
        <f>IF('Calc base'!I$14=0,0,MIN(AB375,MAX(0,$E375-SUMPRODUCT($V375:$AG375,'Calc base'!$C$14:$N$14,('Calc base'!$H375:$S375&gt;'Calc base'!N375)+('Calc base'!$H375:$S375='Calc base'!N375)*('Calc base'!$C$17:$N$17&lt;'Calc base'!I$17)))))</f>
        <v>0</v>
      </c>
      <c r="AO375">
        <f>IF('Calc base'!J$14=0,0,MIN(AC375,MAX(0,$E375-SUMPRODUCT($V375:$AG375,'Calc base'!$C$14:$N$14,('Calc base'!$H375:$S375&gt;'Calc base'!O375)+('Calc base'!$H375:$S375='Calc base'!O375)*('Calc base'!$C$17:$N$17&lt;'Calc base'!J$17)))))</f>
        <v>0</v>
      </c>
      <c r="AP375">
        <f>IF('Calc base'!K$14=0,0,MIN(AD375,MAX(0,$E375-SUMPRODUCT($V375:$AG375,'Calc base'!$C$14:$N$14,('Calc base'!$H375:$S375&gt;'Calc base'!P375)+('Calc base'!$H375:$S375='Calc base'!P375)*('Calc base'!$C$17:$N$17&lt;'Calc base'!K$17)))))</f>
        <v>0</v>
      </c>
      <c r="AQ375">
        <f>IF('Calc base'!L$14=0,0,MIN(AE375,MAX(0,$E375-SUMPRODUCT($V375:$AG375,'Calc base'!$C$14:$N$14,('Calc base'!$H375:$S375&gt;'Calc base'!Q375)+('Calc base'!$H375:$S375='Calc base'!Q375)*('Calc base'!$C$17:$N$17&lt;'Calc base'!L$17)))))</f>
        <v>0</v>
      </c>
      <c r="AR375">
        <f>IF('Calc base'!M$14=0,0,MIN(AF375,MAX(0,$E375-SUMPRODUCT($V375:$AG375,'Calc base'!$C$14:$N$14,('Calc base'!$H375:$S375&gt;'Calc base'!R375)+('Calc base'!$H375:$S375='Calc base'!R375)*('Calc base'!$C$17:$N$17&lt;'Calc base'!M$17)))))</f>
        <v>0</v>
      </c>
      <c r="AS375">
        <f>IF('Calc base'!N$14=0,0,MIN(AG375,MAX(0,$E375-SUMPRODUCT($V375:$AG375,'Calc base'!$C$14:$N$14,('Calc base'!$H375:$S375&gt;'Calc base'!S375)+('Calc base'!$H375:$S375='Calc base'!S375)*('Calc base'!$C$17:$N$17&lt;'Calc base'!N$17)))))</f>
        <v>0</v>
      </c>
      <c r="AT375">
        <f>V375-AH375</f>
        <v>0</v>
      </c>
      <c r="AU375">
        <f>W375-AI375</f>
        <v>0</v>
      </c>
      <c r="AV375">
        <f>X375-AJ375</f>
        <v>0</v>
      </c>
      <c r="AW375">
        <f>Y375-AK375</f>
        <v>0</v>
      </c>
      <c r="AX375">
        <f>Z375-AL375</f>
        <v>0</v>
      </c>
      <c r="AY375">
        <f>AA375-AM375</f>
        <v>0</v>
      </c>
      <c r="AZ375">
        <f>AB375-AN375</f>
        <v>0</v>
      </c>
      <c r="BA375">
        <f>AC375-AO375</f>
        <v>0</v>
      </c>
      <c r="BB375">
        <f>AD375-AP375</f>
        <v>0</v>
      </c>
      <c r="BC375">
        <f>AE375-AQ375</f>
        <v>0</v>
      </c>
      <c r="BD375">
        <f>AF375-AR375</f>
        <v>0</v>
      </c>
      <c r="BE375">
        <f>AG375-AS375</f>
        <v>0</v>
      </c>
    </row>
    <row r="376">
      <c r="A376" t="n">
        <v>346</v>
      </c>
      <c r="B376">
        <f>SUMPRODUCT(ROUND($AT375:$BE375*(1+'Calc base'!$H376:$S376),2))</f>
        <v>0</v>
      </c>
      <c r="C376">
        <f>SUM(J376:U376)</f>
        <v>0</v>
      </c>
      <c r="D376">
        <f>SUM(V376:AG376)</f>
        <v>0</v>
      </c>
      <c r="E376">
        <f>MAX(0,IF(Impostazioni!$B$7="No",'Calc base'!$C376-$C$31,'Calc base'!$C376-C376)+'Calc base'!$G376+'Calc base'!$F376-(B376-C376-D376))</f>
        <v>900</v>
      </c>
      <c r="F376">
        <f>SUM(AH376:AS376)</f>
        <v>0</v>
      </c>
      <c r="G376">
        <f>SUM(AT376:BE376)</f>
        <v>0</v>
      </c>
      <c r="H376">
        <f>B376-G375</f>
        <v>0</v>
      </c>
      <c r="I376">
        <f>B376-G376</f>
        <v>0</v>
      </c>
      <c r="J376">
        <f>IF(AT375&lt;=0,0,IF(ROUND(AT375*(1+'Calc base'!H376),2)-MAX('Calc base'!C$12,ROUND('Calc base'!C$13*AT375,2))&lt;1,ROUND(AT375*(1+'Calc base'!H376),2),MAX('Calc base'!C$12,ROUND('Calc base'!C$13*AT375,2))))</f>
        <v>0</v>
      </c>
      <c r="K376">
        <f>IF(AU375&lt;=0,0,IF(ROUND(AU375*(1+'Calc base'!I376),2)-MAX('Calc base'!D$12,ROUND('Calc base'!D$13*AU375,2))&lt;1,ROUND(AU375*(1+'Calc base'!I376),2),MAX('Calc base'!D$12,ROUND('Calc base'!D$13*AU375,2))))</f>
        <v>0</v>
      </c>
      <c r="L376">
        <f>IF(AV375&lt;=0,0,IF(ROUND(AV375*(1+'Calc base'!J376),2)-MAX('Calc base'!E$12,ROUND('Calc base'!E$13*AV375,2))&lt;1,ROUND(AV375*(1+'Calc base'!J376),2),MAX('Calc base'!E$12,ROUND('Calc base'!E$13*AV375,2))))</f>
        <v>0</v>
      </c>
      <c r="M376">
        <f>IF(AW375&lt;=0,0,IF(ROUND(AW375*(1+'Calc base'!K376),2)-MAX('Calc base'!F$12,ROUND('Calc base'!F$13*AW375,2))&lt;1,ROUND(AW375*(1+'Calc base'!K376),2),MAX('Calc base'!F$12,ROUND('Calc base'!F$13*AW375,2))))</f>
        <v>0</v>
      </c>
      <c r="N376">
        <f>IF(AX375&lt;=0,0,IF(ROUND(AX375*(1+'Calc base'!L376),2)-MAX('Calc base'!G$12,ROUND('Calc base'!G$13*AX375,2))&lt;1,ROUND(AX375*(1+'Calc base'!L376),2),MAX('Calc base'!G$12,ROUND('Calc base'!G$13*AX375,2))))</f>
        <v>0</v>
      </c>
      <c r="O376">
        <f>IF(AY375&lt;=0,0,IF(ROUND(AY375*(1+'Calc base'!M376),2)-MAX('Calc base'!H$12,ROUND('Calc base'!H$13*AY375,2))&lt;1,ROUND(AY375*(1+'Calc base'!M376),2),MAX('Calc base'!H$12,ROUND('Calc base'!H$13*AY375,2))))</f>
        <v>0</v>
      </c>
      <c r="P376">
        <f>IF(AZ375&lt;=0,0,IF(ROUND(AZ375*(1+'Calc base'!N376),2)-MAX('Calc base'!I$12,ROUND('Calc base'!I$13*AZ375,2))&lt;1,ROUND(AZ375*(1+'Calc base'!N376),2),MAX('Calc base'!I$12,ROUND('Calc base'!I$13*AZ375,2))))</f>
        <v>0</v>
      </c>
      <c r="Q376">
        <f>IF(BA375&lt;=0,0,IF(ROUND(BA375*(1+'Calc base'!O376),2)-MAX('Calc base'!J$12,ROUND('Calc base'!J$13*BA375,2))&lt;1,ROUND(BA375*(1+'Calc base'!O376),2),MAX('Calc base'!J$12,ROUND('Calc base'!J$13*BA375,2))))</f>
        <v>0</v>
      </c>
      <c r="R376">
        <f>IF(BB375&lt;=0,0,IF(ROUND(BB375*(1+'Calc base'!P376),2)-MAX('Calc base'!K$12,ROUND('Calc base'!K$13*BB375,2))&lt;1,ROUND(BB375*(1+'Calc base'!P376),2),MAX('Calc base'!K$12,ROUND('Calc base'!K$13*BB375,2))))</f>
        <v>0</v>
      </c>
      <c r="S376">
        <f>IF(BC375&lt;=0,0,IF(ROUND(BC375*(1+'Calc base'!Q376),2)-MAX('Calc base'!L$12,ROUND('Calc base'!L$13*BC375,2))&lt;1,ROUND(BC375*(1+'Calc base'!Q376),2),MAX('Calc base'!L$12,ROUND('Calc base'!L$13*BC375,2))))</f>
        <v>0</v>
      </c>
      <c r="T376">
        <f>IF(BD375&lt;=0,0,IF(ROUND(BD375*(1+'Calc base'!R376),2)-MAX('Calc base'!M$12,ROUND('Calc base'!M$13*BD375,2))&lt;1,ROUND(BD375*(1+'Calc base'!R376),2),MAX('Calc base'!M$12,ROUND('Calc base'!M$13*BD375,2))))</f>
        <v>0</v>
      </c>
      <c r="U376">
        <f>IF(BE375&lt;=0,0,IF(ROUND(BE375*(1+'Calc base'!S376),2)-MAX('Calc base'!N$12,ROUND('Calc base'!N$13*BE375,2))&lt;1,ROUND(BE375*(1+'Calc base'!S376),2),MAX('Calc base'!N$12,ROUND('Calc base'!N$13*BE375,2))))</f>
        <v>0</v>
      </c>
      <c r="V376">
        <f>MAX(0,ROUND(AT375*(1+'Calc base'!H376),2)-J376-'Calc base'!T376)</f>
        <v>0</v>
      </c>
      <c r="W376">
        <f>MAX(0,ROUND(AU375*(1+'Calc base'!I376),2)-K376-'Calc base'!U376)</f>
        <v>0</v>
      </c>
      <c r="X376">
        <f>MAX(0,ROUND(AV375*(1+'Calc base'!J376),2)-L376-'Calc base'!V376)</f>
        <v>0</v>
      </c>
      <c r="Y376">
        <f>MAX(0,ROUND(AW375*(1+'Calc base'!K376),2)-M376-'Calc base'!W376)</f>
        <v>0</v>
      </c>
      <c r="Z376">
        <f>MAX(0,ROUND(AX375*(1+'Calc base'!L376),2)-N376-'Calc base'!X376)</f>
        <v>0</v>
      </c>
      <c r="AA376">
        <f>MAX(0,ROUND(AY375*(1+'Calc base'!M376),2)-O376-'Calc base'!Y376)</f>
        <v>0</v>
      </c>
      <c r="AB376">
        <f>MAX(0,ROUND(AZ375*(1+'Calc base'!N376),2)-P376-'Calc base'!Z376)</f>
        <v>0</v>
      </c>
      <c r="AC376">
        <f>MAX(0,ROUND(BA375*(1+'Calc base'!O376),2)-Q376-'Calc base'!AA376)</f>
        <v>0</v>
      </c>
      <c r="AD376">
        <f>MAX(0,ROUND(BB375*(1+'Calc base'!P376),2)-R376-'Calc base'!AB376)</f>
        <v>0</v>
      </c>
      <c r="AE376">
        <f>MAX(0,ROUND(BC375*(1+'Calc base'!Q376),2)-S376-'Calc base'!AC376)</f>
        <v>0</v>
      </c>
      <c r="AF376">
        <f>MAX(0,ROUND(BD375*(1+'Calc base'!R376),2)-T376-'Calc base'!AD376)</f>
        <v>0</v>
      </c>
      <c r="AG376">
        <f>MAX(0,ROUND(BE375*(1+'Calc base'!S376),2)-U376-'Calc base'!AE376)</f>
        <v>0</v>
      </c>
      <c r="AH376">
        <f>IF('Calc base'!C$14=0,0,MIN(V376,MAX(0,$E376-SUMPRODUCT($V376:$AG376,'Calc base'!$C$14:$N$14,('Calc base'!$H376:$S376&gt;'Calc base'!H376)+('Calc base'!$H376:$S376='Calc base'!H376)*('Calc base'!$C$17:$N$17&lt;'Calc base'!C$17)))))</f>
        <v>0</v>
      </c>
      <c r="AI376">
        <f>IF('Calc base'!D$14=0,0,MIN(W376,MAX(0,$E376-SUMPRODUCT($V376:$AG376,'Calc base'!$C$14:$N$14,('Calc base'!$H376:$S376&gt;'Calc base'!I376)+('Calc base'!$H376:$S376='Calc base'!I376)*('Calc base'!$C$17:$N$17&lt;'Calc base'!D$17)))))</f>
        <v>0</v>
      </c>
      <c r="AJ376">
        <f>IF('Calc base'!E$14=0,0,MIN(X376,MAX(0,$E376-SUMPRODUCT($V376:$AG376,'Calc base'!$C$14:$N$14,('Calc base'!$H376:$S376&gt;'Calc base'!J376)+('Calc base'!$H376:$S376='Calc base'!J376)*('Calc base'!$C$17:$N$17&lt;'Calc base'!E$17)))))</f>
        <v>0</v>
      </c>
      <c r="AK376">
        <f>IF('Calc base'!F$14=0,0,MIN(Y376,MAX(0,$E376-SUMPRODUCT($V376:$AG376,'Calc base'!$C$14:$N$14,('Calc base'!$H376:$S376&gt;'Calc base'!K376)+('Calc base'!$H376:$S376='Calc base'!K376)*('Calc base'!$C$17:$N$17&lt;'Calc base'!F$17)))))</f>
        <v>0</v>
      </c>
      <c r="AL376">
        <f>IF('Calc base'!G$14=0,0,MIN(Z376,MAX(0,$E376-SUMPRODUCT($V376:$AG376,'Calc base'!$C$14:$N$14,('Calc base'!$H376:$S376&gt;'Calc base'!L376)+('Calc base'!$H376:$S376='Calc base'!L376)*('Calc base'!$C$17:$N$17&lt;'Calc base'!G$17)))))</f>
        <v>0</v>
      </c>
      <c r="AM376">
        <f>IF('Calc base'!H$14=0,0,MIN(AA376,MAX(0,$E376-SUMPRODUCT($V376:$AG376,'Calc base'!$C$14:$N$14,('Calc base'!$H376:$S376&gt;'Calc base'!M376)+('Calc base'!$H376:$S376='Calc base'!M376)*('Calc base'!$C$17:$N$17&lt;'Calc base'!H$17)))))</f>
        <v>0</v>
      </c>
      <c r="AN376">
        <f>IF('Calc base'!I$14=0,0,MIN(AB376,MAX(0,$E376-SUMPRODUCT($V376:$AG376,'Calc base'!$C$14:$N$14,('Calc base'!$H376:$S376&gt;'Calc base'!N376)+('Calc base'!$H376:$S376='Calc base'!N376)*('Calc base'!$C$17:$N$17&lt;'Calc base'!I$17)))))</f>
        <v>0</v>
      </c>
      <c r="AO376">
        <f>IF('Calc base'!J$14=0,0,MIN(AC376,MAX(0,$E376-SUMPRODUCT($V376:$AG376,'Calc base'!$C$14:$N$14,('Calc base'!$H376:$S376&gt;'Calc base'!O376)+('Calc base'!$H376:$S376='Calc base'!O376)*('Calc base'!$C$17:$N$17&lt;'Calc base'!J$17)))))</f>
        <v>0</v>
      </c>
      <c r="AP376">
        <f>IF('Calc base'!K$14=0,0,MIN(AD376,MAX(0,$E376-SUMPRODUCT($V376:$AG376,'Calc base'!$C$14:$N$14,('Calc base'!$H376:$S376&gt;'Calc base'!P376)+('Calc base'!$H376:$S376='Calc base'!P376)*('Calc base'!$C$17:$N$17&lt;'Calc base'!K$17)))))</f>
        <v>0</v>
      </c>
      <c r="AQ376">
        <f>IF('Calc base'!L$14=0,0,MIN(AE376,MAX(0,$E376-SUMPRODUCT($V376:$AG376,'Calc base'!$C$14:$N$14,('Calc base'!$H376:$S376&gt;'Calc base'!Q376)+('Calc base'!$H376:$S376='Calc base'!Q376)*('Calc base'!$C$17:$N$17&lt;'Calc base'!L$17)))))</f>
        <v>0</v>
      </c>
      <c r="AR376">
        <f>IF('Calc base'!M$14=0,0,MIN(AF376,MAX(0,$E376-SUMPRODUCT($V376:$AG376,'Calc base'!$C$14:$N$14,('Calc base'!$H376:$S376&gt;'Calc base'!R376)+('Calc base'!$H376:$S376='Calc base'!R376)*('Calc base'!$C$17:$N$17&lt;'Calc base'!M$17)))))</f>
        <v>0</v>
      </c>
      <c r="AS376">
        <f>IF('Calc base'!N$14=0,0,MIN(AG376,MAX(0,$E376-SUMPRODUCT($V376:$AG376,'Calc base'!$C$14:$N$14,('Calc base'!$H376:$S376&gt;'Calc base'!S376)+('Calc base'!$H376:$S376='Calc base'!S376)*('Calc base'!$C$17:$N$17&lt;'Calc base'!N$17)))))</f>
        <v>0</v>
      </c>
      <c r="AT376">
        <f>V376-AH376</f>
        <v>0</v>
      </c>
      <c r="AU376">
        <f>W376-AI376</f>
        <v>0</v>
      </c>
      <c r="AV376">
        <f>X376-AJ376</f>
        <v>0</v>
      </c>
      <c r="AW376">
        <f>Y376-AK376</f>
        <v>0</v>
      </c>
      <c r="AX376">
        <f>Z376-AL376</f>
        <v>0</v>
      </c>
      <c r="AY376">
        <f>AA376-AM376</f>
        <v>0</v>
      </c>
      <c r="AZ376">
        <f>AB376-AN376</f>
        <v>0</v>
      </c>
      <c r="BA376">
        <f>AC376-AO376</f>
        <v>0</v>
      </c>
      <c r="BB376">
        <f>AD376-AP376</f>
        <v>0</v>
      </c>
      <c r="BC376">
        <f>AE376-AQ376</f>
        <v>0</v>
      </c>
      <c r="BD376">
        <f>AF376-AR376</f>
        <v>0</v>
      </c>
      <c r="BE376">
        <f>AG376-AS376</f>
        <v>0</v>
      </c>
    </row>
    <row r="377">
      <c r="A377" t="n">
        <v>347</v>
      </c>
      <c r="B377">
        <f>SUMPRODUCT(ROUND($AT376:$BE376*(1+'Calc base'!$H377:$S377),2))</f>
        <v>0</v>
      </c>
      <c r="C377">
        <f>SUM(J377:U377)</f>
        <v>0</v>
      </c>
      <c r="D377">
        <f>SUM(V377:AG377)</f>
        <v>0</v>
      </c>
      <c r="E377">
        <f>MAX(0,IF(Impostazioni!$B$7="No",'Calc base'!$C377-$C$31,'Calc base'!$C377-C377)+'Calc base'!$G377+'Calc base'!$F377-(B377-C377-D377))</f>
        <v>900</v>
      </c>
      <c r="F377">
        <f>SUM(AH377:AS377)</f>
        <v>0</v>
      </c>
      <c r="G377">
        <f>SUM(AT377:BE377)</f>
        <v>0</v>
      </c>
      <c r="H377">
        <f>B377-G376</f>
        <v>0</v>
      </c>
      <c r="I377">
        <f>B377-G377</f>
        <v>0</v>
      </c>
      <c r="J377">
        <f>IF(AT376&lt;=0,0,IF(ROUND(AT376*(1+'Calc base'!H377),2)-MAX('Calc base'!C$12,ROUND('Calc base'!C$13*AT376,2))&lt;1,ROUND(AT376*(1+'Calc base'!H377),2),MAX('Calc base'!C$12,ROUND('Calc base'!C$13*AT376,2))))</f>
        <v>0</v>
      </c>
      <c r="K377">
        <f>IF(AU376&lt;=0,0,IF(ROUND(AU376*(1+'Calc base'!I377),2)-MAX('Calc base'!D$12,ROUND('Calc base'!D$13*AU376,2))&lt;1,ROUND(AU376*(1+'Calc base'!I377),2),MAX('Calc base'!D$12,ROUND('Calc base'!D$13*AU376,2))))</f>
        <v>0</v>
      </c>
      <c r="L377">
        <f>IF(AV376&lt;=0,0,IF(ROUND(AV376*(1+'Calc base'!J377),2)-MAX('Calc base'!E$12,ROUND('Calc base'!E$13*AV376,2))&lt;1,ROUND(AV376*(1+'Calc base'!J377),2),MAX('Calc base'!E$12,ROUND('Calc base'!E$13*AV376,2))))</f>
        <v>0</v>
      </c>
      <c r="M377">
        <f>IF(AW376&lt;=0,0,IF(ROUND(AW376*(1+'Calc base'!K377),2)-MAX('Calc base'!F$12,ROUND('Calc base'!F$13*AW376,2))&lt;1,ROUND(AW376*(1+'Calc base'!K377),2),MAX('Calc base'!F$12,ROUND('Calc base'!F$13*AW376,2))))</f>
        <v>0</v>
      </c>
      <c r="N377">
        <f>IF(AX376&lt;=0,0,IF(ROUND(AX376*(1+'Calc base'!L377),2)-MAX('Calc base'!G$12,ROUND('Calc base'!G$13*AX376,2))&lt;1,ROUND(AX376*(1+'Calc base'!L377),2),MAX('Calc base'!G$12,ROUND('Calc base'!G$13*AX376,2))))</f>
        <v>0</v>
      </c>
      <c r="O377">
        <f>IF(AY376&lt;=0,0,IF(ROUND(AY376*(1+'Calc base'!M377),2)-MAX('Calc base'!H$12,ROUND('Calc base'!H$13*AY376,2))&lt;1,ROUND(AY376*(1+'Calc base'!M377),2),MAX('Calc base'!H$12,ROUND('Calc base'!H$13*AY376,2))))</f>
        <v>0</v>
      </c>
      <c r="P377">
        <f>IF(AZ376&lt;=0,0,IF(ROUND(AZ376*(1+'Calc base'!N377),2)-MAX('Calc base'!I$12,ROUND('Calc base'!I$13*AZ376,2))&lt;1,ROUND(AZ376*(1+'Calc base'!N377),2),MAX('Calc base'!I$12,ROUND('Calc base'!I$13*AZ376,2))))</f>
        <v>0</v>
      </c>
      <c r="Q377">
        <f>IF(BA376&lt;=0,0,IF(ROUND(BA376*(1+'Calc base'!O377),2)-MAX('Calc base'!J$12,ROUND('Calc base'!J$13*BA376,2))&lt;1,ROUND(BA376*(1+'Calc base'!O377),2),MAX('Calc base'!J$12,ROUND('Calc base'!J$13*BA376,2))))</f>
        <v>0</v>
      </c>
      <c r="R377">
        <f>IF(BB376&lt;=0,0,IF(ROUND(BB376*(1+'Calc base'!P377),2)-MAX('Calc base'!K$12,ROUND('Calc base'!K$13*BB376,2))&lt;1,ROUND(BB376*(1+'Calc base'!P377),2),MAX('Calc base'!K$12,ROUND('Calc base'!K$13*BB376,2))))</f>
        <v>0</v>
      </c>
      <c r="S377">
        <f>IF(BC376&lt;=0,0,IF(ROUND(BC376*(1+'Calc base'!Q377),2)-MAX('Calc base'!L$12,ROUND('Calc base'!L$13*BC376,2))&lt;1,ROUND(BC376*(1+'Calc base'!Q377),2),MAX('Calc base'!L$12,ROUND('Calc base'!L$13*BC376,2))))</f>
        <v>0</v>
      </c>
      <c r="T377">
        <f>IF(BD376&lt;=0,0,IF(ROUND(BD376*(1+'Calc base'!R377),2)-MAX('Calc base'!M$12,ROUND('Calc base'!M$13*BD376,2))&lt;1,ROUND(BD376*(1+'Calc base'!R377),2),MAX('Calc base'!M$12,ROUND('Calc base'!M$13*BD376,2))))</f>
        <v>0</v>
      </c>
      <c r="U377">
        <f>IF(BE376&lt;=0,0,IF(ROUND(BE376*(1+'Calc base'!S377),2)-MAX('Calc base'!N$12,ROUND('Calc base'!N$13*BE376,2))&lt;1,ROUND(BE376*(1+'Calc base'!S377),2),MAX('Calc base'!N$12,ROUND('Calc base'!N$13*BE376,2))))</f>
        <v>0</v>
      </c>
      <c r="V377">
        <f>MAX(0,ROUND(AT376*(1+'Calc base'!H377),2)-J377-'Calc base'!T377)</f>
        <v>0</v>
      </c>
      <c r="W377">
        <f>MAX(0,ROUND(AU376*(1+'Calc base'!I377),2)-K377-'Calc base'!U377)</f>
        <v>0</v>
      </c>
      <c r="X377">
        <f>MAX(0,ROUND(AV376*(1+'Calc base'!J377),2)-L377-'Calc base'!V377)</f>
        <v>0</v>
      </c>
      <c r="Y377">
        <f>MAX(0,ROUND(AW376*(1+'Calc base'!K377),2)-M377-'Calc base'!W377)</f>
        <v>0</v>
      </c>
      <c r="Z377">
        <f>MAX(0,ROUND(AX376*(1+'Calc base'!L377),2)-N377-'Calc base'!X377)</f>
        <v>0</v>
      </c>
      <c r="AA377">
        <f>MAX(0,ROUND(AY376*(1+'Calc base'!M377),2)-O377-'Calc base'!Y377)</f>
        <v>0</v>
      </c>
      <c r="AB377">
        <f>MAX(0,ROUND(AZ376*(1+'Calc base'!N377),2)-P377-'Calc base'!Z377)</f>
        <v>0</v>
      </c>
      <c r="AC377">
        <f>MAX(0,ROUND(BA376*(1+'Calc base'!O377),2)-Q377-'Calc base'!AA377)</f>
        <v>0</v>
      </c>
      <c r="AD377">
        <f>MAX(0,ROUND(BB376*(1+'Calc base'!P377),2)-R377-'Calc base'!AB377)</f>
        <v>0</v>
      </c>
      <c r="AE377">
        <f>MAX(0,ROUND(BC376*(1+'Calc base'!Q377),2)-S377-'Calc base'!AC377)</f>
        <v>0</v>
      </c>
      <c r="AF377">
        <f>MAX(0,ROUND(BD376*(1+'Calc base'!R377),2)-T377-'Calc base'!AD377)</f>
        <v>0</v>
      </c>
      <c r="AG377">
        <f>MAX(0,ROUND(BE376*(1+'Calc base'!S377),2)-U377-'Calc base'!AE377)</f>
        <v>0</v>
      </c>
      <c r="AH377">
        <f>IF('Calc base'!C$14=0,0,MIN(V377,MAX(0,$E377-SUMPRODUCT($V377:$AG377,'Calc base'!$C$14:$N$14,('Calc base'!$H377:$S377&gt;'Calc base'!H377)+('Calc base'!$H377:$S377='Calc base'!H377)*('Calc base'!$C$17:$N$17&lt;'Calc base'!C$17)))))</f>
        <v>0</v>
      </c>
      <c r="AI377">
        <f>IF('Calc base'!D$14=0,0,MIN(W377,MAX(0,$E377-SUMPRODUCT($V377:$AG377,'Calc base'!$C$14:$N$14,('Calc base'!$H377:$S377&gt;'Calc base'!I377)+('Calc base'!$H377:$S377='Calc base'!I377)*('Calc base'!$C$17:$N$17&lt;'Calc base'!D$17)))))</f>
        <v>0</v>
      </c>
      <c r="AJ377">
        <f>IF('Calc base'!E$14=0,0,MIN(X377,MAX(0,$E377-SUMPRODUCT($V377:$AG377,'Calc base'!$C$14:$N$14,('Calc base'!$H377:$S377&gt;'Calc base'!J377)+('Calc base'!$H377:$S377='Calc base'!J377)*('Calc base'!$C$17:$N$17&lt;'Calc base'!E$17)))))</f>
        <v>0</v>
      </c>
      <c r="AK377">
        <f>IF('Calc base'!F$14=0,0,MIN(Y377,MAX(0,$E377-SUMPRODUCT($V377:$AG377,'Calc base'!$C$14:$N$14,('Calc base'!$H377:$S377&gt;'Calc base'!K377)+('Calc base'!$H377:$S377='Calc base'!K377)*('Calc base'!$C$17:$N$17&lt;'Calc base'!F$17)))))</f>
        <v>0</v>
      </c>
      <c r="AL377">
        <f>IF('Calc base'!G$14=0,0,MIN(Z377,MAX(0,$E377-SUMPRODUCT($V377:$AG377,'Calc base'!$C$14:$N$14,('Calc base'!$H377:$S377&gt;'Calc base'!L377)+('Calc base'!$H377:$S377='Calc base'!L377)*('Calc base'!$C$17:$N$17&lt;'Calc base'!G$17)))))</f>
        <v>0</v>
      </c>
      <c r="AM377">
        <f>IF('Calc base'!H$14=0,0,MIN(AA377,MAX(0,$E377-SUMPRODUCT($V377:$AG377,'Calc base'!$C$14:$N$14,('Calc base'!$H377:$S377&gt;'Calc base'!M377)+('Calc base'!$H377:$S377='Calc base'!M377)*('Calc base'!$C$17:$N$17&lt;'Calc base'!H$17)))))</f>
        <v>0</v>
      </c>
      <c r="AN377">
        <f>IF('Calc base'!I$14=0,0,MIN(AB377,MAX(0,$E377-SUMPRODUCT($V377:$AG377,'Calc base'!$C$14:$N$14,('Calc base'!$H377:$S377&gt;'Calc base'!N377)+('Calc base'!$H377:$S377='Calc base'!N377)*('Calc base'!$C$17:$N$17&lt;'Calc base'!I$17)))))</f>
        <v>0</v>
      </c>
      <c r="AO377">
        <f>IF('Calc base'!J$14=0,0,MIN(AC377,MAX(0,$E377-SUMPRODUCT($V377:$AG377,'Calc base'!$C$14:$N$14,('Calc base'!$H377:$S377&gt;'Calc base'!O377)+('Calc base'!$H377:$S377='Calc base'!O377)*('Calc base'!$C$17:$N$17&lt;'Calc base'!J$17)))))</f>
        <v>0</v>
      </c>
      <c r="AP377">
        <f>IF('Calc base'!K$14=0,0,MIN(AD377,MAX(0,$E377-SUMPRODUCT($V377:$AG377,'Calc base'!$C$14:$N$14,('Calc base'!$H377:$S377&gt;'Calc base'!P377)+('Calc base'!$H377:$S377='Calc base'!P377)*('Calc base'!$C$17:$N$17&lt;'Calc base'!K$17)))))</f>
        <v>0</v>
      </c>
      <c r="AQ377">
        <f>IF('Calc base'!L$14=0,0,MIN(AE377,MAX(0,$E377-SUMPRODUCT($V377:$AG377,'Calc base'!$C$14:$N$14,('Calc base'!$H377:$S377&gt;'Calc base'!Q377)+('Calc base'!$H377:$S377='Calc base'!Q377)*('Calc base'!$C$17:$N$17&lt;'Calc base'!L$17)))))</f>
        <v>0</v>
      </c>
      <c r="AR377">
        <f>IF('Calc base'!M$14=0,0,MIN(AF377,MAX(0,$E377-SUMPRODUCT($V377:$AG377,'Calc base'!$C$14:$N$14,('Calc base'!$H377:$S377&gt;'Calc base'!R377)+('Calc base'!$H377:$S377='Calc base'!R377)*('Calc base'!$C$17:$N$17&lt;'Calc base'!M$17)))))</f>
        <v>0</v>
      </c>
      <c r="AS377">
        <f>IF('Calc base'!N$14=0,0,MIN(AG377,MAX(0,$E377-SUMPRODUCT($V377:$AG377,'Calc base'!$C$14:$N$14,('Calc base'!$H377:$S377&gt;'Calc base'!S377)+('Calc base'!$H377:$S377='Calc base'!S377)*('Calc base'!$C$17:$N$17&lt;'Calc base'!N$17)))))</f>
        <v>0</v>
      </c>
      <c r="AT377">
        <f>V377-AH377</f>
        <v>0</v>
      </c>
      <c r="AU377">
        <f>W377-AI377</f>
        <v>0</v>
      </c>
      <c r="AV377">
        <f>X377-AJ377</f>
        <v>0</v>
      </c>
      <c r="AW377">
        <f>Y377-AK377</f>
        <v>0</v>
      </c>
      <c r="AX377">
        <f>Z377-AL377</f>
        <v>0</v>
      </c>
      <c r="AY377">
        <f>AA377-AM377</f>
        <v>0</v>
      </c>
      <c r="AZ377">
        <f>AB377-AN377</f>
        <v>0</v>
      </c>
      <c r="BA377">
        <f>AC377-AO377</f>
        <v>0</v>
      </c>
      <c r="BB377">
        <f>AD377-AP377</f>
        <v>0</v>
      </c>
      <c r="BC377">
        <f>AE377-AQ377</f>
        <v>0</v>
      </c>
      <c r="BD377">
        <f>AF377-AR377</f>
        <v>0</v>
      </c>
      <c r="BE377">
        <f>AG377-AS377</f>
        <v>0</v>
      </c>
    </row>
    <row r="378">
      <c r="A378" t="n">
        <v>348</v>
      </c>
      <c r="B378">
        <f>SUMPRODUCT(ROUND($AT377:$BE377*(1+'Calc base'!$H378:$S378),2))</f>
        <v>0</v>
      </c>
      <c r="C378">
        <f>SUM(J378:U378)</f>
        <v>0</v>
      </c>
      <c r="D378">
        <f>SUM(V378:AG378)</f>
        <v>0</v>
      </c>
      <c r="E378">
        <f>MAX(0,IF(Impostazioni!$B$7="No",'Calc base'!$C378-$C$31,'Calc base'!$C378-C378)+'Calc base'!$G378+'Calc base'!$F378-(B378-C378-D378))</f>
        <v>900</v>
      </c>
      <c r="F378">
        <f>SUM(AH378:AS378)</f>
        <v>0</v>
      </c>
      <c r="G378">
        <f>SUM(AT378:BE378)</f>
        <v>0</v>
      </c>
      <c r="H378">
        <f>B378-G377</f>
        <v>0</v>
      </c>
      <c r="I378">
        <f>B378-G378</f>
        <v>0</v>
      </c>
      <c r="J378">
        <f>IF(AT377&lt;=0,0,IF(ROUND(AT377*(1+'Calc base'!H378),2)-MAX('Calc base'!C$12,ROUND('Calc base'!C$13*AT377,2))&lt;1,ROUND(AT377*(1+'Calc base'!H378),2),MAX('Calc base'!C$12,ROUND('Calc base'!C$13*AT377,2))))</f>
        <v>0</v>
      </c>
      <c r="K378">
        <f>IF(AU377&lt;=0,0,IF(ROUND(AU377*(1+'Calc base'!I378),2)-MAX('Calc base'!D$12,ROUND('Calc base'!D$13*AU377,2))&lt;1,ROUND(AU377*(1+'Calc base'!I378),2),MAX('Calc base'!D$12,ROUND('Calc base'!D$13*AU377,2))))</f>
        <v>0</v>
      </c>
      <c r="L378">
        <f>IF(AV377&lt;=0,0,IF(ROUND(AV377*(1+'Calc base'!J378),2)-MAX('Calc base'!E$12,ROUND('Calc base'!E$13*AV377,2))&lt;1,ROUND(AV377*(1+'Calc base'!J378),2),MAX('Calc base'!E$12,ROUND('Calc base'!E$13*AV377,2))))</f>
        <v>0</v>
      </c>
      <c r="M378">
        <f>IF(AW377&lt;=0,0,IF(ROUND(AW377*(1+'Calc base'!K378),2)-MAX('Calc base'!F$12,ROUND('Calc base'!F$13*AW377,2))&lt;1,ROUND(AW377*(1+'Calc base'!K378),2),MAX('Calc base'!F$12,ROUND('Calc base'!F$13*AW377,2))))</f>
        <v>0</v>
      </c>
      <c r="N378">
        <f>IF(AX377&lt;=0,0,IF(ROUND(AX377*(1+'Calc base'!L378),2)-MAX('Calc base'!G$12,ROUND('Calc base'!G$13*AX377,2))&lt;1,ROUND(AX377*(1+'Calc base'!L378),2),MAX('Calc base'!G$12,ROUND('Calc base'!G$13*AX377,2))))</f>
        <v>0</v>
      </c>
      <c r="O378">
        <f>IF(AY377&lt;=0,0,IF(ROUND(AY377*(1+'Calc base'!M378),2)-MAX('Calc base'!H$12,ROUND('Calc base'!H$13*AY377,2))&lt;1,ROUND(AY377*(1+'Calc base'!M378),2),MAX('Calc base'!H$12,ROUND('Calc base'!H$13*AY377,2))))</f>
        <v>0</v>
      </c>
      <c r="P378">
        <f>IF(AZ377&lt;=0,0,IF(ROUND(AZ377*(1+'Calc base'!N378),2)-MAX('Calc base'!I$12,ROUND('Calc base'!I$13*AZ377,2))&lt;1,ROUND(AZ377*(1+'Calc base'!N378),2),MAX('Calc base'!I$12,ROUND('Calc base'!I$13*AZ377,2))))</f>
        <v>0</v>
      </c>
      <c r="Q378">
        <f>IF(BA377&lt;=0,0,IF(ROUND(BA377*(1+'Calc base'!O378),2)-MAX('Calc base'!J$12,ROUND('Calc base'!J$13*BA377,2))&lt;1,ROUND(BA377*(1+'Calc base'!O378),2),MAX('Calc base'!J$12,ROUND('Calc base'!J$13*BA377,2))))</f>
        <v>0</v>
      </c>
      <c r="R378">
        <f>IF(BB377&lt;=0,0,IF(ROUND(BB377*(1+'Calc base'!P378),2)-MAX('Calc base'!K$12,ROUND('Calc base'!K$13*BB377,2))&lt;1,ROUND(BB377*(1+'Calc base'!P378),2),MAX('Calc base'!K$12,ROUND('Calc base'!K$13*BB377,2))))</f>
        <v>0</v>
      </c>
      <c r="S378">
        <f>IF(BC377&lt;=0,0,IF(ROUND(BC377*(1+'Calc base'!Q378),2)-MAX('Calc base'!L$12,ROUND('Calc base'!L$13*BC377,2))&lt;1,ROUND(BC377*(1+'Calc base'!Q378),2),MAX('Calc base'!L$12,ROUND('Calc base'!L$13*BC377,2))))</f>
        <v>0</v>
      </c>
      <c r="T378">
        <f>IF(BD377&lt;=0,0,IF(ROUND(BD377*(1+'Calc base'!R378),2)-MAX('Calc base'!M$12,ROUND('Calc base'!M$13*BD377,2))&lt;1,ROUND(BD377*(1+'Calc base'!R378),2),MAX('Calc base'!M$12,ROUND('Calc base'!M$13*BD377,2))))</f>
        <v>0</v>
      </c>
      <c r="U378">
        <f>IF(BE377&lt;=0,0,IF(ROUND(BE377*(1+'Calc base'!S378),2)-MAX('Calc base'!N$12,ROUND('Calc base'!N$13*BE377,2))&lt;1,ROUND(BE377*(1+'Calc base'!S378),2),MAX('Calc base'!N$12,ROUND('Calc base'!N$13*BE377,2))))</f>
        <v>0</v>
      </c>
      <c r="V378">
        <f>MAX(0,ROUND(AT377*(1+'Calc base'!H378),2)-J378-'Calc base'!T378)</f>
        <v>0</v>
      </c>
      <c r="W378">
        <f>MAX(0,ROUND(AU377*(1+'Calc base'!I378),2)-K378-'Calc base'!U378)</f>
        <v>0</v>
      </c>
      <c r="X378">
        <f>MAX(0,ROUND(AV377*(1+'Calc base'!J378),2)-L378-'Calc base'!V378)</f>
        <v>0</v>
      </c>
      <c r="Y378">
        <f>MAX(0,ROUND(AW377*(1+'Calc base'!K378),2)-M378-'Calc base'!W378)</f>
        <v>0</v>
      </c>
      <c r="Z378">
        <f>MAX(0,ROUND(AX377*(1+'Calc base'!L378),2)-N378-'Calc base'!X378)</f>
        <v>0</v>
      </c>
      <c r="AA378">
        <f>MAX(0,ROUND(AY377*(1+'Calc base'!M378),2)-O378-'Calc base'!Y378)</f>
        <v>0</v>
      </c>
      <c r="AB378">
        <f>MAX(0,ROUND(AZ377*(1+'Calc base'!N378),2)-P378-'Calc base'!Z378)</f>
        <v>0</v>
      </c>
      <c r="AC378">
        <f>MAX(0,ROUND(BA377*(1+'Calc base'!O378),2)-Q378-'Calc base'!AA378)</f>
        <v>0</v>
      </c>
      <c r="AD378">
        <f>MAX(0,ROUND(BB377*(1+'Calc base'!P378),2)-R378-'Calc base'!AB378)</f>
        <v>0</v>
      </c>
      <c r="AE378">
        <f>MAX(0,ROUND(BC377*(1+'Calc base'!Q378),2)-S378-'Calc base'!AC378)</f>
        <v>0</v>
      </c>
      <c r="AF378">
        <f>MAX(0,ROUND(BD377*(1+'Calc base'!R378),2)-T378-'Calc base'!AD378)</f>
        <v>0</v>
      </c>
      <c r="AG378">
        <f>MAX(0,ROUND(BE377*(1+'Calc base'!S378),2)-U378-'Calc base'!AE378)</f>
        <v>0</v>
      </c>
      <c r="AH378">
        <f>IF('Calc base'!C$14=0,0,MIN(V378,MAX(0,$E378-SUMPRODUCT($V378:$AG378,'Calc base'!$C$14:$N$14,('Calc base'!$H378:$S378&gt;'Calc base'!H378)+('Calc base'!$H378:$S378='Calc base'!H378)*('Calc base'!$C$17:$N$17&lt;'Calc base'!C$17)))))</f>
        <v>0</v>
      </c>
      <c r="AI378">
        <f>IF('Calc base'!D$14=0,0,MIN(W378,MAX(0,$E378-SUMPRODUCT($V378:$AG378,'Calc base'!$C$14:$N$14,('Calc base'!$H378:$S378&gt;'Calc base'!I378)+('Calc base'!$H378:$S378='Calc base'!I378)*('Calc base'!$C$17:$N$17&lt;'Calc base'!D$17)))))</f>
        <v>0</v>
      </c>
      <c r="AJ378">
        <f>IF('Calc base'!E$14=0,0,MIN(X378,MAX(0,$E378-SUMPRODUCT($V378:$AG378,'Calc base'!$C$14:$N$14,('Calc base'!$H378:$S378&gt;'Calc base'!J378)+('Calc base'!$H378:$S378='Calc base'!J378)*('Calc base'!$C$17:$N$17&lt;'Calc base'!E$17)))))</f>
        <v>0</v>
      </c>
      <c r="AK378">
        <f>IF('Calc base'!F$14=0,0,MIN(Y378,MAX(0,$E378-SUMPRODUCT($V378:$AG378,'Calc base'!$C$14:$N$14,('Calc base'!$H378:$S378&gt;'Calc base'!K378)+('Calc base'!$H378:$S378='Calc base'!K378)*('Calc base'!$C$17:$N$17&lt;'Calc base'!F$17)))))</f>
        <v>0</v>
      </c>
      <c r="AL378">
        <f>IF('Calc base'!G$14=0,0,MIN(Z378,MAX(0,$E378-SUMPRODUCT($V378:$AG378,'Calc base'!$C$14:$N$14,('Calc base'!$H378:$S378&gt;'Calc base'!L378)+('Calc base'!$H378:$S378='Calc base'!L378)*('Calc base'!$C$17:$N$17&lt;'Calc base'!G$17)))))</f>
        <v>0</v>
      </c>
      <c r="AM378">
        <f>IF('Calc base'!H$14=0,0,MIN(AA378,MAX(0,$E378-SUMPRODUCT($V378:$AG378,'Calc base'!$C$14:$N$14,('Calc base'!$H378:$S378&gt;'Calc base'!M378)+('Calc base'!$H378:$S378='Calc base'!M378)*('Calc base'!$C$17:$N$17&lt;'Calc base'!H$17)))))</f>
        <v>0</v>
      </c>
      <c r="AN378">
        <f>IF('Calc base'!I$14=0,0,MIN(AB378,MAX(0,$E378-SUMPRODUCT($V378:$AG378,'Calc base'!$C$14:$N$14,('Calc base'!$H378:$S378&gt;'Calc base'!N378)+('Calc base'!$H378:$S378='Calc base'!N378)*('Calc base'!$C$17:$N$17&lt;'Calc base'!I$17)))))</f>
        <v>0</v>
      </c>
      <c r="AO378">
        <f>IF('Calc base'!J$14=0,0,MIN(AC378,MAX(0,$E378-SUMPRODUCT($V378:$AG378,'Calc base'!$C$14:$N$14,('Calc base'!$H378:$S378&gt;'Calc base'!O378)+('Calc base'!$H378:$S378='Calc base'!O378)*('Calc base'!$C$17:$N$17&lt;'Calc base'!J$17)))))</f>
        <v>0</v>
      </c>
      <c r="AP378">
        <f>IF('Calc base'!K$14=0,0,MIN(AD378,MAX(0,$E378-SUMPRODUCT($V378:$AG378,'Calc base'!$C$14:$N$14,('Calc base'!$H378:$S378&gt;'Calc base'!P378)+('Calc base'!$H378:$S378='Calc base'!P378)*('Calc base'!$C$17:$N$17&lt;'Calc base'!K$17)))))</f>
        <v>0</v>
      </c>
      <c r="AQ378">
        <f>IF('Calc base'!L$14=0,0,MIN(AE378,MAX(0,$E378-SUMPRODUCT($V378:$AG378,'Calc base'!$C$14:$N$14,('Calc base'!$H378:$S378&gt;'Calc base'!Q378)+('Calc base'!$H378:$S378='Calc base'!Q378)*('Calc base'!$C$17:$N$17&lt;'Calc base'!L$17)))))</f>
        <v>0</v>
      </c>
      <c r="AR378">
        <f>IF('Calc base'!M$14=0,0,MIN(AF378,MAX(0,$E378-SUMPRODUCT($V378:$AG378,'Calc base'!$C$14:$N$14,('Calc base'!$H378:$S378&gt;'Calc base'!R378)+('Calc base'!$H378:$S378='Calc base'!R378)*('Calc base'!$C$17:$N$17&lt;'Calc base'!M$17)))))</f>
        <v>0</v>
      </c>
      <c r="AS378">
        <f>IF('Calc base'!N$14=0,0,MIN(AG378,MAX(0,$E378-SUMPRODUCT($V378:$AG378,'Calc base'!$C$14:$N$14,('Calc base'!$H378:$S378&gt;'Calc base'!S378)+('Calc base'!$H378:$S378='Calc base'!S378)*('Calc base'!$C$17:$N$17&lt;'Calc base'!N$17)))))</f>
        <v>0</v>
      </c>
      <c r="AT378">
        <f>V378-AH378</f>
        <v>0</v>
      </c>
      <c r="AU378">
        <f>W378-AI378</f>
        <v>0</v>
      </c>
      <c r="AV378">
        <f>X378-AJ378</f>
        <v>0</v>
      </c>
      <c r="AW378">
        <f>Y378-AK378</f>
        <v>0</v>
      </c>
      <c r="AX378">
        <f>Z378-AL378</f>
        <v>0</v>
      </c>
      <c r="AY378">
        <f>AA378-AM378</f>
        <v>0</v>
      </c>
      <c r="AZ378">
        <f>AB378-AN378</f>
        <v>0</v>
      </c>
      <c r="BA378">
        <f>AC378-AO378</f>
        <v>0</v>
      </c>
      <c r="BB378">
        <f>AD378-AP378</f>
        <v>0</v>
      </c>
      <c r="BC378">
        <f>AE378-AQ378</f>
        <v>0</v>
      </c>
      <c r="BD378">
        <f>AF378-AR378</f>
        <v>0</v>
      </c>
      <c r="BE378">
        <f>AG378-AS378</f>
        <v>0</v>
      </c>
    </row>
    <row r="379">
      <c r="A379" t="n">
        <v>349</v>
      </c>
      <c r="B379">
        <f>SUMPRODUCT(ROUND($AT378:$BE378*(1+'Calc base'!$H379:$S379),2))</f>
        <v>0</v>
      </c>
      <c r="C379">
        <f>SUM(J379:U379)</f>
        <v>0</v>
      </c>
      <c r="D379">
        <f>SUM(V379:AG379)</f>
        <v>0</v>
      </c>
      <c r="E379">
        <f>MAX(0,IF(Impostazioni!$B$7="No",'Calc base'!$C379-$C$31,'Calc base'!$C379-C379)+'Calc base'!$G379+'Calc base'!$F379-(B379-C379-D379))</f>
        <v>900</v>
      </c>
      <c r="F379">
        <f>SUM(AH379:AS379)</f>
        <v>0</v>
      </c>
      <c r="G379">
        <f>SUM(AT379:BE379)</f>
        <v>0</v>
      </c>
      <c r="H379">
        <f>B379-G378</f>
        <v>0</v>
      </c>
      <c r="I379">
        <f>B379-G379</f>
        <v>0</v>
      </c>
      <c r="J379">
        <f>IF(AT378&lt;=0,0,IF(ROUND(AT378*(1+'Calc base'!H379),2)-MAX('Calc base'!C$12,ROUND('Calc base'!C$13*AT378,2))&lt;1,ROUND(AT378*(1+'Calc base'!H379),2),MAX('Calc base'!C$12,ROUND('Calc base'!C$13*AT378,2))))</f>
        <v>0</v>
      </c>
      <c r="K379">
        <f>IF(AU378&lt;=0,0,IF(ROUND(AU378*(1+'Calc base'!I379),2)-MAX('Calc base'!D$12,ROUND('Calc base'!D$13*AU378,2))&lt;1,ROUND(AU378*(1+'Calc base'!I379),2),MAX('Calc base'!D$12,ROUND('Calc base'!D$13*AU378,2))))</f>
        <v>0</v>
      </c>
      <c r="L379">
        <f>IF(AV378&lt;=0,0,IF(ROUND(AV378*(1+'Calc base'!J379),2)-MAX('Calc base'!E$12,ROUND('Calc base'!E$13*AV378,2))&lt;1,ROUND(AV378*(1+'Calc base'!J379),2),MAX('Calc base'!E$12,ROUND('Calc base'!E$13*AV378,2))))</f>
        <v>0</v>
      </c>
      <c r="M379">
        <f>IF(AW378&lt;=0,0,IF(ROUND(AW378*(1+'Calc base'!K379),2)-MAX('Calc base'!F$12,ROUND('Calc base'!F$13*AW378,2))&lt;1,ROUND(AW378*(1+'Calc base'!K379),2),MAX('Calc base'!F$12,ROUND('Calc base'!F$13*AW378,2))))</f>
        <v>0</v>
      </c>
      <c r="N379">
        <f>IF(AX378&lt;=0,0,IF(ROUND(AX378*(1+'Calc base'!L379),2)-MAX('Calc base'!G$12,ROUND('Calc base'!G$13*AX378,2))&lt;1,ROUND(AX378*(1+'Calc base'!L379),2),MAX('Calc base'!G$12,ROUND('Calc base'!G$13*AX378,2))))</f>
        <v>0</v>
      </c>
      <c r="O379">
        <f>IF(AY378&lt;=0,0,IF(ROUND(AY378*(1+'Calc base'!M379),2)-MAX('Calc base'!H$12,ROUND('Calc base'!H$13*AY378,2))&lt;1,ROUND(AY378*(1+'Calc base'!M379),2),MAX('Calc base'!H$12,ROUND('Calc base'!H$13*AY378,2))))</f>
        <v>0</v>
      </c>
      <c r="P379">
        <f>IF(AZ378&lt;=0,0,IF(ROUND(AZ378*(1+'Calc base'!N379),2)-MAX('Calc base'!I$12,ROUND('Calc base'!I$13*AZ378,2))&lt;1,ROUND(AZ378*(1+'Calc base'!N379),2),MAX('Calc base'!I$12,ROUND('Calc base'!I$13*AZ378,2))))</f>
        <v>0</v>
      </c>
      <c r="Q379">
        <f>IF(BA378&lt;=0,0,IF(ROUND(BA378*(1+'Calc base'!O379),2)-MAX('Calc base'!J$12,ROUND('Calc base'!J$13*BA378,2))&lt;1,ROUND(BA378*(1+'Calc base'!O379),2),MAX('Calc base'!J$12,ROUND('Calc base'!J$13*BA378,2))))</f>
        <v>0</v>
      </c>
      <c r="R379">
        <f>IF(BB378&lt;=0,0,IF(ROUND(BB378*(1+'Calc base'!P379),2)-MAX('Calc base'!K$12,ROUND('Calc base'!K$13*BB378,2))&lt;1,ROUND(BB378*(1+'Calc base'!P379),2),MAX('Calc base'!K$12,ROUND('Calc base'!K$13*BB378,2))))</f>
        <v>0</v>
      </c>
      <c r="S379">
        <f>IF(BC378&lt;=0,0,IF(ROUND(BC378*(1+'Calc base'!Q379),2)-MAX('Calc base'!L$12,ROUND('Calc base'!L$13*BC378,2))&lt;1,ROUND(BC378*(1+'Calc base'!Q379),2),MAX('Calc base'!L$12,ROUND('Calc base'!L$13*BC378,2))))</f>
        <v>0</v>
      </c>
      <c r="T379">
        <f>IF(BD378&lt;=0,0,IF(ROUND(BD378*(1+'Calc base'!R379),2)-MAX('Calc base'!M$12,ROUND('Calc base'!M$13*BD378,2))&lt;1,ROUND(BD378*(1+'Calc base'!R379),2),MAX('Calc base'!M$12,ROUND('Calc base'!M$13*BD378,2))))</f>
        <v>0</v>
      </c>
      <c r="U379">
        <f>IF(BE378&lt;=0,0,IF(ROUND(BE378*(1+'Calc base'!S379),2)-MAX('Calc base'!N$12,ROUND('Calc base'!N$13*BE378,2))&lt;1,ROUND(BE378*(1+'Calc base'!S379),2),MAX('Calc base'!N$12,ROUND('Calc base'!N$13*BE378,2))))</f>
        <v>0</v>
      </c>
      <c r="V379">
        <f>MAX(0,ROUND(AT378*(1+'Calc base'!H379),2)-J379-'Calc base'!T379)</f>
        <v>0</v>
      </c>
      <c r="W379">
        <f>MAX(0,ROUND(AU378*(1+'Calc base'!I379),2)-K379-'Calc base'!U379)</f>
        <v>0</v>
      </c>
      <c r="X379">
        <f>MAX(0,ROUND(AV378*(1+'Calc base'!J379),2)-L379-'Calc base'!V379)</f>
        <v>0</v>
      </c>
      <c r="Y379">
        <f>MAX(0,ROUND(AW378*(1+'Calc base'!K379),2)-M379-'Calc base'!W379)</f>
        <v>0</v>
      </c>
      <c r="Z379">
        <f>MAX(0,ROUND(AX378*(1+'Calc base'!L379),2)-N379-'Calc base'!X379)</f>
        <v>0</v>
      </c>
      <c r="AA379">
        <f>MAX(0,ROUND(AY378*(1+'Calc base'!M379),2)-O379-'Calc base'!Y379)</f>
        <v>0</v>
      </c>
      <c r="AB379">
        <f>MAX(0,ROUND(AZ378*(1+'Calc base'!N379),2)-P379-'Calc base'!Z379)</f>
        <v>0</v>
      </c>
      <c r="AC379">
        <f>MAX(0,ROUND(BA378*(1+'Calc base'!O379),2)-Q379-'Calc base'!AA379)</f>
        <v>0</v>
      </c>
      <c r="AD379">
        <f>MAX(0,ROUND(BB378*(1+'Calc base'!P379),2)-R379-'Calc base'!AB379)</f>
        <v>0</v>
      </c>
      <c r="AE379">
        <f>MAX(0,ROUND(BC378*(1+'Calc base'!Q379),2)-S379-'Calc base'!AC379)</f>
        <v>0</v>
      </c>
      <c r="AF379">
        <f>MAX(0,ROUND(BD378*(1+'Calc base'!R379),2)-T379-'Calc base'!AD379)</f>
        <v>0</v>
      </c>
      <c r="AG379">
        <f>MAX(0,ROUND(BE378*(1+'Calc base'!S379),2)-U379-'Calc base'!AE379)</f>
        <v>0</v>
      </c>
      <c r="AH379">
        <f>IF('Calc base'!C$14=0,0,MIN(V379,MAX(0,$E379-SUMPRODUCT($V379:$AG379,'Calc base'!$C$14:$N$14,('Calc base'!$H379:$S379&gt;'Calc base'!H379)+('Calc base'!$H379:$S379='Calc base'!H379)*('Calc base'!$C$17:$N$17&lt;'Calc base'!C$17)))))</f>
        <v>0</v>
      </c>
      <c r="AI379">
        <f>IF('Calc base'!D$14=0,0,MIN(W379,MAX(0,$E379-SUMPRODUCT($V379:$AG379,'Calc base'!$C$14:$N$14,('Calc base'!$H379:$S379&gt;'Calc base'!I379)+('Calc base'!$H379:$S379='Calc base'!I379)*('Calc base'!$C$17:$N$17&lt;'Calc base'!D$17)))))</f>
        <v>0</v>
      </c>
      <c r="AJ379">
        <f>IF('Calc base'!E$14=0,0,MIN(X379,MAX(0,$E379-SUMPRODUCT($V379:$AG379,'Calc base'!$C$14:$N$14,('Calc base'!$H379:$S379&gt;'Calc base'!J379)+('Calc base'!$H379:$S379='Calc base'!J379)*('Calc base'!$C$17:$N$17&lt;'Calc base'!E$17)))))</f>
        <v>0</v>
      </c>
      <c r="AK379">
        <f>IF('Calc base'!F$14=0,0,MIN(Y379,MAX(0,$E379-SUMPRODUCT($V379:$AG379,'Calc base'!$C$14:$N$14,('Calc base'!$H379:$S379&gt;'Calc base'!K379)+('Calc base'!$H379:$S379='Calc base'!K379)*('Calc base'!$C$17:$N$17&lt;'Calc base'!F$17)))))</f>
        <v>0</v>
      </c>
      <c r="AL379">
        <f>IF('Calc base'!G$14=0,0,MIN(Z379,MAX(0,$E379-SUMPRODUCT($V379:$AG379,'Calc base'!$C$14:$N$14,('Calc base'!$H379:$S379&gt;'Calc base'!L379)+('Calc base'!$H379:$S379='Calc base'!L379)*('Calc base'!$C$17:$N$17&lt;'Calc base'!G$17)))))</f>
        <v>0</v>
      </c>
      <c r="AM379">
        <f>IF('Calc base'!H$14=0,0,MIN(AA379,MAX(0,$E379-SUMPRODUCT($V379:$AG379,'Calc base'!$C$14:$N$14,('Calc base'!$H379:$S379&gt;'Calc base'!M379)+('Calc base'!$H379:$S379='Calc base'!M379)*('Calc base'!$C$17:$N$17&lt;'Calc base'!H$17)))))</f>
        <v>0</v>
      </c>
      <c r="AN379">
        <f>IF('Calc base'!I$14=0,0,MIN(AB379,MAX(0,$E379-SUMPRODUCT($V379:$AG379,'Calc base'!$C$14:$N$14,('Calc base'!$H379:$S379&gt;'Calc base'!N379)+('Calc base'!$H379:$S379='Calc base'!N379)*('Calc base'!$C$17:$N$17&lt;'Calc base'!I$17)))))</f>
        <v>0</v>
      </c>
      <c r="AO379">
        <f>IF('Calc base'!J$14=0,0,MIN(AC379,MAX(0,$E379-SUMPRODUCT($V379:$AG379,'Calc base'!$C$14:$N$14,('Calc base'!$H379:$S379&gt;'Calc base'!O379)+('Calc base'!$H379:$S379='Calc base'!O379)*('Calc base'!$C$17:$N$17&lt;'Calc base'!J$17)))))</f>
        <v>0</v>
      </c>
      <c r="AP379">
        <f>IF('Calc base'!K$14=0,0,MIN(AD379,MAX(0,$E379-SUMPRODUCT($V379:$AG379,'Calc base'!$C$14:$N$14,('Calc base'!$H379:$S379&gt;'Calc base'!P379)+('Calc base'!$H379:$S379='Calc base'!P379)*('Calc base'!$C$17:$N$17&lt;'Calc base'!K$17)))))</f>
        <v>0</v>
      </c>
      <c r="AQ379">
        <f>IF('Calc base'!L$14=0,0,MIN(AE379,MAX(0,$E379-SUMPRODUCT($V379:$AG379,'Calc base'!$C$14:$N$14,('Calc base'!$H379:$S379&gt;'Calc base'!Q379)+('Calc base'!$H379:$S379='Calc base'!Q379)*('Calc base'!$C$17:$N$17&lt;'Calc base'!L$17)))))</f>
        <v>0</v>
      </c>
      <c r="AR379">
        <f>IF('Calc base'!M$14=0,0,MIN(AF379,MAX(0,$E379-SUMPRODUCT($V379:$AG379,'Calc base'!$C$14:$N$14,('Calc base'!$H379:$S379&gt;'Calc base'!R379)+('Calc base'!$H379:$S379='Calc base'!R379)*('Calc base'!$C$17:$N$17&lt;'Calc base'!M$17)))))</f>
        <v>0</v>
      </c>
      <c r="AS379">
        <f>IF('Calc base'!N$14=0,0,MIN(AG379,MAX(0,$E379-SUMPRODUCT($V379:$AG379,'Calc base'!$C$14:$N$14,('Calc base'!$H379:$S379&gt;'Calc base'!S379)+('Calc base'!$H379:$S379='Calc base'!S379)*('Calc base'!$C$17:$N$17&lt;'Calc base'!N$17)))))</f>
        <v>0</v>
      </c>
      <c r="AT379">
        <f>V379-AH379</f>
        <v>0</v>
      </c>
      <c r="AU379">
        <f>W379-AI379</f>
        <v>0</v>
      </c>
      <c r="AV379">
        <f>X379-AJ379</f>
        <v>0</v>
      </c>
      <c r="AW379">
        <f>Y379-AK379</f>
        <v>0</v>
      </c>
      <c r="AX379">
        <f>Z379-AL379</f>
        <v>0</v>
      </c>
      <c r="AY379">
        <f>AA379-AM379</f>
        <v>0</v>
      </c>
      <c r="AZ379">
        <f>AB379-AN379</f>
        <v>0</v>
      </c>
      <c r="BA379">
        <f>AC379-AO379</f>
        <v>0</v>
      </c>
      <c r="BB379">
        <f>AD379-AP379</f>
        <v>0</v>
      </c>
      <c r="BC379">
        <f>AE379-AQ379</f>
        <v>0</v>
      </c>
      <c r="BD379">
        <f>AF379-AR379</f>
        <v>0</v>
      </c>
      <c r="BE379">
        <f>AG379-AS379</f>
        <v>0</v>
      </c>
    </row>
    <row r="380">
      <c r="A380" t="n">
        <v>350</v>
      </c>
      <c r="B380">
        <f>SUMPRODUCT(ROUND($AT379:$BE379*(1+'Calc base'!$H380:$S380),2))</f>
        <v>0</v>
      </c>
      <c r="C380">
        <f>SUM(J380:U380)</f>
        <v>0</v>
      </c>
      <c r="D380">
        <f>SUM(V380:AG380)</f>
        <v>0</v>
      </c>
      <c r="E380">
        <f>MAX(0,IF(Impostazioni!$B$7="No",'Calc base'!$C380-$C$31,'Calc base'!$C380-C380)+'Calc base'!$G380+'Calc base'!$F380-(B380-C380-D380))</f>
        <v>900</v>
      </c>
      <c r="F380">
        <f>SUM(AH380:AS380)</f>
        <v>0</v>
      </c>
      <c r="G380">
        <f>SUM(AT380:BE380)</f>
        <v>0</v>
      </c>
      <c r="H380">
        <f>B380-G379</f>
        <v>0</v>
      </c>
      <c r="I380">
        <f>B380-G380</f>
        <v>0</v>
      </c>
      <c r="J380">
        <f>IF(AT379&lt;=0,0,IF(ROUND(AT379*(1+'Calc base'!H380),2)-MAX('Calc base'!C$12,ROUND('Calc base'!C$13*AT379,2))&lt;1,ROUND(AT379*(1+'Calc base'!H380),2),MAX('Calc base'!C$12,ROUND('Calc base'!C$13*AT379,2))))</f>
        <v>0</v>
      </c>
      <c r="K380">
        <f>IF(AU379&lt;=0,0,IF(ROUND(AU379*(1+'Calc base'!I380),2)-MAX('Calc base'!D$12,ROUND('Calc base'!D$13*AU379,2))&lt;1,ROUND(AU379*(1+'Calc base'!I380),2),MAX('Calc base'!D$12,ROUND('Calc base'!D$13*AU379,2))))</f>
        <v>0</v>
      </c>
      <c r="L380">
        <f>IF(AV379&lt;=0,0,IF(ROUND(AV379*(1+'Calc base'!J380),2)-MAX('Calc base'!E$12,ROUND('Calc base'!E$13*AV379,2))&lt;1,ROUND(AV379*(1+'Calc base'!J380),2),MAX('Calc base'!E$12,ROUND('Calc base'!E$13*AV379,2))))</f>
        <v>0</v>
      </c>
      <c r="M380">
        <f>IF(AW379&lt;=0,0,IF(ROUND(AW379*(1+'Calc base'!K380),2)-MAX('Calc base'!F$12,ROUND('Calc base'!F$13*AW379,2))&lt;1,ROUND(AW379*(1+'Calc base'!K380),2),MAX('Calc base'!F$12,ROUND('Calc base'!F$13*AW379,2))))</f>
        <v>0</v>
      </c>
      <c r="N380">
        <f>IF(AX379&lt;=0,0,IF(ROUND(AX379*(1+'Calc base'!L380),2)-MAX('Calc base'!G$12,ROUND('Calc base'!G$13*AX379,2))&lt;1,ROUND(AX379*(1+'Calc base'!L380),2),MAX('Calc base'!G$12,ROUND('Calc base'!G$13*AX379,2))))</f>
        <v>0</v>
      </c>
      <c r="O380">
        <f>IF(AY379&lt;=0,0,IF(ROUND(AY379*(1+'Calc base'!M380),2)-MAX('Calc base'!H$12,ROUND('Calc base'!H$13*AY379,2))&lt;1,ROUND(AY379*(1+'Calc base'!M380),2),MAX('Calc base'!H$12,ROUND('Calc base'!H$13*AY379,2))))</f>
        <v>0</v>
      </c>
      <c r="P380">
        <f>IF(AZ379&lt;=0,0,IF(ROUND(AZ379*(1+'Calc base'!N380),2)-MAX('Calc base'!I$12,ROUND('Calc base'!I$13*AZ379,2))&lt;1,ROUND(AZ379*(1+'Calc base'!N380),2),MAX('Calc base'!I$12,ROUND('Calc base'!I$13*AZ379,2))))</f>
        <v>0</v>
      </c>
      <c r="Q380">
        <f>IF(BA379&lt;=0,0,IF(ROUND(BA379*(1+'Calc base'!O380),2)-MAX('Calc base'!J$12,ROUND('Calc base'!J$13*BA379,2))&lt;1,ROUND(BA379*(1+'Calc base'!O380),2),MAX('Calc base'!J$12,ROUND('Calc base'!J$13*BA379,2))))</f>
        <v>0</v>
      </c>
      <c r="R380">
        <f>IF(BB379&lt;=0,0,IF(ROUND(BB379*(1+'Calc base'!P380),2)-MAX('Calc base'!K$12,ROUND('Calc base'!K$13*BB379,2))&lt;1,ROUND(BB379*(1+'Calc base'!P380),2),MAX('Calc base'!K$12,ROUND('Calc base'!K$13*BB379,2))))</f>
        <v>0</v>
      </c>
      <c r="S380">
        <f>IF(BC379&lt;=0,0,IF(ROUND(BC379*(1+'Calc base'!Q380),2)-MAX('Calc base'!L$12,ROUND('Calc base'!L$13*BC379,2))&lt;1,ROUND(BC379*(1+'Calc base'!Q380),2),MAX('Calc base'!L$12,ROUND('Calc base'!L$13*BC379,2))))</f>
        <v>0</v>
      </c>
      <c r="T380">
        <f>IF(BD379&lt;=0,0,IF(ROUND(BD379*(1+'Calc base'!R380),2)-MAX('Calc base'!M$12,ROUND('Calc base'!M$13*BD379,2))&lt;1,ROUND(BD379*(1+'Calc base'!R380),2),MAX('Calc base'!M$12,ROUND('Calc base'!M$13*BD379,2))))</f>
        <v>0</v>
      </c>
      <c r="U380">
        <f>IF(BE379&lt;=0,0,IF(ROUND(BE379*(1+'Calc base'!S380),2)-MAX('Calc base'!N$12,ROUND('Calc base'!N$13*BE379,2))&lt;1,ROUND(BE379*(1+'Calc base'!S380),2),MAX('Calc base'!N$12,ROUND('Calc base'!N$13*BE379,2))))</f>
        <v>0</v>
      </c>
      <c r="V380">
        <f>MAX(0,ROUND(AT379*(1+'Calc base'!H380),2)-J380-'Calc base'!T380)</f>
        <v>0</v>
      </c>
      <c r="W380">
        <f>MAX(0,ROUND(AU379*(1+'Calc base'!I380),2)-K380-'Calc base'!U380)</f>
        <v>0</v>
      </c>
      <c r="X380">
        <f>MAX(0,ROUND(AV379*(1+'Calc base'!J380),2)-L380-'Calc base'!V380)</f>
        <v>0</v>
      </c>
      <c r="Y380">
        <f>MAX(0,ROUND(AW379*(1+'Calc base'!K380),2)-M380-'Calc base'!W380)</f>
        <v>0</v>
      </c>
      <c r="Z380">
        <f>MAX(0,ROUND(AX379*(1+'Calc base'!L380),2)-N380-'Calc base'!X380)</f>
        <v>0</v>
      </c>
      <c r="AA380">
        <f>MAX(0,ROUND(AY379*(1+'Calc base'!M380),2)-O380-'Calc base'!Y380)</f>
        <v>0</v>
      </c>
      <c r="AB380">
        <f>MAX(0,ROUND(AZ379*(1+'Calc base'!N380),2)-P380-'Calc base'!Z380)</f>
        <v>0</v>
      </c>
      <c r="AC380">
        <f>MAX(0,ROUND(BA379*(1+'Calc base'!O380),2)-Q380-'Calc base'!AA380)</f>
        <v>0</v>
      </c>
      <c r="AD380">
        <f>MAX(0,ROUND(BB379*(1+'Calc base'!P380),2)-R380-'Calc base'!AB380)</f>
        <v>0</v>
      </c>
      <c r="AE380">
        <f>MAX(0,ROUND(BC379*(1+'Calc base'!Q380),2)-S380-'Calc base'!AC380)</f>
        <v>0</v>
      </c>
      <c r="AF380">
        <f>MAX(0,ROUND(BD379*(1+'Calc base'!R380),2)-T380-'Calc base'!AD380)</f>
        <v>0</v>
      </c>
      <c r="AG380">
        <f>MAX(0,ROUND(BE379*(1+'Calc base'!S380),2)-U380-'Calc base'!AE380)</f>
        <v>0</v>
      </c>
      <c r="AH380">
        <f>IF('Calc base'!C$14=0,0,MIN(V380,MAX(0,$E380-SUMPRODUCT($V380:$AG380,'Calc base'!$C$14:$N$14,('Calc base'!$H380:$S380&gt;'Calc base'!H380)+('Calc base'!$H380:$S380='Calc base'!H380)*('Calc base'!$C$17:$N$17&lt;'Calc base'!C$17)))))</f>
        <v>0</v>
      </c>
      <c r="AI380">
        <f>IF('Calc base'!D$14=0,0,MIN(W380,MAX(0,$E380-SUMPRODUCT($V380:$AG380,'Calc base'!$C$14:$N$14,('Calc base'!$H380:$S380&gt;'Calc base'!I380)+('Calc base'!$H380:$S380='Calc base'!I380)*('Calc base'!$C$17:$N$17&lt;'Calc base'!D$17)))))</f>
        <v>0</v>
      </c>
      <c r="AJ380">
        <f>IF('Calc base'!E$14=0,0,MIN(X380,MAX(0,$E380-SUMPRODUCT($V380:$AG380,'Calc base'!$C$14:$N$14,('Calc base'!$H380:$S380&gt;'Calc base'!J380)+('Calc base'!$H380:$S380='Calc base'!J380)*('Calc base'!$C$17:$N$17&lt;'Calc base'!E$17)))))</f>
        <v>0</v>
      </c>
      <c r="AK380">
        <f>IF('Calc base'!F$14=0,0,MIN(Y380,MAX(0,$E380-SUMPRODUCT($V380:$AG380,'Calc base'!$C$14:$N$14,('Calc base'!$H380:$S380&gt;'Calc base'!K380)+('Calc base'!$H380:$S380='Calc base'!K380)*('Calc base'!$C$17:$N$17&lt;'Calc base'!F$17)))))</f>
        <v>0</v>
      </c>
      <c r="AL380">
        <f>IF('Calc base'!G$14=0,0,MIN(Z380,MAX(0,$E380-SUMPRODUCT($V380:$AG380,'Calc base'!$C$14:$N$14,('Calc base'!$H380:$S380&gt;'Calc base'!L380)+('Calc base'!$H380:$S380='Calc base'!L380)*('Calc base'!$C$17:$N$17&lt;'Calc base'!G$17)))))</f>
        <v>0</v>
      </c>
      <c r="AM380">
        <f>IF('Calc base'!H$14=0,0,MIN(AA380,MAX(0,$E380-SUMPRODUCT($V380:$AG380,'Calc base'!$C$14:$N$14,('Calc base'!$H380:$S380&gt;'Calc base'!M380)+('Calc base'!$H380:$S380='Calc base'!M380)*('Calc base'!$C$17:$N$17&lt;'Calc base'!H$17)))))</f>
        <v>0</v>
      </c>
      <c r="AN380">
        <f>IF('Calc base'!I$14=0,0,MIN(AB380,MAX(0,$E380-SUMPRODUCT($V380:$AG380,'Calc base'!$C$14:$N$14,('Calc base'!$H380:$S380&gt;'Calc base'!N380)+('Calc base'!$H380:$S380='Calc base'!N380)*('Calc base'!$C$17:$N$17&lt;'Calc base'!I$17)))))</f>
        <v>0</v>
      </c>
      <c r="AO380">
        <f>IF('Calc base'!J$14=0,0,MIN(AC380,MAX(0,$E380-SUMPRODUCT($V380:$AG380,'Calc base'!$C$14:$N$14,('Calc base'!$H380:$S380&gt;'Calc base'!O380)+('Calc base'!$H380:$S380='Calc base'!O380)*('Calc base'!$C$17:$N$17&lt;'Calc base'!J$17)))))</f>
        <v>0</v>
      </c>
      <c r="AP380">
        <f>IF('Calc base'!K$14=0,0,MIN(AD380,MAX(0,$E380-SUMPRODUCT($V380:$AG380,'Calc base'!$C$14:$N$14,('Calc base'!$H380:$S380&gt;'Calc base'!P380)+('Calc base'!$H380:$S380='Calc base'!P380)*('Calc base'!$C$17:$N$17&lt;'Calc base'!K$17)))))</f>
        <v>0</v>
      </c>
      <c r="AQ380">
        <f>IF('Calc base'!L$14=0,0,MIN(AE380,MAX(0,$E380-SUMPRODUCT($V380:$AG380,'Calc base'!$C$14:$N$14,('Calc base'!$H380:$S380&gt;'Calc base'!Q380)+('Calc base'!$H380:$S380='Calc base'!Q380)*('Calc base'!$C$17:$N$17&lt;'Calc base'!L$17)))))</f>
        <v>0</v>
      </c>
      <c r="AR380">
        <f>IF('Calc base'!M$14=0,0,MIN(AF380,MAX(0,$E380-SUMPRODUCT($V380:$AG380,'Calc base'!$C$14:$N$14,('Calc base'!$H380:$S380&gt;'Calc base'!R380)+('Calc base'!$H380:$S380='Calc base'!R380)*('Calc base'!$C$17:$N$17&lt;'Calc base'!M$17)))))</f>
        <v>0</v>
      </c>
      <c r="AS380">
        <f>IF('Calc base'!N$14=0,0,MIN(AG380,MAX(0,$E380-SUMPRODUCT($V380:$AG380,'Calc base'!$C$14:$N$14,('Calc base'!$H380:$S380&gt;'Calc base'!S380)+('Calc base'!$H380:$S380='Calc base'!S380)*('Calc base'!$C$17:$N$17&lt;'Calc base'!N$17)))))</f>
        <v>0</v>
      </c>
      <c r="AT380">
        <f>V380-AH380</f>
        <v>0</v>
      </c>
      <c r="AU380">
        <f>W380-AI380</f>
        <v>0</v>
      </c>
      <c r="AV380">
        <f>X380-AJ380</f>
        <v>0</v>
      </c>
      <c r="AW380">
        <f>Y380-AK380</f>
        <v>0</v>
      </c>
      <c r="AX380">
        <f>Z380-AL380</f>
        <v>0</v>
      </c>
      <c r="AY380">
        <f>AA380-AM380</f>
        <v>0</v>
      </c>
      <c r="AZ380">
        <f>AB380-AN380</f>
        <v>0</v>
      </c>
      <c r="BA380">
        <f>AC380-AO380</f>
        <v>0</v>
      </c>
      <c r="BB380">
        <f>AD380-AP380</f>
        <v>0</v>
      </c>
      <c r="BC380">
        <f>AE380-AQ380</f>
        <v>0</v>
      </c>
      <c r="BD380">
        <f>AF380-AR380</f>
        <v>0</v>
      </c>
      <c r="BE380">
        <f>AG380-AS380</f>
        <v>0</v>
      </c>
    </row>
    <row r="381">
      <c r="A381" t="n">
        <v>351</v>
      </c>
      <c r="B381">
        <f>SUMPRODUCT(ROUND($AT380:$BE380*(1+'Calc base'!$H381:$S381),2))</f>
        <v>0</v>
      </c>
      <c r="C381">
        <f>SUM(J381:U381)</f>
        <v>0</v>
      </c>
      <c r="D381">
        <f>SUM(V381:AG381)</f>
        <v>0</v>
      </c>
      <c r="E381">
        <f>MAX(0,IF(Impostazioni!$B$7="No",'Calc base'!$C381-$C$31,'Calc base'!$C381-C381)+'Calc base'!$G381+'Calc base'!$F381-(B381-C381-D381))</f>
        <v>900</v>
      </c>
      <c r="F381">
        <f>SUM(AH381:AS381)</f>
        <v>0</v>
      </c>
      <c r="G381">
        <f>SUM(AT381:BE381)</f>
        <v>0</v>
      </c>
      <c r="H381">
        <f>B381-G380</f>
        <v>0</v>
      </c>
      <c r="I381">
        <f>B381-G381</f>
        <v>0</v>
      </c>
      <c r="J381">
        <f>IF(AT380&lt;=0,0,IF(ROUND(AT380*(1+'Calc base'!H381),2)-MAX('Calc base'!C$12,ROUND('Calc base'!C$13*AT380,2))&lt;1,ROUND(AT380*(1+'Calc base'!H381),2),MAX('Calc base'!C$12,ROUND('Calc base'!C$13*AT380,2))))</f>
        <v>0</v>
      </c>
      <c r="K381">
        <f>IF(AU380&lt;=0,0,IF(ROUND(AU380*(1+'Calc base'!I381),2)-MAX('Calc base'!D$12,ROUND('Calc base'!D$13*AU380,2))&lt;1,ROUND(AU380*(1+'Calc base'!I381),2),MAX('Calc base'!D$12,ROUND('Calc base'!D$13*AU380,2))))</f>
        <v>0</v>
      </c>
      <c r="L381">
        <f>IF(AV380&lt;=0,0,IF(ROUND(AV380*(1+'Calc base'!J381),2)-MAX('Calc base'!E$12,ROUND('Calc base'!E$13*AV380,2))&lt;1,ROUND(AV380*(1+'Calc base'!J381),2),MAX('Calc base'!E$12,ROUND('Calc base'!E$13*AV380,2))))</f>
        <v>0</v>
      </c>
      <c r="M381">
        <f>IF(AW380&lt;=0,0,IF(ROUND(AW380*(1+'Calc base'!K381),2)-MAX('Calc base'!F$12,ROUND('Calc base'!F$13*AW380,2))&lt;1,ROUND(AW380*(1+'Calc base'!K381),2),MAX('Calc base'!F$12,ROUND('Calc base'!F$13*AW380,2))))</f>
        <v>0</v>
      </c>
      <c r="N381">
        <f>IF(AX380&lt;=0,0,IF(ROUND(AX380*(1+'Calc base'!L381),2)-MAX('Calc base'!G$12,ROUND('Calc base'!G$13*AX380,2))&lt;1,ROUND(AX380*(1+'Calc base'!L381),2),MAX('Calc base'!G$12,ROUND('Calc base'!G$13*AX380,2))))</f>
        <v>0</v>
      </c>
      <c r="O381">
        <f>IF(AY380&lt;=0,0,IF(ROUND(AY380*(1+'Calc base'!M381),2)-MAX('Calc base'!H$12,ROUND('Calc base'!H$13*AY380,2))&lt;1,ROUND(AY380*(1+'Calc base'!M381),2),MAX('Calc base'!H$12,ROUND('Calc base'!H$13*AY380,2))))</f>
        <v>0</v>
      </c>
      <c r="P381">
        <f>IF(AZ380&lt;=0,0,IF(ROUND(AZ380*(1+'Calc base'!N381),2)-MAX('Calc base'!I$12,ROUND('Calc base'!I$13*AZ380,2))&lt;1,ROUND(AZ380*(1+'Calc base'!N381),2),MAX('Calc base'!I$12,ROUND('Calc base'!I$13*AZ380,2))))</f>
        <v>0</v>
      </c>
      <c r="Q381">
        <f>IF(BA380&lt;=0,0,IF(ROUND(BA380*(1+'Calc base'!O381),2)-MAX('Calc base'!J$12,ROUND('Calc base'!J$13*BA380,2))&lt;1,ROUND(BA380*(1+'Calc base'!O381),2),MAX('Calc base'!J$12,ROUND('Calc base'!J$13*BA380,2))))</f>
        <v>0</v>
      </c>
      <c r="R381">
        <f>IF(BB380&lt;=0,0,IF(ROUND(BB380*(1+'Calc base'!P381),2)-MAX('Calc base'!K$12,ROUND('Calc base'!K$13*BB380,2))&lt;1,ROUND(BB380*(1+'Calc base'!P381),2),MAX('Calc base'!K$12,ROUND('Calc base'!K$13*BB380,2))))</f>
        <v>0</v>
      </c>
      <c r="S381">
        <f>IF(BC380&lt;=0,0,IF(ROUND(BC380*(1+'Calc base'!Q381),2)-MAX('Calc base'!L$12,ROUND('Calc base'!L$13*BC380,2))&lt;1,ROUND(BC380*(1+'Calc base'!Q381),2),MAX('Calc base'!L$12,ROUND('Calc base'!L$13*BC380,2))))</f>
        <v>0</v>
      </c>
      <c r="T381">
        <f>IF(BD380&lt;=0,0,IF(ROUND(BD380*(1+'Calc base'!R381),2)-MAX('Calc base'!M$12,ROUND('Calc base'!M$13*BD380,2))&lt;1,ROUND(BD380*(1+'Calc base'!R381),2),MAX('Calc base'!M$12,ROUND('Calc base'!M$13*BD380,2))))</f>
        <v>0</v>
      </c>
      <c r="U381">
        <f>IF(BE380&lt;=0,0,IF(ROUND(BE380*(1+'Calc base'!S381),2)-MAX('Calc base'!N$12,ROUND('Calc base'!N$13*BE380,2))&lt;1,ROUND(BE380*(1+'Calc base'!S381),2),MAX('Calc base'!N$12,ROUND('Calc base'!N$13*BE380,2))))</f>
        <v>0</v>
      </c>
      <c r="V381">
        <f>MAX(0,ROUND(AT380*(1+'Calc base'!H381),2)-J381-'Calc base'!T381)</f>
        <v>0</v>
      </c>
      <c r="W381">
        <f>MAX(0,ROUND(AU380*(1+'Calc base'!I381),2)-K381-'Calc base'!U381)</f>
        <v>0</v>
      </c>
      <c r="X381">
        <f>MAX(0,ROUND(AV380*(1+'Calc base'!J381),2)-L381-'Calc base'!V381)</f>
        <v>0</v>
      </c>
      <c r="Y381">
        <f>MAX(0,ROUND(AW380*(1+'Calc base'!K381),2)-M381-'Calc base'!W381)</f>
        <v>0</v>
      </c>
      <c r="Z381">
        <f>MAX(0,ROUND(AX380*(1+'Calc base'!L381),2)-N381-'Calc base'!X381)</f>
        <v>0</v>
      </c>
      <c r="AA381">
        <f>MAX(0,ROUND(AY380*(1+'Calc base'!M381),2)-O381-'Calc base'!Y381)</f>
        <v>0</v>
      </c>
      <c r="AB381">
        <f>MAX(0,ROUND(AZ380*(1+'Calc base'!N381),2)-P381-'Calc base'!Z381)</f>
        <v>0</v>
      </c>
      <c r="AC381">
        <f>MAX(0,ROUND(BA380*(1+'Calc base'!O381),2)-Q381-'Calc base'!AA381)</f>
        <v>0</v>
      </c>
      <c r="AD381">
        <f>MAX(0,ROUND(BB380*(1+'Calc base'!P381),2)-R381-'Calc base'!AB381)</f>
        <v>0</v>
      </c>
      <c r="AE381">
        <f>MAX(0,ROUND(BC380*(1+'Calc base'!Q381),2)-S381-'Calc base'!AC381)</f>
        <v>0</v>
      </c>
      <c r="AF381">
        <f>MAX(0,ROUND(BD380*(1+'Calc base'!R381),2)-T381-'Calc base'!AD381)</f>
        <v>0</v>
      </c>
      <c r="AG381">
        <f>MAX(0,ROUND(BE380*(1+'Calc base'!S381),2)-U381-'Calc base'!AE381)</f>
        <v>0</v>
      </c>
      <c r="AH381">
        <f>IF('Calc base'!C$14=0,0,MIN(V381,MAX(0,$E381-SUMPRODUCT($V381:$AG381,'Calc base'!$C$14:$N$14,('Calc base'!$H381:$S381&gt;'Calc base'!H381)+('Calc base'!$H381:$S381='Calc base'!H381)*('Calc base'!$C$17:$N$17&lt;'Calc base'!C$17)))))</f>
        <v>0</v>
      </c>
      <c r="AI381">
        <f>IF('Calc base'!D$14=0,0,MIN(W381,MAX(0,$E381-SUMPRODUCT($V381:$AG381,'Calc base'!$C$14:$N$14,('Calc base'!$H381:$S381&gt;'Calc base'!I381)+('Calc base'!$H381:$S381='Calc base'!I381)*('Calc base'!$C$17:$N$17&lt;'Calc base'!D$17)))))</f>
        <v>0</v>
      </c>
      <c r="AJ381">
        <f>IF('Calc base'!E$14=0,0,MIN(X381,MAX(0,$E381-SUMPRODUCT($V381:$AG381,'Calc base'!$C$14:$N$14,('Calc base'!$H381:$S381&gt;'Calc base'!J381)+('Calc base'!$H381:$S381='Calc base'!J381)*('Calc base'!$C$17:$N$17&lt;'Calc base'!E$17)))))</f>
        <v>0</v>
      </c>
      <c r="AK381">
        <f>IF('Calc base'!F$14=0,0,MIN(Y381,MAX(0,$E381-SUMPRODUCT($V381:$AG381,'Calc base'!$C$14:$N$14,('Calc base'!$H381:$S381&gt;'Calc base'!K381)+('Calc base'!$H381:$S381='Calc base'!K381)*('Calc base'!$C$17:$N$17&lt;'Calc base'!F$17)))))</f>
        <v>0</v>
      </c>
      <c r="AL381">
        <f>IF('Calc base'!G$14=0,0,MIN(Z381,MAX(0,$E381-SUMPRODUCT($V381:$AG381,'Calc base'!$C$14:$N$14,('Calc base'!$H381:$S381&gt;'Calc base'!L381)+('Calc base'!$H381:$S381='Calc base'!L381)*('Calc base'!$C$17:$N$17&lt;'Calc base'!G$17)))))</f>
        <v>0</v>
      </c>
      <c r="AM381">
        <f>IF('Calc base'!H$14=0,0,MIN(AA381,MAX(0,$E381-SUMPRODUCT($V381:$AG381,'Calc base'!$C$14:$N$14,('Calc base'!$H381:$S381&gt;'Calc base'!M381)+('Calc base'!$H381:$S381='Calc base'!M381)*('Calc base'!$C$17:$N$17&lt;'Calc base'!H$17)))))</f>
        <v>0</v>
      </c>
      <c r="AN381">
        <f>IF('Calc base'!I$14=0,0,MIN(AB381,MAX(0,$E381-SUMPRODUCT($V381:$AG381,'Calc base'!$C$14:$N$14,('Calc base'!$H381:$S381&gt;'Calc base'!N381)+('Calc base'!$H381:$S381='Calc base'!N381)*('Calc base'!$C$17:$N$17&lt;'Calc base'!I$17)))))</f>
        <v>0</v>
      </c>
      <c r="AO381">
        <f>IF('Calc base'!J$14=0,0,MIN(AC381,MAX(0,$E381-SUMPRODUCT($V381:$AG381,'Calc base'!$C$14:$N$14,('Calc base'!$H381:$S381&gt;'Calc base'!O381)+('Calc base'!$H381:$S381='Calc base'!O381)*('Calc base'!$C$17:$N$17&lt;'Calc base'!J$17)))))</f>
        <v>0</v>
      </c>
      <c r="AP381">
        <f>IF('Calc base'!K$14=0,0,MIN(AD381,MAX(0,$E381-SUMPRODUCT($V381:$AG381,'Calc base'!$C$14:$N$14,('Calc base'!$H381:$S381&gt;'Calc base'!P381)+('Calc base'!$H381:$S381='Calc base'!P381)*('Calc base'!$C$17:$N$17&lt;'Calc base'!K$17)))))</f>
        <v>0</v>
      </c>
      <c r="AQ381">
        <f>IF('Calc base'!L$14=0,0,MIN(AE381,MAX(0,$E381-SUMPRODUCT($V381:$AG381,'Calc base'!$C$14:$N$14,('Calc base'!$H381:$S381&gt;'Calc base'!Q381)+('Calc base'!$H381:$S381='Calc base'!Q381)*('Calc base'!$C$17:$N$17&lt;'Calc base'!L$17)))))</f>
        <v>0</v>
      </c>
      <c r="AR381">
        <f>IF('Calc base'!M$14=0,0,MIN(AF381,MAX(0,$E381-SUMPRODUCT($V381:$AG381,'Calc base'!$C$14:$N$14,('Calc base'!$H381:$S381&gt;'Calc base'!R381)+('Calc base'!$H381:$S381='Calc base'!R381)*('Calc base'!$C$17:$N$17&lt;'Calc base'!M$17)))))</f>
        <v>0</v>
      </c>
      <c r="AS381">
        <f>IF('Calc base'!N$14=0,0,MIN(AG381,MAX(0,$E381-SUMPRODUCT($V381:$AG381,'Calc base'!$C$14:$N$14,('Calc base'!$H381:$S381&gt;'Calc base'!S381)+('Calc base'!$H381:$S381='Calc base'!S381)*('Calc base'!$C$17:$N$17&lt;'Calc base'!N$17)))))</f>
        <v>0</v>
      </c>
      <c r="AT381">
        <f>V381-AH381</f>
        <v>0</v>
      </c>
      <c r="AU381">
        <f>W381-AI381</f>
        <v>0</v>
      </c>
      <c r="AV381">
        <f>X381-AJ381</f>
        <v>0</v>
      </c>
      <c r="AW381">
        <f>Y381-AK381</f>
        <v>0</v>
      </c>
      <c r="AX381">
        <f>Z381-AL381</f>
        <v>0</v>
      </c>
      <c r="AY381">
        <f>AA381-AM381</f>
        <v>0</v>
      </c>
      <c r="AZ381">
        <f>AB381-AN381</f>
        <v>0</v>
      </c>
      <c r="BA381">
        <f>AC381-AO381</f>
        <v>0</v>
      </c>
      <c r="BB381">
        <f>AD381-AP381</f>
        <v>0</v>
      </c>
      <c r="BC381">
        <f>AE381-AQ381</f>
        <v>0</v>
      </c>
      <c r="BD381">
        <f>AF381-AR381</f>
        <v>0</v>
      </c>
      <c r="BE381">
        <f>AG381-AS381</f>
        <v>0</v>
      </c>
    </row>
    <row r="382">
      <c r="A382" t="n">
        <v>352</v>
      </c>
      <c r="B382">
        <f>SUMPRODUCT(ROUND($AT381:$BE381*(1+'Calc base'!$H382:$S382),2))</f>
        <v>0</v>
      </c>
      <c r="C382">
        <f>SUM(J382:U382)</f>
        <v>0</v>
      </c>
      <c r="D382">
        <f>SUM(V382:AG382)</f>
        <v>0</v>
      </c>
      <c r="E382">
        <f>MAX(0,IF(Impostazioni!$B$7="No",'Calc base'!$C382-$C$31,'Calc base'!$C382-C382)+'Calc base'!$G382+'Calc base'!$F382-(B382-C382-D382))</f>
        <v>900</v>
      </c>
      <c r="F382">
        <f>SUM(AH382:AS382)</f>
        <v>0</v>
      </c>
      <c r="G382">
        <f>SUM(AT382:BE382)</f>
        <v>0</v>
      </c>
      <c r="H382">
        <f>B382-G381</f>
        <v>0</v>
      </c>
      <c r="I382">
        <f>B382-G382</f>
        <v>0</v>
      </c>
      <c r="J382">
        <f>IF(AT381&lt;=0,0,IF(ROUND(AT381*(1+'Calc base'!H382),2)-MAX('Calc base'!C$12,ROUND('Calc base'!C$13*AT381,2))&lt;1,ROUND(AT381*(1+'Calc base'!H382),2),MAX('Calc base'!C$12,ROUND('Calc base'!C$13*AT381,2))))</f>
        <v>0</v>
      </c>
      <c r="K382">
        <f>IF(AU381&lt;=0,0,IF(ROUND(AU381*(1+'Calc base'!I382),2)-MAX('Calc base'!D$12,ROUND('Calc base'!D$13*AU381,2))&lt;1,ROUND(AU381*(1+'Calc base'!I382),2),MAX('Calc base'!D$12,ROUND('Calc base'!D$13*AU381,2))))</f>
        <v>0</v>
      </c>
      <c r="L382">
        <f>IF(AV381&lt;=0,0,IF(ROUND(AV381*(1+'Calc base'!J382),2)-MAX('Calc base'!E$12,ROUND('Calc base'!E$13*AV381,2))&lt;1,ROUND(AV381*(1+'Calc base'!J382),2),MAX('Calc base'!E$12,ROUND('Calc base'!E$13*AV381,2))))</f>
        <v>0</v>
      </c>
      <c r="M382">
        <f>IF(AW381&lt;=0,0,IF(ROUND(AW381*(1+'Calc base'!K382),2)-MAX('Calc base'!F$12,ROUND('Calc base'!F$13*AW381,2))&lt;1,ROUND(AW381*(1+'Calc base'!K382),2),MAX('Calc base'!F$12,ROUND('Calc base'!F$13*AW381,2))))</f>
        <v>0</v>
      </c>
      <c r="N382">
        <f>IF(AX381&lt;=0,0,IF(ROUND(AX381*(1+'Calc base'!L382),2)-MAX('Calc base'!G$12,ROUND('Calc base'!G$13*AX381,2))&lt;1,ROUND(AX381*(1+'Calc base'!L382),2),MAX('Calc base'!G$12,ROUND('Calc base'!G$13*AX381,2))))</f>
        <v>0</v>
      </c>
      <c r="O382">
        <f>IF(AY381&lt;=0,0,IF(ROUND(AY381*(1+'Calc base'!M382),2)-MAX('Calc base'!H$12,ROUND('Calc base'!H$13*AY381,2))&lt;1,ROUND(AY381*(1+'Calc base'!M382),2),MAX('Calc base'!H$12,ROUND('Calc base'!H$13*AY381,2))))</f>
        <v>0</v>
      </c>
      <c r="P382">
        <f>IF(AZ381&lt;=0,0,IF(ROUND(AZ381*(1+'Calc base'!N382),2)-MAX('Calc base'!I$12,ROUND('Calc base'!I$13*AZ381,2))&lt;1,ROUND(AZ381*(1+'Calc base'!N382),2),MAX('Calc base'!I$12,ROUND('Calc base'!I$13*AZ381,2))))</f>
        <v>0</v>
      </c>
      <c r="Q382">
        <f>IF(BA381&lt;=0,0,IF(ROUND(BA381*(1+'Calc base'!O382),2)-MAX('Calc base'!J$12,ROUND('Calc base'!J$13*BA381,2))&lt;1,ROUND(BA381*(1+'Calc base'!O382),2),MAX('Calc base'!J$12,ROUND('Calc base'!J$13*BA381,2))))</f>
        <v>0</v>
      </c>
      <c r="R382">
        <f>IF(BB381&lt;=0,0,IF(ROUND(BB381*(1+'Calc base'!P382),2)-MAX('Calc base'!K$12,ROUND('Calc base'!K$13*BB381,2))&lt;1,ROUND(BB381*(1+'Calc base'!P382),2),MAX('Calc base'!K$12,ROUND('Calc base'!K$13*BB381,2))))</f>
        <v>0</v>
      </c>
      <c r="S382">
        <f>IF(BC381&lt;=0,0,IF(ROUND(BC381*(1+'Calc base'!Q382),2)-MAX('Calc base'!L$12,ROUND('Calc base'!L$13*BC381,2))&lt;1,ROUND(BC381*(1+'Calc base'!Q382),2),MAX('Calc base'!L$12,ROUND('Calc base'!L$13*BC381,2))))</f>
        <v>0</v>
      </c>
      <c r="T382">
        <f>IF(BD381&lt;=0,0,IF(ROUND(BD381*(1+'Calc base'!R382),2)-MAX('Calc base'!M$12,ROUND('Calc base'!M$13*BD381,2))&lt;1,ROUND(BD381*(1+'Calc base'!R382),2),MAX('Calc base'!M$12,ROUND('Calc base'!M$13*BD381,2))))</f>
        <v>0</v>
      </c>
      <c r="U382">
        <f>IF(BE381&lt;=0,0,IF(ROUND(BE381*(1+'Calc base'!S382),2)-MAX('Calc base'!N$12,ROUND('Calc base'!N$13*BE381,2))&lt;1,ROUND(BE381*(1+'Calc base'!S382),2),MAX('Calc base'!N$12,ROUND('Calc base'!N$13*BE381,2))))</f>
        <v>0</v>
      </c>
      <c r="V382">
        <f>MAX(0,ROUND(AT381*(1+'Calc base'!H382),2)-J382-'Calc base'!T382)</f>
        <v>0</v>
      </c>
      <c r="W382">
        <f>MAX(0,ROUND(AU381*(1+'Calc base'!I382),2)-K382-'Calc base'!U382)</f>
        <v>0</v>
      </c>
      <c r="X382">
        <f>MAX(0,ROUND(AV381*(1+'Calc base'!J382),2)-L382-'Calc base'!V382)</f>
        <v>0</v>
      </c>
      <c r="Y382">
        <f>MAX(0,ROUND(AW381*(1+'Calc base'!K382),2)-M382-'Calc base'!W382)</f>
        <v>0</v>
      </c>
      <c r="Z382">
        <f>MAX(0,ROUND(AX381*(1+'Calc base'!L382),2)-N382-'Calc base'!X382)</f>
        <v>0</v>
      </c>
      <c r="AA382">
        <f>MAX(0,ROUND(AY381*(1+'Calc base'!M382),2)-O382-'Calc base'!Y382)</f>
        <v>0</v>
      </c>
      <c r="AB382">
        <f>MAX(0,ROUND(AZ381*(1+'Calc base'!N382),2)-P382-'Calc base'!Z382)</f>
        <v>0</v>
      </c>
      <c r="AC382">
        <f>MAX(0,ROUND(BA381*(1+'Calc base'!O382),2)-Q382-'Calc base'!AA382)</f>
        <v>0</v>
      </c>
      <c r="AD382">
        <f>MAX(0,ROUND(BB381*(1+'Calc base'!P382),2)-R382-'Calc base'!AB382)</f>
        <v>0</v>
      </c>
      <c r="AE382">
        <f>MAX(0,ROUND(BC381*(1+'Calc base'!Q382),2)-S382-'Calc base'!AC382)</f>
        <v>0</v>
      </c>
      <c r="AF382">
        <f>MAX(0,ROUND(BD381*(1+'Calc base'!R382),2)-T382-'Calc base'!AD382)</f>
        <v>0</v>
      </c>
      <c r="AG382">
        <f>MAX(0,ROUND(BE381*(1+'Calc base'!S382),2)-U382-'Calc base'!AE382)</f>
        <v>0</v>
      </c>
      <c r="AH382">
        <f>IF('Calc base'!C$14=0,0,MIN(V382,MAX(0,$E382-SUMPRODUCT($V382:$AG382,'Calc base'!$C$14:$N$14,('Calc base'!$H382:$S382&gt;'Calc base'!H382)+('Calc base'!$H382:$S382='Calc base'!H382)*('Calc base'!$C$17:$N$17&lt;'Calc base'!C$17)))))</f>
        <v>0</v>
      </c>
      <c r="AI382">
        <f>IF('Calc base'!D$14=0,0,MIN(W382,MAX(0,$E382-SUMPRODUCT($V382:$AG382,'Calc base'!$C$14:$N$14,('Calc base'!$H382:$S382&gt;'Calc base'!I382)+('Calc base'!$H382:$S382='Calc base'!I382)*('Calc base'!$C$17:$N$17&lt;'Calc base'!D$17)))))</f>
        <v>0</v>
      </c>
      <c r="AJ382">
        <f>IF('Calc base'!E$14=0,0,MIN(X382,MAX(0,$E382-SUMPRODUCT($V382:$AG382,'Calc base'!$C$14:$N$14,('Calc base'!$H382:$S382&gt;'Calc base'!J382)+('Calc base'!$H382:$S382='Calc base'!J382)*('Calc base'!$C$17:$N$17&lt;'Calc base'!E$17)))))</f>
        <v>0</v>
      </c>
      <c r="AK382">
        <f>IF('Calc base'!F$14=0,0,MIN(Y382,MAX(0,$E382-SUMPRODUCT($V382:$AG382,'Calc base'!$C$14:$N$14,('Calc base'!$H382:$S382&gt;'Calc base'!K382)+('Calc base'!$H382:$S382='Calc base'!K382)*('Calc base'!$C$17:$N$17&lt;'Calc base'!F$17)))))</f>
        <v>0</v>
      </c>
      <c r="AL382">
        <f>IF('Calc base'!G$14=0,0,MIN(Z382,MAX(0,$E382-SUMPRODUCT($V382:$AG382,'Calc base'!$C$14:$N$14,('Calc base'!$H382:$S382&gt;'Calc base'!L382)+('Calc base'!$H382:$S382='Calc base'!L382)*('Calc base'!$C$17:$N$17&lt;'Calc base'!G$17)))))</f>
        <v>0</v>
      </c>
      <c r="AM382">
        <f>IF('Calc base'!H$14=0,0,MIN(AA382,MAX(0,$E382-SUMPRODUCT($V382:$AG382,'Calc base'!$C$14:$N$14,('Calc base'!$H382:$S382&gt;'Calc base'!M382)+('Calc base'!$H382:$S382='Calc base'!M382)*('Calc base'!$C$17:$N$17&lt;'Calc base'!H$17)))))</f>
        <v>0</v>
      </c>
      <c r="AN382">
        <f>IF('Calc base'!I$14=0,0,MIN(AB382,MAX(0,$E382-SUMPRODUCT($V382:$AG382,'Calc base'!$C$14:$N$14,('Calc base'!$H382:$S382&gt;'Calc base'!N382)+('Calc base'!$H382:$S382='Calc base'!N382)*('Calc base'!$C$17:$N$17&lt;'Calc base'!I$17)))))</f>
        <v>0</v>
      </c>
      <c r="AO382">
        <f>IF('Calc base'!J$14=0,0,MIN(AC382,MAX(0,$E382-SUMPRODUCT($V382:$AG382,'Calc base'!$C$14:$N$14,('Calc base'!$H382:$S382&gt;'Calc base'!O382)+('Calc base'!$H382:$S382='Calc base'!O382)*('Calc base'!$C$17:$N$17&lt;'Calc base'!J$17)))))</f>
        <v>0</v>
      </c>
      <c r="AP382">
        <f>IF('Calc base'!K$14=0,0,MIN(AD382,MAX(0,$E382-SUMPRODUCT($V382:$AG382,'Calc base'!$C$14:$N$14,('Calc base'!$H382:$S382&gt;'Calc base'!P382)+('Calc base'!$H382:$S382='Calc base'!P382)*('Calc base'!$C$17:$N$17&lt;'Calc base'!K$17)))))</f>
        <v>0</v>
      </c>
      <c r="AQ382">
        <f>IF('Calc base'!L$14=0,0,MIN(AE382,MAX(0,$E382-SUMPRODUCT($V382:$AG382,'Calc base'!$C$14:$N$14,('Calc base'!$H382:$S382&gt;'Calc base'!Q382)+('Calc base'!$H382:$S382='Calc base'!Q382)*('Calc base'!$C$17:$N$17&lt;'Calc base'!L$17)))))</f>
        <v>0</v>
      </c>
      <c r="AR382">
        <f>IF('Calc base'!M$14=0,0,MIN(AF382,MAX(0,$E382-SUMPRODUCT($V382:$AG382,'Calc base'!$C$14:$N$14,('Calc base'!$H382:$S382&gt;'Calc base'!R382)+('Calc base'!$H382:$S382='Calc base'!R382)*('Calc base'!$C$17:$N$17&lt;'Calc base'!M$17)))))</f>
        <v>0</v>
      </c>
      <c r="AS382">
        <f>IF('Calc base'!N$14=0,0,MIN(AG382,MAX(0,$E382-SUMPRODUCT($V382:$AG382,'Calc base'!$C$14:$N$14,('Calc base'!$H382:$S382&gt;'Calc base'!S382)+('Calc base'!$H382:$S382='Calc base'!S382)*('Calc base'!$C$17:$N$17&lt;'Calc base'!N$17)))))</f>
        <v>0</v>
      </c>
      <c r="AT382">
        <f>V382-AH382</f>
        <v>0</v>
      </c>
      <c r="AU382">
        <f>W382-AI382</f>
        <v>0</v>
      </c>
      <c r="AV382">
        <f>X382-AJ382</f>
        <v>0</v>
      </c>
      <c r="AW382">
        <f>Y382-AK382</f>
        <v>0</v>
      </c>
      <c r="AX382">
        <f>Z382-AL382</f>
        <v>0</v>
      </c>
      <c r="AY382">
        <f>AA382-AM382</f>
        <v>0</v>
      </c>
      <c r="AZ382">
        <f>AB382-AN382</f>
        <v>0</v>
      </c>
      <c r="BA382">
        <f>AC382-AO382</f>
        <v>0</v>
      </c>
      <c r="BB382">
        <f>AD382-AP382</f>
        <v>0</v>
      </c>
      <c r="BC382">
        <f>AE382-AQ382</f>
        <v>0</v>
      </c>
      <c r="BD382">
        <f>AF382-AR382</f>
        <v>0</v>
      </c>
      <c r="BE382">
        <f>AG382-AS382</f>
        <v>0</v>
      </c>
    </row>
    <row r="383">
      <c r="A383" t="n">
        <v>353</v>
      </c>
      <c r="B383">
        <f>SUMPRODUCT(ROUND($AT382:$BE382*(1+'Calc base'!$H383:$S383),2))</f>
        <v>0</v>
      </c>
      <c r="C383">
        <f>SUM(J383:U383)</f>
        <v>0</v>
      </c>
      <c r="D383">
        <f>SUM(V383:AG383)</f>
        <v>0</v>
      </c>
      <c r="E383">
        <f>MAX(0,IF(Impostazioni!$B$7="No",'Calc base'!$C383-$C$31,'Calc base'!$C383-C383)+'Calc base'!$G383+'Calc base'!$F383-(B383-C383-D383))</f>
        <v>900</v>
      </c>
      <c r="F383">
        <f>SUM(AH383:AS383)</f>
        <v>0</v>
      </c>
      <c r="G383">
        <f>SUM(AT383:BE383)</f>
        <v>0</v>
      </c>
      <c r="H383">
        <f>B383-G382</f>
        <v>0</v>
      </c>
      <c r="I383">
        <f>B383-G383</f>
        <v>0</v>
      </c>
      <c r="J383">
        <f>IF(AT382&lt;=0,0,IF(ROUND(AT382*(1+'Calc base'!H383),2)-MAX('Calc base'!C$12,ROUND('Calc base'!C$13*AT382,2))&lt;1,ROUND(AT382*(1+'Calc base'!H383),2),MAX('Calc base'!C$12,ROUND('Calc base'!C$13*AT382,2))))</f>
        <v>0</v>
      </c>
      <c r="K383">
        <f>IF(AU382&lt;=0,0,IF(ROUND(AU382*(1+'Calc base'!I383),2)-MAX('Calc base'!D$12,ROUND('Calc base'!D$13*AU382,2))&lt;1,ROUND(AU382*(1+'Calc base'!I383),2),MAX('Calc base'!D$12,ROUND('Calc base'!D$13*AU382,2))))</f>
        <v>0</v>
      </c>
      <c r="L383">
        <f>IF(AV382&lt;=0,0,IF(ROUND(AV382*(1+'Calc base'!J383),2)-MAX('Calc base'!E$12,ROUND('Calc base'!E$13*AV382,2))&lt;1,ROUND(AV382*(1+'Calc base'!J383),2),MAX('Calc base'!E$12,ROUND('Calc base'!E$13*AV382,2))))</f>
        <v>0</v>
      </c>
      <c r="M383">
        <f>IF(AW382&lt;=0,0,IF(ROUND(AW382*(1+'Calc base'!K383),2)-MAX('Calc base'!F$12,ROUND('Calc base'!F$13*AW382,2))&lt;1,ROUND(AW382*(1+'Calc base'!K383),2),MAX('Calc base'!F$12,ROUND('Calc base'!F$13*AW382,2))))</f>
        <v>0</v>
      </c>
      <c r="N383">
        <f>IF(AX382&lt;=0,0,IF(ROUND(AX382*(1+'Calc base'!L383),2)-MAX('Calc base'!G$12,ROUND('Calc base'!G$13*AX382,2))&lt;1,ROUND(AX382*(1+'Calc base'!L383),2),MAX('Calc base'!G$12,ROUND('Calc base'!G$13*AX382,2))))</f>
        <v>0</v>
      </c>
      <c r="O383">
        <f>IF(AY382&lt;=0,0,IF(ROUND(AY382*(1+'Calc base'!M383),2)-MAX('Calc base'!H$12,ROUND('Calc base'!H$13*AY382,2))&lt;1,ROUND(AY382*(1+'Calc base'!M383),2),MAX('Calc base'!H$12,ROUND('Calc base'!H$13*AY382,2))))</f>
        <v>0</v>
      </c>
      <c r="P383">
        <f>IF(AZ382&lt;=0,0,IF(ROUND(AZ382*(1+'Calc base'!N383),2)-MAX('Calc base'!I$12,ROUND('Calc base'!I$13*AZ382,2))&lt;1,ROUND(AZ382*(1+'Calc base'!N383),2),MAX('Calc base'!I$12,ROUND('Calc base'!I$13*AZ382,2))))</f>
        <v>0</v>
      </c>
      <c r="Q383">
        <f>IF(BA382&lt;=0,0,IF(ROUND(BA382*(1+'Calc base'!O383),2)-MAX('Calc base'!J$12,ROUND('Calc base'!J$13*BA382,2))&lt;1,ROUND(BA382*(1+'Calc base'!O383),2),MAX('Calc base'!J$12,ROUND('Calc base'!J$13*BA382,2))))</f>
        <v>0</v>
      </c>
      <c r="R383">
        <f>IF(BB382&lt;=0,0,IF(ROUND(BB382*(1+'Calc base'!P383),2)-MAX('Calc base'!K$12,ROUND('Calc base'!K$13*BB382,2))&lt;1,ROUND(BB382*(1+'Calc base'!P383),2),MAX('Calc base'!K$12,ROUND('Calc base'!K$13*BB382,2))))</f>
        <v>0</v>
      </c>
      <c r="S383">
        <f>IF(BC382&lt;=0,0,IF(ROUND(BC382*(1+'Calc base'!Q383),2)-MAX('Calc base'!L$12,ROUND('Calc base'!L$13*BC382,2))&lt;1,ROUND(BC382*(1+'Calc base'!Q383),2),MAX('Calc base'!L$12,ROUND('Calc base'!L$13*BC382,2))))</f>
        <v>0</v>
      </c>
      <c r="T383">
        <f>IF(BD382&lt;=0,0,IF(ROUND(BD382*(1+'Calc base'!R383),2)-MAX('Calc base'!M$12,ROUND('Calc base'!M$13*BD382,2))&lt;1,ROUND(BD382*(1+'Calc base'!R383),2),MAX('Calc base'!M$12,ROUND('Calc base'!M$13*BD382,2))))</f>
        <v>0</v>
      </c>
      <c r="U383">
        <f>IF(BE382&lt;=0,0,IF(ROUND(BE382*(1+'Calc base'!S383),2)-MAX('Calc base'!N$12,ROUND('Calc base'!N$13*BE382,2))&lt;1,ROUND(BE382*(1+'Calc base'!S383),2),MAX('Calc base'!N$12,ROUND('Calc base'!N$13*BE382,2))))</f>
        <v>0</v>
      </c>
      <c r="V383">
        <f>MAX(0,ROUND(AT382*(1+'Calc base'!H383),2)-J383-'Calc base'!T383)</f>
        <v>0</v>
      </c>
      <c r="W383">
        <f>MAX(0,ROUND(AU382*(1+'Calc base'!I383),2)-K383-'Calc base'!U383)</f>
        <v>0</v>
      </c>
      <c r="X383">
        <f>MAX(0,ROUND(AV382*(1+'Calc base'!J383),2)-L383-'Calc base'!V383)</f>
        <v>0</v>
      </c>
      <c r="Y383">
        <f>MAX(0,ROUND(AW382*(1+'Calc base'!K383),2)-M383-'Calc base'!W383)</f>
        <v>0</v>
      </c>
      <c r="Z383">
        <f>MAX(0,ROUND(AX382*(1+'Calc base'!L383),2)-N383-'Calc base'!X383)</f>
        <v>0</v>
      </c>
      <c r="AA383">
        <f>MAX(0,ROUND(AY382*(1+'Calc base'!M383),2)-O383-'Calc base'!Y383)</f>
        <v>0</v>
      </c>
      <c r="AB383">
        <f>MAX(0,ROUND(AZ382*(1+'Calc base'!N383),2)-P383-'Calc base'!Z383)</f>
        <v>0</v>
      </c>
      <c r="AC383">
        <f>MAX(0,ROUND(BA382*(1+'Calc base'!O383),2)-Q383-'Calc base'!AA383)</f>
        <v>0</v>
      </c>
      <c r="AD383">
        <f>MAX(0,ROUND(BB382*(1+'Calc base'!P383),2)-R383-'Calc base'!AB383)</f>
        <v>0</v>
      </c>
      <c r="AE383">
        <f>MAX(0,ROUND(BC382*(1+'Calc base'!Q383),2)-S383-'Calc base'!AC383)</f>
        <v>0</v>
      </c>
      <c r="AF383">
        <f>MAX(0,ROUND(BD382*(1+'Calc base'!R383),2)-T383-'Calc base'!AD383)</f>
        <v>0</v>
      </c>
      <c r="AG383">
        <f>MAX(0,ROUND(BE382*(1+'Calc base'!S383),2)-U383-'Calc base'!AE383)</f>
        <v>0</v>
      </c>
      <c r="AH383">
        <f>IF('Calc base'!C$14=0,0,MIN(V383,MAX(0,$E383-SUMPRODUCT($V383:$AG383,'Calc base'!$C$14:$N$14,('Calc base'!$H383:$S383&gt;'Calc base'!H383)+('Calc base'!$H383:$S383='Calc base'!H383)*('Calc base'!$C$17:$N$17&lt;'Calc base'!C$17)))))</f>
        <v>0</v>
      </c>
      <c r="AI383">
        <f>IF('Calc base'!D$14=0,0,MIN(W383,MAX(0,$E383-SUMPRODUCT($V383:$AG383,'Calc base'!$C$14:$N$14,('Calc base'!$H383:$S383&gt;'Calc base'!I383)+('Calc base'!$H383:$S383='Calc base'!I383)*('Calc base'!$C$17:$N$17&lt;'Calc base'!D$17)))))</f>
        <v>0</v>
      </c>
      <c r="AJ383">
        <f>IF('Calc base'!E$14=0,0,MIN(X383,MAX(0,$E383-SUMPRODUCT($V383:$AG383,'Calc base'!$C$14:$N$14,('Calc base'!$H383:$S383&gt;'Calc base'!J383)+('Calc base'!$H383:$S383='Calc base'!J383)*('Calc base'!$C$17:$N$17&lt;'Calc base'!E$17)))))</f>
        <v>0</v>
      </c>
      <c r="AK383">
        <f>IF('Calc base'!F$14=0,0,MIN(Y383,MAX(0,$E383-SUMPRODUCT($V383:$AG383,'Calc base'!$C$14:$N$14,('Calc base'!$H383:$S383&gt;'Calc base'!K383)+('Calc base'!$H383:$S383='Calc base'!K383)*('Calc base'!$C$17:$N$17&lt;'Calc base'!F$17)))))</f>
        <v>0</v>
      </c>
      <c r="AL383">
        <f>IF('Calc base'!G$14=0,0,MIN(Z383,MAX(0,$E383-SUMPRODUCT($V383:$AG383,'Calc base'!$C$14:$N$14,('Calc base'!$H383:$S383&gt;'Calc base'!L383)+('Calc base'!$H383:$S383='Calc base'!L383)*('Calc base'!$C$17:$N$17&lt;'Calc base'!G$17)))))</f>
        <v>0</v>
      </c>
      <c r="AM383">
        <f>IF('Calc base'!H$14=0,0,MIN(AA383,MAX(0,$E383-SUMPRODUCT($V383:$AG383,'Calc base'!$C$14:$N$14,('Calc base'!$H383:$S383&gt;'Calc base'!M383)+('Calc base'!$H383:$S383='Calc base'!M383)*('Calc base'!$C$17:$N$17&lt;'Calc base'!H$17)))))</f>
        <v>0</v>
      </c>
      <c r="AN383">
        <f>IF('Calc base'!I$14=0,0,MIN(AB383,MAX(0,$E383-SUMPRODUCT($V383:$AG383,'Calc base'!$C$14:$N$14,('Calc base'!$H383:$S383&gt;'Calc base'!N383)+('Calc base'!$H383:$S383='Calc base'!N383)*('Calc base'!$C$17:$N$17&lt;'Calc base'!I$17)))))</f>
        <v>0</v>
      </c>
      <c r="AO383">
        <f>IF('Calc base'!J$14=0,0,MIN(AC383,MAX(0,$E383-SUMPRODUCT($V383:$AG383,'Calc base'!$C$14:$N$14,('Calc base'!$H383:$S383&gt;'Calc base'!O383)+('Calc base'!$H383:$S383='Calc base'!O383)*('Calc base'!$C$17:$N$17&lt;'Calc base'!J$17)))))</f>
        <v>0</v>
      </c>
      <c r="AP383">
        <f>IF('Calc base'!K$14=0,0,MIN(AD383,MAX(0,$E383-SUMPRODUCT($V383:$AG383,'Calc base'!$C$14:$N$14,('Calc base'!$H383:$S383&gt;'Calc base'!P383)+('Calc base'!$H383:$S383='Calc base'!P383)*('Calc base'!$C$17:$N$17&lt;'Calc base'!K$17)))))</f>
        <v>0</v>
      </c>
      <c r="AQ383">
        <f>IF('Calc base'!L$14=0,0,MIN(AE383,MAX(0,$E383-SUMPRODUCT($V383:$AG383,'Calc base'!$C$14:$N$14,('Calc base'!$H383:$S383&gt;'Calc base'!Q383)+('Calc base'!$H383:$S383='Calc base'!Q383)*('Calc base'!$C$17:$N$17&lt;'Calc base'!L$17)))))</f>
        <v>0</v>
      </c>
      <c r="AR383">
        <f>IF('Calc base'!M$14=0,0,MIN(AF383,MAX(0,$E383-SUMPRODUCT($V383:$AG383,'Calc base'!$C$14:$N$14,('Calc base'!$H383:$S383&gt;'Calc base'!R383)+('Calc base'!$H383:$S383='Calc base'!R383)*('Calc base'!$C$17:$N$17&lt;'Calc base'!M$17)))))</f>
        <v>0</v>
      </c>
      <c r="AS383">
        <f>IF('Calc base'!N$14=0,0,MIN(AG383,MAX(0,$E383-SUMPRODUCT($V383:$AG383,'Calc base'!$C$14:$N$14,('Calc base'!$H383:$S383&gt;'Calc base'!S383)+('Calc base'!$H383:$S383='Calc base'!S383)*('Calc base'!$C$17:$N$17&lt;'Calc base'!N$17)))))</f>
        <v>0</v>
      </c>
      <c r="AT383">
        <f>V383-AH383</f>
        <v>0</v>
      </c>
      <c r="AU383">
        <f>W383-AI383</f>
        <v>0</v>
      </c>
      <c r="AV383">
        <f>X383-AJ383</f>
        <v>0</v>
      </c>
      <c r="AW383">
        <f>Y383-AK383</f>
        <v>0</v>
      </c>
      <c r="AX383">
        <f>Z383-AL383</f>
        <v>0</v>
      </c>
      <c r="AY383">
        <f>AA383-AM383</f>
        <v>0</v>
      </c>
      <c r="AZ383">
        <f>AB383-AN383</f>
        <v>0</v>
      </c>
      <c r="BA383">
        <f>AC383-AO383</f>
        <v>0</v>
      </c>
      <c r="BB383">
        <f>AD383-AP383</f>
        <v>0</v>
      </c>
      <c r="BC383">
        <f>AE383-AQ383</f>
        <v>0</v>
      </c>
      <c r="BD383">
        <f>AF383-AR383</f>
        <v>0</v>
      </c>
      <c r="BE383">
        <f>AG383-AS383</f>
        <v>0</v>
      </c>
    </row>
    <row r="384">
      <c r="A384" t="n">
        <v>354</v>
      </c>
      <c r="B384">
        <f>SUMPRODUCT(ROUND($AT383:$BE383*(1+'Calc base'!$H384:$S384),2))</f>
        <v>0</v>
      </c>
      <c r="C384">
        <f>SUM(J384:U384)</f>
        <v>0</v>
      </c>
      <c r="D384">
        <f>SUM(V384:AG384)</f>
        <v>0</v>
      </c>
      <c r="E384">
        <f>MAX(0,IF(Impostazioni!$B$7="No",'Calc base'!$C384-$C$31,'Calc base'!$C384-C384)+'Calc base'!$G384+'Calc base'!$F384-(B384-C384-D384))</f>
        <v>900</v>
      </c>
      <c r="F384">
        <f>SUM(AH384:AS384)</f>
        <v>0</v>
      </c>
      <c r="G384">
        <f>SUM(AT384:BE384)</f>
        <v>0</v>
      </c>
      <c r="H384">
        <f>B384-G383</f>
        <v>0</v>
      </c>
      <c r="I384">
        <f>B384-G384</f>
        <v>0</v>
      </c>
      <c r="J384">
        <f>IF(AT383&lt;=0,0,IF(ROUND(AT383*(1+'Calc base'!H384),2)-MAX('Calc base'!C$12,ROUND('Calc base'!C$13*AT383,2))&lt;1,ROUND(AT383*(1+'Calc base'!H384),2),MAX('Calc base'!C$12,ROUND('Calc base'!C$13*AT383,2))))</f>
        <v>0</v>
      </c>
      <c r="K384">
        <f>IF(AU383&lt;=0,0,IF(ROUND(AU383*(1+'Calc base'!I384),2)-MAX('Calc base'!D$12,ROUND('Calc base'!D$13*AU383,2))&lt;1,ROUND(AU383*(1+'Calc base'!I384),2),MAX('Calc base'!D$12,ROUND('Calc base'!D$13*AU383,2))))</f>
        <v>0</v>
      </c>
      <c r="L384">
        <f>IF(AV383&lt;=0,0,IF(ROUND(AV383*(1+'Calc base'!J384),2)-MAX('Calc base'!E$12,ROUND('Calc base'!E$13*AV383,2))&lt;1,ROUND(AV383*(1+'Calc base'!J384),2),MAX('Calc base'!E$12,ROUND('Calc base'!E$13*AV383,2))))</f>
        <v>0</v>
      </c>
      <c r="M384">
        <f>IF(AW383&lt;=0,0,IF(ROUND(AW383*(1+'Calc base'!K384),2)-MAX('Calc base'!F$12,ROUND('Calc base'!F$13*AW383,2))&lt;1,ROUND(AW383*(1+'Calc base'!K384),2),MAX('Calc base'!F$12,ROUND('Calc base'!F$13*AW383,2))))</f>
        <v>0</v>
      </c>
      <c r="N384">
        <f>IF(AX383&lt;=0,0,IF(ROUND(AX383*(1+'Calc base'!L384),2)-MAX('Calc base'!G$12,ROUND('Calc base'!G$13*AX383,2))&lt;1,ROUND(AX383*(1+'Calc base'!L384),2),MAX('Calc base'!G$12,ROUND('Calc base'!G$13*AX383,2))))</f>
        <v>0</v>
      </c>
      <c r="O384">
        <f>IF(AY383&lt;=0,0,IF(ROUND(AY383*(1+'Calc base'!M384),2)-MAX('Calc base'!H$12,ROUND('Calc base'!H$13*AY383,2))&lt;1,ROUND(AY383*(1+'Calc base'!M384),2),MAX('Calc base'!H$12,ROUND('Calc base'!H$13*AY383,2))))</f>
        <v>0</v>
      </c>
      <c r="P384">
        <f>IF(AZ383&lt;=0,0,IF(ROUND(AZ383*(1+'Calc base'!N384),2)-MAX('Calc base'!I$12,ROUND('Calc base'!I$13*AZ383,2))&lt;1,ROUND(AZ383*(1+'Calc base'!N384),2),MAX('Calc base'!I$12,ROUND('Calc base'!I$13*AZ383,2))))</f>
        <v>0</v>
      </c>
      <c r="Q384">
        <f>IF(BA383&lt;=0,0,IF(ROUND(BA383*(1+'Calc base'!O384),2)-MAX('Calc base'!J$12,ROUND('Calc base'!J$13*BA383,2))&lt;1,ROUND(BA383*(1+'Calc base'!O384),2),MAX('Calc base'!J$12,ROUND('Calc base'!J$13*BA383,2))))</f>
        <v>0</v>
      </c>
      <c r="R384">
        <f>IF(BB383&lt;=0,0,IF(ROUND(BB383*(1+'Calc base'!P384),2)-MAX('Calc base'!K$12,ROUND('Calc base'!K$13*BB383,2))&lt;1,ROUND(BB383*(1+'Calc base'!P384),2),MAX('Calc base'!K$12,ROUND('Calc base'!K$13*BB383,2))))</f>
        <v>0</v>
      </c>
      <c r="S384">
        <f>IF(BC383&lt;=0,0,IF(ROUND(BC383*(1+'Calc base'!Q384),2)-MAX('Calc base'!L$12,ROUND('Calc base'!L$13*BC383,2))&lt;1,ROUND(BC383*(1+'Calc base'!Q384),2),MAX('Calc base'!L$12,ROUND('Calc base'!L$13*BC383,2))))</f>
        <v>0</v>
      </c>
      <c r="T384">
        <f>IF(BD383&lt;=0,0,IF(ROUND(BD383*(1+'Calc base'!R384),2)-MAX('Calc base'!M$12,ROUND('Calc base'!M$13*BD383,2))&lt;1,ROUND(BD383*(1+'Calc base'!R384),2),MAX('Calc base'!M$12,ROUND('Calc base'!M$13*BD383,2))))</f>
        <v>0</v>
      </c>
      <c r="U384">
        <f>IF(BE383&lt;=0,0,IF(ROUND(BE383*(1+'Calc base'!S384),2)-MAX('Calc base'!N$12,ROUND('Calc base'!N$13*BE383,2))&lt;1,ROUND(BE383*(1+'Calc base'!S384),2),MAX('Calc base'!N$12,ROUND('Calc base'!N$13*BE383,2))))</f>
        <v>0</v>
      </c>
      <c r="V384">
        <f>MAX(0,ROUND(AT383*(1+'Calc base'!H384),2)-J384-'Calc base'!T384)</f>
        <v>0</v>
      </c>
      <c r="W384">
        <f>MAX(0,ROUND(AU383*(1+'Calc base'!I384),2)-K384-'Calc base'!U384)</f>
        <v>0</v>
      </c>
      <c r="X384">
        <f>MAX(0,ROUND(AV383*(1+'Calc base'!J384),2)-L384-'Calc base'!V384)</f>
        <v>0</v>
      </c>
      <c r="Y384">
        <f>MAX(0,ROUND(AW383*(1+'Calc base'!K384),2)-M384-'Calc base'!W384)</f>
        <v>0</v>
      </c>
      <c r="Z384">
        <f>MAX(0,ROUND(AX383*(1+'Calc base'!L384),2)-N384-'Calc base'!X384)</f>
        <v>0</v>
      </c>
      <c r="AA384">
        <f>MAX(0,ROUND(AY383*(1+'Calc base'!M384),2)-O384-'Calc base'!Y384)</f>
        <v>0</v>
      </c>
      <c r="AB384">
        <f>MAX(0,ROUND(AZ383*(1+'Calc base'!N384),2)-P384-'Calc base'!Z384)</f>
        <v>0</v>
      </c>
      <c r="AC384">
        <f>MAX(0,ROUND(BA383*(1+'Calc base'!O384),2)-Q384-'Calc base'!AA384)</f>
        <v>0</v>
      </c>
      <c r="AD384">
        <f>MAX(0,ROUND(BB383*(1+'Calc base'!P384),2)-R384-'Calc base'!AB384)</f>
        <v>0</v>
      </c>
      <c r="AE384">
        <f>MAX(0,ROUND(BC383*(1+'Calc base'!Q384),2)-S384-'Calc base'!AC384)</f>
        <v>0</v>
      </c>
      <c r="AF384">
        <f>MAX(0,ROUND(BD383*(1+'Calc base'!R384),2)-T384-'Calc base'!AD384)</f>
        <v>0</v>
      </c>
      <c r="AG384">
        <f>MAX(0,ROUND(BE383*(1+'Calc base'!S384),2)-U384-'Calc base'!AE384)</f>
        <v>0</v>
      </c>
      <c r="AH384">
        <f>IF('Calc base'!C$14=0,0,MIN(V384,MAX(0,$E384-SUMPRODUCT($V384:$AG384,'Calc base'!$C$14:$N$14,('Calc base'!$H384:$S384&gt;'Calc base'!H384)+('Calc base'!$H384:$S384='Calc base'!H384)*('Calc base'!$C$17:$N$17&lt;'Calc base'!C$17)))))</f>
        <v>0</v>
      </c>
      <c r="AI384">
        <f>IF('Calc base'!D$14=0,0,MIN(W384,MAX(0,$E384-SUMPRODUCT($V384:$AG384,'Calc base'!$C$14:$N$14,('Calc base'!$H384:$S384&gt;'Calc base'!I384)+('Calc base'!$H384:$S384='Calc base'!I384)*('Calc base'!$C$17:$N$17&lt;'Calc base'!D$17)))))</f>
        <v>0</v>
      </c>
      <c r="AJ384">
        <f>IF('Calc base'!E$14=0,0,MIN(X384,MAX(0,$E384-SUMPRODUCT($V384:$AG384,'Calc base'!$C$14:$N$14,('Calc base'!$H384:$S384&gt;'Calc base'!J384)+('Calc base'!$H384:$S384='Calc base'!J384)*('Calc base'!$C$17:$N$17&lt;'Calc base'!E$17)))))</f>
        <v>0</v>
      </c>
      <c r="AK384">
        <f>IF('Calc base'!F$14=0,0,MIN(Y384,MAX(0,$E384-SUMPRODUCT($V384:$AG384,'Calc base'!$C$14:$N$14,('Calc base'!$H384:$S384&gt;'Calc base'!K384)+('Calc base'!$H384:$S384='Calc base'!K384)*('Calc base'!$C$17:$N$17&lt;'Calc base'!F$17)))))</f>
        <v>0</v>
      </c>
      <c r="AL384">
        <f>IF('Calc base'!G$14=0,0,MIN(Z384,MAX(0,$E384-SUMPRODUCT($V384:$AG384,'Calc base'!$C$14:$N$14,('Calc base'!$H384:$S384&gt;'Calc base'!L384)+('Calc base'!$H384:$S384='Calc base'!L384)*('Calc base'!$C$17:$N$17&lt;'Calc base'!G$17)))))</f>
        <v>0</v>
      </c>
      <c r="AM384">
        <f>IF('Calc base'!H$14=0,0,MIN(AA384,MAX(0,$E384-SUMPRODUCT($V384:$AG384,'Calc base'!$C$14:$N$14,('Calc base'!$H384:$S384&gt;'Calc base'!M384)+('Calc base'!$H384:$S384='Calc base'!M384)*('Calc base'!$C$17:$N$17&lt;'Calc base'!H$17)))))</f>
        <v>0</v>
      </c>
      <c r="AN384">
        <f>IF('Calc base'!I$14=0,0,MIN(AB384,MAX(0,$E384-SUMPRODUCT($V384:$AG384,'Calc base'!$C$14:$N$14,('Calc base'!$H384:$S384&gt;'Calc base'!N384)+('Calc base'!$H384:$S384='Calc base'!N384)*('Calc base'!$C$17:$N$17&lt;'Calc base'!I$17)))))</f>
        <v>0</v>
      </c>
      <c r="AO384">
        <f>IF('Calc base'!J$14=0,0,MIN(AC384,MAX(0,$E384-SUMPRODUCT($V384:$AG384,'Calc base'!$C$14:$N$14,('Calc base'!$H384:$S384&gt;'Calc base'!O384)+('Calc base'!$H384:$S384='Calc base'!O384)*('Calc base'!$C$17:$N$17&lt;'Calc base'!J$17)))))</f>
        <v>0</v>
      </c>
      <c r="AP384">
        <f>IF('Calc base'!K$14=0,0,MIN(AD384,MAX(0,$E384-SUMPRODUCT($V384:$AG384,'Calc base'!$C$14:$N$14,('Calc base'!$H384:$S384&gt;'Calc base'!P384)+('Calc base'!$H384:$S384='Calc base'!P384)*('Calc base'!$C$17:$N$17&lt;'Calc base'!K$17)))))</f>
        <v>0</v>
      </c>
      <c r="AQ384">
        <f>IF('Calc base'!L$14=0,0,MIN(AE384,MAX(0,$E384-SUMPRODUCT($V384:$AG384,'Calc base'!$C$14:$N$14,('Calc base'!$H384:$S384&gt;'Calc base'!Q384)+('Calc base'!$H384:$S384='Calc base'!Q384)*('Calc base'!$C$17:$N$17&lt;'Calc base'!L$17)))))</f>
        <v>0</v>
      </c>
      <c r="AR384">
        <f>IF('Calc base'!M$14=0,0,MIN(AF384,MAX(0,$E384-SUMPRODUCT($V384:$AG384,'Calc base'!$C$14:$N$14,('Calc base'!$H384:$S384&gt;'Calc base'!R384)+('Calc base'!$H384:$S384='Calc base'!R384)*('Calc base'!$C$17:$N$17&lt;'Calc base'!M$17)))))</f>
        <v>0</v>
      </c>
      <c r="AS384">
        <f>IF('Calc base'!N$14=0,0,MIN(AG384,MAX(0,$E384-SUMPRODUCT($V384:$AG384,'Calc base'!$C$14:$N$14,('Calc base'!$H384:$S384&gt;'Calc base'!S384)+('Calc base'!$H384:$S384='Calc base'!S384)*('Calc base'!$C$17:$N$17&lt;'Calc base'!N$17)))))</f>
        <v>0</v>
      </c>
      <c r="AT384">
        <f>V384-AH384</f>
        <v>0</v>
      </c>
      <c r="AU384">
        <f>W384-AI384</f>
        <v>0</v>
      </c>
      <c r="AV384">
        <f>X384-AJ384</f>
        <v>0</v>
      </c>
      <c r="AW384">
        <f>Y384-AK384</f>
        <v>0</v>
      </c>
      <c r="AX384">
        <f>Z384-AL384</f>
        <v>0</v>
      </c>
      <c r="AY384">
        <f>AA384-AM384</f>
        <v>0</v>
      </c>
      <c r="AZ384">
        <f>AB384-AN384</f>
        <v>0</v>
      </c>
      <c r="BA384">
        <f>AC384-AO384</f>
        <v>0</v>
      </c>
      <c r="BB384">
        <f>AD384-AP384</f>
        <v>0</v>
      </c>
      <c r="BC384">
        <f>AE384-AQ384</f>
        <v>0</v>
      </c>
      <c r="BD384">
        <f>AF384-AR384</f>
        <v>0</v>
      </c>
      <c r="BE384">
        <f>AG384-AS384</f>
        <v>0</v>
      </c>
    </row>
    <row r="385">
      <c r="A385" t="n">
        <v>355</v>
      </c>
      <c r="B385">
        <f>SUMPRODUCT(ROUND($AT384:$BE384*(1+'Calc base'!$H385:$S385),2))</f>
        <v>0</v>
      </c>
      <c r="C385">
        <f>SUM(J385:U385)</f>
        <v>0</v>
      </c>
      <c r="D385">
        <f>SUM(V385:AG385)</f>
        <v>0</v>
      </c>
      <c r="E385">
        <f>MAX(0,IF(Impostazioni!$B$7="No",'Calc base'!$C385-$C$31,'Calc base'!$C385-C385)+'Calc base'!$G385+'Calc base'!$F385-(B385-C385-D385))</f>
        <v>900</v>
      </c>
      <c r="F385">
        <f>SUM(AH385:AS385)</f>
        <v>0</v>
      </c>
      <c r="G385">
        <f>SUM(AT385:BE385)</f>
        <v>0</v>
      </c>
      <c r="H385">
        <f>B385-G384</f>
        <v>0</v>
      </c>
      <c r="I385">
        <f>B385-G385</f>
        <v>0</v>
      </c>
      <c r="J385">
        <f>IF(AT384&lt;=0,0,IF(ROUND(AT384*(1+'Calc base'!H385),2)-MAX('Calc base'!C$12,ROUND('Calc base'!C$13*AT384,2))&lt;1,ROUND(AT384*(1+'Calc base'!H385),2),MAX('Calc base'!C$12,ROUND('Calc base'!C$13*AT384,2))))</f>
        <v>0</v>
      </c>
      <c r="K385">
        <f>IF(AU384&lt;=0,0,IF(ROUND(AU384*(1+'Calc base'!I385),2)-MAX('Calc base'!D$12,ROUND('Calc base'!D$13*AU384,2))&lt;1,ROUND(AU384*(1+'Calc base'!I385),2),MAX('Calc base'!D$12,ROUND('Calc base'!D$13*AU384,2))))</f>
        <v>0</v>
      </c>
      <c r="L385">
        <f>IF(AV384&lt;=0,0,IF(ROUND(AV384*(1+'Calc base'!J385),2)-MAX('Calc base'!E$12,ROUND('Calc base'!E$13*AV384,2))&lt;1,ROUND(AV384*(1+'Calc base'!J385),2),MAX('Calc base'!E$12,ROUND('Calc base'!E$13*AV384,2))))</f>
        <v>0</v>
      </c>
      <c r="M385">
        <f>IF(AW384&lt;=0,0,IF(ROUND(AW384*(1+'Calc base'!K385),2)-MAX('Calc base'!F$12,ROUND('Calc base'!F$13*AW384,2))&lt;1,ROUND(AW384*(1+'Calc base'!K385),2),MAX('Calc base'!F$12,ROUND('Calc base'!F$13*AW384,2))))</f>
        <v>0</v>
      </c>
      <c r="N385">
        <f>IF(AX384&lt;=0,0,IF(ROUND(AX384*(1+'Calc base'!L385),2)-MAX('Calc base'!G$12,ROUND('Calc base'!G$13*AX384,2))&lt;1,ROUND(AX384*(1+'Calc base'!L385),2),MAX('Calc base'!G$12,ROUND('Calc base'!G$13*AX384,2))))</f>
        <v>0</v>
      </c>
      <c r="O385">
        <f>IF(AY384&lt;=0,0,IF(ROUND(AY384*(1+'Calc base'!M385),2)-MAX('Calc base'!H$12,ROUND('Calc base'!H$13*AY384,2))&lt;1,ROUND(AY384*(1+'Calc base'!M385),2),MAX('Calc base'!H$12,ROUND('Calc base'!H$13*AY384,2))))</f>
        <v>0</v>
      </c>
      <c r="P385">
        <f>IF(AZ384&lt;=0,0,IF(ROUND(AZ384*(1+'Calc base'!N385),2)-MAX('Calc base'!I$12,ROUND('Calc base'!I$13*AZ384,2))&lt;1,ROUND(AZ384*(1+'Calc base'!N385),2),MAX('Calc base'!I$12,ROUND('Calc base'!I$13*AZ384,2))))</f>
        <v>0</v>
      </c>
      <c r="Q385">
        <f>IF(BA384&lt;=0,0,IF(ROUND(BA384*(1+'Calc base'!O385),2)-MAX('Calc base'!J$12,ROUND('Calc base'!J$13*BA384,2))&lt;1,ROUND(BA384*(1+'Calc base'!O385),2),MAX('Calc base'!J$12,ROUND('Calc base'!J$13*BA384,2))))</f>
        <v>0</v>
      </c>
      <c r="R385">
        <f>IF(BB384&lt;=0,0,IF(ROUND(BB384*(1+'Calc base'!P385),2)-MAX('Calc base'!K$12,ROUND('Calc base'!K$13*BB384,2))&lt;1,ROUND(BB384*(1+'Calc base'!P385),2),MAX('Calc base'!K$12,ROUND('Calc base'!K$13*BB384,2))))</f>
        <v>0</v>
      </c>
      <c r="S385">
        <f>IF(BC384&lt;=0,0,IF(ROUND(BC384*(1+'Calc base'!Q385),2)-MAX('Calc base'!L$12,ROUND('Calc base'!L$13*BC384,2))&lt;1,ROUND(BC384*(1+'Calc base'!Q385),2),MAX('Calc base'!L$12,ROUND('Calc base'!L$13*BC384,2))))</f>
        <v>0</v>
      </c>
      <c r="T385">
        <f>IF(BD384&lt;=0,0,IF(ROUND(BD384*(1+'Calc base'!R385),2)-MAX('Calc base'!M$12,ROUND('Calc base'!M$13*BD384,2))&lt;1,ROUND(BD384*(1+'Calc base'!R385),2),MAX('Calc base'!M$12,ROUND('Calc base'!M$13*BD384,2))))</f>
        <v>0</v>
      </c>
      <c r="U385">
        <f>IF(BE384&lt;=0,0,IF(ROUND(BE384*(1+'Calc base'!S385),2)-MAX('Calc base'!N$12,ROUND('Calc base'!N$13*BE384,2))&lt;1,ROUND(BE384*(1+'Calc base'!S385),2),MAX('Calc base'!N$12,ROUND('Calc base'!N$13*BE384,2))))</f>
        <v>0</v>
      </c>
      <c r="V385">
        <f>MAX(0,ROUND(AT384*(1+'Calc base'!H385),2)-J385-'Calc base'!T385)</f>
        <v>0</v>
      </c>
      <c r="W385">
        <f>MAX(0,ROUND(AU384*(1+'Calc base'!I385),2)-K385-'Calc base'!U385)</f>
        <v>0</v>
      </c>
      <c r="X385">
        <f>MAX(0,ROUND(AV384*(1+'Calc base'!J385),2)-L385-'Calc base'!V385)</f>
        <v>0</v>
      </c>
      <c r="Y385">
        <f>MAX(0,ROUND(AW384*(1+'Calc base'!K385),2)-M385-'Calc base'!W385)</f>
        <v>0</v>
      </c>
      <c r="Z385">
        <f>MAX(0,ROUND(AX384*(1+'Calc base'!L385),2)-N385-'Calc base'!X385)</f>
        <v>0</v>
      </c>
      <c r="AA385">
        <f>MAX(0,ROUND(AY384*(1+'Calc base'!M385),2)-O385-'Calc base'!Y385)</f>
        <v>0</v>
      </c>
      <c r="AB385">
        <f>MAX(0,ROUND(AZ384*(1+'Calc base'!N385),2)-P385-'Calc base'!Z385)</f>
        <v>0</v>
      </c>
      <c r="AC385">
        <f>MAX(0,ROUND(BA384*(1+'Calc base'!O385),2)-Q385-'Calc base'!AA385)</f>
        <v>0</v>
      </c>
      <c r="AD385">
        <f>MAX(0,ROUND(BB384*(1+'Calc base'!P385),2)-R385-'Calc base'!AB385)</f>
        <v>0</v>
      </c>
      <c r="AE385">
        <f>MAX(0,ROUND(BC384*(1+'Calc base'!Q385),2)-S385-'Calc base'!AC385)</f>
        <v>0</v>
      </c>
      <c r="AF385">
        <f>MAX(0,ROUND(BD384*(1+'Calc base'!R385),2)-T385-'Calc base'!AD385)</f>
        <v>0</v>
      </c>
      <c r="AG385">
        <f>MAX(0,ROUND(BE384*(1+'Calc base'!S385),2)-U385-'Calc base'!AE385)</f>
        <v>0</v>
      </c>
      <c r="AH385">
        <f>IF('Calc base'!C$14=0,0,MIN(V385,MAX(0,$E385-SUMPRODUCT($V385:$AG385,'Calc base'!$C$14:$N$14,('Calc base'!$H385:$S385&gt;'Calc base'!H385)+('Calc base'!$H385:$S385='Calc base'!H385)*('Calc base'!$C$17:$N$17&lt;'Calc base'!C$17)))))</f>
        <v>0</v>
      </c>
      <c r="AI385">
        <f>IF('Calc base'!D$14=0,0,MIN(W385,MAX(0,$E385-SUMPRODUCT($V385:$AG385,'Calc base'!$C$14:$N$14,('Calc base'!$H385:$S385&gt;'Calc base'!I385)+('Calc base'!$H385:$S385='Calc base'!I385)*('Calc base'!$C$17:$N$17&lt;'Calc base'!D$17)))))</f>
        <v>0</v>
      </c>
      <c r="AJ385">
        <f>IF('Calc base'!E$14=0,0,MIN(X385,MAX(0,$E385-SUMPRODUCT($V385:$AG385,'Calc base'!$C$14:$N$14,('Calc base'!$H385:$S385&gt;'Calc base'!J385)+('Calc base'!$H385:$S385='Calc base'!J385)*('Calc base'!$C$17:$N$17&lt;'Calc base'!E$17)))))</f>
        <v>0</v>
      </c>
      <c r="AK385">
        <f>IF('Calc base'!F$14=0,0,MIN(Y385,MAX(0,$E385-SUMPRODUCT($V385:$AG385,'Calc base'!$C$14:$N$14,('Calc base'!$H385:$S385&gt;'Calc base'!K385)+('Calc base'!$H385:$S385='Calc base'!K385)*('Calc base'!$C$17:$N$17&lt;'Calc base'!F$17)))))</f>
        <v>0</v>
      </c>
      <c r="AL385">
        <f>IF('Calc base'!G$14=0,0,MIN(Z385,MAX(0,$E385-SUMPRODUCT($V385:$AG385,'Calc base'!$C$14:$N$14,('Calc base'!$H385:$S385&gt;'Calc base'!L385)+('Calc base'!$H385:$S385='Calc base'!L385)*('Calc base'!$C$17:$N$17&lt;'Calc base'!G$17)))))</f>
        <v>0</v>
      </c>
      <c r="AM385">
        <f>IF('Calc base'!H$14=0,0,MIN(AA385,MAX(0,$E385-SUMPRODUCT($V385:$AG385,'Calc base'!$C$14:$N$14,('Calc base'!$H385:$S385&gt;'Calc base'!M385)+('Calc base'!$H385:$S385='Calc base'!M385)*('Calc base'!$C$17:$N$17&lt;'Calc base'!H$17)))))</f>
        <v>0</v>
      </c>
      <c r="AN385">
        <f>IF('Calc base'!I$14=0,0,MIN(AB385,MAX(0,$E385-SUMPRODUCT($V385:$AG385,'Calc base'!$C$14:$N$14,('Calc base'!$H385:$S385&gt;'Calc base'!N385)+('Calc base'!$H385:$S385='Calc base'!N385)*('Calc base'!$C$17:$N$17&lt;'Calc base'!I$17)))))</f>
        <v>0</v>
      </c>
      <c r="AO385">
        <f>IF('Calc base'!J$14=0,0,MIN(AC385,MAX(0,$E385-SUMPRODUCT($V385:$AG385,'Calc base'!$C$14:$N$14,('Calc base'!$H385:$S385&gt;'Calc base'!O385)+('Calc base'!$H385:$S385='Calc base'!O385)*('Calc base'!$C$17:$N$17&lt;'Calc base'!J$17)))))</f>
        <v>0</v>
      </c>
      <c r="AP385">
        <f>IF('Calc base'!K$14=0,0,MIN(AD385,MAX(0,$E385-SUMPRODUCT($V385:$AG385,'Calc base'!$C$14:$N$14,('Calc base'!$H385:$S385&gt;'Calc base'!P385)+('Calc base'!$H385:$S385='Calc base'!P385)*('Calc base'!$C$17:$N$17&lt;'Calc base'!K$17)))))</f>
        <v>0</v>
      </c>
      <c r="AQ385">
        <f>IF('Calc base'!L$14=0,0,MIN(AE385,MAX(0,$E385-SUMPRODUCT($V385:$AG385,'Calc base'!$C$14:$N$14,('Calc base'!$H385:$S385&gt;'Calc base'!Q385)+('Calc base'!$H385:$S385='Calc base'!Q385)*('Calc base'!$C$17:$N$17&lt;'Calc base'!L$17)))))</f>
        <v>0</v>
      </c>
      <c r="AR385">
        <f>IF('Calc base'!M$14=0,0,MIN(AF385,MAX(0,$E385-SUMPRODUCT($V385:$AG385,'Calc base'!$C$14:$N$14,('Calc base'!$H385:$S385&gt;'Calc base'!R385)+('Calc base'!$H385:$S385='Calc base'!R385)*('Calc base'!$C$17:$N$17&lt;'Calc base'!M$17)))))</f>
        <v>0</v>
      </c>
      <c r="AS385">
        <f>IF('Calc base'!N$14=0,0,MIN(AG385,MAX(0,$E385-SUMPRODUCT($V385:$AG385,'Calc base'!$C$14:$N$14,('Calc base'!$H385:$S385&gt;'Calc base'!S385)+('Calc base'!$H385:$S385='Calc base'!S385)*('Calc base'!$C$17:$N$17&lt;'Calc base'!N$17)))))</f>
        <v>0</v>
      </c>
      <c r="AT385">
        <f>V385-AH385</f>
        <v>0</v>
      </c>
      <c r="AU385">
        <f>W385-AI385</f>
        <v>0</v>
      </c>
      <c r="AV385">
        <f>X385-AJ385</f>
        <v>0</v>
      </c>
      <c r="AW385">
        <f>Y385-AK385</f>
        <v>0</v>
      </c>
      <c r="AX385">
        <f>Z385-AL385</f>
        <v>0</v>
      </c>
      <c r="AY385">
        <f>AA385-AM385</f>
        <v>0</v>
      </c>
      <c r="AZ385">
        <f>AB385-AN385</f>
        <v>0</v>
      </c>
      <c r="BA385">
        <f>AC385-AO385</f>
        <v>0</v>
      </c>
      <c r="BB385">
        <f>AD385-AP385</f>
        <v>0</v>
      </c>
      <c r="BC385">
        <f>AE385-AQ385</f>
        <v>0</v>
      </c>
      <c r="BD385">
        <f>AF385-AR385</f>
        <v>0</v>
      </c>
      <c r="BE385">
        <f>AG385-AS385</f>
        <v>0</v>
      </c>
    </row>
    <row r="386">
      <c r="A386" t="n">
        <v>356</v>
      </c>
      <c r="B386">
        <f>SUMPRODUCT(ROUND($AT385:$BE385*(1+'Calc base'!$H386:$S386),2))</f>
        <v>0</v>
      </c>
      <c r="C386">
        <f>SUM(J386:U386)</f>
        <v>0</v>
      </c>
      <c r="D386">
        <f>SUM(V386:AG386)</f>
        <v>0</v>
      </c>
      <c r="E386">
        <f>MAX(0,IF(Impostazioni!$B$7="No",'Calc base'!$C386-$C$31,'Calc base'!$C386-C386)+'Calc base'!$G386+'Calc base'!$F386-(B386-C386-D386))</f>
        <v>900</v>
      </c>
      <c r="F386">
        <f>SUM(AH386:AS386)</f>
        <v>0</v>
      </c>
      <c r="G386">
        <f>SUM(AT386:BE386)</f>
        <v>0</v>
      </c>
      <c r="H386">
        <f>B386-G385</f>
        <v>0</v>
      </c>
      <c r="I386">
        <f>B386-G386</f>
        <v>0</v>
      </c>
      <c r="J386">
        <f>IF(AT385&lt;=0,0,IF(ROUND(AT385*(1+'Calc base'!H386),2)-MAX('Calc base'!C$12,ROUND('Calc base'!C$13*AT385,2))&lt;1,ROUND(AT385*(1+'Calc base'!H386),2),MAX('Calc base'!C$12,ROUND('Calc base'!C$13*AT385,2))))</f>
        <v>0</v>
      </c>
      <c r="K386">
        <f>IF(AU385&lt;=0,0,IF(ROUND(AU385*(1+'Calc base'!I386),2)-MAX('Calc base'!D$12,ROUND('Calc base'!D$13*AU385,2))&lt;1,ROUND(AU385*(1+'Calc base'!I386),2),MAX('Calc base'!D$12,ROUND('Calc base'!D$13*AU385,2))))</f>
        <v>0</v>
      </c>
      <c r="L386">
        <f>IF(AV385&lt;=0,0,IF(ROUND(AV385*(1+'Calc base'!J386),2)-MAX('Calc base'!E$12,ROUND('Calc base'!E$13*AV385,2))&lt;1,ROUND(AV385*(1+'Calc base'!J386),2),MAX('Calc base'!E$12,ROUND('Calc base'!E$13*AV385,2))))</f>
        <v>0</v>
      </c>
      <c r="M386">
        <f>IF(AW385&lt;=0,0,IF(ROUND(AW385*(1+'Calc base'!K386),2)-MAX('Calc base'!F$12,ROUND('Calc base'!F$13*AW385,2))&lt;1,ROUND(AW385*(1+'Calc base'!K386),2),MAX('Calc base'!F$12,ROUND('Calc base'!F$13*AW385,2))))</f>
        <v>0</v>
      </c>
      <c r="N386">
        <f>IF(AX385&lt;=0,0,IF(ROUND(AX385*(1+'Calc base'!L386),2)-MAX('Calc base'!G$12,ROUND('Calc base'!G$13*AX385,2))&lt;1,ROUND(AX385*(1+'Calc base'!L386),2),MAX('Calc base'!G$12,ROUND('Calc base'!G$13*AX385,2))))</f>
        <v>0</v>
      </c>
      <c r="O386">
        <f>IF(AY385&lt;=0,0,IF(ROUND(AY385*(1+'Calc base'!M386),2)-MAX('Calc base'!H$12,ROUND('Calc base'!H$13*AY385,2))&lt;1,ROUND(AY385*(1+'Calc base'!M386),2),MAX('Calc base'!H$12,ROUND('Calc base'!H$13*AY385,2))))</f>
        <v>0</v>
      </c>
      <c r="P386">
        <f>IF(AZ385&lt;=0,0,IF(ROUND(AZ385*(1+'Calc base'!N386),2)-MAX('Calc base'!I$12,ROUND('Calc base'!I$13*AZ385,2))&lt;1,ROUND(AZ385*(1+'Calc base'!N386),2),MAX('Calc base'!I$12,ROUND('Calc base'!I$13*AZ385,2))))</f>
        <v>0</v>
      </c>
      <c r="Q386">
        <f>IF(BA385&lt;=0,0,IF(ROUND(BA385*(1+'Calc base'!O386),2)-MAX('Calc base'!J$12,ROUND('Calc base'!J$13*BA385,2))&lt;1,ROUND(BA385*(1+'Calc base'!O386),2),MAX('Calc base'!J$12,ROUND('Calc base'!J$13*BA385,2))))</f>
        <v>0</v>
      </c>
      <c r="R386">
        <f>IF(BB385&lt;=0,0,IF(ROUND(BB385*(1+'Calc base'!P386),2)-MAX('Calc base'!K$12,ROUND('Calc base'!K$13*BB385,2))&lt;1,ROUND(BB385*(1+'Calc base'!P386),2),MAX('Calc base'!K$12,ROUND('Calc base'!K$13*BB385,2))))</f>
        <v>0</v>
      </c>
      <c r="S386">
        <f>IF(BC385&lt;=0,0,IF(ROUND(BC385*(1+'Calc base'!Q386),2)-MAX('Calc base'!L$12,ROUND('Calc base'!L$13*BC385,2))&lt;1,ROUND(BC385*(1+'Calc base'!Q386),2),MAX('Calc base'!L$12,ROUND('Calc base'!L$13*BC385,2))))</f>
        <v>0</v>
      </c>
      <c r="T386">
        <f>IF(BD385&lt;=0,0,IF(ROUND(BD385*(1+'Calc base'!R386),2)-MAX('Calc base'!M$12,ROUND('Calc base'!M$13*BD385,2))&lt;1,ROUND(BD385*(1+'Calc base'!R386),2),MAX('Calc base'!M$12,ROUND('Calc base'!M$13*BD385,2))))</f>
        <v>0</v>
      </c>
      <c r="U386">
        <f>IF(BE385&lt;=0,0,IF(ROUND(BE385*(1+'Calc base'!S386),2)-MAX('Calc base'!N$12,ROUND('Calc base'!N$13*BE385,2))&lt;1,ROUND(BE385*(1+'Calc base'!S386),2),MAX('Calc base'!N$12,ROUND('Calc base'!N$13*BE385,2))))</f>
        <v>0</v>
      </c>
      <c r="V386">
        <f>MAX(0,ROUND(AT385*(1+'Calc base'!H386),2)-J386-'Calc base'!T386)</f>
        <v>0</v>
      </c>
      <c r="W386">
        <f>MAX(0,ROUND(AU385*(1+'Calc base'!I386),2)-K386-'Calc base'!U386)</f>
        <v>0</v>
      </c>
      <c r="X386">
        <f>MAX(0,ROUND(AV385*(1+'Calc base'!J386),2)-L386-'Calc base'!V386)</f>
        <v>0</v>
      </c>
      <c r="Y386">
        <f>MAX(0,ROUND(AW385*(1+'Calc base'!K386),2)-M386-'Calc base'!W386)</f>
        <v>0</v>
      </c>
      <c r="Z386">
        <f>MAX(0,ROUND(AX385*(1+'Calc base'!L386),2)-N386-'Calc base'!X386)</f>
        <v>0</v>
      </c>
      <c r="AA386">
        <f>MAX(0,ROUND(AY385*(1+'Calc base'!M386),2)-O386-'Calc base'!Y386)</f>
        <v>0</v>
      </c>
      <c r="AB386">
        <f>MAX(0,ROUND(AZ385*(1+'Calc base'!N386),2)-P386-'Calc base'!Z386)</f>
        <v>0</v>
      </c>
      <c r="AC386">
        <f>MAX(0,ROUND(BA385*(1+'Calc base'!O386),2)-Q386-'Calc base'!AA386)</f>
        <v>0</v>
      </c>
      <c r="AD386">
        <f>MAX(0,ROUND(BB385*(1+'Calc base'!P386),2)-R386-'Calc base'!AB386)</f>
        <v>0</v>
      </c>
      <c r="AE386">
        <f>MAX(0,ROUND(BC385*(1+'Calc base'!Q386),2)-S386-'Calc base'!AC386)</f>
        <v>0</v>
      </c>
      <c r="AF386">
        <f>MAX(0,ROUND(BD385*(1+'Calc base'!R386),2)-T386-'Calc base'!AD386)</f>
        <v>0</v>
      </c>
      <c r="AG386">
        <f>MAX(0,ROUND(BE385*(1+'Calc base'!S386),2)-U386-'Calc base'!AE386)</f>
        <v>0</v>
      </c>
      <c r="AH386">
        <f>IF('Calc base'!C$14=0,0,MIN(V386,MAX(0,$E386-SUMPRODUCT($V386:$AG386,'Calc base'!$C$14:$N$14,('Calc base'!$H386:$S386&gt;'Calc base'!H386)+('Calc base'!$H386:$S386='Calc base'!H386)*('Calc base'!$C$17:$N$17&lt;'Calc base'!C$17)))))</f>
        <v>0</v>
      </c>
      <c r="AI386">
        <f>IF('Calc base'!D$14=0,0,MIN(W386,MAX(0,$E386-SUMPRODUCT($V386:$AG386,'Calc base'!$C$14:$N$14,('Calc base'!$H386:$S386&gt;'Calc base'!I386)+('Calc base'!$H386:$S386='Calc base'!I386)*('Calc base'!$C$17:$N$17&lt;'Calc base'!D$17)))))</f>
        <v>0</v>
      </c>
      <c r="AJ386">
        <f>IF('Calc base'!E$14=0,0,MIN(X386,MAX(0,$E386-SUMPRODUCT($V386:$AG386,'Calc base'!$C$14:$N$14,('Calc base'!$H386:$S386&gt;'Calc base'!J386)+('Calc base'!$H386:$S386='Calc base'!J386)*('Calc base'!$C$17:$N$17&lt;'Calc base'!E$17)))))</f>
        <v>0</v>
      </c>
      <c r="AK386">
        <f>IF('Calc base'!F$14=0,0,MIN(Y386,MAX(0,$E386-SUMPRODUCT($V386:$AG386,'Calc base'!$C$14:$N$14,('Calc base'!$H386:$S386&gt;'Calc base'!K386)+('Calc base'!$H386:$S386='Calc base'!K386)*('Calc base'!$C$17:$N$17&lt;'Calc base'!F$17)))))</f>
        <v>0</v>
      </c>
      <c r="AL386">
        <f>IF('Calc base'!G$14=0,0,MIN(Z386,MAX(0,$E386-SUMPRODUCT($V386:$AG386,'Calc base'!$C$14:$N$14,('Calc base'!$H386:$S386&gt;'Calc base'!L386)+('Calc base'!$H386:$S386='Calc base'!L386)*('Calc base'!$C$17:$N$17&lt;'Calc base'!G$17)))))</f>
        <v>0</v>
      </c>
      <c r="AM386">
        <f>IF('Calc base'!H$14=0,0,MIN(AA386,MAX(0,$E386-SUMPRODUCT($V386:$AG386,'Calc base'!$C$14:$N$14,('Calc base'!$H386:$S386&gt;'Calc base'!M386)+('Calc base'!$H386:$S386='Calc base'!M386)*('Calc base'!$C$17:$N$17&lt;'Calc base'!H$17)))))</f>
        <v>0</v>
      </c>
      <c r="AN386">
        <f>IF('Calc base'!I$14=0,0,MIN(AB386,MAX(0,$E386-SUMPRODUCT($V386:$AG386,'Calc base'!$C$14:$N$14,('Calc base'!$H386:$S386&gt;'Calc base'!N386)+('Calc base'!$H386:$S386='Calc base'!N386)*('Calc base'!$C$17:$N$17&lt;'Calc base'!I$17)))))</f>
        <v>0</v>
      </c>
      <c r="AO386">
        <f>IF('Calc base'!J$14=0,0,MIN(AC386,MAX(0,$E386-SUMPRODUCT($V386:$AG386,'Calc base'!$C$14:$N$14,('Calc base'!$H386:$S386&gt;'Calc base'!O386)+('Calc base'!$H386:$S386='Calc base'!O386)*('Calc base'!$C$17:$N$17&lt;'Calc base'!J$17)))))</f>
        <v>0</v>
      </c>
      <c r="AP386">
        <f>IF('Calc base'!K$14=0,0,MIN(AD386,MAX(0,$E386-SUMPRODUCT($V386:$AG386,'Calc base'!$C$14:$N$14,('Calc base'!$H386:$S386&gt;'Calc base'!P386)+('Calc base'!$H386:$S386='Calc base'!P386)*('Calc base'!$C$17:$N$17&lt;'Calc base'!K$17)))))</f>
        <v>0</v>
      </c>
      <c r="AQ386">
        <f>IF('Calc base'!L$14=0,0,MIN(AE386,MAX(0,$E386-SUMPRODUCT($V386:$AG386,'Calc base'!$C$14:$N$14,('Calc base'!$H386:$S386&gt;'Calc base'!Q386)+('Calc base'!$H386:$S386='Calc base'!Q386)*('Calc base'!$C$17:$N$17&lt;'Calc base'!L$17)))))</f>
        <v>0</v>
      </c>
      <c r="AR386">
        <f>IF('Calc base'!M$14=0,0,MIN(AF386,MAX(0,$E386-SUMPRODUCT($V386:$AG386,'Calc base'!$C$14:$N$14,('Calc base'!$H386:$S386&gt;'Calc base'!R386)+('Calc base'!$H386:$S386='Calc base'!R386)*('Calc base'!$C$17:$N$17&lt;'Calc base'!M$17)))))</f>
        <v>0</v>
      </c>
      <c r="AS386">
        <f>IF('Calc base'!N$14=0,0,MIN(AG386,MAX(0,$E386-SUMPRODUCT($V386:$AG386,'Calc base'!$C$14:$N$14,('Calc base'!$H386:$S386&gt;'Calc base'!S386)+('Calc base'!$H386:$S386='Calc base'!S386)*('Calc base'!$C$17:$N$17&lt;'Calc base'!N$17)))))</f>
        <v>0</v>
      </c>
      <c r="AT386">
        <f>V386-AH386</f>
        <v>0</v>
      </c>
      <c r="AU386">
        <f>W386-AI386</f>
        <v>0</v>
      </c>
      <c r="AV386">
        <f>X386-AJ386</f>
        <v>0</v>
      </c>
      <c r="AW386">
        <f>Y386-AK386</f>
        <v>0</v>
      </c>
      <c r="AX386">
        <f>Z386-AL386</f>
        <v>0</v>
      </c>
      <c r="AY386">
        <f>AA386-AM386</f>
        <v>0</v>
      </c>
      <c r="AZ386">
        <f>AB386-AN386</f>
        <v>0</v>
      </c>
      <c r="BA386">
        <f>AC386-AO386</f>
        <v>0</v>
      </c>
      <c r="BB386">
        <f>AD386-AP386</f>
        <v>0</v>
      </c>
      <c r="BC386">
        <f>AE386-AQ386</f>
        <v>0</v>
      </c>
      <c r="BD386">
        <f>AF386-AR386</f>
        <v>0</v>
      </c>
      <c r="BE386">
        <f>AG386-AS386</f>
        <v>0</v>
      </c>
    </row>
    <row r="387">
      <c r="A387" t="n">
        <v>357</v>
      </c>
      <c r="B387">
        <f>SUMPRODUCT(ROUND($AT386:$BE386*(1+'Calc base'!$H387:$S387),2))</f>
        <v>0</v>
      </c>
      <c r="C387">
        <f>SUM(J387:U387)</f>
        <v>0</v>
      </c>
      <c r="D387">
        <f>SUM(V387:AG387)</f>
        <v>0</v>
      </c>
      <c r="E387">
        <f>MAX(0,IF(Impostazioni!$B$7="No",'Calc base'!$C387-$C$31,'Calc base'!$C387-C387)+'Calc base'!$G387+'Calc base'!$F387-(B387-C387-D387))</f>
        <v>900</v>
      </c>
      <c r="F387">
        <f>SUM(AH387:AS387)</f>
        <v>0</v>
      </c>
      <c r="G387">
        <f>SUM(AT387:BE387)</f>
        <v>0</v>
      </c>
      <c r="H387">
        <f>B387-G386</f>
        <v>0</v>
      </c>
      <c r="I387">
        <f>B387-G387</f>
        <v>0</v>
      </c>
      <c r="J387">
        <f>IF(AT386&lt;=0,0,IF(ROUND(AT386*(1+'Calc base'!H387),2)-MAX('Calc base'!C$12,ROUND('Calc base'!C$13*AT386,2))&lt;1,ROUND(AT386*(1+'Calc base'!H387),2),MAX('Calc base'!C$12,ROUND('Calc base'!C$13*AT386,2))))</f>
        <v>0</v>
      </c>
      <c r="K387">
        <f>IF(AU386&lt;=0,0,IF(ROUND(AU386*(1+'Calc base'!I387),2)-MAX('Calc base'!D$12,ROUND('Calc base'!D$13*AU386,2))&lt;1,ROUND(AU386*(1+'Calc base'!I387),2),MAX('Calc base'!D$12,ROUND('Calc base'!D$13*AU386,2))))</f>
        <v>0</v>
      </c>
      <c r="L387">
        <f>IF(AV386&lt;=0,0,IF(ROUND(AV386*(1+'Calc base'!J387),2)-MAX('Calc base'!E$12,ROUND('Calc base'!E$13*AV386,2))&lt;1,ROUND(AV386*(1+'Calc base'!J387),2),MAX('Calc base'!E$12,ROUND('Calc base'!E$13*AV386,2))))</f>
        <v>0</v>
      </c>
      <c r="M387">
        <f>IF(AW386&lt;=0,0,IF(ROUND(AW386*(1+'Calc base'!K387),2)-MAX('Calc base'!F$12,ROUND('Calc base'!F$13*AW386,2))&lt;1,ROUND(AW386*(1+'Calc base'!K387),2),MAX('Calc base'!F$12,ROUND('Calc base'!F$13*AW386,2))))</f>
        <v>0</v>
      </c>
      <c r="N387">
        <f>IF(AX386&lt;=0,0,IF(ROUND(AX386*(1+'Calc base'!L387),2)-MAX('Calc base'!G$12,ROUND('Calc base'!G$13*AX386,2))&lt;1,ROUND(AX386*(1+'Calc base'!L387),2),MAX('Calc base'!G$12,ROUND('Calc base'!G$13*AX386,2))))</f>
        <v>0</v>
      </c>
      <c r="O387">
        <f>IF(AY386&lt;=0,0,IF(ROUND(AY386*(1+'Calc base'!M387),2)-MAX('Calc base'!H$12,ROUND('Calc base'!H$13*AY386,2))&lt;1,ROUND(AY386*(1+'Calc base'!M387),2),MAX('Calc base'!H$12,ROUND('Calc base'!H$13*AY386,2))))</f>
        <v>0</v>
      </c>
      <c r="P387">
        <f>IF(AZ386&lt;=0,0,IF(ROUND(AZ386*(1+'Calc base'!N387),2)-MAX('Calc base'!I$12,ROUND('Calc base'!I$13*AZ386,2))&lt;1,ROUND(AZ386*(1+'Calc base'!N387),2),MAX('Calc base'!I$12,ROUND('Calc base'!I$13*AZ386,2))))</f>
        <v>0</v>
      </c>
      <c r="Q387">
        <f>IF(BA386&lt;=0,0,IF(ROUND(BA386*(1+'Calc base'!O387),2)-MAX('Calc base'!J$12,ROUND('Calc base'!J$13*BA386,2))&lt;1,ROUND(BA386*(1+'Calc base'!O387),2),MAX('Calc base'!J$12,ROUND('Calc base'!J$13*BA386,2))))</f>
        <v>0</v>
      </c>
      <c r="R387">
        <f>IF(BB386&lt;=0,0,IF(ROUND(BB386*(1+'Calc base'!P387),2)-MAX('Calc base'!K$12,ROUND('Calc base'!K$13*BB386,2))&lt;1,ROUND(BB386*(1+'Calc base'!P387),2),MAX('Calc base'!K$12,ROUND('Calc base'!K$13*BB386,2))))</f>
        <v>0</v>
      </c>
      <c r="S387">
        <f>IF(BC386&lt;=0,0,IF(ROUND(BC386*(1+'Calc base'!Q387),2)-MAX('Calc base'!L$12,ROUND('Calc base'!L$13*BC386,2))&lt;1,ROUND(BC386*(1+'Calc base'!Q387),2),MAX('Calc base'!L$12,ROUND('Calc base'!L$13*BC386,2))))</f>
        <v>0</v>
      </c>
      <c r="T387">
        <f>IF(BD386&lt;=0,0,IF(ROUND(BD386*(1+'Calc base'!R387),2)-MAX('Calc base'!M$12,ROUND('Calc base'!M$13*BD386,2))&lt;1,ROUND(BD386*(1+'Calc base'!R387),2),MAX('Calc base'!M$12,ROUND('Calc base'!M$13*BD386,2))))</f>
        <v>0</v>
      </c>
      <c r="U387">
        <f>IF(BE386&lt;=0,0,IF(ROUND(BE386*(1+'Calc base'!S387),2)-MAX('Calc base'!N$12,ROUND('Calc base'!N$13*BE386,2))&lt;1,ROUND(BE386*(1+'Calc base'!S387),2),MAX('Calc base'!N$12,ROUND('Calc base'!N$13*BE386,2))))</f>
        <v>0</v>
      </c>
      <c r="V387">
        <f>MAX(0,ROUND(AT386*(1+'Calc base'!H387),2)-J387-'Calc base'!T387)</f>
        <v>0</v>
      </c>
      <c r="W387">
        <f>MAX(0,ROUND(AU386*(1+'Calc base'!I387),2)-K387-'Calc base'!U387)</f>
        <v>0</v>
      </c>
      <c r="X387">
        <f>MAX(0,ROUND(AV386*(1+'Calc base'!J387),2)-L387-'Calc base'!V387)</f>
        <v>0</v>
      </c>
      <c r="Y387">
        <f>MAX(0,ROUND(AW386*(1+'Calc base'!K387),2)-M387-'Calc base'!W387)</f>
        <v>0</v>
      </c>
      <c r="Z387">
        <f>MAX(0,ROUND(AX386*(1+'Calc base'!L387),2)-N387-'Calc base'!X387)</f>
        <v>0</v>
      </c>
      <c r="AA387">
        <f>MAX(0,ROUND(AY386*(1+'Calc base'!M387),2)-O387-'Calc base'!Y387)</f>
        <v>0</v>
      </c>
      <c r="AB387">
        <f>MAX(0,ROUND(AZ386*(1+'Calc base'!N387),2)-P387-'Calc base'!Z387)</f>
        <v>0</v>
      </c>
      <c r="AC387">
        <f>MAX(0,ROUND(BA386*(1+'Calc base'!O387),2)-Q387-'Calc base'!AA387)</f>
        <v>0</v>
      </c>
      <c r="AD387">
        <f>MAX(0,ROUND(BB386*(1+'Calc base'!P387),2)-R387-'Calc base'!AB387)</f>
        <v>0</v>
      </c>
      <c r="AE387">
        <f>MAX(0,ROUND(BC386*(1+'Calc base'!Q387),2)-S387-'Calc base'!AC387)</f>
        <v>0</v>
      </c>
      <c r="AF387">
        <f>MAX(0,ROUND(BD386*(1+'Calc base'!R387),2)-T387-'Calc base'!AD387)</f>
        <v>0</v>
      </c>
      <c r="AG387">
        <f>MAX(0,ROUND(BE386*(1+'Calc base'!S387),2)-U387-'Calc base'!AE387)</f>
        <v>0</v>
      </c>
      <c r="AH387">
        <f>IF('Calc base'!C$14=0,0,MIN(V387,MAX(0,$E387-SUMPRODUCT($V387:$AG387,'Calc base'!$C$14:$N$14,('Calc base'!$H387:$S387&gt;'Calc base'!H387)+('Calc base'!$H387:$S387='Calc base'!H387)*('Calc base'!$C$17:$N$17&lt;'Calc base'!C$17)))))</f>
        <v>0</v>
      </c>
      <c r="AI387">
        <f>IF('Calc base'!D$14=0,0,MIN(W387,MAX(0,$E387-SUMPRODUCT($V387:$AG387,'Calc base'!$C$14:$N$14,('Calc base'!$H387:$S387&gt;'Calc base'!I387)+('Calc base'!$H387:$S387='Calc base'!I387)*('Calc base'!$C$17:$N$17&lt;'Calc base'!D$17)))))</f>
        <v>0</v>
      </c>
      <c r="AJ387">
        <f>IF('Calc base'!E$14=0,0,MIN(X387,MAX(0,$E387-SUMPRODUCT($V387:$AG387,'Calc base'!$C$14:$N$14,('Calc base'!$H387:$S387&gt;'Calc base'!J387)+('Calc base'!$H387:$S387='Calc base'!J387)*('Calc base'!$C$17:$N$17&lt;'Calc base'!E$17)))))</f>
        <v>0</v>
      </c>
      <c r="AK387">
        <f>IF('Calc base'!F$14=0,0,MIN(Y387,MAX(0,$E387-SUMPRODUCT($V387:$AG387,'Calc base'!$C$14:$N$14,('Calc base'!$H387:$S387&gt;'Calc base'!K387)+('Calc base'!$H387:$S387='Calc base'!K387)*('Calc base'!$C$17:$N$17&lt;'Calc base'!F$17)))))</f>
        <v>0</v>
      </c>
      <c r="AL387">
        <f>IF('Calc base'!G$14=0,0,MIN(Z387,MAX(0,$E387-SUMPRODUCT($V387:$AG387,'Calc base'!$C$14:$N$14,('Calc base'!$H387:$S387&gt;'Calc base'!L387)+('Calc base'!$H387:$S387='Calc base'!L387)*('Calc base'!$C$17:$N$17&lt;'Calc base'!G$17)))))</f>
        <v>0</v>
      </c>
      <c r="AM387">
        <f>IF('Calc base'!H$14=0,0,MIN(AA387,MAX(0,$E387-SUMPRODUCT($V387:$AG387,'Calc base'!$C$14:$N$14,('Calc base'!$H387:$S387&gt;'Calc base'!M387)+('Calc base'!$H387:$S387='Calc base'!M387)*('Calc base'!$C$17:$N$17&lt;'Calc base'!H$17)))))</f>
        <v>0</v>
      </c>
      <c r="AN387">
        <f>IF('Calc base'!I$14=0,0,MIN(AB387,MAX(0,$E387-SUMPRODUCT($V387:$AG387,'Calc base'!$C$14:$N$14,('Calc base'!$H387:$S387&gt;'Calc base'!N387)+('Calc base'!$H387:$S387='Calc base'!N387)*('Calc base'!$C$17:$N$17&lt;'Calc base'!I$17)))))</f>
        <v>0</v>
      </c>
      <c r="AO387">
        <f>IF('Calc base'!J$14=0,0,MIN(AC387,MAX(0,$E387-SUMPRODUCT($V387:$AG387,'Calc base'!$C$14:$N$14,('Calc base'!$H387:$S387&gt;'Calc base'!O387)+('Calc base'!$H387:$S387='Calc base'!O387)*('Calc base'!$C$17:$N$17&lt;'Calc base'!J$17)))))</f>
        <v>0</v>
      </c>
      <c r="AP387">
        <f>IF('Calc base'!K$14=0,0,MIN(AD387,MAX(0,$E387-SUMPRODUCT($V387:$AG387,'Calc base'!$C$14:$N$14,('Calc base'!$H387:$S387&gt;'Calc base'!P387)+('Calc base'!$H387:$S387='Calc base'!P387)*('Calc base'!$C$17:$N$17&lt;'Calc base'!K$17)))))</f>
        <v>0</v>
      </c>
      <c r="AQ387">
        <f>IF('Calc base'!L$14=0,0,MIN(AE387,MAX(0,$E387-SUMPRODUCT($V387:$AG387,'Calc base'!$C$14:$N$14,('Calc base'!$H387:$S387&gt;'Calc base'!Q387)+('Calc base'!$H387:$S387='Calc base'!Q387)*('Calc base'!$C$17:$N$17&lt;'Calc base'!L$17)))))</f>
        <v>0</v>
      </c>
      <c r="AR387">
        <f>IF('Calc base'!M$14=0,0,MIN(AF387,MAX(0,$E387-SUMPRODUCT($V387:$AG387,'Calc base'!$C$14:$N$14,('Calc base'!$H387:$S387&gt;'Calc base'!R387)+('Calc base'!$H387:$S387='Calc base'!R387)*('Calc base'!$C$17:$N$17&lt;'Calc base'!M$17)))))</f>
        <v>0</v>
      </c>
      <c r="AS387">
        <f>IF('Calc base'!N$14=0,0,MIN(AG387,MAX(0,$E387-SUMPRODUCT($V387:$AG387,'Calc base'!$C$14:$N$14,('Calc base'!$H387:$S387&gt;'Calc base'!S387)+('Calc base'!$H387:$S387='Calc base'!S387)*('Calc base'!$C$17:$N$17&lt;'Calc base'!N$17)))))</f>
        <v>0</v>
      </c>
      <c r="AT387">
        <f>V387-AH387</f>
        <v>0</v>
      </c>
      <c r="AU387">
        <f>W387-AI387</f>
        <v>0</v>
      </c>
      <c r="AV387">
        <f>X387-AJ387</f>
        <v>0</v>
      </c>
      <c r="AW387">
        <f>Y387-AK387</f>
        <v>0</v>
      </c>
      <c r="AX387">
        <f>Z387-AL387</f>
        <v>0</v>
      </c>
      <c r="AY387">
        <f>AA387-AM387</f>
        <v>0</v>
      </c>
      <c r="AZ387">
        <f>AB387-AN387</f>
        <v>0</v>
      </c>
      <c r="BA387">
        <f>AC387-AO387</f>
        <v>0</v>
      </c>
      <c r="BB387">
        <f>AD387-AP387</f>
        <v>0</v>
      </c>
      <c r="BC387">
        <f>AE387-AQ387</f>
        <v>0</v>
      </c>
      <c r="BD387">
        <f>AF387-AR387</f>
        <v>0</v>
      </c>
      <c r="BE387">
        <f>AG387-AS387</f>
        <v>0</v>
      </c>
    </row>
    <row r="388">
      <c r="A388" t="n">
        <v>358</v>
      </c>
      <c r="B388">
        <f>SUMPRODUCT(ROUND($AT387:$BE387*(1+'Calc base'!$H388:$S388),2))</f>
        <v>0</v>
      </c>
      <c r="C388">
        <f>SUM(J388:U388)</f>
        <v>0</v>
      </c>
      <c r="D388">
        <f>SUM(V388:AG388)</f>
        <v>0</v>
      </c>
      <c r="E388">
        <f>MAX(0,IF(Impostazioni!$B$7="No",'Calc base'!$C388-$C$31,'Calc base'!$C388-C388)+'Calc base'!$G388+'Calc base'!$F388-(B388-C388-D388))</f>
        <v>900</v>
      </c>
      <c r="F388">
        <f>SUM(AH388:AS388)</f>
        <v>0</v>
      </c>
      <c r="G388">
        <f>SUM(AT388:BE388)</f>
        <v>0</v>
      </c>
      <c r="H388">
        <f>B388-G387</f>
        <v>0</v>
      </c>
      <c r="I388">
        <f>B388-G388</f>
        <v>0</v>
      </c>
      <c r="J388">
        <f>IF(AT387&lt;=0,0,IF(ROUND(AT387*(1+'Calc base'!H388),2)-MAX('Calc base'!C$12,ROUND('Calc base'!C$13*AT387,2))&lt;1,ROUND(AT387*(1+'Calc base'!H388),2),MAX('Calc base'!C$12,ROUND('Calc base'!C$13*AT387,2))))</f>
        <v>0</v>
      </c>
      <c r="K388">
        <f>IF(AU387&lt;=0,0,IF(ROUND(AU387*(1+'Calc base'!I388),2)-MAX('Calc base'!D$12,ROUND('Calc base'!D$13*AU387,2))&lt;1,ROUND(AU387*(1+'Calc base'!I388),2),MAX('Calc base'!D$12,ROUND('Calc base'!D$13*AU387,2))))</f>
        <v>0</v>
      </c>
      <c r="L388">
        <f>IF(AV387&lt;=0,0,IF(ROUND(AV387*(1+'Calc base'!J388),2)-MAX('Calc base'!E$12,ROUND('Calc base'!E$13*AV387,2))&lt;1,ROUND(AV387*(1+'Calc base'!J388),2),MAX('Calc base'!E$12,ROUND('Calc base'!E$13*AV387,2))))</f>
        <v>0</v>
      </c>
      <c r="M388">
        <f>IF(AW387&lt;=0,0,IF(ROUND(AW387*(1+'Calc base'!K388),2)-MAX('Calc base'!F$12,ROUND('Calc base'!F$13*AW387,2))&lt;1,ROUND(AW387*(1+'Calc base'!K388),2),MAX('Calc base'!F$12,ROUND('Calc base'!F$13*AW387,2))))</f>
        <v>0</v>
      </c>
      <c r="N388">
        <f>IF(AX387&lt;=0,0,IF(ROUND(AX387*(1+'Calc base'!L388),2)-MAX('Calc base'!G$12,ROUND('Calc base'!G$13*AX387,2))&lt;1,ROUND(AX387*(1+'Calc base'!L388),2),MAX('Calc base'!G$12,ROUND('Calc base'!G$13*AX387,2))))</f>
        <v>0</v>
      </c>
      <c r="O388">
        <f>IF(AY387&lt;=0,0,IF(ROUND(AY387*(1+'Calc base'!M388),2)-MAX('Calc base'!H$12,ROUND('Calc base'!H$13*AY387,2))&lt;1,ROUND(AY387*(1+'Calc base'!M388),2),MAX('Calc base'!H$12,ROUND('Calc base'!H$13*AY387,2))))</f>
        <v>0</v>
      </c>
      <c r="P388">
        <f>IF(AZ387&lt;=0,0,IF(ROUND(AZ387*(1+'Calc base'!N388),2)-MAX('Calc base'!I$12,ROUND('Calc base'!I$13*AZ387,2))&lt;1,ROUND(AZ387*(1+'Calc base'!N388),2),MAX('Calc base'!I$12,ROUND('Calc base'!I$13*AZ387,2))))</f>
        <v>0</v>
      </c>
      <c r="Q388">
        <f>IF(BA387&lt;=0,0,IF(ROUND(BA387*(1+'Calc base'!O388),2)-MAX('Calc base'!J$12,ROUND('Calc base'!J$13*BA387,2))&lt;1,ROUND(BA387*(1+'Calc base'!O388),2),MAX('Calc base'!J$12,ROUND('Calc base'!J$13*BA387,2))))</f>
        <v>0</v>
      </c>
      <c r="R388">
        <f>IF(BB387&lt;=0,0,IF(ROUND(BB387*(1+'Calc base'!P388),2)-MAX('Calc base'!K$12,ROUND('Calc base'!K$13*BB387,2))&lt;1,ROUND(BB387*(1+'Calc base'!P388),2),MAX('Calc base'!K$12,ROUND('Calc base'!K$13*BB387,2))))</f>
        <v>0</v>
      </c>
      <c r="S388">
        <f>IF(BC387&lt;=0,0,IF(ROUND(BC387*(1+'Calc base'!Q388),2)-MAX('Calc base'!L$12,ROUND('Calc base'!L$13*BC387,2))&lt;1,ROUND(BC387*(1+'Calc base'!Q388),2),MAX('Calc base'!L$12,ROUND('Calc base'!L$13*BC387,2))))</f>
        <v>0</v>
      </c>
      <c r="T388">
        <f>IF(BD387&lt;=0,0,IF(ROUND(BD387*(1+'Calc base'!R388),2)-MAX('Calc base'!M$12,ROUND('Calc base'!M$13*BD387,2))&lt;1,ROUND(BD387*(1+'Calc base'!R388),2),MAX('Calc base'!M$12,ROUND('Calc base'!M$13*BD387,2))))</f>
        <v>0</v>
      </c>
      <c r="U388">
        <f>IF(BE387&lt;=0,0,IF(ROUND(BE387*(1+'Calc base'!S388),2)-MAX('Calc base'!N$12,ROUND('Calc base'!N$13*BE387,2))&lt;1,ROUND(BE387*(1+'Calc base'!S388),2),MAX('Calc base'!N$12,ROUND('Calc base'!N$13*BE387,2))))</f>
        <v>0</v>
      </c>
      <c r="V388">
        <f>MAX(0,ROUND(AT387*(1+'Calc base'!H388),2)-J388-'Calc base'!T388)</f>
        <v>0</v>
      </c>
      <c r="W388">
        <f>MAX(0,ROUND(AU387*(1+'Calc base'!I388),2)-K388-'Calc base'!U388)</f>
        <v>0</v>
      </c>
      <c r="X388">
        <f>MAX(0,ROUND(AV387*(1+'Calc base'!J388),2)-L388-'Calc base'!V388)</f>
        <v>0</v>
      </c>
      <c r="Y388">
        <f>MAX(0,ROUND(AW387*(1+'Calc base'!K388),2)-M388-'Calc base'!W388)</f>
        <v>0</v>
      </c>
      <c r="Z388">
        <f>MAX(0,ROUND(AX387*(1+'Calc base'!L388),2)-N388-'Calc base'!X388)</f>
        <v>0</v>
      </c>
      <c r="AA388">
        <f>MAX(0,ROUND(AY387*(1+'Calc base'!M388),2)-O388-'Calc base'!Y388)</f>
        <v>0</v>
      </c>
      <c r="AB388">
        <f>MAX(0,ROUND(AZ387*(1+'Calc base'!N388),2)-P388-'Calc base'!Z388)</f>
        <v>0</v>
      </c>
      <c r="AC388">
        <f>MAX(0,ROUND(BA387*(1+'Calc base'!O388),2)-Q388-'Calc base'!AA388)</f>
        <v>0</v>
      </c>
      <c r="AD388">
        <f>MAX(0,ROUND(BB387*(1+'Calc base'!P388),2)-R388-'Calc base'!AB388)</f>
        <v>0</v>
      </c>
      <c r="AE388">
        <f>MAX(0,ROUND(BC387*(1+'Calc base'!Q388),2)-S388-'Calc base'!AC388)</f>
        <v>0</v>
      </c>
      <c r="AF388">
        <f>MAX(0,ROUND(BD387*(1+'Calc base'!R388),2)-T388-'Calc base'!AD388)</f>
        <v>0</v>
      </c>
      <c r="AG388">
        <f>MAX(0,ROUND(BE387*(1+'Calc base'!S388),2)-U388-'Calc base'!AE388)</f>
        <v>0</v>
      </c>
      <c r="AH388">
        <f>IF('Calc base'!C$14=0,0,MIN(V388,MAX(0,$E388-SUMPRODUCT($V388:$AG388,'Calc base'!$C$14:$N$14,('Calc base'!$H388:$S388&gt;'Calc base'!H388)+('Calc base'!$H388:$S388='Calc base'!H388)*('Calc base'!$C$17:$N$17&lt;'Calc base'!C$17)))))</f>
        <v>0</v>
      </c>
      <c r="AI388">
        <f>IF('Calc base'!D$14=0,0,MIN(W388,MAX(0,$E388-SUMPRODUCT($V388:$AG388,'Calc base'!$C$14:$N$14,('Calc base'!$H388:$S388&gt;'Calc base'!I388)+('Calc base'!$H388:$S388='Calc base'!I388)*('Calc base'!$C$17:$N$17&lt;'Calc base'!D$17)))))</f>
        <v>0</v>
      </c>
      <c r="AJ388">
        <f>IF('Calc base'!E$14=0,0,MIN(X388,MAX(0,$E388-SUMPRODUCT($V388:$AG388,'Calc base'!$C$14:$N$14,('Calc base'!$H388:$S388&gt;'Calc base'!J388)+('Calc base'!$H388:$S388='Calc base'!J388)*('Calc base'!$C$17:$N$17&lt;'Calc base'!E$17)))))</f>
        <v>0</v>
      </c>
      <c r="AK388">
        <f>IF('Calc base'!F$14=0,0,MIN(Y388,MAX(0,$E388-SUMPRODUCT($V388:$AG388,'Calc base'!$C$14:$N$14,('Calc base'!$H388:$S388&gt;'Calc base'!K388)+('Calc base'!$H388:$S388='Calc base'!K388)*('Calc base'!$C$17:$N$17&lt;'Calc base'!F$17)))))</f>
        <v>0</v>
      </c>
      <c r="AL388">
        <f>IF('Calc base'!G$14=0,0,MIN(Z388,MAX(0,$E388-SUMPRODUCT($V388:$AG388,'Calc base'!$C$14:$N$14,('Calc base'!$H388:$S388&gt;'Calc base'!L388)+('Calc base'!$H388:$S388='Calc base'!L388)*('Calc base'!$C$17:$N$17&lt;'Calc base'!G$17)))))</f>
        <v>0</v>
      </c>
      <c r="AM388">
        <f>IF('Calc base'!H$14=0,0,MIN(AA388,MAX(0,$E388-SUMPRODUCT($V388:$AG388,'Calc base'!$C$14:$N$14,('Calc base'!$H388:$S388&gt;'Calc base'!M388)+('Calc base'!$H388:$S388='Calc base'!M388)*('Calc base'!$C$17:$N$17&lt;'Calc base'!H$17)))))</f>
        <v>0</v>
      </c>
      <c r="AN388">
        <f>IF('Calc base'!I$14=0,0,MIN(AB388,MAX(0,$E388-SUMPRODUCT($V388:$AG388,'Calc base'!$C$14:$N$14,('Calc base'!$H388:$S388&gt;'Calc base'!N388)+('Calc base'!$H388:$S388='Calc base'!N388)*('Calc base'!$C$17:$N$17&lt;'Calc base'!I$17)))))</f>
        <v>0</v>
      </c>
      <c r="AO388">
        <f>IF('Calc base'!J$14=0,0,MIN(AC388,MAX(0,$E388-SUMPRODUCT($V388:$AG388,'Calc base'!$C$14:$N$14,('Calc base'!$H388:$S388&gt;'Calc base'!O388)+('Calc base'!$H388:$S388='Calc base'!O388)*('Calc base'!$C$17:$N$17&lt;'Calc base'!J$17)))))</f>
        <v>0</v>
      </c>
      <c r="AP388">
        <f>IF('Calc base'!K$14=0,0,MIN(AD388,MAX(0,$E388-SUMPRODUCT($V388:$AG388,'Calc base'!$C$14:$N$14,('Calc base'!$H388:$S388&gt;'Calc base'!P388)+('Calc base'!$H388:$S388='Calc base'!P388)*('Calc base'!$C$17:$N$17&lt;'Calc base'!K$17)))))</f>
        <v>0</v>
      </c>
      <c r="AQ388">
        <f>IF('Calc base'!L$14=0,0,MIN(AE388,MAX(0,$E388-SUMPRODUCT($V388:$AG388,'Calc base'!$C$14:$N$14,('Calc base'!$H388:$S388&gt;'Calc base'!Q388)+('Calc base'!$H388:$S388='Calc base'!Q388)*('Calc base'!$C$17:$N$17&lt;'Calc base'!L$17)))))</f>
        <v>0</v>
      </c>
      <c r="AR388">
        <f>IF('Calc base'!M$14=0,0,MIN(AF388,MAX(0,$E388-SUMPRODUCT($V388:$AG388,'Calc base'!$C$14:$N$14,('Calc base'!$H388:$S388&gt;'Calc base'!R388)+('Calc base'!$H388:$S388='Calc base'!R388)*('Calc base'!$C$17:$N$17&lt;'Calc base'!M$17)))))</f>
        <v>0</v>
      </c>
      <c r="AS388">
        <f>IF('Calc base'!N$14=0,0,MIN(AG388,MAX(0,$E388-SUMPRODUCT($V388:$AG388,'Calc base'!$C$14:$N$14,('Calc base'!$H388:$S388&gt;'Calc base'!S388)+('Calc base'!$H388:$S388='Calc base'!S388)*('Calc base'!$C$17:$N$17&lt;'Calc base'!N$17)))))</f>
        <v>0</v>
      </c>
      <c r="AT388">
        <f>V388-AH388</f>
        <v>0</v>
      </c>
      <c r="AU388">
        <f>W388-AI388</f>
        <v>0</v>
      </c>
      <c r="AV388">
        <f>X388-AJ388</f>
        <v>0</v>
      </c>
      <c r="AW388">
        <f>Y388-AK388</f>
        <v>0</v>
      </c>
      <c r="AX388">
        <f>Z388-AL388</f>
        <v>0</v>
      </c>
      <c r="AY388">
        <f>AA388-AM388</f>
        <v>0</v>
      </c>
      <c r="AZ388">
        <f>AB388-AN388</f>
        <v>0</v>
      </c>
      <c r="BA388">
        <f>AC388-AO388</f>
        <v>0</v>
      </c>
      <c r="BB388">
        <f>AD388-AP388</f>
        <v>0</v>
      </c>
      <c r="BC388">
        <f>AE388-AQ388</f>
        <v>0</v>
      </c>
      <c r="BD388">
        <f>AF388-AR388</f>
        <v>0</v>
      </c>
      <c r="BE388">
        <f>AG388-AS388</f>
        <v>0</v>
      </c>
    </row>
    <row r="389">
      <c r="A389" t="n">
        <v>359</v>
      </c>
      <c r="B389">
        <f>SUMPRODUCT(ROUND($AT388:$BE388*(1+'Calc base'!$H389:$S389),2))</f>
        <v>0</v>
      </c>
      <c r="C389">
        <f>SUM(J389:U389)</f>
        <v>0</v>
      </c>
      <c r="D389">
        <f>SUM(V389:AG389)</f>
        <v>0</v>
      </c>
      <c r="E389">
        <f>MAX(0,IF(Impostazioni!$B$7="No",'Calc base'!$C389-$C$31,'Calc base'!$C389-C389)+'Calc base'!$G389+'Calc base'!$F389-(B389-C389-D389))</f>
        <v>900</v>
      </c>
      <c r="F389">
        <f>SUM(AH389:AS389)</f>
        <v>0</v>
      </c>
      <c r="G389">
        <f>SUM(AT389:BE389)</f>
        <v>0</v>
      </c>
      <c r="H389">
        <f>B389-G388</f>
        <v>0</v>
      </c>
      <c r="I389">
        <f>B389-G389</f>
        <v>0</v>
      </c>
      <c r="J389">
        <f>IF(AT388&lt;=0,0,IF(ROUND(AT388*(1+'Calc base'!H389),2)-MAX('Calc base'!C$12,ROUND('Calc base'!C$13*AT388,2))&lt;1,ROUND(AT388*(1+'Calc base'!H389),2),MAX('Calc base'!C$12,ROUND('Calc base'!C$13*AT388,2))))</f>
        <v>0</v>
      </c>
      <c r="K389">
        <f>IF(AU388&lt;=0,0,IF(ROUND(AU388*(1+'Calc base'!I389),2)-MAX('Calc base'!D$12,ROUND('Calc base'!D$13*AU388,2))&lt;1,ROUND(AU388*(1+'Calc base'!I389),2),MAX('Calc base'!D$12,ROUND('Calc base'!D$13*AU388,2))))</f>
        <v>0</v>
      </c>
      <c r="L389">
        <f>IF(AV388&lt;=0,0,IF(ROUND(AV388*(1+'Calc base'!J389),2)-MAX('Calc base'!E$12,ROUND('Calc base'!E$13*AV388,2))&lt;1,ROUND(AV388*(1+'Calc base'!J389),2),MAX('Calc base'!E$12,ROUND('Calc base'!E$13*AV388,2))))</f>
        <v>0</v>
      </c>
      <c r="M389">
        <f>IF(AW388&lt;=0,0,IF(ROUND(AW388*(1+'Calc base'!K389),2)-MAX('Calc base'!F$12,ROUND('Calc base'!F$13*AW388,2))&lt;1,ROUND(AW388*(1+'Calc base'!K389),2),MAX('Calc base'!F$12,ROUND('Calc base'!F$13*AW388,2))))</f>
        <v>0</v>
      </c>
      <c r="N389">
        <f>IF(AX388&lt;=0,0,IF(ROUND(AX388*(1+'Calc base'!L389),2)-MAX('Calc base'!G$12,ROUND('Calc base'!G$13*AX388,2))&lt;1,ROUND(AX388*(1+'Calc base'!L389),2),MAX('Calc base'!G$12,ROUND('Calc base'!G$13*AX388,2))))</f>
        <v>0</v>
      </c>
      <c r="O389">
        <f>IF(AY388&lt;=0,0,IF(ROUND(AY388*(1+'Calc base'!M389),2)-MAX('Calc base'!H$12,ROUND('Calc base'!H$13*AY388,2))&lt;1,ROUND(AY388*(1+'Calc base'!M389),2),MAX('Calc base'!H$12,ROUND('Calc base'!H$13*AY388,2))))</f>
        <v>0</v>
      </c>
      <c r="P389">
        <f>IF(AZ388&lt;=0,0,IF(ROUND(AZ388*(1+'Calc base'!N389),2)-MAX('Calc base'!I$12,ROUND('Calc base'!I$13*AZ388,2))&lt;1,ROUND(AZ388*(1+'Calc base'!N389),2),MAX('Calc base'!I$12,ROUND('Calc base'!I$13*AZ388,2))))</f>
        <v>0</v>
      </c>
      <c r="Q389">
        <f>IF(BA388&lt;=0,0,IF(ROUND(BA388*(1+'Calc base'!O389),2)-MAX('Calc base'!J$12,ROUND('Calc base'!J$13*BA388,2))&lt;1,ROUND(BA388*(1+'Calc base'!O389),2),MAX('Calc base'!J$12,ROUND('Calc base'!J$13*BA388,2))))</f>
        <v>0</v>
      </c>
      <c r="R389">
        <f>IF(BB388&lt;=0,0,IF(ROUND(BB388*(1+'Calc base'!P389),2)-MAX('Calc base'!K$12,ROUND('Calc base'!K$13*BB388,2))&lt;1,ROUND(BB388*(1+'Calc base'!P389),2),MAX('Calc base'!K$12,ROUND('Calc base'!K$13*BB388,2))))</f>
        <v>0</v>
      </c>
      <c r="S389">
        <f>IF(BC388&lt;=0,0,IF(ROUND(BC388*(1+'Calc base'!Q389),2)-MAX('Calc base'!L$12,ROUND('Calc base'!L$13*BC388,2))&lt;1,ROUND(BC388*(1+'Calc base'!Q389),2),MAX('Calc base'!L$12,ROUND('Calc base'!L$13*BC388,2))))</f>
        <v>0</v>
      </c>
      <c r="T389">
        <f>IF(BD388&lt;=0,0,IF(ROUND(BD388*(1+'Calc base'!R389),2)-MAX('Calc base'!M$12,ROUND('Calc base'!M$13*BD388,2))&lt;1,ROUND(BD388*(1+'Calc base'!R389),2),MAX('Calc base'!M$12,ROUND('Calc base'!M$13*BD388,2))))</f>
        <v>0</v>
      </c>
      <c r="U389">
        <f>IF(BE388&lt;=0,0,IF(ROUND(BE388*(1+'Calc base'!S389),2)-MAX('Calc base'!N$12,ROUND('Calc base'!N$13*BE388,2))&lt;1,ROUND(BE388*(1+'Calc base'!S389),2),MAX('Calc base'!N$12,ROUND('Calc base'!N$13*BE388,2))))</f>
        <v>0</v>
      </c>
      <c r="V389">
        <f>MAX(0,ROUND(AT388*(1+'Calc base'!H389),2)-J389-'Calc base'!T389)</f>
        <v>0</v>
      </c>
      <c r="W389">
        <f>MAX(0,ROUND(AU388*(1+'Calc base'!I389),2)-K389-'Calc base'!U389)</f>
        <v>0</v>
      </c>
      <c r="X389">
        <f>MAX(0,ROUND(AV388*(1+'Calc base'!J389),2)-L389-'Calc base'!V389)</f>
        <v>0</v>
      </c>
      <c r="Y389">
        <f>MAX(0,ROUND(AW388*(1+'Calc base'!K389),2)-M389-'Calc base'!W389)</f>
        <v>0</v>
      </c>
      <c r="Z389">
        <f>MAX(0,ROUND(AX388*(1+'Calc base'!L389),2)-N389-'Calc base'!X389)</f>
        <v>0</v>
      </c>
      <c r="AA389">
        <f>MAX(0,ROUND(AY388*(1+'Calc base'!M389),2)-O389-'Calc base'!Y389)</f>
        <v>0</v>
      </c>
      <c r="AB389">
        <f>MAX(0,ROUND(AZ388*(1+'Calc base'!N389),2)-P389-'Calc base'!Z389)</f>
        <v>0</v>
      </c>
      <c r="AC389">
        <f>MAX(0,ROUND(BA388*(1+'Calc base'!O389),2)-Q389-'Calc base'!AA389)</f>
        <v>0</v>
      </c>
      <c r="AD389">
        <f>MAX(0,ROUND(BB388*(1+'Calc base'!P389),2)-R389-'Calc base'!AB389)</f>
        <v>0</v>
      </c>
      <c r="AE389">
        <f>MAX(0,ROUND(BC388*(1+'Calc base'!Q389),2)-S389-'Calc base'!AC389)</f>
        <v>0</v>
      </c>
      <c r="AF389">
        <f>MAX(0,ROUND(BD388*(1+'Calc base'!R389),2)-T389-'Calc base'!AD389)</f>
        <v>0</v>
      </c>
      <c r="AG389">
        <f>MAX(0,ROUND(BE388*(1+'Calc base'!S389),2)-U389-'Calc base'!AE389)</f>
        <v>0</v>
      </c>
      <c r="AH389">
        <f>IF('Calc base'!C$14=0,0,MIN(V389,MAX(0,$E389-SUMPRODUCT($V389:$AG389,'Calc base'!$C$14:$N$14,('Calc base'!$H389:$S389&gt;'Calc base'!H389)+('Calc base'!$H389:$S389='Calc base'!H389)*('Calc base'!$C$17:$N$17&lt;'Calc base'!C$17)))))</f>
        <v>0</v>
      </c>
      <c r="AI389">
        <f>IF('Calc base'!D$14=0,0,MIN(W389,MAX(0,$E389-SUMPRODUCT($V389:$AG389,'Calc base'!$C$14:$N$14,('Calc base'!$H389:$S389&gt;'Calc base'!I389)+('Calc base'!$H389:$S389='Calc base'!I389)*('Calc base'!$C$17:$N$17&lt;'Calc base'!D$17)))))</f>
        <v>0</v>
      </c>
      <c r="AJ389">
        <f>IF('Calc base'!E$14=0,0,MIN(X389,MAX(0,$E389-SUMPRODUCT($V389:$AG389,'Calc base'!$C$14:$N$14,('Calc base'!$H389:$S389&gt;'Calc base'!J389)+('Calc base'!$H389:$S389='Calc base'!J389)*('Calc base'!$C$17:$N$17&lt;'Calc base'!E$17)))))</f>
        <v>0</v>
      </c>
      <c r="AK389">
        <f>IF('Calc base'!F$14=0,0,MIN(Y389,MAX(0,$E389-SUMPRODUCT($V389:$AG389,'Calc base'!$C$14:$N$14,('Calc base'!$H389:$S389&gt;'Calc base'!K389)+('Calc base'!$H389:$S389='Calc base'!K389)*('Calc base'!$C$17:$N$17&lt;'Calc base'!F$17)))))</f>
        <v>0</v>
      </c>
      <c r="AL389">
        <f>IF('Calc base'!G$14=0,0,MIN(Z389,MAX(0,$E389-SUMPRODUCT($V389:$AG389,'Calc base'!$C$14:$N$14,('Calc base'!$H389:$S389&gt;'Calc base'!L389)+('Calc base'!$H389:$S389='Calc base'!L389)*('Calc base'!$C$17:$N$17&lt;'Calc base'!G$17)))))</f>
        <v>0</v>
      </c>
      <c r="AM389">
        <f>IF('Calc base'!H$14=0,0,MIN(AA389,MAX(0,$E389-SUMPRODUCT($V389:$AG389,'Calc base'!$C$14:$N$14,('Calc base'!$H389:$S389&gt;'Calc base'!M389)+('Calc base'!$H389:$S389='Calc base'!M389)*('Calc base'!$C$17:$N$17&lt;'Calc base'!H$17)))))</f>
        <v>0</v>
      </c>
      <c r="AN389">
        <f>IF('Calc base'!I$14=0,0,MIN(AB389,MAX(0,$E389-SUMPRODUCT($V389:$AG389,'Calc base'!$C$14:$N$14,('Calc base'!$H389:$S389&gt;'Calc base'!N389)+('Calc base'!$H389:$S389='Calc base'!N389)*('Calc base'!$C$17:$N$17&lt;'Calc base'!I$17)))))</f>
        <v>0</v>
      </c>
      <c r="AO389">
        <f>IF('Calc base'!J$14=0,0,MIN(AC389,MAX(0,$E389-SUMPRODUCT($V389:$AG389,'Calc base'!$C$14:$N$14,('Calc base'!$H389:$S389&gt;'Calc base'!O389)+('Calc base'!$H389:$S389='Calc base'!O389)*('Calc base'!$C$17:$N$17&lt;'Calc base'!J$17)))))</f>
        <v>0</v>
      </c>
      <c r="AP389">
        <f>IF('Calc base'!K$14=0,0,MIN(AD389,MAX(0,$E389-SUMPRODUCT($V389:$AG389,'Calc base'!$C$14:$N$14,('Calc base'!$H389:$S389&gt;'Calc base'!P389)+('Calc base'!$H389:$S389='Calc base'!P389)*('Calc base'!$C$17:$N$17&lt;'Calc base'!K$17)))))</f>
        <v>0</v>
      </c>
      <c r="AQ389">
        <f>IF('Calc base'!L$14=0,0,MIN(AE389,MAX(0,$E389-SUMPRODUCT($V389:$AG389,'Calc base'!$C$14:$N$14,('Calc base'!$H389:$S389&gt;'Calc base'!Q389)+('Calc base'!$H389:$S389='Calc base'!Q389)*('Calc base'!$C$17:$N$17&lt;'Calc base'!L$17)))))</f>
        <v>0</v>
      </c>
      <c r="AR389">
        <f>IF('Calc base'!M$14=0,0,MIN(AF389,MAX(0,$E389-SUMPRODUCT($V389:$AG389,'Calc base'!$C$14:$N$14,('Calc base'!$H389:$S389&gt;'Calc base'!R389)+('Calc base'!$H389:$S389='Calc base'!R389)*('Calc base'!$C$17:$N$17&lt;'Calc base'!M$17)))))</f>
        <v>0</v>
      </c>
      <c r="AS389">
        <f>IF('Calc base'!N$14=0,0,MIN(AG389,MAX(0,$E389-SUMPRODUCT($V389:$AG389,'Calc base'!$C$14:$N$14,('Calc base'!$H389:$S389&gt;'Calc base'!S389)+('Calc base'!$H389:$S389='Calc base'!S389)*('Calc base'!$C$17:$N$17&lt;'Calc base'!N$17)))))</f>
        <v>0</v>
      </c>
      <c r="AT389">
        <f>V389-AH389</f>
        <v>0</v>
      </c>
      <c r="AU389">
        <f>W389-AI389</f>
        <v>0</v>
      </c>
      <c r="AV389">
        <f>X389-AJ389</f>
        <v>0</v>
      </c>
      <c r="AW389">
        <f>Y389-AK389</f>
        <v>0</v>
      </c>
      <c r="AX389">
        <f>Z389-AL389</f>
        <v>0</v>
      </c>
      <c r="AY389">
        <f>AA389-AM389</f>
        <v>0</v>
      </c>
      <c r="AZ389">
        <f>AB389-AN389</f>
        <v>0</v>
      </c>
      <c r="BA389">
        <f>AC389-AO389</f>
        <v>0</v>
      </c>
      <c r="BB389">
        <f>AD389-AP389</f>
        <v>0</v>
      </c>
      <c r="BC389">
        <f>AE389-AQ389</f>
        <v>0</v>
      </c>
      <c r="BD389">
        <f>AF389-AR389</f>
        <v>0</v>
      </c>
      <c r="BE389">
        <f>AG389-AS389</f>
        <v>0</v>
      </c>
    </row>
    <row r="390">
      <c r="A390" t="n">
        <v>360</v>
      </c>
      <c r="B390">
        <f>SUMPRODUCT(ROUND($AT389:$BE389*(1+'Calc base'!$H390:$S390),2))</f>
        <v>0</v>
      </c>
      <c r="C390">
        <f>SUM(J390:U390)</f>
        <v>0</v>
      </c>
      <c r="D390">
        <f>SUM(V390:AG390)</f>
        <v>0</v>
      </c>
      <c r="E390">
        <f>MAX(0,IF(Impostazioni!$B$7="No",'Calc base'!$C390-$C$31,'Calc base'!$C390-C390)+'Calc base'!$G390+'Calc base'!$F390-(B390-C390-D390))</f>
        <v>900</v>
      </c>
      <c r="F390">
        <f>SUM(AH390:AS390)</f>
        <v>0</v>
      </c>
      <c r="G390">
        <f>SUM(AT390:BE390)</f>
        <v>0</v>
      </c>
      <c r="H390">
        <f>B390-G389</f>
        <v>0</v>
      </c>
      <c r="I390">
        <f>B390-G390</f>
        <v>0</v>
      </c>
      <c r="J390">
        <f>IF(AT389&lt;=0,0,IF(ROUND(AT389*(1+'Calc base'!H390),2)-MAX('Calc base'!C$12,ROUND('Calc base'!C$13*AT389,2))&lt;1,ROUND(AT389*(1+'Calc base'!H390),2),MAX('Calc base'!C$12,ROUND('Calc base'!C$13*AT389,2))))</f>
        <v>0</v>
      </c>
      <c r="K390">
        <f>IF(AU389&lt;=0,0,IF(ROUND(AU389*(1+'Calc base'!I390),2)-MAX('Calc base'!D$12,ROUND('Calc base'!D$13*AU389,2))&lt;1,ROUND(AU389*(1+'Calc base'!I390),2),MAX('Calc base'!D$12,ROUND('Calc base'!D$13*AU389,2))))</f>
        <v>0</v>
      </c>
      <c r="L390">
        <f>IF(AV389&lt;=0,0,IF(ROUND(AV389*(1+'Calc base'!J390),2)-MAX('Calc base'!E$12,ROUND('Calc base'!E$13*AV389,2))&lt;1,ROUND(AV389*(1+'Calc base'!J390),2),MAX('Calc base'!E$12,ROUND('Calc base'!E$13*AV389,2))))</f>
        <v>0</v>
      </c>
      <c r="M390">
        <f>IF(AW389&lt;=0,0,IF(ROUND(AW389*(1+'Calc base'!K390),2)-MAX('Calc base'!F$12,ROUND('Calc base'!F$13*AW389,2))&lt;1,ROUND(AW389*(1+'Calc base'!K390),2),MAX('Calc base'!F$12,ROUND('Calc base'!F$13*AW389,2))))</f>
        <v>0</v>
      </c>
      <c r="N390">
        <f>IF(AX389&lt;=0,0,IF(ROUND(AX389*(1+'Calc base'!L390),2)-MAX('Calc base'!G$12,ROUND('Calc base'!G$13*AX389,2))&lt;1,ROUND(AX389*(1+'Calc base'!L390),2),MAX('Calc base'!G$12,ROUND('Calc base'!G$13*AX389,2))))</f>
        <v>0</v>
      </c>
      <c r="O390">
        <f>IF(AY389&lt;=0,0,IF(ROUND(AY389*(1+'Calc base'!M390),2)-MAX('Calc base'!H$12,ROUND('Calc base'!H$13*AY389,2))&lt;1,ROUND(AY389*(1+'Calc base'!M390),2),MAX('Calc base'!H$12,ROUND('Calc base'!H$13*AY389,2))))</f>
        <v>0</v>
      </c>
      <c r="P390">
        <f>IF(AZ389&lt;=0,0,IF(ROUND(AZ389*(1+'Calc base'!N390),2)-MAX('Calc base'!I$12,ROUND('Calc base'!I$13*AZ389,2))&lt;1,ROUND(AZ389*(1+'Calc base'!N390),2),MAX('Calc base'!I$12,ROUND('Calc base'!I$13*AZ389,2))))</f>
        <v>0</v>
      </c>
      <c r="Q390">
        <f>IF(BA389&lt;=0,0,IF(ROUND(BA389*(1+'Calc base'!O390),2)-MAX('Calc base'!J$12,ROUND('Calc base'!J$13*BA389,2))&lt;1,ROUND(BA389*(1+'Calc base'!O390),2),MAX('Calc base'!J$12,ROUND('Calc base'!J$13*BA389,2))))</f>
        <v>0</v>
      </c>
      <c r="R390">
        <f>IF(BB389&lt;=0,0,IF(ROUND(BB389*(1+'Calc base'!P390),2)-MAX('Calc base'!K$12,ROUND('Calc base'!K$13*BB389,2))&lt;1,ROUND(BB389*(1+'Calc base'!P390),2),MAX('Calc base'!K$12,ROUND('Calc base'!K$13*BB389,2))))</f>
        <v>0</v>
      </c>
      <c r="S390">
        <f>IF(BC389&lt;=0,0,IF(ROUND(BC389*(1+'Calc base'!Q390),2)-MAX('Calc base'!L$12,ROUND('Calc base'!L$13*BC389,2))&lt;1,ROUND(BC389*(1+'Calc base'!Q390),2),MAX('Calc base'!L$12,ROUND('Calc base'!L$13*BC389,2))))</f>
        <v>0</v>
      </c>
      <c r="T390">
        <f>IF(BD389&lt;=0,0,IF(ROUND(BD389*(1+'Calc base'!R390),2)-MAX('Calc base'!M$12,ROUND('Calc base'!M$13*BD389,2))&lt;1,ROUND(BD389*(1+'Calc base'!R390),2),MAX('Calc base'!M$12,ROUND('Calc base'!M$13*BD389,2))))</f>
        <v>0</v>
      </c>
      <c r="U390">
        <f>IF(BE389&lt;=0,0,IF(ROUND(BE389*(1+'Calc base'!S390),2)-MAX('Calc base'!N$12,ROUND('Calc base'!N$13*BE389,2))&lt;1,ROUND(BE389*(1+'Calc base'!S390),2),MAX('Calc base'!N$12,ROUND('Calc base'!N$13*BE389,2))))</f>
        <v>0</v>
      </c>
      <c r="V390">
        <f>MAX(0,ROUND(AT389*(1+'Calc base'!H390),2)-J390-'Calc base'!T390)</f>
        <v>0</v>
      </c>
      <c r="W390">
        <f>MAX(0,ROUND(AU389*(1+'Calc base'!I390),2)-K390-'Calc base'!U390)</f>
        <v>0</v>
      </c>
      <c r="X390">
        <f>MAX(0,ROUND(AV389*(1+'Calc base'!J390),2)-L390-'Calc base'!V390)</f>
        <v>0</v>
      </c>
      <c r="Y390">
        <f>MAX(0,ROUND(AW389*(1+'Calc base'!K390),2)-M390-'Calc base'!W390)</f>
        <v>0</v>
      </c>
      <c r="Z390">
        <f>MAX(0,ROUND(AX389*(1+'Calc base'!L390),2)-N390-'Calc base'!X390)</f>
        <v>0</v>
      </c>
      <c r="AA390">
        <f>MAX(0,ROUND(AY389*(1+'Calc base'!M390),2)-O390-'Calc base'!Y390)</f>
        <v>0</v>
      </c>
      <c r="AB390">
        <f>MAX(0,ROUND(AZ389*(1+'Calc base'!N390),2)-P390-'Calc base'!Z390)</f>
        <v>0</v>
      </c>
      <c r="AC390">
        <f>MAX(0,ROUND(BA389*(1+'Calc base'!O390),2)-Q390-'Calc base'!AA390)</f>
        <v>0</v>
      </c>
      <c r="AD390">
        <f>MAX(0,ROUND(BB389*(1+'Calc base'!P390),2)-R390-'Calc base'!AB390)</f>
        <v>0</v>
      </c>
      <c r="AE390">
        <f>MAX(0,ROUND(BC389*(1+'Calc base'!Q390),2)-S390-'Calc base'!AC390)</f>
        <v>0</v>
      </c>
      <c r="AF390">
        <f>MAX(0,ROUND(BD389*(1+'Calc base'!R390),2)-T390-'Calc base'!AD390)</f>
        <v>0</v>
      </c>
      <c r="AG390">
        <f>MAX(0,ROUND(BE389*(1+'Calc base'!S390),2)-U390-'Calc base'!AE390)</f>
        <v>0</v>
      </c>
      <c r="AH390">
        <f>IF('Calc base'!C$14=0,0,MIN(V390,MAX(0,$E390-SUMPRODUCT($V390:$AG390,'Calc base'!$C$14:$N$14,('Calc base'!$H390:$S390&gt;'Calc base'!H390)+('Calc base'!$H390:$S390='Calc base'!H390)*('Calc base'!$C$17:$N$17&lt;'Calc base'!C$17)))))</f>
        <v>0</v>
      </c>
      <c r="AI390">
        <f>IF('Calc base'!D$14=0,0,MIN(W390,MAX(0,$E390-SUMPRODUCT($V390:$AG390,'Calc base'!$C$14:$N$14,('Calc base'!$H390:$S390&gt;'Calc base'!I390)+('Calc base'!$H390:$S390='Calc base'!I390)*('Calc base'!$C$17:$N$17&lt;'Calc base'!D$17)))))</f>
        <v>0</v>
      </c>
      <c r="AJ390">
        <f>IF('Calc base'!E$14=0,0,MIN(X390,MAX(0,$E390-SUMPRODUCT($V390:$AG390,'Calc base'!$C$14:$N$14,('Calc base'!$H390:$S390&gt;'Calc base'!J390)+('Calc base'!$H390:$S390='Calc base'!J390)*('Calc base'!$C$17:$N$17&lt;'Calc base'!E$17)))))</f>
        <v>0</v>
      </c>
      <c r="AK390">
        <f>IF('Calc base'!F$14=0,0,MIN(Y390,MAX(0,$E390-SUMPRODUCT($V390:$AG390,'Calc base'!$C$14:$N$14,('Calc base'!$H390:$S390&gt;'Calc base'!K390)+('Calc base'!$H390:$S390='Calc base'!K390)*('Calc base'!$C$17:$N$17&lt;'Calc base'!F$17)))))</f>
        <v>0</v>
      </c>
      <c r="AL390">
        <f>IF('Calc base'!G$14=0,0,MIN(Z390,MAX(0,$E390-SUMPRODUCT($V390:$AG390,'Calc base'!$C$14:$N$14,('Calc base'!$H390:$S390&gt;'Calc base'!L390)+('Calc base'!$H390:$S390='Calc base'!L390)*('Calc base'!$C$17:$N$17&lt;'Calc base'!G$17)))))</f>
        <v>0</v>
      </c>
      <c r="AM390">
        <f>IF('Calc base'!H$14=0,0,MIN(AA390,MAX(0,$E390-SUMPRODUCT($V390:$AG390,'Calc base'!$C$14:$N$14,('Calc base'!$H390:$S390&gt;'Calc base'!M390)+('Calc base'!$H390:$S390='Calc base'!M390)*('Calc base'!$C$17:$N$17&lt;'Calc base'!H$17)))))</f>
        <v>0</v>
      </c>
      <c r="AN390">
        <f>IF('Calc base'!I$14=0,0,MIN(AB390,MAX(0,$E390-SUMPRODUCT($V390:$AG390,'Calc base'!$C$14:$N$14,('Calc base'!$H390:$S390&gt;'Calc base'!N390)+('Calc base'!$H390:$S390='Calc base'!N390)*('Calc base'!$C$17:$N$17&lt;'Calc base'!I$17)))))</f>
        <v>0</v>
      </c>
      <c r="AO390">
        <f>IF('Calc base'!J$14=0,0,MIN(AC390,MAX(0,$E390-SUMPRODUCT($V390:$AG390,'Calc base'!$C$14:$N$14,('Calc base'!$H390:$S390&gt;'Calc base'!O390)+('Calc base'!$H390:$S390='Calc base'!O390)*('Calc base'!$C$17:$N$17&lt;'Calc base'!J$17)))))</f>
        <v>0</v>
      </c>
      <c r="AP390">
        <f>IF('Calc base'!K$14=0,0,MIN(AD390,MAX(0,$E390-SUMPRODUCT($V390:$AG390,'Calc base'!$C$14:$N$14,('Calc base'!$H390:$S390&gt;'Calc base'!P390)+('Calc base'!$H390:$S390='Calc base'!P390)*('Calc base'!$C$17:$N$17&lt;'Calc base'!K$17)))))</f>
        <v>0</v>
      </c>
      <c r="AQ390">
        <f>IF('Calc base'!L$14=0,0,MIN(AE390,MAX(0,$E390-SUMPRODUCT($V390:$AG390,'Calc base'!$C$14:$N$14,('Calc base'!$H390:$S390&gt;'Calc base'!Q390)+('Calc base'!$H390:$S390='Calc base'!Q390)*('Calc base'!$C$17:$N$17&lt;'Calc base'!L$17)))))</f>
        <v>0</v>
      </c>
      <c r="AR390">
        <f>IF('Calc base'!M$14=0,0,MIN(AF390,MAX(0,$E390-SUMPRODUCT($V390:$AG390,'Calc base'!$C$14:$N$14,('Calc base'!$H390:$S390&gt;'Calc base'!R390)+('Calc base'!$H390:$S390='Calc base'!R390)*('Calc base'!$C$17:$N$17&lt;'Calc base'!M$17)))))</f>
        <v>0</v>
      </c>
      <c r="AS390">
        <f>IF('Calc base'!N$14=0,0,MIN(AG390,MAX(0,$E390-SUMPRODUCT($V390:$AG390,'Calc base'!$C$14:$N$14,('Calc base'!$H390:$S390&gt;'Calc base'!S390)+('Calc base'!$H390:$S390='Calc base'!S390)*('Calc base'!$C$17:$N$17&lt;'Calc base'!N$17)))))</f>
        <v>0</v>
      </c>
      <c r="AT390">
        <f>V390-AH390</f>
        <v>0</v>
      </c>
      <c r="AU390">
        <f>W390-AI390</f>
        <v>0</v>
      </c>
      <c r="AV390">
        <f>X390-AJ390</f>
        <v>0</v>
      </c>
      <c r="AW390">
        <f>Y390-AK390</f>
        <v>0</v>
      </c>
      <c r="AX390">
        <f>Z390-AL390</f>
        <v>0</v>
      </c>
      <c r="AY390">
        <f>AA390-AM390</f>
        <v>0</v>
      </c>
      <c r="AZ390">
        <f>AB390-AN390</f>
        <v>0</v>
      </c>
      <c r="BA390">
        <f>AC390-AO390</f>
        <v>0</v>
      </c>
      <c r="BB390">
        <f>AD390-AP390</f>
        <v>0</v>
      </c>
      <c r="BC390">
        <f>AE390-AQ390</f>
        <v>0</v>
      </c>
      <c r="BD390">
        <f>AF390-AR390</f>
        <v>0</v>
      </c>
      <c r="BE390">
        <f>AG390-AS390</f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E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Strategia a palla di neve</t>
        </is>
      </c>
    </row>
    <row r="2">
      <c r="A2" t="inlineStr">
        <is>
          <t>Mesi per finire</t>
        </is>
      </c>
      <c r="B2">
        <f>MAX(AT3:BE3)</f>
        <v>25</v>
      </c>
    </row>
    <row r="3">
      <c r="A3" t="inlineStr">
        <is>
          <t>Interessi totali</t>
        </is>
      </c>
      <c r="B3">
        <f>SUM(H31:H390)</f>
        <v>1911.69</v>
      </c>
      <c r="AT3">
        <f>IF('Calc base'!C$8&lt;=0,0,IF(COUNTIF(AT31:AT390,"&gt;0.004")&gt;=360,9999,COUNTIF(AT31:AT390,"&gt;0.004")+1))</f>
        <v>13</v>
      </c>
      <c r="AU3">
        <f>IF('Calc base'!D$8&lt;=0,0,IF(COUNTIF(AU31:AU390,"&gt;0.004")&gt;=360,9999,COUNTIF(AU31:AU390,"&gt;0.004")+1))</f>
        <v>5</v>
      </c>
      <c r="AV3">
        <f>IF('Calc base'!E$8&lt;=0,0,IF(COUNTIF(AV31:AV390,"&gt;0.004")&gt;=360,9999,COUNTIF(AV31:AV390,"&gt;0.004")+1))</f>
        <v>20</v>
      </c>
      <c r="AW3">
        <f>IF('Calc base'!F$8&lt;=0,0,IF(COUNTIF(AW31:AW390,"&gt;0.004")&gt;=360,9999,COUNTIF(AW31:AW390,"&gt;0.004")+1))</f>
        <v>25</v>
      </c>
      <c r="AX3">
        <f>IF('Calc base'!G$8&lt;=0,0,IF(COUNTIF(AX31:AX390,"&gt;0.004")&gt;=360,9999,COUNTIF(AX31:AX390,"&gt;0.004")+1))</f>
        <v>2</v>
      </c>
      <c r="AY3">
        <f>IF('Calc base'!H$8&lt;=0,0,IF(COUNTIF(AY31:AY390,"&gt;0.004")&gt;=360,9999,COUNTIF(AY31:AY390,"&gt;0.004")+1))</f>
        <v>8</v>
      </c>
      <c r="AZ3">
        <f>IF('Calc base'!I$8&lt;=0,0,IF(COUNTIF(AZ31:AZ390,"&gt;0.004")&gt;=360,9999,COUNTIF(AZ31:AZ390,"&gt;0.004")+1))</f>
        <v>0</v>
      </c>
      <c r="BA3">
        <f>IF('Calc base'!J$8&lt;=0,0,IF(COUNTIF(BA31:BA390,"&gt;0.004")&gt;=360,9999,COUNTIF(BA31:BA390,"&gt;0.004")+1))</f>
        <v>0</v>
      </c>
      <c r="BB3">
        <f>IF('Calc base'!K$8&lt;=0,0,IF(COUNTIF(BB31:BB390,"&gt;0.004")&gt;=360,9999,COUNTIF(BB31:BB390,"&gt;0.004")+1))</f>
        <v>0</v>
      </c>
      <c r="BC3">
        <f>IF('Calc base'!L$8&lt;=0,0,IF(COUNTIF(BC31:BC390,"&gt;0.004")&gt;=360,9999,COUNTIF(BC31:BC390,"&gt;0.004")+1))</f>
        <v>0</v>
      </c>
      <c r="BD3">
        <f>IF('Calc base'!M$8&lt;=0,0,IF(COUNTIF(BD31:BD390,"&gt;0.004")&gt;=360,9999,COUNTIF(BD31:BD390,"&gt;0.004")+1))</f>
        <v>0</v>
      </c>
      <c r="BE3">
        <f>IF('Calc base'!N$8&lt;=0,0,IF(COUNTIF(BE31:BE390,"&gt;0.004")&gt;=360,9999,COUNTIF(BE31:BE390,"&gt;0.004")+1))</f>
        <v>0</v>
      </c>
    </row>
    <row r="4">
      <c r="A4" t="inlineStr">
        <is>
          <t>Pagato in tutto</t>
        </is>
      </c>
      <c r="B4">
        <f>SUM(I31:I390)</f>
        <v>23501.69</v>
      </c>
      <c r="AT4">
        <f>SUMPRODUCT(ROUND(AT30:AT389*(1+'Calc base'!H31:H390),2)-AT30:AT389)</f>
        <v>366.01</v>
      </c>
      <c r="AU4">
        <f>SUMPRODUCT(ROUND(AU30:AU389*(1+'Calc base'!I31:I390),2)-AU30:AU389)</f>
        <v>0</v>
      </c>
      <c r="AV4">
        <f>SUMPRODUCT(ROUND(AV30:AV389*(1+'Calc base'!J31:J390),2)-AV30:AV389)</f>
        <v>686.8</v>
      </c>
      <c r="AW4">
        <f>SUMPRODUCT(ROUND(AW30:AW389*(1+'Calc base'!K31:K390),2)-AW30:AW389)</f>
        <v>858.88</v>
      </c>
      <c r="AX4">
        <f>SUMPRODUCT(ROUND(AX30:AX389*(1+'Calc base'!L31:L390),2)-AX30:AX389)</f>
        <v>0</v>
      </c>
      <c r="AY4">
        <f>SUMPRODUCT(ROUND(AY30:AY389*(1+'Calc base'!M31:M390),2)-AY30:AY389)</f>
        <v>0</v>
      </c>
      <c r="AZ4">
        <f>SUMPRODUCT(ROUND(AZ30:AZ389*(1+'Calc base'!N31:N390),2)-AZ30:AZ389)</f>
        <v>0</v>
      </c>
      <c r="BA4">
        <f>SUMPRODUCT(ROUND(BA30:BA389*(1+'Calc base'!O31:O390),2)-BA30:BA389)</f>
        <v>0</v>
      </c>
      <c r="BB4">
        <f>SUMPRODUCT(ROUND(BB30:BB389*(1+'Calc base'!P31:P390),2)-BB30:BB389)</f>
        <v>0</v>
      </c>
      <c r="BC4">
        <f>SUMPRODUCT(ROUND(BC30:BC389*(1+'Calc base'!Q31:Q390),2)-BC30:BC389)</f>
        <v>0</v>
      </c>
      <c r="BD4">
        <f>SUMPRODUCT(ROUND(BD30:BD389*(1+'Calc base'!R31:R390),2)-BD30:BD389)</f>
        <v>0</v>
      </c>
      <c r="BE4">
        <f>SUMPRODUCT(ROUND(BE30:BE389*(1+'Calc base'!S31:S390),2)-BE30:BE389)</f>
        <v>0</v>
      </c>
    </row>
    <row r="5">
      <c r="A5" t="inlineStr">
        <is>
          <t>Debito dopo 30 anni</t>
        </is>
      </c>
      <c r="B5">
        <f>G390</f>
        <v>0</v>
      </c>
      <c r="AT5">
        <f>'Calc base'!C$8+AT4-AT390</f>
        <v>2766.01</v>
      </c>
      <c r="AU5">
        <f>'Calc base'!D$8+AU4-AU390</f>
        <v>850</v>
      </c>
      <c r="AV5">
        <f>'Calc base'!E$8+AV4-AV390</f>
        <v>7486.8</v>
      </c>
      <c r="AW5">
        <f>'Calc base'!F$8+AW4-AW390</f>
        <v>10358.88</v>
      </c>
      <c r="AX5">
        <f>'Calc base'!G$8+AX4-AX390</f>
        <v>540</v>
      </c>
      <c r="AY5">
        <f>'Calc base'!H$8+AY4-AY390</f>
        <v>1500</v>
      </c>
      <c r="AZ5">
        <f>'Calc base'!I$8+AZ4-AZ390</f>
        <v>0</v>
      </c>
      <c r="BA5">
        <f>'Calc base'!J$8+BA4-BA390</f>
        <v>0</v>
      </c>
      <c r="BB5">
        <f>'Calc base'!K$8+BB4-BB390</f>
        <v>0</v>
      </c>
      <c r="BC5">
        <f>'Calc base'!L$8+BC4-BC390</f>
        <v>0</v>
      </c>
      <c r="BD5">
        <f>'Calc base'!M$8+BD4-BD390</f>
        <v>0</v>
      </c>
      <c r="BE5">
        <f>'Calc base'!N$8+BE4-BE390</f>
        <v>0</v>
      </c>
    </row>
    <row r="6">
      <c r="A6" t="inlineStr">
        <is>
          <t>Fine</t>
        </is>
      </c>
      <c r="B6">
        <f>IF(B2=0,"",IF(B2=9999,"oltre 30 anni",DATE('Calc base'!$B$2,'Calc base'!$B$3+B2-1,1)))</f>
        <v>47058.0</v>
      </c>
    </row>
    <row r="7">
      <c r="A7" t="inlineStr">
        <is>
          <t>Debito iniziale</t>
        </is>
      </c>
      <c r="B7">
        <f>G30</f>
        <v>21590</v>
      </c>
    </row>
    <row r="29">
      <c r="B29" t="inlineStr">
        <is>
          <t>ΣA</t>
        </is>
      </c>
      <c r="C29" t="inlineStr">
        <is>
          <t>Σ rate minime</t>
        </is>
      </c>
      <c r="D29" t="inlineStr">
        <is>
          <t>Σ resto</t>
        </is>
      </c>
      <c r="E29" t="inlineStr">
        <is>
          <t>Extra disponibile</t>
        </is>
      </c>
      <c r="F29" t="inlineStr">
        <is>
          <t>Σ extra</t>
        </is>
      </c>
      <c r="G29" t="inlineStr">
        <is>
          <t>Debito totale</t>
        </is>
      </c>
      <c r="H29" t="inlineStr">
        <is>
          <t>Interessi</t>
        </is>
      </c>
      <c r="I29" t="inlineStr">
        <is>
          <t>Pagato</t>
        </is>
      </c>
    </row>
    <row r="30">
      <c r="G30">
        <f>SUM(AT30:BE30)</f>
        <v>21590</v>
      </c>
      <c r="AT30">
        <f>'Calc base'!C$8</f>
        <v>2400</v>
      </c>
      <c r="AU30">
        <f>'Calc base'!D$8</f>
        <v>850</v>
      </c>
      <c r="AV30">
        <f>'Calc base'!E$8</f>
        <v>6800</v>
      </c>
      <c r="AW30">
        <f>'Calc base'!F$8</f>
        <v>9500</v>
      </c>
      <c r="AX30">
        <f>'Calc base'!G$8</f>
        <v>540</v>
      </c>
      <c r="AY30">
        <f>'Calc base'!H$8</f>
        <v>1500</v>
      </c>
      <c r="AZ30">
        <f>'Calc base'!I$8</f>
        <v>0</v>
      </c>
      <c r="BA30">
        <f>'Calc base'!J$8</f>
        <v>0</v>
      </c>
      <c r="BB30">
        <f>'Calc base'!K$8</f>
        <v>0</v>
      </c>
      <c r="BC30">
        <f>'Calc base'!L$8</f>
        <v>0</v>
      </c>
      <c r="BD30">
        <f>'Calc base'!M$8</f>
        <v>0</v>
      </c>
      <c r="BE30">
        <f>'Calc base'!N$8</f>
        <v>0</v>
      </c>
    </row>
    <row r="31">
      <c r="A31" t="n">
        <v>1</v>
      </c>
      <c r="B31">
        <f>SUMPRODUCT(ROUND($AT30:$BE30*(1+'Calc base'!$H31:$S31),2))</f>
        <v>21730.6</v>
      </c>
      <c r="C31">
        <f>SUM(J31:U31)</f>
        <v>676</v>
      </c>
      <c r="D31">
        <f>SUM(V31:AG31)</f>
        <v>21054.6</v>
      </c>
      <c r="E31">
        <f>MAX(0,IF(Impostazioni!$B$7="No",'Calc base'!$C31-$C$31,'Calc base'!$C31-C31)+'Calc base'!$G31+'Calc base'!$F31-(B31-C31-D31))</f>
        <v>124</v>
      </c>
      <c r="F31">
        <f>SUM(AH31:AS31)</f>
        <v>124</v>
      </c>
      <c r="G31">
        <f>SUM(AT31:BE31)</f>
        <v>20930.6</v>
      </c>
      <c r="H31">
        <f>B31-G30</f>
        <v>140.599999999999</v>
      </c>
      <c r="I31">
        <f>B31-G31</f>
        <v>800</v>
      </c>
      <c r="J31">
        <f>IF(AT30&lt;=0,0,IF(ROUND(AT30*(1+'Calc base'!H31),2)-MAX('Calc base'!C$12,ROUND('Calc base'!C$13*AT30,2))&lt;1,ROUND(AT30*(1+'Calc base'!H31),2),MAX('Calc base'!C$12,ROUND('Calc base'!C$13*AT30,2))))</f>
        <v>72</v>
      </c>
      <c r="K31">
        <f>IF(AU30&lt;=0,0,IF(ROUND(AU30*(1+'Calc base'!I31),2)-MAX('Calc base'!D$12,ROUND('Calc base'!D$13*AU30,2))&lt;1,ROUND(AU30*(1+'Calc base'!I31),2),MAX('Calc base'!D$12,ROUND('Calc base'!D$13*AU30,2))))</f>
        <v>34</v>
      </c>
      <c r="L31">
        <f>IF(AV30&lt;=0,0,IF(ROUND(AV30*(1+'Calc base'!J31),2)-MAX('Calc base'!E$12,ROUND('Calc base'!E$13*AV30,2))&lt;1,ROUND(AV30*(1+'Calc base'!J31),2),MAX('Calc base'!E$12,ROUND('Calc base'!E$13*AV30,2))))</f>
        <v>210</v>
      </c>
      <c r="M31">
        <f>IF(AW30&lt;=0,0,IF(ROUND(AW30*(1+'Calc base'!K31),2)-MAX('Calc base'!F$12,ROUND('Calc base'!F$13*AW30,2))&lt;1,ROUND(AW30*(1+'Calc base'!K31),2),MAX('Calc base'!F$12,ROUND('Calc base'!F$13*AW30,2))))</f>
        <v>265</v>
      </c>
      <c r="N31">
        <f>IF(AX30&lt;=0,0,IF(ROUND(AX30*(1+'Calc base'!L31),2)-MAX('Calc base'!G$12,ROUND('Calc base'!G$13*AX30,2))&lt;1,ROUND(AX30*(1+'Calc base'!L31),2),MAX('Calc base'!G$12,ROUND('Calc base'!G$13*AX30,2))))</f>
        <v>45</v>
      </c>
      <c r="O31">
        <f>IF(AY30&lt;=0,0,IF(ROUND(AY30*(1+'Calc base'!M31),2)-MAX('Calc base'!H$12,ROUND('Calc base'!H$13*AY30,2))&lt;1,ROUND(AY30*(1+'Calc base'!M31),2),MAX('Calc base'!H$12,ROUND('Calc base'!H$13*AY30,2))))</f>
        <v>50</v>
      </c>
      <c r="P31">
        <f>IF(AZ30&lt;=0,0,IF(ROUND(AZ30*(1+'Calc base'!N31),2)-MAX('Calc base'!I$12,ROUND('Calc base'!I$13*AZ30,2))&lt;1,ROUND(AZ30*(1+'Calc base'!N31),2),MAX('Calc base'!I$12,ROUND('Calc base'!I$13*AZ30,2))))</f>
        <v>0</v>
      </c>
      <c r="Q31">
        <f>IF(BA30&lt;=0,0,IF(ROUND(BA30*(1+'Calc base'!O31),2)-MAX('Calc base'!J$12,ROUND('Calc base'!J$13*BA30,2))&lt;1,ROUND(BA30*(1+'Calc base'!O31),2),MAX('Calc base'!J$12,ROUND('Calc base'!J$13*BA30,2))))</f>
        <v>0</v>
      </c>
      <c r="R31">
        <f>IF(BB30&lt;=0,0,IF(ROUND(BB30*(1+'Calc base'!P31),2)-MAX('Calc base'!K$12,ROUND('Calc base'!K$13*BB30,2))&lt;1,ROUND(BB30*(1+'Calc base'!P31),2),MAX('Calc base'!K$12,ROUND('Calc base'!K$13*BB30,2))))</f>
        <v>0</v>
      </c>
      <c r="S31">
        <f>IF(BC30&lt;=0,0,IF(ROUND(BC30*(1+'Calc base'!Q31),2)-MAX('Calc base'!L$12,ROUND('Calc base'!L$13*BC30,2))&lt;1,ROUND(BC30*(1+'Calc base'!Q31),2),MAX('Calc base'!L$12,ROUND('Calc base'!L$13*BC30,2))))</f>
        <v>0</v>
      </c>
      <c r="T31">
        <f>IF(BD30&lt;=0,0,IF(ROUND(BD30*(1+'Calc base'!R31),2)-MAX('Calc base'!M$12,ROUND('Calc base'!M$13*BD30,2))&lt;1,ROUND(BD30*(1+'Calc base'!R31),2),MAX('Calc base'!M$12,ROUND('Calc base'!M$13*BD30,2))))</f>
        <v>0</v>
      </c>
      <c r="U31">
        <f>IF(BE30&lt;=0,0,IF(ROUND(BE30*(1+'Calc base'!S31),2)-MAX('Calc base'!N$12,ROUND('Calc base'!N$13*BE30,2))&lt;1,ROUND(BE30*(1+'Calc base'!S31),2),MAX('Calc base'!N$12,ROUND('Calc base'!N$13*BE30,2))))</f>
        <v>0</v>
      </c>
      <c r="V31">
        <f>MAX(0,ROUND(AT30*(1+'Calc base'!H31),2)-J31-'Calc base'!T31)</f>
        <v>2365.8</v>
      </c>
      <c r="W31">
        <f>MAX(0,ROUND(AU30*(1+'Calc base'!I31),2)-K31-'Calc base'!U31)</f>
        <v>816</v>
      </c>
      <c r="X31">
        <f>MAX(0,ROUND(AV30*(1+'Calc base'!J31),2)-L31-'Calc base'!V31)</f>
        <v>6642.13</v>
      </c>
      <c r="Y31">
        <f>MAX(0,ROUND(AW30*(1+'Calc base'!K31),2)-M31-'Calc base'!W31)</f>
        <v>9285.67</v>
      </c>
      <c r="Z31">
        <f>MAX(0,ROUND(AX30*(1+'Calc base'!L31),2)-N31-'Calc base'!X31)</f>
        <v>495</v>
      </c>
      <c r="AA31">
        <f>MAX(0,ROUND(AY30*(1+'Calc base'!M31),2)-O31-'Calc base'!Y31)</f>
        <v>1450</v>
      </c>
      <c r="AB31">
        <f>MAX(0,ROUND(AZ30*(1+'Calc base'!N31),2)-P31-'Calc base'!Z31)</f>
        <v>0</v>
      </c>
      <c r="AC31">
        <f>MAX(0,ROUND(BA30*(1+'Calc base'!O31),2)-Q31-'Calc base'!AA31)</f>
        <v>0</v>
      </c>
      <c r="AD31">
        <f>MAX(0,ROUND(BB30*(1+'Calc base'!P31),2)-R31-'Calc base'!AB31)</f>
        <v>0</v>
      </c>
      <c r="AE31">
        <f>MAX(0,ROUND(BC30*(1+'Calc base'!Q31),2)-S31-'Calc base'!AC31)</f>
        <v>0</v>
      </c>
      <c r="AF31">
        <f>MAX(0,ROUND(BD30*(1+'Calc base'!R31),2)-T31-'Calc base'!AD31)</f>
        <v>0</v>
      </c>
      <c r="AG31">
        <f>MAX(0,ROUND(BE30*(1+'Calc base'!S31),2)-U31-'Calc base'!AE31)</f>
        <v>0</v>
      </c>
      <c r="AH31">
        <f>IF('Calc base'!C$14=0,0,MIN(V31,MAX(0,$E31-SUMIFS($V31:$AG31,'Calc base'!$C$17:$N$17,"&lt;"&amp;'Calc base'!C$17,'Calc base'!$C$14:$N$14,1))))</f>
        <v>0</v>
      </c>
      <c r="AI31">
        <f>IF('Calc base'!D$14=0,0,MIN(W31,MAX(0,$E31-SUMIFS($V31:$AG31,'Calc base'!$C$17:$N$17,"&lt;"&amp;'Calc base'!D$17,'Calc base'!$C$14:$N$14,1))))</f>
        <v>0</v>
      </c>
      <c r="AJ31">
        <f>IF('Calc base'!E$14=0,0,MIN(X31,MAX(0,$E31-SUMIFS($V31:$AG31,'Calc base'!$C$17:$N$17,"&lt;"&amp;'Calc base'!E$17,'Calc base'!$C$14:$N$14,1))))</f>
        <v>0</v>
      </c>
      <c r="AK31">
        <f>IF('Calc base'!F$14=0,0,MIN(Y31,MAX(0,$E31-SUMIFS($V31:$AG31,'Calc base'!$C$17:$N$17,"&lt;"&amp;'Calc base'!F$17,'Calc base'!$C$14:$N$14,1))))</f>
        <v>0</v>
      </c>
      <c r="AL31">
        <f>IF('Calc base'!G$14=0,0,MIN(Z31,MAX(0,$E31-SUMIFS($V31:$AG31,'Calc base'!$C$17:$N$17,"&lt;"&amp;'Calc base'!G$17,'Calc base'!$C$14:$N$14,1))))</f>
        <v>124</v>
      </c>
      <c r="AM31">
        <f>IF('Calc base'!H$14=0,0,MIN(AA31,MAX(0,$E31-SUMIFS($V31:$AG31,'Calc base'!$C$17:$N$17,"&lt;"&amp;'Calc base'!H$17,'Calc base'!$C$14:$N$14,1))))</f>
        <v>0</v>
      </c>
      <c r="AN31">
        <f>IF('Calc base'!I$14=0,0,MIN(AB31,MAX(0,$E31-SUMIFS($V31:$AG31,'Calc base'!$C$17:$N$17,"&lt;"&amp;'Calc base'!I$17,'Calc base'!$C$14:$N$14,1))))</f>
        <v>0</v>
      </c>
      <c r="AO31">
        <f>IF('Calc base'!J$14=0,0,MIN(AC31,MAX(0,$E31-SUMIFS($V31:$AG31,'Calc base'!$C$17:$N$17,"&lt;"&amp;'Calc base'!J$17,'Calc base'!$C$14:$N$14,1))))</f>
        <v>0</v>
      </c>
      <c r="AP31">
        <f>IF('Calc base'!K$14=0,0,MIN(AD31,MAX(0,$E31-SUMIFS($V31:$AG31,'Calc base'!$C$17:$N$17,"&lt;"&amp;'Calc base'!K$17,'Calc base'!$C$14:$N$14,1))))</f>
        <v>0</v>
      </c>
      <c r="AQ31">
        <f>IF('Calc base'!L$14=0,0,MIN(AE31,MAX(0,$E31-SUMIFS($V31:$AG31,'Calc base'!$C$17:$N$17,"&lt;"&amp;'Calc base'!L$17,'Calc base'!$C$14:$N$14,1))))</f>
        <v>0</v>
      </c>
      <c r="AR31">
        <f>IF('Calc base'!M$14=0,0,MIN(AF31,MAX(0,$E31-SUMIFS($V31:$AG31,'Calc base'!$C$17:$N$17,"&lt;"&amp;'Calc base'!M$17,'Calc base'!$C$14:$N$14,1))))</f>
        <v>0</v>
      </c>
      <c r="AS31">
        <f>IF('Calc base'!N$14=0,0,MIN(AG31,MAX(0,$E31-SUMIFS($V31:$AG31,'Calc base'!$C$17:$N$17,"&lt;"&amp;'Calc base'!N$17,'Calc base'!$C$14:$N$14,1))))</f>
        <v>0</v>
      </c>
      <c r="AT31">
        <f>V31-AH31</f>
        <v>2365.8</v>
      </c>
      <c r="AU31">
        <f>W31-AI31</f>
        <v>816</v>
      </c>
      <c r="AV31">
        <f>X31-AJ31</f>
        <v>6642.13</v>
      </c>
      <c r="AW31">
        <f>Y31-AK31</f>
        <v>9285.67</v>
      </c>
      <c r="AX31">
        <f>Z31-AL31</f>
        <v>371</v>
      </c>
      <c r="AY31">
        <f>AA31-AM31</f>
        <v>1450</v>
      </c>
      <c r="AZ31">
        <f>AB31-AN31</f>
        <v>0</v>
      </c>
      <c r="BA31">
        <f>AC31-AO31</f>
        <v>0</v>
      </c>
      <c r="BB31">
        <f>AD31-AP31</f>
        <v>0</v>
      </c>
      <c r="BC31">
        <f>AE31-AQ31</f>
        <v>0</v>
      </c>
      <c r="BD31">
        <f>AF31-AR31</f>
        <v>0</v>
      </c>
      <c r="BE31">
        <f>AG31-AS31</f>
        <v>0</v>
      </c>
    </row>
    <row r="32">
      <c r="A32" t="n">
        <v>2</v>
      </c>
      <c r="B32">
        <f>SUMPRODUCT(ROUND($AT31:$BE31*(1+'Calc base'!$H32:$S32),2))</f>
        <v>21068.3</v>
      </c>
      <c r="C32">
        <f>SUM(J32:U32)</f>
        <v>673.61</v>
      </c>
      <c r="D32">
        <f>SUM(V32:AG32)</f>
        <v>20394.69</v>
      </c>
      <c r="E32">
        <f>MAX(0,IF(Impostazioni!$B$7="No",'Calc base'!$C32-$C$31,'Calc base'!$C32-C32)+'Calc base'!$G32+'Calc base'!$F32-(B32-C32-D32))</f>
        <v>626.39</v>
      </c>
      <c r="F32">
        <f>SUM(AH32:AS32)</f>
        <v>626.39</v>
      </c>
      <c r="G32">
        <f>SUM(AT32:BE32)</f>
        <v>19768.3</v>
      </c>
      <c r="H32">
        <f>B32-G31</f>
        <v>137.700000000001</v>
      </c>
      <c r="I32">
        <f>B32-G32</f>
        <v>1300</v>
      </c>
      <c r="J32">
        <f>IF(AT31&lt;=0,0,IF(ROUND(AT31*(1+'Calc base'!H32),2)-MAX('Calc base'!C$12,ROUND('Calc base'!C$13*AT31,2))&lt;1,ROUND(AT31*(1+'Calc base'!H32),2),MAX('Calc base'!C$12,ROUND('Calc base'!C$13*AT31,2))))</f>
        <v>70.97</v>
      </c>
      <c r="K32">
        <f>IF(AU31&lt;=0,0,IF(ROUND(AU31*(1+'Calc base'!I32),2)-MAX('Calc base'!D$12,ROUND('Calc base'!D$13*AU31,2))&lt;1,ROUND(AU31*(1+'Calc base'!I32),2),MAX('Calc base'!D$12,ROUND('Calc base'!D$13*AU31,2))))</f>
        <v>32.64</v>
      </c>
      <c r="L32">
        <f>IF(AV31&lt;=0,0,IF(ROUND(AV31*(1+'Calc base'!J32),2)-MAX('Calc base'!E$12,ROUND('Calc base'!E$13*AV31,2))&lt;1,ROUND(AV31*(1+'Calc base'!J32),2),MAX('Calc base'!E$12,ROUND('Calc base'!E$13*AV31,2))))</f>
        <v>210</v>
      </c>
      <c r="M32">
        <f>IF(AW31&lt;=0,0,IF(ROUND(AW31*(1+'Calc base'!K32),2)-MAX('Calc base'!F$12,ROUND('Calc base'!F$13*AW31,2))&lt;1,ROUND(AW31*(1+'Calc base'!K32),2),MAX('Calc base'!F$12,ROUND('Calc base'!F$13*AW31,2))))</f>
        <v>265</v>
      </c>
      <c r="N32">
        <f>IF(AX31&lt;=0,0,IF(ROUND(AX31*(1+'Calc base'!L32),2)-MAX('Calc base'!G$12,ROUND('Calc base'!G$13*AX31,2))&lt;1,ROUND(AX31*(1+'Calc base'!L32),2),MAX('Calc base'!G$12,ROUND('Calc base'!G$13*AX31,2))))</f>
        <v>45</v>
      </c>
      <c r="O32">
        <f>IF(AY31&lt;=0,0,IF(ROUND(AY31*(1+'Calc base'!M32),2)-MAX('Calc base'!H$12,ROUND('Calc base'!H$13*AY31,2))&lt;1,ROUND(AY31*(1+'Calc base'!M32),2),MAX('Calc base'!H$12,ROUND('Calc base'!H$13*AY31,2))))</f>
        <v>50</v>
      </c>
      <c r="P32">
        <f>IF(AZ31&lt;=0,0,IF(ROUND(AZ31*(1+'Calc base'!N32),2)-MAX('Calc base'!I$12,ROUND('Calc base'!I$13*AZ31,2))&lt;1,ROUND(AZ31*(1+'Calc base'!N32),2),MAX('Calc base'!I$12,ROUND('Calc base'!I$13*AZ31,2))))</f>
        <v>0</v>
      </c>
      <c r="Q32">
        <f>IF(BA31&lt;=0,0,IF(ROUND(BA31*(1+'Calc base'!O32),2)-MAX('Calc base'!J$12,ROUND('Calc base'!J$13*BA31,2))&lt;1,ROUND(BA31*(1+'Calc base'!O32),2),MAX('Calc base'!J$12,ROUND('Calc base'!J$13*BA31,2))))</f>
        <v>0</v>
      </c>
      <c r="R32">
        <f>IF(BB31&lt;=0,0,IF(ROUND(BB31*(1+'Calc base'!P32),2)-MAX('Calc base'!K$12,ROUND('Calc base'!K$13*BB31,2))&lt;1,ROUND(BB31*(1+'Calc base'!P32),2),MAX('Calc base'!K$12,ROUND('Calc base'!K$13*BB31,2))))</f>
        <v>0</v>
      </c>
      <c r="S32">
        <f>IF(BC31&lt;=0,0,IF(ROUND(BC31*(1+'Calc base'!Q32),2)-MAX('Calc base'!L$12,ROUND('Calc base'!L$13*BC31,2))&lt;1,ROUND(BC31*(1+'Calc base'!Q32),2),MAX('Calc base'!L$12,ROUND('Calc base'!L$13*BC31,2))))</f>
        <v>0</v>
      </c>
      <c r="T32">
        <f>IF(BD31&lt;=0,0,IF(ROUND(BD31*(1+'Calc base'!R32),2)-MAX('Calc base'!M$12,ROUND('Calc base'!M$13*BD31,2))&lt;1,ROUND(BD31*(1+'Calc base'!R32),2),MAX('Calc base'!M$12,ROUND('Calc base'!M$13*BD31,2))))</f>
        <v>0</v>
      </c>
      <c r="U32">
        <f>IF(BE31&lt;=0,0,IF(ROUND(BE31*(1+'Calc base'!S32),2)-MAX('Calc base'!N$12,ROUND('Calc base'!N$13*BE31,2))&lt;1,ROUND(BE31*(1+'Calc base'!S32),2),MAX('Calc base'!N$12,ROUND('Calc base'!N$13*BE31,2))))</f>
        <v>0</v>
      </c>
      <c r="V32">
        <f>MAX(0,ROUND(AT31*(1+'Calc base'!H32),2)-J32-'Calc base'!T32)</f>
        <v>2332.09</v>
      </c>
      <c r="W32">
        <f>MAX(0,ROUND(AU31*(1+'Calc base'!I32),2)-K32-'Calc base'!U32)</f>
        <v>783.36</v>
      </c>
      <c r="X32">
        <f>MAX(0,ROUND(AV31*(1+'Calc base'!J32),2)-L32-'Calc base'!V32)</f>
        <v>6483.05</v>
      </c>
      <c r="Y32">
        <f>MAX(0,ROUND(AW31*(1+'Calc base'!K32),2)-M32-'Calc base'!W32)</f>
        <v>9070.19</v>
      </c>
      <c r="Z32">
        <f>MAX(0,ROUND(AX31*(1+'Calc base'!L32),2)-N32-'Calc base'!X32)</f>
        <v>326</v>
      </c>
      <c r="AA32">
        <f>MAX(0,ROUND(AY31*(1+'Calc base'!M32),2)-O32-'Calc base'!Y32)</f>
        <v>1400</v>
      </c>
      <c r="AB32">
        <f>MAX(0,ROUND(AZ31*(1+'Calc base'!N32),2)-P32-'Calc base'!Z32)</f>
        <v>0</v>
      </c>
      <c r="AC32">
        <f>MAX(0,ROUND(BA31*(1+'Calc base'!O32),2)-Q32-'Calc base'!AA32)</f>
        <v>0</v>
      </c>
      <c r="AD32">
        <f>MAX(0,ROUND(BB31*(1+'Calc base'!P32),2)-R32-'Calc base'!AB32)</f>
        <v>0</v>
      </c>
      <c r="AE32">
        <f>MAX(0,ROUND(BC31*(1+'Calc base'!Q32),2)-S32-'Calc base'!AC32)</f>
        <v>0</v>
      </c>
      <c r="AF32">
        <f>MAX(0,ROUND(BD31*(1+'Calc base'!R32),2)-T32-'Calc base'!AD32)</f>
        <v>0</v>
      </c>
      <c r="AG32">
        <f>MAX(0,ROUND(BE31*(1+'Calc base'!S32),2)-U32-'Calc base'!AE32)</f>
        <v>0</v>
      </c>
      <c r="AH32">
        <f>IF('Calc base'!C$14=0,0,MIN(V32,MAX(0,$E32-SUMIFS($V32:$AG32,'Calc base'!$C$17:$N$17,"&lt;"&amp;'Calc base'!C$17,'Calc base'!$C$14:$N$14,1))))</f>
        <v>0</v>
      </c>
      <c r="AI32">
        <f>IF('Calc base'!D$14=0,0,MIN(W32,MAX(0,$E32-SUMIFS($V32:$AG32,'Calc base'!$C$17:$N$17,"&lt;"&amp;'Calc base'!D$17,'Calc base'!$C$14:$N$14,1))))</f>
        <v>300.39</v>
      </c>
      <c r="AJ32">
        <f>IF('Calc base'!E$14=0,0,MIN(X32,MAX(0,$E32-SUMIFS($V32:$AG32,'Calc base'!$C$17:$N$17,"&lt;"&amp;'Calc base'!E$17,'Calc base'!$C$14:$N$14,1))))</f>
        <v>0</v>
      </c>
      <c r="AK32">
        <f>IF('Calc base'!F$14=0,0,MIN(Y32,MAX(0,$E32-SUMIFS($V32:$AG32,'Calc base'!$C$17:$N$17,"&lt;"&amp;'Calc base'!F$17,'Calc base'!$C$14:$N$14,1))))</f>
        <v>0</v>
      </c>
      <c r="AL32">
        <f>IF('Calc base'!G$14=0,0,MIN(Z32,MAX(0,$E32-SUMIFS($V32:$AG32,'Calc base'!$C$17:$N$17,"&lt;"&amp;'Calc base'!G$17,'Calc base'!$C$14:$N$14,1))))</f>
        <v>326</v>
      </c>
      <c r="AM32">
        <f>IF('Calc base'!H$14=0,0,MIN(AA32,MAX(0,$E32-SUMIFS($V32:$AG32,'Calc base'!$C$17:$N$17,"&lt;"&amp;'Calc base'!H$17,'Calc base'!$C$14:$N$14,1))))</f>
        <v>0</v>
      </c>
      <c r="AN32">
        <f>IF('Calc base'!I$14=0,0,MIN(AB32,MAX(0,$E32-SUMIFS($V32:$AG32,'Calc base'!$C$17:$N$17,"&lt;"&amp;'Calc base'!I$17,'Calc base'!$C$14:$N$14,1))))</f>
        <v>0</v>
      </c>
      <c r="AO32">
        <f>IF('Calc base'!J$14=0,0,MIN(AC32,MAX(0,$E32-SUMIFS($V32:$AG32,'Calc base'!$C$17:$N$17,"&lt;"&amp;'Calc base'!J$17,'Calc base'!$C$14:$N$14,1))))</f>
        <v>0</v>
      </c>
      <c r="AP32">
        <f>IF('Calc base'!K$14=0,0,MIN(AD32,MAX(0,$E32-SUMIFS($V32:$AG32,'Calc base'!$C$17:$N$17,"&lt;"&amp;'Calc base'!K$17,'Calc base'!$C$14:$N$14,1))))</f>
        <v>0</v>
      </c>
      <c r="AQ32">
        <f>IF('Calc base'!L$14=0,0,MIN(AE32,MAX(0,$E32-SUMIFS($V32:$AG32,'Calc base'!$C$17:$N$17,"&lt;"&amp;'Calc base'!L$17,'Calc base'!$C$14:$N$14,1))))</f>
        <v>0</v>
      </c>
      <c r="AR32">
        <f>IF('Calc base'!M$14=0,0,MIN(AF32,MAX(0,$E32-SUMIFS($V32:$AG32,'Calc base'!$C$17:$N$17,"&lt;"&amp;'Calc base'!M$17,'Calc base'!$C$14:$N$14,1))))</f>
        <v>0</v>
      </c>
      <c r="AS32">
        <f>IF('Calc base'!N$14=0,0,MIN(AG32,MAX(0,$E32-SUMIFS($V32:$AG32,'Calc base'!$C$17:$N$17,"&lt;"&amp;'Calc base'!N$17,'Calc base'!$C$14:$N$14,1))))</f>
        <v>0</v>
      </c>
      <c r="AT32">
        <f>V32-AH32</f>
        <v>2332.09</v>
      </c>
      <c r="AU32">
        <f>W32-AI32</f>
        <v>482.97</v>
      </c>
      <c r="AV32">
        <f>X32-AJ32</f>
        <v>6483.05</v>
      </c>
      <c r="AW32">
        <f>Y32-AK32</f>
        <v>9070.19</v>
      </c>
      <c r="AX32">
        <f>Z32-AL32</f>
        <v>0</v>
      </c>
      <c r="AY32">
        <f>AA32-AM32</f>
        <v>1400</v>
      </c>
      <c r="AZ32">
        <f>AB32-AN32</f>
        <v>0</v>
      </c>
      <c r="BA32">
        <f>AC32-AO32</f>
        <v>0</v>
      </c>
      <c r="BB32">
        <f>AD32-AP32</f>
        <v>0</v>
      </c>
      <c r="BC32">
        <f>AE32-AQ32</f>
        <v>0</v>
      </c>
      <c r="BD32">
        <f>AF32-AR32</f>
        <v>0</v>
      </c>
      <c r="BE32">
        <f>AG32-AS32</f>
        <v>0</v>
      </c>
    </row>
    <row r="33">
      <c r="A33" t="n">
        <v>3</v>
      </c>
      <c r="B33">
        <f>SUMPRODUCT(ROUND($AT32:$BE32*(1+'Calc base'!$H33:$S33),2))</f>
        <v>19903.1</v>
      </c>
      <c r="C33">
        <f>SUM(J33:U33)</f>
        <v>619.96</v>
      </c>
      <c r="D33">
        <f>SUM(V33:AG33)</f>
        <v>19283.14</v>
      </c>
      <c r="E33">
        <f>MAX(0,IF(Impostazioni!$B$7="No",'Calc base'!$C33-$C$31,'Calc base'!$C33-C33)+'Calc base'!$G33+'Calc base'!$F33-(B33-C33-D33))</f>
        <v>180.04</v>
      </c>
      <c r="F33">
        <f>SUM(AH33:AS33)</f>
        <v>180.04</v>
      </c>
      <c r="G33">
        <f>SUM(AT33:BE33)</f>
        <v>19103.1</v>
      </c>
      <c r="H33">
        <f>B33-G32</f>
        <v>134.799999999999</v>
      </c>
      <c r="I33">
        <f>B33-G33</f>
        <v>800</v>
      </c>
      <c r="J33">
        <f>IF(AT32&lt;=0,0,IF(ROUND(AT32*(1+'Calc base'!H33),2)-MAX('Calc base'!C$12,ROUND('Calc base'!C$13*AT32,2))&lt;1,ROUND(AT32*(1+'Calc base'!H33),2),MAX('Calc base'!C$12,ROUND('Calc base'!C$13*AT32,2))))</f>
        <v>69.96</v>
      </c>
      <c r="K33">
        <f>IF(AU32&lt;=0,0,IF(ROUND(AU32*(1+'Calc base'!I33),2)-MAX('Calc base'!D$12,ROUND('Calc base'!D$13*AU32,2))&lt;1,ROUND(AU32*(1+'Calc base'!I33),2),MAX('Calc base'!D$12,ROUND('Calc base'!D$13*AU32,2))))</f>
        <v>25</v>
      </c>
      <c r="L33">
        <f>IF(AV32&lt;=0,0,IF(ROUND(AV32*(1+'Calc base'!J33),2)-MAX('Calc base'!E$12,ROUND('Calc base'!E$13*AV32,2))&lt;1,ROUND(AV32*(1+'Calc base'!J33),2),MAX('Calc base'!E$12,ROUND('Calc base'!E$13*AV32,2))))</f>
        <v>210</v>
      </c>
      <c r="M33">
        <f>IF(AW32&lt;=0,0,IF(ROUND(AW32*(1+'Calc base'!K33),2)-MAX('Calc base'!F$12,ROUND('Calc base'!F$13*AW32,2))&lt;1,ROUND(AW32*(1+'Calc base'!K33),2),MAX('Calc base'!F$12,ROUND('Calc base'!F$13*AW32,2))))</f>
        <v>265</v>
      </c>
      <c r="N33">
        <f>IF(AX32&lt;=0,0,IF(ROUND(AX32*(1+'Calc base'!L33),2)-MAX('Calc base'!G$12,ROUND('Calc base'!G$13*AX32,2))&lt;1,ROUND(AX32*(1+'Calc base'!L33),2),MAX('Calc base'!G$12,ROUND('Calc base'!G$13*AX32,2))))</f>
        <v>0</v>
      </c>
      <c r="O33">
        <f>IF(AY32&lt;=0,0,IF(ROUND(AY32*(1+'Calc base'!M33),2)-MAX('Calc base'!H$12,ROUND('Calc base'!H$13*AY32,2))&lt;1,ROUND(AY32*(1+'Calc base'!M33),2),MAX('Calc base'!H$12,ROUND('Calc base'!H$13*AY32,2))))</f>
        <v>50</v>
      </c>
      <c r="P33">
        <f>IF(AZ32&lt;=0,0,IF(ROUND(AZ32*(1+'Calc base'!N33),2)-MAX('Calc base'!I$12,ROUND('Calc base'!I$13*AZ32,2))&lt;1,ROUND(AZ32*(1+'Calc base'!N33),2),MAX('Calc base'!I$12,ROUND('Calc base'!I$13*AZ32,2))))</f>
        <v>0</v>
      </c>
      <c r="Q33">
        <f>IF(BA32&lt;=0,0,IF(ROUND(BA32*(1+'Calc base'!O33),2)-MAX('Calc base'!J$12,ROUND('Calc base'!J$13*BA32,2))&lt;1,ROUND(BA32*(1+'Calc base'!O33),2),MAX('Calc base'!J$12,ROUND('Calc base'!J$13*BA32,2))))</f>
        <v>0</v>
      </c>
      <c r="R33">
        <f>IF(BB32&lt;=0,0,IF(ROUND(BB32*(1+'Calc base'!P33),2)-MAX('Calc base'!K$12,ROUND('Calc base'!K$13*BB32,2))&lt;1,ROUND(BB32*(1+'Calc base'!P33),2),MAX('Calc base'!K$12,ROUND('Calc base'!K$13*BB32,2))))</f>
        <v>0</v>
      </c>
      <c r="S33">
        <f>IF(BC32&lt;=0,0,IF(ROUND(BC32*(1+'Calc base'!Q33),2)-MAX('Calc base'!L$12,ROUND('Calc base'!L$13*BC32,2))&lt;1,ROUND(BC32*(1+'Calc base'!Q33),2),MAX('Calc base'!L$12,ROUND('Calc base'!L$13*BC32,2))))</f>
        <v>0</v>
      </c>
      <c r="T33">
        <f>IF(BD32&lt;=0,0,IF(ROUND(BD32*(1+'Calc base'!R33),2)-MAX('Calc base'!M$12,ROUND('Calc base'!M$13*BD32,2))&lt;1,ROUND(BD32*(1+'Calc base'!R33),2),MAX('Calc base'!M$12,ROUND('Calc base'!M$13*BD32,2))))</f>
        <v>0</v>
      </c>
      <c r="U33">
        <f>IF(BE32&lt;=0,0,IF(ROUND(BE32*(1+'Calc base'!S33),2)-MAX('Calc base'!N$12,ROUND('Calc base'!N$13*BE32,2))&lt;1,ROUND(BE32*(1+'Calc base'!S33),2),MAX('Calc base'!N$12,ROUND('Calc base'!N$13*BE32,2))))</f>
        <v>0</v>
      </c>
      <c r="V33">
        <f>MAX(0,ROUND(AT32*(1+'Calc base'!H33),2)-J33-'Calc base'!T33)</f>
        <v>2298.86</v>
      </c>
      <c r="W33">
        <f>MAX(0,ROUND(AU32*(1+'Calc base'!I33),2)-K33-'Calc base'!U33)</f>
        <v>457.97</v>
      </c>
      <c r="X33">
        <f>MAX(0,ROUND(AV32*(1+'Calc base'!J33),2)-L33-'Calc base'!V33)</f>
        <v>6322.75</v>
      </c>
      <c r="Y33">
        <f>MAX(0,ROUND(AW32*(1+'Calc base'!K33),2)-M33-'Calc base'!W33)</f>
        <v>8853.56</v>
      </c>
      <c r="Z33">
        <f>MAX(0,ROUND(AX32*(1+'Calc base'!L33),2)-N33-'Calc base'!X33)</f>
        <v>0</v>
      </c>
      <c r="AA33">
        <f>MAX(0,ROUND(AY32*(1+'Calc base'!M33),2)-O33-'Calc base'!Y33)</f>
        <v>1350</v>
      </c>
      <c r="AB33">
        <f>MAX(0,ROUND(AZ32*(1+'Calc base'!N33),2)-P33-'Calc base'!Z33)</f>
        <v>0</v>
      </c>
      <c r="AC33">
        <f>MAX(0,ROUND(BA32*(1+'Calc base'!O33),2)-Q33-'Calc base'!AA33)</f>
        <v>0</v>
      </c>
      <c r="AD33">
        <f>MAX(0,ROUND(BB32*(1+'Calc base'!P33),2)-R33-'Calc base'!AB33)</f>
        <v>0</v>
      </c>
      <c r="AE33">
        <f>MAX(0,ROUND(BC32*(1+'Calc base'!Q33),2)-S33-'Calc base'!AC33)</f>
        <v>0</v>
      </c>
      <c r="AF33">
        <f>MAX(0,ROUND(BD32*(1+'Calc base'!R33),2)-T33-'Calc base'!AD33)</f>
        <v>0</v>
      </c>
      <c r="AG33">
        <f>MAX(0,ROUND(BE32*(1+'Calc base'!S33),2)-U33-'Calc base'!AE33)</f>
        <v>0</v>
      </c>
      <c r="AH33">
        <f>IF('Calc base'!C$14=0,0,MIN(V33,MAX(0,$E33-SUMIFS($V33:$AG33,'Calc base'!$C$17:$N$17,"&lt;"&amp;'Calc base'!C$17,'Calc base'!$C$14:$N$14,1))))</f>
        <v>0</v>
      </c>
      <c r="AI33">
        <f>IF('Calc base'!D$14=0,0,MIN(W33,MAX(0,$E33-SUMIFS($V33:$AG33,'Calc base'!$C$17:$N$17,"&lt;"&amp;'Calc base'!D$17,'Calc base'!$C$14:$N$14,1))))</f>
        <v>180.04</v>
      </c>
      <c r="AJ33">
        <f>IF('Calc base'!E$14=0,0,MIN(X33,MAX(0,$E33-SUMIFS($V33:$AG33,'Calc base'!$C$17:$N$17,"&lt;"&amp;'Calc base'!E$17,'Calc base'!$C$14:$N$14,1))))</f>
        <v>0</v>
      </c>
      <c r="AK33">
        <f>IF('Calc base'!F$14=0,0,MIN(Y33,MAX(0,$E33-SUMIFS($V33:$AG33,'Calc base'!$C$17:$N$17,"&lt;"&amp;'Calc base'!F$17,'Calc base'!$C$14:$N$14,1))))</f>
        <v>0</v>
      </c>
      <c r="AL33">
        <f>IF('Calc base'!G$14=0,0,MIN(Z33,MAX(0,$E33-SUMIFS($V33:$AG33,'Calc base'!$C$17:$N$17,"&lt;"&amp;'Calc base'!G$17,'Calc base'!$C$14:$N$14,1))))</f>
        <v>0</v>
      </c>
      <c r="AM33">
        <f>IF('Calc base'!H$14=0,0,MIN(AA33,MAX(0,$E33-SUMIFS($V33:$AG33,'Calc base'!$C$17:$N$17,"&lt;"&amp;'Calc base'!H$17,'Calc base'!$C$14:$N$14,1))))</f>
        <v>0</v>
      </c>
      <c r="AN33">
        <f>IF('Calc base'!I$14=0,0,MIN(AB33,MAX(0,$E33-SUMIFS($V33:$AG33,'Calc base'!$C$17:$N$17,"&lt;"&amp;'Calc base'!I$17,'Calc base'!$C$14:$N$14,1))))</f>
        <v>0</v>
      </c>
      <c r="AO33">
        <f>IF('Calc base'!J$14=0,0,MIN(AC33,MAX(0,$E33-SUMIFS($V33:$AG33,'Calc base'!$C$17:$N$17,"&lt;"&amp;'Calc base'!J$17,'Calc base'!$C$14:$N$14,1))))</f>
        <v>0</v>
      </c>
      <c r="AP33">
        <f>IF('Calc base'!K$14=0,0,MIN(AD33,MAX(0,$E33-SUMIFS($V33:$AG33,'Calc base'!$C$17:$N$17,"&lt;"&amp;'Calc base'!K$17,'Calc base'!$C$14:$N$14,1))))</f>
        <v>0</v>
      </c>
      <c r="AQ33">
        <f>IF('Calc base'!L$14=0,0,MIN(AE33,MAX(0,$E33-SUMIFS($V33:$AG33,'Calc base'!$C$17:$N$17,"&lt;"&amp;'Calc base'!L$17,'Calc base'!$C$14:$N$14,1))))</f>
        <v>0</v>
      </c>
      <c r="AR33">
        <f>IF('Calc base'!M$14=0,0,MIN(AF33,MAX(0,$E33-SUMIFS($V33:$AG33,'Calc base'!$C$17:$N$17,"&lt;"&amp;'Calc base'!M$17,'Calc base'!$C$14:$N$14,1))))</f>
        <v>0</v>
      </c>
      <c r="AS33">
        <f>IF('Calc base'!N$14=0,0,MIN(AG33,MAX(0,$E33-SUMIFS($V33:$AG33,'Calc base'!$C$17:$N$17,"&lt;"&amp;'Calc base'!N$17,'Calc base'!$C$14:$N$14,1))))</f>
        <v>0</v>
      </c>
      <c r="AT33">
        <f>V33-AH33</f>
        <v>2298.86</v>
      </c>
      <c r="AU33">
        <f>W33-AI33</f>
        <v>277.93</v>
      </c>
      <c r="AV33">
        <f>X33-AJ33</f>
        <v>6322.75</v>
      </c>
      <c r="AW33">
        <f>Y33-AK33</f>
        <v>8853.56</v>
      </c>
      <c r="AX33">
        <f>Z33-AL33</f>
        <v>0</v>
      </c>
      <c r="AY33">
        <f>AA33-AM33</f>
        <v>1350</v>
      </c>
      <c r="AZ33">
        <f>AB33-AN33</f>
        <v>0</v>
      </c>
      <c r="BA33">
        <f>AC33-AO33</f>
        <v>0</v>
      </c>
      <c r="BB33">
        <f>AD33-AP33</f>
        <v>0</v>
      </c>
      <c r="BC33">
        <f>AE33-AQ33</f>
        <v>0</v>
      </c>
      <c r="BD33">
        <f>AF33-AR33</f>
        <v>0</v>
      </c>
      <c r="BE33">
        <f>AG33-AS33</f>
        <v>0</v>
      </c>
    </row>
    <row r="34">
      <c r="A34" t="n">
        <v>4</v>
      </c>
      <c r="B34">
        <f>SUMPRODUCT(ROUND($AT33:$BE33*(1+'Calc base'!$H34:$S34),2))</f>
        <v>19235</v>
      </c>
      <c r="C34">
        <f>SUM(J34:U34)</f>
        <v>618.97</v>
      </c>
      <c r="D34">
        <f>SUM(V34:AG34)</f>
        <v>18616.03</v>
      </c>
      <c r="E34">
        <f>MAX(0,IF(Impostazioni!$B$7="No",'Calc base'!$C34-$C$31,'Calc base'!$C34-C34)+'Calc base'!$G34+'Calc base'!$F34-(B34-C34-D34))</f>
        <v>181.03</v>
      </c>
      <c r="F34">
        <f>SUM(AH34:AS34)</f>
        <v>181.03</v>
      </c>
      <c r="G34">
        <f>SUM(AT34:BE34)</f>
        <v>18435</v>
      </c>
      <c r="H34">
        <f>B34-G33</f>
        <v>131.900000000001</v>
      </c>
      <c r="I34">
        <f>B34-G34</f>
        <v>800</v>
      </c>
      <c r="J34">
        <f>IF(AT33&lt;=0,0,IF(ROUND(AT33*(1+'Calc base'!H34),2)-MAX('Calc base'!C$12,ROUND('Calc base'!C$13*AT33,2))&lt;1,ROUND(AT33*(1+'Calc base'!H34),2),MAX('Calc base'!C$12,ROUND('Calc base'!C$13*AT33,2))))</f>
        <v>68.97</v>
      </c>
      <c r="K34">
        <f>IF(AU33&lt;=0,0,IF(ROUND(AU33*(1+'Calc base'!I34),2)-MAX('Calc base'!D$12,ROUND('Calc base'!D$13*AU33,2))&lt;1,ROUND(AU33*(1+'Calc base'!I34),2),MAX('Calc base'!D$12,ROUND('Calc base'!D$13*AU33,2))))</f>
        <v>25</v>
      </c>
      <c r="L34">
        <f>IF(AV33&lt;=0,0,IF(ROUND(AV33*(1+'Calc base'!J34),2)-MAX('Calc base'!E$12,ROUND('Calc base'!E$13*AV33,2))&lt;1,ROUND(AV33*(1+'Calc base'!J34),2),MAX('Calc base'!E$12,ROUND('Calc base'!E$13*AV33,2))))</f>
        <v>210</v>
      </c>
      <c r="M34">
        <f>IF(AW33&lt;=0,0,IF(ROUND(AW33*(1+'Calc base'!K34),2)-MAX('Calc base'!F$12,ROUND('Calc base'!F$13*AW33,2))&lt;1,ROUND(AW33*(1+'Calc base'!K34),2),MAX('Calc base'!F$12,ROUND('Calc base'!F$13*AW33,2))))</f>
        <v>265</v>
      </c>
      <c r="N34">
        <f>IF(AX33&lt;=0,0,IF(ROUND(AX33*(1+'Calc base'!L34),2)-MAX('Calc base'!G$12,ROUND('Calc base'!G$13*AX33,2))&lt;1,ROUND(AX33*(1+'Calc base'!L34),2),MAX('Calc base'!G$12,ROUND('Calc base'!G$13*AX33,2))))</f>
        <v>0</v>
      </c>
      <c r="O34">
        <f>IF(AY33&lt;=0,0,IF(ROUND(AY33*(1+'Calc base'!M34),2)-MAX('Calc base'!H$12,ROUND('Calc base'!H$13*AY33,2))&lt;1,ROUND(AY33*(1+'Calc base'!M34),2),MAX('Calc base'!H$12,ROUND('Calc base'!H$13*AY33,2))))</f>
        <v>50</v>
      </c>
      <c r="P34">
        <f>IF(AZ33&lt;=0,0,IF(ROUND(AZ33*(1+'Calc base'!N34),2)-MAX('Calc base'!I$12,ROUND('Calc base'!I$13*AZ33,2))&lt;1,ROUND(AZ33*(1+'Calc base'!N34),2),MAX('Calc base'!I$12,ROUND('Calc base'!I$13*AZ33,2))))</f>
        <v>0</v>
      </c>
      <c r="Q34">
        <f>IF(BA33&lt;=0,0,IF(ROUND(BA33*(1+'Calc base'!O34),2)-MAX('Calc base'!J$12,ROUND('Calc base'!J$13*BA33,2))&lt;1,ROUND(BA33*(1+'Calc base'!O34),2),MAX('Calc base'!J$12,ROUND('Calc base'!J$13*BA33,2))))</f>
        <v>0</v>
      </c>
      <c r="R34">
        <f>IF(BB33&lt;=0,0,IF(ROUND(BB33*(1+'Calc base'!P34),2)-MAX('Calc base'!K$12,ROUND('Calc base'!K$13*BB33,2))&lt;1,ROUND(BB33*(1+'Calc base'!P34),2),MAX('Calc base'!K$12,ROUND('Calc base'!K$13*BB33,2))))</f>
        <v>0</v>
      </c>
      <c r="S34">
        <f>IF(BC33&lt;=0,0,IF(ROUND(BC33*(1+'Calc base'!Q34),2)-MAX('Calc base'!L$12,ROUND('Calc base'!L$13*BC33,2))&lt;1,ROUND(BC33*(1+'Calc base'!Q34),2),MAX('Calc base'!L$12,ROUND('Calc base'!L$13*BC33,2))))</f>
        <v>0</v>
      </c>
      <c r="T34">
        <f>IF(BD33&lt;=0,0,IF(ROUND(BD33*(1+'Calc base'!R34),2)-MAX('Calc base'!M$12,ROUND('Calc base'!M$13*BD33,2))&lt;1,ROUND(BD33*(1+'Calc base'!R34),2),MAX('Calc base'!M$12,ROUND('Calc base'!M$13*BD33,2))))</f>
        <v>0</v>
      </c>
      <c r="U34">
        <f>IF(BE33&lt;=0,0,IF(ROUND(BE33*(1+'Calc base'!S34),2)-MAX('Calc base'!N$12,ROUND('Calc base'!N$13*BE33,2))&lt;1,ROUND(BE33*(1+'Calc base'!S34),2),MAX('Calc base'!N$12,ROUND('Calc base'!N$13*BE33,2))))</f>
        <v>0</v>
      </c>
      <c r="V34">
        <f>MAX(0,ROUND(AT33*(1+'Calc base'!H34),2)-J34-'Calc base'!T34)</f>
        <v>2266.1</v>
      </c>
      <c r="W34">
        <f>MAX(0,ROUND(AU33*(1+'Calc base'!I34),2)-K34-'Calc base'!U34)</f>
        <v>252.93</v>
      </c>
      <c r="X34">
        <f>MAX(0,ROUND(AV33*(1+'Calc base'!J34),2)-L34-'Calc base'!V34)</f>
        <v>6161.22</v>
      </c>
      <c r="Y34">
        <f>MAX(0,ROUND(AW33*(1+'Calc base'!K34),2)-M34-'Calc base'!W34)</f>
        <v>8635.78</v>
      </c>
      <c r="Z34">
        <f>MAX(0,ROUND(AX33*(1+'Calc base'!L34),2)-N34-'Calc base'!X34)</f>
        <v>0</v>
      </c>
      <c r="AA34">
        <f>MAX(0,ROUND(AY33*(1+'Calc base'!M34),2)-O34-'Calc base'!Y34)</f>
        <v>1300</v>
      </c>
      <c r="AB34">
        <f>MAX(0,ROUND(AZ33*(1+'Calc base'!N34),2)-P34-'Calc base'!Z34)</f>
        <v>0</v>
      </c>
      <c r="AC34">
        <f>MAX(0,ROUND(BA33*(1+'Calc base'!O34),2)-Q34-'Calc base'!AA34)</f>
        <v>0</v>
      </c>
      <c r="AD34">
        <f>MAX(0,ROUND(BB33*(1+'Calc base'!P34),2)-R34-'Calc base'!AB34)</f>
        <v>0</v>
      </c>
      <c r="AE34">
        <f>MAX(0,ROUND(BC33*(1+'Calc base'!Q34),2)-S34-'Calc base'!AC34)</f>
        <v>0</v>
      </c>
      <c r="AF34">
        <f>MAX(0,ROUND(BD33*(1+'Calc base'!R34),2)-T34-'Calc base'!AD34)</f>
        <v>0</v>
      </c>
      <c r="AG34">
        <f>MAX(0,ROUND(BE33*(1+'Calc base'!S34),2)-U34-'Calc base'!AE34)</f>
        <v>0</v>
      </c>
      <c r="AH34">
        <f>IF('Calc base'!C$14=0,0,MIN(V34,MAX(0,$E34-SUMIFS($V34:$AG34,'Calc base'!$C$17:$N$17,"&lt;"&amp;'Calc base'!C$17,'Calc base'!$C$14:$N$14,1))))</f>
        <v>0</v>
      </c>
      <c r="AI34">
        <f>IF('Calc base'!D$14=0,0,MIN(W34,MAX(0,$E34-SUMIFS($V34:$AG34,'Calc base'!$C$17:$N$17,"&lt;"&amp;'Calc base'!D$17,'Calc base'!$C$14:$N$14,1))))</f>
        <v>181.03</v>
      </c>
      <c r="AJ34">
        <f>IF('Calc base'!E$14=0,0,MIN(X34,MAX(0,$E34-SUMIFS($V34:$AG34,'Calc base'!$C$17:$N$17,"&lt;"&amp;'Calc base'!E$17,'Calc base'!$C$14:$N$14,1))))</f>
        <v>0</v>
      </c>
      <c r="AK34">
        <f>IF('Calc base'!F$14=0,0,MIN(Y34,MAX(0,$E34-SUMIFS($V34:$AG34,'Calc base'!$C$17:$N$17,"&lt;"&amp;'Calc base'!F$17,'Calc base'!$C$14:$N$14,1))))</f>
        <v>0</v>
      </c>
      <c r="AL34">
        <f>IF('Calc base'!G$14=0,0,MIN(Z34,MAX(0,$E34-SUMIFS($V34:$AG34,'Calc base'!$C$17:$N$17,"&lt;"&amp;'Calc base'!G$17,'Calc base'!$C$14:$N$14,1))))</f>
        <v>0</v>
      </c>
      <c r="AM34">
        <f>IF('Calc base'!H$14=0,0,MIN(AA34,MAX(0,$E34-SUMIFS($V34:$AG34,'Calc base'!$C$17:$N$17,"&lt;"&amp;'Calc base'!H$17,'Calc base'!$C$14:$N$14,1))))</f>
        <v>0</v>
      </c>
      <c r="AN34">
        <f>IF('Calc base'!I$14=0,0,MIN(AB34,MAX(0,$E34-SUMIFS($V34:$AG34,'Calc base'!$C$17:$N$17,"&lt;"&amp;'Calc base'!I$17,'Calc base'!$C$14:$N$14,1))))</f>
        <v>0</v>
      </c>
      <c r="AO34">
        <f>IF('Calc base'!J$14=0,0,MIN(AC34,MAX(0,$E34-SUMIFS($V34:$AG34,'Calc base'!$C$17:$N$17,"&lt;"&amp;'Calc base'!J$17,'Calc base'!$C$14:$N$14,1))))</f>
        <v>0</v>
      </c>
      <c r="AP34">
        <f>IF('Calc base'!K$14=0,0,MIN(AD34,MAX(0,$E34-SUMIFS($V34:$AG34,'Calc base'!$C$17:$N$17,"&lt;"&amp;'Calc base'!K$17,'Calc base'!$C$14:$N$14,1))))</f>
        <v>0</v>
      </c>
      <c r="AQ34">
        <f>IF('Calc base'!L$14=0,0,MIN(AE34,MAX(0,$E34-SUMIFS($V34:$AG34,'Calc base'!$C$17:$N$17,"&lt;"&amp;'Calc base'!L$17,'Calc base'!$C$14:$N$14,1))))</f>
        <v>0</v>
      </c>
      <c r="AR34">
        <f>IF('Calc base'!M$14=0,0,MIN(AF34,MAX(0,$E34-SUMIFS($V34:$AG34,'Calc base'!$C$17:$N$17,"&lt;"&amp;'Calc base'!M$17,'Calc base'!$C$14:$N$14,1))))</f>
        <v>0</v>
      </c>
      <c r="AS34">
        <f>IF('Calc base'!N$14=0,0,MIN(AG34,MAX(0,$E34-SUMIFS($V34:$AG34,'Calc base'!$C$17:$N$17,"&lt;"&amp;'Calc base'!N$17,'Calc base'!$C$14:$N$14,1))))</f>
        <v>0</v>
      </c>
      <c r="AT34">
        <f>V34-AH34</f>
        <v>2266.1</v>
      </c>
      <c r="AU34">
        <f>W34-AI34</f>
        <v>71.9</v>
      </c>
      <c r="AV34">
        <f>X34-AJ34</f>
        <v>6161.22</v>
      </c>
      <c r="AW34">
        <f>Y34-AK34</f>
        <v>8635.78</v>
      </c>
      <c r="AX34">
        <f>Z34-AL34</f>
        <v>0</v>
      </c>
      <c r="AY34">
        <f>AA34-AM34</f>
        <v>1300</v>
      </c>
      <c r="AZ34">
        <f>AB34-AN34</f>
        <v>0</v>
      </c>
      <c r="BA34">
        <f>AC34-AO34</f>
        <v>0</v>
      </c>
      <c r="BB34">
        <f>AD34-AP34</f>
        <v>0</v>
      </c>
      <c r="BC34">
        <f>AE34-AQ34</f>
        <v>0</v>
      </c>
      <c r="BD34">
        <f>AF34-AR34</f>
        <v>0</v>
      </c>
      <c r="BE34">
        <f>AG34-AS34</f>
        <v>0</v>
      </c>
    </row>
    <row r="35">
      <c r="A35" t="n">
        <v>5</v>
      </c>
      <c r="B35">
        <f>SUMPRODUCT(ROUND($AT34:$BE34*(1+'Calc base'!$H35:$S35),2))</f>
        <v>18563.99</v>
      </c>
      <c r="C35">
        <f>SUM(J35:U35)</f>
        <v>617.98</v>
      </c>
      <c r="D35">
        <f>SUM(V35:AG35)</f>
        <v>17899.11</v>
      </c>
      <c r="E35">
        <f>MAX(0,IF(Impostazioni!$B$7="No",'Calc base'!$C35-$C$31,'Calc base'!$C35-C35)+'Calc base'!$G35+'Calc base'!$F35-(B35-C35-D35))</f>
        <v>535.119999999999</v>
      </c>
      <c r="F35">
        <f>SUM(AH35:AS35)</f>
        <v>535.119999999999</v>
      </c>
      <c r="G35">
        <f>SUM(AT35:BE35)</f>
        <v>17363.99</v>
      </c>
      <c r="H35">
        <f>B35-G34</f>
        <v>128.990000000002</v>
      </c>
      <c r="I35">
        <f>B35-G35</f>
        <v>1200</v>
      </c>
      <c r="J35">
        <f>IF(AT34&lt;=0,0,IF(ROUND(AT34*(1+'Calc base'!H35),2)-MAX('Calc base'!C$12,ROUND('Calc base'!C$13*AT34,2))&lt;1,ROUND(AT34*(1+'Calc base'!H35),2),MAX('Calc base'!C$12,ROUND('Calc base'!C$13*AT34,2))))</f>
        <v>67.98</v>
      </c>
      <c r="K35">
        <f>IF(AU34&lt;=0,0,IF(ROUND(AU34*(1+'Calc base'!I35),2)-MAX('Calc base'!D$12,ROUND('Calc base'!D$13*AU34,2))&lt;1,ROUND(AU34*(1+'Calc base'!I35),2),MAX('Calc base'!D$12,ROUND('Calc base'!D$13*AU34,2))))</f>
        <v>25</v>
      </c>
      <c r="L35">
        <f>IF(AV34&lt;=0,0,IF(ROUND(AV34*(1+'Calc base'!J35),2)-MAX('Calc base'!E$12,ROUND('Calc base'!E$13*AV34,2))&lt;1,ROUND(AV34*(1+'Calc base'!J35),2),MAX('Calc base'!E$12,ROUND('Calc base'!E$13*AV34,2))))</f>
        <v>210</v>
      </c>
      <c r="M35">
        <f>IF(AW34&lt;=0,0,IF(ROUND(AW34*(1+'Calc base'!K35),2)-MAX('Calc base'!F$12,ROUND('Calc base'!F$13*AW34,2))&lt;1,ROUND(AW34*(1+'Calc base'!K35),2),MAX('Calc base'!F$12,ROUND('Calc base'!F$13*AW34,2))))</f>
        <v>265</v>
      </c>
      <c r="N35">
        <f>IF(AX34&lt;=0,0,IF(ROUND(AX34*(1+'Calc base'!L35),2)-MAX('Calc base'!G$12,ROUND('Calc base'!G$13*AX34,2))&lt;1,ROUND(AX34*(1+'Calc base'!L35),2),MAX('Calc base'!G$12,ROUND('Calc base'!G$13*AX34,2))))</f>
        <v>0</v>
      </c>
      <c r="O35">
        <f>IF(AY34&lt;=0,0,IF(ROUND(AY34*(1+'Calc base'!M35),2)-MAX('Calc base'!H$12,ROUND('Calc base'!H$13*AY34,2))&lt;1,ROUND(AY34*(1+'Calc base'!M35),2),MAX('Calc base'!H$12,ROUND('Calc base'!H$13*AY34,2))))</f>
        <v>50</v>
      </c>
      <c r="P35">
        <f>IF(AZ34&lt;=0,0,IF(ROUND(AZ34*(1+'Calc base'!N35),2)-MAX('Calc base'!I$12,ROUND('Calc base'!I$13*AZ34,2))&lt;1,ROUND(AZ34*(1+'Calc base'!N35),2),MAX('Calc base'!I$12,ROUND('Calc base'!I$13*AZ34,2))))</f>
        <v>0</v>
      </c>
      <c r="Q35">
        <f>IF(BA34&lt;=0,0,IF(ROUND(BA34*(1+'Calc base'!O35),2)-MAX('Calc base'!J$12,ROUND('Calc base'!J$13*BA34,2))&lt;1,ROUND(BA34*(1+'Calc base'!O35),2),MAX('Calc base'!J$12,ROUND('Calc base'!J$13*BA34,2))))</f>
        <v>0</v>
      </c>
      <c r="R35">
        <f>IF(BB34&lt;=0,0,IF(ROUND(BB34*(1+'Calc base'!P35),2)-MAX('Calc base'!K$12,ROUND('Calc base'!K$13*BB34,2))&lt;1,ROUND(BB34*(1+'Calc base'!P35),2),MAX('Calc base'!K$12,ROUND('Calc base'!K$13*BB34,2))))</f>
        <v>0</v>
      </c>
      <c r="S35">
        <f>IF(BC34&lt;=0,0,IF(ROUND(BC34*(1+'Calc base'!Q35),2)-MAX('Calc base'!L$12,ROUND('Calc base'!L$13*BC34,2))&lt;1,ROUND(BC34*(1+'Calc base'!Q35),2),MAX('Calc base'!L$12,ROUND('Calc base'!L$13*BC34,2))))</f>
        <v>0</v>
      </c>
      <c r="T35">
        <f>IF(BD34&lt;=0,0,IF(ROUND(BD34*(1+'Calc base'!R35),2)-MAX('Calc base'!M$12,ROUND('Calc base'!M$13*BD34,2))&lt;1,ROUND(BD34*(1+'Calc base'!R35),2),MAX('Calc base'!M$12,ROUND('Calc base'!M$13*BD34,2))))</f>
        <v>0</v>
      </c>
      <c r="U35">
        <f>IF(BE34&lt;=0,0,IF(ROUND(BE34*(1+'Calc base'!S35),2)-MAX('Calc base'!N$12,ROUND('Calc base'!N$13*BE34,2))&lt;1,ROUND(BE34*(1+'Calc base'!S35),2),MAX('Calc base'!N$12,ROUND('Calc base'!N$13*BE34,2))))</f>
        <v>0</v>
      </c>
      <c r="V35">
        <f>MAX(0,ROUND(AT34*(1+'Calc base'!H35),2)-J35-'Calc base'!T35)</f>
        <v>2233.81</v>
      </c>
      <c r="W35">
        <f>MAX(0,ROUND(AU34*(1+'Calc base'!I35),2)-K35-'Calc base'!U35)</f>
        <v>0</v>
      </c>
      <c r="X35">
        <f>MAX(0,ROUND(AV34*(1+'Calc base'!J35),2)-L35-'Calc base'!V35)</f>
        <v>5998.46</v>
      </c>
      <c r="Y35">
        <f>MAX(0,ROUND(AW34*(1+'Calc base'!K35),2)-M35-'Calc base'!W35)</f>
        <v>8416.84</v>
      </c>
      <c r="Z35">
        <f>MAX(0,ROUND(AX34*(1+'Calc base'!L35),2)-N35-'Calc base'!X35)</f>
        <v>0</v>
      </c>
      <c r="AA35">
        <f>MAX(0,ROUND(AY34*(1+'Calc base'!M35),2)-O35-'Calc base'!Y35)</f>
        <v>1250</v>
      </c>
      <c r="AB35">
        <f>MAX(0,ROUND(AZ34*(1+'Calc base'!N35),2)-P35-'Calc base'!Z35)</f>
        <v>0</v>
      </c>
      <c r="AC35">
        <f>MAX(0,ROUND(BA34*(1+'Calc base'!O35),2)-Q35-'Calc base'!AA35)</f>
        <v>0</v>
      </c>
      <c r="AD35">
        <f>MAX(0,ROUND(BB34*(1+'Calc base'!P35),2)-R35-'Calc base'!AB35)</f>
        <v>0</v>
      </c>
      <c r="AE35">
        <f>MAX(0,ROUND(BC34*(1+'Calc base'!Q35),2)-S35-'Calc base'!AC35)</f>
        <v>0</v>
      </c>
      <c r="AF35">
        <f>MAX(0,ROUND(BD34*(1+'Calc base'!R35),2)-T35-'Calc base'!AD35)</f>
        <v>0</v>
      </c>
      <c r="AG35">
        <f>MAX(0,ROUND(BE34*(1+'Calc base'!S35),2)-U35-'Calc base'!AE35)</f>
        <v>0</v>
      </c>
      <c r="AH35">
        <f>IF('Calc base'!C$14=0,0,MIN(V35,MAX(0,$E35-SUMIFS($V35:$AG35,'Calc base'!$C$17:$N$17,"&lt;"&amp;'Calc base'!C$17,'Calc base'!$C$14:$N$14,1))))</f>
        <v>0</v>
      </c>
      <c r="AI35">
        <f>IF('Calc base'!D$14=0,0,MIN(W35,MAX(0,$E35-SUMIFS($V35:$AG35,'Calc base'!$C$17:$N$17,"&lt;"&amp;'Calc base'!D$17,'Calc base'!$C$14:$N$14,1))))</f>
        <v>0</v>
      </c>
      <c r="AJ35">
        <f>IF('Calc base'!E$14=0,0,MIN(X35,MAX(0,$E35-SUMIFS($V35:$AG35,'Calc base'!$C$17:$N$17,"&lt;"&amp;'Calc base'!E$17,'Calc base'!$C$14:$N$14,1))))</f>
        <v>0</v>
      </c>
      <c r="AK35">
        <f>IF('Calc base'!F$14=0,0,MIN(Y35,MAX(0,$E35-SUMIFS($V35:$AG35,'Calc base'!$C$17:$N$17,"&lt;"&amp;'Calc base'!F$17,'Calc base'!$C$14:$N$14,1))))</f>
        <v>0</v>
      </c>
      <c r="AL35">
        <f>IF('Calc base'!G$14=0,0,MIN(Z35,MAX(0,$E35-SUMIFS($V35:$AG35,'Calc base'!$C$17:$N$17,"&lt;"&amp;'Calc base'!G$17,'Calc base'!$C$14:$N$14,1))))</f>
        <v>0</v>
      </c>
      <c r="AM35">
        <f>IF('Calc base'!H$14=0,0,MIN(AA35,MAX(0,$E35-SUMIFS($V35:$AG35,'Calc base'!$C$17:$N$17,"&lt;"&amp;'Calc base'!H$17,'Calc base'!$C$14:$N$14,1))))</f>
        <v>535.119999999999</v>
      </c>
      <c r="AN35">
        <f>IF('Calc base'!I$14=0,0,MIN(AB35,MAX(0,$E35-SUMIFS($V35:$AG35,'Calc base'!$C$17:$N$17,"&lt;"&amp;'Calc base'!I$17,'Calc base'!$C$14:$N$14,1))))</f>
        <v>0</v>
      </c>
      <c r="AO35">
        <f>IF('Calc base'!J$14=0,0,MIN(AC35,MAX(0,$E35-SUMIFS($V35:$AG35,'Calc base'!$C$17:$N$17,"&lt;"&amp;'Calc base'!J$17,'Calc base'!$C$14:$N$14,1))))</f>
        <v>0</v>
      </c>
      <c r="AP35">
        <f>IF('Calc base'!K$14=0,0,MIN(AD35,MAX(0,$E35-SUMIFS($V35:$AG35,'Calc base'!$C$17:$N$17,"&lt;"&amp;'Calc base'!K$17,'Calc base'!$C$14:$N$14,1))))</f>
        <v>0</v>
      </c>
      <c r="AQ35">
        <f>IF('Calc base'!L$14=0,0,MIN(AE35,MAX(0,$E35-SUMIFS($V35:$AG35,'Calc base'!$C$17:$N$17,"&lt;"&amp;'Calc base'!L$17,'Calc base'!$C$14:$N$14,1))))</f>
        <v>0</v>
      </c>
      <c r="AR35">
        <f>IF('Calc base'!M$14=0,0,MIN(AF35,MAX(0,$E35-SUMIFS($V35:$AG35,'Calc base'!$C$17:$N$17,"&lt;"&amp;'Calc base'!M$17,'Calc base'!$C$14:$N$14,1))))</f>
        <v>0</v>
      </c>
      <c r="AS35">
        <f>IF('Calc base'!N$14=0,0,MIN(AG35,MAX(0,$E35-SUMIFS($V35:$AG35,'Calc base'!$C$17:$N$17,"&lt;"&amp;'Calc base'!N$17,'Calc base'!$C$14:$N$14,1))))</f>
        <v>0</v>
      </c>
      <c r="AT35">
        <f>V35-AH35</f>
        <v>2233.81</v>
      </c>
      <c r="AU35">
        <f>W35-AI35</f>
        <v>0</v>
      </c>
      <c r="AV35">
        <f>X35-AJ35</f>
        <v>5998.46</v>
      </c>
      <c r="AW35">
        <f>Y35-AK35</f>
        <v>8416.84</v>
      </c>
      <c r="AX35">
        <f>Z35-AL35</f>
        <v>0</v>
      </c>
      <c r="AY35">
        <f>AA35-AM35</f>
        <v>714.880000000002</v>
      </c>
      <c r="AZ35">
        <f>AB35-AN35</f>
        <v>0</v>
      </c>
      <c r="BA35">
        <f>AC35-AO35</f>
        <v>0</v>
      </c>
      <c r="BB35">
        <f>AD35-AP35</f>
        <v>0</v>
      </c>
      <c r="BC35">
        <f>AE35-AQ35</f>
        <v>0</v>
      </c>
      <c r="BD35">
        <f>AF35-AR35</f>
        <v>0</v>
      </c>
      <c r="BE35">
        <f>AG35-AS35</f>
        <v>0</v>
      </c>
    </row>
    <row r="36">
      <c r="A36" t="n">
        <v>6</v>
      </c>
      <c r="B36">
        <f>SUMPRODUCT(ROUND($AT35:$BE35*(1+'Calc base'!$H36:$S36),2))</f>
        <v>17490.05</v>
      </c>
      <c r="C36">
        <f>SUM(J36:U36)</f>
        <v>592.01</v>
      </c>
      <c r="D36">
        <f>SUM(V36:AG36)</f>
        <v>16898.04</v>
      </c>
      <c r="E36">
        <f>MAX(0,IF(Impostazioni!$B$7="No",'Calc base'!$C36-$C$31,'Calc base'!$C36-C36)+'Calc base'!$G36+'Calc base'!$F36-(B36-C36-D36))</f>
        <v>207.99</v>
      </c>
      <c r="F36">
        <f>SUM(AH36:AS36)</f>
        <v>207.99</v>
      </c>
      <c r="G36">
        <f>SUM(AT36:BE36)</f>
        <v>16690.05</v>
      </c>
      <c r="H36">
        <f>B36-G35</f>
        <v>126.059999999998</v>
      </c>
      <c r="I36">
        <f>B36-G36</f>
        <v>800</v>
      </c>
      <c r="J36">
        <f>IF(AT35&lt;=0,0,IF(ROUND(AT35*(1+'Calc base'!H36),2)-MAX('Calc base'!C$12,ROUND('Calc base'!C$13*AT35,2))&lt;1,ROUND(AT35*(1+'Calc base'!H36),2),MAX('Calc base'!C$12,ROUND('Calc base'!C$13*AT35,2))))</f>
        <v>67.01</v>
      </c>
      <c r="K36">
        <f>IF(AU35&lt;=0,0,IF(ROUND(AU35*(1+'Calc base'!I36),2)-MAX('Calc base'!D$12,ROUND('Calc base'!D$13*AU35,2))&lt;1,ROUND(AU35*(1+'Calc base'!I36),2),MAX('Calc base'!D$12,ROUND('Calc base'!D$13*AU35,2))))</f>
        <v>0</v>
      </c>
      <c r="L36">
        <f>IF(AV35&lt;=0,0,IF(ROUND(AV35*(1+'Calc base'!J36),2)-MAX('Calc base'!E$12,ROUND('Calc base'!E$13*AV35,2))&lt;1,ROUND(AV35*(1+'Calc base'!J36),2),MAX('Calc base'!E$12,ROUND('Calc base'!E$13*AV35,2))))</f>
        <v>210</v>
      </c>
      <c r="M36">
        <f>IF(AW35&lt;=0,0,IF(ROUND(AW35*(1+'Calc base'!K36),2)-MAX('Calc base'!F$12,ROUND('Calc base'!F$13*AW35,2))&lt;1,ROUND(AW35*(1+'Calc base'!K36),2),MAX('Calc base'!F$12,ROUND('Calc base'!F$13*AW35,2))))</f>
        <v>265</v>
      </c>
      <c r="N36">
        <f>IF(AX35&lt;=0,0,IF(ROUND(AX35*(1+'Calc base'!L36),2)-MAX('Calc base'!G$12,ROUND('Calc base'!G$13*AX35,2))&lt;1,ROUND(AX35*(1+'Calc base'!L36),2),MAX('Calc base'!G$12,ROUND('Calc base'!G$13*AX35,2))))</f>
        <v>0</v>
      </c>
      <c r="O36">
        <f>IF(AY35&lt;=0,0,IF(ROUND(AY35*(1+'Calc base'!M36),2)-MAX('Calc base'!H$12,ROUND('Calc base'!H$13*AY35,2))&lt;1,ROUND(AY35*(1+'Calc base'!M36),2),MAX('Calc base'!H$12,ROUND('Calc base'!H$13*AY35,2))))</f>
        <v>50</v>
      </c>
      <c r="P36">
        <f>IF(AZ35&lt;=0,0,IF(ROUND(AZ35*(1+'Calc base'!N36),2)-MAX('Calc base'!I$12,ROUND('Calc base'!I$13*AZ35,2))&lt;1,ROUND(AZ35*(1+'Calc base'!N36),2),MAX('Calc base'!I$12,ROUND('Calc base'!I$13*AZ35,2))))</f>
        <v>0</v>
      </c>
      <c r="Q36">
        <f>IF(BA35&lt;=0,0,IF(ROUND(BA35*(1+'Calc base'!O36),2)-MAX('Calc base'!J$12,ROUND('Calc base'!J$13*BA35,2))&lt;1,ROUND(BA35*(1+'Calc base'!O36),2),MAX('Calc base'!J$12,ROUND('Calc base'!J$13*BA35,2))))</f>
        <v>0</v>
      </c>
      <c r="R36">
        <f>IF(BB35&lt;=0,0,IF(ROUND(BB35*(1+'Calc base'!P36),2)-MAX('Calc base'!K$12,ROUND('Calc base'!K$13*BB35,2))&lt;1,ROUND(BB35*(1+'Calc base'!P36),2),MAX('Calc base'!K$12,ROUND('Calc base'!K$13*BB35,2))))</f>
        <v>0</v>
      </c>
      <c r="S36">
        <f>IF(BC35&lt;=0,0,IF(ROUND(BC35*(1+'Calc base'!Q36),2)-MAX('Calc base'!L$12,ROUND('Calc base'!L$13*BC35,2))&lt;1,ROUND(BC35*(1+'Calc base'!Q36),2),MAX('Calc base'!L$12,ROUND('Calc base'!L$13*BC35,2))))</f>
        <v>0</v>
      </c>
      <c r="T36">
        <f>IF(BD35&lt;=0,0,IF(ROUND(BD35*(1+'Calc base'!R36),2)-MAX('Calc base'!M$12,ROUND('Calc base'!M$13*BD35,2))&lt;1,ROUND(BD35*(1+'Calc base'!R36),2),MAX('Calc base'!M$12,ROUND('Calc base'!M$13*BD35,2))))</f>
        <v>0</v>
      </c>
      <c r="U36">
        <f>IF(BE35&lt;=0,0,IF(ROUND(BE35*(1+'Calc base'!S36),2)-MAX('Calc base'!N$12,ROUND('Calc base'!N$13*BE35,2))&lt;1,ROUND(BE35*(1+'Calc base'!S36),2),MAX('Calc base'!N$12,ROUND('Calc base'!N$13*BE35,2))))</f>
        <v>0</v>
      </c>
      <c r="V36">
        <f>MAX(0,ROUND(AT35*(1+'Calc base'!H36),2)-J36-'Calc base'!T36)</f>
        <v>2201.98</v>
      </c>
      <c r="W36">
        <f>MAX(0,ROUND(AU35*(1+'Calc base'!I36),2)-K36-'Calc base'!U36)</f>
        <v>0</v>
      </c>
      <c r="X36">
        <f>MAX(0,ROUND(AV35*(1+'Calc base'!J36),2)-L36-'Calc base'!V36)</f>
        <v>5834.45</v>
      </c>
      <c r="Y36">
        <f>MAX(0,ROUND(AW35*(1+'Calc base'!K36),2)-M36-'Calc base'!W36)</f>
        <v>8196.73</v>
      </c>
      <c r="Z36">
        <f>MAX(0,ROUND(AX35*(1+'Calc base'!L36),2)-N36-'Calc base'!X36)</f>
        <v>0</v>
      </c>
      <c r="AA36">
        <f>MAX(0,ROUND(AY35*(1+'Calc base'!M36),2)-O36-'Calc base'!Y36)</f>
        <v>664.88</v>
      </c>
      <c r="AB36">
        <f>MAX(0,ROUND(AZ35*(1+'Calc base'!N36),2)-P36-'Calc base'!Z36)</f>
        <v>0</v>
      </c>
      <c r="AC36">
        <f>MAX(0,ROUND(BA35*(1+'Calc base'!O36),2)-Q36-'Calc base'!AA36)</f>
        <v>0</v>
      </c>
      <c r="AD36">
        <f>MAX(0,ROUND(BB35*(1+'Calc base'!P36),2)-R36-'Calc base'!AB36)</f>
        <v>0</v>
      </c>
      <c r="AE36">
        <f>MAX(0,ROUND(BC35*(1+'Calc base'!Q36),2)-S36-'Calc base'!AC36)</f>
        <v>0</v>
      </c>
      <c r="AF36">
        <f>MAX(0,ROUND(BD35*(1+'Calc base'!R36),2)-T36-'Calc base'!AD36)</f>
        <v>0</v>
      </c>
      <c r="AG36">
        <f>MAX(0,ROUND(BE35*(1+'Calc base'!S36),2)-U36-'Calc base'!AE36)</f>
        <v>0</v>
      </c>
      <c r="AH36">
        <f>IF('Calc base'!C$14=0,0,MIN(V36,MAX(0,$E36-SUMIFS($V36:$AG36,'Calc base'!$C$17:$N$17,"&lt;"&amp;'Calc base'!C$17,'Calc base'!$C$14:$N$14,1))))</f>
        <v>0</v>
      </c>
      <c r="AI36">
        <f>IF('Calc base'!D$14=0,0,MIN(W36,MAX(0,$E36-SUMIFS($V36:$AG36,'Calc base'!$C$17:$N$17,"&lt;"&amp;'Calc base'!D$17,'Calc base'!$C$14:$N$14,1))))</f>
        <v>0</v>
      </c>
      <c r="AJ36">
        <f>IF('Calc base'!E$14=0,0,MIN(X36,MAX(0,$E36-SUMIFS($V36:$AG36,'Calc base'!$C$17:$N$17,"&lt;"&amp;'Calc base'!E$17,'Calc base'!$C$14:$N$14,1))))</f>
        <v>0</v>
      </c>
      <c r="AK36">
        <f>IF('Calc base'!F$14=0,0,MIN(Y36,MAX(0,$E36-SUMIFS($V36:$AG36,'Calc base'!$C$17:$N$17,"&lt;"&amp;'Calc base'!F$17,'Calc base'!$C$14:$N$14,1))))</f>
        <v>0</v>
      </c>
      <c r="AL36">
        <f>IF('Calc base'!G$14=0,0,MIN(Z36,MAX(0,$E36-SUMIFS($V36:$AG36,'Calc base'!$C$17:$N$17,"&lt;"&amp;'Calc base'!G$17,'Calc base'!$C$14:$N$14,1))))</f>
        <v>0</v>
      </c>
      <c r="AM36">
        <f>IF('Calc base'!H$14=0,0,MIN(AA36,MAX(0,$E36-SUMIFS($V36:$AG36,'Calc base'!$C$17:$N$17,"&lt;"&amp;'Calc base'!H$17,'Calc base'!$C$14:$N$14,1))))</f>
        <v>207.99</v>
      </c>
      <c r="AN36">
        <f>IF('Calc base'!I$14=0,0,MIN(AB36,MAX(0,$E36-SUMIFS($V36:$AG36,'Calc base'!$C$17:$N$17,"&lt;"&amp;'Calc base'!I$17,'Calc base'!$C$14:$N$14,1))))</f>
        <v>0</v>
      </c>
      <c r="AO36">
        <f>IF('Calc base'!J$14=0,0,MIN(AC36,MAX(0,$E36-SUMIFS($V36:$AG36,'Calc base'!$C$17:$N$17,"&lt;"&amp;'Calc base'!J$17,'Calc base'!$C$14:$N$14,1))))</f>
        <v>0</v>
      </c>
      <c r="AP36">
        <f>IF('Calc base'!K$14=0,0,MIN(AD36,MAX(0,$E36-SUMIFS($V36:$AG36,'Calc base'!$C$17:$N$17,"&lt;"&amp;'Calc base'!K$17,'Calc base'!$C$14:$N$14,1))))</f>
        <v>0</v>
      </c>
      <c r="AQ36">
        <f>IF('Calc base'!L$14=0,0,MIN(AE36,MAX(0,$E36-SUMIFS($V36:$AG36,'Calc base'!$C$17:$N$17,"&lt;"&amp;'Calc base'!L$17,'Calc base'!$C$14:$N$14,1))))</f>
        <v>0</v>
      </c>
      <c r="AR36">
        <f>IF('Calc base'!M$14=0,0,MIN(AF36,MAX(0,$E36-SUMIFS($V36:$AG36,'Calc base'!$C$17:$N$17,"&lt;"&amp;'Calc base'!M$17,'Calc base'!$C$14:$N$14,1))))</f>
        <v>0</v>
      </c>
      <c r="AS36">
        <f>IF('Calc base'!N$14=0,0,MIN(AG36,MAX(0,$E36-SUMIFS($V36:$AG36,'Calc base'!$C$17:$N$17,"&lt;"&amp;'Calc base'!N$17,'Calc base'!$C$14:$N$14,1))))</f>
        <v>0</v>
      </c>
      <c r="AT36">
        <f>V36-AH36</f>
        <v>2201.98</v>
      </c>
      <c r="AU36">
        <f>W36-AI36</f>
        <v>0</v>
      </c>
      <c r="AV36">
        <f>X36-AJ36</f>
        <v>5834.45</v>
      </c>
      <c r="AW36">
        <f>Y36-AK36</f>
        <v>8196.73</v>
      </c>
      <c r="AX36">
        <f>Z36-AL36</f>
        <v>0</v>
      </c>
      <c r="AY36">
        <f>AA36-AM36</f>
        <v>456.89</v>
      </c>
      <c r="AZ36">
        <f>AB36-AN36</f>
        <v>0</v>
      </c>
      <c r="BA36">
        <f>AC36-AO36</f>
        <v>0</v>
      </c>
      <c r="BB36">
        <f>AD36-AP36</f>
        <v>0</v>
      </c>
      <c r="BC36">
        <f>AE36-AQ36</f>
        <v>0</v>
      </c>
      <c r="BD36">
        <f>AF36-AR36</f>
        <v>0</v>
      </c>
      <c r="BE36">
        <f>AG36-AS36</f>
        <v>0</v>
      </c>
    </row>
    <row r="37">
      <c r="A37" t="n">
        <v>7</v>
      </c>
      <c r="B37">
        <f>SUMPRODUCT(ROUND($AT36:$BE36*(1+'Calc base'!$H37:$S37),2))</f>
        <v>16813.18</v>
      </c>
      <c r="C37">
        <f>SUM(J37:U37)</f>
        <v>591.06</v>
      </c>
      <c r="D37">
        <f>SUM(V37:AG37)</f>
        <v>16222.12</v>
      </c>
      <c r="E37">
        <f>MAX(0,IF(Impostazioni!$B$7="No",'Calc base'!$C37-$C$31,'Calc base'!$C37-C37)+'Calc base'!$G37+'Calc base'!$F37-(B37-C37-D37))</f>
        <v>208.94</v>
      </c>
      <c r="F37">
        <f>SUM(AH37:AS37)</f>
        <v>208.94</v>
      </c>
      <c r="G37">
        <f>SUM(AT37:BE37)</f>
        <v>16013.18</v>
      </c>
      <c r="H37">
        <f>B37-G36</f>
        <v>123.130000000001</v>
      </c>
      <c r="I37">
        <f>B37-G37</f>
        <v>799.999999999998</v>
      </c>
      <c r="J37">
        <f>IF(AT36&lt;=0,0,IF(ROUND(AT36*(1+'Calc base'!H37),2)-MAX('Calc base'!C$12,ROUND('Calc base'!C$13*AT36,2))&lt;1,ROUND(AT36*(1+'Calc base'!H37),2),MAX('Calc base'!C$12,ROUND('Calc base'!C$13*AT36,2))))</f>
        <v>66.06</v>
      </c>
      <c r="K37">
        <f>IF(AU36&lt;=0,0,IF(ROUND(AU36*(1+'Calc base'!I37),2)-MAX('Calc base'!D$12,ROUND('Calc base'!D$13*AU36,2))&lt;1,ROUND(AU36*(1+'Calc base'!I37),2),MAX('Calc base'!D$12,ROUND('Calc base'!D$13*AU36,2))))</f>
        <v>0</v>
      </c>
      <c r="L37">
        <f>IF(AV36&lt;=0,0,IF(ROUND(AV36*(1+'Calc base'!J37),2)-MAX('Calc base'!E$12,ROUND('Calc base'!E$13*AV36,2))&lt;1,ROUND(AV36*(1+'Calc base'!J37),2),MAX('Calc base'!E$12,ROUND('Calc base'!E$13*AV36,2))))</f>
        <v>210</v>
      </c>
      <c r="M37">
        <f>IF(AW36&lt;=0,0,IF(ROUND(AW36*(1+'Calc base'!K37),2)-MAX('Calc base'!F$12,ROUND('Calc base'!F$13*AW36,2))&lt;1,ROUND(AW36*(1+'Calc base'!K37),2),MAX('Calc base'!F$12,ROUND('Calc base'!F$13*AW36,2))))</f>
        <v>265</v>
      </c>
      <c r="N37">
        <f>IF(AX36&lt;=0,0,IF(ROUND(AX36*(1+'Calc base'!L37),2)-MAX('Calc base'!G$12,ROUND('Calc base'!G$13*AX36,2))&lt;1,ROUND(AX36*(1+'Calc base'!L37),2),MAX('Calc base'!G$12,ROUND('Calc base'!G$13*AX36,2))))</f>
        <v>0</v>
      </c>
      <c r="O37">
        <f>IF(AY36&lt;=0,0,IF(ROUND(AY36*(1+'Calc base'!M37),2)-MAX('Calc base'!H$12,ROUND('Calc base'!H$13*AY36,2))&lt;1,ROUND(AY36*(1+'Calc base'!M37),2),MAX('Calc base'!H$12,ROUND('Calc base'!H$13*AY36,2))))</f>
        <v>50</v>
      </c>
      <c r="P37">
        <f>IF(AZ36&lt;=0,0,IF(ROUND(AZ36*(1+'Calc base'!N37),2)-MAX('Calc base'!I$12,ROUND('Calc base'!I$13*AZ36,2))&lt;1,ROUND(AZ36*(1+'Calc base'!N37),2),MAX('Calc base'!I$12,ROUND('Calc base'!I$13*AZ36,2))))</f>
        <v>0</v>
      </c>
      <c r="Q37">
        <f>IF(BA36&lt;=0,0,IF(ROUND(BA36*(1+'Calc base'!O37),2)-MAX('Calc base'!J$12,ROUND('Calc base'!J$13*BA36,2))&lt;1,ROUND(BA36*(1+'Calc base'!O37),2),MAX('Calc base'!J$12,ROUND('Calc base'!J$13*BA36,2))))</f>
        <v>0</v>
      </c>
      <c r="R37">
        <f>IF(BB36&lt;=0,0,IF(ROUND(BB36*(1+'Calc base'!P37),2)-MAX('Calc base'!K$12,ROUND('Calc base'!K$13*BB36,2))&lt;1,ROUND(BB36*(1+'Calc base'!P37),2),MAX('Calc base'!K$12,ROUND('Calc base'!K$13*BB36,2))))</f>
        <v>0</v>
      </c>
      <c r="S37">
        <f>IF(BC36&lt;=0,0,IF(ROUND(BC36*(1+'Calc base'!Q37),2)-MAX('Calc base'!L$12,ROUND('Calc base'!L$13*BC36,2))&lt;1,ROUND(BC36*(1+'Calc base'!Q37),2),MAX('Calc base'!L$12,ROUND('Calc base'!L$13*BC36,2))))</f>
        <v>0</v>
      </c>
      <c r="T37">
        <f>IF(BD36&lt;=0,0,IF(ROUND(BD36*(1+'Calc base'!R37),2)-MAX('Calc base'!M$12,ROUND('Calc base'!M$13*BD36,2))&lt;1,ROUND(BD36*(1+'Calc base'!R37),2),MAX('Calc base'!M$12,ROUND('Calc base'!M$13*BD36,2))))</f>
        <v>0</v>
      </c>
      <c r="U37">
        <f>IF(BE36&lt;=0,0,IF(ROUND(BE36*(1+'Calc base'!S37),2)-MAX('Calc base'!N$12,ROUND('Calc base'!N$13*BE36,2))&lt;1,ROUND(BE36*(1+'Calc base'!S37),2),MAX('Calc base'!N$12,ROUND('Calc base'!N$13*BE36,2))))</f>
        <v>0</v>
      </c>
      <c r="V37">
        <f>MAX(0,ROUND(AT36*(1+'Calc base'!H37),2)-J37-'Calc base'!T37)</f>
        <v>2170.6</v>
      </c>
      <c r="W37">
        <f>MAX(0,ROUND(AU36*(1+'Calc base'!I37),2)-K37-'Calc base'!U37)</f>
        <v>0</v>
      </c>
      <c r="X37">
        <f>MAX(0,ROUND(AV36*(1+'Calc base'!J37),2)-L37-'Calc base'!V37)</f>
        <v>5669.18</v>
      </c>
      <c r="Y37">
        <f>MAX(0,ROUND(AW36*(1+'Calc base'!K37),2)-M37-'Calc base'!W37)</f>
        <v>7975.45</v>
      </c>
      <c r="Z37">
        <f>MAX(0,ROUND(AX36*(1+'Calc base'!L37),2)-N37-'Calc base'!X37)</f>
        <v>0</v>
      </c>
      <c r="AA37">
        <f>MAX(0,ROUND(AY36*(1+'Calc base'!M37),2)-O37-'Calc base'!Y37)</f>
        <v>406.89</v>
      </c>
      <c r="AB37">
        <f>MAX(0,ROUND(AZ36*(1+'Calc base'!N37),2)-P37-'Calc base'!Z37)</f>
        <v>0</v>
      </c>
      <c r="AC37">
        <f>MAX(0,ROUND(BA36*(1+'Calc base'!O37),2)-Q37-'Calc base'!AA37)</f>
        <v>0</v>
      </c>
      <c r="AD37">
        <f>MAX(0,ROUND(BB36*(1+'Calc base'!P37),2)-R37-'Calc base'!AB37)</f>
        <v>0</v>
      </c>
      <c r="AE37">
        <f>MAX(0,ROUND(BC36*(1+'Calc base'!Q37),2)-S37-'Calc base'!AC37)</f>
        <v>0</v>
      </c>
      <c r="AF37">
        <f>MAX(0,ROUND(BD36*(1+'Calc base'!R37),2)-T37-'Calc base'!AD37)</f>
        <v>0</v>
      </c>
      <c r="AG37">
        <f>MAX(0,ROUND(BE36*(1+'Calc base'!S37),2)-U37-'Calc base'!AE37)</f>
        <v>0</v>
      </c>
      <c r="AH37">
        <f>IF('Calc base'!C$14=0,0,MIN(V37,MAX(0,$E37-SUMIFS($V37:$AG37,'Calc base'!$C$17:$N$17,"&lt;"&amp;'Calc base'!C$17,'Calc base'!$C$14:$N$14,1))))</f>
        <v>0</v>
      </c>
      <c r="AI37">
        <f>IF('Calc base'!D$14=0,0,MIN(W37,MAX(0,$E37-SUMIFS($V37:$AG37,'Calc base'!$C$17:$N$17,"&lt;"&amp;'Calc base'!D$17,'Calc base'!$C$14:$N$14,1))))</f>
        <v>0</v>
      </c>
      <c r="AJ37">
        <f>IF('Calc base'!E$14=0,0,MIN(X37,MAX(0,$E37-SUMIFS($V37:$AG37,'Calc base'!$C$17:$N$17,"&lt;"&amp;'Calc base'!E$17,'Calc base'!$C$14:$N$14,1))))</f>
        <v>0</v>
      </c>
      <c r="AK37">
        <f>IF('Calc base'!F$14=0,0,MIN(Y37,MAX(0,$E37-SUMIFS($V37:$AG37,'Calc base'!$C$17:$N$17,"&lt;"&amp;'Calc base'!F$17,'Calc base'!$C$14:$N$14,1))))</f>
        <v>0</v>
      </c>
      <c r="AL37">
        <f>IF('Calc base'!G$14=0,0,MIN(Z37,MAX(0,$E37-SUMIFS($V37:$AG37,'Calc base'!$C$17:$N$17,"&lt;"&amp;'Calc base'!G$17,'Calc base'!$C$14:$N$14,1))))</f>
        <v>0</v>
      </c>
      <c r="AM37">
        <f>IF('Calc base'!H$14=0,0,MIN(AA37,MAX(0,$E37-SUMIFS($V37:$AG37,'Calc base'!$C$17:$N$17,"&lt;"&amp;'Calc base'!H$17,'Calc base'!$C$14:$N$14,1))))</f>
        <v>208.94</v>
      </c>
      <c r="AN37">
        <f>IF('Calc base'!I$14=0,0,MIN(AB37,MAX(0,$E37-SUMIFS($V37:$AG37,'Calc base'!$C$17:$N$17,"&lt;"&amp;'Calc base'!I$17,'Calc base'!$C$14:$N$14,1))))</f>
        <v>0</v>
      </c>
      <c r="AO37">
        <f>IF('Calc base'!J$14=0,0,MIN(AC37,MAX(0,$E37-SUMIFS($V37:$AG37,'Calc base'!$C$17:$N$17,"&lt;"&amp;'Calc base'!J$17,'Calc base'!$C$14:$N$14,1))))</f>
        <v>0</v>
      </c>
      <c r="AP37">
        <f>IF('Calc base'!K$14=0,0,MIN(AD37,MAX(0,$E37-SUMIFS($V37:$AG37,'Calc base'!$C$17:$N$17,"&lt;"&amp;'Calc base'!K$17,'Calc base'!$C$14:$N$14,1))))</f>
        <v>0</v>
      </c>
      <c r="AQ37">
        <f>IF('Calc base'!L$14=0,0,MIN(AE37,MAX(0,$E37-SUMIFS($V37:$AG37,'Calc base'!$C$17:$N$17,"&lt;"&amp;'Calc base'!L$17,'Calc base'!$C$14:$N$14,1))))</f>
        <v>0</v>
      </c>
      <c r="AR37">
        <f>IF('Calc base'!M$14=0,0,MIN(AF37,MAX(0,$E37-SUMIFS($V37:$AG37,'Calc base'!$C$17:$N$17,"&lt;"&amp;'Calc base'!M$17,'Calc base'!$C$14:$N$14,1))))</f>
        <v>0</v>
      </c>
      <c r="AS37">
        <f>IF('Calc base'!N$14=0,0,MIN(AG37,MAX(0,$E37-SUMIFS($V37:$AG37,'Calc base'!$C$17:$N$17,"&lt;"&amp;'Calc base'!N$17,'Calc base'!$C$14:$N$14,1))))</f>
        <v>0</v>
      </c>
      <c r="AT37">
        <f>V37-AH37</f>
        <v>2170.6</v>
      </c>
      <c r="AU37">
        <f>W37-AI37</f>
        <v>0</v>
      </c>
      <c r="AV37">
        <f>X37-AJ37</f>
        <v>5669.18</v>
      </c>
      <c r="AW37">
        <f>Y37-AK37</f>
        <v>7975.45</v>
      </c>
      <c r="AX37">
        <f>Z37-AL37</f>
        <v>0</v>
      </c>
      <c r="AY37">
        <f>AA37-AM37</f>
        <v>197.95</v>
      </c>
      <c r="AZ37">
        <f>AB37-AN37</f>
        <v>0</v>
      </c>
      <c r="BA37">
        <f>AC37-AO37</f>
        <v>0</v>
      </c>
      <c r="BB37">
        <f>AD37-AP37</f>
        <v>0</v>
      </c>
      <c r="BC37">
        <f>AE37-AQ37</f>
        <v>0</v>
      </c>
      <c r="BD37">
        <f>AF37-AR37</f>
        <v>0</v>
      </c>
      <c r="BE37">
        <f>AG37-AS37</f>
        <v>0</v>
      </c>
    </row>
    <row r="38">
      <c r="A38" t="n">
        <v>8</v>
      </c>
      <c r="B38">
        <f>SUMPRODUCT(ROUND($AT37:$BE37*(1+'Calc base'!$H38:$S38),2))</f>
        <v>16133.37</v>
      </c>
      <c r="C38">
        <f>SUM(J38:U38)</f>
        <v>590.12</v>
      </c>
      <c r="D38">
        <f>SUM(V38:AG38)</f>
        <v>15543.25</v>
      </c>
      <c r="E38">
        <f>MAX(0,IF(Impostazioni!$B$7="No",'Calc base'!$C38-$C$31,'Calc base'!$C38-C38)+'Calc base'!$G38+'Calc base'!$F38-(B38-C38-D38))</f>
        <v>209.88</v>
      </c>
      <c r="F38">
        <f>SUM(AH38:AS38)</f>
        <v>209.88</v>
      </c>
      <c r="G38">
        <f>SUM(AT38:BE38)</f>
        <v>15333.37</v>
      </c>
      <c r="H38">
        <f>B38-G37</f>
        <v>120.189999999999</v>
      </c>
      <c r="I38">
        <f>B38-G38</f>
        <v>800</v>
      </c>
      <c r="J38">
        <f>IF(AT37&lt;=0,0,IF(ROUND(AT37*(1+'Calc base'!H38),2)-MAX('Calc base'!C$12,ROUND('Calc base'!C$13*AT37,2))&lt;1,ROUND(AT37*(1+'Calc base'!H38),2),MAX('Calc base'!C$12,ROUND('Calc base'!C$13*AT37,2))))</f>
        <v>65.12</v>
      </c>
      <c r="K38">
        <f>IF(AU37&lt;=0,0,IF(ROUND(AU37*(1+'Calc base'!I38),2)-MAX('Calc base'!D$12,ROUND('Calc base'!D$13*AU37,2))&lt;1,ROUND(AU37*(1+'Calc base'!I38),2),MAX('Calc base'!D$12,ROUND('Calc base'!D$13*AU37,2))))</f>
        <v>0</v>
      </c>
      <c r="L38">
        <f>IF(AV37&lt;=0,0,IF(ROUND(AV37*(1+'Calc base'!J38),2)-MAX('Calc base'!E$12,ROUND('Calc base'!E$13*AV37,2))&lt;1,ROUND(AV37*(1+'Calc base'!J38),2),MAX('Calc base'!E$12,ROUND('Calc base'!E$13*AV37,2))))</f>
        <v>210</v>
      </c>
      <c r="M38">
        <f>IF(AW37&lt;=0,0,IF(ROUND(AW37*(1+'Calc base'!K38),2)-MAX('Calc base'!F$12,ROUND('Calc base'!F$13*AW37,2))&lt;1,ROUND(AW37*(1+'Calc base'!K38),2),MAX('Calc base'!F$12,ROUND('Calc base'!F$13*AW37,2))))</f>
        <v>265</v>
      </c>
      <c r="N38">
        <f>IF(AX37&lt;=0,0,IF(ROUND(AX37*(1+'Calc base'!L38),2)-MAX('Calc base'!G$12,ROUND('Calc base'!G$13*AX37,2))&lt;1,ROUND(AX37*(1+'Calc base'!L38),2),MAX('Calc base'!G$12,ROUND('Calc base'!G$13*AX37,2))))</f>
        <v>0</v>
      </c>
      <c r="O38">
        <f>IF(AY37&lt;=0,0,IF(ROUND(AY37*(1+'Calc base'!M38),2)-MAX('Calc base'!H$12,ROUND('Calc base'!H$13*AY37,2))&lt;1,ROUND(AY37*(1+'Calc base'!M38),2),MAX('Calc base'!H$12,ROUND('Calc base'!H$13*AY37,2))))</f>
        <v>50</v>
      </c>
      <c r="P38">
        <f>IF(AZ37&lt;=0,0,IF(ROUND(AZ37*(1+'Calc base'!N38),2)-MAX('Calc base'!I$12,ROUND('Calc base'!I$13*AZ37,2))&lt;1,ROUND(AZ37*(1+'Calc base'!N38),2),MAX('Calc base'!I$12,ROUND('Calc base'!I$13*AZ37,2))))</f>
        <v>0</v>
      </c>
      <c r="Q38">
        <f>IF(BA37&lt;=0,0,IF(ROUND(BA37*(1+'Calc base'!O38),2)-MAX('Calc base'!J$12,ROUND('Calc base'!J$13*BA37,2))&lt;1,ROUND(BA37*(1+'Calc base'!O38),2),MAX('Calc base'!J$12,ROUND('Calc base'!J$13*BA37,2))))</f>
        <v>0</v>
      </c>
      <c r="R38">
        <f>IF(BB37&lt;=0,0,IF(ROUND(BB37*(1+'Calc base'!P38),2)-MAX('Calc base'!K$12,ROUND('Calc base'!K$13*BB37,2))&lt;1,ROUND(BB37*(1+'Calc base'!P38),2),MAX('Calc base'!K$12,ROUND('Calc base'!K$13*BB37,2))))</f>
        <v>0</v>
      </c>
      <c r="S38">
        <f>IF(BC37&lt;=0,0,IF(ROUND(BC37*(1+'Calc base'!Q38),2)-MAX('Calc base'!L$12,ROUND('Calc base'!L$13*BC37,2))&lt;1,ROUND(BC37*(1+'Calc base'!Q38),2),MAX('Calc base'!L$12,ROUND('Calc base'!L$13*BC37,2))))</f>
        <v>0</v>
      </c>
      <c r="T38">
        <f>IF(BD37&lt;=0,0,IF(ROUND(BD37*(1+'Calc base'!R38),2)-MAX('Calc base'!M$12,ROUND('Calc base'!M$13*BD37,2))&lt;1,ROUND(BD37*(1+'Calc base'!R38),2),MAX('Calc base'!M$12,ROUND('Calc base'!M$13*BD37,2))))</f>
        <v>0</v>
      </c>
      <c r="U38">
        <f>IF(BE37&lt;=0,0,IF(ROUND(BE37*(1+'Calc base'!S38),2)-MAX('Calc base'!N$12,ROUND('Calc base'!N$13*BE37,2))&lt;1,ROUND(BE37*(1+'Calc base'!S38),2),MAX('Calc base'!N$12,ROUND('Calc base'!N$13*BE37,2))))</f>
        <v>0</v>
      </c>
      <c r="V38">
        <f>MAX(0,ROUND(AT37*(1+'Calc base'!H38),2)-J38-'Calc base'!T38)</f>
        <v>2139.67</v>
      </c>
      <c r="W38">
        <f>MAX(0,ROUND(AU37*(1+'Calc base'!I38),2)-K38-'Calc base'!U38)</f>
        <v>0</v>
      </c>
      <c r="X38">
        <f>MAX(0,ROUND(AV37*(1+'Calc base'!J38),2)-L38-'Calc base'!V38)</f>
        <v>5502.64</v>
      </c>
      <c r="Y38">
        <f>MAX(0,ROUND(AW37*(1+'Calc base'!K38),2)-M38-'Calc base'!W38)</f>
        <v>7752.99</v>
      </c>
      <c r="Z38">
        <f>MAX(0,ROUND(AX37*(1+'Calc base'!L38),2)-N38-'Calc base'!X38)</f>
        <v>0</v>
      </c>
      <c r="AA38">
        <f>MAX(0,ROUND(AY37*(1+'Calc base'!M38),2)-O38-'Calc base'!Y38)</f>
        <v>147.95</v>
      </c>
      <c r="AB38">
        <f>MAX(0,ROUND(AZ37*(1+'Calc base'!N38),2)-P38-'Calc base'!Z38)</f>
        <v>0</v>
      </c>
      <c r="AC38">
        <f>MAX(0,ROUND(BA37*(1+'Calc base'!O38),2)-Q38-'Calc base'!AA38)</f>
        <v>0</v>
      </c>
      <c r="AD38">
        <f>MAX(0,ROUND(BB37*(1+'Calc base'!P38),2)-R38-'Calc base'!AB38)</f>
        <v>0</v>
      </c>
      <c r="AE38">
        <f>MAX(0,ROUND(BC37*(1+'Calc base'!Q38),2)-S38-'Calc base'!AC38)</f>
        <v>0</v>
      </c>
      <c r="AF38">
        <f>MAX(0,ROUND(BD37*(1+'Calc base'!R38),2)-T38-'Calc base'!AD38)</f>
        <v>0</v>
      </c>
      <c r="AG38">
        <f>MAX(0,ROUND(BE37*(1+'Calc base'!S38),2)-U38-'Calc base'!AE38)</f>
        <v>0</v>
      </c>
      <c r="AH38">
        <f>IF('Calc base'!C$14=0,0,MIN(V38,MAX(0,$E38-SUMIFS($V38:$AG38,'Calc base'!$C$17:$N$17,"&lt;"&amp;'Calc base'!C$17,'Calc base'!$C$14:$N$14,1))))</f>
        <v>61.93</v>
      </c>
      <c r="AI38">
        <f>IF('Calc base'!D$14=0,0,MIN(W38,MAX(0,$E38-SUMIFS($V38:$AG38,'Calc base'!$C$17:$N$17,"&lt;"&amp;'Calc base'!D$17,'Calc base'!$C$14:$N$14,1))))</f>
        <v>0</v>
      </c>
      <c r="AJ38">
        <f>IF('Calc base'!E$14=0,0,MIN(X38,MAX(0,$E38-SUMIFS($V38:$AG38,'Calc base'!$C$17:$N$17,"&lt;"&amp;'Calc base'!E$17,'Calc base'!$C$14:$N$14,1))))</f>
        <v>0</v>
      </c>
      <c r="AK38">
        <f>IF('Calc base'!F$14=0,0,MIN(Y38,MAX(0,$E38-SUMIFS($V38:$AG38,'Calc base'!$C$17:$N$17,"&lt;"&amp;'Calc base'!F$17,'Calc base'!$C$14:$N$14,1))))</f>
        <v>0</v>
      </c>
      <c r="AL38">
        <f>IF('Calc base'!G$14=0,0,MIN(Z38,MAX(0,$E38-SUMIFS($V38:$AG38,'Calc base'!$C$17:$N$17,"&lt;"&amp;'Calc base'!G$17,'Calc base'!$C$14:$N$14,1))))</f>
        <v>0</v>
      </c>
      <c r="AM38">
        <f>IF('Calc base'!H$14=0,0,MIN(AA38,MAX(0,$E38-SUMIFS($V38:$AG38,'Calc base'!$C$17:$N$17,"&lt;"&amp;'Calc base'!H$17,'Calc base'!$C$14:$N$14,1))))</f>
        <v>147.95</v>
      </c>
      <c r="AN38">
        <f>IF('Calc base'!I$14=0,0,MIN(AB38,MAX(0,$E38-SUMIFS($V38:$AG38,'Calc base'!$C$17:$N$17,"&lt;"&amp;'Calc base'!I$17,'Calc base'!$C$14:$N$14,1))))</f>
        <v>0</v>
      </c>
      <c r="AO38">
        <f>IF('Calc base'!J$14=0,0,MIN(AC38,MAX(0,$E38-SUMIFS($V38:$AG38,'Calc base'!$C$17:$N$17,"&lt;"&amp;'Calc base'!J$17,'Calc base'!$C$14:$N$14,1))))</f>
        <v>0</v>
      </c>
      <c r="AP38">
        <f>IF('Calc base'!K$14=0,0,MIN(AD38,MAX(0,$E38-SUMIFS($V38:$AG38,'Calc base'!$C$17:$N$17,"&lt;"&amp;'Calc base'!K$17,'Calc base'!$C$14:$N$14,1))))</f>
        <v>0</v>
      </c>
      <c r="AQ38">
        <f>IF('Calc base'!L$14=0,0,MIN(AE38,MAX(0,$E38-SUMIFS($V38:$AG38,'Calc base'!$C$17:$N$17,"&lt;"&amp;'Calc base'!L$17,'Calc base'!$C$14:$N$14,1))))</f>
        <v>0</v>
      </c>
      <c r="AR38">
        <f>IF('Calc base'!M$14=0,0,MIN(AF38,MAX(0,$E38-SUMIFS($V38:$AG38,'Calc base'!$C$17:$N$17,"&lt;"&amp;'Calc base'!M$17,'Calc base'!$C$14:$N$14,1))))</f>
        <v>0</v>
      </c>
      <c r="AS38">
        <f>IF('Calc base'!N$14=0,0,MIN(AG38,MAX(0,$E38-SUMIFS($V38:$AG38,'Calc base'!$C$17:$N$17,"&lt;"&amp;'Calc base'!N$17,'Calc base'!$C$14:$N$14,1))))</f>
        <v>0</v>
      </c>
      <c r="AT38">
        <f>V38-AH38</f>
        <v>2077.74</v>
      </c>
      <c r="AU38">
        <f>W38-AI38</f>
        <v>0</v>
      </c>
      <c r="AV38">
        <f>X38-AJ38</f>
        <v>5502.64</v>
      </c>
      <c r="AW38">
        <f>Y38-AK38</f>
        <v>7752.99</v>
      </c>
      <c r="AX38">
        <f>Z38-AL38</f>
        <v>0</v>
      </c>
      <c r="AY38">
        <f>AA38-AM38</f>
        <v>0</v>
      </c>
      <c r="AZ38">
        <f>AB38-AN38</f>
        <v>0</v>
      </c>
      <c r="BA38">
        <f>AC38-AO38</f>
        <v>0</v>
      </c>
      <c r="BB38">
        <f>AD38-AP38</f>
        <v>0</v>
      </c>
      <c r="BC38">
        <f>AE38-AQ38</f>
        <v>0</v>
      </c>
      <c r="BD38">
        <f>AF38-AR38</f>
        <v>0</v>
      </c>
      <c r="BE38">
        <f>AG38-AS38</f>
        <v>0</v>
      </c>
    </row>
    <row r="39">
      <c r="A39" t="n">
        <v>9</v>
      </c>
      <c r="B39">
        <f>SUMPRODUCT(ROUND($AT38:$BE38*(1+'Calc base'!$H39:$S39),2))</f>
        <v>15449.63</v>
      </c>
      <c r="C39">
        <f>SUM(J39:U39)</f>
        <v>537.33</v>
      </c>
      <c r="D39">
        <f>SUM(V39:AG39)</f>
        <v>14912.3</v>
      </c>
      <c r="E39">
        <f>MAX(0,IF(Impostazioni!$B$7="No",'Calc base'!$C39-$C$31,'Calc base'!$C39-C39)+'Calc base'!$G39+'Calc base'!$F39-(B39-C39-D39))</f>
        <v>712.67</v>
      </c>
      <c r="F39">
        <f>SUM(AH39:AS39)</f>
        <v>712.67</v>
      </c>
      <c r="G39">
        <f>SUM(AT39:BE39)</f>
        <v>14199.63</v>
      </c>
      <c r="H39">
        <f>B39-G38</f>
        <v>116.26</v>
      </c>
      <c r="I39">
        <f>B39-G39</f>
        <v>1250</v>
      </c>
      <c r="J39">
        <f>IF(AT38&lt;=0,0,IF(ROUND(AT38*(1+'Calc base'!H39),2)-MAX('Calc base'!C$12,ROUND('Calc base'!C$13*AT38,2))&lt;1,ROUND(AT38*(1+'Calc base'!H39),2),MAX('Calc base'!C$12,ROUND('Calc base'!C$13*AT38,2))))</f>
        <v>62.33</v>
      </c>
      <c r="K39">
        <f>IF(AU38&lt;=0,0,IF(ROUND(AU38*(1+'Calc base'!I39),2)-MAX('Calc base'!D$12,ROUND('Calc base'!D$13*AU38,2))&lt;1,ROUND(AU38*(1+'Calc base'!I39),2),MAX('Calc base'!D$12,ROUND('Calc base'!D$13*AU38,2))))</f>
        <v>0</v>
      </c>
      <c r="L39">
        <f>IF(AV38&lt;=0,0,IF(ROUND(AV38*(1+'Calc base'!J39),2)-MAX('Calc base'!E$12,ROUND('Calc base'!E$13*AV38,2))&lt;1,ROUND(AV38*(1+'Calc base'!J39),2),MAX('Calc base'!E$12,ROUND('Calc base'!E$13*AV38,2))))</f>
        <v>210</v>
      </c>
      <c r="M39">
        <f>IF(AW38&lt;=0,0,IF(ROUND(AW38*(1+'Calc base'!K39),2)-MAX('Calc base'!F$12,ROUND('Calc base'!F$13*AW38,2))&lt;1,ROUND(AW38*(1+'Calc base'!K39),2),MAX('Calc base'!F$12,ROUND('Calc base'!F$13*AW38,2))))</f>
        <v>265</v>
      </c>
      <c r="N39">
        <f>IF(AX38&lt;=0,0,IF(ROUND(AX38*(1+'Calc base'!L39),2)-MAX('Calc base'!G$12,ROUND('Calc base'!G$13*AX38,2))&lt;1,ROUND(AX38*(1+'Calc base'!L39),2),MAX('Calc base'!G$12,ROUND('Calc base'!G$13*AX38,2))))</f>
        <v>0</v>
      </c>
      <c r="O39">
        <f>IF(AY38&lt;=0,0,IF(ROUND(AY38*(1+'Calc base'!M39),2)-MAX('Calc base'!H$12,ROUND('Calc base'!H$13*AY38,2))&lt;1,ROUND(AY38*(1+'Calc base'!M39),2),MAX('Calc base'!H$12,ROUND('Calc base'!H$13*AY38,2))))</f>
        <v>0</v>
      </c>
      <c r="P39">
        <f>IF(AZ38&lt;=0,0,IF(ROUND(AZ38*(1+'Calc base'!N39),2)-MAX('Calc base'!I$12,ROUND('Calc base'!I$13*AZ38,2))&lt;1,ROUND(AZ38*(1+'Calc base'!N39),2),MAX('Calc base'!I$12,ROUND('Calc base'!I$13*AZ38,2))))</f>
        <v>0</v>
      </c>
      <c r="Q39">
        <f>IF(BA38&lt;=0,0,IF(ROUND(BA38*(1+'Calc base'!O39),2)-MAX('Calc base'!J$12,ROUND('Calc base'!J$13*BA38,2))&lt;1,ROUND(BA38*(1+'Calc base'!O39),2),MAX('Calc base'!J$12,ROUND('Calc base'!J$13*BA38,2))))</f>
        <v>0</v>
      </c>
      <c r="R39">
        <f>IF(BB38&lt;=0,0,IF(ROUND(BB38*(1+'Calc base'!P39),2)-MAX('Calc base'!K$12,ROUND('Calc base'!K$13*BB38,2))&lt;1,ROUND(BB38*(1+'Calc base'!P39),2),MAX('Calc base'!K$12,ROUND('Calc base'!K$13*BB38,2))))</f>
        <v>0</v>
      </c>
      <c r="S39">
        <f>IF(BC38&lt;=0,0,IF(ROUND(BC38*(1+'Calc base'!Q39),2)-MAX('Calc base'!L$12,ROUND('Calc base'!L$13*BC38,2))&lt;1,ROUND(BC38*(1+'Calc base'!Q39),2),MAX('Calc base'!L$12,ROUND('Calc base'!L$13*BC38,2))))</f>
        <v>0</v>
      </c>
      <c r="T39">
        <f>IF(BD38&lt;=0,0,IF(ROUND(BD38*(1+'Calc base'!R39),2)-MAX('Calc base'!M$12,ROUND('Calc base'!M$13*BD38,2))&lt;1,ROUND(BD38*(1+'Calc base'!R39),2),MAX('Calc base'!M$12,ROUND('Calc base'!M$13*BD38,2))))</f>
        <v>0</v>
      </c>
      <c r="U39">
        <f>IF(BE38&lt;=0,0,IF(ROUND(BE38*(1+'Calc base'!S39),2)-MAX('Calc base'!N$12,ROUND('Calc base'!N$13*BE38,2))&lt;1,ROUND(BE38*(1+'Calc base'!S39),2),MAX('Calc base'!N$12,ROUND('Calc base'!N$13*BE38,2))))</f>
        <v>0</v>
      </c>
      <c r="V39">
        <f>MAX(0,ROUND(AT38*(1+'Calc base'!H39),2)-J39-'Calc base'!T39)</f>
        <v>2048.13</v>
      </c>
      <c r="W39">
        <f>MAX(0,ROUND(AU38*(1+'Calc base'!I39),2)-K39-'Calc base'!U39)</f>
        <v>0</v>
      </c>
      <c r="X39">
        <f>MAX(0,ROUND(AV38*(1+'Calc base'!J39),2)-L39-'Calc base'!V39)</f>
        <v>5334.83</v>
      </c>
      <c r="Y39">
        <f>MAX(0,ROUND(AW38*(1+'Calc base'!K39),2)-M39-'Calc base'!W39)</f>
        <v>7529.34</v>
      </c>
      <c r="Z39">
        <f>MAX(0,ROUND(AX38*(1+'Calc base'!L39),2)-N39-'Calc base'!X39)</f>
        <v>0</v>
      </c>
      <c r="AA39">
        <f>MAX(0,ROUND(AY38*(1+'Calc base'!M39),2)-O39-'Calc base'!Y39)</f>
        <v>0</v>
      </c>
      <c r="AB39">
        <f>MAX(0,ROUND(AZ38*(1+'Calc base'!N39),2)-P39-'Calc base'!Z39)</f>
        <v>0</v>
      </c>
      <c r="AC39">
        <f>MAX(0,ROUND(BA38*(1+'Calc base'!O39),2)-Q39-'Calc base'!AA39)</f>
        <v>0</v>
      </c>
      <c r="AD39">
        <f>MAX(0,ROUND(BB38*(1+'Calc base'!P39),2)-R39-'Calc base'!AB39)</f>
        <v>0</v>
      </c>
      <c r="AE39">
        <f>MAX(0,ROUND(BC38*(1+'Calc base'!Q39),2)-S39-'Calc base'!AC39)</f>
        <v>0</v>
      </c>
      <c r="AF39">
        <f>MAX(0,ROUND(BD38*(1+'Calc base'!R39),2)-T39-'Calc base'!AD39)</f>
        <v>0</v>
      </c>
      <c r="AG39">
        <f>MAX(0,ROUND(BE38*(1+'Calc base'!S39),2)-U39-'Calc base'!AE39)</f>
        <v>0</v>
      </c>
      <c r="AH39">
        <f>IF('Calc base'!C$14=0,0,MIN(V39,MAX(0,$E39-SUMIFS($V39:$AG39,'Calc base'!$C$17:$N$17,"&lt;"&amp;'Calc base'!C$17,'Calc base'!$C$14:$N$14,1))))</f>
        <v>712.67</v>
      </c>
      <c r="AI39">
        <f>IF('Calc base'!D$14=0,0,MIN(W39,MAX(0,$E39-SUMIFS($V39:$AG39,'Calc base'!$C$17:$N$17,"&lt;"&amp;'Calc base'!D$17,'Calc base'!$C$14:$N$14,1))))</f>
        <v>0</v>
      </c>
      <c r="AJ39">
        <f>IF('Calc base'!E$14=0,0,MIN(X39,MAX(0,$E39-SUMIFS($V39:$AG39,'Calc base'!$C$17:$N$17,"&lt;"&amp;'Calc base'!E$17,'Calc base'!$C$14:$N$14,1))))</f>
        <v>0</v>
      </c>
      <c r="AK39">
        <f>IF('Calc base'!F$14=0,0,MIN(Y39,MAX(0,$E39-SUMIFS($V39:$AG39,'Calc base'!$C$17:$N$17,"&lt;"&amp;'Calc base'!F$17,'Calc base'!$C$14:$N$14,1))))</f>
        <v>0</v>
      </c>
      <c r="AL39">
        <f>IF('Calc base'!G$14=0,0,MIN(Z39,MAX(0,$E39-SUMIFS($V39:$AG39,'Calc base'!$C$17:$N$17,"&lt;"&amp;'Calc base'!G$17,'Calc base'!$C$14:$N$14,1))))</f>
        <v>0</v>
      </c>
      <c r="AM39">
        <f>IF('Calc base'!H$14=0,0,MIN(AA39,MAX(0,$E39-SUMIFS($V39:$AG39,'Calc base'!$C$17:$N$17,"&lt;"&amp;'Calc base'!H$17,'Calc base'!$C$14:$N$14,1))))</f>
        <v>0</v>
      </c>
      <c r="AN39">
        <f>IF('Calc base'!I$14=0,0,MIN(AB39,MAX(0,$E39-SUMIFS($V39:$AG39,'Calc base'!$C$17:$N$17,"&lt;"&amp;'Calc base'!I$17,'Calc base'!$C$14:$N$14,1))))</f>
        <v>0</v>
      </c>
      <c r="AO39">
        <f>IF('Calc base'!J$14=0,0,MIN(AC39,MAX(0,$E39-SUMIFS($V39:$AG39,'Calc base'!$C$17:$N$17,"&lt;"&amp;'Calc base'!J$17,'Calc base'!$C$14:$N$14,1))))</f>
        <v>0</v>
      </c>
      <c r="AP39">
        <f>IF('Calc base'!K$14=0,0,MIN(AD39,MAX(0,$E39-SUMIFS($V39:$AG39,'Calc base'!$C$17:$N$17,"&lt;"&amp;'Calc base'!K$17,'Calc base'!$C$14:$N$14,1))))</f>
        <v>0</v>
      </c>
      <c r="AQ39">
        <f>IF('Calc base'!L$14=0,0,MIN(AE39,MAX(0,$E39-SUMIFS($V39:$AG39,'Calc base'!$C$17:$N$17,"&lt;"&amp;'Calc base'!L$17,'Calc base'!$C$14:$N$14,1))))</f>
        <v>0</v>
      </c>
      <c r="AR39">
        <f>IF('Calc base'!M$14=0,0,MIN(AF39,MAX(0,$E39-SUMIFS($V39:$AG39,'Calc base'!$C$17:$N$17,"&lt;"&amp;'Calc base'!M$17,'Calc base'!$C$14:$N$14,1))))</f>
        <v>0</v>
      </c>
      <c r="AS39">
        <f>IF('Calc base'!N$14=0,0,MIN(AG39,MAX(0,$E39-SUMIFS($V39:$AG39,'Calc base'!$C$17:$N$17,"&lt;"&amp;'Calc base'!N$17,'Calc base'!$C$14:$N$14,1))))</f>
        <v>0</v>
      </c>
      <c r="AT39">
        <f>V39-AH39</f>
        <v>1335.46</v>
      </c>
      <c r="AU39">
        <f>W39-AI39</f>
        <v>0</v>
      </c>
      <c r="AV39">
        <f>X39-AJ39</f>
        <v>5334.83</v>
      </c>
      <c r="AW39">
        <f>Y39-AK39</f>
        <v>7529.34</v>
      </c>
      <c r="AX39">
        <f>Z39-AL39</f>
        <v>0</v>
      </c>
      <c r="AY39">
        <f>AA39-AM39</f>
        <v>0</v>
      </c>
      <c r="AZ39">
        <f>AB39-AN39</f>
        <v>0</v>
      </c>
      <c r="BA39">
        <f>AC39-AO39</f>
        <v>0</v>
      </c>
      <c r="BB39">
        <f>AD39-AP39</f>
        <v>0</v>
      </c>
      <c r="BC39">
        <f>AE39-AQ39</f>
        <v>0</v>
      </c>
      <c r="BD39">
        <f>AF39-AR39</f>
        <v>0</v>
      </c>
      <c r="BE39">
        <f>AG39-AS39</f>
        <v>0</v>
      </c>
    </row>
    <row r="40">
      <c r="A40" t="n">
        <v>10</v>
      </c>
      <c r="B40">
        <f>SUMPRODUCT(ROUND($AT39:$BE39*(1+'Calc base'!$H40:$S40),2))</f>
        <v>14301.72</v>
      </c>
      <c r="C40">
        <f>SUM(J40:U40)</f>
        <v>515.06</v>
      </c>
      <c r="D40">
        <f>SUM(V40:AG40)</f>
        <v>13786.66</v>
      </c>
      <c r="E40">
        <f>MAX(0,IF(Impostazioni!$B$7="No",'Calc base'!$C40-$C$31,'Calc base'!$C40-C40)+'Calc base'!$G40+'Calc base'!$F40-(B40-C40-D40))</f>
        <v>384.94</v>
      </c>
      <c r="F40">
        <f>SUM(AH40:AS40)</f>
        <v>384.94</v>
      </c>
      <c r="G40">
        <f>SUM(AT40:BE40)</f>
        <v>13401.72</v>
      </c>
      <c r="H40">
        <f>B40-G39</f>
        <v>102.089999999998</v>
      </c>
      <c r="I40">
        <f>B40-G40</f>
        <v>900</v>
      </c>
      <c r="J40">
        <f>IF(AT39&lt;=0,0,IF(ROUND(AT39*(1+'Calc base'!H40),2)-MAX('Calc base'!C$12,ROUND('Calc base'!C$13*AT39,2))&lt;1,ROUND(AT39*(1+'Calc base'!H40),2),MAX('Calc base'!C$12,ROUND('Calc base'!C$13*AT39,2))))</f>
        <v>40.06</v>
      </c>
      <c r="K40">
        <f>IF(AU39&lt;=0,0,IF(ROUND(AU39*(1+'Calc base'!I40),2)-MAX('Calc base'!D$12,ROUND('Calc base'!D$13*AU39,2))&lt;1,ROUND(AU39*(1+'Calc base'!I40),2),MAX('Calc base'!D$12,ROUND('Calc base'!D$13*AU39,2))))</f>
        <v>0</v>
      </c>
      <c r="L40">
        <f>IF(AV39&lt;=0,0,IF(ROUND(AV39*(1+'Calc base'!J40),2)-MAX('Calc base'!E$12,ROUND('Calc base'!E$13*AV39,2))&lt;1,ROUND(AV39*(1+'Calc base'!J40),2),MAX('Calc base'!E$12,ROUND('Calc base'!E$13*AV39,2))))</f>
        <v>210</v>
      </c>
      <c r="M40">
        <f>IF(AW39&lt;=0,0,IF(ROUND(AW39*(1+'Calc base'!K40),2)-MAX('Calc base'!F$12,ROUND('Calc base'!F$13*AW39,2))&lt;1,ROUND(AW39*(1+'Calc base'!K40),2),MAX('Calc base'!F$12,ROUND('Calc base'!F$13*AW39,2))))</f>
        <v>265</v>
      </c>
      <c r="N40">
        <f>IF(AX39&lt;=0,0,IF(ROUND(AX39*(1+'Calc base'!L40),2)-MAX('Calc base'!G$12,ROUND('Calc base'!G$13*AX39,2))&lt;1,ROUND(AX39*(1+'Calc base'!L40),2),MAX('Calc base'!G$12,ROUND('Calc base'!G$13*AX39,2))))</f>
        <v>0</v>
      </c>
      <c r="O40">
        <f>IF(AY39&lt;=0,0,IF(ROUND(AY39*(1+'Calc base'!M40),2)-MAX('Calc base'!H$12,ROUND('Calc base'!H$13*AY39,2))&lt;1,ROUND(AY39*(1+'Calc base'!M40),2),MAX('Calc base'!H$12,ROUND('Calc base'!H$13*AY39,2))))</f>
        <v>0</v>
      </c>
      <c r="P40">
        <f>IF(AZ39&lt;=0,0,IF(ROUND(AZ39*(1+'Calc base'!N40),2)-MAX('Calc base'!I$12,ROUND('Calc base'!I$13*AZ39,2))&lt;1,ROUND(AZ39*(1+'Calc base'!N40),2),MAX('Calc base'!I$12,ROUND('Calc base'!I$13*AZ39,2))))</f>
        <v>0</v>
      </c>
      <c r="Q40">
        <f>IF(BA39&lt;=0,0,IF(ROUND(BA39*(1+'Calc base'!O40),2)-MAX('Calc base'!J$12,ROUND('Calc base'!J$13*BA39,2))&lt;1,ROUND(BA39*(1+'Calc base'!O40),2),MAX('Calc base'!J$12,ROUND('Calc base'!J$13*BA39,2))))</f>
        <v>0</v>
      </c>
      <c r="R40">
        <f>IF(BB39&lt;=0,0,IF(ROUND(BB39*(1+'Calc base'!P40),2)-MAX('Calc base'!K$12,ROUND('Calc base'!K$13*BB39,2))&lt;1,ROUND(BB39*(1+'Calc base'!P40),2),MAX('Calc base'!K$12,ROUND('Calc base'!K$13*BB39,2))))</f>
        <v>0</v>
      </c>
      <c r="S40">
        <f>IF(BC39&lt;=0,0,IF(ROUND(BC39*(1+'Calc base'!Q40),2)-MAX('Calc base'!L$12,ROUND('Calc base'!L$13*BC39,2))&lt;1,ROUND(BC39*(1+'Calc base'!Q40),2),MAX('Calc base'!L$12,ROUND('Calc base'!L$13*BC39,2))))</f>
        <v>0</v>
      </c>
      <c r="T40">
        <f>IF(BD39&lt;=0,0,IF(ROUND(BD39*(1+'Calc base'!R40),2)-MAX('Calc base'!M$12,ROUND('Calc base'!M$13*BD39,2))&lt;1,ROUND(BD39*(1+'Calc base'!R40),2),MAX('Calc base'!M$12,ROUND('Calc base'!M$13*BD39,2))))</f>
        <v>0</v>
      </c>
      <c r="U40">
        <f>IF(BE39&lt;=0,0,IF(ROUND(BE39*(1+'Calc base'!S40),2)-MAX('Calc base'!N$12,ROUND('Calc base'!N$13*BE39,2))&lt;1,ROUND(BE39*(1+'Calc base'!S40),2),MAX('Calc base'!N$12,ROUND('Calc base'!N$13*BE39,2))))</f>
        <v>0</v>
      </c>
      <c r="V40">
        <f>MAX(0,ROUND(AT39*(1+'Calc base'!H40),2)-J40-'Calc base'!T40)</f>
        <v>1316.43</v>
      </c>
      <c r="W40">
        <f>MAX(0,ROUND(AU39*(1+'Calc base'!I40),2)-K40-'Calc base'!U40)</f>
        <v>0</v>
      </c>
      <c r="X40">
        <f>MAX(0,ROUND(AV39*(1+'Calc base'!J40),2)-L40-'Calc base'!V40)</f>
        <v>5165.73</v>
      </c>
      <c r="Y40">
        <f>MAX(0,ROUND(AW39*(1+'Calc base'!K40),2)-M40-'Calc base'!W40)</f>
        <v>7304.5</v>
      </c>
      <c r="Z40">
        <f>MAX(0,ROUND(AX39*(1+'Calc base'!L40),2)-N40-'Calc base'!X40)</f>
        <v>0</v>
      </c>
      <c r="AA40">
        <f>MAX(0,ROUND(AY39*(1+'Calc base'!M40),2)-O40-'Calc base'!Y40)</f>
        <v>0</v>
      </c>
      <c r="AB40">
        <f>MAX(0,ROUND(AZ39*(1+'Calc base'!N40),2)-P40-'Calc base'!Z40)</f>
        <v>0</v>
      </c>
      <c r="AC40">
        <f>MAX(0,ROUND(BA39*(1+'Calc base'!O40),2)-Q40-'Calc base'!AA40)</f>
        <v>0</v>
      </c>
      <c r="AD40">
        <f>MAX(0,ROUND(BB39*(1+'Calc base'!P40),2)-R40-'Calc base'!AB40)</f>
        <v>0</v>
      </c>
      <c r="AE40">
        <f>MAX(0,ROUND(BC39*(1+'Calc base'!Q40),2)-S40-'Calc base'!AC40)</f>
        <v>0</v>
      </c>
      <c r="AF40">
        <f>MAX(0,ROUND(BD39*(1+'Calc base'!R40),2)-T40-'Calc base'!AD40)</f>
        <v>0</v>
      </c>
      <c r="AG40">
        <f>MAX(0,ROUND(BE39*(1+'Calc base'!S40),2)-U40-'Calc base'!AE40)</f>
        <v>0</v>
      </c>
      <c r="AH40">
        <f>IF('Calc base'!C$14=0,0,MIN(V40,MAX(0,$E40-SUMIFS($V40:$AG40,'Calc base'!$C$17:$N$17,"&lt;"&amp;'Calc base'!C$17,'Calc base'!$C$14:$N$14,1))))</f>
        <v>384.94</v>
      </c>
      <c r="AI40">
        <f>IF('Calc base'!D$14=0,0,MIN(W40,MAX(0,$E40-SUMIFS($V40:$AG40,'Calc base'!$C$17:$N$17,"&lt;"&amp;'Calc base'!D$17,'Calc base'!$C$14:$N$14,1))))</f>
        <v>0</v>
      </c>
      <c r="AJ40">
        <f>IF('Calc base'!E$14=0,0,MIN(X40,MAX(0,$E40-SUMIFS($V40:$AG40,'Calc base'!$C$17:$N$17,"&lt;"&amp;'Calc base'!E$17,'Calc base'!$C$14:$N$14,1))))</f>
        <v>0</v>
      </c>
      <c r="AK40">
        <f>IF('Calc base'!F$14=0,0,MIN(Y40,MAX(0,$E40-SUMIFS($V40:$AG40,'Calc base'!$C$17:$N$17,"&lt;"&amp;'Calc base'!F$17,'Calc base'!$C$14:$N$14,1))))</f>
        <v>0</v>
      </c>
      <c r="AL40">
        <f>IF('Calc base'!G$14=0,0,MIN(Z40,MAX(0,$E40-SUMIFS($V40:$AG40,'Calc base'!$C$17:$N$17,"&lt;"&amp;'Calc base'!G$17,'Calc base'!$C$14:$N$14,1))))</f>
        <v>0</v>
      </c>
      <c r="AM40">
        <f>IF('Calc base'!H$14=0,0,MIN(AA40,MAX(0,$E40-SUMIFS($V40:$AG40,'Calc base'!$C$17:$N$17,"&lt;"&amp;'Calc base'!H$17,'Calc base'!$C$14:$N$14,1))))</f>
        <v>0</v>
      </c>
      <c r="AN40">
        <f>IF('Calc base'!I$14=0,0,MIN(AB40,MAX(0,$E40-SUMIFS($V40:$AG40,'Calc base'!$C$17:$N$17,"&lt;"&amp;'Calc base'!I$17,'Calc base'!$C$14:$N$14,1))))</f>
        <v>0</v>
      </c>
      <c r="AO40">
        <f>IF('Calc base'!J$14=0,0,MIN(AC40,MAX(0,$E40-SUMIFS($V40:$AG40,'Calc base'!$C$17:$N$17,"&lt;"&amp;'Calc base'!J$17,'Calc base'!$C$14:$N$14,1))))</f>
        <v>0</v>
      </c>
      <c r="AP40">
        <f>IF('Calc base'!K$14=0,0,MIN(AD40,MAX(0,$E40-SUMIFS($V40:$AG40,'Calc base'!$C$17:$N$17,"&lt;"&amp;'Calc base'!K$17,'Calc base'!$C$14:$N$14,1))))</f>
        <v>0</v>
      </c>
      <c r="AQ40">
        <f>IF('Calc base'!L$14=0,0,MIN(AE40,MAX(0,$E40-SUMIFS($V40:$AG40,'Calc base'!$C$17:$N$17,"&lt;"&amp;'Calc base'!L$17,'Calc base'!$C$14:$N$14,1))))</f>
        <v>0</v>
      </c>
      <c r="AR40">
        <f>IF('Calc base'!M$14=0,0,MIN(AF40,MAX(0,$E40-SUMIFS($V40:$AG40,'Calc base'!$C$17:$N$17,"&lt;"&amp;'Calc base'!M$17,'Calc base'!$C$14:$N$14,1))))</f>
        <v>0</v>
      </c>
      <c r="AS40">
        <f>IF('Calc base'!N$14=0,0,MIN(AG40,MAX(0,$E40-SUMIFS($V40:$AG40,'Calc base'!$C$17:$N$17,"&lt;"&amp;'Calc base'!N$17,'Calc base'!$C$14:$N$14,1))))</f>
        <v>0</v>
      </c>
      <c r="AT40">
        <f>V40-AH40</f>
        <v>931.49</v>
      </c>
      <c r="AU40">
        <f>W40-AI40</f>
        <v>0</v>
      </c>
      <c r="AV40">
        <f>X40-AJ40</f>
        <v>5165.73</v>
      </c>
      <c r="AW40">
        <f>Y40-AK40</f>
        <v>7304.5</v>
      </c>
      <c r="AX40">
        <f>Z40-AL40</f>
        <v>0</v>
      </c>
      <c r="AY40">
        <f>AA40-AM40</f>
        <v>0</v>
      </c>
      <c r="AZ40">
        <f>AB40-AN40</f>
        <v>0</v>
      </c>
      <c r="BA40">
        <f>AC40-AO40</f>
        <v>0</v>
      </c>
      <c r="BB40">
        <f>AD40-AP40</f>
        <v>0</v>
      </c>
      <c r="BC40">
        <f>AE40-AQ40</f>
        <v>0</v>
      </c>
      <c r="BD40">
        <f>AF40-AR40</f>
        <v>0</v>
      </c>
      <c r="BE40">
        <f>AG40-AS40</f>
        <v>0</v>
      </c>
    </row>
    <row r="41">
      <c r="A41" t="n">
        <v>11</v>
      </c>
      <c r="B41">
        <f>SUMPRODUCT(ROUND($AT40:$BE40*(1+'Calc base'!$H41:$S41),2))</f>
        <v>13494.95</v>
      </c>
      <c r="C41">
        <f>SUM(J41:U41)</f>
        <v>505</v>
      </c>
      <c r="D41">
        <f>SUM(V41:AG41)</f>
        <v>12989.95</v>
      </c>
      <c r="E41">
        <f>MAX(0,IF(Impostazioni!$B$7="No",'Calc base'!$C41-$C$31,'Calc base'!$C41-C41)+'Calc base'!$G41+'Calc base'!$F41-(B41-C41-D41))</f>
        <v>395</v>
      </c>
      <c r="F41">
        <f>SUM(AH41:AS41)</f>
        <v>395</v>
      </c>
      <c r="G41">
        <f>SUM(AT41:BE41)</f>
        <v>12594.95</v>
      </c>
      <c r="H41">
        <f>B41-G40</f>
        <v>93.2300000000014</v>
      </c>
      <c r="I41">
        <f>B41-G41</f>
        <v>900</v>
      </c>
      <c r="J41">
        <f>IF(AT40&lt;=0,0,IF(ROUND(AT40*(1+'Calc base'!H41),2)-MAX('Calc base'!C$12,ROUND('Calc base'!C$13*AT40,2))&lt;1,ROUND(AT40*(1+'Calc base'!H41),2),MAX('Calc base'!C$12,ROUND('Calc base'!C$13*AT40,2))))</f>
        <v>30</v>
      </c>
      <c r="K41">
        <f>IF(AU40&lt;=0,0,IF(ROUND(AU40*(1+'Calc base'!I41),2)-MAX('Calc base'!D$12,ROUND('Calc base'!D$13*AU40,2))&lt;1,ROUND(AU40*(1+'Calc base'!I41),2),MAX('Calc base'!D$12,ROUND('Calc base'!D$13*AU40,2))))</f>
        <v>0</v>
      </c>
      <c r="L41">
        <f>IF(AV40&lt;=0,0,IF(ROUND(AV40*(1+'Calc base'!J41),2)-MAX('Calc base'!E$12,ROUND('Calc base'!E$13*AV40,2))&lt;1,ROUND(AV40*(1+'Calc base'!J41),2),MAX('Calc base'!E$12,ROUND('Calc base'!E$13*AV40,2))))</f>
        <v>210</v>
      </c>
      <c r="M41">
        <f>IF(AW40&lt;=0,0,IF(ROUND(AW40*(1+'Calc base'!K41),2)-MAX('Calc base'!F$12,ROUND('Calc base'!F$13*AW40,2))&lt;1,ROUND(AW40*(1+'Calc base'!K41),2),MAX('Calc base'!F$12,ROUND('Calc base'!F$13*AW40,2))))</f>
        <v>265</v>
      </c>
      <c r="N41">
        <f>IF(AX40&lt;=0,0,IF(ROUND(AX40*(1+'Calc base'!L41),2)-MAX('Calc base'!G$12,ROUND('Calc base'!G$13*AX40,2))&lt;1,ROUND(AX40*(1+'Calc base'!L41),2),MAX('Calc base'!G$12,ROUND('Calc base'!G$13*AX40,2))))</f>
        <v>0</v>
      </c>
      <c r="O41">
        <f>IF(AY40&lt;=0,0,IF(ROUND(AY40*(1+'Calc base'!M41),2)-MAX('Calc base'!H$12,ROUND('Calc base'!H$13*AY40,2))&lt;1,ROUND(AY40*(1+'Calc base'!M41),2),MAX('Calc base'!H$12,ROUND('Calc base'!H$13*AY40,2))))</f>
        <v>0</v>
      </c>
      <c r="P41">
        <f>IF(AZ40&lt;=0,0,IF(ROUND(AZ40*(1+'Calc base'!N41),2)-MAX('Calc base'!I$12,ROUND('Calc base'!I$13*AZ40,2))&lt;1,ROUND(AZ40*(1+'Calc base'!N41),2),MAX('Calc base'!I$12,ROUND('Calc base'!I$13*AZ40,2))))</f>
        <v>0</v>
      </c>
      <c r="Q41">
        <f>IF(BA40&lt;=0,0,IF(ROUND(BA40*(1+'Calc base'!O41),2)-MAX('Calc base'!J$12,ROUND('Calc base'!J$13*BA40,2))&lt;1,ROUND(BA40*(1+'Calc base'!O41),2),MAX('Calc base'!J$12,ROUND('Calc base'!J$13*BA40,2))))</f>
        <v>0</v>
      </c>
      <c r="R41">
        <f>IF(BB40&lt;=0,0,IF(ROUND(BB40*(1+'Calc base'!P41),2)-MAX('Calc base'!K$12,ROUND('Calc base'!K$13*BB40,2))&lt;1,ROUND(BB40*(1+'Calc base'!P41),2),MAX('Calc base'!K$12,ROUND('Calc base'!K$13*BB40,2))))</f>
        <v>0</v>
      </c>
      <c r="S41">
        <f>IF(BC40&lt;=0,0,IF(ROUND(BC40*(1+'Calc base'!Q41),2)-MAX('Calc base'!L$12,ROUND('Calc base'!L$13*BC40,2))&lt;1,ROUND(BC40*(1+'Calc base'!Q41),2),MAX('Calc base'!L$12,ROUND('Calc base'!L$13*BC40,2))))</f>
        <v>0</v>
      </c>
      <c r="T41">
        <f>IF(BD40&lt;=0,0,IF(ROUND(BD40*(1+'Calc base'!R41),2)-MAX('Calc base'!M$12,ROUND('Calc base'!M$13*BD40,2))&lt;1,ROUND(BD40*(1+'Calc base'!R41),2),MAX('Calc base'!M$12,ROUND('Calc base'!M$13*BD40,2))))</f>
        <v>0</v>
      </c>
      <c r="U41">
        <f>IF(BE40&lt;=0,0,IF(ROUND(BE40*(1+'Calc base'!S41),2)-MAX('Calc base'!N$12,ROUND('Calc base'!N$13*BE40,2))&lt;1,ROUND(BE40*(1+'Calc base'!S41),2),MAX('Calc base'!N$12,ROUND('Calc base'!N$13*BE40,2))))</f>
        <v>0</v>
      </c>
      <c r="V41">
        <f>MAX(0,ROUND(AT40*(1+'Calc base'!H41),2)-J41-'Calc base'!T41)</f>
        <v>916.16</v>
      </c>
      <c r="W41">
        <f>MAX(0,ROUND(AU40*(1+'Calc base'!I41),2)-K41-'Calc base'!U41)</f>
        <v>0</v>
      </c>
      <c r="X41">
        <f>MAX(0,ROUND(AV40*(1+'Calc base'!J41),2)-L41-'Calc base'!V41)</f>
        <v>4995.33</v>
      </c>
      <c r="Y41">
        <f>MAX(0,ROUND(AW40*(1+'Calc base'!K41),2)-M41-'Calc base'!W41)</f>
        <v>7078.46</v>
      </c>
      <c r="Z41">
        <f>MAX(0,ROUND(AX40*(1+'Calc base'!L41),2)-N41-'Calc base'!X41)</f>
        <v>0</v>
      </c>
      <c r="AA41">
        <f>MAX(0,ROUND(AY40*(1+'Calc base'!M41),2)-O41-'Calc base'!Y41)</f>
        <v>0</v>
      </c>
      <c r="AB41">
        <f>MAX(0,ROUND(AZ40*(1+'Calc base'!N41),2)-P41-'Calc base'!Z41)</f>
        <v>0</v>
      </c>
      <c r="AC41">
        <f>MAX(0,ROUND(BA40*(1+'Calc base'!O41),2)-Q41-'Calc base'!AA41)</f>
        <v>0</v>
      </c>
      <c r="AD41">
        <f>MAX(0,ROUND(BB40*(1+'Calc base'!P41),2)-R41-'Calc base'!AB41)</f>
        <v>0</v>
      </c>
      <c r="AE41">
        <f>MAX(0,ROUND(BC40*(1+'Calc base'!Q41),2)-S41-'Calc base'!AC41)</f>
        <v>0</v>
      </c>
      <c r="AF41">
        <f>MAX(0,ROUND(BD40*(1+'Calc base'!R41),2)-T41-'Calc base'!AD41)</f>
        <v>0</v>
      </c>
      <c r="AG41">
        <f>MAX(0,ROUND(BE40*(1+'Calc base'!S41),2)-U41-'Calc base'!AE41)</f>
        <v>0</v>
      </c>
      <c r="AH41">
        <f>IF('Calc base'!C$14=0,0,MIN(V41,MAX(0,$E41-SUMIFS($V41:$AG41,'Calc base'!$C$17:$N$17,"&lt;"&amp;'Calc base'!C$17,'Calc base'!$C$14:$N$14,1))))</f>
        <v>395</v>
      </c>
      <c r="AI41">
        <f>IF('Calc base'!D$14=0,0,MIN(W41,MAX(0,$E41-SUMIFS($V41:$AG41,'Calc base'!$C$17:$N$17,"&lt;"&amp;'Calc base'!D$17,'Calc base'!$C$14:$N$14,1))))</f>
        <v>0</v>
      </c>
      <c r="AJ41">
        <f>IF('Calc base'!E$14=0,0,MIN(X41,MAX(0,$E41-SUMIFS($V41:$AG41,'Calc base'!$C$17:$N$17,"&lt;"&amp;'Calc base'!E$17,'Calc base'!$C$14:$N$14,1))))</f>
        <v>0</v>
      </c>
      <c r="AK41">
        <f>IF('Calc base'!F$14=0,0,MIN(Y41,MAX(0,$E41-SUMIFS($V41:$AG41,'Calc base'!$C$17:$N$17,"&lt;"&amp;'Calc base'!F$17,'Calc base'!$C$14:$N$14,1))))</f>
        <v>0</v>
      </c>
      <c r="AL41">
        <f>IF('Calc base'!G$14=0,0,MIN(Z41,MAX(0,$E41-SUMIFS($V41:$AG41,'Calc base'!$C$17:$N$17,"&lt;"&amp;'Calc base'!G$17,'Calc base'!$C$14:$N$14,1))))</f>
        <v>0</v>
      </c>
      <c r="AM41">
        <f>IF('Calc base'!H$14=0,0,MIN(AA41,MAX(0,$E41-SUMIFS($V41:$AG41,'Calc base'!$C$17:$N$17,"&lt;"&amp;'Calc base'!H$17,'Calc base'!$C$14:$N$14,1))))</f>
        <v>0</v>
      </c>
      <c r="AN41">
        <f>IF('Calc base'!I$14=0,0,MIN(AB41,MAX(0,$E41-SUMIFS($V41:$AG41,'Calc base'!$C$17:$N$17,"&lt;"&amp;'Calc base'!I$17,'Calc base'!$C$14:$N$14,1))))</f>
        <v>0</v>
      </c>
      <c r="AO41">
        <f>IF('Calc base'!J$14=0,0,MIN(AC41,MAX(0,$E41-SUMIFS($V41:$AG41,'Calc base'!$C$17:$N$17,"&lt;"&amp;'Calc base'!J$17,'Calc base'!$C$14:$N$14,1))))</f>
        <v>0</v>
      </c>
      <c r="AP41">
        <f>IF('Calc base'!K$14=0,0,MIN(AD41,MAX(0,$E41-SUMIFS($V41:$AG41,'Calc base'!$C$17:$N$17,"&lt;"&amp;'Calc base'!K$17,'Calc base'!$C$14:$N$14,1))))</f>
        <v>0</v>
      </c>
      <c r="AQ41">
        <f>IF('Calc base'!L$14=0,0,MIN(AE41,MAX(0,$E41-SUMIFS($V41:$AG41,'Calc base'!$C$17:$N$17,"&lt;"&amp;'Calc base'!L$17,'Calc base'!$C$14:$N$14,1))))</f>
        <v>0</v>
      </c>
      <c r="AR41">
        <f>IF('Calc base'!M$14=0,0,MIN(AF41,MAX(0,$E41-SUMIFS($V41:$AG41,'Calc base'!$C$17:$N$17,"&lt;"&amp;'Calc base'!M$17,'Calc base'!$C$14:$N$14,1))))</f>
        <v>0</v>
      </c>
      <c r="AS41">
        <f>IF('Calc base'!N$14=0,0,MIN(AG41,MAX(0,$E41-SUMIFS($V41:$AG41,'Calc base'!$C$17:$N$17,"&lt;"&amp;'Calc base'!N$17,'Calc base'!$C$14:$N$14,1))))</f>
        <v>0</v>
      </c>
      <c r="AT41">
        <f>V41-AH41</f>
        <v>521.16</v>
      </c>
      <c r="AU41">
        <f>W41-AI41</f>
        <v>0</v>
      </c>
      <c r="AV41">
        <f>X41-AJ41</f>
        <v>4995.33</v>
      </c>
      <c r="AW41">
        <f>Y41-AK41</f>
        <v>7078.46</v>
      </c>
      <c r="AX41">
        <f>Z41-AL41</f>
        <v>0</v>
      </c>
      <c r="AY41">
        <f>AA41-AM41</f>
        <v>0</v>
      </c>
      <c r="AZ41">
        <f>AB41-AN41</f>
        <v>0</v>
      </c>
      <c r="BA41">
        <f>AC41-AO41</f>
        <v>0</v>
      </c>
      <c r="BB41">
        <f>AD41-AP41</f>
        <v>0</v>
      </c>
      <c r="BC41">
        <f>AE41-AQ41</f>
        <v>0</v>
      </c>
      <c r="BD41">
        <f>AF41-AR41</f>
        <v>0</v>
      </c>
      <c r="BE41">
        <f>AG41-AS41</f>
        <v>0</v>
      </c>
    </row>
    <row r="42">
      <c r="A42" t="n">
        <v>12</v>
      </c>
      <c r="B42">
        <f>SUMPRODUCT(ROUND($AT41:$BE41*(1+'Calc base'!$H42:$S42),2))</f>
        <v>12679.21</v>
      </c>
      <c r="C42">
        <f>SUM(J42:U42)</f>
        <v>505</v>
      </c>
      <c r="D42">
        <f>SUM(V42:AG42)</f>
        <v>12174.21</v>
      </c>
      <c r="E42">
        <f>MAX(0,IF(Impostazioni!$B$7="No",'Calc base'!$C42-$C$31,'Calc base'!$C42-C42)+'Calc base'!$G42+'Calc base'!$F42-(B42-C42-D42))</f>
        <v>395</v>
      </c>
      <c r="F42">
        <f>SUM(AH42:AS42)</f>
        <v>395</v>
      </c>
      <c r="G42">
        <f>SUM(AT42:BE42)</f>
        <v>11779.21</v>
      </c>
      <c r="H42">
        <f>B42-G41</f>
        <v>84.2600000000002</v>
      </c>
      <c r="I42">
        <f>B42-G42</f>
        <v>900.000000000002</v>
      </c>
      <c r="J42">
        <f>IF(AT41&lt;=0,0,IF(ROUND(AT41*(1+'Calc base'!H42),2)-MAX('Calc base'!C$12,ROUND('Calc base'!C$13*AT41,2))&lt;1,ROUND(AT41*(1+'Calc base'!H42),2),MAX('Calc base'!C$12,ROUND('Calc base'!C$13*AT41,2))))</f>
        <v>30</v>
      </c>
      <c r="K42">
        <f>IF(AU41&lt;=0,0,IF(ROUND(AU41*(1+'Calc base'!I42),2)-MAX('Calc base'!D$12,ROUND('Calc base'!D$13*AU41,2))&lt;1,ROUND(AU41*(1+'Calc base'!I42),2),MAX('Calc base'!D$12,ROUND('Calc base'!D$13*AU41,2))))</f>
        <v>0</v>
      </c>
      <c r="L42">
        <f>IF(AV41&lt;=0,0,IF(ROUND(AV41*(1+'Calc base'!J42),2)-MAX('Calc base'!E$12,ROUND('Calc base'!E$13*AV41,2))&lt;1,ROUND(AV41*(1+'Calc base'!J42),2),MAX('Calc base'!E$12,ROUND('Calc base'!E$13*AV41,2))))</f>
        <v>210</v>
      </c>
      <c r="M42">
        <f>IF(AW41&lt;=0,0,IF(ROUND(AW41*(1+'Calc base'!K42),2)-MAX('Calc base'!F$12,ROUND('Calc base'!F$13*AW41,2))&lt;1,ROUND(AW41*(1+'Calc base'!K42),2),MAX('Calc base'!F$12,ROUND('Calc base'!F$13*AW41,2))))</f>
        <v>265</v>
      </c>
      <c r="N42">
        <f>IF(AX41&lt;=0,0,IF(ROUND(AX41*(1+'Calc base'!L42),2)-MAX('Calc base'!G$12,ROUND('Calc base'!G$13*AX41,2))&lt;1,ROUND(AX41*(1+'Calc base'!L42),2),MAX('Calc base'!G$12,ROUND('Calc base'!G$13*AX41,2))))</f>
        <v>0</v>
      </c>
      <c r="O42">
        <f>IF(AY41&lt;=0,0,IF(ROUND(AY41*(1+'Calc base'!M42),2)-MAX('Calc base'!H$12,ROUND('Calc base'!H$13*AY41,2))&lt;1,ROUND(AY41*(1+'Calc base'!M42),2),MAX('Calc base'!H$12,ROUND('Calc base'!H$13*AY41,2))))</f>
        <v>0</v>
      </c>
      <c r="P42">
        <f>IF(AZ41&lt;=0,0,IF(ROUND(AZ41*(1+'Calc base'!N42),2)-MAX('Calc base'!I$12,ROUND('Calc base'!I$13*AZ41,2))&lt;1,ROUND(AZ41*(1+'Calc base'!N42),2),MAX('Calc base'!I$12,ROUND('Calc base'!I$13*AZ41,2))))</f>
        <v>0</v>
      </c>
      <c r="Q42">
        <f>IF(BA41&lt;=0,0,IF(ROUND(BA41*(1+'Calc base'!O42),2)-MAX('Calc base'!J$12,ROUND('Calc base'!J$13*BA41,2))&lt;1,ROUND(BA41*(1+'Calc base'!O42),2),MAX('Calc base'!J$12,ROUND('Calc base'!J$13*BA41,2))))</f>
        <v>0</v>
      </c>
      <c r="R42">
        <f>IF(BB41&lt;=0,0,IF(ROUND(BB41*(1+'Calc base'!P42),2)-MAX('Calc base'!K$12,ROUND('Calc base'!K$13*BB41,2))&lt;1,ROUND(BB41*(1+'Calc base'!P42),2),MAX('Calc base'!K$12,ROUND('Calc base'!K$13*BB41,2))))</f>
        <v>0</v>
      </c>
      <c r="S42">
        <f>IF(BC41&lt;=0,0,IF(ROUND(BC41*(1+'Calc base'!Q42),2)-MAX('Calc base'!L$12,ROUND('Calc base'!L$13*BC41,2))&lt;1,ROUND(BC41*(1+'Calc base'!Q42),2),MAX('Calc base'!L$12,ROUND('Calc base'!L$13*BC41,2))))</f>
        <v>0</v>
      </c>
      <c r="T42">
        <f>IF(BD41&lt;=0,0,IF(ROUND(BD41*(1+'Calc base'!R42),2)-MAX('Calc base'!M$12,ROUND('Calc base'!M$13*BD41,2))&lt;1,ROUND(BD41*(1+'Calc base'!R42),2),MAX('Calc base'!M$12,ROUND('Calc base'!M$13*BD41,2))))</f>
        <v>0</v>
      </c>
      <c r="U42">
        <f>IF(BE41&lt;=0,0,IF(ROUND(BE41*(1+'Calc base'!S42),2)-MAX('Calc base'!N$12,ROUND('Calc base'!N$13*BE41,2))&lt;1,ROUND(BE41*(1+'Calc base'!S42),2),MAX('Calc base'!N$12,ROUND('Calc base'!N$13*BE41,2))))</f>
        <v>0</v>
      </c>
      <c r="V42">
        <f>MAX(0,ROUND(AT41*(1+'Calc base'!H42),2)-J42-'Calc base'!T42)</f>
        <v>499.37</v>
      </c>
      <c r="W42">
        <f>MAX(0,ROUND(AU41*(1+'Calc base'!I42),2)-K42-'Calc base'!U42)</f>
        <v>0</v>
      </c>
      <c r="X42">
        <f>MAX(0,ROUND(AV41*(1+'Calc base'!J42),2)-L42-'Calc base'!V42)</f>
        <v>4823.63</v>
      </c>
      <c r="Y42">
        <f>MAX(0,ROUND(AW41*(1+'Calc base'!K42),2)-M42-'Calc base'!W42)</f>
        <v>6851.21</v>
      </c>
      <c r="Z42">
        <f>MAX(0,ROUND(AX41*(1+'Calc base'!L42),2)-N42-'Calc base'!X42)</f>
        <v>0</v>
      </c>
      <c r="AA42">
        <f>MAX(0,ROUND(AY41*(1+'Calc base'!M42),2)-O42-'Calc base'!Y42)</f>
        <v>0</v>
      </c>
      <c r="AB42">
        <f>MAX(0,ROUND(AZ41*(1+'Calc base'!N42),2)-P42-'Calc base'!Z42)</f>
        <v>0</v>
      </c>
      <c r="AC42">
        <f>MAX(0,ROUND(BA41*(1+'Calc base'!O42),2)-Q42-'Calc base'!AA42)</f>
        <v>0</v>
      </c>
      <c r="AD42">
        <f>MAX(0,ROUND(BB41*(1+'Calc base'!P42),2)-R42-'Calc base'!AB42)</f>
        <v>0</v>
      </c>
      <c r="AE42">
        <f>MAX(0,ROUND(BC41*(1+'Calc base'!Q42),2)-S42-'Calc base'!AC42)</f>
        <v>0</v>
      </c>
      <c r="AF42">
        <f>MAX(0,ROUND(BD41*(1+'Calc base'!R42),2)-T42-'Calc base'!AD42)</f>
        <v>0</v>
      </c>
      <c r="AG42">
        <f>MAX(0,ROUND(BE41*(1+'Calc base'!S42),2)-U42-'Calc base'!AE42)</f>
        <v>0</v>
      </c>
      <c r="AH42">
        <f>IF('Calc base'!C$14=0,0,MIN(V42,MAX(0,$E42-SUMIFS($V42:$AG42,'Calc base'!$C$17:$N$17,"&lt;"&amp;'Calc base'!C$17,'Calc base'!$C$14:$N$14,1))))</f>
        <v>395</v>
      </c>
      <c r="AI42">
        <f>IF('Calc base'!D$14=0,0,MIN(W42,MAX(0,$E42-SUMIFS($V42:$AG42,'Calc base'!$C$17:$N$17,"&lt;"&amp;'Calc base'!D$17,'Calc base'!$C$14:$N$14,1))))</f>
        <v>0</v>
      </c>
      <c r="AJ42">
        <f>IF('Calc base'!E$14=0,0,MIN(X42,MAX(0,$E42-SUMIFS($V42:$AG42,'Calc base'!$C$17:$N$17,"&lt;"&amp;'Calc base'!E$17,'Calc base'!$C$14:$N$14,1))))</f>
        <v>0</v>
      </c>
      <c r="AK42">
        <f>IF('Calc base'!F$14=0,0,MIN(Y42,MAX(0,$E42-SUMIFS($V42:$AG42,'Calc base'!$C$17:$N$17,"&lt;"&amp;'Calc base'!F$17,'Calc base'!$C$14:$N$14,1))))</f>
        <v>0</v>
      </c>
      <c r="AL42">
        <f>IF('Calc base'!G$14=0,0,MIN(Z42,MAX(0,$E42-SUMIFS($V42:$AG42,'Calc base'!$C$17:$N$17,"&lt;"&amp;'Calc base'!G$17,'Calc base'!$C$14:$N$14,1))))</f>
        <v>0</v>
      </c>
      <c r="AM42">
        <f>IF('Calc base'!H$14=0,0,MIN(AA42,MAX(0,$E42-SUMIFS($V42:$AG42,'Calc base'!$C$17:$N$17,"&lt;"&amp;'Calc base'!H$17,'Calc base'!$C$14:$N$14,1))))</f>
        <v>0</v>
      </c>
      <c r="AN42">
        <f>IF('Calc base'!I$14=0,0,MIN(AB42,MAX(0,$E42-SUMIFS($V42:$AG42,'Calc base'!$C$17:$N$17,"&lt;"&amp;'Calc base'!I$17,'Calc base'!$C$14:$N$14,1))))</f>
        <v>0</v>
      </c>
      <c r="AO42">
        <f>IF('Calc base'!J$14=0,0,MIN(AC42,MAX(0,$E42-SUMIFS($V42:$AG42,'Calc base'!$C$17:$N$17,"&lt;"&amp;'Calc base'!J$17,'Calc base'!$C$14:$N$14,1))))</f>
        <v>0</v>
      </c>
      <c r="AP42">
        <f>IF('Calc base'!K$14=0,0,MIN(AD42,MAX(0,$E42-SUMIFS($V42:$AG42,'Calc base'!$C$17:$N$17,"&lt;"&amp;'Calc base'!K$17,'Calc base'!$C$14:$N$14,1))))</f>
        <v>0</v>
      </c>
      <c r="AQ42">
        <f>IF('Calc base'!L$14=0,0,MIN(AE42,MAX(0,$E42-SUMIFS($V42:$AG42,'Calc base'!$C$17:$N$17,"&lt;"&amp;'Calc base'!L$17,'Calc base'!$C$14:$N$14,1))))</f>
        <v>0</v>
      </c>
      <c r="AR42">
        <f>IF('Calc base'!M$14=0,0,MIN(AF42,MAX(0,$E42-SUMIFS($V42:$AG42,'Calc base'!$C$17:$N$17,"&lt;"&amp;'Calc base'!M$17,'Calc base'!$C$14:$N$14,1))))</f>
        <v>0</v>
      </c>
      <c r="AS42">
        <f>IF('Calc base'!N$14=0,0,MIN(AG42,MAX(0,$E42-SUMIFS($V42:$AG42,'Calc base'!$C$17:$N$17,"&lt;"&amp;'Calc base'!N$17,'Calc base'!$C$14:$N$14,1))))</f>
        <v>0</v>
      </c>
      <c r="AT42">
        <f>V42-AH42</f>
        <v>104.37</v>
      </c>
      <c r="AU42">
        <f>W42-AI42</f>
        <v>0</v>
      </c>
      <c r="AV42">
        <f>X42-AJ42</f>
        <v>4823.63</v>
      </c>
      <c r="AW42">
        <f>Y42-AK42</f>
        <v>6851.21</v>
      </c>
      <c r="AX42">
        <f>Z42-AL42</f>
        <v>0</v>
      </c>
      <c r="AY42">
        <f>AA42-AM42</f>
        <v>0</v>
      </c>
      <c r="AZ42">
        <f>AB42-AN42</f>
        <v>0</v>
      </c>
      <c r="BA42">
        <f>AC42-AO42</f>
        <v>0</v>
      </c>
      <c r="BB42">
        <f>AD42-AP42</f>
        <v>0</v>
      </c>
      <c r="BC42">
        <f>AE42-AQ42</f>
        <v>0</v>
      </c>
      <c r="BD42">
        <f>AF42-AR42</f>
        <v>0</v>
      </c>
      <c r="BE42">
        <f>AG42-AS42</f>
        <v>0</v>
      </c>
    </row>
    <row r="43">
      <c r="A43" t="n">
        <v>13</v>
      </c>
      <c r="B43">
        <f>SUMPRODUCT(ROUND($AT42:$BE42*(1+'Calc base'!$H43:$S43),2))</f>
        <v>11854.37</v>
      </c>
      <c r="C43">
        <f>SUM(J43:U43)</f>
        <v>505</v>
      </c>
      <c r="D43">
        <f>SUM(V43:AG43)</f>
        <v>11349.37</v>
      </c>
      <c r="E43">
        <f>MAX(0,IF(Impostazioni!$B$7="No",'Calc base'!$C43-$C$31,'Calc base'!$C43-C43)+'Calc base'!$G43+'Calc base'!$F43-(B43-C43-D43))</f>
        <v>395</v>
      </c>
      <c r="F43">
        <f>SUM(AH43:AS43)</f>
        <v>395</v>
      </c>
      <c r="G43">
        <f>SUM(AT43:BE43)</f>
        <v>10954.37</v>
      </c>
      <c r="H43">
        <f>B43-G42</f>
        <v>75.1599999999999</v>
      </c>
      <c r="I43">
        <f>B43-G43</f>
        <v>900</v>
      </c>
      <c r="J43">
        <f>IF(AT42&lt;=0,0,IF(ROUND(AT42*(1+'Calc base'!H43),2)-MAX('Calc base'!C$12,ROUND('Calc base'!C$13*AT42,2))&lt;1,ROUND(AT42*(1+'Calc base'!H43),2),MAX('Calc base'!C$12,ROUND('Calc base'!C$13*AT42,2))))</f>
        <v>30</v>
      </c>
      <c r="K43">
        <f>IF(AU42&lt;=0,0,IF(ROUND(AU42*(1+'Calc base'!I43),2)-MAX('Calc base'!D$12,ROUND('Calc base'!D$13*AU42,2))&lt;1,ROUND(AU42*(1+'Calc base'!I43),2),MAX('Calc base'!D$12,ROUND('Calc base'!D$13*AU42,2))))</f>
        <v>0</v>
      </c>
      <c r="L43">
        <f>IF(AV42&lt;=0,0,IF(ROUND(AV42*(1+'Calc base'!J43),2)-MAX('Calc base'!E$12,ROUND('Calc base'!E$13*AV42,2))&lt;1,ROUND(AV42*(1+'Calc base'!J43),2),MAX('Calc base'!E$12,ROUND('Calc base'!E$13*AV42,2))))</f>
        <v>210</v>
      </c>
      <c r="M43">
        <f>IF(AW42&lt;=0,0,IF(ROUND(AW42*(1+'Calc base'!K43),2)-MAX('Calc base'!F$12,ROUND('Calc base'!F$13*AW42,2))&lt;1,ROUND(AW42*(1+'Calc base'!K43),2),MAX('Calc base'!F$12,ROUND('Calc base'!F$13*AW42,2))))</f>
        <v>265</v>
      </c>
      <c r="N43">
        <f>IF(AX42&lt;=0,0,IF(ROUND(AX42*(1+'Calc base'!L43),2)-MAX('Calc base'!G$12,ROUND('Calc base'!G$13*AX42,2))&lt;1,ROUND(AX42*(1+'Calc base'!L43),2),MAX('Calc base'!G$12,ROUND('Calc base'!G$13*AX42,2))))</f>
        <v>0</v>
      </c>
      <c r="O43">
        <f>IF(AY42&lt;=0,0,IF(ROUND(AY42*(1+'Calc base'!M43),2)-MAX('Calc base'!H$12,ROUND('Calc base'!H$13*AY42,2))&lt;1,ROUND(AY42*(1+'Calc base'!M43),2),MAX('Calc base'!H$12,ROUND('Calc base'!H$13*AY42,2))))</f>
        <v>0</v>
      </c>
      <c r="P43">
        <f>IF(AZ42&lt;=0,0,IF(ROUND(AZ42*(1+'Calc base'!N43),2)-MAX('Calc base'!I$12,ROUND('Calc base'!I$13*AZ42,2))&lt;1,ROUND(AZ42*(1+'Calc base'!N43),2),MAX('Calc base'!I$12,ROUND('Calc base'!I$13*AZ42,2))))</f>
        <v>0</v>
      </c>
      <c r="Q43">
        <f>IF(BA42&lt;=0,0,IF(ROUND(BA42*(1+'Calc base'!O43),2)-MAX('Calc base'!J$12,ROUND('Calc base'!J$13*BA42,2))&lt;1,ROUND(BA42*(1+'Calc base'!O43),2),MAX('Calc base'!J$12,ROUND('Calc base'!J$13*BA42,2))))</f>
        <v>0</v>
      </c>
      <c r="R43">
        <f>IF(BB42&lt;=0,0,IF(ROUND(BB42*(1+'Calc base'!P43),2)-MAX('Calc base'!K$12,ROUND('Calc base'!K$13*BB42,2))&lt;1,ROUND(BB42*(1+'Calc base'!P43),2),MAX('Calc base'!K$12,ROUND('Calc base'!K$13*BB42,2))))</f>
        <v>0</v>
      </c>
      <c r="S43">
        <f>IF(BC42&lt;=0,0,IF(ROUND(BC42*(1+'Calc base'!Q43),2)-MAX('Calc base'!L$12,ROUND('Calc base'!L$13*BC42,2))&lt;1,ROUND(BC42*(1+'Calc base'!Q43),2),MAX('Calc base'!L$12,ROUND('Calc base'!L$13*BC42,2))))</f>
        <v>0</v>
      </c>
      <c r="T43">
        <f>IF(BD42&lt;=0,0,IF(ROUND(BD42*(1+'Calc base'!R43),2)-MAX('Calc base'!M$12,ROUND('Calc base'!M$13*BD42,2))&lt;1,ROUND(BD42*(1+'Calc base'!R43),2),MAX('Calc base'!M$12,ROUND('Calc base'!M$13*BD42,2))))</f>
        <v>0</v>
      </c>
      <c r="U43">
        <f>IF(BE42&lt;=0,0,IF(ROUND(BE42*(1+'Calc base'!S43),2)-MAX('Calc base'!N$12,ROUND('Calc base'!N$13*BE42,2))&lt;1,ROUND(BE42*(1+'Calc base'!S43),2),MAX('Calc base'!N$12,ROUND('Calc base'!N$13*BE42,2))))</f>
        <v>0</v>
      </c>
      <c r="V43">
        <f>MAX(0,ROUND(AT42*(1+'Calc base'!H43),2)-J43-'Calc base'!T43)</f>
        <v>76.01</v>
      </c>
      <c r="W43">
        <f>MAX(0,ROUND(AU42*(1+'Calc base'!I43),2)-K43-'Calc base'!U43)</f>
        <v>0</v>
      </c>
      <c r="X43">
        <f>MAX(0,ROUND(AV42*(1+'Calc base'!J43),2)-L43-'Calc base'!V43)</f>
        <v>4650.61</v>
      </c>
      <c r="Y43">
        <f>MAX(0,ROUND(AW42*(1+'Calc base'!K43),2)-M43-'Calc base'!W43)</f>
        <v>6622.75</v>
      </c>
      <c r="Z43">
        <f>MAX(0,ROUND(AX42*(1+'Calc base'!L43),2)-N43-'Calc base'!X43)</f>
        <v>0</v>
      </c>
      <c r="AA43">
        <f>MAX(0,ROUND(AY42*(1+'Calc base'!M43),2)-O43-'Calc base'!Y43)</f>
        <v>0</v>
      </c>
      <c r="AB43">
        <f>MAX(0,ROUND(AZ42*(1+'Calc base'!N43),2)-P43-'Calc base'!Z43)</f>
        <v>0</v>
      </c>
      <c r="AC43">
        <f>MAX(0,ROUND(BA42*(1+'Calc base'!O43),2)-Q43-'Calc base'!AA43)</f>
        <v>0</v>
      </c>
      <c r="AD43">
        <f>MAX(0,ROUND(BB42*(1+'Calc base'!P43),2)-R43-'Calc base'!AB43)</f>
        <v>0</v>
      </c>
      <c r="AE43">
        <f>MAX(0,ROUND(BC42*(1+'Calc base'!Q43),2)-S43-'Calc base'!AC43)</f>
        <v>0</v>
      </c>
      <c r="AF43">
        <f>MAX(0,ROUND(BD42*(1+'Calc base'!R43),2)-T43-'Calc base'!AD43)</f>
        <v>0</v>
      </c>
      <c r="AG43">
        <f>MAX(0,ROUND(BE42*(1+'Calc base'!S43),2)-U43-'Calc base'!AE43)</f>
        <v>0</v>
      </c>
      <c r="AH43">
        <f>IF('Calc base'!C$14=0,0,MIN(V43,MAX(0,$E43-SUMIFS($V43:$AG43,'Calc base'!$C$17:$N$17,"&lt;"&amp;'Calc base'!C$17,'Calc base'!$C$14:$N$14,1))))</f>
        <v>76.01</v>
      </c>
      <c r="AI43">
        <f>IF('Calc base'!D$14=0,0,MIN(W43,MAX(0,$E43-SUMIFS($V43:$AG43,'Calc base'!$C$17:$N$17,"&lt;"&amp;'Calc base'!D$17,'Calc base'!$C$14:$N$14,1))))</f>
        <v>0</v>
      </c>
      <c r="AJ43">
        <f>IF('Calc base'!E$14=0,0,MIN(X43,MAX(0,$E43-SUMIFS($V43:$AG43,'Calc base'!$C$17:$N$17,"&lt;"&amp;'Calc base'!E$17,'Calc base'!$C$14:$N$14,1))))</f>
        <v>318.99</v>
      </c>
      <c r="AK43">
        <f>IF('Calc base'!F$14=0,0,MIN(Y43,MAX(0,$E43-SUMIFS($V43:$AG43,'Calc base'!$C$17:$N$17,"&lt;"&amp;'Calc base'!F$17,'Calc base'!$C$14:$N$14,1))))</f>
        <v>0</v>
      </c>
      <c r="AL43">
        <f>IF('Calc base'!G$14=0,0,MIN(Z43,MAX(0,$E43-SUMIFS($V43:$AG43,'Calc base'!$C$17:$N$17,"&lt;"&amp;'Calc base'!G$17,'Calc base'!$C$14:$N$14,1))))</f>
        <v>0</v>
      </c>
      <c r="AM43">
        <f>IF('Calc base'!H$14=0,0,MIN(AA43,MAX(0,$E43-SUMIFS($V43:$AG43,'Calc base'!$C$17:$N$17,"&lt;"&amp;'Calc base'!H$17,'Calc base'!$C$14:$N$14,1))))</f>
        <v>0</v>
      </c>
      <c r="AN43">
        <f>IF('Calc base'!I$14=0,0,MIN(AB43,MAX(0,$E43-SUMIFS($V43:$AG43,'Calc base'!$C$17:$N$17,"&lt;"&amp;'Calc base'!I$17,'Calc base'!$C$14:$N$14,1))))</f>
        <v>0</v>
      </c>
      <c r="AO43">
        <f>IF('Calc base'!J$14=0,0,MIN(AC43,MAX(0,$E43-SUMIFS($V43:$AG43,'Calc base'!$C$17:$N$17,"&lt;"&amp;'Calc base'!J$17,'Calc base'!$C$14:$N$14,1))))</f>
        <v>0</v>
      </c>
      <c r="AP43">
        <f>IF('Calc base'!K$14=0,0,MIN(AD43,MAX(0,$E43-SUMIFS($V43:$AG43,'Calc base'!$C$17:$N$17,"&lt;"&amp;'Calc base'!K$17,'Calc base'!$C$14:$N$14,1))))</f>
        <v>0</v>
      </c>
      <c r="AQ43">
        <f>IF('Calc base'!L$14=0,0,MIN(AE43,MAX(0,$E43-SUMIFS($V43:$AG43,'Calc base'!$C$17:$N$17,"&lt;"&amp;'Calc base'!L$17,'Calc base'!$C$14:$N$14,1))))</f>
        <v>0</v>
      </c>
      <c r="AR43">
        <f>IF('Calc base'!M$14=0,0,MIN(AF43,MAX(0,$E43-SUMIFS($V43:$AG43,'Calc base'!$C$17:$N$17,"&lt;"&amp;'Calc base'!M$17,'Calc base'!$C$14:$N$14,1))))</f>
        <v>0</v>
      </c>
      <c r="AS43">
        <f>IF('Calc base'!N$14=0,0,MIN(AG43,MAX(0,$E43-SUMIFS($V43:$AG43,'Calc base'!$C$17:$N$17,"&lt;"&amp;'Calc base'!N$17,'Calc base'!$C$14:$N$14,1))))</f>
        <v>0</v>
      </c>
      <c r="AT43">
        <f>V43-AH43</f>
        <v>0</v>
      </c>
      <c r="AU43">
        <f>W43-AI43</f>
        <v>0</v>
      </c>
      <c r="AV43">
        <f>X43-AJ43</f>
        <v>4331.62</v>
      </c>
      <c r="AW43">
        <f>Y43-AK43</f>
        <v>6622.75</v>
      </c>
      <c r="AX43">
        <f>Z43-AL43</f>
        <v>0</v>
      </c>
      <c r="AY43">
        <f>AA43-AM43</f>
        <v>0</v>
      </c>
      <c r="AZ43">
        <f>AB43-AN43</f>
        <v>0</v>
      </c>
      <c r="BA43">
        <f>AC43-AO43</f>
        <v>0</v>
      </c>
      <c r="BB43">
        <f>AD43-AP43</f>
        <v>0</v>
      </c>
      <c r="BC43">
        <f>AE43-AQ43</f>
        <v>0</v>
      </c>
      <c r="BD43">
        <f>AF43-AR43</f>
        <v>0</v>
      </c>
      <c r="BE43">
        <f>AG43-AS43</f>
        <v>0</v>
      </c>
    </row>
    <row r="44">
      <c r="A44" t="n">
        <v>14</v>
      </c>
      <c r="B44">
        <f>SUMPRODUCT(ROUND($AT43:$BE43*(1+'Calc base'!$H44:$S44),2))</f>
        <v>11022.9</v>
      </c>
      <c r="C44">
        <f>SUM(J44:U44)</f>
        <v>475</v>
      </c>
      <c r="D44">
        <f>SUM(V44:AG44)</f>
        <v>10547.9</v>
      </c>
      <c r="E44">
        <f>MAX(0,IF(Impostazioni!$B$7="No",'Calc base'!$C44-$C$31,'Calc base'!$C44-C44)+'Calc base'!$G44+'Calc base'!$F44-(B44-C44-D44))</f>
        <v>1025</v>
      </c>
      <c r="F44">
        <f>SUM(AH44:AS44)</f>
        <v>1025</v>
      </c>
      <c r="G44">
        <f>SUM(AT44:BE44)</f>
        <v>9522.9</v>
      </c>
      <c r="H44">
        <f>B44-G43</f>
        <v>68.5300000000007</v>
      </c>
      <c r="I44">
        <f>B44-G44</f>
        <v>1500</v>
      </c>
      <c r="J44">
        <f>IF(AT43&lt;=0,0,IF(ROUND(AT43*(1+'Calc base'!H44),2)-MAX('Calc base'!C$12,ROUND('Calc base'!C$13*AT43,2))&lt;1,ROUND(AT43*(1+'Calc base'!H44),2),MAX('Calc base'!C$12,ROUND('Calc base'!C$13*AT43,2))))</f>
        <v>0</v>
      </c>
      <c r="K44">
        <f>IF(AU43&lt;=0,0,IF(ROUND(AU43*(1+'Calc base'!I44),2)-MAX('Calc base'!D$12,ROUND('Calc base'!D$13*AU43,2))&lt;1,ROUND(AU43*(1+'Calc base'!I44),2),MAX('Calc base'!D$12,ROUND('Calc base'!D$13*AU43,2))))</f>
        <v>0</v>
      </c>
      <c r="L44">
        <f>IF(AV43&lt;=0,0,IF(ROUND(AV43*(1+'Calc base'!J44),2)-MAX('Calc base'!E$12,ROUND('Calc base'!E$13*AV43,2))&lt;1,ROUND(AV43*(1+'Calc base'!J44),2),MAX('Calc base'!E$12,ROUND('Calc base'!E$13*AV43,2))))</f>
        <v>210</v>
      </c>
      <c r="M44">
        <f>IF(AW43&lt;=0,0,IF(ROUND(AW43*(1+'Calc base'!K44),2)-MAX('Calc base'!F$12,ROUND('Calc base'!F$13*AW43,2))&lt;1,ROUND(AW43*(1+'Calc base'!K44),2),MAX('Calc base'!F$12,ROUND('Calc base'!F$13*AW43,2))))</f>
        <v>265</v>
      </c>
      <c r="N44">
        <f>IF(AX43&lt;=0,0,IF(ROUND(AX43*(1+'Calc base'!L44),2)-MAX('Calc base'!G$12,ROUND('Calc base'!G$13*AX43,2))&lt;1,ROUND(AX43*(1+'Calc base'!L44),2),MAX('Calc base'!G$12,ROUND('Calc base'!G$13*AX43,2))))</f>
        <v>0</v>
      </c>
      <c r="O44">
        <f>IF(AY43&lt;=0,0,IF(ROUND(AY43*(1+'Calc base'!M44),2)-MAX('Calc base'!H$12,ROUND('Calc base'!H$13*AY43,2))&lt;1,ROUND(AY43*(1+'Calc base'!M44),2),MAX('Calc base'!H$12,ROUND('Calc base'!H$13*AY43,2))))</f>
        <v>0</v>
      </c>
      <c r="P44">
        <f>IF(AZ43&lt;=0,0,IF(ROUND(AZ43*(1+'Calc base'!N44),2)-MAX('Calc base'!I$12,ROUND('Calc base'!I$13*AZ43,2))&lt;1,ROUND(AZ43*(1+'Calc base'!N44),2),MAX('Calc base'!I$12,ROUND('Calc base'!I$13*AZ43,2))))</f>
        <v>0</v>
      </c>
      <c r="Q44">
        <f>IF(BA43&lt;=0,0,IF(ROUND(BA43*(1+'Calc base'!O44),2)-MAX('Calc base'!J$12,ROUND('Calc base'!J$13*BA43,2))&lt;1,ROUND(BA43*(1+'Calc base'!O44),2),MAX('Calc base'!J$12,ROUND('Calc base'!J$13*BA43,2))))</f>
        <v>0</v>
      </c>
      <c r="R44">
        <f>IF(BB43&lt;=0,0,IF(ROUND(BB43*(1+'Calc base'!P44),2)-MAX('Calc base'!K$12,ROUND('Calc base'!K$13*BB43,2))&lt;1,ROUND(BB43*(1+'Calc base'!P44),2),MAX('Calc base'!K$12,ROUND('Calc base'!K$13*BB43,2))))</f>
        <v>0</v>
      </c>
      <c r="S44">
        <f>IF(BC43&lt;=0,0,IF(ROUND(BC43*(1+'Calc base'!Q44),2)-MAX('Calc base'!L$12,ROUND('Calc base'!L$13*BC43,2))&lt;1,ROUND(BC43*(1+'Calc base'!Q44),2),MAX('Calc base'!L$12,ROUND('Calc base'!L$13*BC43,2))))</f>
        <v>0</v>
      </c>
      <c r="T44">
        <f>IF(BD43&lt;=0,0,IF(ROUND(BD43*(1+'Calc base'!R44),2)-MAX('Calc base'!M$12,ROUND('Calc base'!M$13*BD43,2))&lt;1,ROUND(BD43*(1+'Calc base'!R44),2),MAX('Calc base'!M$12,ROUND('Calc base'!M$13*BD43,2))))</f>
        <v>0</v>
      </c>
      <c r="U44">
        <f>IF(BE43&lt;=0,0,IF(ROUND(BE43*(1+'Calc base'!S44),2)-MAX('Calc base'!N$12,ROUND('Calc base'!N$13*BE43,2))&lt;1,ROUND(BE43*(1+'Calc base'!S44),2),MAX('Calc base'!N$12,ROUND('Calc base'!N$13*BE43,2))))</f>
        <v>0</v>
      </c>
      <c r="V44">
        <f>MAX(0,ROUND(AT43*(1+'Calc base'!H44),2)-J44-'Calc base'!T44)</f>
        <v>0</v>
      </c>
      <c r="W44">
        <f>MAX(0,ROUND(AU43*(1+'Calc base'!I44),2)-K44-'Calc base'!U44)</f>
        <v>0</v>
      </c>
      <c r="X44">
        <f>MAX(0,ROUND(AV43*(1+'Calc base'!J44),2)-L44-'Calc base'!V44)</f>
        <v>4154.83</v>
      </c>
      <c r="Y44">
        <f>MAX(0,ROUND(AW43*(1+'Calc base'!K44),2)-M44-'Calc base'!W44)</f>
        <v>6393.07</v>
      </c>
      <c r="Z44">
        <f>MAX(0,ROUND(AX43*(1+'Calc base'!L44),2)-N44-'Calc base'!X44)</f>
        <v>0</v>
      </c>
      <c r="AA44">
        <f>MAX(0,ROUND(AY43*(1+'Calc base'!M44),2)-O44-'Calc base'!Y44)</f>
        <v>0</v>
      </c>
      <c r="AB44">
        <f>MAX(0,ROUND(AZ43*(1+'Calc base'!N44),2)-P44-'Calc base'!Z44)</f>
        <v>0</v>
      </c>
      <c r="AC44">
        <f>MAX(0,ROUND(BA43*(1+'Calc base'!O44),2)-Q44-'Calc base'!AA44)</f>
        <v>0</v>
      </c>
      <c r="AD44">
        <f>MAX(0,ROUND(BB43*(1+'Calc base'!P44),2)-R44-'Calc base'!AB44)</f>
        <v>0</v>
      </c>
      <c r="AE44">
        <f>MAX(0,ROUND(BC43*(1+'Calc base'!Q44),2)-S44-'Calc base'!AC44)</f>
        <v>0</v>
      </c>
      <c r="AF44">
        <f>MAX(0,ROUND(BD43*(1+'Calc base'!R44),2)-T44-'Calc base'!AD44)</f>
        <v>0</v>
      </c>
      <c r="AG44">
        <f>MAX(0,ROUND(BE43*(1+'Calc base'!S44),2)-U44-'Calc base'!AE44)</f>
        <v>0</v>
      </c>
      <c r="AH44">
        <f>IF('Calc base'!C$14=0,0,MIN(V44,MAX(0,$E44-SUMIFS($V44:$AG44,'Calc base'!$C$17:$N$17,"&lt;"&amp;'Calc base'!C$17,'Calc base'!$C$14:$N$14,1))))</f>
        <v>0</v>
      </c>
      <c r="AI44">
        <f>IF('Calc base'!D$14=0,0,MIN(W44,MAX(0,$E44-SUMIFS($V44:$AG44,'Calc base'!$C$17:$N$17,"&lt;"&amp;'Calc base'!D$17,'Calc base'!$C$14:$N$14,1))))</f>
        <v>0</v>
      </c>
      <c r="AJ44">
        <f>IF('Calc base'!E$14=0,0,MIN(X44,MAX(0,$E44-SUMIFS($V44:$AG44,'Calc base'!$C$17:$N$17,"&lt;"&amp;'Calc base'!E$17,'Calc base'!$C$14:$N$14,1))))</f>
        <v>1025</v>
      </c>
      <c r="AK44">
        <f>IF('Calc base'!F$14=0,0,MIN(Y44,MAX(0,$E44-SUMIFS($V44:$AG44,'Calc base'!$C$17:$N$17,"&lt;"&amp;'Calc base'!F$17,'Calc base'!$C$14:$N$14,1))))</f>
        <v>0</v>
      </c>
      <c r="AL44">
        <f>IF('Calc base'!G$14=0,0,MIN(Z44,MAX(0,$E44-SUMIFS($V44:$AG44,'Calc base'!$C$17:$N$17,"&lt;"&amp;'Calc base'!G$17,'Calc base'!$C$14:$N$14,1))))</f>
        <v>0</v>
      </c>
      <c r="AM44">
        <f>IF('Calc base'!H$14=0,0,MIN(AA44,MAX(0,$E44-SUMIFS($V44:$AG44,'Calc base'!$C$17:$N$17,"&lt;"&amp;'Calc base'!H$17,'Calc base'!$C$14:$N$14,1))))</f>
        <v>0</v>
      </c>
      <c r="AN44">
        <f>IF('Calc base'!I$14=0,0,MIN(AB44,MAX(0,$E44-SUMIFS($V44:$AG44,'Calc base'!$C$17:$N$17,"&lt;"&amp;'Calc base'!I$17,'Calc base'!$C$14:$N$14,1))))</f>
        <v>0</v>
      </c>
      <c r="AO44">
        <f>IF('Calc base'!J$14=0,0,MIN(AC44,MAX(0,$E44-SUMIFS($V44:$AG44,'Calc base'!$C$17:$N$17,"&lt;"&amp;'Calc base'!J$17,'Calc base'!$C$14:$N$14,1))))</f>
        <v>0</v>
      </c>
      <c r="AP44">
        <f>IF('Calc base'!K$14=0,0,MIN(AD44,MAX(0,$E44-SUMIFS($V44:$AG44,'Calc base'!$C$17:$N$17,"&lt;"&amp;'Calc base'!K$17,'Calc base'!$C$14:$N$14,1))))</f>
        <v>0</v>
      </c>
      <c r="AQ44">
        <f>IF('Calc base'!L$14=0,0,MIN(AE44,MAX(0,$E44-SUMIFS($V44:$AG44,'Calc base'!$C$17:$N$17,"&lt;"&amp;'Calc base'!L$17,'Calc base'!$C$14:$N$14,1))))</f>
        <v>0</v>
      </c>
      <c r="AR44">
        <f>IF('Calc base'!M$14=0,0,MIN(AF44,MAX(0,$E44-SUMIFS($V44:$AG44,'Calc base'!$C$17:$N$17,"&lt;"&amp;'Calc base'!M$17,'Calc base'!$C$14:$N$14,1))))</f>
        <v>0</v>
      </c>
      <c r="AS44">
        <f>IF('Calc base'!N$14=0,0,MIN(AG44,MAX(0,$E44-SUMIFS($V44:$AG44,'Calc base'!$C$17:$N$17,"&lt;"&amp;'Calc base'!N$17,'Calc base'!$C$14:$N$14,1))))</f>
        <v>0</v>
      </c>
      <c r="AT44">
        <f>V44-AH44</f>
        <v>0</v>
      </c>
      <c r="AU44">
        <f>W44-AI44</f>
        <v>0</v>
      </c>
      <c r="AV44">
        <f>X44-AJ44</f>
        <v>3129.83</v>
      </c>
      <c r="AW44">
        <f>Y44-AK44</f>
        <v>6393.07</v>
      </c>
      <c r="AX44">
        <f>Z44-AL44</f>
        <v>0</v>
      </c>
      <c r="AY44">
        <f>AA44-AM44</f>
        <v>0</v>
      </c>
      <c r="AZ44">
        <f>AB44-AN44</f>
        <v>0</v>
      </c>
      <c r="BA44">
        <f>AC44-AO44</f>
        <v>0</v>
      </c>
      <c r="BB44">
        <f>AD44-AP44</f>
        <v>0</v>
      </c>
      <c r="BC44">
        <f>AE44-AQ44</f>
        <v>0</v>
      </c>
      <c r="BD44">
        <f>AF44-AR44</f>
        <v>0</v>
      </c>
      <c r="BE44">
        <f>AG44-AS44</f>
        <v>0</v>
      </c>
    </row>
    <row r="45">
      <c r="A45" t="n">
        <v>15</v>
      </c>
      <c r="B45">
        <f>SUMPRODUCT(ROUND($AT44:$BE44*(1+'Calc base'!$H45:$S45),2))</f>
        <v>9581</v>
      </c>
      <c r="C45">
        <f>SUM(J45:U45)</f>
        <v>475</v>
      </c>
      <c r="D45">
        <f>SUM(V45:AG45)</f>
        <v>9106</v>
      </c>
      <c r="E45">
        <f>MAX(0,IF(Impostazioni!$B$7="No",'Calc base'!$C45-$C$31,'Calc base'!$C45-C45)+'Calc base'!$G45+'Calc base'!$F45-(B45-C45-D45))</f>
        <v>425</v>
      </c>
      <c r="F45">
        <f>SUM(AH45:AS45)</f>
        <v>425</v>
      </c>
      <c r="G45">
        <f>SUM(AT45:BE45)</f>
        <v>8681</v>
      </c>
      <c r="H45">
        <f>B45-G44</f>
        <v>58.1000000000004</v>
      </c>
      <c r="I45">
        <f>B45-G45</f>
        <v>900</v>
      </c>
      <c r="J45">
        <f>IF(AT44&lt;=0,0,IF(ROUND(AT44*(1+'Calc base'!H45),2)-MAX('Calc base'!C$12,ROUND('Calc base'!C$13*AT44,2))&lt;1,ROUND(AT44*(1+'Calc base'!H45),2),MAX('Calc base'!C$12,ROUND('Calc base'!C$13*AT44,2))))</f>
        <v>0</v>
      </c>
      <c r="K45">
        <f>IF(AU44&lt;=0,0,IF(ROUND(AU44*(1+'Calc base'!I45),2)-MAX('Calc base'!D$12,ROUND('Calc base'!D$13*AU44,2))&lt;1,ROUND(AU44*(1+'Calc base'!I45),2),MAX('Calc base'!D$12,ROUND('Calc base'!D$13*AU44,2))))</f>
        <v>0</v>
      </c>
      <c r="L45">
        <f>IF(AV44&lt;=0,0,IF(ROUND(AV44*(1+'Calc base'!J45),2)-MAX('Calc base'!E$12,ROUND('Calc base'!E$13*AV44,2))&lt;1,ROUND(AV44*(1+'Calc base'!J45),2),MAX('Calc base'!E$12,ROUND('Calc base'!E$13*AV44,2))))</f>
        <v>210</v>
      </c>
      <c r="M45">
        <f>IF(AW44&lt;=0,0,IF(ROUND(AW44*(1+'Calc base'!K45),2)-MAX('Calc base'!F$12,ROUND('Calc base'!F$13*AW44,2))&lt;1,ROUND(AW44*(1+'Calc base'!K45),2),MAX('Calc base'!F$12,ROUND('Calc base'!F$13*AW44,2))))</f>
        <v>265</v>
      </c>
      <c r="N45">
        <f>IF(AX44&lt;=0,0,IF(ROUND(AX44*(1+'Calc base'!L45),2)-MAX('Calc base'!G$12,ROUND('Calc base'!G$13*AX44,2))&lt;1,ROUND(AX44*(1+'Calc base'!L45),2),MAX('Calc base'!G$12,ROUND('Calc base'!G$13*AX44,2))))</f>
        <v>0</v>
      </c>
      <c r="O45">
        <f>IF(AY44&lt;=0,0,IF(ROUND(AY44*(1+'Calc base'!M45),2)-MAX('Calc base'!H$12,ROUND('Calc base'!H$13*AY44,2))&lt;1,ROUND(AY44*(1+'Calc base'!M45),2),MAX('Calc base'!H$12,ROUND('Calc base'!H$13*AY44,2))))</f>
        <v>0</v>
      </c>
      <c r="P45">
        <f>IF(AZ44&lt;=0,0,IF(ROUND(AZ44*(1+'Calc base'!N45),2)-MAX('Calc base'!I$12,ROUND('Calc base'!I$13*AZ44,2))&lt;1,ROUND(AZ44*(1+'Calc base'!N45),2),MAX('Calc base'!I$12,ROUND('Calc base'!I$13*AZ44,2))))</f>
        <v>0</v>
      </c>
      <c r="Q45">
        <f>IF(BA44&lt;=0,0,IF(ROUND(BA44*(1+'Calc base'!O45),2)-MAX('Calc base'!J$12,ROUND('Calc base'!J$13*BA44,2))&lt;1,ROUND(BA44*(1+'Calc base'!O45),2),MAX('Calc base'!J$12,ROUND('Calc base'!J$13*BA44,2))))</f>
        <v>0</v>
      </c>
      <c r="R45">
        <f>IF(BB44&lt;=0,0,IF(ROUND(BB44*(1+'Calc base'!P45),2)-MAX('Calc base'!K$12,ROUND('Calc base'!K$13*BB44,2))&lt;1,ROUND(BB44*(1+'Calc base'!P45),2),MAX('Calc base'!K$12,ROUND('Calc base'!K$13*BB44,2))))</f>
        <v>0</v>
      </c>
      <c r="S45">
        <f>IF(BC44&lt;=0,0,IF(ROUND(BC44*(1+'Calc base'!Q45),2)-MAX('Calc base'!L$12,ROUND('Calc base'!L$13*BC44,2))&lt;1,ROUND(BC44*(1+'Calc base'!Q45),2),MAX('Calc base'!L$12,ROUND('Calc base'!L$13*BC44,2))))</f>
        <v>0</v>
      </c>
      <c r="T45">
        <f>IF(BD44&lt;=0,0,IF(ROUND(BD44*(1+'Calc base'!R45),2)-MAX('Calc base'!M$12,ROUND('Calc base'!M$13*BD44,2))&lt;1,ROUND(BD44*(1+'Calc base'!R45),2),MAX('Calc base'!M$12,ROUND('Calc base'!M$13*BD44,2))))</f>
        <v>0</v>
      </c>
      <c r="U45">
        <f>IF(BE44&lt;=0,0,IF(ROUND(BE44*(1+'Calc base'!S45),2)-MAX('Calc base'!N$12,ROUND('Calc base'!N$13*BE44,2))&lt;1,ROUND(BE44*(1+'Calc base'!S45),2),MAX('Calc base'!N$12,ROUND('Calc base'!N$13*BE44,2))))</f>
        <v>0</v>
      </c>
      <c r="V45">
        <f>MAX(0,ROUND(AT44*(1+'Calc base'!H45),2)-J45-'Calc base'!T45)</f>
        <v>0</v>
      </c>
      <c r="W45">
        <f>MAX(0,ROUND(AU44*(1+'Calc base'!I45),2)-K45-'Calc base'!U45)</f>
        <v>0</v>
      </c>
      <c r="X45">
        <f>MAX(0,ROUND(AV44*(1+'Calc base'!J45),2)-L45-'Calc base'!V45)</f>
        <v>2943.83</v>
      </c>
      <c r="Y45">
        <f>MAX(0,ROUND(AW44*(1+'Calc base'!K45),2)-M45-'Calc base'!W45)</f>
        <v>6162.17</v>
      </c>
      <c r="Z45">
        <f>MAX(0,ROUND(AX44*(1+'Calc base'!L45),2)-N45-'Calc base'!X45)</f>
        <v>0</v>
      </c>
      <c r="AA45">
        <f>MAX(0,ROUND(AY44*(1+'Calc base'!M45),2)-O45-'Calc base'!Y45)</f>
        <v>0</v>
      </c>
      <c r="AB45">
        <f>MAX(0,ROUND(AZ44*(1+'Calc base'!N45),2)-P45-'Calc base'!Z45)</f>
        <v>0</v>
      </c>
      <c r="AC45">
        <f>MAX(0,ROUND(BA44*(1+'Calc base'!O45),2)-Q45-'Calc base'!AA45)</f>
        <v>0</v>
      </c>
      <c r="AD45">
        <f>MAX(0,ROUND(BB44*(1+'Calc base'!P45),2)-R45-'Calc base'!AB45)</f>
        <v>0</v>
      </c>
      <c r="AE45">
        <f>MAX(0,ROUND(BC44*(1+'Calc base'!Q45),2)-S45-'Calc base'!AC45)</f>
        <v>0</v>
      </c>
      <c r="AF45">
        <f>MAX(0,ROUND(BD44*(1+'Calc base'!R45),2)-T45-'Calc base'!AD45)</f>
        <v>0</v>
      </c>
      <c r="AG45">
        <f>MAX(0,ROUND(BE44*(1+'Calc base'!S45),2)-U45-'Calc base'!AE45)</f>
        <v>0</v>
      </c>
      <c r="AH45">
        <f>IF('Calc base'!C$14=0,0,MIN(V45,MAX(0,$E45-SUMIFS($V45:$AG45,'Calc base'!$C$17:$N$17,"&lt;"&amp;'Calc base'!C$17,'Calc base'!$C$14:$N$14,1))))</f>
        <v>0</v>
      </c>
      <c r="AI45">
        <f>IF('Calc base'!D$14=0,0,MIN(W45,MAX(0,$E45-SUMIFS($V45:$AG45,'Calc base'!$C$17:$N$17,"&lt;"&amp;'Calc base'!D$17,'Calc base'!$C$14:$N$14,1))))</f>
        <v>0</v>
      </c>
      <c r="AJ45">
        <f>IF('Calc base'!E$14=0,0,MIN(X45,MAX(0,$E45-SUMIFS($V45:$AG45,'Calc base'!$C$17:$N$17,"&lt;"&amp;'Calc base'!E$17,'Calc base'!$C$14:$N$14,1))))</f>
        <v>425</v>
      </c>
      <c r="AK45">
        <f>IF('Calc base'!F$14=0,0,MIN(Y45,MAX(0,$E45-SUMIFS($V45:$AG45,'Calc base'!$C$17:$N$17,"&lt;"&amp;'Calc base'!F$17,'Calc base'!$C$14:$N$14,1))))</f>
        <v>0</v>
      </c>
      <c r="AL45">
        <f>IF('Calc base'!G$14=0,0,MIN(Z45,MAX(0,$E45-SUMIFS($V45:$AG45,'Calc base'!$C$17:$N$17,"&lt;"&amp;'Calc base'!G$17,'Calc base'!$C$14:$N$14,1))))</f>
        <v>0</v>
      </c>
      <c r="AM45">
        <f>IF('Calc base'!H$14=0,0,MIN(AA45,MAX(0,$E45-SUMIFS($V45:$AG45,'Calc base'!$C$17:$N$17,"&lt;"&amp;'Calc base'!H$17,'Calc base'!$C$14:$N$14,1))))</f>
        <v>0</v>
      </c>
      <c r="AN45">
        <f>IF('Calc base'!I$14=0,0,MIN(AB45,MAX(0,$E45-SUMIFS($V45:$AG45,'Calc base'!$C$17:$N$17,"&lt;"&amp;'Calc base'!I$17,'Calc base'!$C$14:$N$14,1))))</f>
        <v>0</v>
      </c>
      <c r="AO45">
        <f>IF('Calc base'!J$14=0,0,MIN(AC45,MAX(0,$E45-SUMIFS($V45:$AG45,'Calc base'!$C$17:$N$17,"&lt;"&amp;'Calc base'!J$17,'Calc base'!$C$14:$N$14,1))))</f>
        <v>0</v>
      </c>
      <c r="AP45">
        <f>IF('Calc base'!K$14=0,0,MIN(AD45,MAX(0,$E45-SUMIFS($V45:$AG45,'Calc base'!$C$17:$N$17,"&lt;"&amp;'Calc base'!K$17,'Calc base'!$C$14:$N$14,1))))</f>
        <v>0</v>
      </c>
      <c r="AQ45">
        <f>IF('Calc base'!L$14=0,0,MIN(AE45,MAX(0,$E45-SUMIFS($V45:$AG45,'Calc base'!$C$17:$N$17,"&lt;"&amp;'Calc base'!L$17,'Calc base'!$C$14:$N$14,1))))</f>
        <v>0</v>
      </c>
      <c r="AR45">
        <f>IF('Calc base'!M$14=0,0,MIN(AF45,MAX(0,$E45-SUMIFS($V45:$AG45,'Calc base'!$C$17:$N$17,"&lt;"&amp;'Calc base'!M$17,'Calc base'!$C$14:$N$14,1))))</f>
        <v>0</v>
      </c>
      <c r="AS45">
        <f>IF('Calc base'!N$14=0,0,MIN(AG45,MAX(0,$E45-SUMIFS($V45:$AG45,'Calc base'!$C$17:$N$17,"&lt;"&amp;'Calc base'!N$17,'Calc base'!$C$14:$N$14,1))))</f>
        <v>0</v>
      </c>
      <c r="AT45">
        <f>V45-AH45</f>
        <v>0</v>
      </c>
      <c r="AU45">
        <f>W45-AI45</f>
        <v>0</v>
      </c>
      <c r="AV45">
        <f>X45-AJ45</f>
        <v>2518.83</v>
      </c>
      <c r="AW45">
        <f>Y45-AK45</f>
        <v>6162.17</v>
      </c>
      <c r="AX45">
        <f>Z45-AL45</f>
        <v>0</v>
      </c>
      <c r="AY45">
        <f>AA45-AM45</f>
        <v>0</v>
      </c>
      <c r="AZ45">
        <f>AB45-AN45</f>
        <v>0</v>
      </c>
      <c r="BA45">
        <f>AC45-AO45</f>
        <v>0</v>
      </c>
      <c r="BB45">
        <f>AD45-AP45</f>
        <v>0</v>
      </c>
      <c r="BC45">
        <f>AE45-AQ45</f>
        <v>0</v>
      </c>
      <c r="BD45">
        <f>AF45-AR45</f>
        <v>0</v>
      </c>
      <c r="BE45">
        <f>AG45-AS45</f>
        <v>0</v>
      </c>
    </row>
    <row r="46">
      <c r="A46" t="n">
        <v>16</v>
      </c>
      <c r="B46">
        <f>SUMPRODUCT(ROUND($AT45:$BE45*(1+'Calc base'!$H46:$S46),2))</f>
        <v>8733.17</v>
      </c>
      <c r="C46">
        <f>SUM(J46:U46)</f>
        <v>475</v>
      </c>
      <c r="D46">
        <f>SUM(V46:AG46)</f>
        <v>8258.17</v>
      </c>
      <c r="E46">
        <f>MAX(0,IF(Impostazioni!$B$7="No",'Calc base'!$C46-$C$31,'Calc base'!$C46-C46)+'Calc base'!$G46+'Calc base'!$F46-(B46-C46-D46))</f>
        <v>425</v>
      </c>
      <c r="F46">
        <f>SUM(AH46:AS46)</f>
        <v>425</v>
      </c>
      <c r="G46">
        <f>SUM(AT46:BE46)</f>
        <v>7833.17</v>
      </c>
      <c r="H46">
        <f>B46-G45</f>
        <v>52.1700000000001</v>
      </c>
      <c r="I46">
        <f>B46-G46</f>
        <v>900</v>
      </c>
      <c r="J46">
        <f>IF(AT45&lt;=0,0,IF(ROUND(AT45*(1+'Calc base'!H46),2)-MAX('Calc base'!C$12,ROUND('Calc base'!C$13*AT45,2))&lt;1,ROUND(AT45*(1+'Calc base'!H46),2),MAX('Calc base'!C$12,ROUND('Calc base'!C$13*AT45,2))))</f>
        <v>0</v>
      </c>
      <c r="K46">
        <f>IF(AU45&lt;=0,0,IF(ROUND(AU45*(1+'Calc base'!I46),2)-MAX('Calc base'!D$12,ROUND('Calc base'!D$13*AU45,2))&lt;1,ROUND(AU45*(1+'Calc base'!I46),2),MAX('Calc base'!D$12,ROUND('Calc base'!D$13*AU45,2))))</f>
        <v>0</v>
      </c>
      <c r="L46">
        <f>IF(AV45&lt;=0,0,IF(ROUND(AV45*(1+'Calc base'!J46),2)-MAX('Calc base'!E$12,ROUND('Calc base'!E$13*AV45,2))&lt;1,ROUND(AV45*(1+'Calc base'!J46),2),MAX('Calc base'!E$12,ROUND('Calc base'!E$13*AV45,2))))</f>
        <v>210</v>
      </c>
      <c r="M46">
        <f>IF(AW45&lt;=0,0,IF(ROUND(AW45*(1+'Calc base'!K46),2)-MAX('Calc base'!F$12,ROUND('Calc base'!F$13*AW45,2))&lt;1,ROUND(AW45*(1+'Calc base'!K46),2),MAX('Calc base'!F$12,ROUND('Calc base'!F$13*AW45,2))))</f>
        <v>265</v>
      </c>
      <c r="N46">
        <f>IF(AX45&lt;=0,0,IF(ROUND(AX45*(1+'Calc base'!L46),2)-MAX('Calc base'!G$12,ROUND('Calc base'!G$13*AX45,2))&lt;1,ROUND(AX45*(1+'Calc base'!L46),2),MAX('Calc base'!G$12,ROUND('Calc base'!G$13*AX45,2))))</f>
        <v>0</v>
      </c>
      <c r="O46">
        <f>IF(AY45&lt;=0,0,IF(ROUND(AY45*(1+'Calc base'!M46),2)-MAX('Calc base'!H$12,ROUND('Calc base'!H$13*AY45,2))&lt;1,ROUND(AY45*(1+'Calc base'!M46),2),MAX('Calc base'!H$12,ROUND('Calc base'!H$13*AY45,2))))</f>
        <v>0</v>
      </c>
      <c r="P46">
        <f>IF(AZ45&lt;=0,0,IF(ROUND(AZ45*(1+'Calc base'!N46),2)-MAX('Calc base'!I$12,ROUND('Calc base'!I$13*AZ45,2))&lt;1,ROUND(AZ45*(1+'Calc base'!N46),2),MAX('Calc base'!I$12,ROUND('Calc base'!I$13*AZ45,2))))</f>
        <v>0</v>
      </c>
      <c r="Q46">
        <f>IF(BA45&lt;=0,0,IF(ROUND(BA45*(1+'Calc base'!O46),2)-MAX('Calc base'!J$12,ROUND('Calc base'!J$13*BA45,2))&lt;1,ROUND(BA45*(1+'Calc base'!O46),2),MAX('Calc base'!J$12,ROUND('Calc base'!J$13*BA45,2))))</f>
        <v>0</v>
      </c>
      <c r="R46">
        <f>IF(BB45&lt;=0,0,IF(ROUND(BB45*(1+'Calc base'!P46),2)-MAX('Calc base'!K$12,ROUND('Calc base'!K$13*BB45,2))&lt;1,ROUND(BB45*(1+'Calc base'!P46),2),MAX('Calc base'!K$12,ROUND('Calc base'!K$13*BB45,2))))</f>
        <v>0</v>
      </c>
      <c r="S46">
        <f>IF(BC45&lt;=0,0,IF(ROUND(BC45*(1+'Calc base'!Q46),2)-MAX('Calc base'!L$12,ROUND('Calc base'!L$13*BC45,2))&lt;1,ROUND(BC45*(1+'Calc base'!Q46),2),MAX('Calc base'!L$12,ROUND('Calc base'!L$13*BC45,2))))</f>
        <v>0</v>
      </c>
      <c r="T46">
        <f>IF(BD45&lt;=0,0,IF(ROUND(BD45*(1+'Calc base'!R46),2)-MAX('Calc base'!M$12,ROUND('Calc base'!M$13*BD45,2))&lt;1,ROUND(BD45*(1+'Calc base'!R46),2),MAX('Calc base'!M$12,ROUND('Calc base'!M$13*BD45,2))))</f>
        <v>0</v>
      </c>
      <c r="U46">
        <f>IF(BE45&lt;=0,0,IF(ROUND(BE45*(1+'Calc base'!S46),2)-MAX('Calc base'!N$12,ROUND('Calc base'!N$13*BE45,2))&lt;1,ROUND(BE45*(1+'Calc base'!S46),2),MAX('Calc base'!N$12,ROUND('Calc base'!N$13*BE45,2))))</f>
        <v>0</v>
      </c>
      <c r="V46">
        <f>MAX(0,ROUND(AT45*(1+'Calc base'!H46),2)-J46-'Calc base'!T46)</f>
        <v>0</v>
      </c>
      <c r="W46">
        <f>MAX(0,ROUND(AU45*(1+'Calc base'!I46),2)-K46-'Calc base'!U46)</f>
        <v>0</v>
      </c>
      <c r="X46">
        <f>MAX(0,ROUND(AV45*(1+'Calc base'!J46),2)-L46-'Calc base'!V46)</f>
        <v>2328.14</v>
      </c>
      <c r="Y46">
        <f>MAX(0,ROUND(AW45*(1+'Calc base'!K46),2)-M46-'Calc base'!W46)</f>
        <v>5930.03</v>
      </c>
      <c r="Z46">
        <f>MAX(0,ROUND(AX45*(1+'Calc base'!L46),2)-N46-'Calc base'!X46)</f>
        <v>0</v>
      </c>
      <c r="AA46">
        <f>MAX(0,ROUND(AY45*(1+'Calc base'!M46),2)-O46-'Calc base'!Y46)</f>
        <v>0</v>
      </c>
      <c r="AB46">
        <f>MAX(0,ROUND(AZ45*(1+'Calc base'!N46),2)-P46-'Calc base'!Z46)</f>
        <v>0</v>
      </c>
      <c r="AC46">
        <f>MAX(0,ROUND(BA45*(1+'Calc base'!O46),2)-Q46-'Calc base'!AA46)</f>
        <v>0</v>
      </c>
      <c r="AD46">
        <f>MAX(0,ROUND(BB45*(1+'Calc base'!P46),2)-R46-'Calc base'!AB46)</f>
        <v>0</v>
      </c>
      <c r="AE46">
        <f>MAX(0,ROUND(BC45*(1+'Calc base'!Q46),2)-S46-'Calc base'!AC46)</f>
        <v>0</v>
      </c>
      <c r="AF46">
        <f>MAX(0,ROUND(BD45*(1+'Calc base'!R46),2)-T46-'Calc base'!AD46)</f>
        <v>0</v>
      </c>
      <c r="AG46">
        <f>MAX(0,ROUND(BE45*(1+'Calc base'!S46),2)-U46-'Calc base'!AE46)</f>
        <v>0</v>
      </c>
      <c r="AH46">
        <f>IF('Calc base'!C$14=0,0,MIN(V46,MAX(0,$E46-SUMIFS($V46:$AG46,'Calc base'!$C$17:$N$17,"&lt;"&amp;'Calc base'!C$17,'Calc base'!$C$14:$N$14,1))))</f>
        <v>0</v>
      </c>
      <c r="AI46">
        <f>IF('Calc base'!D$14=0,0,MIN(W46,MAX(0,$E46-SUMIFS($V46:$AG46,'Calc base'!$C$17:$N$17,"&lt;"&amp;'Calc base'!D$17,'Calc base'!$C$14:$N$14,1))))</f>
        <v>0</v>
      </c>
      <c r="AJ46">
        <f>IF('Calc base'!E$14=0,0,MIN(X46,MAX(0,$E46-SUMIFS($V46:$AG46,'Calc base'!$C$17:$N$17,"&lt;"&amp;'Calc base'!E$17,'Calc base'!$C$14:$N$14,1))))</f>
        <v>425</v>
      </c>
      <c r="AK46">
        <f>IF('Calc base'!F$14=0,0,MIN(Y46,MAX(0,$E46-SUMIFS($V46:$AG46,'Calc base'!$C$17:$N$17,"&lt;"&amp;'Calc base'!F$17,'Calc base'!$C$14:$N$14,1))))</f>
        <v>0</v>
      </c>
      <c r="AL46">
        <f>IF('Calc base'!G$14=0,0,MIN(Z46,MAX(0,$E46-SUMIFS($V46:$AG46,'Calc base'!$C$17:$N$17,"&lt;"&amp;'Calc base'!G$17,'Calc base'!$C$14:$N$14,1))))</f>
        <v>0</v>
      </c>
      <c r="AM46">
        <f>IF('Calc base'!H$14=0,0,MIN(AA46,MAX(0,$E46-SUMIFS($V46:$AG46,'Calc base'!$C$17:$N$17,"&lt;"&amp;'Calc base'!H$17,'Calc base'!$C$14:$N$14,1))))</f>
        <v>0</v>
      </c>
      <c r="AN46">
        <f>IF('Calc base'!I$14=0,0,MIN(AB46,MAX(0,$E46-SUMIFS($V46:$AG46,'Calc base'!$C$17:$N$17,"&lt;"&amp;'Calc base'!I$17,'Calc base'!$C$14:$N$14,1))))</f>
        <v>0</v>
      </c>
      <c r="AO46">
        <f>IF('Calc base'!J$14=0,0,MIN(AC46,MAX(0,$E46-SUMIFS($V46:$AG46,'Calc base'!$C$17:$N$17,"&lt;"&amp;'Calc base'!J$17,'Calc base'!$C$14:$N$14,1))))</f>
        <v>0</v>
      </c>
      <c r="AP46">
        <f>IF('Calc base'!K$14=0,0,MIN(AD46,MAX(0,$E46-SUMIFS($V46:$AG46,'Calc base'!$C$17:$N$17,"&lt;"&amp;'Calc base'!K$17,'Calc base'!$C$14:$N$14,1))))</f>
        <v>0</v>
      </c>
      <c r="AQ46">
        <f>IF('Calc base'!L$14=0,0,MIN(AE46,MAX(0,$E46-SUMIFS($V46:$AG46,'Calc base'!$C$17:$N$17,"&lt;"&amp;'Calc base'!L$17,'Calc base'!$C$14:$N$14,1))))</f>
        <v>0</v>
      </c>
      <c r="AR46">
        <f>IF('Calc base'!M$14=0,0,MIN(AF46,MAX(0,$E46-SUMIFS($V46:$AG46,'Calc base'!$C$17:$N$17,"&lt;"&amp;'Calc base'!M$17,'Calc base'!$C$14:$N$14,1))))</f>
        <v>0</v>
      </c>
      <c r="AS46">
        <f>IF('Calc base'!N$14=0,0,MIN(AG46,MAX(0,$E46-SUMIFS($V46:$AG46,'Calc base'!$C$17:$N$17,"&lt;"&amp;'Calc base'!N$17,'Calc base'!$C$14:$N$14,1))))</f>
        <v>0</v>
      </c>
      <c r="AT46">
        <f>V46-AH46</f>
        <v>0</v>
      </c>
      <c r="AU46">
        <f>W46-AI46</f>
        <v>0</v>
      </c>
      <c r="AV46">
        <f>X46-AJ46</f>
        <v>1903.14</v>
      </c>
      <c r="AW46">
        <f>Y46-AK46</f>
        <v>5930.03</v>
      </c>
      <c r="AX46">
        <f>Z46-AL46</f>
        <v>0</v>
      </c>
      <c r="AY46">
        <f>AA46-AM46</f>
        <v>0</v>
      </c>
      <c r="AZ46">
        <f>AB46-AN46</f>
        <v>0</v>
      </c>
      <c r="BA46">
        <f>AC46-AO46</f>
        <v>0</v>
      </c>
      <c r="BB46">
        <f>AD46-AP46</f>
        <v>0</v>
      </c>
      <c r="BC46">
        <f>AE46-AQ46</f>
        <v>0</v>
      </c>
      <c r="BD46">
        <f>AF46-AR46</f>
        <v>0</v>
      </c>
      <c r="BE46">
        <f>AG46-AS46</f>
        <v>0</v>
      </c>
    </row>
    <row r="47">
      <c r="A47" t="n">
        <v>17</v>
      </c>
      <c r="B47">
        <f>SUMPRODUCT(ROUND($AT46:$BE46*(1+'Calc base'!$H47:$S47),2))</f>
        <v>7879.39</v>
      </c>
      <c r="C47">
        <f>SUM(J47:U47)</f>
        <v>475</v>
      </c>
      <c r="D47">
        <f>SUM(V47:AG47)</f>
        <v>7404.39</v>
      </c>
      <c r="E47">
        <f>MAX(0,IF(Impostazioni!$B$7="No",'Calc base'!$C47-$C$31,'Calc base'!$C47-C47)+'Calc base'!$G47+'Calc base'!$F47-(B47-C47-D47))</f>
        <v>425</v>
      </c>
      <c r="F47">
        <f>SUM(AH47:AS47)</f>
        <v>425</v>
      </c>
      <c r="G47">
        <f>SUM(AT47:BE47)</f>
        <v>6979.39</v>
      </c>
      <c r="H47">
        <f>B47-G46</f>
        <v>46.2199999999993</v>
      </c>
      <c r="I47">
        <f>B47-G47</f>
        <v>900</v>
      </c>
      <c r="J47">
        <f>IF(AT46&lt;=0,0,IF(ROUND(AT46*(1+'Calc base'!H47),2)-MAX('Calc base'!C$12,ROUND('Calc base'!C$13*AT46,2))&lt;1,ROUND(AT46*(1+'Calc base'!H47),2),MAX('Calc base'!C$12,ROUND('Calc base'!C$13*AT46,2))))</f>
        <v>0</v>
      </c>
      <c r="K47">
        <f>IF(AU46&lt;=0,0,IF(ROUND(AU46*(1+'Calc base'!I47),2)-MAX('Calc base'!D$12,ROUND('Calc base'!D$13*AU46,2))&lt;1,ROUND(AU46*(1+'Calc base'!I47),2),MAX('Calc base'!D$12,ROUND('Calc base'!D$13*AU46,2))))</f>
        <v>0</v>
      </c>
      <c r="L47">
        <f>IF(AV46&lt;=0,0,IF(ROUND(AV46*(1+'Calc base'!J47),2)-MAX('Calc base'!E$12,ROUND('Calc base'!E$13*AV46,2))&lt;1,ROUND(AV46*(1+'Calc base'!J47),2),MAX('Calc base'!E$12,ROUND('Calc base'!E$13*AV46,2))))</f>
        <v>210</v>
      </c>
      <c r="M47">
        <f>IF(AW46&lt;=0,0,IF(ROUND(AW46*(1+'Calc base'!K47),2)-MAX('Calc base'!F$12,ROUND('Calc base'!F$13*AW46,2))&lt;1,ROUND(AW46*(1+'Calc base'!K47),2),MAX('Calc base'!F$12,ROUND('Calc base'!F$13*AW46,2))))</f>
        <v>265</v>
      </c>
      <c r="N47">
        <f>IF(AX46&lt;=0,0,IF(ROUND(AX46*(1+'Calc base'!L47),2)-MAX('Calc base'!G$12,ROUND('Calc base'!G$13*AX46,2))&lt;1,ROUND(AX46*(1+'Calc base'!L47),2),MAX('Calc base'!G$12,ROUND('Calc base'!G$13*AX46,2))))</f>
        <v>0</v>
      </c>
      <c r="O47">
        <f>IF(AY46&lt;=0,0,IF(ROUND(AY46*(1+'Calc base'!M47),2)-MAX('Calc base'!H$12,ROUND('Calc base'!H$13*AY46,2))&lt;1,ROUND(AY46*(1+'Calc base'!M47),2),MAX('Calc base'!H$12,ROUND('Calc base'!H$13*AY46,2))))</f>
        <v>0</v>
      </c>
      <c r="P47">
        <f>IF(AZ46&lt;=0,0,IF(ROUND(AZ46*(1+'Calc base'!N47),2)-MAX('Calc base'!I$12,ROUND('Calc base'!I$13*AZ46,2))&lt;1,ROUND(AZ46*(1+'Calc base'!N47),2),MAX('Calc base'!I$12,ROUND('Calc base'!I$13*AZ46,2))))</f>
        <v>0</v>
      </c>
      <c r="Q47">
        <f>IF(BA46&lt;=0,0,IF(ROUND(BA46*(1+'Calc base'!O47),2)-MAX('Calc base'!J$12,ROUND('Calc base'!J$13*BA46,2))&lt;1,ROUND(BA46*(1+'Calc base'!O47),2),MAX('Calc base'!J$12,ROUND('Calc base'!J$13*BA46,2))))</f>
        <v>0</v>
      </c>
      <c r="R47">
        <f>IF(BB46&lt;=0,0,IF(ROUND(BB46*(1+'Calc base'!P47),2)-MAX('Calc base'!K$12,ROUND('Calc base'!K$13*BB46,2))&lt;1,ROUND(BB46*(1+'Calc base'!P47),2),MAX('Calc base'!K$12,ROUND('Calc base'!K$13*BB46,2))))</f>
        <v>0</v>
      </c>
      <c r="S47">
        <f>IF(BC46&lt;=0,0,IF(ROUND(BC46*(1+'Calc base'!Q47),2)-MAX('Calc base'!L$12,ROUND('Calc base'!L$13*BC46,2))&lt;1,ROUND(BC46*(1+'Calc base'!Q47),2),MAX('Calc base'!L$12,ROUND('Calc base'!L$13*BC46,2))))</f>
        <v>0</v>
      </c>
      <c r="T47">
        <f>IF(BD46&lt;=0,0,IF(ROUND(BD46*(1+'Calc base'!R47),2)-MAX('Calc base'!M$12,ROUND('Calc base'!M$13*BD46,2))&lt;1,ROUND(BD46*(1+'Calc base'!R47),2),MAX('Calc base'!M$12,ROUND('Calc base'!M$13*BD46,2))))</f>
        <v>0</v>
      </c>
      <c r="U47">
        <f>IF(BE46&lt;=0,0,IF(ROUND(BE46*(1+'Calc base'!S47),2)-MAX('Calc base'!N$12,ROUND('Calc base'!N$13*BE46,2))&lt;1,ROUND(BE46*(1+'Calc base'!S47),2),MAX('Calc base'!N$12,ROUND('Calc base'!N$13*BE46,2))))</f>
        <v>0</v>
      </c>
      <c r="V47">
        <f>MAX(0,ROUND(AT46*(1+'Calc base'!H47),2)-J47-'Calc base'!T47)</f>
        <v>0</v>
      </c>
      <c r="W47">
        <f>MAX(0,ROUND(AU46*(1+'Calc base'!I47),2)-K47-'Calc base'!U47)</f>
        <v>0</v>
      </c>
      <c r="X47">
        <f>MAX(0,ROUND(AV46*(1+'Calc base'!J47),2)-L47-'Calc base'!V47)</f>
        <v>1707.73</v>
      </c>
      <c r="Y47">
        <f>MAX(0,ROUND(AW46*(1+'Calc base'!K47),2)-M47-'Calc base'!W47)</f>
        <v>5696.66</v>
      </c>
      <c r="Z47">
        <f>MAX(0,ROUND(AX46*(1+'Calc base'!L47),2)-N47-'Calc base'!X47)</f>
        <v>0</v>
      </c>
      <c r="AA47">
        <f>MAX(0,ROUND(AY46*(1+'Calc base'!M47),2)-O47-'Calc base'!Y47)</f>
        <v>0</v>
      </c>
      <c r="AB47">
        <f>MAX(0,ROUND(AZ46*(1+'Calc base'!N47),2)-P47-'Calc base'!Z47)</f>
        <v>0</v>
      </c>
      <c r="AC47">
        <f>MAX(0,ROUND(BA46*(1+'Calc base'!O47),2)-Q47-'Calc base'!AA47)</f>
        <v>0</v>
      </c>
      <c r="AD47">
        <f>MAX(0,ROUND(BB46*(1+'Calc base'!P47),2)-R47-'Calc base'!AB47)</f>
        <v>0</v>
      </c>
      <c r="AE47">
        <f>MAX(0,ROUND(BC46*(1+'Calc base'!Q47),2)-S47-'Calc base'!AC47)</f>
        <v>0</v>
      </c>
      <c r="AF47">
        <f>MAX(0,ROUND(BD46*(1+'Calc base'!R47),2)-T47-'Calc base'!AD47)</f>
        <v>0</v>
      </c>
      <c r="AG47">
        <f>MAX(0,ROUND(BE46*(1+'Calc base'!S47),2)-U47-'Calc base'!AE47)</f>
        <v>0</v>
      </c>
      <c r="AH47">
        <f>IF('Calc base'!C$14=0,0,MIN(V47,MAX(0,$E47-SUMIFS($V47:$AG47,'Calc base'!$C$17:$N$17,"&lt;"&amp;'Calc base'!C$17,'Calc base'!$C$14:$N$14,1))))</f>
        <v>0</v>
      </c>
      <c r="AI47">
        <f>IF('Calc base'!D$14=0,0,MIN(W47,MAX(0,$E47-SUMIFS($V47:$AG47,'Calc base'!$C$17:$N$17,"&lt;"&amp;'Calc base'!D$17,'Calc base'!$C$14:$N$14,1))))</f>
        <v>0</v>
      </c>
      <c r="AJ47">
        <f>IF('Calc base'!E$14=0,0,MIN(X47,MAX(0,$E47-SUMIFS($V47:$AG47,'Calc base'!$C$17:$N$17,"&lt;"&amp;'Calc base'!E$17,'Calc base'!$C$14:$N$14,1))))</f>
        <v>425</v>
      </c>
      <c r="AK47">
        <f>IF('Calc base'!F$14=0,0,MIN(Y47,MAX(0,$E47-SUMIFS($V47:$AG47,'Calc base'!$C$17:$N$17,"&lt;"&amp;'Calc base'!F$17,'Calc base'!$C$14:$N$14,1))))</f>
        <v>0</v>
      </c>
      <c r="AL47">
        <f>IF('Calc base'!G$14=0,0,MIN(Z47,MAX(0,$E47-SUMIFS($V47:$AG47,'Calc base'!$C$17:$N$17,"&lt;"&amp;'Calc base'!G$17,'Calc base'!$C$14:$N$14,1))))</f>
        <v>0</v>
      </c>
      <c r="AM47">
        <f>IF('Calc base'!H$14=0,0,MIN(AA47,MAX(0,$E47-SUMIFS($V47:$AG47,'Calc base'!$C$17:$N$17,"&lt;"&amp;'Calc base'!H$17,'Calc base'!$C$14:$N$14,1))))</f>
        <v>0</v>
      </c>
      <c r="AN47">
        <f>IF('Calc base'!I$14=0,0,MIN(AB47,MAX(0,$E47-SUMIFS($V47:$AG47,'Calc base'!$C$17:$N$17,"&lt;"&amp;'Calc base'!I$17,'Calc base'!$C$14:$N$14,1))))</f>
        <v>0</v>
      </c>
      <c r="AO47">
        <f>IF('Calc base'!J$14=0,0,MIN(AC47,MAX(0,$E47-SUMIFS($V47:$AG47,'Calc base'!$C$17:$N$17,"&lt;"&amp;'Calc base'!J$17,'Calc base'!$C$14:$N$14,1))))</f>
        <v>0</v>
      </c>
      <c r="AP47">
        <f>IF('Calc base'!K$14=0,0,MIN(AD47,MAX(0,$E47-SUMIFS($V47:$AG47,'Calc base'!$C$17:$N$17,"&lt;"&amp;'Calc base'!K$17,'Calc base'!$C$14:$N$14,1))))</f>
        <v>0</v>
      </c>
      <c r="AQ47">
        <f>IF('Calc base'!L$14=0,0,MIN(AE47,MAX(0,$E47-SUMIFS($V47:$AG47,'Calc base'!$C$17:$N$17,"&lt;"&amp;'Calc base'!L$17,'Calc base'!$C$14:$N$14,1))))</f>
        <v>0</v>
      </c>
      <c r="AR47">
        <f>IF('Calc base'!M$14=0,0,MIN(AF47,MAX(0,$E47-SUMIFS($V47:$AG47,'Calc base'!$C$17:$N$17,"&lt;"&amp;'Calc base'!M$17,'Calc base'!$C$14:$N$14,1))))</f>
        <v>0</v>
      </c>
      <c r="AS47">
        <f>IF('Calc base'!N$14=0,0,MIN(AG47,MAX(0,$E47-SUMIFS($V47:$AG47,'Calc base'!$C$17:$N$17,"&lt;"&amp;'Calc base'!N$17,'Calc base'!$C$14:$N$14,1))))</f>
        <v>0</v>
      </c>
      <c r="AT47">
        <f>V47-AH47</f>
        <v>0</v>
      </c>
      <c r="AU47">
        <f>W47-AI47</f>
        <v>0</v>
      </c>
      <c r="AV47">
        <f>X47-AJ47</f>
        <v>1282.73</v>
      </c>
      <c r="AW47">
        <f>Y47-AK47</f>
        <v>5696.66</v>
      </c>
      <c r="AX47">
        <f>Z47-AL47</f>
        <v>0</v>
      </c>
      <c r="AY47">
        <f>AA47-AM47</f>
        <v>0</v>
      </c>
      <c r="AZ47">
        <f>AB47-AN47</f>
        <v>0</v>
      </c>
      <c r="BA47">
        <f>AC47-AO47</f>
        <v>0</v>
      </c>
      <c r="BB47">
        <f>AD47-AP47</f>
        <v>0</v>
      </c>
      <c r="BC47">
        <f>AE47-AQ47</f>
        <v>0</v>
      </c>
      <c r="BD47">
        <f>AF47-AR47</f>
        <v>0</v>
      </c>
      <c r="BE47">
        <f>AG47-AS47</f>
        <v>0</v>
      </c>
    </row>
    <row r="48">
      <c r="A48" t="n">
        <v>18</v>
      </c>
      <c r="B48">
        <f>SUMPRODUCT(ROUND($AT47:$BE47*(1+'Calc base'!$H48:$S48),2))</f>
        <v>7019.6</v>
      </c>
      <c r="C48">
        <f>SUM(J48:U48)</f>
        <v>475</v>
      </c>
      <c r="D48">
        <f>SUM(V48:AG48)</f>
        <v>6544.6</v>
      </c>
      <c r="E48">
        <f>MAX(0,IF(Impostazioni!$B$7="No",'Calc base'!$C48-$C$31,'Calc base'!$C48-C48)+'Calc base'!$G48+'Calc base'!$F48-(B48-C48-D48))</f>
        <v>425</v>
      </c>
      <c r="F48">
        <f>SUM(AH48:AS48)</f>
        <v>425</v>
      </c>
      <c r="G48">
        <f>SUM(AT48:BE48)</f>
        <v>6119.6</v>
      </c>
      <c r="H48">
        <f>B48-G47</f>
        <v>40.2100000000009</v>
      </c>
      <c r="I48">
        <f>B48-G48</f>
        <v>900</v>
      </c>
      <c r="J48">
        <f>IF(AT47&lt;=0,0,IF(ROUND(AT47*(1+'Calc base'!H48),2)-MAX('Calc base'!C$12,ROUND('Calc base'!C$13*AT47,2))&lt;1,ROUND(AT47*(1+'Calc base'!H48),2),MAX('Calc base'!C$12,ROUND('Calc base'!C$13*AT47,2))))</f>
        <v>0</v>
      </c>
      <c r="K48">
        <f>IF(AU47&lt;=0,0,IF(ROUND(AU47*(1+'Calc base'!I48),2)-MAX('Calc base'!D$12,ROUND('Calc base'!D$13*AU47,2))&lt;1,ROUND(AU47*(1+'Calc base'!I48),2),MAX('Calc base'!D$12,ROUND('Calc base'!D$13*AU47,2))))</f>
        <v>0</v>
      </c>
      <c r="L48">
        <f>IF(AV47&lt;=0,0,IF(ROUND(AV47*(1+'Calc base'!J48),2)-MAX('Calc base'!E$12,ROUND('Calc base'!E$13*AV47,2))&lt;1,ROUND(AV47*(1+'Calc base'!J48),2),MAX('Calc base'!E$12,ROUND('Calc base'!E$13*AV47,2))))</f>
        <v>210</v>
      </c>
      <c r="M48">
        <f>IF(AW47&lt;=0,0,IF(ROUND(AW47*(1+'Calc base'!K48),2)-MAX('Calc base'!F$12,ROUND('Calc base'!F$13*AW47,2))&lt;1,ROUND(AW47*(1+'Calc base'!K48),2),MAX('Calc base'!F$12,ROUND('Calc base'!F$13*AW47,2))))</f>
        <v>265</v>
      </c>
      <c r="N48">
        <f>IF(AX47&lt;=0,0,IF(ROUND(AX47*(1+'Calc base'!L48),2)-MAX('Calc base'!G$12,ROUND('Calc base'!G$13*AX47,2))&lt;1,ROUND(AX47*(1+'Calc base'!L48),2),MAX('Calc base'!G$12,ROUND('Calc base'!G$13*AX47,2))))</f>
        <v>0</v>
      </c>
      <c r="O48">
        <f>IF(AY47&lt;=0,0,IF(ROUND(AY47*(1+'Calc base'!M48),2)-MAX('Calc base'!H$12,ROUND('Calc base'!H$13*AY47,2))&lt;1,ROUND(AY47*(1+'Calc base'!M48),2),MAX('Calc base'!H$12,ROUND('Calc base'!H$13*AY47,2))))</f>
        <v>0</v>
      </c>
      <c r="P48">
        <f>IF(AZ47&lt;=0,0,IF(ROUND(AZ47*(1+'Calc base'!N48),2)-MAX('Calc base'!I$12,ROUND('Calc base'!I$13*AZ47,2))&lt;1,ROUND(AZ47*(1+'Calc base'!N48),2),MAX('Calc base'!I$12,ROUND('Calc base'!I$13*AZ47,2))))</f>
        <v>0</v>
      </c>
      <c r="Q48">
        <f>IF(BA47&lt;=0,0,IF(ROUND(BA47*(1+'Calc base'!O48),2)-MAX('Calc base'!J$12,ROUND('Calc base'!J$13*BA47,2))&lt;1,ROUND(BA47*(1+'Calc base'!O48),2),MAX('Calc base'!J$12,ROUND('Calc base'!J$13*BA47,2))))</f>
        <v>0</v>
      </c>
      <c r="R48">
        <f>IF(BB47&lt;=0,0,IF(ROUND(BB47*(1+'Calc base'!P48),2)-MAX('Calc base'!K$12,ROUND('Calc base'!K$13*BB47,2))&lt;1,ROUND(BB47*(1+'Calc base'!P48),2),MAX('Calc base'!K$12,ROUND('Calc base'!K$13*BB47,2))))</f>
        <v>0</v>
      </c>
      <c r="S48">
        <f>IF(BC47&lt;=0,0,IF(ROUND(BC47*(1+'Calc base'!Q48),2)-MAX('Calc base'!L$12,ROUND('Calc base'!L$13*BC47,2))&lt;1,ROUND(BC47*(1+'Calc base'!Q48),2),MAX('Calc base'!L$12,ROUND('Calc base'!L$13*BC47,2))))</f>
        <v>0</v>
      </c>
      <c r="T48">
        <f>IF(BD47&lt;=0,0,IF(ROUND(BD47*(1+'Calc base'!R48),2)-MAX('Calc base'!M$12,ROUND('Calc base'!M$13*BD47,2))&lt;1,ROUND(BD47*(1+'Calc base'!R48),2),MAX('Calc base'!M$12,ROUND('Calc base'!M$13*BD47,2))))</f>
        <v>0</v>
      </c>
      <c r="U48">
        <f>IF(BE47&lt;=0,0,IF(ROUND(BE47*(1+'Calc base'!S48),2)-MAX('Calc base'!N$12,ROUND('Calc base'!N$13*BE47,2))&lt;1,ROUND(BE47*(1+'Calc base'!S48),2),MAX('Calc base'!N$12,ROUND('Calc base'!N$13*BE47,2))))</f>
        <v>0</v>
      </c>
      <c r="V48">
        <f>MAX(0,ROUND(AT47*(1+'Calc base'!H48),2)-J48-'Calc base'!T48)</f>
        <v>0</v>
      </c>
      <c r="W48">
        <f>MAX(0,ROUND(AU47*(1+'Calc base'!I48),2)-K48-'Calc base'!U48)</f>
        <v>0</v>
      </c>
      <c r="X48">
        <f>MAX(0,ROUND(AV47*(1+'Calc base'!J48),2)-L48-'Calc base'!V48)</f>
        <v>1082.56</v>
      </c>
      <c r="Y48">
        <f>MAX(0,ROUND(AW47*(1+'Calc base'!K48),2)-M48-'Calc base'!W48)</f>
        <v>5462.04</v>
      </c>
      <c r="Z48">
        <f>MAX(0,ROUND(AX47*(1+'Calc base'!L48),2)-N48-'Calc base'!X48)</f>
        <v>0</v>
      </c>
      <c r="AA48">
        <f>MAX(0,ROUND(AY47*(1+'Calc base'!M48),2)-O48-'Calc base'!Y48)</f>
        <v>0</v>
      </c>
      <c r="AB48">
        <f>MAX(0,ROUND(AZ47*(1+'Calc base'!N48),2)-P48-'Calc base'!Z48)</f>
        <v>0</v>
      </c>
      <c r="AC48">
        <f>MAX(0,ROUND(BA47*(1+'Calc base'!O48),2)-Q48-'Calc base'!AA48)</f>
        <v>0</v>
      </c>
      <c r="AD48">
        <f>MAX(0,ROUND(BB47*(1+'Calc base'!P48),2)-R48-'Calc base'!AB48)</f>
        <v>0</v>
      </c>
      <c r="AE48">
        <f>MAX(0,ROUND(BC47*(1+'Calc base'!Q48),2)-S48-'Calc base'!AC48)</f>
        <v>0</v>
      </c>
      <c r="AF48">
        <f>MAX(0,ROUND(BD47*(1+'Calc base'!R48),2)-T48-'Calc base'!AD48)</f>
        <v>0</v>
      </c>
      <c r="AG48">
        <f>MAX(0,ROUND(BE47*(1+'Calc base'!S48),2)-U48-'Calc base'!AE48)</f>
        <v>0</v>
      </c>
      <c r="AH48">
        <f>IF('Calc base'!C$14=0,0,MIN(V48,MAX(0,$E48-SUMIFS($V48:$AG48,'Calc base'!$C$17:$N$17,"&lt;"&amp;'Calc base'!C$17,'Calc base'!$C$14:$N$14,1))))</f>
        <v>0</v>
      </c>
      <c r="AI48">
        <f>IF('Calc base'!D$14=0,0,MIN(W48,MAX(0,$E48-SUMIFS($V48:$AG48,'Calc base'!$C$17:$N$17,"&lt;"&amp;'Calc base'!D$17,'Calc base'!$C$14:$N$14,1))))</f>
        <v>0</v>
      </c>
      <c r="AJ48">
        <f>IF('Calc base'!E$14=0,0,MIN(X48,MAX(0,$E48-SUMIFS($V48:$AG48,'Calc base'!$C$17:$N$17,"&lt;"&amp;'Calc base'!E$17,'Calc base'!$C$14:$N$14,1))))</f>
        <v>425</v>
      </c>
      <c r="AK48">
        <f>IF('Calc base'!F$14=0,0,MIN(Y48,MAX(0,$E48-SUMIFS($V48:$AG48,'Calc base'!$C$17:$N$17,"&lt;"&amp;'Calc base'!F$17,'Calc base'!$C$14:$N$14,1))))</f>
        <v>0</v>
      </c>
      <c r="AL48">
        <f>IF('Calc base'!G$14=0,0,MIN(Z48,MAX(0,$E48-SUMIFS($V48:$AG48,'Calc base'!$C$17:$N$17,"&lt;"&amp;'Calc base'!G$17,'Calc base'!$C$14:$N$14,1))))</f>
        <v>0</v>
      </c>
      <c r="AM48">
        <f>IF('Calc base'!H$14=0,0,MIN(AA48,MAX(0,$E48-SUMIFS($V48:$AG48,'Calc base'!$C$17:$N$17,"&lt;"&amp;'Calc base'!H$17,'Calc base'!$C$14:$N$14,1))))</f>
        <v>0</v>
      </c>
      <c r="AN48">
        <f>IF('Calc base'!I$14=0,0,MIN(AB48,MAX(0,$E48-SUMIFS($V48:$AG48,'Calc base'!$C$17:$N$17,"&lt;"&amp;'Calc base'!I$17,'Calc base'!$C$14:$N$14,1))))</f>
        <v>0</v>
      </c>
      <c r="AO48">
        <f>IF('Calc base'!J$14=0,0,MIN(AC48,MAX(0,$E48-SUMIFS($V48:$AG48,'Calc base'!$C$17:$N$17,"&lt;"&amp;'Calc base'!J$17,'Calc base'!$C$14:$N$14,1))))</f>
        <v>0</v>
      </c>
      <c r="AP48">
        <f>IF('Calc base'!K$14=0,0,MIN(AD48,MAX(0,$E48-SUMIFS($V48:$AG48,'Calc base'!$C$17:$N$17,"&lt;"&amp;'Calc base'!K$17,'Calc base'!$C$14:$N$14,1))))</f>
        <v>0</v>
      </c>
      <c r="AQ48">
        <f>IF('Calc base'!L$14=0,0,MIN(AE48,MAX(0,$E48-SUMIFS($V48:$AG48,'Calc base'!$C$17:$N$17,"&lt;"&amp;'Calc base'!L$17,'Calc base'!$C$14:$N$14,1))))</f>
        <v>0</v>
      </c>
      <c r="AR48">
        <f>IF('Calc base'!M$14=0,0,MIN(AF48,MAX(0,$E48-SUMIFS($V48:$AG48,'Calc base'!$C$17:$N$17,"&lt;"&amp;'Calc base'!M$17,'Calc base'!$C$14:$N$14,1))))</f>
        <v>0</v>
      </c>
      <c r="AS48">
        <f>IF('Calc base'!N$14=0,0,MIN(AG48,MAX(0,$E48-SUMIFS($V48:$AG48,'Calc base'!$C$17:$N$17,"&lt;"&amp;'Calc base'!N$17,'Calc base'!$C$14:$N$14,1))))</f>
        <v>0</v>
      </c>
      <c r="AT48">
        <f>V48-AH48</f>
        <v>0</v>
      </c>
      <c r="AU48">
        <f>W48-AI48</f>
        <v>0</v>
      </c>
      <c r="AV48">
        <f>X48-AJ48</f>
        <v>657.56</v>
      </c>
      <c r="AW48">
        <f>Y48-AK48</f>
        <v>5462.04</v>
      </c>
      <c r="AX48">
        <f>Z48-AL48</f>
        <v>0</v>
      </c>
      <c r="AY48">
        <f>AA48-AM48</f>
        <v>0</v>
      </c>
      <c r="AZ48">
        <f>AB48-AN48</f>
        <v>0</v>
      </c>
      <c r="BA48">
        <f>AC48-AO48</f>
        <v>0</v>
      </c>
      <c r="BB48">
        <f>AD48-AP48</f>
        <v>0</v>
      </c>
      <c r="BC48">
        <f>AE48-AQ48</f>
        <v>0</v>
      </c>
      <c r="BD48">
        <f>AF48-AR48</f>
        <v>0</v>
      </c>
      <c r="BE48">
        <f>AG48-AS48</f>
        <v>0</v>
      </c>
    </row>
    <row r="49">
      <c r="A49" t="n">
        <v>19</v>
      </c>
      <c r="B49">
        <f>SUMPRODUCT(ROUND($AT48:$BE48*(1+'Calc base'!$H49:$S49),2))</f>
        <v>6153.77</v>
      </c>
      <c r="C49">
        <f>SUM(J49:U49)</f>
        <v>475</v>
      </c>
      <c r="D49">
        <f>SUM(V49:AG49)</f>
        <v>5678.77</v>
      </c>
      <c r="E49">
        <f>MAX(0,IF(Impostazioni!$B$7="No",'Calc base'!$C49-$C$31,'Calc base'!$C49-C49)+'Calc base'!$G49+'Calc base'!$F49-(B49-C49-D49))</f>
        <v>425</v>
      </c>
      <c r="F49">
        <f>SUM(AH49:AS49)</f>
        <v>425</v>
      </c>
      <c r="G49">
        <f>SUM(AT49:BE49)</f>
        <v>5253.77</v>
      </c>
      <c r="H49">
        <f>B49-G48</f>
        <v>34.1700000000001</v>
      </c>
      <c r="I49">
        <f>B49-G49</f>
        <v>900</v>
      </c>
      <c r="J49">
        <f>IF(AT48&lt;=0,0,IF(ROUND(AT48*(1+'Calc base'!H49),2)-MAX('Calc base'!C$12,ROUND('Calc base'!C$13*AT48,2))&lt;1,ROUND(AT48*(1+'Calc base'!H49),2),MAX('Calc base'!C$12,ROUND('Calc base'!C$13*AT48,2))))</f>
        <v>0</v>
      </c>
      <c r="K49">
        <f>IF(AU48&lt;=0,0,IF(ROUND(AU48*(1+'Calc base'!I49),2)-MAX('Calc base'!D$12,ROUND('Calc base'!D$13*AU48,2))&lt;1,ROUND(AU48*(1+'Calc base'!I49),2),MAX('Calc base'!D$12,ROUND('Calc base'!D$13*AU48,2))))</f>
        <v>0</v>
      </c>
      <c r="L49">
        <f>IF(AV48&lt;=0,0,IF(ROUND(AV48*(1+'Calc base'!J49),2)-MAX('Calc base'!E$12,ROUND('Calc base'!E$13*AV48,2))&lt;1,ROUND(AV48*(1+'Calc base'!J49),2),MAX('Calc base'!E$12,ROUND('Calc base'!E$13*AV48,2))))</f>
        <v>210</v>
      </c>
      <c r="M49">
        <f>IF(AW48&lt;=0,0,IF(ROUND(AW48*(1+'Calc base'!K49),2)-MAX('Calc base'!F$12,ROUND('Calc base'!F$13*AW48,2))&lt;1,ROUND(AW48*(1+'Calc base'!K49),2),MAX('Calc base'!F$12,ROUND('Calc base'!F$13*AW48,2))))</f>
        <v>265</v>
      </c>
      <c r="N49">
        <f>IF(AX48&lt;=0,0,IF(ROUND(AX48*(1+'Calc base'!L49),2)-MAX('Calc base'!G$12,ROUND('Calc base'!G$13*AX48,2))&lt;1,ROUND(AX48*(1+'Calc base'!L49),2),MAX('Calc base'!G$12,ROUND('Calc base'!G$13*AX48,2))))</f>
        <v>0</v>
      </c>
      <c r="O49">
        <f>IF(AY48&lt;=0,0,IF(ROUND(AY48*(1+'Calc base'!M49),2)-MAX('Calc base'!H$12,ROUND('Calc base'!H$13*AY48,2))&lt;1,ROUND(AY48*(1+'Calc base'!M49),2),MAX('Calc base'!H$12,ROUND('Calc base'!H$13*AY48,2))))</f>
        <v>0</v>
      </c>
      <c r="P49">
        <f>IF(AZ48&lt;=0,0,IF(ROUND(AZ48*(1+'Calc base'!N49),2)-MAX('Calc base'!I$12,ROUND('Calc base'!I$13*AZ48,2))&lt;1,ROUND(AZ48*(1+'Calc base'!N49),2),MAX('Calc base'!I$12,ROUND('Calc base'!I$13*AZ48,2))))</f>
        <v>0</v>
      </c>
      <c r="Q49">
        <f>IF(BA48&lt;=0,0,IF(ROUND(BA48*(1+'Calc base'!O49),2)-MAX('Calc base'!J$12,ROUND('Calc base'!J$13*BA48,2))&lt;1,ROUND(BA48*(1+'Calc base'!O49),2),MAX('Calc base'!J$12,ROUND('Calc base'!J$13*BA48,2))))</f>
        <v>0</v>
      </c>
      <c r="R49">
        <f>IF(BB48&lt;=0,0,IF(ROUND(BB48*(1+'Calc base'!P49),2)-MAX('Calc base'!K$12,ROUND('Calc base'!K$13*BB48,2))&lt;1,ROUND(BB48*(1+'Calc base'!P49),2),MAX('Calc base'!K$12,ROUND('Calc base'!K$13*BB48,2))))</f>
        <v>0</v>
      </c>
      <c r="S49">
        <f>IF(BC48&lt;=0,0,IF(ROUND(BC48*(1+'Calc base'!Q49),2)-MAX('Calc base'!L$12,ROUND('Calc base'!L$13*BC48,2))&lt;1,ROUND(BC48*(1+'Calc base'!Q49),2),MAX('Calc base'!L$12,ROUND('Calc base'!L$13*BC48,2))))</f>
        <v>0</v>
      </c>
      <c r="T49">
        <f>IF(BD48&lt;=0,0,IF(ROUND(BD48*(1+'Calc base'!R49),2)-MAX('Calc base'!M$12,ROUND('Calc base'!M$13*BD48,2))&lt;1,ROUND(BD48*(1+'Calc base'!R49),2),MAX('Calc base'!M$12,ROUND('Calc base'!M$13*BD48,2))))</f>
        <v>0</v>
      </c>
      <c r="U49">
        <f>IF(BE48&lt;=0,0,IF(ROUND(BE48*(1+'Calc base'!S49),2)-MAX('Calc base'!N$12,ROUND('Calc base'!N$13*BE48,2))&lt;1,ROUND(BE48*(1+'Calc base'!S49),2),MAX('Calc base'!N$12,ROUND('Calc base'!N$13*BE48,2))))</f>
        <v>0</v>
      </c>
      <c r="V49">
        <f>MAX(0,ROUND(AT48*(1+'Calc base'!H49),2)-J49-'Calc base'!T49)</f>
        <v>0</v>
      </c>
      <c r="W49">
        <f>MAX(0,ROUND(AU48*(1+'Calc base'!I49),2)-K49-'Calc base'!U49)</f>
        <v>0</v>
      </c>
      <c r="X49">
        <f>MAX(0,ROUND(AV48*(1+'Calc base'!J49),2)-L49-'Calc base'!V49)</f>
        <v>452.6</v>
      </c>
      <c r="Y49">
        <f>MAX(0,ROUND(AW48*(1+'Calc base'!K49),2)-M49-'Calc base'!W49)</f>
        <v>5226.17</v>
      </c>
      <c r="Z49">
        <f>MAX(0,ROUND(AX48*(1+'Calc base'!L49),2)-N49-'Calc base'!X49)</f>
        <v>0</v>
      </c>
      <c r="AA49">
        <f>MAX(0,ROUND(AY48*(1+'Calc base'!M49),2)-O49-'Calc base'!Y49)</f>
        <v>0</v>
      </c>
      <c r="AB49">
        <f>MAX(0,ROUND(AZ48*(1+'Calc base'!N49),2)-P49-'Calc base'!Z49)</f>
        <v>0</v>
      </c>
      <c r="AC49">
        <f>MAX(0,ROUND(BA48*(1+'Calc base'!O49),2)-Q49-'Calc base'!AA49)</f>
        <v>0</v>
      </c>
      <c r="AD49">
        <f>MAX(0,ROUND(BB48*(1+'Calc base'!P49),2)-R49-'Calc base'!AB49)</f>
        <v>0</v>
      </c>
      <c r="AE49">
        <f>MAX(0,ROUND(BC48*(1+'Calc base'!Q49),2)-S49-'Calc base'!AC49)</f>
        <v>0</v>
      </c>
      <c r="AF49">
        <f>MAX(0,ROUND(BD48*(1+'Calc base'!R49),2)-T49-'Calc base'!AD49)</f>
        <v>0</v>
      </c>
      <c r="AG49">
        <f>MAX(0,ROUND(BE48*(1+'Calc base'!S49),2)-U49-'Calc base'!AE49)</f>
        <v>0</v>
      </c>
      <c r="AH49">
        <f>IF('Calc base'!C$14=0,0,MIN(V49,MAX(0,$E49-SUMIFS($V49:$AG49,'Calc base'!$C$17:$N$17,"&lt;"&amp;'Calc base'!C$17,'Calc base'!$C$14:$N$14,1))))</f>
        <v>0</v>
      </c>
      <c r="AI49">
        <f>IF('Calc base'!D$14=0,0,MIN(W49,MAX(0,$E49-SUMIFS($V49:$AG49,'Calc base'!$C$17:$N$17,"&lt;"&amp;'Calc base'!D$17,'Calc base'!$C$14:$N$14,1))))</f>
        <v>0</v>
      </c>
      <c r="AJ49">
        <f>IF('Calc base'!E$14=0,0,MIN(X49,MAX(0,$E49-SUMIFS($V49:$AG49,'Calc base'!$C$17:$N$17,"&lt;"&amp;'Calc base'!E$17,'Calc base'!$C$14:$N$14,1))))</f>
        <v>425</v>
      </c>
      <c r="AK49">
        <f>IF('Calc base'!F$14=0,0,MIN(Y49,MAX(0,$E49-SUMIFS($V49:$AG49,'Calc base'!$C$17:$N$17,"&lt;"&amp;'Calc base'!F$17,'Calc base'!$C$14:$N$14,1))))</f>
        <v>0</v>
      </c>
      <c r="AL49">
        <f>IF('Calc base'!G$14=0,0,MIN(Z49,MAX(0,$E49-SUMIFS($V49:$AG49,'Calc base'!$C$17:$N$17,"&lt;"&amp;'Calc base'!G$17,'Calc base'!$C$14:$N$14,1))))</f>
        <v>0</v>
      </c>
      <c r="AM49">
        <f>IF('Calc base'!H$14=0,0,MIN(AA49,MAX(0,$E49-SUMIFS($V49:$AG49,'Calc base'!$C$17:$N$17,"&lt;"&amp;'Calc base'!H$17,'Calc base'!$C$14:$N$14,1))))</f>
        <v>0</v>
      </c>
      <c r="AN49">
        <f>IF('Calc base'!I$14=0,0,MIN(AB49,MAX(0,$E49-SUMIFS($V49:$AG49,'Calc base'!$C$17:$N$17,"&lt;"&amp;'Calc base'!I$17,'Calc base'!$C$14:$N$14,1))))</f>
        <v>0</v>
      </c>
      <c r="AO49">
        <f>IF('Calc base'!J$14=0,0,MIN(AC49,MAX(0,$E49-SUMIFS($V49:$AG49,'Calc base'!$C$17:$N$17,"&lt;"&amp;'Calc base'!J$17,'Calc base'!$C$14:$N$14,1))))</f>
        <v>0</v>
      </c>
      <c r="AP49">
        <f>IF('Calc base'!K$14=0,0,MIN(AD49,MAX(0,$E49-SUMIFS($V49:$AG49,'Calc base'!$C$17:$N$17,"&lt;"&amp;'Calc base'!K$17,'Calc base'!$C$14:$N$14,1))))</f>
        <v>0</v>
      </c>
      <c r="AQ49">
        <f>IF('Calc base'!L$14=0,0,MIN(AE49,MAX(0,$E49-SUMIFS($V49:$AG49,'Calc base'!$C$17:$N$17,"&lt;"&amp;'Calc base'!L$17,'Calc base'!$C$14:$N$14,1))))</f>
        <v>0</v>
      </c>
      <c r="AR49">
        <f>IF('Calc base'!M$14=0,0,MIN(AF49,MAX(0,$E49-SUMIFS($V49:$AG49,'Calc base'!$C$17:$N$17,"&lt;"&amp;'Calc base'!M$17,'Calc base'!$C$14:$N$14,1))))</f>
        <v>0</v>
      </c>
      <c r="AS49">
        <f>IF('Calc base'!N$14=0,0,MIN(AG49,MAX(0,$E49-SUMIFS($V49:$AG49,'Calc base'!$C$17:$N$17,"&lt;"&amp;'Calc base'!N$17,'Calc base'!$C$14:$N$14,1))))</f>
        <v>0</v>
      </c>
      <c r="AT49">
        <f>V49-AH49</f>
        <v>0</v>
      </c>
      <c r="AU49">
        <f>W49-AI49</f>
        <v>0</v>
      </c>
      <c r="AV49">
        <f>X49-AJ49</f>
        <v>27.6</v>
      </c>
      <c r="AW49">
        <f>Y49-AK49</f>
        <v>5226.17</v>
      </c>
      <c r="AX49">
        <f>Z49-AL49</f>
        <v>0</v>
      </c>
      <c r="AY49">
        <f>AA49-AM49</f>
        <v>0</v>
      </c>
      <c r="AZ49">
        <f>AB49-AN49</f>
        <v>0</v>
      </c>
      <c r="BA49">
        <f>AC49-AO49</f>
        <v>0</v>
      </c>
      <c r="BB49">
        <f>AD49-AP49</f>
        <v>0</v>
      </c>
      <c r="BC49">
        <f>AE49-AQ49</f>
        <v>0</v>
      </c>
      <c r="BD49">
        <f>AF49-AR49</f>
        <v>0</v>
      </c>
      <c r="BE49">
        <f>AG49-AS49</f>
        <v>0</v>
      </c>
    </row>
    <row r="50">
      <c r="A50" t="n">
        <v>20</v>
      </c>
      <c r="B50">
        <f>SUMPRODUCT(ROUND($AT49:$BE49*(1+'Calc base'!$H50:$S50),2))</f>
        <v>5281.85</v>
      </c>
      <c r="C50">
        <f>SUM(J50:U50)</f>
        <v>292.81</v>
      </c>
      <c r="D50">
        <f>SUM(V50:AG50)</f>
        <v>4989.04</v>
      </c>
      <c r="E50">
        <f>MAX(0,IF(Impostazioni!$B$7="No",'Calc base'!$C50-$C$31,'Calc base'!$C50-C50)+'Calc base'!$G50+'Calc base'!$F50-(B50-C50-D50))</f>
        <v>607.19</v>
      </c>
      <c r="F50">
        <f>SUM(AH50:AS50)</f>
        <v>607.19</v>
      </c>
      <c r="G50">
        <f>SUM(AT50:BE50)</f>
        <v>4381.85</v>
      </c>
      <c r="H50">
        <f>B50-G49</f>
        <v>28.0799999999999</v>
      </c>
      <c r="I50">
        <f>B50-G50</f>
        <v>900</v>
      </c>
      <c r="J50">
        <f>IF(AT49&lt;=0,0,IF(ROUND(AT49*(1+'Calc base'!H50),2)-MAX('Calc base'!C$12,ROUND('Calc base'!C$13*AT49,2))&lt;1,ROUND(AT49*(1+'Calc base'!H50),2),MAX('Calc base'!C$12,ROUND('Calc base'!C$13*AT49,2))))</f>
        <v>0</v>
      </c>
      <c r="K50">
        <f>IF(AU49&lt;=0,0,IF(ROUND(AU49*(1+'Calc base'!I50),2)-MAX('Calc base'!D$12,ROUND('Calc base'!D$13*AU49,2))&lt;1,ROUND(AU49*(1+'Calc base'!I50),2),MAX('Calc base'!D$12,ROUND('Calc base'!D$13*AU49,2))))</f>
        <v>0</v>
      </c>
      <c r="L50">
        <f>IF(AV49&lt;=0,0,IF(ROUND(AV49*(1+'Calc base'!J50),2)-MAX('Calc base'!E$12,ROUND('Calc base'!E$13*AV49,2))&lt;1,ROUND(AV49*(1+'Calc base'!J50),2),MAX('Calc base'!E$12,ROUND('Calc base'!E$13*AV49,2))))</f>
        <v>27.81</v>
      </c>
      <c r="M50">
        <f>IF(AW49&lt;=0,0,IF(ROUND(AW49*(1+'Calc base'!K50),2)-MAX('Calc base'!F$12,ROUND('Calc base'!F$13*AW49,2))&lt;1,ROUND(AW49*(1+'Calc base'!K50),2),MAX('Calc base'!F$12,ROUND('Calc base'!F$13*AW49,2))))</f>
        <v>265</v>
      </c>
      <c r="N50">
        <f>IF(AX49&lt;=0,0,IF(ROUND(AX49*(1+'Calc base'!L50),2)-MAX('Calc base'!G$12,ROUND('Calc base'!G$13*AX49,2))&lt;1,ROUND(AX49*(1+'Calc base'!L50),2),MAX('Calc base'!G$12,ROUND('Calc base'!G$13*AX49,2))))</f>
        <v>0</v>
      </c>
      <c r="O50">
        <f>IF(AY49&lt;=0,0,IF(ROUND(AY49*(1+'Calc base'!M50),2)-MAX('Calc base'!H$12,ROUND('Calc base'!H$13*AY49,2))&lt;1,ROUND(AY49*(1+'Calc base'!M50),2),MAX('Calc base'!H$12,ROUND('Calc base'!H$13*AY49,2))))</f>
        <v>0</v>
      </c>
      <c r="P50">
        <f>IF(AZ49&lt;=0,0,IF(ROUND(AZ49*(1+'Calc base'!N50),2)-MAX('Calc base'!I$12,ROUND('Calc base'!I$13*AZ49,2))&lt;1,ROUND(AZ49*(1+'Calc base'!N50),2),MAX('Calc base'!I$12,ROUND('Calc base'!I$13*AZ49,2))))</f>
        <v>0</v>
      </c>
      <c r="Q50">
        <f>IF(BA49&lt;=0,0,IF(ROUND(BA49*(1+'Calc base'!O50),2)-MAX('Calc base'!J$12,ROUND('Calc base'!J$13*BA49,2))&lt;1,ROUND(BA49*(1+'Calc base'!O50),2),MAX('Calc base'!J$12,ROUND('Calc base'!J$13*BA49,2))))</f>
        <v>0</v>
      </c>
      <c r="R50">
        <f>IF(BB49&lt;=0,0,IF(ROUND(BB49*(1+'Calc base'!P50),2)-MAX('Calc base'!K$12,ROUND('Calc base'!K$13*BB49,2))&lt;1,ROUND(BB49*(1+'Calc base'!P50),2),MAX('Calc base'!K$12,ROUND('Calc base'!K$13*BB49,2))))</f>
        <v>0</v>
      </c>
      <c r="S50">
        <f>IF(BC49&lt;=0,0,IF(ROUND(BC49*(1+'Calc base'!Q50),2)-MAX('Calc base'!L$12,ROUND('Calc base'!L$13*BC49,2))&lt;1,ROUND(BC49*(1+'Calc base'!Q50),2),MAX('Calc base'!L$12,ROUND('Calc base'!L$13*BC49,2))))</f>
        <v>0</v>
      </c>
      <c r="T50">
        <f>IF(BD49&lt;=0,0,IF(ROUND(BD49*(1+'Calc base'!R50),2)-MAX('Calc base'!M$12,ROUND('Calc base'!M$13*BD49,2))&lt;1,ROUND(BD49*(1+'Calc base'!R50),2),MAX('Calc base'!M$12,ROUND('Calc base'!M$13*BD49,2))))</f>
        <v>0</v>
      </c>
      <c r="U50">
        <f>IF(BE49&lt;=0,0,IF(ROUND(BE49*(1+'Calc base'!S50),2)-MAX('Calc base'!N$12,ROUND('Calc base'!N$13*BE49,2))&lt;1,ROUND(BE49*(1+'Calc base'!S50),2),MAX('Calc base'!N$12,ROUND('Calc base'!N$13*BE49,2))))</f>
        <v>0</v>
      </c>
      <c r="V50">
        <f>MAX(0,ROUND(AT49*(1+'Calc base'!H50),2)-J50-'Calc base'!T50)</f>
        <v>0</v>
      </c>
      <c r="W50">
        <f>MAX(0,ROUND(AU49*(1+'Calc base'!I50),2)-K50-'Calc base'!U50)</f>
        <v>0</v>
      </c>
      <c r="X50">
        <f>MAX(0,ROUND(AV49*(1+'Calc base'!J50),2)-L50-'Calc base'!V50)</f>
        <v>0</v>
      </c>
      <c r="Y50">
        <f>MAX(0,ROUND(AW49*(1+'Calc base'!K50),2)-M50-'Calc base'!W50)</f>
        <v>4989.04</v>
      </c>
      <c r="Z50">
        <f>MAX(0,ROUND(AX49*(1+'Calc base'!L50),2)-N50-'Calc base'!X50)</f>
        <v>0</v>
      </c>
      <c r="AA50">
        <f>MAX(0,ROUND(AY49*(1+'Calc base'!M50),2)-O50-'Calc base'!Y50)</f>
        <v>0</v>
      </c>
      <c r="AB50">
        <f>MAX(0,ROUND(AZ49*(1+'Calc base'!N50),2)-P50-'Calc base'!Z50)</f>
        <v>0</v>
      </c>
      <c r="AC50">
        <f>MAX(0,ROUND(BA49*(1+'Calc base'!O50),2)-Q50-'Calc base'!AA50)</f>
        <v>0</v>
      </c>
      <c r="AD50">
        <f>MAX(0,ROUND(BB49*(1+'Calc base'!P50),2)-R50-'Calc base'!AB50)</f>
        <v>0</v>
      </c>
      <c r="AE50">
        <f>MAX(0,ROUND(BC49*(1+'Calc base'!Q50),2)-S50-'Calc base'!AC50)</f>
        <v>0</v>
      </c>
      <c r="AF50">
        <f>MAX(0,ROUND(BD49*(1+'Calc base'!R50),2)-T50-'Calc base'!AD50)</f>
        <v>0</v>
      </c>
      <c r="AG50">
        <f>MAX(0,ROUND(BE49*(1+'Calc base'!S50),2)-U50-'Calc base'!AE50)</f>
        <v>0</v>
      </c>
      <c r="AH50">
        <f>IF('Calc base'!C$14=0,0,MIN(V50,MAX(0,$E50-SUMIFS($V50:$AG50,'Calc base'!$C$17:$N$17,"&lt;"&amp;'Calc base'!C$17,'Calc base'!$C$14:$N$14,1))))</f>
        <v>0</v>
      </c>
      <c r="AI50">
        <f>IF('Calc base'!D$14=0,0,MIN(W50,MAX(0,$E50-SUMIFS($V50:$AG50,'Calc base'!$C$17:$N$17,"&lt;"&amp;'Calc base'!D$17,'Calc base'!$C$14:$N$14,1))))</f>
        <v>0</v>
      </c>
      <c r="AJ50">
        <f>IF('Calc base'!E$14=0,0,MIN(X50,MAX(0,$E50-SUMIFS($V50:$AG50,'Calc base'!$C$17:$N$17,"&lt;"&amp;'Calc base'!E$17,'Calc base'!$C$14:$N$14,1))))</f>
        <v>0</v>
      </c>
      <c r="AK50">
        <f>IF('Calc base'!F$14=0,0,MIN(Y50,MAX(0,$E50-SUMIFS($V50:$AG50,'Calc base'!$C$17:$N$17,"&lt;"&amp;'Calc base'!F$17,'Calc base'!$C$14:$N$14,1))))</f>
        <v>607.19</v>
      </c>
      <c r="AL50">
        <f>IF('Calc base'!G$14=0,0,MIN(Z50,MAX(0,$E50-SUMIFS($V50:$AG50,'Calc base'!$C$17:$N$17,"&lt;"&amp;'Calc base'!G$17,'Calc base'!$C$14:$N$14,1))))</f>
        <v>0</v>
      </c>
      <c r="AM50">
        <f>IF('Calc base'!H$14=0,0,MIN(AA50,MAX(0,$E50-SUMIFS($V50:$AG50,'Calc base'!$C$17:$N$17,"&lt;"&amp;'Calc base'!H$17,'Calc base'!$C$14:$N$14,1))))</f>
        <v>0</v>
      </c>
      <c r="AN50">
        <f>IF('Calc base'!I$14=0,0,MIN(AB50,MAX(0,$E50-SUMIFS($V50:$AG50,'Calc base'!$C$17:$N$17,"&lt;"&amp;'Calc base'!I$17,'Calc base'!$C$14:$N$14,1))))</f>
        <v>0</v>
      </c>
      <c r="AO50">
        <f>IF('Calc base'!J$14=0,0,MIN(AC50,MAX(0,$E50-SUMIFS($V50:$AG50,'Calc base'!$C$17:$N$17,"&lt;"&amp;'Calc base'!J$17,'Calc base'!$C$14:$N$14,1))))</f>
        <v>0</v>
      </c>
      <c r="AP50">
        <f>IF('Calc base'!K$14=0,0,MIN(AD50,MAX(0,$E50-SUMIFS($V50:$AG50,'Calc base'!$C$17:$N$17,"&lt;"&amp;'Calc base'!K$17,'Calc base'!$C$14:$N$14,1))))</f>
        <v>0</v>
      </c>
      <c r="AQ50">
        <f>IF('Calc base'!L$14=0,0,MIN(AE50,MAX(0,$E50-SUMIFS($V50:$AG50,'Calc base'!$C$17:$N$17,"&lt;"&amp;'Calc base'!L$17,'Calc base'!$C$14:$N$14,1))))</f>
        <v>0</v>
      </c>
      <c r="AR50">
        <f>IF('Calc base'!M$14=0,0,MIN(AF50,MAX(0,$E50-SUMIFS($V50:$AG50,'Calc base'!$C$17:$N$17,"&lt;"&amp;'Calc base'!M$17,'Calc base'!$C$14:$N$14,1))))</f>
        <v>0</v>
      </c>
      <c r="AS50">
        <f>IF('Calc base'!N$14=0,0,MIN(AG50,MAX(0,$E50-SUMIFS($V50:$AG50,'Calc base'!$C$17:$N$17,"&lt;"&amp;'Calc base'!N$17,'Calc base'!$C$14:$N$14,1))))</f>
        <v>0</v>
      </c>
      <c r="AT50">
        <f>V50-AH50</f>
        <v>0</v>
      </c>
      <c r="AU50">
        <f>W50-AI50</f>
        <v>0</v>
      </c>
      <c r="AV50">
        <f>X50-AJ50</f>
        <v>0</v>
      </c>
      <c r="AW50">
        <f>Y50-AK50</f>
        <v>4381.85</v>
      </c>
      <c r="AX50">
        <f>Z50-AL50</f>
        <v>0</v>
      </c>
      <c r="AY50">
        <f>AA50-AM50</f>
        <v>0</v>
      </c>
      <c r="AZ50">
        <f>AB50-AN50</f>
        <v>0</v>
      </c>
      <c r="BA50">
        <f>AC50-AO50</f>
        <v>0</v>
      </c>
      <c r="BB50">
        <f>AD50-AP50</f>
        <v>0</v>
      </c>
      <c r="BC50">
        <f>AE50-AQ50</f>
        <v>0</v>
      </c>
      <c r="BD50">
        <f>AF50-AR50</f>
        <v>0</v>
      </c>
      <c r="BE50">
        <f>AG50-AS50</f>
        <v>0</v>
      </c>
    </row>
    <row r="51">
      <c r="A51" t="n">
        <v>21</v>
      </c>
      <c r="B51">
        <f>SUMPRODUCT(ROUND($AT50:$BE50*(1+'Calc base'!$H51:$S51),2))</f>
        <v>4405.22</v>
      </c>
      <c r="C51">
        <f>SUM(J51:U51)</f>
        <v>265</v>
      </c>
      <c r="D51">
        <f>SUM(V51:AG51)</f>
        <v>4140.22</v>
      </c>
      <c r="E51">
        <f>MAX(0,IF(Impostazioni!$B$7="No",'Calc base'!$C51-$C$31,'Calc base'!$C51-C51)+'Calc base'!$G51+'Calc base'!$F51-(B51-C51-D51))</f>
        <v>635</v>
      </c>
      <c r="F51">
        <f>SUM(AH51:AS51)</f>
        <v>635</v>
      </c>
      <c r="G51">
        <f>SUM(AT51:BE51)</f>
        <v>3505.22</v>
      </c>
      <c r="H51">
        <f>B51-G50</f>
        <v>23.3699999999999</v>
      </c>
      <c r="I51">
        <f>B51-G51</f>
        <v>900</v>
      </c>
      <c r="J51">
        <f>IF(AT50&lt;=0,0,IF(ROUND(AT50*(1+'Calc base'!H51),2)-MAX('Calc base'!C$12,ROUND('Calc base'!C$13*AT50,2))&lt;1,ROUND(AT50*(1+'Calc base'!H51),2),MAX('Calc base'!C$12,ROUND('Calc base'!C$13*AT50,2))))</f>
        <v>0</v>
      </c>
      <c r="K51">
        <f>IF(AU50&lt;=0,0,IF(ROUND(AU50*(1+'Calc base'!I51),2)-MAX('Calc base'!D$12,ROUND('Calc base'!D$13*AU50,2))&lt;1,ROUND(AU50*(1+'Calc base'!I51),2),MAX('Calc base'!D$12,ROUND('Calc base'!D$13*AU50,2))))</f>
        <v>0</v>
      </c>
      <c r="L51">
        <f>IF(AV50&lt;=0,0,IF(ROUND(AV50*(1+'Calc base'!J51),2)-MAX('Calc base'!E$12,ROUND('Calc base'!E$13*AV50,2))&lt;1,ROUND(AV50*(1+'Calc base'!J51),2),MAX('Calc base'!E$12,ROUND('Calc base'!E$13*AV50,2))))</f>
        <v>0</v>
      </c>
      <c r="M51">
        <f>IF(AW50&lt;=0,0,IF(ROUND(AW50*(1+'Calc base'!K51),2)-MAX('Calc base'!F$12,ROUND('Calc base'!F$13*AW50,2))&lt;1,ROUND(AW50*(1+'Calc base'!K51),2),MAX('Calc base'!F$12,ROUND('Calc base'!F$13*AW50,2))))</f>
        <v>265</v>
      </c>
      <c r="N51">
        <f>IF(AX50&lt;=0,0,IF(ROUND(AX50*(1+'Calc base'!L51),2)-MAX('Calc base'!G$12,ROUND('Calc base'!G$13*AX50,2))&lt;1,ROUND(AX50*(1+'Calc base'!L51),2),MAX('Calc base'!G$12,ROUND('Calc base'!G$13*AX50,2))))</f>
        <v>0</v>
      </c>
      <c r="O51">
        <f>IF(AY50&lt;=0,0,IF(ROUND(AY50*(1+'Calc base'!M51),2)-MAX('Calc base'!H$12,ROUND('Calc base'!H$13*AY50,2))&lt;1,ROUND(AY50*(1+'Calc base'!M51),2),MAX('Calc base'!H$12,ROUND('Calc base'!H$13*AY50,2))))</f>
        <v>0</v>
      </c>
      <c r="P51">
        <f>IF(AZ50&lt;=0,0,IF(ROUND(AZ50*(1+'Calc base'!N51),2)-MAX('Calc base'!I$12,ROUND('Calc base'!I$13*AZ50,2))&lt;1,ROUND(AZ50*(1+'Calc base'!N51),2),MAX('Calc base'!I$12,ROUND('Calc base'!I$13*AZ50,2))))</f>
        <v>0</v>
      </c>
      <c r="Q51">
        <f>IF(BA50&lt;=0,0,IF(ROUND(BA50*(1+'Calc base'!O51),2)-MAX('Calc base'!J$12,ROUND('Calc base'!J$13*BA50,2))&lt;1,ROUND(BA50*(1+'Calc base'!O51),2),MAX('Calc base'!J$12,ROUND('Calc base'!J$13*BA50,2))))</f>
        <v>0</v>
      </c>
      <c r="R51">
        <f>IF(BB50&lt;=0,0,IF(ROUND(BB50*(1+'Calc base'!P51),2)-MAX('Calc base'!K$12,ROUND('Calc base'!K$13*BB50,2))&lt;1,ROUND(BB50*(1+'Calc base'!P51),2),MAX('Calc base'!K$12,ROUND('Calc base'!K$13*BB50,2))))</f>
        <v>0</v>
      </c>
      <c r="S51">
        <f>IF(BC50&lt;=0,0,IF(ROUND(BC50*(1+'Calc base'!Q51),2)-MAX('Calc base'!L$12,ROUND('Calc base'!L$13*BC50,2))&lt;1,ROUND(BC50*(1+'Calc base'!Q51),2),MAX('Calc base'!L$12,ROUND('Calc base'!L$13*BC50,2))))</f>
        <v>0</v>
      </c>
      <c r="T51">
        <f>IF(BD50&lt;=0,0,IF(ROUND(BD50*(1+'Calc base'!R51),2)-MAX('Calc base'!M$12,ROUND('Calc base'!M$13*BD50,2))&lt;1,ROUND(BD50*(1+'Calc base'!R51),2),MAX('Calc base'!M$12,ROUND('Calc base'!M$13*BD50,2))))</f>
        <v>0</v>
      </c>
      <c r="U51">
        <f>IF(BE50&lt;=0,0,IF(ROUND(BE50*(1+'Calc base'!S51),2)-MAX('Calc base'!N$12,ROUND('Calc base'!N$13*BE50,2))&lt;1,ROUND(BE50*(1+'Calc base'!S51),2),MAX('Calc base'!N$12,ROUND('Calc base'!N$13*BE50,2))))</f>
        <v>0</v>
      </c>
      <c r="V51">
        <f>MAX(0,ROUND(AT50*(1+'Calc base'!H51),2)-J51-'Calc base'!T51)</f>
        <v>0</v>
      </c>
      <c r="W51">
        <f>MAX(0,ROUND(AU50*(1+'Calc base'!I51),2)-K51-'Calc base'!U51)</f>
        <v>0</v>
      </c>
      <c r="X51">
        <f>MAX(0,ROUND(AV50*(1+'Calc base'!J51),2)-L51-'Calc base'!V51)</f>
        <v>0</v>
      </c>
      <c r="Y51">
        <f>MAX(0,ROUND(AW50*(1+'Calc base'!K51),2)-M51-'Calc base'!W51)</f>
        <v>4140.22</v>
      </c>
      <c r="Z51">
        <f>MAX(0,ROUND(AX50*(1+'Calc base'!L51),2)-N51-'Calc base'!X51)</f>
        <v>0</v>
      </c>
      <c r="AA51">
        <f>MAX(0,ROUND(AY50*(1+'Calc base'!M51),2)-O51-'Calc base'!Y51)</f>
        <v>0</v>
      </c>
      <c r="AB51">
        <f>MAX(0,ROUND(AZ50*(1+'Calc base'!N51),2)-P51-'Calc base'!Z51)</f>
        <v>0</v>
      </c>
      <c r="AC51">
        <f>MAX(0,ROUND(BA50*(1+'Calc base'!O51),2)-Q51-'Calc base'!AA51)</f>
        <v>0</v>
      </c>
      <c r="AD51">
        <f>MAX(0,ROUND(BB50*(1+'Calc base'!P51),2)-R51-'Calc base'!AB51)</f>
        <v>0</v>
      </c>
      <c r="AE51">
        <f>MAX(0,ROUND(BC50*(1+'Calc base'!Q51),2)-S51-'Calc base'!AC51)</f>
        <v>0</v>
      </c>
      <c r="AF51">
        <f>MAX(0,ROUND(BD50*(1+'Calc base'!R51),2)-T51-'Calc base'!AD51)</f>
        <v>0</v>
      </c>
      <c r="AG51">
        <f>MAX(0,ROUND(BE50*(1+'Calc base'!S51),2)-U51-'Calc base'!AE51)</f>
        <v>0</v>
      </c>
      <c r="AH51">
        <f>IF('Calc base'!C$14=0,0,MIN(V51,MAX(0,$E51-SUMIFS($V51:$AG51,'Calc base'!$C$17:$N$17,"&lt;"&amp;'Calc base'!C$17,'Calc base'!$C$14:$N$14,1))))</f>
        <v>0</v>
      </c>
      <c r="AI51">
        <f>IF('Calc base'!D$14=0,0,MIN(W51,MAX(0,$E51-SUMIFS($V51:$AG51,'Calc base'!$C$17:$N$17,"&lt;"&amp;'Calc base'!D$17,'Calc base'!$C$14:$N$14,1))))</f>
        <v>0</v>
      </c>
      <c r="AJ51">
        <f>IF('Calc base'!E$14=0,0,MIN(X51,MAX(0,$E51-SUMIFS($V51:$AG51,'Calc base'!$C$17:$N$17,"&lt;"&amp;'Calc base'!E$17,'Calc base'!$C$14:$N$14,1))))</f>
        <v>0</v>
      </c>
      <c r="AK51">
        <f>IF('Calc base'!F$14=0,0,MIN(Y51,MAX(0,$E51-SUMIFS($V51:$AG51,'Calc base'!$C$17:$N$17,"&lt;"&amp;'Calc base'!F$17,'Calc base'!$C$14:$N$14,1))))</f>
        <v>635</v>
      </c>
      <c r="AL51">
        <f>IF('Calc base'!G$14=0,0,MIN(Z51,MAX(0,$E51-SUMIFS($V51:$AG51,'Calc base'!$C$17:$N$17,"&lt;"&amp;'Calc base'!G$17,'Calc base'!$C$14:$N$14,1))))</f>
        <v>0</v>
      </c>
      <c r="AM51">
        <f>IF('Calc base'!H$14=0,0,MIN(AA51,MAX(0,$E51-SUMIFS($V51:$AG51,'Calc base'!$C$17:$N$17,"&lt;"&amp;'Calc base'!H$17,'Calc base'!$C$14:$N$14,1))))</f>
        <v>0</v>
      </c>
      <c r="AN51">
        <f>IF('Calc base'!I$14=0,0,MIN(AB51,MAX(0,$E51-SUMIFS($V51:$AG51,'Calc base'!$C$17:$N$17,"&lt;"&amp;'Calc base'!I$17,'Calc base'!$C$14:$N$14,1))))</f>
        <v>0</v>
      </c>
      <c r="AO51">
        <f>IF('Calc base'!J$14=0,0,MIN(AC51,MAX(0,$E51-SUMIFS($V51:$AG51,'Calc base'!$C$17:$N$17,"&lt;"&amp;'Calc base'!J$17,'Calc base'!$C$14:$N$14,1))))</f>
        <v>0</v>
      </c>
      <c r="AP51">
        <f>IF('Calc base'!K$14=0,0,MIN(AD51,MAX(0,$E51-SUMIFS($V51:$AG51,'Calc base'!$C$17:$N$17,"&lt;"&amp;'Calc base'!K$17,'Calc base'!$C$14:$N$14,1))))</f>
        <v>0</v>
      </c>
      <c r="AQ51">
        <f>IF('Calc base'!L$14=0,0,MIN(AE51,MAX(0,$E51-SUMIFS($V51:$AG51,'Calc base'!$C$17:$N$17,"&lt;"&amp;'Calc base'!L$17,'Calc base'!$C$14:$N$14,1))))</f>
        <v>0</v>
      </c>
      <c r="AR51">
        <f>IF('Calc base'!M$14=0,0,MIN(AF51,MAX(0,$E51-SUMIFS($V51:$AG51,'Calc base'!$C$17:$N$17,"&lt;"&amp;'Calc base'!M$17,'Calc base'!$C$14:$N$14,1))))</f>
        <v>0</v>
      </c>
      <c r="AS51">
        <f>IF('Calc base'!N$14=0,0,MIN(AG51,MAX(0,$E51-SUMIFS($V51:$AG51,'Calc base'!$C$17:$N$17,"&lt;"&amp;'Calc base'!N$17,'Calc base'!$C$14:$N$14,1))))</f>
        <v>0</v>
      </c>
      <c r="AT51">
        <f>V51-AH51</f>
        <v>0</v>
      </c>
      <c r="AU51">
        <f>W51-AI51</f>
        <v>0</v>
      </c>
      <c r="AV51">
        <f>X51-AJ51</f>
        <v>0</v>
      </c>
      <c r="AW51">
        <f>Y51-AK51</f>
        <v>3505.22</v>
      </c>
      <c r="AX51">
        <f>Z51-AL51</f>
        <v>0</v>
      </c>
      <c r="AY51">
        <f>AA51-AM51</f>
        <v>0</v>
      </c>
      <c r="AZ51">
        <f>AB51-AN51</f>
        <v>0</v>
      </c>
      <c r="BA51">
        <f>AC51-AO51</f>
        <v>0</v>
      </c>
      <c r="BB51">
        <f>AD51-AP51</f>
        <v>0</v>
      </c>
      <c r="BC51">
        <f>AE51-AQ51</f>
        <v>0</v>
      </c>
      <c r="BD51">
        <f>AF51-AR51</f>
        <v>0</v>
      </c>
      <c r="BE51">
        <f>AG51-AS51</f>
        <v>0</v>
      </c>
    </row>
    <row r="52">
      <c r="A52" t="n">
        <v>22</v>
      </c>
      <c r="B52">
        <f>SUMPRODUCT(ROUND($AT51:$BE51*(1+'Calc base'!$H52:$S52),2))</f>
        <v>3523.91</v>
      </c>
      <c r="C52">
        <f>SUM(J52:U52)</f>
        <v>265</v>
      </c>
      <c r="D52">
        <f>SUM(V52:AG52)</f>
        <v>3258.91</v>
      </c>
      <c r="E52">
        <f>MAX(0,IF(Impostazioni!$B$7="No",'Calc base'!$C52-$C$31,'Calc base'!$C52-C52)+'Calc base'!$G52+'Calc base'!$F52-(B52-C52-D52))</f>
        <v>635</v>
      </c>
      <c r="F52">
        <f>SUM(AH52:AS52)</f>
        <v>635</v>
      </c>
      <c r="G52">
        <f>SUM(AT52:BE52)</f>
        <v>2623.91</v>
      </c>
      <c r="H52">
        <f>B52-G51</f>
        <v>18.6899999999996</v>
      </c>
      <c r="I52">
        <f>B52-G52</f>
        <v>900</v>
      </c>
      <c r="J52">
        <f>IF(AT51&lt;=0,0,IF(ROUND(AT51*(1+'Calc base'!H52),2)-MAX('Calc base'!C$12,ROUND('Calc base'!C$13*AT51,2))&lt;1,ROUND(AT51*(1+'Calc base'!H52),2),MAX('Calc base'!C$12,ROUND('Calc base'!C$13*AT51,2))))</f>
        <v>0</v>
      </c>
      <c r="K52">
        <f>IF(AU51&lt;=0,0,IF(ROUND(AU51*(1+'Calc base'!I52),2)-MAX('Calc base'!D$12,ROUND('Calc base'!D$13*AU51,2))&lt;1,ROUND(AU51*(1+'Calc base'!I52),2),MAX('Calc base'!D$12,ROUND('Calc base'!D$13*AU51,2))))</f>
        <v>0</v>
      </c>
      <c r="L52">
        <f>IF(AV51&lt;=0,0,IF(ROUND(AV51*(1+'Calc base'!J52),2)-MAX('Calc base'!E$12,ROUND('Calc base'!E$13*AV51,2))&lt;1,ROUND(AV51*(1+'Calc base'!J52),2),MAX('Calc base'!E$12,ROUND('Calc base'!E$13*AV51,2))))</f>
        <v>0</v>
      </c>
      <c r="M52">
        <f>IF(AW51&lt;=0,0,IF(ROUND(AW51*(1+'Calc base'!K52),2)-MAX('Calc base'!F$12,ROUND('Calc base'!F$13*AW51,2))&lt;1,ROUND(AW51*(1+'Calc base'!K52),2),MAX('Calc base'!F$12,ROUND('Calc base'!F$13*AW51,2))))</f>
        <v>265</v>
      </c>
      <c r="N52">
        <f>IF(AX51&lt;=0,0,IF(ROUND(AX51*(1+'Calc base'!L52),2)-MAX('Calc base'!G$12,ROUND('Calc base'!G$13*AX51,2))&lt;1,ROUND(AX51*(1+'Calc base'!L52),2),MAX('Calc base'!G$12,ROUND('Calc base'!G$13*AX51,2))))</f>
        <v>0</v>
      </c>
      <c r="O52">
        <f>IF(AY51&lt;=0,0,IF(ROUND(AY51*(1+'Calc base'!M52),2)-MAX('Calc base'!H$12,ROUND('Calc base'!H$13*AY51,2))&lt;1,ROUND(AY51*(1+'Calc base'!M52),2),MAX('Calc base'!H$12,ROUND('Calc base'!H$13*AY51,2))))</f>
        <v>0</v>
      </c>
      <c r="P52">
        <f>IF(AZ51&lt;=0,0,IF(ROUND(AZ51*(1+'Calc base'!N52),2)-MAX('Calc base'!I$12,ROUND('Calc base'!I$13*AZ51,2))&lt;1,ROUND(AZ51*(1+'Calc base'!N52),2),MAX('Calc base'!I$12,ROUND('Calc base'!I$13*AZ51,2))))</f>
        <v>0</v>
      </c>
      <c r="Q52">
        <f>IF(BA51&lt;=0,0,IF(ROUND(BA51*(1+'Calc base'!O52),2)-MAX('Calc base'!J$12,ROUND('Calc base'!J$13*BA51,2))&lt;1,ROUND(BA51*(1+'Calc base'!O52),2),MAX('Calc base'!J$12,ROUND('Calc base'!J$13*BA51,2))))</f>
        <v>0</v>
      </c>
      <c r="R52">
        <f>IF(BB51&lt;=0,0,IF(ROUND(BB51*(1+'Calc base'!P52),2)-MAX('Calc base'!K$12,ROUND('Calc base'!K$13*BB51,2))&lt;1,ROUND(BB51*(1+'Calc base'!P52),2),MAX('Calc base'!K$12,ROUND('Calc base'!K$13*BB51,2))))</f>
        <v>0</v>
      </c>
      <c r="S52">
        <f>IF(BC51&lt;=0,0,IF(ROUND(BC51*(1+'Calc base'!Q52),2)-MAX('Calc base'!L$12,ROUND('Calc base'!L$13*BC51,2))&lt;1,ROUND(BC51*(1+'Calc base'!Q52),2),MAX('Calc base'!L$12,ROUND('Calc base'!L$13*BC51,2))))</f>
        <v>0</v>
      </c>
      <c r="T52">
        <f>IF(BD51&lt;=0,0,IF(ROUND(BD51*(1+'Calc base'!R52),2)-MAX('Calc base'!M$12,ROUND('Calc base'!M$13*BD51,2))&lt;1,ROUND(BD51*(1+'Calc base'!R52),2),MAX('Calc base'!M$12,ROUND('Calc base'!M$13*BD51,2))))</f>
        <v>0</v>
      </c>
      <c r="U52">
        <f>IF(BE51&lt;=0,0,IF(ROUND(BE51*(1+'Calc base'!S52),2)-MAX('Calc base'!N$12,ROUND('Calc base'!N$13*BE51,2))&lt;1,ROUND(BE51*(1+'Calc base'!S52),2),MAX('Calc base'!N$12,ROUND('Calc base'!N$13*BE51,2))))</f>
        <v>0</v>
      </c>
      <c r="V52">
        <f>MAX(0,ROUND(AT51*(1+'Calc base'!H52),2)-J52-'Calc base'!T52)</f>
        <v>0</v>
      </c>
      <c r="W52">
        <f>MAX(0,ROUND(AU51*(1+'Calc base'!I52),2)-K52-'Calc base'!U52)</f>
        <v>0</v>
      </c>
      <c r="X52">
        <f>MAX(0,ROUND(AV51*(1+'Calc base'!J52),2)-L52-'Calc base'!V52)</f>
        <v>0</v>
      </c>
      <c r="Y52">
        <f>MAX(0,ROUND(AW51*(1+'Calc base'!K52),2)-M52-'Calc base'!W52)</f>
        <v>3258.91</v>
      </c>
      <c r="Z52">
        <f>MAX(0,ROUND(AX51*(1+'Calc base'!L52),2)-N52-'Calc base'!X52)</f>
        <v>0</v>
      </c>
      <c r="AA52">
        <f>MAX(0,ROUND(AY51*(1+'Calc base'!M52),2)-O52-'Calc base'!Y52)</f>
        <v>0</v>
      </c>
      <c r="AB52">
        <f>MAX(0,ROUND(AZ51*(1+'Calc base'!N52),2)-P52-'Calc base'!Z52)</f>
        <v>0</v>
      </c>
      <c r="AC52">
        <f>MAX(0,ROUND(BA51*(1+'Calc base'!O52),2)-Q52-'Calc base'!AA52)</f>
        <v>0</v>
      </c>
      <c r="AD52">
        <f>MAX(0,ROUND(BB51*(1+'Calc base'!P52),2)-R52-'Calc base'!AB52)</f>
        <v>0</v>
      </c>
      <c r="AE52">
        <f>MAX(0,ROUND(BC51*(1+'Calc base'!Q52),2)-S52-'Calc base'!AC52)</f>
        <v>0</v>
      </c>
      <c r="AF52">
        <f>MAX(0,ROUND(BD51*(1+'Calc base'!R52),2)-T52-'Calc base'!AD52)</f>
        <v>0</v>
      </c>
      <c r="AG52">
        <f>MAX(0,ROUND(BE51*(1+'Calc base'!S52),2)-U52-'Calc base'!AE52)</f>
        <v>0</v>
      </c>
      <c r="AH52">
        <f>IF('Calc base'!C$14=0,0,MIN(V52,MAX(0,$E52-SUMIFS($V52:$AG52,'Calc base'!$C$17:$N$17,"&lt;"&amp;'Calc base'!C$17,'Calc base'!$C$14:$N$14,1))))</f>
        <v>0</v>
      </c>
      <c r="AI52">
        <f>IF('Calc base'!D$14=0,0,MIN(W52,MAX(0,$E52-SUMIFS($V52:$AG52,'Calc base'!$C$17:$N$17,"&lt;"&amp;'Calc base'!D$17,'Calc base'!$C$14:$N$14,1))))</f>
        <v>0</v>
      </c>
      <c r="AJ52">
        <f>IF('Calc base'!E$14=0,0,MIN(X52,MAX(0,$E52-SUMIFS($V52:$AG52,'Calc base'!$C$17:$N$17,"&lt;"&amp;'Calc base'!E$17,'Calc base'!$C$14:$N$14,1))))</f>
        <v>0</v>
      </c>
      <c r="AK52">
        <f>IF('Calc base'!F$14=0,0,MIN(Y52,MAX(0,$E52-SUMIFS($V52:$AG52,'Calc base'!$C$17:$N$17,"&lt;"&amp;'Calc base'!F$17,'Calc base'!$C$14:$N$14,1))))</f>
        <v>635</v>
      </c>
      <c r="AL52">
        <f>IF('Calc base'!G$14=0,0,MIN(Z52,MAX(0,$E52-SUMIFS($V52:$AG52,'Calc base'!$C$17:$N$17,"&lt;"&amp;'Calc base'!G$17,'Calc base'!$C$14:$N$14,1))))</f>
        <v>0</v>
      </c>
      <c r="AM52">
        <f>IF('Calc base'!H$14=0,0,MIN(AA52,MAX(0,$E52-SUMIFS($V52:$AG52,'Calc base'!$C$17:$N$17,"&lt;"&amp;'Calc base'!H$17,'Calc base'!$C$14:$N$14,1))))</f>
        <v>0</v>
      </c>
      <c r="AN52">
        <f>IF('Calc base'!I$14=0,0,MIN(AB52,MAX(0,$E52-SUMIFS($V52:$AG52,'Calc base'!$C$17:$N$17,"&lt;"&amp;'Calc base'!I$17,'Calc base'!$C$14:$N$14,1))))</f>
        <v>0</v>
      </c>
      <c r="AO52">
        <f>IF('Calc base'!J$14=0,0,MIN(AC52,MAX(0,$E52-SUMIFS($V52:$AG52,'Calc base'!$C$17:$N$17,"&lt;"&amp;'Calc base'!J$17,'Calc base'!$C$14:$N$14,1))))</f>
        <v>0</v>
      </c>
      <c r="AP52">
        <f>IF('Calc base'!K$14=0,0,MIN(AD52,MAX(0,$E52-SUMIFS($V52:$AG52,'Calc base'!$C$17:$N$17,"&lt;"&amp;'Calc base'!K$17,'Calc base'!$C$14:$N$14,1))))</f>
        <v>0</v>
      </c>
      <c r="AQ52">
        <f>IF('Calc base'!L$14=0,0,MIN(AE52,MAX(0,$E52-SUMIFS($V52:$AG52,'Calc base'!$C$17:$N$17,"&lt;"&amp;'Calc base'!L$17,'Calc base'!$C$14:$N$14,1))))</f>
        <v>0</v>
      </c>
      <c r="AR52">
        <f>IF('Calc base'!M$14=0,0,MIN(AF52,MAX(0,$E52-SUMIFS($V52:$AG52,'Calc base'!$C$17:$N$17,"&lt;"&amp;'Calc base'!M$17,'Calc base'!$C$14:$N$14,1))))</f>
        <v>0</v>
      </c>
      <c r="AS52">
        <f>IF('Calc base'!N$14=0,0,MIN(AG52,MAX(0,$E52-SUMIFS($V52:$AG52,'Calc base'!$C$17:$N$17,"&lt;"&amp;'Calc base'!N$17,'Calc base'!$C$14:$N$14,1))))</f>
        <v>0</v>
      </c>
      <c r="AT52">
        <f>V52-AH52</f>
        <v>0</v>
      </c>
      <c r="AU52">
        <f>W52-AI52</f>
        <v>0</v>
      </c>
      <c r="AV52">
        <f>X52-AJ52</f>
        <v>0</v>
      </c>
      <c r="AW52">
        <f>Y52-AK52</f>
        <v>2623.91</v>
      </c>
      <c r="AX52">
        <f>Z52-AL52</f>
        <v>0</v>
      </c>
      <c r="AY52">
        <f>AA52-AM52</f>
        <v>0</v>
      </c>
      <c r="AZ52">
        <f>AB52-AN52</f>
        <v>0</v>
      </c>
      <c r="BA52">
        <f>AC52-AO52</f>
        <v>0</v>
      </c>
      <c r="BB52">
        <f>AD52-AP52</f>
        <v>0</v>
      </c>
      <c r="BC52">
        <f>AE52-AQ52</f>
        <v>0</v>
      </c>
      <c r="BD52">
        <f>AF52-AR52</f>
        <v>0</v>
      </c>
      <c r="BE52">
        <f>AG52-AS52</f>
        <v>0</v>
      </c>
    </row>
    <row r="53">
      <c r="A53" t="n">
        <v>23</v>
      </c>
      <c r="B53">
        <f>SUMPRODUCT(ROUND($AT52:$BE52*(1+'Calc base'!$H53:$S53),2))</f>
        <v>2637.9</v>
      </c>
      <c r="C53">
        <f>SUM(J53:U53)</f>
        <v>265</v>
      </c>
      <c r="D53">
        <f>SUM(V53:AG53)</f>
        <v>2372.9</v>
      </c>
      <c r="E53">
        <f>MAX(0,IF(Impostazioni!$B$7="No",'Calc base'!$C53-$C$31,'Calc base'!$C53-C53)+'Calc base'!$G53+'Calc base'!$F53-(B53-C53-D53))</f>
        <v>635</v>
      </c>
      <c r="F53">
        <f>SUM(AH53:AS53)</f>
        <v>635</v>
      </c>
      <c r="G53">
        <f>SUM(AT53:BE53)</f>
        <v>1737.9</v>
      </c>
      <c r="H53">
        <f>B53-G52</f>
        <v>13.9900000000002</v>
      </c>
      <c r="I53">
        <f>B53-G53</f>
        <v>900</v>
      </c>
      <c r="J53">
        <f>IF(AT52&lt;=0,0,IF(ROUND(AT52*(1+'Calc base'!H53),2)-MAX('Calc base'!C$12,ROUND('Calc base'!C$13*AT52,2))&lt;1,ROUND(AT52*(1+'Calc base'!H53),2),MAX('Calc base'!C$12,ROUND('Calc base'!C$13*AT52,2))))</f>
        <v>0</v>
      </c>
      <c r="K53">
        <f>IF(AU52&lt;=0,0,IF(ROUND(AU52*(1+'Calc base'!I53),2)-MAX('Calc base'!D$12,ROUND('Calc base'!D$13*AU52,2))&lt;1,ROUND(AU52*(1+'Calc base'!I53),2),MAX('Calc base'!D$12,ROUND('Calc base'!D$13*AU52,2))))</f>
        <v>0</v>
      </c>
      <c r="L53">
        <f>IF(AV52&lt;=0,0,IF(ROUND(AV52*(1+'Calc base'!J53),2)-MAX('Calc base'!E$12,ROUND('Calc base'!E$13*AV52,2))&lt;1,ROUND(AV52*(1+'Calc base'!J53),2),MAX('Calc base'!E$12,ROUND('Calc base'!E$13*AV52,2))))</f>
        <v>0</v>
      </c>
      <c r="M53">
        <f>IF(AW52&lt;=0,0,IF(ROUND(AW52*(1+'Calc base'!K53),2)-MAX('Calc base'!F$12,ROUND('Calc base'!F$13*AW52,2))&lt;1,ROUND(AW52*(1+'Calc base'!K53),2),MAX('Calc base'!F$12,ROUND('Calc base'!F$13*AW52,2))))</f>
        <v>265</v>
      </c>
      <c r="N53">
        <f>IF(AX52&lt;=0,0,IF(ROUND(AX52*(1+'Calc base'!L53),2)-MAX('Calc base'!G$12,ROUND('Calc base'!G$13*AX52,2))&lt;1,ROUND(AX52*(1+'Calc base'!L53),2),MAX('Calc base'!G$12,ROUND('Calc base'!G$13*AX52,2))))</f>
        <v>0</v>
      </c>
      <c r="O53">
        <f>IF(AY52&lt;=0,0,IF(ROUND(AY52*(1+'Calc base'!M53),2)-MAX('Calc base'!H$12,ROUND('Calc base'!H$13*AY52,2))&lt;1,ROUND(AY52*(1+'Calc base'!M53),2),MAX('Calc base'!H$12,ROUND('Calc base'!H$13*AY52,2))))</f>
        <v>0</v>
      </c>
      <c r="P53">
        <f>IF(AZ52&lt;=0,0,IF(ROUND(AZ52*(1+'Calc base'!N53),2)-MAX('Calc base'!I$12,ROUND('Calc base'!I$13*AZ52,2))&lt;1,ROUND(AZ52*(1+'Calc base'!N53),2),MAX('Calc base'!I$12,ROUND('Calc base'!I$13*AZ52,2))))</f>
        <v>0</v>
      </c>
      <c r="Q53">
        <f>IF(BA52&lt;=0,0,IF(ROUND(BA52*(1+'Calc base'!O53),2)-MAX('Calc base'!J$12,ROUND('Calc base'!J$13*BA52,2))&lt;1,ROUND(BA52*(1+'Calc base'!O53),2),MAX('Calc base'!J$12,ROUND('Calc base'!J$13*BA52,2))))</f>
        <v>0</v>
      </c>
      <c r="R53">
        <f>IF(BB52&lt;=0,0,IF(ROUND(BB52*(1+'Calc base'!P53),2)-MAX('Calc base'!K$12,ROUND('Calc base'!K$13*BB52,2))&lt;1,ROUND(BB52*(1+'Calc base'!P53),2),MAX('Calc base'!K$12,ROUND('Calc base'!K$13*BB52,2))))</f>
        <v>0</v>
      </c>
      <c r="S53">
        <f>IF(BC52&lt;=0,0,IF(ROUND(BC52*(1+'Calc base'!Q53),2)-MAX('Calc base'!L$12,ROUND('Calc base'!L$13*BC52,2))&lt;1,ROUND(BC52*(1+'Calc base'!Q53),2),MAX('Calc base'!L$12,ROUND('Calc base'!L$13*BC52,2))))</f>
        <v>0</v>
      </c>
      <c r="T53">
        <f>IF(BD52&lt;=0,0,IF(ROUND(BD52*(1+'Calc base'!R53),2)-MAX('Calc base'!M$12,ROUND('Calc base'!M$13*BD52,2))&lt;1,ROUND(BD52*(1+'Calc base'!R53),2),MAX('Calc base'!M$12,ROUND('Calc base'!M$13*BD52,2))))</f>
        <v>0</v>
      </c>
      <c r="U53">
        <f>IF(BE52&lt;=0,0,IF(ROUND(BE52*(1+'Calc base'!S53),2)-MAX('Calc base'!N$12,ROUND('Calc base'!N$13*BE52,2))&lt;1,ROUND(BE52*(1+'Calc base'!S53),2),MAX('Calc base'!N$12,ROUND('Calc base'!N$13*BE52,2))))</f>
        <v>0</v>
      </c>
      <c r="V53">
        <f>MAX(0,ROUND(AT52*(1+'Calc base'!H53),2)-J53-'Calc base'!T53)</f>
        <v>0</v>
      </c>
      <c r="W53">
        <f>MAX(0,ROUND(AU52*(1+'Calc base'!I53),2)-K53-'Calc base'!U53)</f>
        <v>0</v>
      </c>
      <c r="X53">
        <f>MAX(0,ROUND(AV52*(1+'Calc base'!J53),2)-L53-'Calc base'!V53)</f>
        <v>0</v>
      </c>
      <c r="Y53">
        <f>MAX(0,ROUND(AW52*(1+'Calc base'!K53),2)-M53-'Calc base'!W53)</f>
        <v>2372.9</v>
      </c>
      <c r="Z53">
        <f>MAX(0,ROUND(AX52*(1+'Calc base'!L53),2)-N53-'Calc base'!X53)</f>
        <v>0</v>
      </c>
      <c r="AA53">
        <f>MAX(0,ROUND(AY52*(1+'Calc base'!M53),2)-O53-'Calc base'!Y53)</f>
        <v>0</v>
      </c>
      <c r="AB53">
        <f>MAX(0,ROUND(AZ52*(1+'Calc base'!N53),2)-P53-'Calc base'!Z53)</f>
        <v>0</v>
      </c>
      <c r="AC53">
        <f>MAX(0,ROUND(BA52*(1+'Calc base'!O53),2)-Q53-'Calc base'!AA53)</f>
        <v>0</v>
      </c>
      <c r="AD53">
        <f>MAX(0,ROUND(BB52*(1+'Calc base'!P53),2)-R53-'Calc base'!AB53)</f>
        <v>0</v>
      </c>
      <c r="AE53">
        <f>MAX(0,ROUND(BC52*(1+'Calc base'!Q53),2)-S53-'Calc base'!AC53)</f>
        <v>0</v>
      </c>
      <c r="AF53">
        <f>MAX(0,ROUND(BD52*(1+'Calc base'!R53),2)-T53-'Calc base'!AD53)</f>
        <v>0</v>
      </c>
      <c r="AG53">
        <f>MAX(0,ROUND(BE52*(1+'Calc base'!S53),2)-U53-'Calc base'!AE53)</f>
        <v>0</v>
      </c>
      <c r="AH53">
        <f>IF('Calc base'!C$14=0,0,MIN(V53,MAX(0,$E53-SUMIFS($V53:$AG53,'Calc base'!$C$17:$N$17,"&lt;"&amp;'Calc base'!C$17,'Calc base'!$C$14:$N$14,1))))</f>
        <v>0</v>
      </c>
      <c r="AI53">
        <f>IF('Calc base'!D$14=0,0,MIN(W53,MAX(0,$E53-SUMIFS($V53:$AG53,'Calc base'!$C$17:$N$17,"&lt;"&amp;'Calc base'!D$17,'Calc base'!$C$14:$N$14,1))))</f>
        <v>0</v>
      </c>
      <c r="AJ53">
        <f>IF('Calc base'!E$14=0,0,MIN(X53,MAX(0,$E53-SUMIFS($V53:$AG53,'Calc base'!$C$17:$N$17,"&lt;"&amp;'Calc base'!E$17,'Calc base'!$C$14:$N$14,1))))</f>
        <v>0</v>
      </c>
      <c r="AK53">
        <f>IF('Calc base'!F$14=0,0,MIN(Y53,MAX(0,$E53-SUMIFS($V53:$AG53,'Calc base'!$C$17:$N$17,"&lt;"&amp;'Calc base'!F$17,'Calc base'!$C$14:$N$14,1))))</f>
        <v>635</v>
      </c>
      <c r="AL53">
        <f>IF('Calc base'!G$14=0,0,MIN(Z53,MAX(0,$E53-SUMIFS($V53:$AG53,'Calc base'!$C$17:$N$17,"&lt;"&amp;'Calc base'!G$17,'Calc base'!$C$14:$N$14,1))))</f>
        <v>0</v>
      </c>
      <c r="AM53">
        <f>IF('Calc base'!H$14=0,0,MIN(AA53,MAX(0,$E53-SUMIFS($V53:$AG53,'Calc base'!$C$17:$N$17,"&lt;"&amp;'Calc base'!H$17,'Calc base'!$C$14:$N$14,1))))</f>
        <v>0</v>
      </c>
      <c r="AN53">
        <f>IF('Calc base'!I$14=0,0,MIN(AB53,MAX(0,$E53-SUMIFS($V53:$AG53,'Calc base'!$C$17:$N$17,"&lt;"&amp;'Calc base'!I$17,'Calc base'!$C$14:$N$14,1))))</f>
        <v>0</v>
      </c>
      <c r="AO53">
        <f>IF('Calc base'!J$14=0,0,MIN(AC53,MAX(0,$E53-SUMIFS($V53:$AG53,'Calc base'!$C$17:$N$17,"&lt;"&amp;'Calc base'!J$17,'Calc base'!$C$14:$N$14,1))))</f>
        <v>0</v>
      </c>
      <c r="AP53">
        <f>IF('Calc base'!K$14=0,0,MIN(AD53,MAX(0,$E53-SUMIFS($V53:$AG53,'Calc base'!$C$17:$N$17,"&lt;"&amp;'Calc base'!K$17,'Calc base'!$C$14:$N$14,1))))</f>
        <v>0</v>
      </c>
      <c r="AQ53">
        <f>IF('Calc base'!L$14=0,0,MIN(AE53,MAX(0,$E53-SUMIFS($V53:$AG53,'Calc base'!$C$17:$N$17,"&lt;"&amp;'Calc base'!L$17,'Calc base'!$C$14:$N$14,1))))</f>
        <v>0</v>
      </c>
      <c r="AR53">
        <f>IF('Calc base'!M$14=0,0,MIN(AF53,MAX(0,$E53-SUMIFS($V53:$AG53,'Calc base'!$C$17:$N$17,"&lt;"&amp;'Calc base'!M$17,'Calc base'!$C$14:$N$14,1))))</f>
        <v>0</v>
      </c>
      <c r="AS53">
        <f>IF('Calc base'!N$14=0,0,MIN(AG53,MAX(0,$E53-SUMIFS($V53:$AG53,'Calc base'!$C$17:$N$17,"&lt;"&amp;'Calc base'!N$17,'Calc base'!$C$14:$N$14,1))))</f>
        <v>0</v>
      </c>
      <c r="AT53">
        <f>V53-AH53</f>
        <v>0</v>
      </c>
      <c r="AU53">
        <f>W53-AI53</f>
        <v>0</v>
      </c>
      <c r="AV53">
        <f>X53-AJ53</f>
        <v>0</v>
      </c>
      <c r="AW53">
        <f>Y53-AK53</f>
        <v>1737.9</v>
      </c>
      <c r="AX53">
        <f>Z53-AL53</f>
        <v>0</v>
      </c>
      <c r="AY53">
        <f>AA53-AM53</f>
        <v>0</v>
      </c>
      <c r="AZ53">
        <f>AB53-AN53</f>
        <v>0</v>
      </c>
      <c r="BA53">
        <f>AC53-AO53</f>
        <v>0</v>
      </c>
      <c r="BB53">
        <f>AD53-AP53</f>
        <v>0</v>
      </c>
      <c r="BC53">
        <f>AE53-AQ53</f>
        <v>0</v>
      </c>
      <c r="BD53">
        <f>AF53-AR53</f>
        <v>0</v>
      </c>
      <c r="BE53">
        <f>AG53-AS53</f>
        <v>0</v>
      </c>
    </row>
    <row r="54">
      <c r="A54" t="n">
        <v>24</v>
      </c>
      <c r="B54">
        <f>SUMPRODUCT(ROUND($AT53:$BE53*(1+'Calc base'!$H54:$S54),2))</f>
        <v>1747.17</v>
      </c>
      <c r="C54">
        <f>SUM(J54:U54)</f>
        <v>265</v>
      </c>
      <c r="D54">
        <f>SUM(V54:AG54)</f>
        <v>1482.17</v>
      </c>
      <c r="E54">
        <f>MAX(0,IF(Impostazioni!$B$7="No",'Calc base'!$C54-$C$31,'Calc base'!$C54-C54)+'Calc base'!$G54+'Calc base'!$F54-(B54-C54-D54))</f>
        <v>635</v>
      </c>
      <c r="F54">
        <f>SUM(AH54:AS54)</f>
        <v>635</v>
      </c>
      <c r="G54">
        <f>SUM(AT54:BE54)</f>
        <v>847.17</v>
      </c>
      <c r="H54">
        <f>B54-G53</f>
        <v>9.26999999999998</v>
      </c>
      <c r="I54">
        <f>B54-G54</f>
        <v>900</v>
      </c>
      <c r="J54">
        <f>IF(AT53&lt;=0,0,IF(ROUND(AT53*(1+'Calc base'!H54),2)-MAX('Calc base'!C$12,ROUND('Calc base'!C$13*AT53,2))&lt;1,ROUND(AT53*(1+'Calc base'!H54),2),MAX('Calc base'!C$12,ROUND('Calc base'!C$13*AT53,2))))</f>
        <v>0</v>
      </c>
      <c r="K54">
        <f>IF(AU53&lt;=0,0,IF(ROUND(AU53*(1+'Calc base'!I54),2)-MAX('Calc base'!D$12,ROUND('Calc base'!D$13*AU53,2))&lt;1,ROUND(AU53*(1+'Calc base'!I54),2),MAX('Calc base'!D$12,ROUND('Calc base'!D$13*AU53,2))))</f>
        <v>0</v>
      </c>
      <c r="L54">
        <f>IF(AV53&lt;=0,0,IF(ROUND(AV53*(1+'Calc base'!J54),2)-MAX('Calc base'!E$12,ROUND('Calc base'!E$13*AV53,2))&lt;1,ROUND(AV53*(1+'Calc base'!J54),2),MAX('Calc base'!E$12,ROUND('Calc base'!E$13*AV53,2))))</f>
        <v>0</v>
      </c>
      <c r="M54">
        <f>IF(AW53&lt;=0,0,IF(ROUND(AW53*(1+'Calc base'!K54),2)-MAX('Calc base'!F$12,ROUND('Calc base'!F$13*AW53,2))&lt;1,ROUND(AW53*(1+'Calc base'!K54),2),MAX('Calc base'!F$12,ROUND('Calc base'!F$13*AW53,2))))</f>
        <v>265</v>
      </c>
      <c r="N54">
        <f>IF(AX53&lt;=0,0,IF(ROUND(AX53*(1+'Calc base'!L54),2)-MAX('Calc base'!G$12,ROUND('Calc base'!G$13*AX53,2))&lt;1,ROUND(AX53*(1+'Calc base'!L54),2),MAX('Calc base'!G$12,ROUND('Calc base'!G$13*AX53,2))))</f>
        <v>0</v>
      </c>
      <c r="O54">
        <f>IF(AY53&lt;=0,0,IF(ROUND(AY53*(1+'Calc base'!M54),2)-MAX('Calc base'!H$12,ROUND('Calc base'!H$13*AY53,2))&lt;1,ROUND(AY53*(1+'Calc base'!M54),2),MAX('Calc base'!H$12,ROUND('Calc base'!H$13*AY53,2))))</f>
        <v>0</v>
      </c>
      <c r="P54">
        <f>IF(AZ53&lt;=0,0,IF(ROUND(AZ53*(1+'Calc base'!N54),2)-MAX('Calc base'!I$12,ROUND('Calc base'!I$13*AZ53,2))&lt;1,ROUND(AZ53*(1+'Calc base'!N54),2),MAX('Calc base'!I$12,ROUND('Calc base'!I$13*AZ53,2))))</f>
        <v>0</v>
      </c>
      <c r="Q54">
        <f>IF(BA53&lt;=0,0,IF(ROUND(BA53*(1+'Calc base'!O54),2)-MAX('Calc base'!J$12,ROUND('Calc base'!J$13*BA53,2))&lt;1,ROUND(BA53*(1+'Calc base'!O54),2),MAX('Calc base'!J$12,ROUND('Calc base'!J$13*BA53,2))))</f>
        <v>0</v>
      </c>
      <c r="R54">
        <f>IF(BB53&lt;=0,0,IF(ROUND(BB53*(1+'Calc base'!P54),2)-MAX('Calc base'!K$12,ROUND('Calc base'!K$13*BB53,2))&lt;1,ROUND(BB53*(1+'Calc base'!P54),2),MAX('Calc base'!K$12,ROUND('Calc base'!K$13*BB53,2))))</f>
        <v>0</v>
      </c>
      <c r="S54">
        <f>IF(BC53&lt;=0,0,IF(ROUND(BC53*(1+'Calc base'!Q54),2)-MAX('Calc base'!L$12,ROUND('Calc base'!L$13*BC53,2))&lt;1,ROUND(BC53*(1+'Calc base'!Q54),2),MAX('Calc base'!L$12,ROUND('Calc base'!L$13*BC53,2))))</f>
        <v>0</v>
      </c>
      <c r="T54">
        <f>IF(BD53&lt;=0,0,IF(ROUND(BD53*(1+'Calc base'!R54),2)-MAX('Calc base'!M$12,ROUND('Calc base'!M$13*BD53,2))&lt;1,ROUND(BD53*(1+'Calc base'!R54),2),MAX('Calc base'!M$12,ROUND('Calc base'!M$13*BD53,2))))</f>
        <v>0</v>
      </c>
      <c r="U54">
        <f>IF(BE53&lt;=0,0,IF(ROUND(BE53*(1+'Calc base'!S54),2)-MAX('Calc base'!N$12,ROUND('Calc base'!N$13*BE53,2))&lt;1,ROUND(BE53*(1+'Calc base'!S54),2),MAX('Calc base'!N$12,ROUND('Calc base'!N$13*BE53,2))))</f>
        <v>0</v>
      </c>
      <c r="V54">
        <f>MAX(0,ROUND(AT53*(1+'Calc base'!H54),2)-J54-'Calc base'!T54)</f>
        <v>0</v>
      </c>
      <c r="W54">
        <f>MAX(0,ROUND(AU53*(1+'Calc base'!I54),2)-K54-'Calc base'!U54)</f>
        <v>0</v>
      </c>
      <c r="X54">
        <f>MAX(0,ROUND(AV53*(1+'Calc base'!J54),2)-L54-'Calc base'!V54)</f>
        <v>0</v>
      </c>
      <c r="Y54">
        <f>MAX(0,ROUND(AW53*(1+'Calc base'!K54),2)-M54-'Calc base'!W54)</f>
        <v>1482.17</v>
      </c>
      <c r="Z54">
        <f>MAX(0,ROUND(AX53*(1+'Calc base'!L54),2)-N54-'Calc base'!X54)</f>
        <v>0</v>
      </c>
      <c r="AA54">
        <f>MAX(0,ROUND(AY53*(1+'Calc base'!M54),2)-O54-'Calc base'!Y54)</f>
        <v>0</v>
      </c>
      <c r="AB54">
        <f>MAX(0,ROUND(AZ53*(1+'Calc base'!N54),2)-P54-'Calc base'!Z54)</f>
        <v>0</v>
      </c>
      <c r="AC54">
        <f>MAX(0,ROUND(BA53*(1+'Calc base'!O54),2)-Q54-'Calc base'!AA54)</f>
        <v>0</v>
      </c>
      <c r="AD54">
        <f>MAX(0,ROUND(BB53*(1+'Calc base'!P54),2)-R54-'Calc base'!AB54)</f>
        <v>0</v>
      </c>
      <c r="AE54">
        <f>MAX(0,ROUND(BC53*(1+'Calc base'!Q54),2)-S54-'Calc base'!AC54)</f>
        <v>0</v>
      </c>
      <c r="AF54">
        <f>MAX(0,ROUND(BD53*(1+'Calc base'!R54),2)-T54-'Calc base'!AD54)</f>
        <v>0</v>
      </c>
      <c r="AG54">
        <f>MAX(0,ROUND(BE53*(1+'Calc base'!S54),2)-U54-'Calc base'!AE54)</f>
        <v>0</v>
      </c>
      <c r="AH54">
        <f>IF('Calc base'!C$14=0,0,MIN(V54,MAX(0,$E54-SUMIFS($V54:$AG54,'Calc base'!$C$17:$N$17,"&lt;"&amp;'Calc base'!C$17,'Calc base'!$C$14:$N$14,1))))</f>
        <v>0</v>
      </c>
      <c r="AI54">
        <f>IF('Calc base'!D$14=0,0,MIN(W54,MAX(0,$E54-SUMIFS($V54:$AG54,'Calc base'!$C$17:$N$17,"&lt;"&amp;'Calc base'!D$17,'Calc base'!$C$14:$N$14,1))))</f>
        <v>0</v>
      </c>
      <c r="AJ54">
        <f>IF('Calc base'!E$14=0,0,MIN(X54,MAX(0,$E54-SUMIFS($V54:$AG54,'Calc base'!$C$17:$N$17,"&lt;"&amp;'Calc base'!E$17,'Calc base'!$C$14:$N$14,1))))</f>
        <v>0</v>
      </c>
      <c r="AK54">
        <f>IF('Calc base'!F$14=0,0,MIN(Y54,MAX(0,$E54-SUMIFS($V54:$AG54,'Calc base'!$C$17:$N$17,"&lt;"&amp;'Calc base'!F$17,'Calc base'!$C$14:$N$14,1))))</f>
        <v>635</v>
      </c>
      <c r="AL54">
        <f>IF('Calc base'!G$14=0,0,MIN(Z54,MAX(0,$E54-SUMIFS($V54:$AG54,'Calc base'!$C$17:$N$17,"&lt;"&amp;'Calc base'!G$17,'Calc base'!$C$14:$N$14,1))))</f>
        <v>0</v>
      </c>
      <c r="AM54">
        <f>IF('Calc base'!H$14=0,0,MIN(AA54,MAX(0,$E54-SUMIFS($V54:$AG54,'Calc base'!$C$17:$N$17,"&lt;"&amp;'Calc base'!H$17,'Calc base'!$C$14:$N$14,1))))</f>
        <v>0</v>
      </c>
      <c r="AN54">
        <f>IF('Calc base'!I$14=0,0,MIN(AB54,MAX(0,$E54-SUMIFS($V54:$AG54,'Calc base'!$C$17:$N$17,"&lt;"&amp;'Calc base'!I$17,'Calc base'!$C$14:$N$14,1))))</f>
        <v>0</v>
      </c>
      <c r="AO54">
        <f>IF('Calc base'!J$14=0,0,MIN(AC54,MAX(0,$E54-SUMIFS($V54:$AG54,'Calc base'!$C$17:$N$17,"&lt;"&amp;'Calc base'!J$17,'Calc base'!$C$14:$N$14,1))))</f>
        <v>0</v>
      </c>
      <c r="AP54">
        <f>IF('Calc base'!K$14=0,0,MIN(AD54,MAX(0,$E54-SUMIFS($V54:$AG54,'Calc base'!$C$17:$N$17,"&lt;"&amp;'Calc base'!K$17,'Calc base'!$C$14:$N$14,1))))</f>
        <v>0</v>
      </c>
      <c r="AQ54">
        <f>IF('Calc base'!L$14=0,0,MIN(AE54,MAX(0,$E54-SUMIFS($V54:$AG54,'Calc base'!$C$17:$N$17,"&lt;"&amp;'Calc base'!L$17,'Calc base'!$C$14:$N$14,1))))</f>
        <v>0</v>
      </c>
      <c r="AR54">
        <f>IF('Calc base'!M$14=0,0,MIN(AF54,MAX(0,$E54-SUMIFS($V54:$AG54,'Calc base'!$C$17:$N$17,"&lt;"&amp;'Calc base'!M$17,'Calc base'!$C$14:$N$14,1))))</f>
        <v>0</v>
      </c>
      <c r="AS54">
        <f>IF('Calc base'!N$14=0,0,MIN(AG54,MAX(0,$E54-SUMIFS($V54:$AG54,'Calc base'!$C$17:$N$17,"&lt;"&amp;'Calc base'!N$17,'Calc base'!$C$14:$N$14,1))))</f>
        <v>0</v>
      </c>
      <c r="AT54">
        <f>V54-AH54</f>
        <v>0</v>
      </c>
      <c r="AU54">
        <f>W54-AI54</f>
        <v>0</v>
      </c>
      <c r="AV54">
        <f>X54-AJ54</f>
        <v>0</v>
      </c>
      <c r="AW54">
        <f>Y54-AK54</f>
        <v>847.17</v>
      </c>
      <c r="AX54">
        <f>Z54-AL54</f>
        <v>0</v>
      </c>
      <c r="AY54">
        <f>AA54-AM54</f>
        <v>0</v>
      </c>
      <c r="AZ54">
        <f>AB54-AN54</f>
        <v>0</v>
      </c>
      <c r="BA54">
        <f>AC54-AO54</f>
        <v>0</v>
      </c>
      <c r="BB54">
        <f>AD54-AP54</f>
        <v>0</v>
      </c>
      <c r="BC54">
        <f>AE54-AQ54</f>
        <v>0</v>
      </c>
      <c r="BD54">
        <f>AF54-AR54</f>
        <v>0</v>
      </c>
      <c r="BE54">
        <f>AG54-AS54</f>
        <v>0</v>
      </c>
    </row>
    <row r="55">
      <c r="A55" t="n">
        <v>25</v>
      </c>
      <c r="B55">
        <f>SUMPRODUCT(ROUND($AT54:$BE54*(1+'Calc base'!$H55:$S55),2))</f>
        <v>851.69</v>
      </c>
      <c r="C55">
        <f>SUM(J55:U55)</f>
        <v>265</v>
      </c>
      <c r="D55">
        <f>SUM(V55:AG55)</f>
        <v>586.69</v>
      </c>
      <c r="E55">
        <f>MAX(0,IF(Impostazioni!$B$7="No",'Calc base'!$C55-$C$31,'Calc base'!$C55-C55)+'Calc base'!$G55+'Calc base'!$F55-(B55-C55-D55))</f>
        <v>635</v>
      </c>
      <c r="F55">
        <f>SUM(AH55:AS55)</f>
        <v>586.69</v>
      </c>
      <c r="G55">
        <f>SUM(AT55:BE55)</f>
        <v>0</v>
      </c>
      <c r="H55">
        <f>B55-G54</f>
        <v>4.51999999999998</v>
      </c>
      <c r="I55">
        <f>B55-G55</f>
        <v>851.69</v>
      </c>
      <c r="J55">
        <f>IF(AT54&lt;=0,0,IF(ROUND(AT54*(1+'Calc base'!H55),2)-MAX('Calc base'!C$12,ROUND('Calc base'!C$13*AT54,2))&lt;1,ROUND(AT54*(1+'Calc base'!H55),2),MAX('Calc base'!C$12,ROUND('Calc base'!C$13*AT54,2))))</f>
        <v>0</v>
      </c>
      <c r="K55">
        <f>IF(AU54&lt;=0,0,IF(ROUND(AU54*(1+'Calc base'!I55),2)-MAX('Calc base'!D$12,ROUND('Calc base'!D$13*AU54,2))&lt;1,ROUND(AU54*(1+'Calc base'!I55),2),MAX('Calc base'!D$12,ROUND('Calc base'!D$13*AU54,2))))</f>
        <v>0</v>
      </c>
      <c r="L55">
        <f>IF(AV54&lt;=0,0,IF(ROUND(AV54*(1+'Calc base'!J55),2)-MAX('Calc base'!E$12,ROUND('Calc base'!E$13*AV54,2))&lt;1,ROUND(AV54*(1+'Calc base'!J55),2),MAX('Calc base'!E$12,ROUND('Calc base'!E$13*AV54,2))))</f>
        <v>0</v>
      </c>
      <c r="M55">
        <f>IF(AW54&lt;=0,0,IF(ROUND(AW54*(1+'Calc base'!K55),2)-MAX('Calc base'!F$12,ROUND('Calc base'!F$13*AW54,2))&lt;1,ROUND(AW54*(1+'Calc base'!K55),2),MAX('Calc base'!F$12,ROUND('Calc base'!F$13*AW54,2))))</f>
        <v>265</v>
      </c>
      <c r="N55">
        <f>IF(AX54&lt;=0,0,IF(ROUND(AX54*(1+'Calc base'!L55),2)-MAX('Calc base'!G$12,ROUND('Calc base'!G$13*AX54,2))&lt;1,ROUND(AX54*(1+'Calc base'!L55),2),MAX('Calc base'!G$12,ROUND('Calc base'!G$13*AX54,2))))</f>
        <v>0</v>
      </c>
      <c r="O55">
        <f>IF(AY54&lt;=0,0,IF(ROUND(AY54*(1+'Calc base'!M55),2)-MAX('Calc base'!H$12,ROUND('Calc base'!H$13*AY54,2))&lt;1,ROUND(AY54*(1+'Calc base'!M55),2),MAX('Calc base'!H$12,ROUND('Calc base'!H$13*AY54,2))))</f>
        <v>0</v>
      </c>
      <c r="P55">
        <f>IF(AZ54&lt;=0,0,IF(ROUND(AZ54*(1+'Calc base'!N55),2)-MAX('Calc base'!I$12,ROUND('Calc base'!I$13*AZ54,2))&lt;1,ROUND(AZ54*(1+'Calc base'!N55),2),MAX('Calc base'!I$12,ROUND('Calc base'!I$13*AZ54,2))))</f>
        <v>0</v>
      </c>
      <c r="Q55">
        <f>IF(BA54&lt;=0,0,IF(ROUND(BA54*(1+'Calc base'!O55),2)-MAX('Calc base'!J$12,ROUND('Calc base'!J$13*BA54,2))&lt;1,ROUND(BA54*(1+'Calc base'!O55),2),MAX('Calc base'!J$12,ROUND('Calc base'!J$13*BA54,2))))</f>
        <v>0</v>
      </c>
      <c r="R55">
        <f>IF(BB54&lt;=0,0,IF(ROUND(BB54*(1+'Calc base'!P55),2)-MAX('Calc base'!K$12,ROUND('Calc base'!K$13*BB54,2))&lt;1,ROUND(BB54*(1+'Calc base'!P55),2),MAX('Calc base'!K$12,ROUND('Calc base'!K$13*BB54,2))))</f>
        <v>0</v>
      </c>
      <c r="S55">
        <f>IF(BC54&lt;=0,0,IF(ROUND(BC54*(1+'Calc base'!Q55),2)-MAX('Calc base'!L$12,ROUND('Calc base'!L$13*BC54,2))&lt;1,ROUND(BC54*(1+'Calc base'!Q55),2),MAX('Calc base'!L$12,ROUND('Calc base'!L$13*BC54,2))))</f>
        <v>0</v>
      </c>
      <c r="T55">
        <f>IF(BD54&lt;=0,0,IF(ROUND(BD54*(1+'Calc base'!R55),2)-MAX('Calc base'!M$12,ROUND('Calc base'!M$13*BD54,2))&lt;1,ROUND(BD54*(1+'Calc base'!R55),2),MAX('Calc base'!M$12,ROUND('Calc base'!M$13*BD54,2))))</f>
        <v>0</v>
      </c>
      <c r="U55">
        <f>IF(BE54&lt;=0,0,IF(ROUND(BE54*(1+'Calc base'!S55),2)-MAX('Calc base'!N$12,ROUND('Calc base'!N$13*BE54,2))&lt;1,ROUND(BE54*(1+'Calc base'!S55),2),MAX('Calc base'!N$12,ROUND('Calc base'!N$13*BE54,2))))</f>
        <v>0</v>
      </c>
      <c r="V55">
        <f>MAX(0,ROUND(AT54*(1+'Calc base'!H55),2)-J55-'Calc base'!T55)</f>
        <v>0</v>
      </c>
      <c r="W55">
        <f>MAX(0,ROUND(AU54*(1+'Calc base'!I55),2)-K55-'Calc base'!U55)</f>
        <v>0</v>
      </c>
      <c r="X55">
        <f>MAX(0,ROUND(AV54*(1+'Calc base'!J55),2)-L55-'Calc base'!V55)</f>
        <v>0</v>
      </c>
      <c r="Y55">
        <f>MAX(0,ROUND(AW54*(1+'Calc base'!K55),2)-M55-'Calc base'!W55)</f>
        <v>586.69</v>
      </c>
      <c r="Z55">
        <f>MAX(0,ROUND(AX54*(1+'Calc base'!L55),2)-N55-'Calc base'!X55)</f>
        <v>0</v>
      </c>
      <c r="AA55">
        <f>MAX(0,ROUND(AY54*(1+'Calc base'!M55),2)-O55-'Calc base'!Y55)</f>
        <v>0</v>
      </c>
      <c r="AB55">
        <f>MAX(0,ROUND(AZ54*(1+'Calc base'!N55),2)-P55-'Calc base'!Z55)</f>
        <v>0</v>
      </c>
      <c r="AC55">
        <f>MAX(0,ROUND(BA54*(1+'Calc base'!O55),2)-Q55-'Calc base'!AA55)</f>
        <v>0</v>
      </c>
      <c r="AD55">
        <f>MAX(0,ROUND(BB54*(1+'Calc base'!P55),2)-R55-'Calc base'!AB55)</f>
        <v>0</v>
      </c>
      <c r="AE55">
        <f>MAX(0,ROUND(BC54*(1+'Calc base'!Q55),2)-S55-'Calc base'!AC55)</f>
        <v>0</v>
      </c>
      <c r="AF55">
        <f>MAX(0,ROUND(BD54*(1+'Calc base'!R55),2)-T55-'Calc base'!AD55)</f>
        <v>0</v>
      </c>
      <c r="AG55">
        <f>MAX(0,ROUND(BE54*(1+'Calc base'!S55),2)-U55-'Calc base'!AE55)</f>
        <v>0</v>
      </c>
      <c r="AH55">
        <f>IF('Calc base'!C$14=0,0,MIN(V55,MAX(0,$E55-SUMIFS($V55:$AG55,'Calc base'!$C$17:$N$17,"&lt;"&amp;'Calc base'!C$17,'Calc base'!$C$14:$N$14,1))))</f>
        <v>0</v>
      </c>
      <c r="AI55">
        <f>IF('Calc base'!D$14=0,0,MIN(W55,MAX(0,$E55-SUMIFS($V55:$AG55,'Calc base'!$C$17:$N$17,"&lt;"&amp;'Calc base'!D$17,'Calc base'!$C$14:$N$14,1))))</f>
        <v>0</v>
      </c>
      <c r="AJ55">
        <f>IF('Calc base'!E$14=0,0,MIN(X55,MAX(0,$E55-SUMIFS($V55:$AG55,'Calc base'!$C$17:$N$17,"&lt;"&amp;'Calc base'!E$17,'Calc base'!$C$14:$N$14,1))))</f>
        <v>0</v>
      </c>
      <c r="AK55">
        <f>IF('Calc base'!F$14=0,0,MIN(Y55,MAX(0,$E55-SUMIFS($V55:$AG55,'Calc base'!$C$17:$N$17,"&lt;"&amp;'Calc base'!F$17,'Calc base'!$C$14:$N$14,1))))</f>
        <v>586.69</v>
      </c>
      <c r="AL55">
        <f>IF('Calc base'!G$14=0,0,MIN(Z55,MAX(0,$E55-SUMIFS($V55:$AG55,'Calc base'!$C$17:$N$17,"&lt;"&amp;'Calc base'!G$17,'Calc base'!$C$14:$N$14,1))))</f>
        <v>0</v>
      </c>
      <c r="AM55">
        <f>IF('Calc base'!H$14=0,0,MIN(AA55,MAX(0,$E55-SUMIFS($V55:$AG55,'Calc base'!$C$17:$N$17,"&lt;"&amp;'Calc base'!H$17,'Calc base'!$C$14:$N$14,1))))</f>
        <v>0</v>
      </c>
      <c r="AN55">
        <f>IF('Calc base'!I$14=0,0,MIN(AB55,MAX(0,$E55-SUMIFS($V55:$AG55,'Calc base'!$C$17:$N$17,"&lt;"&amp;'Calc base'!I$17,'Calc base'!$C$14:$N$14,1))))</f>
        <v>0</v>
      </c>
      <c r="AO55">
        <f>IF('Calc base'!J$14=0,0,MIN(AC55,MAX(0,$E55-SUMIFS($V55:$AG55,'Calc base'!$C$17:$N$17,"&lt;"&amp;'Calc base'!J$17,'Calc base'!$C$14:$N$14,1))))</f>
        <v>0</v>
      </c>
      <c r="AP55">
        <f>IF('Calc base'!K$14=0,0,MIN(AD55,MAX(0,$E55-SUMIFS($V55:$AG55,'Calc base'!$C$17:$N$17,"&lt;"&amp;'Calc base'!K$17,'Calc base'!$C$14:$N$14,1))))</f>
        <v>0</v>
      </c>
      <c r="AQ55">
        <f>IF('Calc base'!L$14=0,0,MIN(AE55,MAX(0,$E55-SUMIFS($V55:$AG55,'Calc base'!$C$17:$N$17,"&lt;"&amp;'Calc base'!L$17,'Calc base'!$C$14:$N$14,1))))</f>
        <v>0</v>
      </c>
      <c r="AR55">
        <f>IF('Calc base'!M$14=0,0,MIN(AF55,MAX(0,$E55-SUMIFS($V55:$AG55,'Calc base'!$C$17:$N$17,"&lt;"&amp;'Calc base'!M$17,'Calc base'!$C$14:$N$14,1))))</f>
        <v>0</v>
      </c>
      <c r="AS55">
        <f>IF('Calc base'!N$14=0,0,MIN(AG55,MAX(0,$E55-SUMIFS($V55:$AG55,'Calc base'!$C$17:$N$17,"&lt;"&amp;'Calc base'!N$17,'Calc base'!$C$14:$N$14,1))))</f>
        <v>0</v>
      </c>
      <c r="AT55">
        <f>V55-AH55</f>
        <v>0</v>
      </c>
      <c r="AU55">
        <f>W55-AI55</f>
        <v>0</v>
      </c>
      <c r="AV55">
        <f>X55-AJ55</f>
        <v>0</v>
      </c>
      <c r="AW55">
        <f>Y55-AK55</f>
        <v>0</v>
      </c>
      <c r="AX55">
        <f>Z55-AL55</f>
        <v>0</v>
      </c>
      <c r="AY55">
        <f>AA55-AM55</f>
        <v>0</v>
      </c>
      <c r="AZ55">
        <f>AB55-AN55</f>
        <v>0</v>
      </c>
      <c r="BA55">
        <f>AC55-AO55</f>
        <v>0</v>
      </c>
      <c r="BB55">
        <f>AD55-AP55</f>
        <v>0</v>
      </c>
      <c r="BC55">
        <f>AE55-AQ55</f>
        <v>0</v>
      </c>
      <c r="BD55">
        <f>AF55-AR55</f>
        <v>0</v>
      </c>
      <c r="BE55">
        <f>AG55-AS55</f>
        <v>0</v>
      </c>
    </row>
    <row r="56">
      <c r="A56" t="n">
        <v>26</v>
      </c>
      <c r="B56">
        <f>SUMPRODUCT(ROUND($AT55:$BE55*(1+'Calc base'!$H56:$S56),2))</f>
        <v>0</v>
      </c>
      <c r="C56">
        <f>SUM(J56:U56)</f>
        <v>0</v>
      </c>
      <c r="D56">
        <f>SUM(V56:AG56)</f>
        <v>0</v>
      </c>
      <c r="E56">
        <f>MAX(0,IF(Impostazioni!$B$7="No",'Calc base'!$C56-$C$31,'Calc base'!$C56-C56)+'Calc base'!$G56+'Calc base'!$F56-(B56-C56-D56))</f>
        <v>1500</v>
      </c>
      <c r="F56">
        <f>SUM(AH56:AS56)</f>
        <v>0</v>
      </c>
      <c r="G56">
        <f>SUM(AT56:BE56)</f>
        <v>0</v>
      </c>
      <c r="H56">
        <f>B56-G55</f>
        <v>0</v>
      </c>
      <c r="I56">
        <f>B56-G56</f>
        <v>0</v>
      </c>
      <c r="J56">
        <f>IF(AT55&lt;=0,0,IF(ROUND(AT55*(1+'Calc base'!H56),2)-MAX('Calc base'!C$12,ROUND('Calc base'!C$13*AT55,2))&lt;1,ROUND(AT55*(1+'Calc base'!H56),2),MAX('Calc base'!C$12,ROUND('Calc base'!C$13*AT55,2))))</f>
        <v>0</v>
      </c>
      <c r="K56">
        <f>IF(AU55&lt;=0,0,IF(ROUND(AU55*(1+'Calc base'!I56),2)-MAX('Calc base'!D$12,ROUND('Calc base'!D$13*AU55,2))&lt;1,ROUND(AU55*(1+'Calc base'!I56),2),MAX('Calc base'!D$12,ROUND('Calc base'!D$13*AU55,2))))</f>
        <v>0</v>
      </c>
      <c r="L56">
        <f>IF(AV55&lt;=0,0,IF(ROUND(AV55*(1+'Calc base'!J56),2)-MAX('Calc base'!E$12,ROUND('Calc base'!E$13*AV55,2))&lt;1,ROUND(AV55*(1+'Calc base'!J56),2),MAX('Calc base'!E$12,ROUND('Calc base'!E$13*AV55,2))))</f>
        <v>0</v>
      </c>
      <c r="M56">
        <f>IF(AW55&lt;=0,0,IF(ROUND(AW55*(1+'Calc base'!K56),2)-MAX('Calc base'!F$12,ROUND('Calc base'!F$13*AW55,2))&lt;1,ROUND(AW55*(1+'Calc base'!K56),2),MAX('Calc base'!F$12,ROUND('Calc base'!F$13*AW55,2))))</f>
        <v>0</v>
      </c>
      <c r="N56">
        <f>IF(AX55&lt;=0,0,IF(ROUND(AX55*(1+'Calc base'!L56),2)-MAX('Calc base'!G$12,ROUND('Calc base'!G$13*AX55,2))&lt;1,ROUND(AX55*(1+'Calc base'!L56),2),MAX('Calc base'!G$12,ROUND('Calc base'!G$13*AX55,2))))</f>
        <v>0</v>
      </c>
      <c r="O56">
        <f>IF(AY55&lt;=0,0,IF(ROUND(AY55*(1+'Calc base'!M56),2)-MAX('Calc base'!H$12,ROUND('Calc base'!H$13*AY55,2))&lt;1,ROUND(AY55*(1+'Calc base'!M56),2),MAX('Calc base'!H$12,ROUND('Calc base'!H$13*AY55,2))))</f>
        <v>0</v>
      </c>
      <c r="P56">
        <f>IF(AZ55&lt;=0,0,IF(ROUND(AZ55*(1+'Calc base'!N56),2)-MAX('Calc base'!I$12,ROUND('Calc base'!I$13*AZ55,2))&lt;1,ROUND(AZ55*(1+'Calc base'!N56),2),MAX('Calc base'!I$12,ROUND('Calc base'!I$13*AZ55,2))))</f>
        <v>0</v>
      </c>
      <c r="Q56">
        <f>IF(BA55&lt;=0,0,IF(ROUND(BA55*(1+'Calc base'!O56),2)-MAX('Calc base'!J$12,ROUND('Calc base'!J$13*BA55,2))&lt;1,ROUND(BA55*(1+'Calc base'!O56),2),MAX('Calc base'!J$12,ROUND('Calc base'!J$13*BA55,2))))</f>
        <v>0</v>
      </c>
      <c r="R56">
        <f>IF(BB55&lt;=0,0,IF(ROUND(BB55*(1+'Calc base'!P56),2)-MAX('Calc base'!K$12,ROUND('Calc base'!K$13*BB55,2))&lt;1,ROUND(BB55*(1+'Calc base'!P56),2),MAX('Calc base'!K$12,ROUND('Calc base'!K$13*BB55,2))))</f>
        <v>0</v>
      </c>
      <c r="S56">
        <f>IF(BC55&lt;=0,0,IF(ROUND(BC55*(1+'Calc base'!Q56),2)-MAX('Calc base'!L$12,ROUND('Calc base'!L$13*BC55,2))&lt;1,ROUND(BC55*(1+'Calc base'!Q56),2),MAX('Calc base'!L$12,ROUND('Calc base'!L$13*BC55,2))))</f>
        <v>0</v>
      </c>
      <c r="T56">
        <f>IF(BD55&lt;=0,0,IF(ROUND(BD55*(1+'Calc base'!R56),2)-MAX('Calc base'!M$12,ROUND('Calc base'!M$13*BD55,2))&lt;1,ROUND(BD55*(1+'Calc base'!R56),2),MAX('Calc base'!M$12,ROUND('Calc base'!M$13*BD55,2))))</f>
        <v>0</v>
      </c>
      <c r="U56">
        <f>IF(BE55&lt;=0,0,IF(ROUND(BE55*(1+'Calc base'!S56),2)-MAX('Calc base'!N$12,ROUND('Calc base'!N$13*BE55,2))&lt;1,ROUND(BE55*(1+'Calc base'!S56),2),MAX('Calc base'!N$12,ROUND('Calc base'!N$13*BE55,2))))</f>
        <v>0</v>
      </c>
      <c r="V56">
        <f>MAX(0,ROUND(AT55*(1+'Calc base'!H56),2)-J56-'Calc base'!T56)</f>
        <v>0</v>
      </c>
      <c r="W56">
        <f>MAX(0,ROUND(AU55*(1+'Calc base'!I56),2)-K56-'Calc base'!U56)</f>
        <v>0</v>
      </c>
      <c r="X56">
        <f>MAX(0,ROUND(AV55*(1+'Calc base'!J56),2)-L56-'Calc base'!V56)</f>
        <v>0</v>
      </c>
      <c r="Y56">
        <f>MAX(0,ROUND(AW55*(1+'Calc base'!K56),2)-M56-'Calc base'!W56)</f>
        <v>0</v>
      </c>
      <c r="Z56">
        <f>MAX(0,ROUND(AX55*(1+'Calc base'!L56),2)-N56-'Calc base'!X56)</f>
        <v>0</v>
      </c>
      <c r="AA56">
        <f>MAX(0,ROUND(AY55*(1+'Calc base'!M56),2)-O56-'Calc base'!Y56)</f>
        <v>0</v>
      </c>
      <c r="AB56">
        <f>MAX(0,ROUND(AZ55*(1+'Calc base'!N56),2)-P56-'Calc base'!Z56)</f>
        <v>0</v>
      </c>
      <c r="AC56">
        <f>MAX(0,ROUND(BA55*(1+'Calc base'!O56),2)-Q56-'Calc base'!AA56)</f>
        <v>0</v>
      </c>
      <c r="AD56">
        <f>MAX(0,ROUND(BB55*(1+'Calc base'!P56),2)-R56-'Calc base'!AB56)</f>
        <v>0</v>
      </c>
      <c r="AE56">
        <f>MAX(0,ROUND(BC55*(1+'Calc base'!Q56),2)-S56-'Calc base'!AC56)</f>
        <v>0</v>
      </c>
      <c r="AF56">
        <f>MAX(0,ROUND(BD55*(1+'Calc base'!R56),2)-T56-'Calc base'!AD56)</f>
        <v>0</v>
      </c>
      <c r="AG56">
        <f>MAX(0,ROUND(BE55*(1+'Calc base'!S56),2)-U56-'Calc base'!AE56)</f>
        <v>0</v>
      </c>
      <c r="AH56">
        <f>IF('Calc base'!C$14=0,0,MIN(V56,MAX(0,$E56-SUMIFS($V56:$AG56,'Calc base'!$C$17:$N$17,"&lt;"&amp;'Calc base'!C$17,'Calc base'!$C$14:$N$14,1))))</f>
        <v>0</v>
      </c>
      <c r="AI56">
        <f>IF('Calc base'!D$14=0,0,MIN(W56,MAX(0,$E56-SUMIFS($V56:$AG56,'Calc base'!$C$17:$N$17,"&lt;"&amp;'Calc base'!D$17,'Calc base'!$C$14:$N$14,1))))</f>
        <v>0</v>
      </c>
      <c r="AJ56">
        <f>IF('Calc base'!E$14=0,0,MIN(X56,MAX(0,$E56-SUMIFS($V56:$AG56,'Calc base'!$C$17:$N$17,"&lt;"&amp;'Calc base'!E$17,'Calc base'!$C$14:$N$14,1))))</f>
        <v>0</v>
      </c>
      <c r="AK56">
        <f>IF('Calc base'!F$14=0,0,MIN(Y56,MAX(0,$E56-SUMIFS($V56:$AG56,'Calc base'!$C$17:$N$17,"&lt;"&amp;'Calc base'!F$17,'Calc base'!$C$14:$N$14,1))))</f>
        <v>0</v>
      </c>
      <c r="AL56">
        <f>IF('Calc base'!G$14=0,0,MIN(Z56,MAX(0,$E56-SUMIFS($V56:$AG56,'Calc base'!$C$17:$N$17,"&lt;"&amp;'Calc base'!G$17,'Calc base'!$C$14:$N$14,1))))</f>
        <v>0</v>
      </c>
      <c r="AM56">
        <f>IF('Calc base'!H$14=0,0,MIN(AA56,MAX(0,$E56-SUMIFS($V56:$AG56,'Calc base'!$C$17:$N$17,"&lt;"&amp;'Calc base'!H$17,'Calc base'!$C$14:$N$14,1))))</f>
        <v>0</v>
      </c>
      <c r="AN56">
        <f>IF('Calc base'!I$14=0,0,MIN(AB56,MAX(0,$E56-SUMIFS($V56:$AG56,'Calc base'!$C$17:$N$17,"&lt;"&amp;'Calc base'!I$17,'Calc base'!$C$14:$N$14,1))))</f>
        <v>0</v>
      </c>
      <c r="AO56">
        <f>IF('Calc base'!J$14=0,0,MIN(AC56,MAX(0,$E56-SUMIFS($V56:$AG56,'Calc base'!$C$17:$N$17,"&lt;"&amp;'Calc base'!J$17,'Calc base'!$C$14:$N$14,1))))</f>
        <v>0</v>
      </c>
      <c r="AP56">
        <f>IF('Calc base'!K$14=0,0,MIN(AD56,MAX(0,$E56-SUMIFS($V56:$AG56,'Calc base'!$C$17:$N$17,"&lt;"&amp;'Calc base'!K$17,'Calc base'!$C$14:$N$14,1))))</f>
        <v>0</v>
      </c>
      <c r="AQ56">
        <f>IF('Calc base'!L$14=0,0,MIN(AE56,MAX(0,$E56-SUMIFS($V56:$AG56,'Calc base'!$C$17:$N$17,"&lt;"&amp;'Calc base'!L$17,'Calc base'!$C$14:$N$14,1))))</f>
        <v>0</v>
      </c>
      <c r="AR56">
        <f>IF('Calc base'!M$14=0,0,MIN(AF56,MAX(0,$E56-SUMIFS($V56:$AG56,'Calc base'!$C$17:$N$17,"&lt;"&amp;'Calc base'!M$17,'Calc base'!$C$14:$N$14,1))))</f>
        <v>0</v>
      </c>
      <c r="AS56">
        <f>IF('Calc base'!N$14=0,0,MIN(AG56,MAX(0,$E56-SUMIFS($V56:$AG56,'Calc base'!$C$17:$N$17,"&lt;"&amp;'Calc base'!N$17,'Calc base'!$C$14:$N$14,1))))</f>
        <v>0</v>
      </c>
      <c r="AT56">
        <f>V56-AH56</f>
        <v>0</v>
      </c>
      <c r="AU56">
        <f>W56-AI56</f>
        <v>0</v>
      </c>
      <c r="AV56">
        <f>X56-AJ56</f>
        <v>0</v>
      </c>
      <c r="AW56">
        <f>Y56-AK56</f>
        <v>0</v>
      </c>
      <c r="AX56">
        <f>Z56-AL56</f>
        <v>0</v>
      </c>
      <c r="AY56">
        <f>AA56-AM56</f>
        <v>0</v>
      </c>
      <c r="AZ56">
        <f>AB56-AN56</f>
        <v>0</v>
      </c>
      <c r="BA56">
        <f>AC56-AO56</f>
        <v>0</v>
      </c>
      <c r="BB56">
        <f>AD56-AP56</f>
        <v>0</v>
      </c>
      <c r="BC56">
        <f>AE56-AQ56</f>
        <v>0</v>
      </c>
      <c r="BD56">
        <f>AF56-AR56</f>
        <v>0</v>
      </c>
      <c r="BE56">
        <f>AG56-AS56</f>
        <v>0</v>
      </c>
    </row>
    <row r="57">
      <c r="A57" t="n">
        <v>27</v>
      </c>
      <c r="B57">
        <f>SUMPRODUCT(ROUND($AT56:$BE56*(1+'Calc base'!$H57:$S57),2))</f>
        <v>0</v>
      </c>
      <c r="C57">
        <f>SUM(J57:U57)</f>
        <v>0</v>
      </c>
      <c r="D57">
        <f>SUM(V57:AG57)</f>
        <v>0</v>
      </c>
      <c r="E57">
        <f>MAX(0,IF(Impostazioni!$B$7="No",'Calc base'!$C57-$C$31,'Calc base'!$C57-C57)+'Calc base'!$G57+'Calc base'!$F57-(B57-C57-D57))</f>
        <v>900</v>
      </c>
      <c r="F57">
        <f>SUM(AH57:AS57)</f>
        <v>0</v>
      </c>
      <c r="G57">
        <f>SUM(AT57:BE57)</f>
        <v>0</v>
      </c>
      <c r="H57">
        <f>B57-G56</f>
        <v>0</v>
      </c>
      <c r="I57">
        <f>B57-G57</f>
        <v>0</v>
      </c>
      <c r="J57">
        <f>IF(AT56&lt;=0,0,IF(ROUND(AT56*(1+'Calc base'!H57),2)-MAX('Calc base'!C$12,ROUND('Calc base'!C$13*AT56,2))&lt;1,ROUND(AT56*(1+'Calc base'!H57),2),MAX('Calc base'!C$12,ROUND('Calc base'!C$13*AT56,2))))</f>
        <v>0</v>
      </c>
      <c r="K57">
        <f>IF(AU56&lt;=0,0,IF(ROUND(AU56*(1+'Calc base'!I57),2)-MAX('Calc base'!D$12,ROUND('Calc base'!D$13*AU56,2))&lt;1,ROUND(AU56*(1+'Calc base'!I57),2),MAX('Calc base'!D$12,ROUND('Calc base'!D$13*AU56,2))))</f>
        <v>0</v>
      </c>
      <c r="L57">
        <f>IF(AV56&lt;=0,0,IF(ROUND(AV56*(1+'Calc base'!J57),2)-MAX('Calc base'!E$12,ROUND('Calc base'!E$13*AV56,2))&lt;1,ROUND(AV56*(1+'Calc base'!J57),2),MAX('Calc base'!E$12,ROUND('Calc base'!E$13*AV56,2))))</f>
        <v>0</v>
      </c>
      <c r="M57">
        <f>IF(AW56&lt;=0,0,IF(ROUND(AW56*(1+'Calc base'!K57),2)-MAX('Calc base'!F$12,ROUND('Calc base'!F$13*AW56,2))&lt;1,ROUND(AW56*(1+'Calc base'!K57),2),MAX('Calc base'!F$12,ROUND('Calc base'!F$13*AW56,2))))</f>
        <v>0</v>
      </c>
      <c r="N57">
        <f>IF(AX56&lt;=0,0,IF(ROUND(AX56*(1+'Calc base'!L57),2)-MAX('Calc base'!G$12,ROUND('Calc base'!G$13*AX56,2))&lt;1,ROUND(AX56*(1+'Calc base'!L57),2),MAX('Calc base'!G$12,ROUND('Calc base'!G$13*AX56,2))))</f>
        <v>0</v>
      </c>
      <c r="O57">
        <f>IF(AY56&lt;=0,0,IF(ROUND(AY56*(1+'Calc base'!M57),2)-MAX('Calc base'!H$12,ROUND('Calc base'!H$13*AY56,2))&lt;1,ROUND(AY56*(1+'Calc base'!M57),2),MAX('Calc base'!H$12,ROUND('Calc base'!H$13*AY56,2))))</f>
        <v>0</v>
      </c>
      <c r="P57">
        <f>IF(AZ56&lt;=0,0,IF(ROUND(AZ56*(1+'Calc base'!N57),2)-MAX('Calc base'!I$12,ROUND('Calc base'!I$13*AZ56,2))&lt;1,ROUND(AZ56*(1+'Calc base'!N57),2),MAX('Calc base'!I$12,ROUND('Calc base'!I$13*AZ56,2))))</f>
        <v>0</v>
      </c>
      <c r="Q57">
        <f>IF(BA56&lt;=0,0,IF(ROUND(BA56*(1+'Calc base'!O57),2)-MAX('Calc base'!J$12,ROUND('Calc base'!J$13*BA56,2))&lt;1,ROUND(BA56*(1+'Calc base'!O57),2),MAX('Calc base'!J$12,ROUND('Calc base'!J$13*BA56,2))))</f>
        <v>0</v>
      </c>
      <c r="R57">
        <f>IF(BB56&lt;=0,0,IF(ROUND(BB56*(1+'Calc base'!P57),2)-MAX('Calc base'!K$12,ROUND('Calc base'!K$13*BB56,2))&lt;1,ROUND(BB56*(1+'Calc base'!P57),2),MAX('Calc base'!K$12,ROUND('Calc base'!K$13*BB56,2))))</f>
        <v>0</v>
      </c>
      <c r="S57">
        <f>IF(BC56&lt;=0,0,IF(ROUND(BC56*(1+'Calc base'!Q57),2)-MAX('Calc base'!L$12,ROUND('Calc base'!L$13*BC56,2))&lt;1,ROUND(BC56*(1+'Calc base'!Q57),2),MAX('Calc base'!L$12,ROUND('Calc base'!L$13*BC56,2))))</f>
        <v>0</v>
      </c>
      <c r="T57">
        <f>IF(BD56&lt;=0,0,IF(ROUND(BD56*(1+'Calc base'!R57),2)-MAX('Calc base'!M$12,ROUND('Calc base'!M$13*BD56,2))&lt;1,ROUND(BD56*(1+'Calc base'!R57),2),MAX('Calc base'!M$12,ROUND('Calc base'!M$13*BD56,2))))</f>
        <v>0</v>
      </c>
      <c r="U57">
        <f>IF(BE56&lt;=0,0,IF(ROUND(BE56*(1+'Calc base'!S57),2)-MAX('Calc base'!N$12,ROUND('Calc base'!N$13*BE56,2))&lt;1,ROUND(BE56*(1+'Calc base'!S57),2),MAX('Calc base'!N$12,ROUND('Calc base'!N$13*BE56,2))))</f>
        <v>0</v>
      </c>
      <c r="V57">
        <f>MAX(0,ROUND(AT56*(1+'Calc base'!H57),2)-J57-'Calc base'!T57)</f>
        <v>0</v>
      </c>
      <c r="W57">
        <f>MAX(0,ROUND(AU56*(1+'Calc base'!I57),2)-K57-'Calc base'!U57)</f>
        <v>0</v>
      </c>
      <c r="X57">
        <f>MAX(0,ROUND(AV56*(1+'Calc base'!J57),2)-L57-'Calc base'!V57)</f>
        <v>0</v>
      </c>
      <c r="Y57">
        <f>MAX(0,ROUND(AW56*(1+'Calc base'!K57),2)-M57-'Calc base'!W57)</f>
        <v>0</v>
      </c>
      <c r="Z57">
        <f>MAX(0,ROUND(AX56*(1+'Calc base'!L57),2)-N57-'Calc base'!X57)</f>
        <v>0</v>
      </c>
      <c r="AA57">
        <f>MAX(0,ROUND(AY56*(1+'Calc base'!M57),2)-O57-'Calc base'!Y57)</f>
        <v>0</v>
      </c>
      <c r="AB57">
        <f>MAX(0,ROUND(AZ56*(1+'Calc base'!N57),2)-P57-'Calc base'!Z57)</f>
        <v>0</v>
      </c>
      <c r="AC57">
        <f>MAX(0,ROUND(BA56*(1+'Calc base'!O57),2)-Q57-'Calc base'!AA57)</f>
        <v>0</v>
      </c>
      <c r="AD57">
        <f>MAX(0,ROUND(BB56*(1+'Calc base'!P57),2)-R57-'Calc base'!AB57)</f>
        <v>0</v>
      </c>
      <c r="AE57">
        <f>MAX(0,ROUND(BC56*(1+'Calc base'!Q57),2)-S57-'Calc base'!AC57)</f>
        <v>0</v>
      </c>
      <c r="AF57">
        <f>MAX(0,ROUND(BD56*(1+'Calc base'!R57),2)-T57-'Calc base'!AD57)</f>
        <v>0</v>
      </c>
      <c r="AG57">
        <f>MAX(0,ROUND(BE56*(1+'Calc base'!S57),2)-U57-'Calc base'!AE57)</f>
        <v>0</v>
      </c>
      <c r="AH57">
        <f>IF('Calc base'!C$14=0,0,MIN(V57,MAX(0,$E57-SUMIFS($V57:$AG57,'Calc base'!$C$17:$N$17,"&lt;"&amp;'Calc base'!C$17,'Calc base'!$C$14:$N$14,1))))</f>
        <v>0</v>
      </c>
      <c r="AI57">
        <f>IF('Calc base'!D$14=0,0,MIN(W57,MAX(0,$E57-SUMIFS($V57:$AG57,'Calc base'!$C$17:$N$17,"&lt;"&amp;'Calc base'!D$17,'Calc base'!$C$14:$N$14,1))))</f>
        <v>0</v>
      </c>
      <c r="AJ57">
        <f>IF('Calc base'!E$14=0,0,MIN(X57,MAX(0,$E57-SUMIFS($V57:$AG57,'Calc base'!$C$17:$N$17,"&lt;"&amp;'Calc base'!E$17,'Calc base'!$C$14:$N$14,1))))</f>
        <v>0</v>
      </c>
      <c r="AK57">
        <f>IF('Calc base'!F$14=0,0,MIN(Y57,MAX(0,$E57-SUMIFS($V57:$AG57,'Calc base'!$C$17:$N$17,"&lt;"&amp;'Calc base'!F$17,'Calc base'!$C$14:$N$14,1))))</f>
        <v>0</v>
      </c>
      <c r="AL57">
        <f>IF('Calc base'!G$14=0,0,MIN(Z57,MAX(0,$E57-SUMIFS($V57:$AG57,'Calc base'!$C$17:$N$17,"&lt;"&amp;'Calc base'!G$17,'Calc base'!$C$14:$N$14,1))))</f>
        <v>0</v>
      </c>
      <c r="AM57">
        <f>IF('Calc base'!H$14=0,0,MIN(AA57,MAX(0,$E57-SUMIFS($V57:$AG57,'Calc base'!$C$17:$N$17,"&lt;"&amp;'Calc base'!H$17,'Calc base'!$C$14:$N$14,1))))</f>
        <v>0</v>
      </c>
      <c r="AN57">
        <f>IF('Calc base'!I$14=0,0,MIN(AB57,MAX(0,$E57-SUMIFS($V57:$AG57,'Calc base'!$C$17:$N$17,"&lt;"&amp;'Calc base'!I$17,'Calc base'!$C$14:$N$14,1))))</f>
        <v>0</v>
      </c>
      <c r="AO57">
        <f>IF('Calc base'!J$14=0,0,MIN(AC57,MAX(0,$E57-SUMIFS($V57:$AG57,'Calc base'!$C$17:$N$17,"&lt;"&amp;'Calc base'!J$17,'Calc base'!$C$14:$N$14,1))))</f>
        <v>0</v>
      </c>
      <c r="AP57">
        <f>IF('Calc base'!K$14=0,0,MIN(AD57,MAX(0,$E57-SUMIFS($V57:$AG57,'Calc base'!$C$17:$N$17,"&lt;"&amp;'Calc base'!K$17,'Calc base'!$C$14:$N$14,1))))</f>
        <v>0</v>
      </c>
      <c r="AQ57">
        <f>IF('Calc base'!L$14=0,0,MIN(AE57,MAX(0,$E57-SUMIFS($V57:$AG57,'Calc base'!$C$17:$N$17,"&lt;"&amp;'Calc base'!L$17,'Calc base'!$C$14:$N$14,1))))</f>
        <v>0</v>
      </c>
      <c r="AR57">
        <f>IF('Calc base'!M$14=0,0,MIN(AF57,MAX(0,$E57-SUMIFS($V57:$AG57,'Calc base'!$C$17:$N$17,"&lt;"&amp;'Calc base'!M$17,'Calc base'!$C$14:$N$14,1))))</f>
        <v>0</v>
      </c>
      <c r="AS57">
        <f>IF('Calc base'!N$14=0,0,MIN(AG57,MAX(0,$E57-SUMIFS($V57:$AG57,'Calc base'!$C$17:$N$17,"&lt;"&amp;'Calc base'!N$17,'Calc base'!$C$14:$N$14,1))))</f>
        <v>0</v>
      </c>
      <c r="AT57">
        <f>V57-AH57</f>
        <v>0</v>
      </c>
      <c r="AU57">
        <f>W57-AI57</f>
        <v>0</v>
      </c>
      <c r="AV57">
        <f>X57-AJ57</f>
        <v>0</v>
      </c>
      <c r="AW57">
        <f>Y57-AK57</f>
        <v>0</v>
      </c>
      <c r="AX57">
        <f>Z57-AL57</f>
        <v>0</v>
      </c>
      <c r="AY57">
        <f>AA57-AM57</f>
        <v>0</v>
      </c>
      <c r="AZ57">
        <f>AB57-AN57</f>
        <v>0</v>
      </c>
      <c r="BA57">
        <f>AC57-AO57</f>
        <v>0</v>
      </c>
      <c r="BB57">
        <f>AD57-AP57</f>
        <v>0</v>
      </c>
      <c r="BC57">
        <f>AE57-AQ57</f>
        <v>0</v>
      </c>
      <c r="BD57">
        <f>AF57-AR57</f>
        <v>0</v>
      </c>
      <c r="BE57">
        <f>AG57-AS57</f>
        <v>0</v>
      </c>
    </row>
    <row r="58">
      <c r="A58" t="n">
        <v>28</v>
      </c>
      <c r="B58">
        <f>SUMPRODUCT(ROUND($AT57:$BE57*(1+'Calc base'!$H58:$S58),2))</f>
        <v>0</v>
      </c>
      <c r="C58">
        <f>SUM(J58:U58)</f>
        <v>0</v>
      </c>
      <c r="D58">
        <f>SUM(V58:AG58)</f>
        <v>0</v>
      </c>
      <c r="E58">
        <f>MAX(0,IF(Impostazioni!$B$7="No",'Calc base'!$C58-$C$31,'Calc base'!$C58-C58)+'Calc base'!$G58+'Calc base'!$F58-(B58-C58-D58))</f>
        <v>900</v>
      </c>
      <c r="F58">
        <f>SUM(AH58:AS58)</f>
        <v>0</v>
      </c>
      <c r="G58">
        <f>SUM(AT58:BE58)</f>
        <v>0</v>
      </c>
      <c r="H58">
        <f>B58-G57</f>
        <v>0</v>
      </c>
      <c r="I58">
        <f>B58-G58</f>
        <v>0</v>
      </c>
      <c r="J58">
        <f>IF(AT57&lt;=0,0,IF(ROUND(AT57*(1+'Calc base'!H58),2)-MAX('Calc base'!C$12,ROUND('Calc base'!C$13*AT57,2))&lt;1,ROUND(AT57*(1+'Calc base'!H58),2),MAX('Calc base'!C$12,ROUND('Calc base'!C$13*AT57,2))))</f>
        <v>0</v>
      </c>
      <c r="K58">
        <f>IF(AU57&lt;=0,0,IF(ROUND(AU57*(1+'Calc base'!I58),2)-MAX('Calc base'!D$12,ROUND('Calc base'!D$13*AU57,2))&lt;1,ROUND(AU57*(1+'Calc base'!I58),2),MAX('Calc base'!D$12,ROUND('Calc base'!D$13*AU57,2))))</f>
        <v>0</v>
      </c>
      <c r="L58">
        <f>IF(AV57&lt;=0,0,IF(ROUND(AV57*(1+'Calc base'!J58),2)-MAX('Calc base'!E$12,ROUND('Calc base'!E$13*AV57,2))&lt;1,ROUND(AV57*(1+'Calc base'!J58),2),MAX('Calc base'!E$12,ROUND('Calc base'!E$13*AV57,2))))</f>
        <v>0</v>
      </c>
      <c r="M58">
        <f>IF(AW57&lt;=0,0,IF(ROUND(AW57*(1+'Calc base'!K58),2)-MAX('Calc base'!F$12,ROUND('Calc base'!F$13*AW57,2))&lt;1,ROUND(AW57*(1+'Calc base'!K58),2),MAX('Calc base'!F$12,ROUND('Calc base'!F$13*AW57,2))))</f>
        <v>0</v>
      </c>
      <c r="N58">
        <f>IF(AX57&lt;=0,0,IF(ROUND(AX57*(1+'Calc base'!L58),2)-MAX('Calc base'!G$12,ROUND('Calc base'!G$13*AX57,2))&lt;1,ROUND(AX57*(1+'Calc base'!L58),2),MAX('Calc base'!G$12,ROUND('Calc base'!G$13*AX57,2))))</f>
        <v>0</v>
      </c>
      <c r="O58">
        <f>IF(AY57&lt;=0,0,IF(ROUND(AY57*(1+'Calc base'!M58),2)-MAX('Calc base'!H$12,ROUND('Calc base'!H$13*AY57,2))&lt;1,ROUND(AY57*(1+'Calc base'!M58),2),MAX('Calc base'!H$12,ROUND('Calc base'!H$13*AY57,2))))</f>
        <v>0</v>
      </c>
      <c r="P58">
        <f>IF(AZ57&lt;=0,0,IF(ROUND(AZ57*(1+'Calc base'!N58),2)-MAX('Calc base'!I$12,ROUND('Calc base'!I$13*AZ57,2))&lt;1,ROUND(AZ57*(1+'Calc base'!N58),2),MAX('Calc base'!I$12,ROUND('Calc base'!I$13*AZ57,2))))</f>
        <v>0</v>
      </c>
      <c r="Q58">
        <f>IF(BA57&lt;=0,0,IF(ROUND(BA57*(1+'Calc base'!O58),2)-MAX('Calc base'!J$12,ROUND('Calc base'!J$13*BA57,2))&lt;1,ROUND(BA57*(1+'Calc base'!O58),2),MAX('Calc base'!J$12,ROUND('Calc base'!J$13*BA57,2))))</f>
        <v>0</v>
      </c>
      <c r="R58">
        <f>IF(BB57&lt;=0,0,IF(ROUND(BB57*(1+'Calc base'!P58),2)-MAX('Calc base'!K$12,ROUND('Calc base'!K$13*BB57,2))&lt;1,ROUND(BB57*(1+'Calc base'!P58),2),MAX('Calc base'!K$12,ROUND('Calc base'!K$13*BB57,2))))</f>
        <v>0</v>
      </c>
      <c r="S58">
        <f>IF(BC57&lt;=0,0,IF(ROUND(BC57*(1+'Calc base'!Q58),2)-MAX('Calc base'!L$12,ROUND('Calc base'!L$13*BC57,2))&lt;1,ROUND(BC57*(1+'Calc base'!Q58),2),MAX('Calc base'!L$12,ROUND('Calc base'!L$13*BC57,2))))</f>
        <v>0</v>
      </c>
      <c r="T58">
        <f>IF(BD57&lt;=0,0,IF(ROUND(BD57*(1+'Calc base'!R58),2)-MAX('Calc base'!M$12,ROUND('Calc base'!M$13*BD57,2))&lt;1,ROUND(BD57*(1+'Calc base'!R58),2),MAX('Calc base'!M$12,ROUND('Calc base'!M$13*BD57,2))))</f>
        <v>0</v>
      </c>
      <c r="U58">
        <f>IF(BE57&lt;=0,0,IF(ROUND(BE57*(1+'Calc base'!S58),2)-MAX('Calc base'!N$12,ROUND('Calc base'!N$13*BE57,2))&lt;1,ROUND(BE57*(1+'Calc base'!S58),2),MAX('Calc base'!N$12,ROUND('Calc base'!N$13*BE57,2))))</f>
        <v>0</v>
      </c>
      <c r="V58">
        <f>MAX(0,ROUND(AT57*(1+'Calc base'!H58),2)-J58-'Calc base'!T58)</f>
        <v>0</v>
      </c>
      <c r="W58">
        <f>MAX(0,ROUND(AU57*(1+'Calc base'!I58),2)-K58-'Calc base'!U58)</f>
        <v>0</v>
      </c>
      <c r="X58">
        <f>MAX(0,ROUND(AV57*(1+'Calc base'!J58),2)-L58-'Calc base'!V58)</f>
        <v>0</v>
      </c>
      <c r="Y58">
        <f>MAX(0,ROUND(AW57*(1+'Calc base'!K58),2)-M58-'Calc base'!W58)</f>
        <v>0</v>
      </c>
      <c r="Z58">
        <f>MAX(0,ROUND(AX57*(1+'Calc base'!L58),2)-N58-'Calc base'!X58)</f>
        <v>0</v>
      </c>
      <c r="AA58">
        <f>MAX(0,ROUND(AY57*(1+'Calc base'!M58),2)-O58-'Calc base'!Y58)</f>
        <v>0</v>
      </c>
      <c r="AB58">
        <f>MAX(0,ROUND(AZ57*(1+'Calc base'!N58),2)-P58-'Calc base'!Z58)</f>
        <v>0</v>
      </c>
      <c r="AC58">
        <f>MAX(0,ROUND(BA57*(1+'Calc base'!O58),2)-Q58-'Calc base'!AA58)</f>
        <v>0</v>
      </c>
      <c r="AD58">
        <f>MAX(0,ROUND(BB57*(1+'Calc base'!P58),2)-R58-'Calc base'!AB58)</f>
        <v>0</v>
      </c>
      <c r="AE58">
        <f>MAX(0,ROUND(BC57*(1+'Calc base'!Q58),2)-S58-'Calc base'!AC58)</f>
        <v>0</v>
      </c>
      <c r="AF58">
        <f>MAX(0,ROUND(BD57*(1+'Calc base'!R58),2)-T58-'Calc base'!AD58)</f>
        <v>0</v>
      </c>
      <c r="AG58">
        <f>MAX(0,ROUND(BE57*(1+'Calc base'!S58),2)-U58-'Calc base'!AE58)</f>
        <v>0</v>
      </c>
      <c r="AH58">
        <f>IF('Calc base'!C$14=0,0,MIN(V58,MAX(0,$E58-SUMIFS($V58:$AG58,'Calc base'!$C$17:$N$17,"&lt;"&amp;'Calc base'!C$17,'Calc base'!$C$14:$N$14,1))))</f>
        <v>0</v>
      </c>
      <c r="AI58">
        <f>IF('Calc base'!D$14=0,0,MIN(W58,MAX(0,$E58-SUMIFS($V58:$AG58,'Calc base'!$C$17:$N$17,"&lt;"&amp;'Calc base'!D$17,'Calc base'!$C$14:$N$14,1))))</f>
        <v>0</v>
      </c>
      <c r="AJ58">
        <f>IF('Calc base'!E$14=0,0,MIN(X58,MAX(0,$E58-SUMIFS($V58:$AG58,'Calc base'!$C$17:$N$17,"&lt;"&amp;'Calc base'!E$17,'Calc base'!$C$14:$N$14,1))))</f>
        <v>0</v>
      </c>
      <c r="AK58">
        <f>IF('Calc base'!F$14=0,0,MIN(Y58,MAX(0,$E58-SUMIFS($V58:$AG58,'Calc base'!$C$17:$N$17,"&lt;"&amp;'Calc base'!F$17,'Calc base'!$C$14:$N$14,1))))</f>
        <v>0</v>
      </c>
      <c r="AL58">
        <f>IF('Calc base'!G$14=0,0,MIN(Z58,MAX(0,$E58-SUMIFS($V58:$AG58,'Calc base'!$C$17:$N$17,"&lt;"&amp;'Calc base'!G$17,'Calc base'!$C$14:$N$14,1))))</f>
        <v>0</v>
      </c>
      <c r="AM58">
        <f>IF('Calc base'!H$14=0,0,MIN(AA58,MAX(0,$E58-SUMIFS($V58:$AG58,'Calc base'!$C$17:$N$17,"&lt;"&amp;'Calc base'!H$17,'Calc base'!$C$14:$N$14,1))))</f>
        <v>0</v>
      </c>
      <c r="AN58">
        <f>IF('Calc base'!I$14=0,0,MIN(AB58,MAX(0,$E58-SUMIFS($V58:$AG58,'Calc base'!$C$17:$N$17,"&lt;"&amp;'Calc base'!I$17,'Calc base'!$C$14:$N$14,1))))</f>
        <v>0</v>
      </c>
      <c r="AO58">
        <f>IF('Calc base'!J$14=0,0,MIN(AC58,MAX(0,$E58-SUMIFS($V58:$AG58,'Calc base'!$C$17:$N$17,"&lt;"&amp;'Calc base'!J$17,'Calc base'!$C$14:$N$14,1))))</f>
        <v>0</v>
      </c>
      <c r="AP58">
        <f>IF('Calc base'!K$14=0,0,MIN(AD58,MAX(0,$E58-SUMIFS($V58:$AG58,'Calc base'!$C$17:$N$17,"&lt;"&amp;'Calc base'!K$17,'Calc base'!$C$14:$N$14,1))))</f>
        <v>0</v>
      </c>
      <c r="AQ58">
        <f>IF('Calc base'!L$14=0,0,MIN(AE58,MAX(0,$E58-SUMIFS($V58:$AG58,'Calc base'!$C$17:$N$17,"&lt;"&amp;'Calc base'!L$17,'Calc base'!$C$14:$N$14,1))))</f>
        <v>0</v>
      </c>
      <c r="AR58">
        <f>IF('Calc base'!M$14=0,0,MIN(AF58,MAX(0,$E58-SUMIFS($V58:$AG58,'Calc base'!$C$17:$N$17,"&lt;"&amp;'Calc base'!M$17,'Calc base'!$C$14:$N$14,1))))</f>
        <v>0</v>
      </c>
      <c r="AS58">
        <f>IF('Calc base'!N$14=0,0,MIN(AG58,MAX(0,$E58-SUMIFS($V58:$AG58,'Calc base'!$C$17:$N$17,"&lt;"&amp;'Calc base'!N$17,'Calc base'!$C$14:$N$14,1))))</f>
        <v>0</v>
      </c>
      <c r="AT58">
        <f>V58-AH58</f>
        <v>0</v>
      </c>
      <c r="AU58">
        <f>W58-AI58</f>
        <v>0</v>
      </c>
      <c r="AV58">
        <f>X58-AJ58</f>
        <v>0</v>
      </c>
      <c r="AW58">
        <f>Y58-AK58</f>
        <v>0</v>
      </c>
      <c r="AX58">
        <f>Z58-AL58</f>
        <v>0</v>
      </c>
      <c r="AY58">
        <f>AA58-AM58</f>
        <v>0</v>
      </c>
      <c r="AZ58">
        <f>AB58-AN58</f>
        <v>0</v>
      </c>
      <c r="BA58">
        <f>AC58-AO58</f>
        <v>0</v>
      </c>
      <c r="BB58">
        <f>AD58-AP58</f>
        <v>0</v>
      </c>
      <c r="BC58">
        <f>AE58-AQ58</f>
        <v>0</v>
      </c>
      <c r="BD58">
        <f>AF58-AR58</f>
        <v>0</v>
      </c>
      <c r="BE58">
        <f>AG58-AS58</f>
        <v>0</v>
      </c>
    </row>
    <row r="59">
      <c r="A59" t="n">
        <v>29</v>
      </c>
      <c r="B59">
        <f>SUMPRODUCT(ROUND($AT58:$BE58*(1+'Calc base'!$H59:$S59),2))</f>
        <v>0</v>
      </c>
      <c r="C59">
        <f>SUM(J59:U59)</f>
        <v>0</v>
      </c>
      <c r="D59">
        <f>SUM(V59:AG59)</f>
        <v>0</v>
      </c>
      <c r="E59">
        <f>MAX(0,IF(Impostazioni!$B$7="No",'Calc base'!$C59-$C$31,'Calc base'!$C59-C59)+'Calc base'!$G59+'Calc base'!$F59-(B59-C59-D59))</f>
        <v>900</v>
      </c>
      <c r="F59">
        <f>SUM(AH59:AS59)</f>
        <v>0</v>
      </c>
      <c r="G59">
        <f>SUM(AT59:BE59)</f>
        <v>0</v>
      </c>
      <c r="H59">
        <f>B59-G58</f>
        <v>0</v>
      </c>
      <c r="I59">
        <f>B59-G59</f>
        <v>0</v>
      </c>
      <c r="J59">
        <f>IF(AT58&lt;=0,0,IF(ROUND(AT58*(1+'Calc base'!H59),2)-MAX('Calc base'!C$12,ROUND('Calc base'!C$13*AT58,2))&lt;1,ROUND(AT58*(1+'Calc base'!H59),2),MAX('Calc base'!C$12,ROUND('Calc base'!C$13*AT58,2))))</f>
        <v>0</v>
      </c>
      <c r="K59">
        <f>IF(AU58&lt;=0,0,IF(ROUND(AU58*(1+'Calc base'!I59),2)-MAX('Calc base'!D$12,ROUND('Calc base'!D$13*AU58,2))&lt;1,ROUND(AU58*(1+'Calc base'!I59),2),MAX('Calc base'!D$12,ROUND('Calc base'!D$13*AU58,2))))</f>
        <v>0</v>
      </c>
      <c r="L59">
        <f>IF(AV58&lt;=0,0,IF(ROUND(AV58*(1+'Calc base'!J59),2)-MAX('Calc base'!E$12,ROUND('Calc base'!E$13*AV58,2))&lt;1,ROUND(AV58*(1+'Calc base'!J59),2),MAX('Calc base'!E$12,ROUND('Calc base'!E$13*AV58,2))))</f>
        <v>0</v>
      </c>
      <c r="M59">
        <f>IF(AW58&lt;=0,0,IF(ROUND(AW58*(1+'Calc base'!K59),2)-MAX('Calc base'!F$12,ROUND('Calc base'!F$13*AW58,2))&lt;1,ROUND(AW58*(1+'Calc base'!K59),2),MAX('Calc base'!F$12,ROUND('Calc base'!F$13*AW58,2))))</f>
        <v>0</v>
      </c>
      <c r="N59">
        <f>IF(AX58&lt;=0,0,IF(ROUND(AX58*(1+'Calc base'!L59),2)-MAX('Calc base'!G$12,ROUND('Calc base'!G$13*AX58,2))&lt;1,ROUND(AX58*(1+'Calc base'!L59),2),MAX('Calc base'!G$12,ROUND('Calc base'!G$13*AX58,2))))</f>
        <v>0</v>
      </c>
      <c r="O59">
        <f>IF(AY58&lt;=0,0,IF(ROUND(AY58*(1+'Calc base'!M59),2)-MAX('Calc base'!H$12,ROUND('Calc base'!H$13*AY58,2))&lt;1,ROUND(AY58*(1+'Calc base'!M59),2),MAX('Calc base'!H$12,ROUND('Calc base'!H$13*AY58,2))))</f>
        <v>0</v>
      </c>
      <c r="P59">
        <f>IF(AZ58&lt;=0,0,IF(ROUND(AZ58*(1+'Calc base'!N59),2)-MAX('Calc base'!I$12,ROUND('Calc base'!I$13*AZ58,2))&lt;1,ROUND(AZ58*(1+'Calc base'!N59),2),MAX('Calc base'!I$12,ROUND('Calc base'!I$13*AZ58,2))))</f>
        <v>0</v>
      </c>
      <c r="Q59">
        <f>IF(BA58&lt;=0,0,IF(ROUND(BA58*(1+'Calc base'!O59),2)-MAX('Calc base'!J$12,ROUND('Calc base'!J$13*BA58,2))&lt;1,ROUND(BA58*(1+'Calc base'!O59),2),MAX('Calc base'!J$12,ROUND('Calc base'!J$13*BA58,2))))</f>
        <v>0</v>
      </c>
      <c r="R59">
        <f>IF(BB58&lt;=0,0,IF(ROUND(BB58*(1+'Calc base'!P59),2)-MAX('Calc base'!K$12,ROUND('Calc base'!K$13*BB58,2))&lt;1,ROUND(BB58*(1+'Calc base'!P59),2),MAX('Calc base'!K$12,ROUND('Calc base'!K$13*BB58,2))))</f>
        <v>0</v>
      </c>
      <c r="S59">
        <f>IF(BC58&lt;=0,0,IF(ROUND(BC58*(1+'Calc base'!Q59),2)-MAX('Calc base'!L$12,ROUND('Calc base'!L$13*BC58,2))&lt;1,ROUND(BC58*(1+'Calc base'!Q59),2),MAX('Calc base'!L$12,ROUND('Calc base'!L$13*BC58,2))))</f>
        <v>0</v>
      </c>
      <c r="T59">
        <f>IF(BD58&lt;=0,0,IF(ROUND(BD58*(1+'Calc base'!R59),2)-MAX('Calc base'!M$12,ROUND('Calc base'!M$13*BD58,2))&lt;1,ROUND(BD58*(1+'Calc base'!R59),2),MAX('Calc base'!M$12,ROUND('Calc base'!M$13*BD58,2))))</f>
        <v>0</v>
      </c>
      <c r="U59">
        <f>IF(BE58&lt;=0,0,IF(ROUND(BE58*(1+'Calc base'!S59),2)-MAX('Calc base'!N$12,ROUND('Calc base'!N$13*BE58,2))&lt;1,ROUND(BE58*(1+'Calc base'!S59),2),MAX('Calc base'!N$12,ROUND('Calc base'!N$13*BE58,2))))</f>
        <v>0</v>
      </c>
      <c r="V59">
        <f>MAX(0,ROUND(AT58*(1+'Calc base'!H59),2)-J59-'Calc base'!T59)</f>
        <v>0</v>
      </c>
      <c r="W59">
        <f>MAX(0,ROUND(AU58*(1+'Calc base'!I59),2)-K59-'Calc base'!U59)</f>
        <v>0</v>
      </c>
      <c r="X59">
        <f>MAX(0,ROUND(AV58*(1+'Calc base'!J59),2)-L59-'Calc base'!V59)</f>
        <v>0</v>
      </c>
      <c r="Y59">
        <f>MAX(0,ROUND(AW58*(1+'Calc base'!K59),2)-M59-'Calc base'!W59)</f>
        <v>0</v>
      </c>
      <c r="Z59">
        <f>MAX(0,ROUND(AX58*(1+'Calc base'!L59),2)-N59-'Calc base'!X59)</f>
        <v>0</v>
      </c>
      <c r="AA59">
        <f>MAX(0,ROUND(AY58*(1+'Calc base'!M59),2)-O59-'Calc base'!Y59)</f>
        <v>0</v>
      </c>
      <c r="AB59">
        <f>MAX(0,ROUND(AZ58*(1+'Calc base'!N59),2)-P59-'Calc base'!Z59)</f>
        <v>0</v>
      </c>
      <c r="AC59">
        <f>MAX(0,ROUND(BA58*(1+'Calc base'!O59),2)-Q59-'Calc base'!AA59)</f>
        <v>0</v>
      </c>
      <c r="AD59">
        <f>MAX(0,ROUND(BB58*(1+'Calc base'!P59),2)-R59-'Calc base'!AB59)</f>
        <v>0</v>
      </c>
      <c r="AE59">
        <f>MAX(0,ROUND(BC58*(1+'Calc base'!Q59),2)-S59-'Calc base'!AC59)</f>
        <v>0</v>
      </c>
      <c r="AF59">
        <f>MAX(0,ROUND(BD58*(1+'Calc base'!R59),2)-T59-'Calc base'!AD59)</f>
        <v>0</v>
      </c>
      <c r="AG59">
        <f>MAX(0,ROUND(BE58*(1+'Calc base'!S59),2)-U59-'Calc base'!AE59)</f>
        <v>0</v>
      </c>
      <c r="AH59">
        <f>IF('Calc base'!C$14=0,0,MIN(V59,MAX(0,$E59-SUMIFS($V59:$AG59,'Calc base'!$C$17:$N$17,"&lt;"&amp;'Calc base'!C$17,'Calc base'!$C$14:$N$14,1))))</f>
        <v>0</v>
      </c>
      <c r="AI59">
        <f>IF('Calc base'!D$14=0,0,MIN(W59,MAX(0,$E59-SUMIFS($V59:$AG59,'Calc base'!$C$17:$N$17,"&lt;"&amp;'Calc base'!D$17,'Calc base'!$C$14:$N$14,1))))</f>
        <v>0</v>
      </c>
      <c r="AJ59">
        <f>IF('Calc base'!E$14=0,0,MIN(X59,MAX(0,$E59-SUMIFS($V59:$AG59,'Calc base'!$C$17:$N$17,"&lt;"&amp;'Calc base'!E$17,'Calc base'!$C$14:$N$14,1))))</f>
        <v>0</v>
      </c>
      <c r="AK59">
        <f>IF('Calc base'!F$14=0,0,MIN(Y59,MAX(0,$E59-SUMIFS($V59:$AG59,'Calc base'!$C$17:$N$17,"&lt;"&amp;'Calc base'!F$17,'Calc base'!$C$14:$N$14,1))))</f>
        <v>0</v>
      </c>
      <c r="AL59">
        <f>IF('Calc base'!G$14=0,0,MIN(Z59,MAX(0,$E59-SUMIFS($V59:$AG59,'Calc base'!$C$17:$N$17,"&lt;"&amp;'Calc base'!G$17,'Calc base'!$C$14:$N$14,1))))</f>
        <v>0</v>
      </c>
      <c r="AM59">
        <f>IF('Calc base'!H$14=0,0,MIN(AA59,MAX(0,$E59-SUMIFS($V59:$AG59,'Calc base'!$C$17:$N$17,"&lt;"&amp;'Calc base'!H$17,'Calc base'!$C$14:$N$14,1))))</f>
        <v>0</v>
      </c>
      <c r="AN59">
        <f>IF('Calc base'!I$14=0,0,MIN(AB59,MAX(0,$E59-SUMIFS($V59:$AG59,'Calc base'!$C$17:$N$17,"&lt;"&amp;'Calc base'!I$17,'Calc base'!$C$14:$N$14,1))))</f>
        <v>0</v>
      </c>
      <c r="AO59">
        <f>IF('Calc base'!J$14=0,0,MIN(AC59,MAX(0,$E59-SUMIFS($V59:$AG59,'Calc base'!$C$17:$N$17,"&lt;"&amp;'Calc base'!J$17,'Calc base'!$C$14:$N$14,1))))</f>
        <v>0</v>
      </c>
      <c r="AP59">
        <f>IF('Calc base'!K$14=0,0,MIN(AD59,MAX(0,$E59-SUMIFS($V59:$AG59,'Calc base'!$C$17:$N$17,"&lt;"&amp;'Calc base'!K$17,'Calc base'!$C$14:$N$14,1))))</f>
        <v>0</v>
      </c>
      <c r="AQ59">
        <f>IF('Calc base'!L$14=0,0,MIN(AE59,MAX(0,$E59-SUMIFS($V59:$AG59,'Calc base'!$C$17:$N$17,"&lt;"&amp;'Calc base'!L$17,'Calc base'!$C$14:$N$14,1))))</f>
        <v>0</v>
      </c>
      <c r="AR59">
        <f>IF('Calc base'!M$14=0,0,MIN(AF59,MAX(0,$E59-SUMIFS($V59:$AG59,'Calc base'!$C$17:$N$17,"&lt;"&amp;'Calc base'!M$17,'Calc base'!$C$14:$N$14,1))))</f>
        <v>0</v>
      </c>
      <c r="AS59">
        <f>IF('Calc base'!N$14=0,0,MIN(AG59,MAX(0,$E59-SUMIFS($V59:$AG59,'Calc base'!$C$17:$N$17,"&lt;"&amp;'Calc base'!N$17,'Calc base'!$C$14:$N$14,1))))</f>
        <v>0</v>
      </c>
      <c r="AT59">
        <f>V59-AH59</f>
        <v>0</v>
      </c>
      <c r="AU59">
        <f>W59-AI59</f>
        <v>0</v>
      </c>
      <c r="AV59">
        <f>X59-AJ59</f>
        <v>0</v>
      </c>
      <c r="AW59">
        <f>Y59-AK59</f>
        <v>0</v>
      </c>
      <c r="AX59">
        <f>Z59-AL59</f>
        <v>0</v>
      </c>
      <c r="AY59">
        <f>AA59-AM59</f>
        <v>0</v>
      </c>
      <c r="AZ59">
        <f>AB59-AN59</f>
        <v>0</v>
      </c>
      <c r="BA59">
        <f>AC59-AO59</f>
        <v>0</v>
      </c>
      <c r="BB59">
        <f>AD59-AP59</f>
        <v>0</v>
      </c>
      <c r="BC59">
        <f>AE59-AQ59</f>
        <v>0</v>
      </c>
      <c r="BD59">
        <f>AF59-AR59</f>
        <v>0</v>
      </c>
      <c r="BE59">
        <f>AG59-AS59</f>
        <v>0</v>
      </c>
    </row>
    <row r="60">
      <c r="A60" t="n">
        <v>30</v>
      </c>
      <c r="B60">
        <f>SUMPRODUCT(ROUND($AT59:$BE59*(1+'Calc base'!$H60:$S60),2))</f>
        <v>0</v>
      </c>
      <c r="C60">
        <f>SUM(J60:U60)</f>
        <v>0</v>
      </c>
      <c r="D60">
        <f>SUM(V60:AG60)</f>
        <v>0</v>
      </c>
      <c r="E60">
        <f>MAX(0,IF(Impostazioni!$B$7="No",'Calc base'!$C60-$C$31,'Calc base'!$C60-C60)+'Calc base'!$G60+'Calc base'!$F60-(B60-C60-D60))</f>
        <v>900</v>
      </c>
      <c r="F60">
        <f>SUM(AH60:AS60)</f>
        <v>0</v>
      </c>
      <c r="G60">
        <f>SUM(AT60:BE60)</f>
        <v>0</v>
      </c>
      <c r="H60">
        <f>B60-G59</f>
        <v>0</v>
      </c>
      <c r="I60">
        <f>B60-G60</f>
        <v>0</v>
      </c>
      <c r="J60">
        <f>IF(AT59&lt;=0,0,IF(ROUND(AT59*(1+'Calc base'!H60),2)-MAX('Calc base'!C$12,ROUND('Calc base'!C$13*AT59,2))&lt;1,ROUND(AT59*(1+'Calc base'!H60),2),MAX('Calc base'!C$12,ROUND('Calc base'!C$13*AT59,2))))</f>
        <v>0</v>
      </c>
      <c r="K60">
        <f>IF(AU59&lt;=0,0,IF(ROUND(AU59*(1+'Calc base'!I60),2)-MAX('Calc base'!D$12,ROUND('Calc base'!D$13*AU59,2))&lt;1,ROUND(AU59*(1+'Calc base'!I60),2),MAX('Calc base'!D$12,ROUND('Calc base'!D$13*AU59,2))))</f>
        <v>0</v>
      </c>
      <c r="L60">
        <f>IF(AV59&lt;=0,0,IF(ROUND(AV59*(1+'Calc base'!J60),2)-MAX('Calc base'!E$12,ROUND('Calc base'!E$13*AV59,2))&lt;1,ROUND(AV59*(1+'Calc base'!J60),2),MAX('Calc base'!E$12,ROUND('Calc base'!E$13*AV59,2))))</f>
        <v>0</v>
      </c>
      <c r="M60">
        <f>IF(AW59&lt;=0,0,IF(ROUND(AW59*(1+'Calc base'!K60),2)-MAX('Calc base'!F$12,ROUND('Calc base'!F$13*AW59,2))&lt;1,ROUND(AW59*(1+'Calc base'!K60),2),MAX('Calc base'!F$12,ROUND('Calc base'!F$13*AW59,2))))</f>
        <v>0</v>
      </c>
      <c r="N60">
        <f>IF(AX59&lt;=0,0,IF(ROUND(AX59*(1+'Calc base'!L60),2)-MAX('Calc base'!G$12,ROUND('Calc base'!G$13*AX59,2))&lt;1,ROUND(AX59*(1+'Calc base'!L60),2),MAX('Calc base'!G$12,ROUND('Calc base'!G$13*AX59,2))))</f>
        <v>0</v>
      </c>
      <c r="O60">
        <f>IF(AY59&lt;=0,0,IF(ROUND(AY59*(1+'Calc base'!M60),2)-MAX('Calc base'!H$12,ROUND('Calc base'!H$13*AY59,2))&lt;1,ROUND(AY59*(1+'Calc base'!M60),2),MAX('Calc base'!H$12,ROUND('Calc base'!H$13*AY59,2))))</f>
        <v>0</v>
      </c>
      <c r="P60">
        <f>IF(AZ59&lt;=0,0,IF(ROUND(AZ59*(1+'Calc base'!N60),2)-MAX('Calc base'!I$12,ROUND('Calc base'!I$13*AZ59,2))&lt;1,ROUND(AZ59*(1+'Calc base'!N60),2),MAX('Calc base'!I$12,ROUND('Calc base'!I$13*AZ59,2))))</f>
        <v>0</v>
      </c>
      <c r="Q60">
        <f>IF(BA59&lt;=0,0,IF(ROUND(BA59*(1+'Calc base'!O60),2)-MAX('Calc base'!J$12,ROUND('Calc base'!J$13*BA59,2))&lt;1,ROUND(BA59*(1+'Calc base'!O60),2),MAX('Calc base'!J$12,ROUND('Calc base'!J$13*BA59,2))))</f>
        <v>0</v>
      </c>
      <c r="R60">
        <f>IF(BB59&lt;=0,0,IF(ROUND(BB59*(1+'Calc base'!P60),2)-MAX('Calc base'!K$12,ROUND('Calc base'!K$13*BB59,2))&lt;1,ROUND(BB59*(1+'Calc base'!P60),2),MAX('Calc base'!K$12,ROUND('Calc base'!K$13*BB59,2))))</f>
        <v>0</v>
      </c>
      <c r="S60">
        <f>IF(BC59&lt;=0,0,IF(ROUND(BC59*(1+'Calc base'!Q60),2)-MAX('Calc base'!L$12,ROUND('Calc base'!L$13*BC59,2))&lt;1,ROUND(BC59*(1+'Calc base'!Q60),2),MAX('Calc base'!L$12,ROUND('Calc base'!L$13*BC59,2))))</f>
        <v>0</v>
      </c>
      <c r="T60">
        <f>IF(BD59&lt;=0,0,IF(ROUND(BD59*(1+'Calc base'!R60),2)-MAX('Calc base'!M$12,ROUND('Calc base'!M$13*BD59,2))&lt;1,ROUND(BD59*(1+'Calc base'!R60),2),MAX('Calc base'!M$12,ROUND('Calc base'!M$13*BD59,2))))</f>
        <v>0</v>
      </c>
      <c r="U60">
        <f>IF(BE59&lt;=0,0,IF(ROUND(BE59*(1+'Calc base'!S60),2)-MAX('Calc base'!N$12,ROUND('Calc base'!N$13*BE59,2))&lt;1,ROUND(BE59*(1+'Calc base'!S60),2),MAX('Calc base'!N$12,ROUND('Calc base'!N$13*BE59,2))))</f>
        <v>0</v>
      </c>
      <c r="V60">
        <f>MAX(0,ROUND(AT59*(1+'Calc base'!H60),2)-J60-'Calc base'!T60)</f>
        <v>0</v>
      </c>
      <c r="W60">
        <f>MAX(0,ROUND(AU59*(1+'Calc base'!I60),2)-K60-'Calc base'!U60)</f>
        <v>0</v>
      </c>
      <c r="X60">
        <f>MAX(0,ROUND(AV59*(1+'Calc base'!J60),2)-L60-'Calc base'!V60)</f>
        <v>0</v>
      </c>
      <c r="Y60">
        <f>MAX(0,ROUND(AW59*(1+'Calc base'!K60),2)-M60-'Calc base'!W60)</f>
        <v>0</v>
      </c>
      <c r="Z60">
        <f>MAX(0,ROUND(AX59*(1+'Calc base'!L60),2)-N60-'Calc base'!X60)</f>
        <v>0</v>
      </c>
      <c r="AA60">
        <f>MAX(0,ROUND(AY59*(1+'Calc base'!M60),2)-O60-'Calc base'!Y60)</f>
        <v>0</v>
      </c>
      <c r="AB60">
        <f>MAX(0,ROUND(AZ59*(1+'Calc base'!N60),2)-P60-'Calc base'!Z60)</f>
        <v>0</v>
      </c>
      <c r="AC60">
        <f>MAX(0,ROUND(BA59*(1+'Calc base'!O60),2)-Q60-'Calc base'!AA60)</f>
        <v>0</v>
      </c>
      <c r="AD60">
        <f>MAX(0,ROUND(BB59*(1+'Calc base'!P60),2)-R60-'Calc base'!AB60)</f>
        <v>0</v>
      </c>
      <c r="AE60">
        <f>MAX(0,ROUND(BC59*(1+'Calc base'!Q60),2)-S60-'Calc base'!AC60)</f>
        <v>0</v>
      </c>
      <c r="AF60">
        <f>MAX(0,ROUND(BD59*(1+'Calc base'!R60),2)-T60-'Calc base'!AD60)</f>
        <v>0</v>
      </c>
      <c r="AG60">
        <f>MAX(0,ROUND(BE59*(1+'Calc base'!S60),2)-U60-'Calc base'!AE60)</f>
        <v>0</v>
      </c>
      <c r="AH60">
        <f>IF('Calc base'!C$14=0,0,MIN(V60,MAX(0,$E60-SUMIFS($V60:$AG60,'Calc base'!$C$17:$N$17,"&lt;"&amp;'Calc base'!C$17,'Calc base'!$C$14:$N$14,1))))</f>
        <v>0</v>
      </c>
      <c r="AI60">
        <f>IF('Calc base'!D$14=0,0,MIN(W60,MAX(0,$E60-SUMIFS($V60:$AG60,'Calc base'!$C$17:$N$17,"&lt;"&amp;'Calc base'!D$17,'Calc base'!$C$14:$N$14,1))))</f>
        <v>0</v>
      </c>
      <c r="AJ60">
        <f>IF('Calc base'!E$14=0,0,MIN(X60,MAX(0,$E60-SUMIFS($V60:$AG60,'Calc base'!$C$17:$N$17,"&lt;"&amp;'Calc base'!E$17,'Calc base'!$C$14:$N$14,1))))</f>
        <v>0</v>
      </c>
      <c r="AK60">
        <f>IF('Calc base'!F$14=0,0,MIN(Y60,MAX(0,$E60-SUMIFS($V60:$AG60,'Calc base'!$C$17:$N$17,"&lt;"&amp;'Calc base'!F$17,'Calc base'!$C$14:$N$14,1))))</f>
        <v>0</v>
      </c>
      <c r="AL60">
        <f>IF('Calc base'!G$14=0,0,MIN(Z60,MAX(0,$E60-SUMIFS($V60:$AG60,'Calc base'!$C$17:$N$17,"&lt;"&amp;'Calc base'!G$17,'Calc base'!$C$14:$N$14,1))))</f>
        <v>0</v>
      </c>
      <c r="AM60">
        <f>IF('Calc base'!H$14=0,0,MIN(AA60,MAX(0,$E60-SUMIFS($V60:$AG60,'Calc base'!$C$17:$N$17,"&lt;"&amp;'Calc base'!H$17,'Calc base'!$C$14:$N$14,1))))</f>
        <v>0</v>
      </c>
      <c r="AN60">
        <f>IF('Calc base'!I$14=0,0,MIN(AB60,MAX(0,$E60-SUMIFS($V60:$AG60,'Calc base'!$C$17:$N$17,"&lt;"&amp;'Calc base'!I$17,'Calc base'!$C$14:$N$14,1))))</f>
        <v>0</v>
      </c>
      <c r="AO60">
        <f>IF('Calc base'!J$14=0,0,MIN(AC60,MAX(0,$E60-SUMIFS($V60:$AG60,'Calc base'!$C$17:$N$17,"&lt;"&amp;'Calc base'!J$17,'Calc base'!$C$14:$N$14,1))))</f>
        <v>0</v>
      </c>
      <c r="AP60">
        <f>IF('Calc base'!K$14=0,0,MIN(AD60,MAX(0,$E60-SUMIFS($V60:$AG60,'Calc base'!$C$17:$N$17,"&lt;"&amp;'Calc base'!K$17,'Calc base'!$C$14:$N$14,1))))</f>
        <v>0</v>
      </c>
      <c r="AQ60">
        <f>IF('Calc base'!L$14=0,0,MIN(AE60,MAX(0,$E60-SUMIFS($V60:$AG60,'Calc base'!$C$17:$N$17,"&lt;"&amp;'Calc base'!L$17,'Calc base'!$C$14:$N$14,1))))</f>
        <v>0</v>
      </c>
      <c r="AR60">
        <f>IF('Calc base'!M$14=0,0,MIN(AF60,MAX(0,$E60-SUMIFS($V60:$AG60,'Calc base'!$C$17:$N$17,"&lt;"&amp;'Calc base'!M$17,'Calc base'!$C$14:$N$14,1))))</f>
        <v>0</v>
      </c>
      <c r="AS60">
        <f>IF('Calc base'!N$14=0,0,MIN(AG60,MAX(0,$E60-SUMIFS($V60:$AG60,'Calc base'!$C$17:$N$17,"&lt;"&amp;'Calc base'!N$17,'Calc base'!$C$14:$N$14,1))))</f>
        <v>0</v>
      </c>
      <c r="AT60">
        <f>V60-AH60</f>
        <v>0</v>
      </c>
      <c r="AU60">
        <f>W60-AI60</f>
        <v>0</v>
      </c>
      <c r="AV60">
        <f>X60-AJ60</f>
        <v>0</v>
      </c>
      <c r="AW60">
        <f>Y60-AK60</f>
        <v>0</v>
      </c>
      <c r="AX60">
        <f>Z60-AL60</f>
        <v>0</v>
      </c>
      <c r="AY60">
        <f>AA60-AM60</f>
        <v>0</v>
      </c>
      <c r="AZ60">
        <f>AB60-AN60</f>
        <v>0</v>
      </c>
      <c r="BA60">
        <f>AC60-AO60</f>
        <v>0</v>
      </c>
      <c r="BB60">
        <f>AD60-AP60</f>
        <v>0</v>
      </c>
      <c r="BC60">
        <f>AE60-AQ60</f>
        <v>0</v>
      </c>
      <c r="BD60">
        <f>AF60-AR60</f>
        <v>0</v>
      </c>
      <c r="BE60">
        <f>AG60-AS60</f>
        <v>0</v>
      </c>
    </row>
    <row r="61">
      <c r="A61" t="n">
        <v>31</v>
      </c>
      <c r="B61">
        <f>SUMPRODUCT(ROUND($AT60:$BE60*(1+'Calc base'!$H61:$S61),2))</f>
        <v>0</v>
      </c>
      <c r="C61">
        <f>SUM(J61:U61)</f>
        <v>0</v>
      </c>
      <c r="D61">
        <f>SUM(V61:AG61)</f>
        <v>0</v>
      </c>
      <c r="E61">
        <f>MAX(0,IF(Impostazioni!$B$7="No",'Calc base'!$C61-$C$31,'Calc base'!$C61-C61)+'Calc base'!$G61+'Calc base'!$F61-(B61-C61-D61))</f>
        <v>900</v>
      </c>
      <c r="F61">
        <f>SUM(AH61:AS61)</f>
        <v>0</v>
      </c>
      <c r="G61">
        <f>SUM(AT61:BE61)</f>
        <v>0</v>
      </c>
      <c r="H61">
        <f>B61-G60</f>
        <v>0</v>
      </c>
      <c r="I61">
        <f>B61-G61</f>
        <v>0</v>
      </c>
      <c r="J61">
        <f>IF(AT60&lt;=0,0,IF(ROUND(AT60*(1+'Calc base'!H61),2)-MAX('Calc base'!C$12,ROUND('Calc base'!C$13*AT60,2))&lt;1,ROUND(AT60*(1+'Calc base'!H61),2),MAX('Calc base'!C$12,ROUND('Calc base'!C$13*AT60,2))))</f>
        <v>0</v>
      </c>
      <c r="K61">
        <f>IF(AU60&lt;=0,0,IF(ROUND(AU60*(1+'Calc base'!I61),2)-MAX('Calc base'!D$12,ROUND('Calc base'!D$13*AU60,2))&lt;1,ROUND(AU60*(1+'Calc base'!I61),2),MAX('Calc base'!D$12,ROUND('Calc base'!D$13*AU60,2))))</f>
        <v>0</v>
      </c>
      <c r="L61">
        <f>IF(AV60&lt;=0,0,IF(ROUND(AV60*(1+'Calc base'!J61),2)-MAX('Calc base'!E$12,ROUND('Calc base'!E$13*AV60,2))&lt;1,ROUND(AV60*(1+'Calc base'!J61),2),MAX('Calc base'!E$12,ROUND('Calc base'!E$13*AV60,2))))</f>
        <v>0</v>
      </c>
      <c r="M61">
        <f>IF(AW60&lt;=0,0,IF(ROUND(AW60*(1+'Calc base'!K61),2)-MAX('Calc base'!F$12,ROUND('Calc base'!F$13*AW60,2))&lt;1,ROUND(AW60*(1+'Calc base'!K61),2),MAX('Calc base'!F$12,ROUND('Calc base'!F$13*AW60,2))))</f>
        <v>0</v>
      </c>
      <c r="N61">
        <f>IF(AX60&lt;=0,0,IF(ROUND(AX60*(1+'Calc base'!L61),2)-MAX('Calc base'!G$12,ROUND('Calc base'!G$13*AX60,2))&lt;1,ROUND(AX60*(1+'Calc base'!L61),2),MAX('Calc base'!G$12,ROUND('Calc base'!G$13*AX60,2))))</f>
        <v>0</v>
      </c>
      <c r="O61">
        <f>IF(AY60&lt;=0,0,IF(ROUND(AY60*(1+'Calc base'!M61),2)-MAX('Calc base'!H$12,ROUND('Calc base'!H$13*AY60,2))&lt;1,ROUND(AY60*(1+'Calc base'!M61),2),MAX('Calc base'!H$12,ROUND('Calc base'!H$13*AY60,2))))</f>
        <v>0</v>
      </c>
      <c r="P61">
        <f>IF(AZ60&lt;=0,0,IF(ROUND(AZ60*(1+'Calc base'!N61),2)-MAX('Calc base'!I$12,ROUND('Calc base'!I$13*AZ60,2))&lt;1,ROUND(AZ60*(1+'Calc base'!N61),2),MAX('Calc base'!I$12,ROUND('Calc base'!I$13*AZ60,2))))</f>
        <v>0</v>
      </c>
      <c r="Q61">
        <f>IF(BA60&lt;=0,0,IF(ROUND(BA60*(1+'Calc base'!O61),2)-MAX('Calc base'!J$12,ROUND('Calc base'!J$13*BA60,2))&lt;1,ROUND(BA60*(1+'Calc base'!O61),2),MAX('Calc base'!J$12,ROUND('Calc base'!J$13*BA60,2))))</f>
        <v>0</v>
      </c>
      <c r="R61">
        <f>IF(BB60&lt;=0,0,IF(ROUND(BB60*(1+'Calc base'!P61),2)-MAX('Calc base'!K$12,ROUND('Calc base'!K$13*BB60,2))&lt;1,ROUND(BB60*(1+'Calc base'!P61),2),MAX('Calc base'!K$12,ROUND('Calc base'!K$13*BB60,2))))</f>
        <v>0</v>
      </c>
      <c r="S61">
        <f>IF(BC60&lt;=0,0,IF(ROUND(BC60*(1+'Calc base'!Q61),2)-MAX('Calc base'!L$12,ROUND('Calc base'!L$13*BC60,2))&lt;1,ROUND(BC60*(1+'Calc base'!Q61),2),MAX('Calc base'!L$12,ROUND('Calc base'!L$13*BC60,2))))</f>
        <v>0</v>
      </c>
      <c r="T61">
        <f>IF(BD60&lt;=0,0,IF(ROUND(BD60*(1+'Calc base'!R61),2)-MAX('Calc base'!M$12,ROUND('Calc base'!M$13*BD60,2))&lt;1,ROUND(BD60*(1+'Calc base'!R61),2),MAX('Calc base'!M$12,ROUND('Calc base'!M$13*BD60,2))))</f>
        <v>0</v>
      </c>
      <c r="U61">
        <f>IF(BE60&lt;=0,0,IF(ROUND(BE60*(1+'Calc base'!S61),2)-MAX('Calc base'!N$12,ROUND('Calc base'!N$13*BE60,2))&lt;1,ROUND(BE60*(1+'Calc base'!S61),2),MAX('Calc base'!N$12,ROUND('Calc base'!N$13*BE60,2))))</f>
        <v>0</v>
      </c>
      <c r="V61">
        <f>MAX(0,ROUND(AT60*(1+'Calc base'!H61),2)-J61-'Calc base'!T61)</f>
        <v>0</v>
      </c>
      <c r="W61">
        <f>MAX(0,ROUND(AU60*(1+'Calc base'!I61),2)-K61-'Calc base'!U61)</f>
        <v>0</v>
      </c>
      <c r="X61">
        <f>MAX(0,ROUND(AV60*(1+'Calc base'!J61),2)-L61-'Calc base'!V61)</f>
        <v>0</v>
      </c>
      <c r="Y61">
        <f>MAX(0,ROUND(AW60*(1+'Calc base'!K61),2)-M61-'Calc base'!W61)</f>
        <v>0</v>
      </c>
      <c r="Z61">
        <f>MAX(0,ROUND(AX60*(1+'Calc base'!L61),2)-N61-'Calc base'!X61)</f>
        <v>0</v>
      </c>
      <c r="AA61">
        <f>MAX(0,ROUND(AY60*(1+'Calc base'!M61),2)-O61-'Calc base'!Y61)</f>
        <v>0</v>
      </c>
      <c r="AB61">
        <f>MAX(0,ROUND(AZ60*(1+'Calc base'!N61),2)-P61-'Calc base'!Z61)</f>
        <v>0</v>
      </c>
      <c r="AC61">
        <f>MAX(0,ROUND(BA60*(1+'Calc base'!O61),2)-Q61-'Calc base'!AA61)</f>
        <v>0</v>
      </c>
      <c r="AD61">
        <f>MAX(0,ROUND(BB60*(1+'Calc base'!P61),2)-R61-'Calc base'!AB61)</f>
        <v>0</v>
      </c>
      <c r="AE61">
        <f>MAX(0,ROUND(BC60*(1+'Calc base'!Q61),2)-S61-'Calc base'!AC61)</f>
        <v>0</v>
      </c>
      <c r="AF61">
        <f>MAX(0,ROUND(BD60*(1+'Calc base'!R61),2)-T61-'Calc base'!AD61)</f>
        <v>0</v>
      </c>
      <c r="AG61">
        <f>MAX(0,ROUND(BE60*(1+'Calc base'!S61),2)-U61-'Calc base'!AE61)</f>
        <v>0</v>
      </c>
      <c r="AH61">
        <f>IF('Calc base'!C$14=0,0,MIN(V61,MAX(0,$E61-SUMIFS($V61:$AG61,'Calc base'!$C$17:$N$17,"&lt;"&amp;'Calc base'!C$17,'Calc base'!$C$14:$N$14,1))))</f>
        <v>0</v>
      </c>
      <c r="AI61">
        <f>IF('Calc base'!D$14=0,0,MIN(W61,MAX(0,$E61-SUMIFS($V61:$AG61,'Calc base'!$C$17:$N$17,"&lt;"&amp;'Calc base'!D$17,'Calc base'!$C$14:$N$14,1))))</f>
        <v>0</v>
      </c>
      <c r="AJ61">
        <f>IF('Calc base'!E$14=0,0,MIN(X61,MAX(0,$E61-SUMIFS($V61:$AG61,'Calc base'!$C$17:$N$17,"&lt;"&amp;'Calc base'!E$17,'Calc base'!$C$14:$N$14,1))))</f>
        <v>0</v>
      </c>
      <c r="AK61">
        <f>IF('Calc base'!F$14=0,0,MIN(Y61,MAX(0,$E61-SUMIFS($V61:$AG61,'Calc base'!$C$17:$N$17,"&lt;"&amp;'Calc base'!F$17,'Calc base'!$C$14:$N$14,1))))</f>
        <v>0</v>
      </c>
      <c r="AL61">
        <f>IF('Calc base'!G$14=0,0,MIN(Z61,MAX(0,$E61-SUMIFS($V61:$AG61,'Calc base'!$C$17:$N$17,"&lt;"&amp;'Calc base'!G$17,'Calc base'!$C$14:$N$14,1))))</f>
        <v>0</v>
      </c>
      <c r="AM61">
        <f>IF('Calc base'!H$14=0,0,MIN(AA61,MAX(0,$E61-SUMIFS($V61:$AG61,'Calc base'!$C$17:$N$17,"&lt;"&amp;'Calc base'!H$17,'Calc base'!$C$14:$N$14,1))))</f>
        <v>0</v>
      </c>
      <c r="AN61">
        <f>IF('Calc base'!I$14=0,0,MIN(AB61,MAX(0,$E61-SUMIFS($V61:$AG61,'Calc base'!$C$17:$N$17,"&lt;"&amp;'Calc base'!I$17,'Calc base'!$C$14:$N$14,1))))</f>
        <v>0</v>
      </c>
      <c r="AO61">
        <f>IF('Calc base'!J$14=0,0,MIN(AC61,MAX(0,$E61-SUMIFS($V61:$AG61,'Calc base'!$C$17:$N$17,"&lt;"&amp;'Calc base'!J$17,'Calc base'!$C$14:$N$14,1))))</f>
        <v>0</v>
      </c>
      <c r="AP61">
        <f>IF('Calc base'!K$14=0,0,MIN(AD61,MAX(0,$E61-SUMIFS($V61:$AG61,'Calc base'!$C$17:$N$17,"&lt;"&amp;'Calc base'!K$17,'Calc base'!$C$14:$N$14,1))))</f>
        <v>0</v>
      </c>
      <c r="AQ61">
        <f>IF('Calc base'!L$14=0,0,MIN(AE61,MAX(0,$E61-SUMIFS($V61:$AG61,'Calc base'!$C$17:$N$17,"&lt;"&amp;'Calc base'!L$17,'Calc base'!$C$14:$N$14,1))))</f>
        <v>0</v>
      </c>
      <c r="AR61">
        <f>IF('Calc base'!M$14=0,0,MIN(AF61,MAX(0,$E61-SUMIFS($V61:$AG61,'Calc base'!$C$17:$N$17,"&lt;"&amp;'Calc base'!M$17,'Calc base'!$C$14:$N$14,1))))</f>
        <v>0</v>
      </c>
      <c r="AS61">
        <f>IF('Calc base'!N$14=0,0,MIN(AG61,MAX(0,$E61-SUMIFS($V61:$AG61,'Calc base'!$C$17:$N$17,"&lt;"&amp;'Calc base'!N$17,'Calc base'!$C$14:$N$14,1))))</f>
        <v>0</v>
      </c>
      <c r="AT61">
        <f>V61-AH61</f>
        <v>0</v>
      </c>
      <c r="AU61">
        <f>W61-AI61</f>
        <v>0</v>
      </c>
      <c r="AV61">
        <f>X61-AJ61</f>
        <v>0</v>
      </c>
      <c r="AW61">
        <f>Y61-AK61</f>
        <v>0</v>
      </c>
      <c r="AX61">
        <f>Z61-AL61</f>
        <v>0</v>
      </c>
      <c r="AY61">
        <f>AA61-AM61</f>
        <v>0</v>
      </c>
      <c r="AZ61">
        <f>AB61-AN61</f>
        <v>0</v>
      </c>
      <c r="BA61">
        <f>AC61-AO61</f>
        <v>0</v>
      </c>
      <c r="BB61">
        <f>AD61-AP61</f>
        <v>0</v>
      </c>
      <c r="BC61">
        <f>AE61-AQ61</f>
        <v>0</v>
      </c>
      <c r="BD61">
        <f>AF61-AR61</f>
        <v>0</v>
      </c>
      <c r="BE61">
        <f>AG61-AS61</f>
        <v>0</v>
      </c>
    </row>
    <row r="62">
      <c r="A62" t="n">
        <v>32</v>
      </c>
      <c r="B62">
        <f>SUMPRODUCT(ROUND($AT61:$BE61*(1+'Calc base'!$H62:$S62),2))</f>
        <v>0</v>
      </c>
      <c r="C62">
        <f>SUM(J62:U62)</f>
        <v>0</v>
      </c>
      <c r="D62">
        <f>SUM(V62:AG62)</f>
        <v>0</v>
      </c>
      <c r="E62">
        <f>MAX(0,IF(Impostazioni!$B$7="No",'Calc base'!$C62-$C$31,'Calc base'!$C62-C62)+'Calc base'!$G62+'Calc base'!$F62-(B62-C62-D62))</f>
        <v>900</v>
      </c>
      <c r="F62">
        <f>SUM(AH62:AS62)</f>
        <v>0</v>
      </c>
      <c r="G62">
        <f>SUM(AT62:BE62)</f>
        <v>0</v>
      </c>
      <c r="H62">
        <f>B62-G61</f>
        <v>0</v>
      </c>
      <c r="I62">
        <f>B62-G62</f>
        <v>0</v>
      </c>
      <c r="J62">
        <f>IF(AT61&lt;=0,0,IF(ROUND(AT61*(1+'Calc base'!H62),2)-MAX('Calc base'!C$12,ROUND('Calc base'!C$13*AT61,2))&lt;1,ROUND(AT61*(1+'Calc base'!H62),2),MAX('Calc base'!C$12,ROUND('Calc base'!C$13*AT61,2))))</f>
        <v>0</v>
      </c>
      <c r="K62">
        <f>IF(AU61&lt;=0,0,IF(ROUND(AU61*(1+'Calc base'!I62),2)-MAX('Calc base'!D$12,ROUND('Calc base'!D$13*AU61,2))&lt;1,ROUND(AU61*(1+'Calc base'!I62),2),MAX('Calc base'!D$12,ROUND('Calc base'!D$13*AU61,2))))</f>
        <v>0</v>
      </c>
      <c r="L62">
        <f>IF(AV61&lt;=0,0,IF(ROUND(AV61*(1+'Calc base'!J62),2)-MAX('Calc base'!E$12,ROUND('Calc base'!E$13*AV61,2))&lt;1,ROUND(AV61*(1+'Calc base'!J62),2),MAX('Calc base'!E$12,ROUND('Calc base'!E$13*AV61,2))))</f>
        <v>0</v>
      </c>
      <c r="M62">
        <f>IF(AW61&lt;=0,0,IF(ROUND(AW61*(1+'Calc base'!K62),2)-MAX('Calc base'!F$12,ROUND('Calc base'!F$13*AW61,2))&lt;1,ROUND(AW61*(1+'Calc base'!K62),2),MAX('Calc base'!F$12,ROUND('Calc base'!F$13*AW61,2))))</f>
        <v>0</v>
      </c>
      <c r="N62">
        <f>IF(AX61&lt;=0,0,IF(ROUND(AX61*(1+'Calc base'!L62),2)-MAX('Calc base'!G$12,ROUND('Calc base'!G$13*AX61,2))&lt;1,ROUND(AX61*(1+'Calc base'!L62),2),MAX('Calc base'!G$12,ROUND('Calc base'!G$13*AX61,2))))</f>
        <v>0</v>
      </c>
      <c r="O62">
        <f>IF(AY61&lt;=0,0,IF(ROUND(AY61*(1+'Calc base'!M62),2)-MAX('Calc base'!H$12,ROUND('Calc base'!H$13*AY61,2))&lt;1,ROUND(AY61*(1+'Calc base'!M62),2),MAX('Calc base'!H$12,ROUND('Calc base'!H$13*AY61,2))))</f>
        <v>0</v>
      </c>
      <c r="P62">
        <f>IF(AZ61&lt;=0,0,IF(ROUND(AZ61*(1+'Calc base'!N62),2)-MAX('Calc base'!I$12,ROUND('Calc base'!I$13*AZ61,2))&lt;1,ROUND(AZ61*(1+'Calc base'!N62),2),MAX('Calc base'!I$12,ROUND('Calc base'!I$13*AZ61,2))))</f>
        <v>0</v>
      </c>
      <c r="Q62">
        <f>IF(BA61&lt;=0,0,IF(ROUND(BA61*(1+'Calc base'!O62),2)-MAX('Calc base'!J$12,ROUND('Calc base'!J$13*BA61,2))&lt;1,ROUND(BA61*(1+'Calc base'!O62),2),MAX('Calc base'!J$12,ROUND('Calc base'!J$13*BA61,2))))</f>
        <v>0</v>
      </c>
      <c r="R62">
        <f>IF(BB61&lt;=0,0,IF(ROUND(BB61*(1+'Calc base'!P62),2)-MAX('Calc base'!K$12,ROUND('Calc base'!K$13*BB61,2))&lt;1,ROUND(BB61*(1+'Calc base'!P62),2),MAX('Calc base'!K$12,ROUND('Calc base'!K$13*BB61,2))))</f>
        <v>0</v>
      </c>
      <c r="S62">
        <f>IF(BC61&lt;=0,0,IF(ROUND(BC61*(1+'Calc base'!Q62),2)-MAX('Calc base'!L$12,ROUND('Calc base'!L$13*BC61,2))&lt;1,ROUND(BC61*(1+'Calc base'!Q62),2),MAX('Calc base'!L$12,ROUND('Calc base'!L$13*BC61,2))))</f>
        <v>0</v>
      </c>
      <c r="T62">
        <f>IF(BD61&lt;=0,0,IF(ROUND(BD61*(1+'Calc base'!R62),2)-MAX('Calc base'!M$12,ROUND('Calc base'!M$13*BD61,2))&lt;1,ROUND(BD61*(1+'Calc base'!R62),2),MAX('Calc base'!M$12,ROUND('Calc base'!M$13*BD61,2))))</f>
        <v>0</v>
      </c>
      <c r="U62">
        <f>IF(BE61&lt;=0,0,IF(ROUND(BE61*(1+'Calc base'!S62),2)-MAX('Calc base'!N$12,ROUND('Calc base'!N$13*BE61,2))&lt;1,ROUND(BE61*(1+'Calc base'!S62),2),MAX('Calc base'!N$12,ROUND('Calc base'!N$13*BE61,2))))</f>
        <v>0</v>
      </c>
      <c r="V62">
        <f>MAX(0,ROUND(AT61*(1+'Calc base'!H62),2)-J62-'Calc base'!T62)</f>
        <v>0</v>
      </c>
      <c r="W62">
        <f>MAX(0,ROUND(AU61*(1+'Calc base'!I62),2)-K62-'Calc base'!U62)</f>
        <v>0</v>
      </c>
      <c r="X62">
        <f>MAX(0,ROUND(AV61*(1+'Calc base'!J62),2)-L62-'Calc base'!V62)</f>
        <v>0</v>
      </c>
      <c r="Y62">
        <f>MAX(0,ROUND(AW61*(1+'Calc base'!K62),2)-M62-'Calc base'!W62)</f>
        <v>0</v>
      </c>
      <c r="Z62">
        <f>MAX(0,ROUND(AX61*(1+'Calc base'!L62),2)-N62-'Calc base'!X62)</f>
        <v>0</v>
      </c>
      <c r="AA62">
        <f>MAX(0,ROUND(AY61*(1+'Calc base'!M62),2)-O62-'Calc base'!Y62)</f>
        <v>0</v>
      </c>
      <c r="AB62">
        <f>MAX(0,ROUND(AZ61*(1+'Calc base'!N62),2)-P62-'Calc base'!Z62)</f>
        <v>0</v>
      </c>
      <c r="AC62">
        <f>MAX(0,ROUND(BA61*(1+'Calc base'!O62),2)-Q62-'Calc base'!AA62)</f>
        <v>0</v>
      </c>
      <c r="AD62">
        <f>MAX(0,ROUND(BB61*(1+'Calc base'!P62),2)-R62-'Calc base'!AB62)</f>
        <v>0</v>
      </c>
      <c r="AE62">
        <f>MAX(0,ROUND(BC61*(1+'Calc base'!Q62),2)-S62-'Calc base'!AC62)</f>
        <v>0</v>
      </c>
      <c r="AF62">
        <f>MAX(0,ROUND(BD61*(1+'Calc base'!R62),2)-T62-'Calc base'!AD62)</f>
        <v>0</v>
      </c>
      <c r="AG62">
        <f>MAX(0,ROUND(BE61*(1+'Calc base'!S62),2)-U62-'Calc base'!AE62)</f>
        <v>0</v>
      </c>
      <c r="AH62">
        <f>IF('Calc base'!C$14=0,0,MIN(V62,MAX(0,$E62-SUMIFS($V62:$AG62,'Calc base'!$C$17:$N$17,"&lt;"&amp;'Calc base'!C$17,'Calc base'!$C$14:$N$14,1))))</f>
        <v>0</v>
      </c>
      <c r="AI62">
        <f>IF('Calc base'!D$14=0,0,MIN(W62,MAX(0,$E62-SUMIFS($V62:$AG62,'Calc base'!$C$17:$N$17,"&lt;"&amp;'Calc base'!D$17,'Calc base'!$C$14:$N$14,1))))</f>
        <v>0</v>
      </c>
      <c r="AJ62">
        <f>IF('Calc base'!E$14=0,0,MIN(X62,MAX(0,$E62-SUMIFS($V62:$AG62,'Calc base'!$C$17:$N$17,"&lt;"&amp;'Calc base'!E$17,'Calc base'!$C$14:$N$14,1))))</f>
        <v>0</v>
      </c>
      <c r="AK62">
        <f>IF('Calc base'!F$14=0,0,MIN(Y62,MAX(0,$E62-SUMIFS($V62:$AG62,'Calc base'!$C$17:$N$17,"&lt;"&amp;'Calc base'!F$17,'Calc base'!$C$14:$N$14,1))))</f>
        <v>0</v>
      </c>
      <c r="AL62">
        <f>IF('Calc base'!G$14=0,0,MIN(Z62,MAX(0,$E62-SUMIFS($V62:$AG62,'Calc base'!$C$17:$N$17,"&lt;"&amp;'Calc base'!G$17,'Calc base'!$C$14:$N$14,1))))</f>
        <v>0</v>
      </c>
      <c r="AM62">
        <f>IF('Calc base'!H$14=0,0,MIN(AA62,MAX(0,$E62-SUMIFS($V62:$AG62,'Calc base'!$C$17:$N$17,"&lt;"&amp;'Calc base'!H$17,'Calc base'!$C$14:$N$14,1))))</f>
        <v>0</v>
      </c>
      <c r="AN62">
        <f>IF('Calc base'!I$14=0,0,MIN(AB62,MAX(0,$E62-SUMIFS($V62:$AG62,'Calc base'!$C$17:$N$17,"&lt;"&amp;'Calc base'!I$17,'Calc base'!$C$14:$N$14,1))))</f>
        <v>0</v>
      </c>
      <c r="AO62">
        <f>IF('Calc base'!J$14=0,0,MIN(AC62,MAX(0,$E62-SUMIFS($V62:$AG62,'Calc base'!$C$17:$N$17,"&lt;"&amp;'Calc base'!J$17,'Calc base'!$C$14:$N$14,1))))</f>
        <v>0</v>
      </c>
      <c r="AP62">
        <f>IF('Calc base'!K$14=0,0,MIN(AD62,MAX(0,$E62-SUMIFS($V62:$AG62,'Calc base'!$C$17:$N$17,"&lt;"&amp;'Calc base'!K$17,'Calc base'!$C$14:$N$14,1))))</f>
        <v>0</v>
      </c>
      <c r="AQ62">
        <f>IF('Calc base'!L$14=0,0,MIN(AE62,MAX(0,$E62-SUMIFS($V62:$AG62,'Calc base'!$C$17:$N$17,"&lt;"&amp;'Calc base'!L$17,'Calc base'!$C$14:$N$14,1))))</f>
        <v>0</v>
      </c>
      <c r="AR62">
        <f>IF('Calc base'!M$14=0,0,MIN(AF62,MAX(0,$E62-SUMIFS($V62:$AG62,'Calc base'!$C$17:$N$17,"&lt;"&amp;'Calc base'!M$17,'Calc base'!$C$14:$N$14,1))))</f>
        <v>0</v>
      </c>
      <c r="AS62">
        <f>IF('Calc base'!N$14=0,0,MIN(AG62,MAX(0,$E62-SUMIFS($V62:$AG62,'Calc base'!$C$17:$N$17,"&lt;"&amp;'Calc base'!N$17,'Calc base'!$C$14:$N$14,1))))</f>
        <v>0</v>
      </c>
      <c r="AT62">
        <f>V62-AH62</f>
        <v>0</v>
      </c>
      <c r="AU62">
        <f>W62-AI62</f>
        <v>0</v>
      </c>
      <c r="AV62">
        <f>X62-AJ62</f>
        <v>0</v>
      </c>
      <c r="AW62">
        <f>Y62-AK62</f>
        <v>0</v>
      </c>
      <c r="AX62">
        <f>Z62-AL62</f>
        <v>0</v>
      </c>
      <c r="AY62">
        <f>AA62-AM62</f>
        <v>0</v>
      </c>
      <c r="AZ62">
        <f>AB62-AN62</f>
        <v>0</v>
      </c>
      <c r="BA62">
        <f>AC62-AO62</f>
        <v>0</v>
      </c>
      <c r="BB62">
        <f>AD62-AP62</f>
        <v>0</v>
      </c>
      <c r="BC62">
        <f>AE62-AQ62</f>
        <v>0</v>
      </c>
      <c r="BD62">
        <f>AF62-AR62</f>
        <v>0</v>
      </c>
      <c r="BE62">
        <f>AG62-AS62</f>
        <v>0</v>
      </c>
    </row>
    <row r="63">
      <c r="A63" t="n">
        <v>33</v>
      </c>
      <c r="B63">
        <f>SUMPRODUCT(ROUND($AT62:$BE62*(1+'Calc base'!$H63:$S63),2))</f>
        <v>0</v>
      </c>
      <c r="C63">
        <f>SUM(J63:U63)</f>
        <v>0</v>
      </c>
      <c r="D63">
        <f>SUM(V63:AG63)</f>
        <v>0</v>
      </c>
      <c r="E63">
        <f>MAX(0,IF(Impostazioni!$B$7="No",'Calc base'!$C63-$C$31,'Calc base'!$C63-C63)+'Calc base'!$G63+'Calc base'!$F63-(B63-C63-D63))</f>
        <v>900</v>
      </c>
      <c r="F63">
        <f>SUM(AH63:AS63)</f>
        <v>0</v>
      </c>
      <c r="G63">
        <f>SUM(AT63:BE63)</f>
        <v>0</v>
      </c>
      <c r="H63">
        <f>B63-G62</f>
        <v>0</v>
      </c>
      <c r="I63">
        <f>B63-G63</f>
        <v>0</v>
      </c>
      <c r="J63">
        <f>IF(AT62&lt;=0,0,IF(ROUND(AT62*(1+'Calc base'!H63),2)-MAX('Calc base'!C$12,ROUND('Calc base'!C$13*AT62,2))&lt;1,ROUND(AT62*(1+'Calc base'!H63),2),MAX('Calc base'!C$12,ROUND('Calc base'!C$13*AT62,2))))</f>
        <v>0</v>
      </c>
      <c r="K63">
        <f>IF(AU62&lt;=0,0,IF(ROUND(AU62*(1+'Calc base'!I63),2)-MAX('Calc base'!D$12,ROUND('Calc base'!D$13*AU62,2))&lt;1,ROUND(AU62*(1+'Calc base'!I63),2),MAX('Calc base'!D$12,ROUND('Calc base'!D$13*AU62,2))))</f>
        <v>0</v>
      </c>
      <c r="L63">
        <f>IF(AV62&lt;=0,0,IF(ROUND(AV62*(1+'Calc base'!J63),2)-MAX('Calc base'!E$12,ROUND('Calc base'!E$13*AV62,2))&lt;1,ROUND(AV62*(1+'Calc base'!J63),2),MAX('Calc base'!E$12,ROUND('Calc base'!E$13*AV62,2))))</f>
        <v>0</v>
      </c>
      <c r="M63">
        <f>IF(AW62&lt;=0,0,IF(ROUND(AW62*(1+'Calc base'!K63),2)-MAX('Calc base'!F$12,ROUND('Calc base'!F$13*AW62,2))&lt;1,ROUND(AW62*(1+'Calc base'!K63),2),MAX('Calc base'!F$12,ROUND('Calc base'!F$13*AW62,2))))</f>
        <v>0</v>
      </c>
      <c r="N63">
        <f>IF(AX62&lt;=0,0,IF(ROUND(AX62*(1+'Calc base'!L63),2)-MAX('Calc base'!G$12,ROUND('Calc base'!G$13*AX62,2))&lt;1,ROUND(AX62*(1+'Calc base'!L63),2),MAX('Calc base'!G$12,ROUND('Calc base'!G$13*AX62,2))))</f>
        <v>0</v>
      </c>
      <c r="O63">
        <f>IF(AY62&lt;=0,0,IF(ROUND(AY62*(1+'Calc base'!M63),2)-MAX('Calc base'!H$12,ROUND('Calc base'!H$13*AY62,2))&lt;1,ROUND(AY62*(1+'Calc base'!M63),2),MAX('Calc base'!H$12,ROUND('Calc base'!H$13*AY62,2))))</f>
        <v>0</v>
      </c>
      <c r="P63">
        <f>IF(AZ62&lt;=0,0,IF(ROUND(AZ62*(1+'Calc base'!N63),2)-MAX('Calc base'!I$12,ROUND('Calc base'!I$13*AZ62,2))&lt;1,ROUND(AZ62*(1+'Calc base'!N63),2),MAX('Calc base'!I$12,ROUND('Calc base'!I$13*AZ62,2))))</f>
        <v>0</v>
      </c>
      <c r="Q63">
        <f>IF(BA62&lt;=0,0,IF(ROUND(BA62*(1+'Calc base'!O63),2)-MAX('Calc base'!J$12,ROUND('Calc base'!J$13*BA62,2))&lt;1,ROUND(BA62*(1+'Calc base'!O63),2),MAX('Calc base'!J$12,ROUND('Calc base'!J$13*BA62,2))))</f>
        <v>0</v>
      </c>
      <c r="R63">
        <f>IF(BB62&lt;=0,0,IF(ROUND(BB62*(1+'Calc base'!P63),2)-MAX('Calc base'!K$12,ROUND('Calc base'!K$13*BB62,2))&lt;1,ROUND(BB62*(1+'Calc base'!P63),2),MAX('Calc base'!K$12,ROUND('Calc base'!K$13*BB62,2))))</f>
        <v>0</v>
      </c>
      <c r="S63">
        <f>IF(BC62&lt;=0,0,IF(ROUND(BC62*(1+'Calc base'!Q63),2)-MAX('Calc base'!L$12,ROUND('Calc base'!L$13*BC62,2))&lt;1,ROUND(BC62*(1+'Calc base'!Q63),2),MAX('Calc base'!L$12,ROUND('Calc base'!L$13*BC62,2))))</f>
        <v>0</v>
      </c>
      <c r="T63">
        <f>IF(BD62&lt;=0,0,IF(ROUND(BD62*(1+'Calc base'!R63),2)-MAX('Calc base'!M$12,ROUND('Calc base'!M$13*BD62,2))&lt;1,ROUND(BD62*(1+'Calc base'!R63),2),MAX('Calc base'!M$12,ROUND('Calc base'!M$13*BD62,2))))</f>
        <v>0</v>
      </c>
      <c r="U63">
        <f>IF(BE62&lt;=0,0,IF(ROUND(BE62*(1+'Calc base'!S63),2)-MAX('Calc base'!N$12,ROUND('Calc base'!N$13*BE62,2))&lt;1,ROUND(BE62*(1+'Calc base'!S63),2),MAX('Calc base'!N$12,ROUND('Calc base'!N$13*BE62,2))))</f>
        <v>0</v>
      </c>
      <c r="V63">
        <f>MAX(0,ROUND(AT62*(1+'Calc base'!H63),2)-J63-'Calc base'!T63)</f>
        <v>0</v>
      </c>
      <c r="W63">
        <f>MAX(0,ROUND(AU62*(1+'Calc base'!I63),2)-K63-'Calc base'!U63)</f>
        <v>0</v>
      </c>
      <c r="X63">
        <f>MAX(0,ROUND(AV62*(1+'Calc base'!J63),2)-L63-'Calc base'!V63)</f>
        <v>0</v>
      </c>
      <c r="Y63">
        <f>MAX(0,ROUND(AW62*(1+'Calc base'!K63),2)-M63-'Calc base'!W63)</f>
        <v>0</v>
      </c>
      <c r="Z63">
        <f>MAX(0,ROUND(AX62*(1+'Calc base'!L63),2)-N63-'Calc base'!X63)</f>
        <v>0</v>
      </c>
      <c r="AA63">
        <f>MAX(0,ROUND(AY62*(1+'Calc base'!M63),2)-O63-'Calc base'!Y63)</f>
        <v>0</v>
      </c>
      <c r="AB63">
        <f>MAX(0,ROUND(AZ62*(1+'Calc base'!N63),2)-P63-'Calc base'!Z63)</f>
        <v>0</v>
      </c>
      <c r="AC63">
        <f>MAX(0,ROUND(BA62*(1+'Calc base'!O63),2)-Q63-'Calc base'!AA63)</f>
        <v>0</v>
      </c>
      <c r="AD63">
        <f>MAX(0,ROUND(BB62*(1+'Calc base'!P63),2)-R63-'Calc base'!AB63)</f>
        <v>0</v>
      </c>
      <c r="AE63">
        <f>MAX(0,ROUND(BC62*(1+'Calc base'!Q63),2)-S63-'Calc base'!AC63)</f>
        <v>0</v>
      </c>
      <c r="AF63">
        <f>MAX(0,ROUND(BD62*(1+'Calc base'!R63),2)-T63-'Calc base'!AD63)</f>
        <v>0</v>
      </c>
      <c r="AG63">
        <f>MAX(0,ROUND(BE62*(1+'Calc base'!S63),2)-U63-'Calc base'!AE63)</f>
        <v>0</v>
      </c>
      <c r="AH63">
        <f>IF('Calc base'!C$14=0,0,MIN(V63,MAX(0,$E63-SUMIFS($V63:$AG63,'Calc base'!$C$17:$N$17,"&lt;"&amp;'Calc base'!C$17,'Calc base'!$C$14:$N$14,1))))</f>
        <v>0</v>
      </c>
      <c r="AI63">
        <f>IF('Calc base'!D$14=0,0,MIN(W63,MAX(0,$E63-SUMIFS($V63:$AG63,'Calc base'!$C$17:$N$17,"&lt;"&amp;'Calc base'!D$17,'Calc base'!$C$14:$N$14,1))))</f>
        <v>0</v>
      </c>
      <c r="AJ63">
        <f>IF('Calc base'!E$14=0,0,MIN(X63,MAX(0,$E63-SUMIFS($V63:$AG63,'Calc base'!$C$17:$N$17,"&lt;"&amp;'Calc base'!E$17,'Calc base'!$C$14:$N$14,1))))</f>
        <v>0</v>
      </c>
      <c r="AK63">
        <f>IF('Calc base'!F$14=0,0,MIN(Y63,MAX(0,$E63-SUMIFS($V63:$AG63,'Calc base'!$C$17:$N$17,"&lt;"&amp;'Calc base'!F$17,'Calc base'!$C$14:$N$14,1))))</f>
        <v>0</v>
      </c>
      <c r="AL63">
        <f>IF('Calc base'!G$14=0,0,MIN(Z63,MAX(0,$E63-SUMIFS($V63:$AG63,'Calc base'!$C$17:$N$17,"&lt;"&amp;'Calc base'!G$17,'Calc base'!$C$14:$N$14,1))))</f>
        <v>0</v>
      </c>
      <c r="AM63">
        <f>IF('Calc base'!H$14=0,0,MIN(AA63,MAX(0,$E63-SUMIFS($V63:$AG63,'Calc base'!$C$17:$N$17,"&lt;"&amp;'Calc base'!H$17,'Calc base'!$C$14:$N$14,1))))</f>
        <v>0</v>
      </c>
      <c r="AN63">
        <f>IF('Calc base'!I$14=0,0,MIN(AB63,MAX(0,$E63-SUMIFS($V63:$AG63,'Calc base'!$C$17:$N$17,"&lt;"&amp;'Calc base'!I$17,'Calc base'!$C$14:$N$14,1))))</f>
        <v>0</v>
      </c>
      <c r="AO63">
        <f>IF('Calc base'!J$14=0,0,MIN(AC63,MAX(0,$E63-SUMIFS($V63:$AG63,'Calc base'!$C$17:$N$17,"&lt;"&amp;'Calc base'!J$17,'Calc base'!$C$14:$N$14,1))))</f>
        <v>0</v>
      </c>
      <c r="AP63">
        <f>IF('Calc base'!K$14=0,0,MIN(AD63,MAX(0,$E63-SUMIFS($V63:$AG63,'Calc base'!$C$17:$N$17,"&lt;"&amp;'Calc base'!K$17,'Calc base'!$C$14:$N$14,1))))</f>
        <v>0</v>
      </c>
      <c r="AQ63">
        <f>IF('Calc base'!L$14=0,0,MIN(AE63,MAX(0,$E63-SUMIFS($V63:$AG63,'Calc base'!$C$17:$N$17,"&lt;"&amp;'Calc base'!L$17,'Calc base'!$C$14:$N$14,1))))</f>
        <v>0</v>
      </c>
      <c r="AR63">
        <f>IF('Calc base'!M$14=0,0,MIN(AF63,MAX(0,$E63-SUMIFS($V63:$AG63,'Calc base'!$C$17:$N$17,"&lt;"&amp;'Calc base'!M$17,'Calc base'!$C$14:$N$14,1))))</f>
        <v>0</v>
      </c>
      <c r="AS63">
        <f>IF('Calc base'!N$14=0,0,MIN(AG63,MAX(0,$E63-SUMIFS($V63:$AG63,'Calc base'!$C$17:$N$17,"&lt;"&amp;'Calc base'!N$17,'Calc base'!$C$14:$N$14,1))))</f>
        <v>0</v>
      </c>
      <c r="AT63">
        <f>V63-AH63</f>
        <v>0</v>
      </c>
      <c r="AU63">
        <f>W63-AI63</f>
        <v>0</v>
      </c>
      <c r="AV63">
        <f>X63-AJ63</f>
        <v>0</v>
      </c>
      <c r="AW63">
        <f>Y63-AK63</f>
        <v>0</v>
      </c>
      <c r="AX63">
        <f>Z63-AL63</f>
        <v>0</v>
      </c>
      <c r="AY63">
        <f>AA63-AM63</f>
        <v>0</v>
      </c>
      <c r="AZ63">
        <f>AB63-AN63</f>
        <v>0</v>
      </c>
      <c r="BA63">
        <f>AC63-AO63</f>
        <v>0</v>
      </c>
      <c r="BB63">
        <f>AD63-AP63</f>
        <v>0</v>
      </c>
      <c r="BC63">
        <f>AE63-AQ63</f>
        <v>0</v>
      </c>
      <c r="BD63">
        <f>AF63-AR63</f>
        <v>0</v>
      </c>
      <c r="BE63">
        <f>AG63-AS63</f>
        <v>0</v>
      </c>
    </row>
    <row r="64">
      <c r="A64" t="n">
        <v>34</v>
      </c>
      <c r="B64">
        <f>SUMPRODUCT(ROUND($AT63:$BE63*(1+'Calc base'!$H64:$S64),2))</f>
        <v>0</v>
      </c>
      <c r="C64">
        <f>SUM(J64:U64)</f>
        <v>0</v>
      </c>
      <c r="D64">
        <f>SUM(V64:AG64)</f>
        <v>0</v>
      </c>
      <c r="E64">
        <f>MAX(0,IF(Impostazioni!$B$7="No",'Calc base'!$C64-$C$31,'Calc base'!$C64-C64)+'Calc base'!$G64+'Calc base'!$F64-(B64-C64-D64))</f>
        <v>900</v>
      </c>
      <c r="F64">
        <f>SUM(AH64:AS64)</f>
        <v>0</v>
      </c>
      <c r="G64">
        <f>SUM(AT64:BE64)</f>
        <v>0</v>
      </c>
      <c r="H64">
        <f>B64-G63</f>
        <v>0</v>
      </c>
      <c r="I64">
        <f>B64-G64</f>
        <v>0</v>
      </c>
      <c r="J64">
        <f>IF(AT63&lt;=0,0,IF(ROUND(AT63*(1+'Calc base'!H64),2)-MAX('Calc base'!C$12,ROUND('Calc base'!C$13*AT63,2))&lt;1,ROUND(AT63*(1+'Calc base'!H64),2),MAX('Calc base'!C$12,ROUND('Calc base'!C$13*AT63,2))))</f>
        <v>0</v>
      </c>
      <c r="K64">
        <f>IF(AU63&lt;=0,0,IF(ROUND(AU63*(1+'Calc base'!I64),2)-MAX('Calc base'!D$12,ROUND('Calc base'!D$13*AU63,2))&lt;1,ROUND(AU63*(1+'Calc base'!I64),2),MAX('Calc base'!D$12,ROUND('Calc base'!D$13*AU63,2))))</f>
        <v>0</v>
      </c>
      <c r="L64">
        <f>IF(AV63&lt;=0,0,IF(ROUND(AV63*(1+'Calc base'!J64),2)-MAX('Calc base'!E$12,ROUND('Calc base'!E$13*AV63,2))&lt;1,ROUND(AV63*(1+'Calc base'!J64),2),MAX('Calc base'!E$12,ROUND('Calc base'!E$13*AV63,2))))</f>
        <v>0</v>
      </c>
      <c r="M64">
        <f>IF(AW63&lt;=0,0,IF(ROUND(AW63*(1+'Calc base'!K64),2)-MAX('Calc base'!F$12,ROUND('Calc base'!F$13*AW63,2))&lt;1,ROUND(AW63*(1+'Calc base'!K64),2),MAX('Calc base'!F$12,ROUND('Calc base'!F$13*AW63,2))))</f>
        <v>0</v>
      </c>
      <c r="N64">
        <f>IF(AX63&lt;=0,0,IF(ROUND(AX63*(1+'Calc base'!L64),2)-MAX('Calc base'!G$12,ROUND('Calc base'!G$13*AX63,2))&lt;1,ROUND(AX63*(1+'Calc base'!L64),2),MAX('Calc base'!G$12,ROUND('Calc base'!G$13*AX63,2))))</f>
        <v>0</v>
      </c>
      <c r="O64">
        <f>IF(AY63&lt;=0,0,IF(ROUND(AY63*(1+'Calc base'!M64),2)-MAX('Calc base'!H$12,ROUND('Calc base'!H$13*AY63,2))&lt;1,ROUND(AY63*(1+'Calc base'!M64),2),MAX('Calc base'!H$12,ROUND('Calc base'!H$13*AY63,2))))</f>
        <v>0</v>
      </c>
      <c r="P64">
        <f>IF(AZ63&lt;=0,0,IF(ROUND(AZ63*(1+'Calc base'!N64),2)-MAX('Calc base'!I$12,ROUND('Calc base'!I$13*AZ63,2))&lt;1,ROUND(AZ63*(1+'Calc base'!N64),2),MAX('Calc base'!I$12,ROUND('Calc base'!I$13*AZ63,2))))</f>
        <v>0</v>
      </c>
      <c r="Q64">
        <f>IF(BA63&lt;=0,0,IF(ROUND(BA63*(1+'Calc base'!O64),2)-MAX('Calc base'!J$12,ROUND('Calc base'!J$13*BA63,2))&lt;1,ROUND(BA63*(1+'Calc base'!O64),2),MAX('Calc base'!J$12,ROUND('Calc base'!J$13*BA63,2))))</f>
        <v>0</v>
      </c>
      <c r="R64">
        <f>IF(BB63&lt;=0,0,IF(ROUND(BB63*(1+'Calc base'!P64),2)-MAX('Calc base'!K$12,ROUND('Calc base'!K$13*BB63,2))&lt;1,ROUND(BB63*(1+'Calc base'!P64),2),MAX('Calc base'!K$12,ROUND('Calc base'!K$13*BB63,2))))</f>
        <v>0</v>
      </c>
      <c r="S64">
        <f>IF(BC63&lt;=0,0,IF(ROUND(BC63*(1+'Calc base'!Q64),2)-MAX('Calc base'!L$12,ROUND('Calc base'!L$13*BC63,2))&lt;1,ROUND(BC63*(1+'Calc base'!Q64),2),MAX('Calc base'!L$12,ROUND('Calc base'!L$13*BC63,2))))</f>
        <v>0</v>
      </c>
      <c r="T64">
        <f>IF(BD63&lt;=0,0,IF(ROUND(BD63*(1+'Calc base'!R64),2)-MAX('Calc base'!M$12,ROUND('Calc base'!M$13*BD63,2))&lt;1,ROUND(BD63*(1+'Calc base'!R64),2),MAX('Calc base'!M$12,ROUND('Calc base'!M$13*BD63,2))))</f>
        <v>0</v>
      </c>
      <c r="U64">
        <f>IF(BE63&lt;=0,0,IF(ROUND(BE63*(1+'Calc base'!S64),2)-MAX('Calc base'!N$12,ROUND('Calc base'!N$13*BE63,2))&lt;1,ROUND(BE63*(1+'Calc base'!S64),2),MAX('Calc base'!N$12,ROUND('Calc base'!N$13*BE63,2))))</f>
        <v>0</v>
      </c>
      <c r="V64">
        <f>MAX(0,ROUND(AT63*(1+'Calc base'!H64),2)-J64-'Calc base'!T64)</f>
        <v>0</v>
      </c>
      <c r="W64">
        <f>MAX(0,ROUND(AU63*(1+'Calc base'!I64),2)-K64-'Calc base'!U64)</f>
        <v>0</v>
      </c>
      <c r="X64">
        <f>MAX(0,ROUND(AV63*(1+'Calc base'!J64),2)-L64-'Calc base'!V64)</f>
        <v>0</v>
      </c>
      <c r="Y64">
        <f>MAX(0,ROUND(AW63*(1+'Calc base'!K64),2)-M64-'Calc base'!W64)</f>
        <v>0</v>
      </c>
      <c r="Z64">
        <f>MAX(0,ROUND(AX63*(1+'Calc base'!L64),2)-N64-'Calc base'!X64)</f>
        <v>0</v>
      </c>
      <c r="AA64">
        <f>MAX(0,ROUND(AY63*(1+'Calc base'!M64),2)-O64-'Calc base'!Y64)</f>
        <v>0</v>
      </c>
      <c r="AB64">
        <f>MAX(0,ROUND(AZ63*(1+'Calc base'!N64),2)-P64-'Calc base'!Z64)</f>
        <v>0</v>
      </c>
      <c r="AC64">
        <f>MAX(0,ROUND(BA63*(1+'Calc base'!O64),2)-Q64-'Calc base'!AA64)</f>
        <v>0</v>
      </c>
      <c r="AD64">
        <f>MAX(0,ROUND(BB63*(1+'Calc base'!P64),2)-R64-'Calc base'!AB64)</f>
        <v>0</v>
      </c>
      <c r="AE64">
        <f>MAX(0,ROUND(BC63*(1+'Calc base'!Q64),2)-S64-'Calc base'!AC64)</f>
        <v>0</v>
      </c>
      <c r="AF64">
        <f>MAX(0,ROUND(BD63*(1+'Calc base'!R64),2)-T64-'Calc base'!AD64)</f>
        <v>0</v>
      </c>
      <c r="AG64">
        <f>MAX(0,ROUND(BE63*(1+'Calc base'!S64),2)-U64-'Calc base'!AE64)</f>
        <v>0</v>
      </c>
      <c r="AH64">
        <f>IF('Calc base'!C$14=0,0,MIN(V64,MAX(0,$E64-SUMIFS($V64:$AG64,'Calc base'!$C$17:$N$17,"&lt;"&amp;'Calc base'!C$17,'Calc base'!$C$14:$N$14,1))))</f>
        <v>0</v>
      </c>
      <c r="AI64">
        <f>IF('Calc base'!D$14=0,0,MIN(W64,MAX(0,$E64-SUMIFS($V64:$AG64,'Calc base'!$C$17:$N$17,"&lt;"&amp;'Calc base'!D$17,'Calc base'!$C$14:$N$14,1))))</f>
        <v>0</v>
      </c>
      <c r="AJ64">
        <f>IF('Calc base'!E$14=0,0,MIN(X64,MAX(0,$E64-SUMIFS($V64:$AG64,'Calc base'!$C$17:$N$17,"&lt;"&amp;'Calc base'!E$17,'Calc base'!$C$14:$N$14,1))))</f>
        <v>0</v>
      </c>
      <c r="AK64">
        <f>IF('Calc base'!F$14=0,0,MIN(Y64,MAX(0,$E64-SUMIFS($V64:$AG64,'Calc base'!$C$17:$N$17,"&lt;"&amp;'Calc base'!F$17,'Calc base'!$C$14:$N$14,1))))</f>
        <v>0</v>
      </c>
      <c r="AL64">
        <f>IF('Calc base'!G$14=0,0,MIN(Z64,MAX(0,$E64-SUMIFS($V64:$AG64,'Calc base'!$C$17:$N$17,"&lt;"&amp;'Calc base'!G$17,'Calc base'!$C$14:$N$14,1))))</f>
        <v>0</v>
      </c>
      <c r="AM64">
        <f>IF('Calc base'!H$14=0,0,MIN(AA64,MAX(0,$E64-SUMIFS($V64:$AG64,'Calc base'!$C$17:$N$17,"&lt;"&amp;'Calc base'!H$17,'Calc base'!$C$14:$N$14,1))))</f>
        <v>0</v>
      </c>
      <c r="AN64">
        <f>IF('Calc base'!I$14=0,0,MIN(AB64,MAX(0,$E64-SUMIFS($V64:$AG64,'Calc base'!$C$17:$N$17,"&lt;"&amp;'Calc base'!I$17,'Calc base'!$C$14:$N$14,1))))</f>
        <v>0</v>
      </c>
      <c r="AO64">
        <f>IF('Calc base'!J$14=0,0,MIN(AC64,MAX(0,$E64-SUMIFS($V64:$AG64,'Calc base'!$C$17:$N$17,"&lt;"&amp;'Calc base'!J$17,'Calc base'!$C$14:$N$14,1))))</f>
        <v>0</v>
      </c>
      <c r="AP64">
        <f>IF('Calc base'!K$14=0,0,MIN(AD64,MAX(0,$E64-SUMIFS($V64:$AG64,'Calc base'!$C$17:$N$17,"&lt;"&amp;'Calc base'!K$17,'Calc base'!$C$14:$N$14,1))))</f>
        <v>0</v>
      </c>
      <c r="AQ64">
        <f>IF('Calc base'!L$14=0,0,MIN(AE64,MAX(0,$E64-SUMIFS($V64:$AG64,'Calc base'!$C$17:$N$17,"&lt;"&amp;'Calc base'!L$17,'Calc base'!$C$14:$N$14,1))))</f>
        <v>0</v>
      </c>
      <c r="AR64">
        <f>IF('Calc base'!M$14=0,0,MIN(AF64,MAX(0,$E64-SUMIFS($V64:$AG64,'Calc base'!$C$17:$N$17,"&lt;"&amp;'Calc base'!M$17,'Calc base'!$C$14:$N$14,1))))</f>
        <v>0</v>
      </c>
      <c r="AS64">
        <f>IF('Calc base'!N$14=0,0,MIN(AG64,MAX(0,$E64-SUMIFS($V64:$AG64,'Calc base'!$C$17:$N$17,"&lt;"&amp;'Calc base'!N$17,'Calc base'!$C$14:$N$14,1))))</f>
        <v>0</v>
      </c>
      <c r="AT64">
        <f>V64-AH64</f>
        <v>0</v>
      </c>
      <c r="AU64">
        <f>W64-AI64</f>
        <v>0</v>
      </c>
      <c r="AV64">
        <f>X64-AJ64</f>
        <v>0</v>
      </c>
      <c r="AW64">
        <f>Y64-AK64</f>
        <v>0</v>
      </c>
      <c r="AX64">
        <f>Z64-AL64</f>
        <v>0</v>
      </c>
      <c r="AY64">
        <f>AA64-AM64</f>
        <v>0</v>
      </c>
      <c r="AZ64">
        <f>AB64-AN64</f>
        <v>0</v>
      </c>
      <c r="BA64">
        <f>AC64-AO64</f>
        <v>0</v>
      </c>
      <c r="BB64">
        <f>AD64-AP64</f>
        <v>0</v>
      </c>
      <c r="BC64">
        <f>AE64-AQ64</f>
        <v>0</v>
      </c>
      <c r="BD64">
        <f>AF64-AR64</f>
        <v>0</v>
      </c>
      <c r="BE64">
        <f>AG64-AS64</f>
        <v>0</v>
      </c>
    </row>
    <row r="65">
      <c r="A65" t="n">
        <v>35</v>
      </c>
      <c r="B65">
        <f>SUMPRODUCT(ROUND($AT64:$BE64*(1+'Calc base'!$H65:$S65),2))</f>
        <v>0</v>
      </c>
      <c r="C65">
        <f>SUM(J65:U65)</f>
        <v>0</v>
      </c>
      <c r="D65">
        <f>SUM(V65:AG65)</f>
        <v>0</v>
      </c>
      <c r="E65">
        <f>MAX(0,IF(Impostazioni!$B$7="No",'Calc base'!$C65-$C$31,'Calc base'!$C65-C65)+'Calc base'!$G65+'Calc base'!$F65-(B65-C65-D65))</f>
        <v>900</v>
      </c>
      <c r="F65">
        <f>SUM(AH65:AS65)</f>
        <v>0</v>
      </c>
      <c r="G65">
        <f>SUM(AT65:BE65)</f>
        <v>0</v>
      </c>
      <c r="H65">
        <f>B65-G64</f>
        <v>0</v>
      </c>
      <c r="I65">
        <f>B65-G65</f>
        <v>0</v>
      </c>
      <c r="J65">
        <f>IF(AT64&lt;=0,0,IF(ROUND(AT64*(1+'Calc base'!H65),2)-MAX('Calc base'!C$12,ROUND('Calc base'!C$13*AT64,2))&lt;1,ROUND(AT64*(1+'Calc base'!H65),2),MAX('Calc base'!C$12,ROUND('Calc base'!C$13*AT64,2))))</f>
        <v>0</v>
      </c>
      <c r="K65">
        <f>IF(AU64&lt;=0,0,IF(ROUND(AU64*(1+'Calc base'!I65),2)-MAX('Calc base'!D$12,ROUND('Calc base'!D$13*AU64,2))&lt;1,ROUND(AU64*(1+'Calc base'!I65),2),MAX('Calc base'!D$12,ROUND('Calc base'!D$13*AU64,2))))</f>
        <v>0</v>
      </c>
      <c r="L65">
        <f>IF(AV64&lt;=0,0,IF(ROUND(AV64*(1+'Calc base'!J65),2)-MAX('Calc base'!E$12,ROUND('Calc base'!E$13*AV64,2))&lt;1,ROUND(AV64*(1+'Calc base'!J65),2),MAX('Calc base'!E$12,ROUND('Calc base'!E$13*AV64,2))))</f>
        <v>0</v>
      </c>
      <c r="M65">
        <f>IF(AW64&lt;=0,0,IF(ROUND(AW64*(1+'Calc base'!K65),2)-MAX('Calc base'!F$12,ROUND('Calc base'!F$13*AW64,2))&lt;1,ROUND(AW64*(1+'Calc base'!K65),2),MAX('Calc base'!F$12,ROUND('Calc base'!F$13*AW64,2))))</f>
        <v>0</v>
      </c>
      <c r="N65">
        <f>IF(AX64&lt;=0,0,IF(ROUND(AX64*(1+'Calc base'!L65),2)-MAX('Calc base'!G$12,ROUND('Calc base'!G$13*AX64,2))&lt;1,ROUND(AX64*(1+'Calc base'!L65),2),MAX('Calc base'!G$12,ROUND('Calc base'!G$13*AX64,2))))</f>
        <v>0</v>
      </c>
      <c r="O65">
        <f>IF(AY64&lt;=0,0,IF(ROUND(AY64*(1+'Calc base'!M65),2)-MAX('Calc base'!H$12,ROUND('Calc base'!H$13*AY64,2))&lt;1,ROUND(AY64*(1+'Calc base'!M65),2),MAX('Calc base'!H$12,ROUND('Calc base'!H$13*AY64,2))))</f>
        <v>0</v>
      </c>
      <c r="P65">
        <f>IF(AZ64&lt;=0,0,IF(ROUND(AZ64*(1+'Calc base'!N65),2)-MAX('Calc base'!I$12,ROUND('Calc base'!I$13*AZ64,2))&lt;1,ROUND(AZ64*(1+'Calc base'!N65),2),MAX('Calc base'!I$12,ROUND('Calc base'!I$13*AZ64,2))))</f>
        <v>0</v>
      </c>
      <c r="Q65">
        <f>IF(BA64&lt;=0,0,IF(ROUND(BA64*(1+'Calc base'!O65),2)-MAX('Calc base'!J$12,ROUND('Calc base'!J$13*BA64,2))&lt;1,ROUND(BA64*(1+'Calc base'!O65),2),MAX('Calc base'!J$12,ROUND('Calc base'!J$13*BA64,2))))</f>
        <v>0</v>
      </c>
      <c r="R65">
        <f>IF(BB64&lt;=0,0,IF(ROUND(BB64*(1+'Calc base'!P65),2)-MAX('Calc base'!K$12,ROUND('Calc base'!K$13*BB64,2))&lt;1,ROUND(BB64*(1+'Calc base'!P65),2),MAX('Calc base'!K$12,ROUND('Calc base'!K$13*BB64,2))))</f>
        <v>0</v>
      </c>
      <c r="S65">
        <f>IF(BC64&lt;=0,0,IF(ROUND(BC64*(1+'Calc base'!Q65),2)-MAX('Calc base'!L$12,ROUND('Calc base'!L$13*BC64,2))&lt;1,ROUND(BC64*(1+'Calc base'!Q65),2),MAX('Calc base'!L$12,ROUND('Calc base'!L$13*BC64,2))))</f>
        <v>0</v>
      </c>
      <c r="T65">
        <f>IF(BD64&lt;=0,0,IF(ROUND(BD64*(1+'Calc base'!R65),2)-MAX('Calc base'!M$12,ROUND('Calc base'!M$13*BD64,2))&lt;1,ROUND(BD64*(1+'Calc base'!R65),2),MAX('Calc base'!M$12,ROUND('Calc base'!M$13*BD64,2))))</f>
        <v>0</v>
      </c>
      <c r="U65">
        <f>IF(BE64&lt;=0,0,IF(ROUND(BE64*(1+'Calc base'!S65),2)-MAX('Calc base'!N$12,ROUND('Calc base'!N$13*BE64,2))&lt;1,ROUND(BE64*(1+'Calc base'!S65),2),MAX('Calc base'!N$12,ROUND('Calc base'!N$13*BE64,2))))</f>
        <v>0</v>
      </c>
      <c r="V65">
        <f>MAX(0,ROUND(AT64*(1+'Calc base'!H65),2)-J65-'Calc base'!T65)</f>
        <v>0</v>
      </c>
      <c r="W65">
        <f>MAX(0,ROUND(AU64*(1+'Calc base'!I65),2)-K65-'Calc base'!U65)</f>
        <v>0</v>
      </c>
      <c r="X65">
        <f>MAX(0,ROUND(AV64*(1+'Calc base'!J65),2)-L65-'Calc base'!V65)</f>
        <v>0</v>
      </c>
      <c r="Y65">
        <f>MAX(0,ROUND(AW64*(1+'Calc base'!K65),2)-M65-'Calc base'!W65)</f>
        <v>0</v>
      </c>
      <c r="Z65">
        <f>MAX(0,ROUND(AX64*(1+'Calc base'!L65),2)-N65-'Calc base'!X65)</f>
        <v>0</v>
      </c>
      <c r="AA65">
        <f>MAX(0,ROUND(AY64*(1+'Calc base'!M65),2)-O65-'Calc base'!Y65)</f>
        <v>0</v>
      </c>
      <c r="AB65">
        <f>MAX(0,ROUND(AZ64*(1+'Calc base'!N65),2)-P65-'Calc base'!Z65)</f>
        <v>0</v>
      </c>
      <c r="AC65">
        <f>MAX(0,ROUND(BA64*(1+'Calc base'!O65),2)-Q65-'Calc base'!AA65)</f>
        <v>0</v>
      </c>
      <c r="AD65">
        <f>MAX(0,ROUND(BB64*(1+'Calc base'!P65),2)-R65-'Calc base'!AB65)</f>
        <v>0</v>
      </c>
      <c r="AE65">
        <f>MAX(0,ROUND(BC64*(1+'Calc base'!Q65),2)-S65-'Calc base'!AC65)</f>
        <v>0</v>
      </c>
      <c r="AF65">
        <f>MAX(0,ROUND(BD64*(1+'Calc base'!R65),2)-T65-'Calc base'!AD65)</f>
        <v>0</v>
      </c>
      <c r="AG65">
        <f>MAX(0,ROUND(BE64*(1+'Calc base'!S65),2)-U65-'Calc base'!AE65)</f>
        <v>0</v>
      </c>
      <c r="AH65">
        <f>IF('Calc base'!C$14=0,0,MIN(V65,MAX(0,$E65-SUMIFS($V65:$AG65,'Calc base'!$C$17:$N$17,"&lt;"&amp;'Calc base'!C$17,'Calc base'!$C$14:$N$14,1))))</f>
        <v>0</v>
      </c>
      <c r="AI65">
        <f>IF('Calc base'!D$14=0,0,MIN(W65,MAX(0,$E65-SUMIFS($V65:$AG65,'Calc base'!$C$17:$N$17,"&lt;"&amp;'Calc base'!D$17,'Calc base'!$C$14:$N$14,1))))</f>
        <v>0</v>
      </c>
      <c r="AJ65">
        <f>IF('Calc base'!E$14=0,0,MIN(X65,MAX(0,$E65-SUMIFS($V65:$AG65,'Calc base'!$C$17:$N$17,"&lt;"&amp;'Calc base'!E$17,'Calc base'!$C$14:$N$14,1))))</f>
        <v>0</v>
      </c>
      <c r="AK65">
        <f>IF('Calc base'!F$14=0,0,MIN(Y65,MAX(0,$E65-SUMIFS($V65:$AG65,'Calc base'!$C$17:$N$17,"&lt;"&amp;'Calc base'!F$17,'Calc base'!$C$14:$N$14,1))))</f>
        <v>0</v>
      </c>
      <c r="AL65">
        <f>IF('Calc base'!G$14=0,0,MIN(Z65,MAX(0,$E65-SUMIFS($V65:$AG65,'Calc base'!$C$17:$N$17,"&lt;"&amp;'Calc base'!G$17,'Calc base'!$C$14:$N$14,1))))</f>
        <v>0</v>
      </c>
      <c r="AM65">
        <f>IF('Calc base'!H$14=0,0,MIN(AA65,MAX(0,$E65-SUMIFS($V65:$AG65,'Calc base'!$C$17:$N$17,"&lt;"&amp;'Calc base'!H$17,'Calc base'!$C$14:$N$14,1))))</f>
        <v>0</v>
      </c>
      <c r="AN65">
        <f>IF('Calc base'!I$14=0,0,MIN(AB65,MAX(0,$E65-SUMIFS($V65:$AG65,'Calc base'!$C$17:$N$17,"&lt;"&amp;'Calc base'!I$17,'Calc base'!$C$14:$N$14,1))))</f>
        <v>0</v>
      </c>
      <c r="AO65">
        <f>IF('Calc base'!J$14=0,0,MIN(AC65,MAX(0,$E65-SUMIFS($V65:$AG65,'Calc base'!$C$17:$N$17,"&lt;"&amp;'Calc base'!J$17,'Calc base'!$C$14:$N$14,1))))</f>
        <v>0</v>
      </c>
      <c r="AP65">
        <f>IF('Calc base'!K$14=0,0,MIN(AD65,MAX(0,$E65-SUMIFS($V65:$AG65,'Calc base'!$C$17:$N$17,"&lt;"&amp;'Calc base'!K$17,'Calc base'!$C$14:$N$14,1))))</f>
        <v>0</v>
      </c>
      <c r="AQ65">
        <f>IF('Calc base'!L$14=0,0,MIN(AE65,MAX(0,$E65-SUMIFS($V65:$AG65,'Calc base'!$C$17:$N$17,"&lt;"&amp;'Calc base'!L$17,'Calc base'!$C$14:$N$14,1))))</f>
        <v>0</v>
      </c>
      <c r="AR65">
        <f>IF('Calc base'!M$14=0,0,MIN(AF65,MAX(0,$E65-SUMIFS($V65:$AG65,'Calc base'!$C$17:$N$17,"&lt;"&amp;'Calc base'!M$17,'Calc base'!$C$14:$N$14,1))))</f>
        <v>0</v>
      </c>
      <c r="AS65">
        <f>IF('Calc base'!N$14=0,0,MIN(AG65,MAX(0,$E65-SUMIFS($V65:$AG65,'Calc base'!$C$17:$N$17,"&lt;"&amp;'Calc base'!N$17,'Calc base'!$C$14:$N$14,1))))</f>
        <v>0</v>
      </c>
      <c r="AT65">
        <f>V65-AH65</f>
        <v>0</v>
      </c>
      <c r="AU65">
        <f>W65-AI65</f>
        <v>0</v>
      </c>
      <c r="AV65">
        <f>X65-AJ65</f>
        <v>0</v>
      </c>
      <c r="AW65">
        <f>Y65-AK65</f>
        <v>0</v>
      </c>
      <c r="AX65">
        <f>Z65-AL65</f>
        <v>0</v>
      </c>
      <c r="AY65">
        <f>AA65-AM65</f>
        <v>0</v>
      </c>
      <c r="AZ65">
        <f>AB65-AN65</f>
        <v>0</v>
      </c>
      <c r="BA65">
        <f>AC65-AO65</f>
        <v>0</v>
      </c>
      <c r="BB65">
        <f>AD65-AP65</f>
        <v>0</v>
      </c>
      <c r="BC65">
        <f>AE65-AQ65</f>
        <v>0</v>
      </c>
      <c r="BD65">
        <f>AF65-AR65</f>
        <v>0</v>
      </c>
      <c r="BE65">
        <f>AG65-AS65</f>
        <v>0</v>
      </c>
    </row>
    <row r="66">
      <c r="A66" t="n">
        <v>36</v>
      </c>
      <c r="B66">
        <f>SUMPRODUCT(ROUND($AT65:$BE65*(1+'Calc base'!$H66:$S66),2))</f>
        <v>0</v>
      </c>
      <c r="C66">
        <f>SUM(J66:U66)</f>
        <v>0</v>
      </c>
      <c r="D66">
        <f>SUM(V66:AG66)</f>
        <v>0</v>
      </c>
      <c r="E66">
        <f>MAX(0,IF(Impostazioni!$B$7="No",'Calc base'!$C66-$C$31,'Calc base'!$C66-C66)+'Calc base'!$G66+'Calc base'!$F66-(B66-C66-D66))</f>
        <v>900</v>
      </c>
      <c r="F66">
        <f>SUM(AH66:AS66)</f>
        <v>0</v>
      </c>
      <c r="G66">
        <f>SUM(AT66:BE66)</f>
        <v>0</v>
      </c>
      <c r="H66">
        <f>B66-G65</f>
        <v>0</v>
      </c>
      <c r="I66">
        <f>B66-G66</f>
        <v>0</v>
      </c>
      <c r="J66">
        <f>IF(AT65&lt;=0,0,IF(ROUND(AT65*(1+'Calc base'!H66),2)-MAX('Calc base'!C$12,ROUND('Calc base'!C$13*AT65,2))&lt;1,ROUND(AT65*(1+'Calc base'!H66),2),MAX('Calc base'!C$12,ROUND('Calc base'!C$13*AT65,2))))</f>
        <v>0</v>
      </c>
      <c r="K66">
        <f>IF(AU65&lt;=0,0,IF(ROUND(AU65*(1+'Calc base'!I66),2)-MAX('Calc base'!D$12,ROUND('Calc base'!D$13*AU65,2))&lt;1,ROUND(AU65*(1+'Calc base'!I66),2),MAX('Calc base'!D$12,ROUND('Calc base'!D$13*AU65,2))))</f>
        <v>0</v>
      </c>
      <c r="L66">
        <f>IF(AV65&lt;=0,0,IF(ROUND(AV65*(1+'Calc base'!J66),2)-MAX('Calc base'!E$12,ROUND('Calc base'!E$13*AV65,2))&lt;1,ROUND(AV65*(1+'Calc base'!J66),2),MAX('Calc base'!E$12,ROUND('Calc base'!E$13*AV65,2))))</f>
        <v>0</v>
      </c>
      <c r="M66">
        <f>IF(AW65&lt;=0,0,IF(ROUND(AW65*(1+'Calc base'!K66),2)-MAX('Calc base'!F$12,ROUND('Calc base'!F$13*AW65,2))&lt;1,ROUND(AW65*(1+'Calc base'!K66),2),MAX('Calc base'!F$12,ROUND('Calc base'!F$13*AW65,2))))</f>
        <v>0</v>
      </c>
      <c r="N66">
        <f>IF(AX65&lt;=0,0,IF(ROUND(AX65*(1+'Calc base'!L66),2)-MAX('Calc base'!G$12,ROUND('Calc base'!G$13*AX65,2))&lt;1,ROUND(AX65*(1+'Calc base'!L66),2),MAX('Calc base'!G$12,ROUND('Calc base'!G$13*AX65,2))))</f>
        <v>0</v>
      </c>
      <c r="O66">
        <f>IF(AY65&lt;=0,0,IF(ROUND(AY65*(1+'Calc base'!M66),2)-MAX('Calc base'!H$12,ROUND('Calc base'!H$13*AY65,2))&lt;1,ROUND(AY65*(1+'Calc base'!M66),2),MAX('Calc base'!H$12,ROUND('Calc base'!H$13*AY65,2))))</f>
        <v>0</v>
      </c>
      <c r="P66">
        <f>IF(AZ65&lt;=0,0,IF(ROUND(AZ65*(1+'Calc base'!N66),2)-MAX('Calc base'!I$12,ROUND('Calc base'!I$13*AZ65,2))&lt;1,ROUND(AZ65*(1+'Calc base'!N66),2),MAX('Calc base'!I$12,ROUND('Calc base'!I$13*AZ65,2))))</f>
        <v>0</v>
      </c>
      <c r="Q66">
        <f>IF(BA65&lt;=0,0,IF(ROUND(BA65*(1+'Calc base'!O66),2)-MAX('Calc base'!J$12,ROUND('Calc base'!J$13*BA65,2))&lt;1,ROUND(BA65*(1+'Calc base'!O66),2),MAX('Calc base'!J$12,ROUND('Calc base'!J$13*BA65,2))))</f>
        <v>0</v>
      </c>
      <c r="R66">
        <f>IF(BB65&lt;=0,0,IF(ROUND(BB65*(1+'Calc base'!P66),2)-MAX('Calc base'!K$12,ROUND('Calc base'!K$13*BB65,2))&lt;1,ROUND(BB65*(1+'Calc base'!P66),2),MAX('Calc base'!K$12,ROUND('Calc base'!K$13*BB65,2))))</f>
        <v>0</v>
      </c>
      <c r="S66">
        <f>IF(BC65&lt;=0,0,IF(ROUND(BC65*(1+'Calc base'!Q66),2)-MAX('Calc base'!L$12,ROUND('Calc base'!L$13*BC65,2))&lt;1,ROUND(BC65*(1+'Calc base'!Q66),2),MAX('Calc base'!L$12,ROUND('Calc base'!L$13*BC65,2))))</f>
        <v>0</v>
      </c>
      <c r="T66">
        <f>IF(BD65&lt;=0,0,IF(ROUND(BD65*(1+'Calc base'!R66),2)-MAX('Calc base'!M$12,ROUND('Calc base'!M$13*BD65,2))&lt;1,ROUND(BD65*(1+'Calc base'!R66),2),MAX('Calc base'!M$12,ROUND('Calc base'!M$13*BD65,2))))</f>
        <v>0</v>
      </c>
      <c r="U66">
        <f>IF(BE65&lt;=0,0,IF(ROUND(BE65*(1+'Calc base'!S66),2)-MAX('Calc base'!N$12,ROUND('Calc base'!N$13*BE65,2))&lt;1,ROUND(BE65*(1+'Calc base'!S66),2),MAX('Calc base'!N$12,ROUND('Calc base'!N$13*BE65,2))))</f>
        <v>0</v>
      </c>
      <c r="V66">
        <f>MAX(0,ROUND(AT65*(1+'Calc base'!H66),2)-J66-'Calc base'!T66)</f>
        <v>0</v>
      </c>
      <c r="W66">
        <f>MAX(0,ROUND(AU65*(1+'Calc base'!I66),2)-K66-'Calc base'!U66)</f>
        <v>0</v>
      </c>
      <c r="X66">
        <f>MAX(0,ROUND(AV65*(1+'Calc base'!J66),2)-L66-'Calc base'!V66)</f>
        <v>0</v>
      </c>
      <c r="Y66">
        <f>MAX(0,ROUND(AW65*(1+'Calc base'!K66),2)-M66-'Calc base'!W66)</f>
        <v>0</v>
      </c>
      <c r="Z66">
        <f>MAX(0,ROUND(AX65*(1+'Calc base'!L66),2)-N66-'Calc base'!X66)</f>
        <v>0</v>
      </c>
      <c r="AA66">
        <f>MAX(0,ROUND(AY65*(1+'Calc base'!M66),2)-O66-'Calc base'!Y66)</f>
        <v>0</v>
      </c>
      <c r="AB66">
        <f>MAX(0,ROUND(AZ65*(1+'Calc base'!N66),2)-P66-'Calc base'!Z66)</f>
        <v>0</v>
      </c>
      <c r="AC66">
        <f>MAX(0,ROUND(BA65*(1+'Calc base'!O66),2)-Q66-'Calc base'!AA66)</f>
        <v>0</v>
      </c>
      <c r="AD66">
        <f>MAX(0,ROUND(BB65*(1+'Calc base'!P66),2)-R66-'Calc base'!AB66)</f>
        <v>0</v>
      </c>
      <c r="AE66">
        <f>MAX(0,ROUND(BC65*(1+'Calc base'!Q66),2)-S66-'Calc base'!AC66)</f>
        <v>0</v>
      </c>
      <c r="AF66">
        <f>MAX(0,ROUND(BD65*(1+'Calc base'!R66),2)-T66-'Calc base'!AD66)</f>
        <v>0</v>
      </c>
      <c r="AG66">
        <f>MAX(0,ROUND(BE65*(1+'Calc base'!S66),2)-U66-'Calc base'!AE66)</f>
        <v>0</v>
      </c>
      <c r="AH66">
        <f>IF('Calc base'!C$14=0,0,MIN(V66,MAX(0,$E66-SUMIFS($V66:$AG66,'Calc base'!$C$17:$N$17,"&lt;"&amp;'Calc base'!C$17,'Calc base'!$C$14:$N$14,1))))</f>
        <v>0</v>
      </c>
      <c r="AI66">
        <f>IF('Calc base'!D$14=0,0,MIN(W66,MAX(0,$E66-SUMIFS($V66:$AG66,'Calc base'!$C$17:$N$17,"&lt;"&amp;'Calc base'!D$17,'Calc base'!$C$14:$N$14,1))))</f>
        <v>0</v>
      </c>
      <c r="AJ66">
        <f>IF('Calc base'!E$14=0,0,MIN(X66,MAX(0,$E66-SUMIFS($V66:$AG66,'Calc base'!$C$17:$N$17,"&lt;"&amp;'Calc base'!E$17,'Calc base'!$C$14:$N$14,1))))</f>
        <v>0</v>
      </c>
      <c r="AK66">
        <f>IF('Calc base'!F$14=0,0,MIN(Y66,MAX(0,$E66-SUMIFS($V66:$AG66,'Calc base'!$C$17:$N$17,"&lt;"&amp;'Calc base'!F$17,'Calc base'!$C$14:$N$14,1))))</f>
        <v>0</v>
      </c>
      <c r="AL66">
        <f>IF('Calc base'!G$14=0,0,MIN(Z66,MAX(0,$E66-SUMIFS($V66:$AG66,'Calc base'!$C$17:$N$17,"&lt;"&amp;'Calc base'!G$17,'Calc base'!$C$14:$N$14,1))))</f>
        <v>0</v>
      </c>
      <c r="AM66">
        <f>IF('Calc base'!H$14=0,0,MIN(AA66,MAX(0,$E66-SUMIFS($V66:$AG66,'Calc base'!$C$17:$N$17,"&lt;"&amp;'Calc base'!H$17,'Calc base'!$C$14:$N$14,1))))</f>
        <v>0</v>
      </c>
      <c r="AN66">
        <f>IF('Calc base'!I$14=0,0,MIN(AB66,MAX(0,$E66-SUMIFS($V66:$AG66,'Calc base'!$C$17:$N$17,"&lt;"&amp;'Calc base'!I$17,'Calc base'!$C$14:$N$14,1))))</f>
        <v>0</v>
      </c>
      <c r="AO66">
        <f>IF('Calc base'!J$14=0,0,MIN(AC66,MAX(0,$E66-SUMIFS($V66:$AG66,'Calc base'!$C$17:$N$17,"&lt;"&amp;'Calc base'!J$17,'Calc base'!$C$14:$N$14,1))))</f>
        <v>0</v>
      </c>
      <c r="AP66">
        <f>IF('Calc base'!K$14=0,0,MIN(AD66,MAX(0,$E66-SUMIFS($V66:$AG66,'Calc base'!$C$17:$N$17,"&lt;"&amp;'Calc base'!K$17,'Calc base'!$C$14:$N$14,1))))</f>
        <v>0</v>
      </c>
      <c r="AQ66">
        <f>IF('Calc base'!L$14=0,0,MIN(AE66,MAX(0,$E66-SUMIFS($V66:$AG66,'Calc base'!$C$17:$N$17,"&lt;"&amp;'Calc base'!L$17,'Calc base'!$C$14:$N$14,1))))</f>
        <v>0</v>
      </c>
      <c r="AR66">
        <f>IF('Calc base'!M$14=0,0,MIN(AF66,MAX(0,$E66-SUMIFS($V66:$AG66,'Calc base'!$C$17:$N$17,"&lt;"&amp;'Calc base'!M$17,'Calc base'!$C$14:$N$14,1))))</f>
        <v>0</v>
      </c>
      <c r="AS66">
        <f>IF('Calc base'!N$14=0,0,MIN(AG66,MAX(0,$E66-SUMIFS($V66:$AG66,'Calc base'!$C$17:$N$17,"&lt;"&amp;'Calc base'!N$17,'Calc base'!$C$14:$N$14,1))))</f>
        <v>0</v>
      </c>
      <c r="AT66">
        <f>V66-AH66</f>
        <v>0</v>
      </c>
      <c r="AU66">
        <f>W66-AI66</f>
        <v>0</v>
      </c>
      <c r="AV66">
        <f>X66-AJ66</f>
        <v>0</v>
      </c>
      <c r="AW66">
        <f>Y66-AK66</f>
        <v>0</v>
      </c>
      <c r="AX66">
        <f>Z66-AL66</f>
        <v>0</v>
      </c>
      <c r="AY66">
        <f>AA66-AM66</f>
        <v>0</v>
      </c>
      <c r="AZ66">
        <f>AB66-AN66</f>
        <v>0</v>
      </c>
      <c r="BA66">
        <f>AC66-AO66</f>
        <v>0</v>
      </c>
      <c r="BB66">
        <f>AD66-AP66</f>
        <v>0</v>
      </c>
      <c r="BC66">
        <f>AE66-AQ66</f>
        <v>0</v>
      </c>
      <c r="BD66">
        <f>AF66-AR66</f>
        <v>0</v>
      </c>
      <c r="BE66">
        <f>AG66-AS66</f>
        <v>0</v>
      </c>
    </row>
    <row r="67">
      <c r="A67" t="n">
        <v>37</v>
      </c>
      <c r="B67">
        <f>SUMPRODUCT(ROUND($AT66:$BE66*(1+'Calc base'!$H67:$S67),2))</f>
        <v>0</v>
      </c>
      <c r="C67">
        <f>SUM(J67:U67)</f>
        <v>0</v>
      </c>
      <c r="D67">
        <f>SUM(V67:AG67)</f>
        <v>0</v>
      </c>
      <c r="E67">
        <f>MAX(0,IF(Impostazioni!$B$7="No",'Calc base'!$C67-$C$31,'Calc base'!$C67-C67)+'Calc base'!$G67+'Calc base'!$F67-(B67-C67-D67))</f>
        <v>900</v>
      </c>
      <c r="F67">
        <f>SUM(AH67:AS67)</f>
        <v>0</v>
      </c>
      <c r="G67">
        <f>SUM(AT67:BE67)</f>
        <v>0</v>
      </c>
      <c r="H67">
        <f>B67-G66</f>
        <v>0</v>
      </c>
      <c r="I67">
        <f>B67-G67</f>
        <v>0</v>
      </c>
      <c r="J67">
        <f>IF(AT66&lt;=0,0,IF(ROUND(AT66*(1+'Calc base'!H67),2)-MAX('Calc base'!C$12,ROUND('Calc base'!C$13*AT66,2))&lt;1,ROUND(AT66*(1+'Calc base'!H67),2),MAX('Calc base'!C$12,ROUND('Calc base'!C$13*AT66,2))))</f>
        <v>0</v>
      </c>
      <c r="K67">
        <f>IF(AU66&lt;=0,0,IF(ROUND(AU66*(1+'Calc base'!I67),2)-MAX('Calc base'!D$12,ROUND('Calc base'!D$13*AU66,2))&lt;1,ROUND(AU66*(1+'Calc base'!I67),2),MAX('Calc base'!D$12,ROUND('Calc base'!D$13*AU66,2))))</f>
        <v>0</v>
      </c>
      <c r="L67">
        <f>IF(AV66&lt;=0,0,IF(ROUND(AV66*(1+'Calc base'!J67),2)-MAX('Calc base'!E$12,ROUND('Calc base'!E$13*AV66,2))&lt;1,ROUND(AV66*(1+'Calc base'!J67),2),MAX('Calc base'!E$12,ROUND('Calc base'!E$13*AV66,2))))</f>
        <v>0</v>
      </c>
      <c r="M67">
        <f>IF(AW66&lt;=0,0,IF(ROUND(AW66*(1+'Calc base'!K67),2)-MAX('Calc base'!F$12,ROUND('Calc base'!F$13*AW66,2))&lt;1,ROUND(AW66*(1+'Calc base'!K67),2),MAX('Calc base'!F$12,ROUND('Calc base'!F$13*AW66,2))))</f>
        <v>0</v>
      </c>
      <c r="N67">
        <f>IF(AX66&lt;=0,0,IF(ROUND(AX66*(1+'Calc base'!L67),2)-MAX('Calc base'!G$12,ROUND('Calc base'!G$13*AX66,2))&lt;1,ROUND(AX66*(1+'Calc base'!L67),2),MAX('Calc base'!G$12,ROUND('Calc base'!G$13*AX66,2))))</f>
        <v>0</v>
      </c>
      <c r="O67">
        <f>IF(AY66&lt;=0,0,IF(ROUND(AY66*(1+'Calc base'!M67),2)-MAX('Calc base'!H$12,ROUND('Calc base'!H$13*AY66,2))&lt;1,ROUND(AY66*(1+'Calc base'!M67),2),MAX('Calc base'!H$12,ROUND('Calc base'!H$13*AY66,2))))</f>
        <v>0</v>
      </c>
      <c r="P67">
        <f>IF(AZ66&lt;=0,0,IF(ROUND(AZ66*(1+'Calc base'!N67),2)-MAX('Calc base'!I$12,ROUND('Calc base'!I$13*AZ66,2))&lt;1,ROUND(AZ66*(1+'Calc base'!N67),2),MAX('Calc base'!I$12,ROUND('Calc base'!I$13*AZ66,2))))</f>
        <v>0</v>
      </c>
      <c r="Q67">
        <f>IF(BA66&lt;=0,0,IF(ROUND(BA66*(1+'Calc base'!O67),2)-MAX('Calc base'!J$12,ROUND('Calc base'!J$13*BA66,2))&lt;1,ROUND(BA66*(1+'Calc base'!O67),2),MAX('Calc base'!J$12,ROUND('Calc base'!J$13*BA66,2))))</f>
        <v>0</v>
      </c>
      <c r="R67">
        <f>IF(BB66&lt;=0,0,IF(ROUND(BB66*(1+'Calc base'!P67),2)-MAX('Calc base'!K$12,ROUND('Calc base'!K$13*BB66,2))&lt;1,ROUND(BB66*(1+'Calc base'!P67),2),MAX('Calc base'!K$12,ROUND('Calc base'!K$13*BB66,2))))</f>
        <v>0</v>
      </c>
      <c r="S67">
        <f>IF(BC66&lt;=0,0,IF(ROUND(BC66*(1+'Calc base'!Q67),2)-MAX('Calc base'!L$12,ROUND('Calc base'!L$13*BC66,2))&lt;1,ROUND(BC66*(1+'Calc base'!Q67),2),MAX('Calc base'!L$12,ROUND('Calc base'!L$13*BC66,2))))</f>
        <v>0</v>
      </c>
      <c r="T67">
        <f>IF(BD66&lt;=0,0,IF(ROUND(BD66*(1+'Calc base'!R67),2)-MAX('Calc base'!M$12,ROUND('Calc base'!M$13*BD66,2))&lt;1,ROUND(BD66*(1+'Calc base'!R67),2),MAX('Calc base'!M$12,ROUND('Calc base'!M$13*BD66,2))))</f>
        <v>0</v>
      </c>
      <c r="U67">
        <f>IF(BE66&lt;=0,0,IF(ROUND(BE66*(1+'Calc base'!S67),2)-MAX('Calc base'!N$12,ROUND('Calc base'!N$13*BE66,2))&lt;1,ROUND(BE66*(1+'Calc base'!S67),2),MAX('Calc base'!N$12,ROUND('Calc base'!N$13*BE66,2))))</f>
        <v>0</v>
      </c>
      <c r="V67">
        <f>MAX(0,ROUND(AT66*(1+'Calc base'!H67),2)-J67-'Calc base'!T67)</f>
        <v>0</v>
      </c>
      <c r="W67">
        <f>MAX(0,ROUND(AU66*(1+'Calc base'!I67),2)-K67-'Calc base'!U67)</f>
        <v>0</v>
      </c>
      <c r="X67">
        <f>MAX(0,ROUND(AV66*(1+'Calc base'!J67),2)-L67-'Calc base'!V67)</f>
        <v>0</v>
      </c>
      <c r="Y67">
        <f>MAX(0,ROUND(AW66*(1+'Calc base'!K67),2)-M67-'Calc base'!W67)</f>
        <v>0</v>
      </c>
      <c r="Z67">
        <f>MAX(0,ROUND(AX66*(1+'Calc base'!L67),2)-N67-'Calc base'!X67)</f>
        <v>0</v>
      </c>
      <c r="AA67">
        <f>MAX(0,ROUND(AY66*(1+'Calc base'!M67),2)-O67-'Calc base'!Y67)</f>
        <v>0</v>
      </c>
      <c r="AB67">
        <f>MAX(0,ROUND(AZ66*(1+'Calc base'!N67),2)-P67-'Calc base'!Z67)</f>
        <v>0</v>
      </c>
      <c r="AC67">
        <f>MAX(0,ROUND(BA66*(1+'Calc base'!O67),2)-Q67-'Calc base'!AA67)</f>
        <v>0</v>
      </c>
      <c r="AD67">
        <f>MAX(0,ROUND(BB66*(1+'Calc base'!P67),2)-R67-'Calc base'!AB67)</f>
        <v>0</v>
      </c>
      <c r="AE67">
        <f>MAX(0,ROUND(BC66*(1+'Calc base'!Q67),2)-S67-'Calc base'!AC67)</f>
        <v>0</v>
      </c>
      <c r="AF67">
        <f>MAX(0,ROUND(BD66*(1+'Calc base'!R67),2)-T67-'Calc base'!AD67)</f>
        <v>0</v>
      </c>
      <c r="AG67">
        <f>MAX(0,ROUND(BE66*(1+'Calc base'!S67),2)-U67-'Calc base'!AE67)</f>
        <v>0</v>
      </c>
      <c r="AH67">
        <f>IF('Calc base'!C$14=0,0,MIN(V67,MAX(0,$E67-SUMIFS($V67:$AG67,'Calc base'!$C$17:$N$17,"&lt;"&amp;'Calc base'!C$17,'Calc base'!$C$14:$N$14,1))))</f>
        <v>0</v>
      </c>
      <c r="AI67">
        <f>IF('Calc base'!D$14=0,0,MIN(W67,MAX(0,$E67-SUMIFS($V67:$AG67,'Calc base'!$C$17:$N$17,"&lt;"&amp;'Calc base'!D$17,'Calc base'!$C$14:$N$14,1))))</f>
        <v>0</v>
      </c>
      <c r="AJ67">
        <f>IF('Calc base'!E$14=0,0,MIN(X67,MAX(0,$E67-SUMIFS($V67:$AG67,'Calc base'!$C$17:$N$17,"&lt;"&amp;'Calc base'!E$17,'Calc base'!$C$14:$N$14,1))))</f>
        <v>0</v>
      </c>
      <c r="AK67">
        <f>IF('Calc base'!F$14=0,0,MIN(Y67,MAX(0,$E67-SUMIFS($V67:$AG67,'Calc base'!$C$17:$N$17,"&lt;"&amp;'Calc base'!F$17,'Calc base'!$C$14:$N$14,1))))</f>
        <v>0</v>
      </c>
      <c r="AL67">
        <f>IF('Calc base'!G$14=0,0,MIN(Z67,MAX(0,$E67-SUMIFS($V67:$AG67,'Calc base'!$C$17:$N$17,"&lt;"&amp;'Calc base'!G$17,'Calc base'!$C$14:$N$14,1))))</f>
        <v>0</v>
      </c>
      <c r="AM67">
        <f>IF('Calc base'!H$14=0,0,MIN(AA67,MAX(0,$E67-SUMIFS($V67:$AG67,'Calc base'!$C$17:$N$17,"&lt;"&amp;'Calc base'!H$17,'Calc base'!$C$14:$N$14,1))))</f>
        <v>0</v>
      </c>
      <c r="AN67">
        <f>IF('Calc base'!I$14=0,0,MIN(AB67,MAX(0,$E67-SUMIFS($V67:$AG67,'Calc base'!$C$17:$N$17,"&lt;"&amp;'Calc base'!I$17,'Calc base'!$C$14:$N$14,1))))</f>
        <v>0</v>
      </c>
      <c r="AO67">
        <f>IF('Calc base'!J$14=0,0,MIN(AC67,MAX(0,$E67-SUMIFS($V67:$AG67,'Calc base'!$C$17:$N$17,"&lt;"&amp;'Calc base'!J$17,'Calc base'!$C$14:$N$14,1))))</f>
        <v>0</v>
      </c>
      <c r="AP67">
        <f>IF('Calc base'!K$14=0,0,MIN(AD67,MAX(0,$E67-SUMIFS($V67:$AG67,'Calc base'!$C$17:$N$17,"&lt;"&amp;'Calc base'!K$17,'Calc base'!$C$14:$N$14,1))))</f>
        <v>0</v>
      </c>
      <c r="AQ67">
        <f>IF('Calc base'!L$14=0,0,MIN(AE67,MAX(0,$E67-SUMIFS($V67:$AG67,'Calc base'!$C$17:$N$17,"&lt;"&amp;'Calc base'!L$17,'Calc base'!$C$14:$N$14,1))))</f>
        <v>0</v>
      </c>
      <c r="AR67">
        <f>IF('Calc base'!M$14=0,0,MIN(AF67,MAX(0,$E67-SUMIFS($V67:$AG67,'Calc base'!$C$17:$N$17,"&lt;"&amp;'Calc base'!M$17,'Calc base'!$C$14:$N$14,1))))</f>
        <v>0</v>
      </c>
      <c r="AS67">
        <f>IF('Calc base'!N$14=0,0,MIN(AG67,MAX(0,$E67-SUMIFS($V67:$AG67,'Calc base'!$C$17:$N$17,"&lt;"&amp;'Calc base'!N$17,'Calc base'!$C$14:$N$14,1))))</f>
        <v>0</v>
      </c>
      <c r="AT67">
        <f>V67-AH67</f>
        <v>0</v>
      </c>
      <c r="AU67">
        <f>W67-AI67</f>
        <v>0</v>
      </c>
      <c r="AV67">
        <f>X67-AJ67</f>
        <v>0</v>
      </c>
      <c r="AW67">
        <f>Y67-AK67</f>
        <v>0</v>
      </c>
      <c r="AX67">
        <f>Z67-AL67</f>
        <v>0</v>
      </c>
      <c r="AY67">
        <f>AA67-AM67</f>
        <v>0</v>
      </c>
      <c r="AZ67">
        <f>AB67-AN67</f>
        <v>0</v>
      </c>
      <c r="BA67">
        <f>AC67-AO67</f>
        <v>0</v>
      </c>
      <c r="BB67">
        <f>AD67-AP67</f>
        <v>0</v>
      </c>
      <c r="BC67">
        <f>AE67-AQ67</f>
        <v>0</v>
      </c>
      <c r="BD67">
        <f>AF67-AR67</f>
        <v>0</v>
      </c>
      <c r="BE67">
        <f>AG67-AS67</f>
        <v>0</v>
      </c>
    </row>
    <row r="68">
      <c r="A68" t="n">
        <v>38</v>
      </c>
      <c r="B68">
        <f>SUMPRODUCT(ROUND($AT67:$BE67*(1+'Calc base'!$H68:$S68),2))</f>
        <v>0</v>
      </c>
      <c r="C68">
        <f>SUM(J68:U68)</f>
        <v>0</v>
      </c>
      <c r="D68">
        <f>SUM(V68:AG68)</f>
        <v>0</v>
      </c>
      <c r="E68">
        <f>MAX(0,IF(Impostazioni!$B$7="No",'Calc base'!$C68-$C$31,'Calc base'!$C68-C68)+'Calc base'!$G68+'Calc base'!$F68-(B68-C68-D68))</f>
        <v>900</v>
      </c>
      <c r="F68">
        <f>SUM(AH68:AS68)</f>
        <v>0</v>
      </c>
      <c r="G68">
        <f>SUM(AT68:BE68)</f>
        <v>0</v>
      </c>
      <c r="H68">
        <f>B68-G67</f>
        <v>0</v>
      </c>
      <c r="I68">
        <f>B68-G68</f>
        <v>0</v>
      </c>
      <c r="J68">
        <f>IF(AT67&lt;=0,0,IF(ROUND(AT67*(1+'Calc base'!H68),2)-MAX('Calc base'!C$12,ROUND('Calc base'!C$13*AT67,2))&lt;1,ROUND(AT67*(1+'Calc base'!H68),2),MAX('Calc base'!C$12,ROUND('Calc base'!C$13*AT67,2))))</f>
        <v>0</v>
      </c>
      <c r="K68">
        <f>IF(AU67&lt;=0,0,IF(ROUND(AU67*(1+'Calc base'!I68),2)-MAX('Calc base'!D$12,ROUND('Calc base'!D$13*AU67,2))&lt;1,ROUND(AU67*(1+'Calc base'!I68),2),MAX('Calc base'!D$12,ROUND('Calc base'!D$13*AU67,2))))</f>
        <v>0</v>
      </c>
      <c r="L68">
        <f>IF(AV67&lt;=0,0,IF(ROUND(AV67*(1+'Calc base'!J68),2)-MAX('Calc base'!E$12,ROUND('Calc base'!E$13*AV67,2))&lt;1,ROUND(AV67*(1+'Calc base'!J68),2),MAX('Calc base'!E$12,ROUND('Calc base'!E$13*AV67,2))))</f>
        <v>0</v>
      </c>
      <c r="M68">
        <f>IF(AW67&lt;=0,0,IF(ROUND(AW67*(1+'Calc base'!K68),2)-MAX('Calc base'!F$12,ROUND('Calc base'!F$13*AW67,2))&lt;1,ROUND(AW67*(1+'Calc base'!K68),2),MAX('Calc base'!F$12,ROUND('Calc base'!F$13*AW67,2))))</f>
        <v>0</v>
      </c>
      <c r="N68">
        <f>IF(AX67&lt;=0,0,IF(ROUND(AX67*(1+'Calc base'!L68),2)-MAX('Calc base'!G$12,ROUND('Calc base'!G$13*AX67,2))&lt;1,ROUND(AX67*(1+'Calc base'!L68),2),MAX('Calc base'!G$12,ROUND('Calc base'!G$13*AX67,2))))</f>
        <v>0</v>
      </c>
      <c r="O68">
        <f>IF(AY67&lt;=0,0,IF(ROUND(AY67*(1+'Calc base'!M68),2)-MAX('Calc base'!H$12,ROUND('Calc base'!H$13*AY67,2))&lt;1,ROUND(AY67*(1+'Calc base'!M68),2),MAX('Calc base'!H$12,ROUND('Calc base'!H$13*AY67,2))))</f>
        <v>0</v>
      </c>
      <c r="P68">
        <f>IF(AZ67&lt;=0,0,IF(ROUND(AZ67*(1+'Calc base'!N68),2)-MAX('Calc base'!I$12,ROUND('Calc base'!I$13*AZ67,2))&lt;1,ROUND(AZ67*(1+'Calc base'!N68),2),MAX('Calc base'!I$12,ROUND('Calc base'!I$13*AZ67,2))))</f>
        <v>0</v>
      </c>
      <c r="Q68">
        <f>IF(BA67&lt;=0,0,IF(ROUND(BA67*(1+'Calc base'!O68),2)-MAX('Calc base'!J$12,ROUND('Calc base'!J$13*BA67,2))&lt;1,ROUND(BA67*(1+'Calc base'!O68),2),MAX('Calc base'!J$12,ROUND('Calc base'!J$13*BA67,2))))</f>
        <v>0</v>
      </c>
      <c r="R68">
        <f>IF(BB67&lt;=0,0,IF(ROUND(BB67*(1+'Calc base'!P68),2)-MAX('Calc base'!K$12,ROUND('Calc base'!K$13*BB67,2))&lt;1,ROUND(BB67*(1+'Calc base'!P68),2),MAX('Calc base'!K$12,ROUND('Calc base'!K$13*BB67,2))))</f>
        <v>0</v>
      </c>
      <c r="S68">
        <f>IF(BC67&lt;=0,0,IF(ROUND(BC67*(1+'Calc base'!Q68),2)-MAX('Calc base'!L$12,ROUND('Calc base'!L$13*BC67,2))&lt;1,ROUND(BC67*(1+'Calc base'!Q68),2),MAX('Calc base'!L$12,ROUND('Calc base'!L$13*BC67,2))))</f>
        <v>0</v>
      </c>
      <c r="T68">
        <f>IF(BD67&lt;=0,0,IF(ROUND(BD67*(1+'Calc base'!R68),2)-MAX('Calc base'!M$12,ROUND('Calc base'!M$13*BD67,2))&lt;1,ROUND(BD67*(1+'Calc base'!R68),2),MAX('Calc base'!M$12,ROUND('Calc base'!M$13*BD67,2))))</f>
        <v>0</v>
      </c>
      <c r="U68">
        <f>IF(BE67&lt;=0,0,IF(ROUND(BE67*(1+'Calc base'!S68),2)-MAX('Calc base'!N$12,ROUND('Calc base'!N$13*BE67,2))&lt;1,ROUND(BE67*(1+'Calc base'!S68),2),MAX('Calc base'!N$12,ROUND('Calc base'!N$13*BE67,2))))</f>
        <v>0</v>
      </c>
      <c r="V68">
        <f>MAX(0,ROUND(AT67*(1+'Calc base'!H68),2)-J68-'Calc base'!T68)</f>
        <v>0</v>
      </c>
      <c r="W68">
        <f>MAX(0,ROUND(AU67*(1+'Calc base'!I68),2)-K68-'Calc base'!U68)</f>
        <v>0</v>
      </c>
      <c r="X68">
        <f>MAX(0,ROUND(AV67*(1+'Calc base'!J68),2)-L68-'Calc base'!V68)</f>
        <v>0</v>
      </c>
      <c r="Y68">
        <f>MAX(0,ROUND(AW67*(1+'Calc base'!K68),2)-M68-'Calc base'!W68)</f>
        <v>0</v>
      </c>
      <c r="Z68">
        <f>MAX(0,ROUND(AX67*(1+'Calc base'!L68),2)-N68-'Calc base'!X68)</f>
        <v>0</v>
      </c>
      <c r="AA68">
        <f>MAX(0,ROUND(AY67*(1+'Calc base'!M68),2)-O68-'Calc base'!Y68)</f>
        <v>0</v>
      </c>
      <c r="AB68">
        <f>MAX(0,ROUND(AZ67*(1+'Calc base'!N68),2)-P68-'Calc base'!Z68)</f>
        <v>0</v>
      </c>
      <c r="AC68">
        <f>MAX(0,ROUND(BA67*(1+'Calc base'!O68),2)-Q68-'Calc base'!AA68)</f>
        <v>0</v>
      </c>
      <c r="AD68">
        <f>MAX(0,ROUND(BB67*(1+'Calc base'!P68),2)-R68-'Calc base'!AB68)</f>
        <v>0</v>
      </c>
      <c r="AE68">
        <f>MAX(0,ROUND(BC67*(1+'Calc base'!Q68),2)-S68-'Calc base'!AC68)</f>
        <v>0</v>
      </c>
      <c r="AF68">
        <f>MAX(0,ROUND(BD67*(1+'Calc base'!R68),2)-T68-'Calc base'!AD68)</f>
        <v>0</v>
      </c>
      <c r="AG68">
        <f>MAX(0,ROUND(BE67*(1+'Calc base'!S68),2)-U68-'Calc base'!AE68)</f>
        <v>0</v>
      </c>
      <c r="AH68">
        <f>IF('Calc base'!C$14=0,0,MIN(V68,MAX(0,$E68-SUMIFS($V68:$AG68,'Calc base'!$C$17:$N$17,"&lt;"&amp;'Calc base'!C$17,'Calc base'!$C$14:$N$14,1))))</f>
        <v>0</v>
      </c>
      <c r="AI68">
        <f>IF('Calc base'!D$14=0,0,MIN(W68,MAX(0,$E68-SUMIFS($V68:$AG68,'Calc base'!$C$17:$N$17,"&lt;"&amp;'Calc base'!D$17,'Calc base'!$C$14:$N$14,1))))</f>
        <v>0</v>
      </c>
      <c r="AJ68">
        <f>IF('Calc base'!E$14=0,0,MIN(X68,MAX(0,$E68-SUMIFS($V68:$AG68,'Calc base'!$C$17:$N$17,"&lt;"&amp;'Calc base'!E$17,'Calc base'!$C$14:$N$14,1))))</f>
        <v>0</v>
      </c>
      <c r="AK68">
        <f>IF('Calc base'!F$14=0,0,MIN(Y68,MAX(0,$E68-SUMIFS($V68:$AG68,'Calc base'!$C$17:$N$17,"&lt;"&amp;'Calc base'!F$17,'Calc base'!$C$14:$N$14,1))))</f>
        <v>0</v>
      </c>
      <c r="AL68">
        <f>IF('Calc base'!G$14=0,0,MIN(Z68,MAX(0,$E68-SUMIFS($V68:$AG68,'Calc base'!$C$17:$N$17,"&lt;"&amp;'Calc base'!G$17,'Calc base'!$C$14:$N$14,1))))</f>
        <v>0</v>
      </c>
      <c r="AM68">
        <f>IF('Calc base'!H$14=0,0,MIN(AA68,MAX(0,$E68-SUMIFS($V68:$AG68,'Calc base'!$C$17:$N$17,"&lt;"&amp;'Calc base'!H$17,'Calc base'!$C$14:$N$14,1))))</f>
        <v>0</v>
      </c>
      <c r="AN68">
        <f>IF('Calc base'!I$14=0,0,MIN(AB68,MAX(0,$E68-SUMIFS($V68:$AG68,'Calc base'!$C$17:$N$17,"&lt;"&amp;'Calc base'!I$17,'Calc base'!$C$14:$N$14,1))))</f>
        <v>0</v>
      </c>
      <c r="AO68">
        <f>IF('Calc base'!J$14=0,0,MIN(AC68,MAX(0,$E68-SUMIFS($V68:$AG68,'Calc base'!$C$17:$N$17,"&lt;"&amp;'Calc base'!J$17,'Calc base'!$C$14:$N$14,1))))</f>
        <v>0</v>
      </c>
      <c r="AP68">
        <f>IF('Calc base'!K$14=0,0,MIN(AD68,MAX(0,$E68-SUMIFS($V68:$AG68,'Calc base'!$C$17:$N$17,"&lt;"&amp;'Calc base'!K$17,'Calc base'!$C$14:$N$14,1))))</f>
        <v>0</v>
      </c>
      <c r="AQ68">
        <f>IF('Calc base'!L$14=0,0,MIN(AE68,MAX(0,$E68-SUMIFS($V68:$AG68,'Calc base'!$C$17:$N$17,"&lt;"&amp;'Calc base'!L$17,'Calc base'!$C$14:$N$14,1))))</f>
        <v>0</v>
      </c>
      <c r="AR68">
        <f>IF('Calc base'!M$14=0,0,MIN(AF68,MAX(0,$E68-SUMIFS($V68:$AG68,'Calc base'!$C$17:$N$17,"&lt;"&amp;'Calc base'!M$17,'Calc base'!$C$14:$N$14,1))))</f>
        <v>0</v>
      </c>
      <c r="AS68">
        <f>IF('Calc base'!N$14=0,0,MIN(AG68,MAX(0,$E68-SUMIFS($V68:$AG68,'Calc base'!$C$17:$N$17,"&lt;"&amp;'Calc base'!N$17,'Calc base'!$C$14:$N$14,1))))</f>
        <v>0</v>
      </c>
      <c r="AT68">
        <f>V68-AH68</f>
        <v>0</v>
      </c>
      <c r="AU68">
        <f>W68-AI68</f>
        <v>0</v>
      </c>
      <c r="AV68">
        <f>X68-AJ68</f>
        <v>0</v>
      </c>
      <c r="AW68">
        <f>Y68-AK68</f>
        <v>0</v>
      </c>
      <c r="AX68">
        <f>Z68-AL68</f>
        <v>0</v>
      </c>
      <c r="AY68">
        <f>AA68-AM68</f>
        <v>0</v>
      </c>
      <c r="AZ68">
        <f>AB68-AN68</f>
        <v>0</v>
      </c>
      <c r="BA68">
        <f>AC68-AO68</f>
        <v>0</v>
      </c>
      <c r="BB68">
        <f>AD68-AP68</f>
        <v>0</v>
      </c>
      <c r="BC68">
        <f>AE68-AQ68</f>
        <v>0</v>
      </c>
      <c r="BD68">
        <f>AF68-AR68</f>
        <v>0</v>
      </c>
      <c r="BE68">
        <f>AG68-AS68</f>
        <v>0</v>
      </c>
    </row>
    <row r="69">
      <c r="A69" t="n">
        <v>39</v>
      </c>
      <c r="B69">
        <f>SUMPRODUCT(ROUND($AT68:$BE68*(1+'Calc base'!$H69:$S69),2))</f>
        <v>0</v>
      </c>
      <c r="C69">
        <f>SUM(J69:U69)</f>
        <v>0</v>
      </c>
      <c r="D69">
        <f>SUM(V69:AG69)</f>
        <v>0</v>
      </c>
      <c r="E69">
        <f>MAX(0,IF(Impostazioni!$B$7="No",'Calc base'!$C69-$C$31,'Calc base'!$C69-C69)+'Calc base'!$G69+'Calc base'!$F69-(B69-C69-D69))</f>
        <v>900</v>
      </c>
      <c r="F69">
        <f>SUM(AH69:AS69)</f>
        <v>0</v>
      </c>
      <c r="G69">
        <f>SUM(AT69:BE69)</f>
        <v>0</v>
      </c>
      <c r="H69">
        <f>B69-G68</f>
        <v>0</v>
      </c>
      <c r="I69">
        <f>B69-G69</f>
        <v>0</v>
      </c>
      <c r="J69">
        <f>IF(AT68&lt;=0,0,IF(ROUND(AT68*(1+'Calc base'!H69),2)-MAX('Calc base'!C$12,ROUND('Calc base'!C$13*AT68,2))&lt;1,ROUND(AT68*(1+'Calc base'!H69),2),MAX('Calc base'!C$12,ROUND('Calc base'!C$13*AT68,2))))</f>
        <v>0</v>
      </c>
      <c r="K69">
        <f>IF(AU68&lt;=0,0,IF(ROUND(AU68*(1+'Calc base'!I69),2)-MAX('Calc base'!D$12,ROUND('Calc base'!D$13*AU68,2))&lt;1,ROUND(AU68*(1+'Calc base'!I69),2),MAX('Calc base'!D$12,ROUND('Calc base'!D$13*AU68,2))))</f>
        <v>0</v>
      </c>
      <c r="L69">
        <f>IF(AV68&lt;=0,0,IF(ROUND(AV68*(1+'Calc base'!J69),2)-MAX('Calc base'!E$12,ROUND('Calc base'!E$13*AV68,2))&lt;1,ROUND(AV68*(1+'Calc base'!J69),2),MAX('Calc base'!E$12,ROUND('Calc base'!E$13*AV68,2))))</f>
        <v>0</v>
      </c>
      <c r="M69">
        <f>IF(AW68&lt;=0,0,IF(ROUND(AW68*(1+'Calc base'!K69),2)-MAX('Calc base'!F$12,ROUND('Calc base'!F$13*AW68,2))&lt;1,ROUND(AW68*(1+'Calc base'!K69),2),MAX('Calc base'!F$12,ROUND('Calc base'!F$13*AW68,2))))</f>
        <v>0</v>
      </c>
      <c r="N69">
        <f>IF(AX68&lt;=0,0,IF(ROUND(AX68*(1+'Calc base'!L69),2)-MAX('Calc base'!G$12,ROUND('Calc base'!G$13*AX68,2))&lt;1,ROUND(AX68*(1+'Calc base'!L69),2),MAX('Calc base'!G$12,ROUND('Calc base'!G$13*AX68,2))))</f>
        <v>0</v>
      </c>
      <c r="O69">
        <f>IF(AY68&lt;=0,0,IF(ROUND(AY68*(1+'Calc base'!M69),2)-MAX('Calc base'!H$12,ROUND('Calc base'!H$13*AY68,2))&lt;1,ROUND(AY68*(1+'Calc base'!M69),2),MAX('Calc base'!H$12,ROUND('Calc base'!H$13*AY68,2))))</f>
        <v>0</v>
      </c>
      <c r="P69">
        <f>IF(AZ68&lt;=0,0,IF(ROUND(AZ68*(1+'Calc base'!N69),2)-MAX('Calc base'!I$12,ROUND('Calc base'!I$13*AZ68,2))&lt;1,ROUND(AZ68*(1+'Calc base'!N69),2),MAX('Calc base'!I$12,ROUND('Calc base'!I$13*AZ68,2))))</f>
        <v>0</v>
      </c>
      <c r="Q69">
        <f>IF(BA68&lt;=0,0,IF(ROUND(BA68*(1+'Calc base'!O69),2)-MAX('Calc base'!J$12,ROUND('Calc base'!J$13*BA68,2))&lt;1,ROUND(BA68*(1+'Calc base'!O69),2),MAX('Calc base'!J$12,ROUND('Calc base'!J$13*BA68,2))))</f>
        <v>0</v>
      </c>
      <c r="R69">
        <f>IF(BB68&lt;=0,0,IF(ROUND(BB68*(1+'Calc base'!P69),2)-MAX('Calc base'!K$12,ROUND('Calc base'!K$13*BB68,2))&lt;1,ROUND(BB68*(1+'Calc base'!P69),2),MAX('Calc base'!K$12,ROUND('Calc base'!K$13*BB68,2))))</f>
        <v>0</v>
      </c>
      <c r="S69">
        <f>IF(BC68&lt;=0,0,IF(ROUND(BC68*(1+'Calc base'!Q69),2)-MAX('Calc base'!L$12,ROUND('Calc base'!L$13*BC68,2))&lt;1,ROUND(BC68*(1+'Calc base'!Q69),2),MAX('Calc base'!L$12,ROUND('Calc base'!L$13*BC68,2))))</f>
        <v>0</v>
      </c>
      <c r="T69">
        <f>IF(BD68&lt;=0,0,IF(ROUND(BD68*(1+'Calc base'!R69),2)-MAX('Calc base'!M$12,ROUND('Calc base'!M$13*BD68,2))&lt;1,ROUND(BD68*(1+'Calc base'!R69),2),MAX('Calc base'!M$12,ROUND('Calc base'!M$13*BD68,2))))</f>
        <v>0</v>
      </c>
      <c r="U69">
        <f>IF(BE68&lt;=0,0,IF(ROUND(BE68*(1+'Calc base'!S69),2)-MAX('Calc base'!N$12,ROUND('Calc base'!N$13*BE68,2))&lt;1,ROUND(BE68*(1+'Calc base'!S69),2),MAX('Calc base'!N$12,ROUND('Calc base'!N$13*BE68,2))))</f>
        <v>0</v>
      </c>
      <c r="V69">
        <f>MAX(0,ROUND(AT68*(1+'Calc base'!H69),2)-J69-'Calc base'!T69)</f>
        <v>0</v>
      </c>
      <c r="W69">
        <f>MAX(0,ROUND(AU68*(1+'Calc base'!I69),2)-K69-'Calc base'!U69)</f>
        <v>0</v>
      </c>
      <c r="X69">
        <f>MAX(0,ROUND(AV68*(1+'Calc base'!J69),2)-L69-'Calc base'!V69)</f>
        <v>0</v>
      </c>
      <c r="Y69">
        <f>MAX(0,ROUND(AW68*(1+'Calc base'!K69),2)-M69-'Calc base'!W69)</f>
        <v>0</v>
      </c>
      <c r="Z69">
        <f>MAX(0,ROUND(AX68*(1+'Calc base'!L69),2)-N69-'Calc base'!X69)</f>
        <v>0</v>
      </c>
      <c r="AA69">
        <f>MAX(0,ROUND(AY68*(1+'Calc base'!M69),2)-O69-'Calc base'!Y69)</f>
        <v>0</v>
      </c>
      <c r="AB69">
        <f>MAX(0,ROUND(AZ68*(1+'Calc base'!N69),2)-P69-'Calc base'!Z69)</f>
        <v>0</v>
      </c>
      <c r="AC69">
        <f>MAX(0,ROUND(BA68*(1+'Calc base'!O69),2)-Q69-'Calc base'!AA69)</f>
        <v>0</v>
      </c>
      <c r="AD69">
        <f>MAX(0,ROUND(BB68*(1+'Calc base'!P69),2)-R69-'Calc base'!AB69)</f>
        <v>0</v>
      </c>
      <c r="AE69">
        <f>MAX(0,ROUND(BC68*(1+'Calc base'!Q69),2)-S69-'Calc base'!AC69)</f>
        <v>0</v>
      </c>
      <c r="AF69">
        <f>MAX(0,ROUND(BD68*(1+'Calc base'!R69),2)-T69-'Calc base'!AD69)</f>
        <v>0</v>
      </c>
      <c r="AG69">
        <f>MAX(0,ROUND(BE68*(1+'Calc base'!S69),2)-U69-'Calc base'!AE69)</f>
        <v>0</v>
      </c>
      <c r="AH69">
        <f>IF('Calc base'!C$14=0,0,MIN(V69,MAX(0,$E69-SUMIFS($V69:$AG69,'Calc base'!$C$17:$N$17,"&lt;"&amp;'Calc base'!C$17,'Calc base'!$C$14:$N$14,1))))</f>
        <v>0</v>
      </c>
      <c r="AI69">
        <f>IF('Calc base'!D$14=0,0,MIN(W69,MAX(0,$E69-SUMIFS($V69:$AG69,'Calc base'!$C$17:$N$17,"&lt;"&amp;'Calc base'!D$17,'Calc base'!$C$14:$N$14,1))))</f>
        <v>0</v>
      </c>
      <c r="AJ69">
        <f>IF('Calc base'!E$14=0,0,MIN(X69,MAX(0,$E69-SUMIFS($V69:$AG69,'Calc base'!$C$17:$N$17,"&lt;"&amp;'Calc base'!E$17,'Calc base'!$C$14:$N$14,1))))</f>
        <v>0</v>
      </c>
      <c r="AK69">
        <f>IF('Calc base'!F$14=0,0,MIN(Y69,MAX(0,$E69-SUMIFS($V69:$AG69,'Calc base'!$C$17:$N$17,"&lt;"&amp;'Calc base'!F$17,'Calc base'!$C$14:$N$14,1))))</f>
        <v>0</v>
      </c>
      <c r="AL69">
        <f>IF('Calc base'!G$14=0,0,MIN(Z69,MAX(0,$E69-SUMIFS($V69:$AG69,'Calc base'!$C$17:$N$17,"&lt;"&amp;'Calc base'!G$17,'Calc base'!$C$14:$N$14,1))))</f>
        <v>0</v>
      </c>
      <c r="AM69">
        <f>IF('Calc base'!H$14=0,0,MIN(AA69,MAX(0,$E69-SUMIFS($V69:$AG69,'Calc base'!$C$17:$N$17,"&lt;"&amp;'Calc base'!H$17,'Calc base'!$C$14:$N$14,1))))</f>
        <v>0</v>
      </c>
      <c r="AN69">
        <f>IF('Calc base'!I$14=0,0,MIN(AB69,MAX(0,$E69-SUMIFS($V69:$AG69,'Calc base'!$C$17:$N$17,"&lt;"&amp;'Calc base'!I$17,'Calc base'!$C$14:$N$14,1))))</f>
        <v>0</v>
      </c>
      <c r="AO69">
        <f>IF('Calc base'!J$14=0,0,MIN(AC69,MAX(0,$E69-SUMIFS($V69:$AG69,'Calc base'!$C$17:$N$17,"&lt;"&amp;'Calc base'!J$17,'Calc base'!$C$14:$N$14,1))))</f>
        <v>0</v>
      </c>
      <c r="AP69">
        <f>IF('Calc base'!K$14=0,0,MIN(AD69,MAX(0,$E69-SUMIFS($V69:$AG69,'Calc base'!$C$17:$N$17,"&lt;"&amp;'Calc base'!K$17,'Calc base'!$C$14:$N$14,1))))</f>
        <v>0</v>
      </c>
      <c r="AQ69">
        <f>IF('Calc base'!L$14=0,0,MIN(AE69,MAX(0,$E69-SUMIFS($V69:$AG69,'Calc base'!$C$17:$N$17,"&lt;"&amp;'Calc base'!L$17,'Calc base'!$C$14:$N$14,1))))</f>
        <v>0</v>
      </c>
      <c r="AR69">
        <f>IF('Calc base'!M$14=0,0,MIN(AF69,MAX(0,$E69-SUMIFS($V69:$AG69,'Calc base'!$C$17:$N$17,"&lt;"&amp;'Calc base'!M$17,'Calc base'!$C$14:$N$14,1))))</f>
        <v>0</v>
      </c>
      <c r="AS69">
        <f>IF('Calc base'!N$14=0,0,MIN(AG69,MAX(0,$E69-SUMIFS($V69:$AG69,'Calc base'!$C$17:$N$17,"&lt;"&amp;'Calc base'!N$17,'Calc base'!$C$14:$N$14,1))))</f>
        <v>0</v>
      </c>
      <c r="AT69">
        <f>V69-AH69</f>
        <v>0</v>
      </c>
      <c r="AU69">
        <f>W69-AI69</f>
        <v>0</v>
      </c>
      <c r="AV69">
        <f>X69-AJ69</f>
        <v>0</v>
      </c>
      <c r="AW69">
        <f>Y69-AK69</f>
        <v>0</v>
      </c>
      <c r="AX69">
        <f>Z69-AL69</f>
        <v>0</v>
      </c>
      <c r="AY69">
        <f>AA69-AM69</f>
        <v>0</v>
      </c>
      <c r="AZ69">
        <f>AB69-AN69</f>
        <v>0</v>
      </c>
      <c r="BA69">
        <f>AC69-AO69</f>
        <v>0</v>
      </c>
      <c r="BB69">
        <f>AD69-AP69</f>
        <v>0</v>
      </c>
      <c r="BC69">
        <f>AE69-AQ69</f>
        <v>0</v>
      </c>
      <c r="BD69">
        <f>AF69-AR69</f>
        <v>0</v>
      </c>
      <c r="BE69">
        <f>AG69-AS69</f>
        <v>0</v>
      </c>
    </row>
    <row r="70">
      <c r="A70" t="n">
        <v>40</v>
      </c>
      <c r="B70">
        <f>SUMPRODUCT(ROUND($AT69:$BE69*(1+'Calc base'!$H70:$S70),2))</f>
        <v>0</v>
      </c>
      <c r="C70">
        <f>SUM(J70:U70)</f>
        <v>0</v>
      </c>
      <c r="D70">
        <f>SUM(V70:AG70)</f>
        <v>0</v>
      </c>
      <c r="E70">
        <f>MAX(0,IF(Impostazioni!$B$7="No",'Calc base'!$C70-$C$31,'Calc base'!$C70-C70)+'Calc base'!$G70+'Calc base'!$F70-(B70-C70-D70))</f>
        <v>900</v>
      </c>
      <c r="F70">
        <f>SUM(AH70:AS70)</f>
        <v>0</v>
      </c>
      <c r="G70">
        <f>SUM(AT70:BE70)</f>
        <v>0</v>
      </c>
      <c r="H70">
        <f>B70-G69</f>
        <v>0</v>
      </c>
      <c r="I70">
        <f>B70-G70</f>
        <v>0</v>
      </c>
      <c r="J70">
        <f>IF(AT69&lt;=0,0,IF(ROUND(AT69*(1+'Calc base'!H70),2)-MAX('Calc base'!C$12,ROUND('Calc base'!C$13*AT69,2))&lt;1,ROUND(AT69*(1+'Calc base'!H70),2),MAX('Calc base'!C$12,ROUND('Calc base'!C$13*AT69,2))))</f>
        <v>0</v>
      </c>
      <c r="K70">
        <f>IF(AU69&lt;=0,0,IF(ROUND(AU69*(1+'Calc base'!I70),2)-MAX('Calc base'!D$12,ROUND('Calc base'!D$13*AU69,2))&lt;1,ROUND(AU69*(1+'Calc base'!I70),2),MAX('Calc base'!D$12,ROUND('Calc base'!D$13*AU69,2))))</f>
        <v>0</v>
      </c>
      <c r="L70">
        <f>IF(AV69&lt;=0,0,IF(ROUND(AV69*(1+'Calc base'!J70),2)-MAX('Calc base'!E$12,ROUND('Calc base'!E$13*AV69,2))&lt;1,ROUND(AV69*(1+'Calc base'!J70),2),MAX('Calc base'!E$12,ROUND('Calc base'!E$13*AV69,2))))</f>
        <v>0</v>
      </c>
      <c r="M70">
        <f>IF(AW69&lt;=0,0,IF(ROUND(AW69*(1+'Calc base'!K70),2)-MAX('Calc base'!F$12,ROUND('Calc base'!F$13*AW69,2))&lt;1,ROUND(AW69*(1+'Calc base'!K70),2),MAX('Calc base'!F$12,ROUND('Calc base'!F$13*AW69,2))))</f>
        <v>0</v>
      </c>
      <c r="N70">
        <f>IF(AX69&lt;=0,0,IF(ROUND(AX69*(1+'Calc base'!L70),2)-MAX('Calc base'!G$12,ROUND('Calc base'!G$13*AX69,2))&lt;1,ROUND(AX69*(1+'Calc base'!L70),2),MAX('Calc base'!G$12,ROUND('Calc base'!G$13*AX69,2))))</f>
        <v>0</v>
      </c>
      <c r="O70">
        <f>IF(AY69&lt;=0,0,IF(ROUND(AY69*(1+'Calc base'!M70),2)-MAX('Calc base'!H$12,ROUND('Calc base'!H$13*AY69,2))&lt;1,ROUND(AY69*(1+'Calc base'!M70),2),MAX('Calc base'!H$12,ROUND('Calc base'!H$13*AY69,2))))</f>
        <v>0</v>
      </c>
      <c r="P70">
        <f>IF(AZ69&lt;=0,0,IF(ROUND(AZ69*(1+'Calc base'!N70),2)-MAX('Calc base'!I$12,ROUND('Calc base'!I$13*AZ69,2))&lt;1,ROUND(AZ69*(1+'Calc base'!N70),2),MAX('Calc base'!I$12,ROUND('Calc base'!I$13*AZ69,2))))</f>
        <v>0</v>
      </c>
      <c r="Q70">
        <f>IF(BA69&lt;=0,0,IF(ROUND(BA69*(1+'Calc base'!O70),2)-MAX('Calc base'!J$12,ROUND('Calc base'!J$13*BA69,2))&lt;1,ROUND(BA69*(1+'Calc base'!O70),2),MAX('Calc base'!J$12,ROUND('Calc base'!J$13*BA69,2))))</f>
        <v>0</v>
      </c>
      <c r="R70">
        <f>IF(BB69&lt;=0,0,IF(ROUND(BB69*(1+'Calc base'!P70),2)-MAX('Calc base'!K$12,ROUND('Calc base'!K$13*BB69,2))&lt;1,ROUND(BB69*(1+'Calc base'!P70),2),MAX('Calc base'!K$12,ROUND('Calc base'!K$13*BB69,2))))</f>
        <v>0</v>
      </c>
      <c r="S70">
        <f>IF(BC69&lt;=0,0,IF(ROUND(BC69*(1+'Calc base'!Q70),2)-MAX('Calc base'!L$12,ROUND('Calc base'!L$13*BC69,2))&lt;1,ROUND(BC69*(1+'Calc base'!Q70),2),MAX('Calc base'!L$12,ROUND('Calc base'!L$13*BC69,2))))</f>
        <v>0</v>
      </c>
      <c r="T70">
        <f>IF(BD69&lt;=0,0,IF(ROUND(BD69*(1+'Calc base'!R70),2)-MAX('Calc base'!M$12,ROUND('Calc base'!M$13*BD69,2))&lt;1,ROUND(BD69*(1+'Calc base'!R70),2),MAX('Calc base'!M$12,ROUND('Calc base'!M$13*BD69,2))))</f>
        <v>0</v>
      </c>
      <c r="U70">
        <f>IF(BE69&lt;=0,0,IF(ROUND(BE69*(1+'Calc base'!S70),2)-MAX('Calc base'!N$12,ROUND('Calc base'!N$13*BE69,2))&lt;1,ROUND(BE69*(1+'Calc base'!S70),2),MAX('Calc base'!N$12,ROUND('Calc base'!N$13*BE69,2))))</f>
        <v>0</v>
      </c>
      <c r="V70">
        <f>MAX(0,ROUND(AT69*(1+'Calc base'!H70),2)-J70-'Calc base'!T70)</f>
        <v>0</v>
      </c>
      <c r="W70">
        <f>MAX(0,ROUND(AU69*(1+'Calc base'!I70),2)-K70-'Calc base'!U70)</f>
        <v>0</v>
      </c>
      <c r="X70">
        <f>MAX(0,ROUND(AV69*(1+'Calc base'!J70),2)-L70-'Calc base'!V70)</f>
        <v>0</v>
      </c>
      <c r="Y70">
        <f>MAX(0,ROUND(AW69*(1+'Calc base'!K70),2)-M70-'Calc base'!W70)</f>
        <v>0</v>
      </c>
      <c r="Z70">
        <f>MAX(0,ROUND(AX69*(1+'Calc base'!L70),2)-N70-'Calc base'!X70)</f>
        <v>0</v>
      </c>
      <c r="AA70">
        <f>MAX(0,ROUND(AY69*(1+'Calc base'!M70),2)-O70-'Calc base'!Y70)</f>
        <v>0</v>
      </c>
      <c r="AB70">
        <f>MAX(0,ROUND(AZ69*(1+'Calc base'!N70),2)-P70-'Calc base'!Z70)</f>
        <v>0</v>
      </c>
      <c r="AC70">
        <f>MAX(0,ROUND(BA69*(1+'Calc base'!O70),2)-Q70-'Calc base'!AA70)</f>
        <v>0</v>
      </c>
      <c r="AD70">
        <f>MAX(0,ROUND(BB69*(1+'Calc base'!P70),2)-R70-'Calc base'!AB70)</f>
        <v>0</v>
      </c>
      <c r="AE70">
        <f>MAX(0,ROUND(BC69*(1+'Calc base'!Q70),2)-S70-'Calc base'!AC70)</f>
        <v>0</v>
      </c>
      <c r="AF70">
        <f>MAX(0,ROUND(BD69*(1+'Calc base'!R70),2)-T70-'Calc base'!AD70)</f>
        <v>0</v>
      </c>
      <c r="AG70">
        <f>MAX(0,ROUND(BE69*(1+'Calc base'!S70),2)-U70-'Calc base'!AE70)</f>
        <v>0</v>
      </c>
      <c r="AH70">
        <f>IF('Calc base'!C$14=0,0,MIN(V70,MAX(0,$E70-SUMIFS($V70:$AG70,'Calc base'!$C$17:$N$17,"&lt;"&amp;'Calc base'!C$17,'Calc base'!$C$14:$N$14,1))))</f>
        <v>0</v>
      </c>
      <c r="AI70">
        <f>IF('Calc base'!D$14=0,0,MIN(W70,MAX(0,$E70-SUMIFS($V70:$AG70,'Calc base'!$C$17:$N$17,"&lt;"&amp;'Calc base'!D$17,'Calc base'!$C$14:$N$14,1))))</f>
        <v>0</v>
      </c>
      <c r="AJ70">
        <f>IF('Calc base'!E$14=0,0,MIN(X70,MAX(0,$E70-SUMIFS($V70:$AG70,'Calc base'!$C$17:$N$17,"&lt;"&amp;'Calc base'!E$17,'Calc base'!$C$14:$N$14,1))))</f>
        <v>0</v>
      </c>
      <c r="AK70">
        <f>IF('Calc base'!F$14=0,0,MIN(Y70,MAX(0,$E70-SUMIFS($V70:$AG70,'Calc base'!$C$17:$N$17,"&lt;"&amp;'Calc base'!F$17,'Calc base'!$C$14:$N$14,1))))</f>
        <v>0</v>
      </c>
      <c r="AL70">
        <f>IF('Calc base'!G$14=0,0,MIN(Z70,MAX(0,$E70-SUMIFS($V70:$AG70,'Calc base'!$C$17:$N$17,"&lt;"&amp;'Calc base'!G$17,'Calc base'!$C$14:$N$14,1))))</f>
        <v>0</v>
      </c>
      <c r="AM70">
        <f>IF('Calc base'!H$14=0,0,MIN(AA70,MAX(0,$E70-SUMIFS($V70:$AG70,'Calc base'!$C$17:$N$17,"&lt;"&amp;'Calc base'!H$17,'Calc base'!$C$14:$N$14,1))))</f>
        <v>0</v>
      </c>
      <c r="AN70">
        <f>IF('Calc base'!I$14=0,0,MIN(AB70,MAX(0,$E70-SUMIFS($V70:$AG70,'Calc base'!$C$17:$N$17,"&lt;"&amp;'Calc base'!I$17,'Calc base'!$C$14:$N$14,1))))</f>
        <v>0</v>
      </c>
      <c r="AO70">
        <f>IF('Calc base'!J$14=0,0,MIN(AC70,MAX(0,$E70-SUMIFS($V70:$AG70,'Calc base'!$C$17:$N$17,"&lt;"&amp;'Calc base'!J$17,'Calc base'!$C$14:$N$14,1))))</f>
        <v>0</v>
      </c>
      <c r="AP70">
        <f>IF('Calc base'!K$14=0,0,MIN(AD70,MAX(0,$E70-SUMIFS($V70:$AG70,'Calc base'!$C$17:$N$17,"&lt;"&amp;'Calc base'!K$17,'Calc base'!$C$14:$N$14,1))))</f>
        <v>0</v>
      </c>
      <c r="AQ70">
        <f>IF('Calc base'!L$14=0,0,MIN(AE70,MAX(0,$E70-SUMIFS($V70:$AG70,'Calc base'!$C$17:$N$17,"&lt;"&amp;'Calc base'!L$17,'Calc base'!$C$14:$N$14,1))))</f>
        <v>0</v>
      </c>
      <c r="AR70">
        <f>IF('Calc base'!M$14=0,0,MIN(AF70,MAX(0,$E70-SUMIFS($V70:$AG70,'Calc base'!$C$17:$N$17,"&lt;"&amp;'Calc base'!M$17,'Calc base'!$C$14:$N$14,1))))</f>
        <v>0</v>
      </c>
      <c r="AS70">
        <f>IF('Calc base'!N$14=0,0,MIN(AG70,MAX(0,$E70-SUMIFS($V70:$AG70,'Calc base'!$C$17:$N$17,"&lt;"&amp;'Calc base'!N$17,'Calc base'!$C$14:$N$14,1))))</f>
        <v>0</v>
      </c>
      <c r="AT70">
        <f>V70-AH70</f>
        <v>0</v>
      </c>
      <c r="AU70">
        <f>W70-AI70</f>
        <v>0</v>
      </c>
      <c r="AV70">
        <f>X70-AJ70</f>
        <v>0</v>
      </c>
      <c r="AW70">
        <f>Y70-AK70</f>
        <v>0</v>
      </c>
      <c r="AX70">
        <f>Z70-AL70</f>
        <v>0</v>
      </c>
      <c r="AY70">
        <f>AA70-AM70</f>
        <v>0</v>
      </c>
      <c r="AZ70">
        <f>AB70-AN70</f>
        <v>0</v>
      </c>
      <c r="BA70">
        <f>AC70-AO70</f>
        <v>0</v>
      </c>
      <c r="BB70">
        <f>AD70-AP70</f>
        <v>0</v>
      </c>
      <c r="BC70">
        <f>AE70-AQ70</f>
        <v>0</v>
      </c>
      <c r="BD70">
        <f>AF70-AR70</f>
        <v>0</v>
      </c>
      <c r="BE70">
        <f>AG70-AS70</f>
        <v>0</v>
      </c>
    </row>
    <row r="71">
      <c r="A71" t="n">
        <v>41</v>
      </c>
      <c r="B71">
        <f>SUMPRODUCT(ROUND($AT70:$BE70*(1+'Calc base'!$H71:$S71),2))</f>
        <v>0</v>
      </c>
      <c r="C71">
        <f>SUM(J71:U71)</f>
        <v>0</v>
      </c>
      <c r="D71">
        <f>SUM(V71:AG71)</f>
        <v>0</v>
      </c>
      <c r="E71">
        <f>MAX(0,IF(Impostazioni!$B$7="No",'Calc base'!$C71-$C$31,'Calc base'!$C71-C71)+'Calc base'!$G71+'Calc base'!$F71-(B71-C71-D71))</f>
        <v>900</v>
      </c>
      <c r="F71">
        <f>SUM(AH71:AS71)</f>
        <v>0</v>
      </c>
      <c r="G71">
        <f>SUM(AT71:BE71)</f>
        <v>0</v>
      </c>
      <c r="H71">
        <f>B71-G70</f>
        <v>0</v>
      </c>
      <c r="I71">
        <f>B71-G71</f>
        <v>0</v>
      </c>
      <c r="J71">
        <f>IF(AT70&lt;=0,0,IF(ROUND(AT70*(1+'Calc base'!H71),2)-MAX('Calc base'!C$12,ROUND('Calc base'!C$13*AT70,2))&lt;1,ROUND(AT70*(1+'Calc base'!H71),2),MAX('Calc base'!C$12,ROUND('Calc base'!C$13*AT70,2))))</f>
        <v>0</v>
      </c>
      <c r="K71">
        <f>IF(AU70&lt;=0,0,IF(ROUND(AU70*(1+'Calc base'!I71),2)-MAX('Calc base'!D$12,ROUND('Calc base'!D$13*AU70,2))&lt;1,ROUND(AU70*(1+'Calc base'!I71),2),MAX('Calc base'!D$12,ROUND('Calc base'!D$13*AU70,2))))</f>
        <v>0</v>
      </c>
      <c r="L71">
        <f>IF(AV70&lt;=0,0,IF(ROUND(AV70*(1+'Calc base'!J71),2)-MAX('Calc base'!E$12,ROUND('Calc base'!E$13*AV70,2))&lt;1,ROUND(AV70*(1+'Calc base'!J71),2),MAX('Calc base'!E$12,ROUND('Calc base'!E$13*AV70,2))))</f>
        <v>0</v>
      </c>
      <c r="M71">
        <f>IF(AW70&lt;=0,0,IF(ROUND(AW70*(1+'Calc base'!K71),2)-MAX('Calc base'!F$12,ROUND('Calc base'!F$13*AW70,2))&lt;1,ROUND(AW70*(1+'Calc base'!K71),2),MAX('Calc base'!F$12,ROUND('Calc base'!F$13*AW70,2))))</f>
        <v>0</v>
      </c>
      <c r="N71">
        <f>IF(AX70&lt;=0,0,IF(ROUND(AX70*(1+'Calc base'!L71),2)-MAX('Calc base'!G$12,ROUND('Calc base'!G$13*AX70,2))&lt;1,ROUND(AX70*(1+'Calc base'!L71),2),MAX('Calc base'!G$12,ROUND('Calc base'!G$13*AX70,2))))</f>
        <v>0</v>
      </c>
      <c r="O71">
        <f>IF(AY70&lt;=0,0,IF(ROUND(AY70*(1+'Calc base'!M71),2)-MAX('Calc base'!H$12,ROUND('Calc base'!H$13*AY70,2))&lt;1,ROUND(AY70*(1+'Calc base'!M71),2),MAX('Calc base'!H$12,ROUND('Calc base'!H$13*AY70,2))))</f>
        <v>0</v>
      </c>
      <c r="P71">
        <f>IF(AZ70&lt;=0,0,IF(ROUND(AZ70*(1+'Calc base'!N71),2)-MAX('Calc base'!I$12,ROUND('Calc base'!I$13*AZ70,2))&lt;1,ROUND(AZ70*(1+'Calc base'!N71),2),MAX('Calc base'!I$12,ROUND('Calc base'!I$13*AZ70,2))))</f>
        <v>0</v>
      </c>
      <c r="Q71">
        <f>IF(BA70&lt;=0,0,IF(ROUND(BA70*(1+'Calc base'!O71),2)-MAX('Calc base'!J$12,ROUND('Calc base'!J$13*BA70,2))&lt;1,ROUND(BA70*(1+'Calc base'!O71),2),MAX('Calc base'!J$12,ROUND('Calc base'!J$13*BA70,2))))</f>
        <v>0</v>
      </c>
      <c r="R71">
        <f>IF(BB70&lt;=0,0,IF(ROUND(BB70*(1+'Calc base'!P71),2)-MAX('Calc base'!K$12,ROUND('Calc base'!K$13*BB70,2))&lt;1,ROUND(BB70*(1+'Calc base'!P71),2),MAX('Calc base'!K$12,ROUND('Calc base'!K$13*BB70,2))))</f>
        <v>0</v>
      </c>
      <c r="S71">
        <f>IF(BC70&lt;=0,0,IF(ROUND(BC70*(1+'Calc base'!Q71),2)-MAX('Calc base'!L$12,ROUND('Calc base'!L$13*BC70,2))&lt;1,ROUND(BC70*(1+'Calc base'!Q71),2),MAX('Calc base'!L$12,ROUND('Calc base'!L$13*BC70,2))))</f>
        <v>0</v>
      </c>
      <c r="T71">
        <f>IF(BD70&lt;=0,0,IF(ROUND(BD70*(1+'Calc base'!R71),2)-MAX('Calc base'!M$12,ROUND('Calc base'!M$13*BD70,2))&lt;1,ROUND(BD70*(1+'Calc base'!R71),2),MAX('Calc base'!M$12,ROUND('Calc base'!M$13*BD70,2))))</f>
        <v>0</v>
      </c>
      <c r="U71">
        <f>IF(BE70&lt;=0,0,IF(ROUND(BE70*(1+'Calc base'!S71),2)-MAX('Calc base'!N$12,ROUND('Calc base'!N$13*BE70,2))&lt;1,ROUND(BE70*(1+'Calc base'!S71),2),MAX('Calc base'!N$12,ROUND('Calc base'!N$13*BE70,2))))</f>
        <v>0</v>
      </c>
      <c r="V71">
        <f>MAX(0,ROUND(AT70*(1+'Calc base'!H71),2)-J71-'Calc base'!T71)</f>
        <v>0</v>
      </c>
      <c r="W71">
        <f>MAX(0,ROUND(AU70*(1+'Calc base'!I71),2)-K71-'Calc base'!U71)</f>
        <v>0</v>
      </c>
      <c r="X71">
        <f>MAX(0,ROUND(AV70*(1+'Calc base'!J71),2)-L71-'Calc base'!V71)</f>
        <v>0</v>
      </c>
      <c r="Y71">
        <f>MAX(0,ROUND(AW70*(1+'Calc base'!K71),2)-M71-'Calc base'!W71)</f>
        <v>0</v>
      </c>
      <c r="Z71">
        <f>MAX(0,ROUND(AX70*(1+'Calc base'!L71),2)-N71-'Calc base'!X71)</f>
        <v>0</v>
      </c>
      <c r="AA71">
        <f>MAX(0,ROUND(AY70*(1+'Calc base'!M71),2)-O71-'Calc base'!Y71)</f>
        <v>0</v>
      </c>
      <c r="AB71">
        <f>MAX(0,ROUND(AZ70*(1+'Calc base'!N71),2)-P71-'Calc base'!Z71)</f>
        <v>0</v>
      </c>
      <c r="AC71">
        <f>MAX(0,ROUND(BA70*(1+'Calc base'!O71),2)-Q71-'Calc base'!AA71)</f>
        <v>0</v>
      </c>
      <c r="AD71">
        <f>MAX(0,ROUND(BB70*(1+'Calc base'!P71),2)-R71-'Calc base'!AB71)</f>
        <v>0</v>
      </c>
      <c r="AE71">
        <f>MAX(0,ROUND(BC70*(1+'Calc base'!Q71),2)-S71-'Calc base'!AC71)</f>
        <v>0</v>
      </c>
      <c r="AF71">
        <f>MAX(0,ROUND(BD70*(1+'Calc base'!R71),2)-T71-'Calc base'!AD71)</f>
        <v>0</v>
      </c>
      <c r="AG71">
        <f>MAX(0,ROUND(BE70*(1+'Calc base'!S71),2)-U71-'Calc base'!AE71)</f>
        <v>0</v>
      </c>
      <c r="AH71">
        <f>IF('Calc base'!C$14=0,0,MIN(V71,MAX(0,$E71-SUMIFS($V71:$AG71,'Calc base'!$C$17:$N$17,"&lt;"&amp;'Calc base'!C$17,'Calc base'!$C$14:$N$14,1))))</f>
        <v>0</v>
      </c>
      <c r="AI71">
        <f>IF('Calc base'!D$14=0,0,MIN(W71,MAX(0,$E71-SUMIFS($V71:$AG71,'Calc base'!$C$17:$N$17,"&lt;"&amp;'Calc base'!D$17,'Calc base'!$C$14:$N$14,1))))</f>
        <v>0</v>
      </c>
      <c r="AJ71">
        <f>IF('Calc base'!E$14=0,0,MIN(X71,MAX(0,$E71-SUMIFS($V71:$AG71,'Calc base'!$C$17:$N$17,"&lt;"&amp;'Calc base'!E$17,'Calc base'!$C$14:$N$14,1))))</f>
        <v>0</v>
      </c>
      <c r="AK71">
        <f>IF('Calc base'!F$14=0,0,MIN(Y71,MAX(0,$E71-SUMIFS($V71:$AG71,'Calc base'!$C$17:$N$17,"&lt;"&amp;'Calc base'!F$17,'Calc base'!$C$14:$N$14,1))))</f>
        <v>0</v>
      </c>
      <c r="AL71">
        <f>IF('Calc base'!G$14=0,0,MIN(Z71,MAX(0,$E71-SUMIFS($V71:$AG71,'Calc base'!$C$17:$N$17,"&lt;"&amp;'Calc base'!G$17,'Calc base'!$C$14:$N$14,1))))</f>
        <v>0</v>
      </c>
      <c r="AM71">
        <f>IF('Calc base'!H$14=0,0,MIN(AA71,MAX(0,$E71-SUMIFS($V71:$AG71,'Calc base'!$C$17:$N$17,"&lt;"&amp;'Calc base'!H$17,'Calc base'!$C$14:$N$14,1))))</f>
        <v>0</v>
      </c>
      <c r="AN71">
        <f>IF('Calc base'!I$14=0,0,MIN(AB71,MAX(0,$E71-SUMIFS($V71:$AG71,'Calc base'!$C$17:$N$17,"&lt;"&amp;'Calc base'!I$17,'Calc base'!$C$14:$N$14,1))))</f>
        <v>0</v>
      </c>
      <c r="AO71">
        <f>IF('Calc base'!J$14=0,0,MIN(AC71,MAX(0,$E71-SUMIFS($V71:$AG71,'Calc base'!$C$17:$N$17,"&lt;"&amp;'Calc base'!J$17,'Calc base'!$C$14:$N$14,1))))</f>
        <v>0</v>
      </c>
      <c r="AP71">
        <f>IF('Calc base'!K$14=0,0,MIN(AD71,MAX(0,$E71-SUMIFS($V71:$AG71,'Calc base'!$C$17:$N$17,"&lt;"&amp;'Calc base'!K$17,'Calc base'!$C$14:$N$14,1))))</f>
        <v>0</v>
      </c>
      <c r="AQ71">
        <f>IF('Calc base'!L$14=0,0,MIN(AE71,MAX(0,$E71-SUMIFS($V71:$AG71,'Calc base'!$C$17:$N$17,"&lt;"&amp;'Calc base'!L$17,'Calc base'!$C$14:$N$14,1))))</f>
        <v>0</v>
      </c>
      <c r="AR71">
        <f>IF('Calc base'!M$14=0,0,MIN(AF71,MAX(0,$E71-SUMIFS($V71:$AG71,'Calc base'!$C$17:$N$17,"&lt;"&amp;'Calc base'!M$17,'Calc base'!$C$14:$N$14,1))))</f>
        <v>0</v>
      </c>
      <c r="AS71">
        <f>IF('Calc base'!N$14=0,0,MIN(AG71,MAX(0,$E71-SUMIFS($V71:$AG71,'Calc base'!$C$17:$N$17,"&lt;"&amp;'Calc base'!N$17,'Calc base'!$C$14:$N$14,1))))</f>
        <v>0</v>
      </c>
      <c r="AT71">
        <f>V71-AH71</f>
        <v>0</v>
      </c>
      <c r="AU71">
        <f>W71-AI71</f>
        <v>0</v>
      </c>
      <c r="AV71">
        <f>X71-AJ71</f>
        <v>0</v>
      </c>
      <c r="AW71">
        <f>Y71-AK71</f>
        <v>0</v>
      </c>
      <c r="AX71">
        <f>Z71-AL71</f>
        <v>0</v>
      </c>
      <c r="AY71">
        <f>AA71-AM71</f>
        <v>0</v>
      </c>
      <c r="AZ71">
        <f>AB71-AN71</f>
        <v>0</v>
      </c>
      <c r="BA71">
        <f>AC71-AO71</f>
        <v>0</v>
      </c>
      <c r="BB71">
        <f>AD71-AP71</f>
        <v>0</v>
      </c>
      <c r="BC71">
        <f>AE71-AQ71</f>
        <v>0</v>
      </c>
      <c r="BD71">
        <f>AF71-AR71</f>
        <v>0</v>
      </c>
      <c r="BE71">
        <f>AG71-AS71</f>
        <v>0</v>
      </c>
    </row>
    <row r="72">
      <c r="A72" t="n">
        <v>42</v>
      </c>
      <c r="B72">
        <f>SUMPRODUCT(ROUND($AT71:$BE71*(1+'Calc base'!$H72:$S72),2))</f>
        <v>0</v>
      </c>
      <c r="C72">
        <f>SUM(J72:U72)</f>
        <v>0</v>
      </c>
      <c r="D72">
        <f>SUM(V72:AG72)</f>
        <v>0</v>
      </c>
      <c r="E72">
        <f>MAX(0,IF(Impostazioni!$B$7="No",'Calc base'!$C72-$C$31,'Calc base'!$C72-C72)+'Calc base'!$G72+'Calc base'!$F72-(B72-C72-D72))</f>
        <v>900</v>
      </c>
      <c r="F72">
        <f>SUM(AH72:AS72)</f>
        <v>0</v>
      </c>
      <c r="G72">
        <f>SUM(AT72:BE72)</f>
        <v>0</v>
      </c>
      <c r="H72">
        <f>B72-G71</f>
        <v>0</v>
      </c>
      <c r="I72">
        <f>B72-G72</f>
        <v>0</v>
      </c>
      <c r="J72">
        <f>IF(AT71&lt;=0,0,IF(ROUND(AT71*(1+'Calc base'!H72),2)-MAX('Calc base'!C$12,ROUND('Calc base'!C$13*AT71,2))&lt;1,ROUND(AT71*(1+'Calc base'!H72),2),MAX('Calc base'!C$12,ROUND('Calc base'!C$13*AT71,2))))</f>
        <v>0</v>
      </c>
      <c r="K72">
        <f>IF(AU71&lt;=0,0,IF(ROUND(AU71*(1+'Calc base'!I72),2)-MAX('Calc base'!D$12,ROUND('Calc base'!D$13*AU71,2))&lt;1,ROUND(AU71*(1+'Calc base'!I72),2),MAX('Calc base'!D$12,ROUND('Calc base'!D$13*AU71,2))))</f>
        <v>0</v>
      </c>
      <c r="L72">
        <f>IF(AV71&lt;=0,0,IF(ROUND(AV71*(1+'Calc base'!J72),2)-MAX('Calc base'!E$12,ROUND('Calc base'!E$13*AV71,2))&lt;1,ROUND(AV71*(1+'Calc base'!J72),2),MAX('Calc base'!E$12,ROUND('Calc base'!E$13*AV71,2))))</f>
        <v>0</v>
      </c>
      <c r="M72">
        <f>IF(AW71&lt;=0,0,IF(ROUND(AW71*(1+'Calc base'!K72),2)-MAX('Calc base'!F$12,ROUND('Calc base'!F$13*AW71,2))&lt;1,ROUND(AW71*(1+'Calc base'!K72),2),MAX('Calc base'!F$12,ROUND('Calc base'!F$13*AW71,2))))</f>
        <v>0</v>
      </c>
      <c r="N72">
        <f>IF(AX71&lt;=0,0,IF(ROUND(AX71*(1+'Calc base'!L72),2)-MAX('Calc base'!G$12,ROUND('Calc base'!G$13*AX71,2))&lt;1,ROUND(AX71*(1+'Calc base'!L72),2),MAX('Calc base'!G$12,ROUND('Calc base'!G$13*AX71,2))))</f>
        <v>0</v>
      </c>
      <c r="O72">
        <f>IF(AY71&lt;=0,0,IF(ROUND(AY71*(1+'Calc base'!M72),2)-MAX('Calc base'!H$12,ROUND('Calc base'!H$13*AY71,2))&lt;1,ROUND(AY71*(1+'Calc base'!M72),2),MAX('Calc base'!H$12,ROUND('Calc base'!H$13*AY71,2))))</f>
        <v>0</v>
      </c>
      <c r="P72">
        <f>IF(AZ71&lt;=0,0,IF(ROUND(AZ71*(1+'Calc base'!N72),2)-MAX('Calc base'!I$12,ROUND('Calc base'!I$13*AZ71,2))&lt;1,ROUND(AZ71*(1+'Calc base'!N72),2),MAX('Calc base'!I$12,ROUND('Calc base'!I$13*AZ71,2))))</f>
        <v>0</v>
      </c>
      <c r="Q72">
        <f>IF(BA71&lt;=0,0,IF(ROUND(BA71*(1+'Calc base'!O72),2)-MAX('Calc base'!J$12,ROUND('Calc base'!J$13*BA71,2))&lt;1,ROUND(BA71*(1+'Calc base'!O72),2),MAX('Calc base'!J$12,ROUND('Calc base'!J$13*BA71,2))))</f>
        <v>0</v>
      </c>
      <c r="R72">
        <f>IF(BB71&lt;=0,0,IF(ROUND(BB71*(1+'Calc base'!P72),2)-MAX('Calc base'!K$12,ROUND('Calc base'!K$13*BB71,2))&lt;1,ROUND(BB71*(1+'Calc base'!P72),2),MAX('Calc base'!K$12,ROUND('Calc base'!K$13*BB71,2))))</f>
        <v>0</v>
      </c>
      <c r="S72">
        <f>IF(BC71&lt;=0,0,IF(ROUND(BC71*(1+'Calc base'!Q72),2)-MAX('Calc base'!L$12,ROUND('Calc base'!L$13*BC71,2))&lt;1,ROUND(BC71*(1+'Calc base'!Q72),2),MAX('Calc base'!L$12,ROUND('Calc base'!L$13*BC71,2))))</f>
        <v>0</v>
      </c>
      <c r="T72">
        <f>IF(BD71&lt;=0,0,IF(ROUND(BD71*(1+'Calc base'!R72),2)-MAX('Calc base'!M$12,ROUND('Calc base'!M$13*BD71,2))&lt;1,ROUND(BD71*(1+'Calc base'!R72),2),MAX('Calc base'!M$12,ROUND('Calc base'!M$13*BD71,2))))</f>
        <v>0</v>
      </c>
      <c r="U72">
        <f>IF(BE71&lt;=0,0,IF(ROUND(BE71*(1+'Calc base'!S72),2)-MAX('Calc base'!N$12,ROUND('Calc base'!N$13*BE71,2))&lt;1,ROUND(BE71*(1+'Calc base'!S72),2),MAX('Calc base'!N$12,ROUND('Calc base'!N$13*BE71,2))))</f>
        <v>0</v>
      </c>
      <c r="V72">
        <f>MAX(0,ROUND(AT71*(1+'Calc base'!H72),2)-J72-'Calc base'!T72)</f>
        <v>0</v>
      </c>
      <c r="W72">
        <f>MAX(0,ROUND(AU71*(1+'Calc base'!I72),2)-K72-'Calc base'!U72)</f>
        <v>0</v>
      </c>
      <c r="X72">
        <f>MAX(0,ROUND(AV71*(1+'Calc base'!J72),2)-L72-'Calc base'!V72)</f>
        <v>0</v>
      </c>
      <c r="Y72">
        <f>MAX(0,ROUND(AW71*(1+'Calc base'!K72),2)-M72-'Calc base'!W72)</f>
        <v>0</v>
      </c>
      <c r="Z72">
        <f>MAX(0,ROUND(AX71*(1+'Calc base'!L72),2)-N72-'Calc base'!X72)</f>
        <v>0</v>
      </c>
      <c r="AA72">
        <f>MAX(0,ROUND(AY71*(1+'Calc base'!M72),2)-O72-'Calc base'!Y72)</f>
        <v>0</v>
      </c>
      <c r="AB72">
        <f>MAX(0,ROUND(AZ71*(1+'Calc base'!N72),2)-P72-'Calc base'!Z72)</f>
        <v>0</v>
      </c>
      <c r="AC72">
        <f>MAX(0,ROUND(BA71*(1+'Calc base'!O72),2)-Q72-'Calc base'!AA72)</f>
        <v>0</v>
      </c>
      <c r="AD72">
        <f>MAX(0,ROUND(BB71*(1+'Calc base'!P72),2)-R72-'Calc base'!AB72)</f>
        <v>0</v>
      </c>
      <c r="AE72">
        <f>MAX(0,ROUND(BC71*(1+'Calc base'!Q72),2)-S72-'Calc base'!AC72)</f>
        <v>0</v>
      </c>
      <c r="AF72">
        <f>MAX(0,ROUND(BD71*(1+'Calc base'!R72),2)-T72-'Calc base'!AD72)</f>
        <v>0</v>
      </c>
      <c r="AG72">
        <f>MAX(0,ROUND(BE71*(1+'Calc base'!S72),2)-U72-'Calc base'!AE72)</f>
        <v>0</v>
      </c>
      <c r="AH72">
        <f>IF('Calc base'!C$14=0,0,MIN(V72,MAX(0,$E72-SUMIFS($V72:$AG72,'Calc base'!$C$17:$N$17,"&lt;"&amp;'Calc base'!C$17,'Calc base'!$C$14:$N$14,1))))</f>
        <v>0</v>
      </c>
      <c r="AI72">
        <f>IF('Calc base'!D$14=0,0,MIN(W72,MAX(0,$E72-SUMIFS($V72:$AG72,'Calc base'!$C$17:$N$17,"&lt;"&amp;'Calc base'!D$17,'Calc base'!$C$14:$N$14,1))))</f>
        <v>0</v>
      </c>
      <c r="AJ72">
        <f>IF('Calc base'!E$14=0,0,MIN(X72,MAX(0,$E72-SUMIFS($V72:$AG72,'Calc base'!$C$17:$N$17,"&lt;"&amp;'Calc base'!E$17,'Calc base'!$C$14:$N$14,1))))</f>
        <v>0</v>
      </c>
      <c r="AK72">
        <f>IF('Calc base'!F$14=0,0,MIN(Y72,MAX(0,$E72-SUMIFS($V72:$AG72,'Calc base'!$C$17:$N$17,"&lt;"&amp;'Calc base'!F$17,'Calc base'!$C$14:$N$14,1))))</f>
        <v>0</v>
      </c>
      <c r="AL72">
        <f>IF('Calc base'!G$14=0,0,MIN(Z72,MAX(0,$E72-SUMIFS($V72:$AG72,'Calc base'!$C$17:$N$17,"&lt;"&amp;'Calc base'!G$17,'Calc base'!$C$14:$N$14,1))))</f>
        <v>0</v>
      </c>
      <c r="AM72">
        <f>IF('Calc base'!H$14=0,0,MIN(AA72,MAX(0,$E72-SUMIFS($V72:$AG72,'Calc base'!$C$17:$N$17,"&lt;"&amp;'Calc base'!H$17,'Calc base'!$C$14:$N$14,1))))</f>
        <v>0</v>
      </c>
      <c r="AN72">
        <f>IF('Calc base'!I$14=0,0,MIN(AB72,MAX(0,$E72-SUMIFS($V72:$AG72,'Calc base'!$C$17:$N$17,"&lt;"&amp;'Calc base'!I$17,'Calc base'!$C$14:$N$14,1))))</f>
        <v>0</v>
      </c>
      <c r="AO72">
        <f>IF('Calc base'!J$14=0,0,MIN(AC72,MAX(0,$E72-SUMIFS($V72:$AG72,'Calc base'!$C$17:$N$17,"&lt;"&amp;'Calc base'!J$17,'Calc base'!$C$14:$N$14,1))))</f>
        <v>0</v>
      </c>
      <c r="AP72">
        <f>IF('Calc base'!K$14=0,0,MIN(AD72,MAX(0,$E72-SUMIFS($V72:$AG72,'Calc base'!$C$17:$N$17,"&lt;"&amp;'Calc base'!K$17,'Calc base'!$C$14:$N$14,1))))</f>
        <v>0</v>
      </c>
      <c r="AQ72">
        <f>IF('Calc base'!L$14=0,0,MIN(AE72,MAX(0,$E72-SUMIFS($V72:$AG72,'Calc base'!$C$17:$N$17,"&lt;"&amp;'Calc base'!L$17,'Calc base'!$C$14:$N$14,1))))</f>
        <v>0</v>
      </c>
      <c r="AR72">
        <f>IF('Calc base'!M$14=0,0,MIN(AF72,MAX(0,$E72-SUMIFS($V72:$AG72,'Calc base'!$C$17:$N$17,"&lt;"&amp;'Calc base'!M$17,'Calc base'!$C$14:$N$14,1))))</f>
        <v>0</v>
      </c>
      <c r="AS72">
        <f>IF('Calc base'!N$14=0,0,MIN(AG72,MAX(0,$E72-SUMIFS($V72:$AG72,'Calc base'!$C$17:$N$17,"&lt;"&amp;'Calc base'!N$17,'Calc base'!$C$14:$N$14,1))))</f>
        <v>0</v>
      </c>
      <c r="AT72">
        <f>V72-AH72</f>
        <v>0</v>
      </c>
      <c r="AU72">
        <f>W72-AI72</f>
        <v>0</v>
      </c>
      <c r="AV72">
        <f>X72-AJ72</f>
        <v>0</v>
      </c>
      <c r="AW72">
        <f>Y72-AK72</f>
        <v>0</v>
      </c>
      <c r="AX72">
        <f>Z72-AL72</f>
        <v>0</v>
      </c>
      <c r="AY72">
        <f>AA72-AM72</f>
        <v>0</v>
      </c>
      <c r="AZ72">
        <f>AB72-AN72</f>
        <v>0</v>
      </c>
      <c r="BA72">
        <f>AC72-AO72</f>
        <v>0</v>
      </c>
      <c r="BB72">
        <f>AD72-AP72</f>
        <v>0</v>
      </c>
      <c r="BC72">
        <f>AE72-AQ72</f>
        <v>0</v>
      </c>
      <c r="BD72">
        <f>AF72-AR72</f>
        <v>0</v>
      </c>
      <c r="BE72">
        <f>AG72-AS72</f>
        <v>0</v>
      </c>
    </row>
    <row r="73">
      <c r="A73" t="n">
        <v>43</v>
      </c>
      <c r="B73">
        <f>SUMPRODUCT(ROUND($AT72:$BE72*(1+'Calc base'!$H73:$S73),2))</f>
        <v>0</v>
      </c>
      <c r="C73">
        <f>SUM(J73:U73)</f>
        <v>0</v>
      </c>
      <c r="D73">
        <f>SUM(V73:AG73)</f>
        <v>0</v>
      </c>
      <c r="E73">
        <f>MAX(0,IF(Impostazioni!$B$7="No",'Calc base'!$C73-$C$31,'Calc base'!$C73-C73)+'Calc base'!$G73+'Calc base'!$F73-(B73-C73-D73))</f>
        <v>900</v>
      </c>
      <c r="F73">
        <f>SUM(AH73:AS73)</f>
        <v>0</v>
      </c>
      <c r="G73">
        <f>SUM(AT73:BE73)</f>
        <v>0</v>
      </c>
      <c r="H73">
        <f>B73-G72</f>
        <v>0</v>
      </c>
      <c r="I73">
        <f>B73-G73</f>
        <v>0</v>
      </c>
      <c r="J73">
        <f>IF(AT72&lt;=0,0,IF(ROUND(AT72*(1+'Calc base'!H73),2)-MAX('Calc base'!C$12,ROUND('Calc base'!C$13*AT72,2))&lt;1,ROUND(AT72*(1+'Calc base'!H73),2),MAX('Calc base'!C$12,ROUND('Calc base'!C$13*AT72,2))))</f>
        <v>0</v>
      </c>
      <c r="K73">
        <f>IF(AU72&lt;=0,0,IF(ROUND(AU72*(1+'Calc base'!I73),2)-MAX('Calc base'!D$12,ROUND('Calc base'!D$13*AU72,2))&lt;1,ROUND(AU72*(1+'Calc base'!I73),2),MAX('Calc base'!D$12,ROUND('Calc base'!D$13*AU72,2))))</f>
        <v>0</v>
      </c>
      <c r="L73">
        <f>IF(AV72&lt;=0,0,IF(ROUND(AV72*(1+'Calc base'!J73),2)-MAX('Calc base'!E$12,ROUND('Calc base'!E$13*AV72,2))&lt;1,ROUND(AV72*(1+'Calc base'!J73),2),MAX('Calc base'!E$12,ROUND('Calc base'!E$13*AV72,2))))</f>
        <v>0</v>
      </c>
      <c r="M73">
        <f>IF(AW72&lt;=0,0,IF(ROUND(AW72*(1+'Calc base'!K73),2)-MAX('Calc base'!F$12,ROUND('Calc base'!F$13*AW72,2))&lt;1,ROUND(AW72*(1+'Calc base'!K73),2),MAX('Calc base'!F$12,ROUND('Calc base'!F$13*AW72,2))))</f>
        <v>0</v>
      </c>
      <c r="N73">
        <f>IF(AX72&lt;=0,0,IF(ROUND(AX72*(1+'Calc base'!L73),2)-MAX('Calc base'!G$12,ROUND('Calc base'!G$13*AX72,2))&lt;1,ROUND(AX72*(1+'Calc base'!L73),2),MAX('Calc base'!G$12,ROUND('Calc base'!G$13*AX72,2))))</f>
        <v>0</v>
      </c>
      <c r="O73">
        <f>IF(AY72&lt;=0,0,IF(ROUND(AY72*(1+'Calc base'!M73),2)-MAX('Calc base'!H$12,ROUND('Calc base'!H$13*AY72,2))&lt;1,ROUND(AY72*(1+'Calc base'!M73),2),MAX('Calc base'!H$12,ROUND('Calc base'!H$13*AY72,2))))</f>
        <v>0</v>
      </c>
      <c r="P73">
        <f>IF(AZ72&lt;=0,0,IF(ROUND(AZ72*(1+'Calc base'!N73),2)-MAX('Calc base'!I$12,ROUND('Calc base'!I$13*AZ72,2))&lt;1,ROUND(AZ72*(1+'Calc base'!N73),2),MAX('Calc base'!I$12,ROUND('Calc base'!I$13*AZ72,2))))</f>
        <v>0</v>
      </c>
      <c r="Q73">
        <f>IF(BA72&lt;=0,0,IF(ROUND(BA72*(1+'Calc base'!O73),2)-MAX('Calc base'!J$12,ROUND('Calc base'!J$13*BA72,2))&lt;1,ROUND(BA72*(1+'Calc base'!O73),2),MAX('Calc base'!J$12,ROUND('Calc base'!J$13*BA72,2))))</f>
        <v>0</v>
      </c>
      <c r="R73">
        <f>IF(BB72&lt;=0,0,IF(ROUND(BB72*(1+'Calc base'!P73),2)-MAX('Calc base'!K$12,ROUND('Calc base'!K$13*BB72,2))&lt;1,ROUND(BB72*(1+'Calc base'!P73),2),MAX('Calc base'!K$12,ROUND('Calc base'!K$13*BB72,2))))</f>
        <v>0</v>
      </c>
      <c r="S73">
        <f>IF(BC72&lt;=0,0,IF(ROUND(BC72*(1+'Calc base'!Q73),2)-MAX('Calc base'!L$12,ROUND('Calc base'!L$13*BC72,2))&lt;1,ROUND(BC72*(1+'Calc base'!Q73),2),MAX('Calc base'!L$12,ROUND('Calc base'!L$13*BC72,2))))</f>
        <v>0</v>
      </c>
      <c r="T73">
        <f>IF(BD72&lt;=0,0,IF(ROUND(BD72*(1+'Calc base'!R73),2)-MAX('Calc base'!M$12,ROUND('Calc base'!M$13*BD72,2))&lt;1,ROUND(BD72*(1+'Calc base'!R73),2),MAX('Calc base'!M$12,ROUND('Calc base'!M$13*BD72,2))))</f>
        <v>0</v>
      </c>
      <c r="U73">
        <f>IF(BE72&lt;=0,0,IF(ROUND(BE72*(1+'Calc base'!S73),2)-MAX('Calc base'!N$12,ROUND('Calc base'!N$13*BE72,2))&lt;1,ROUND(BE72*(1+'Calc base'!S73),2),MAX('Calc base'!N$12,ROUND('Calc base'!N$13*BE72,2))))</f>
        <v>0</v>
      </c>
      <c r="V73">
        <f>MAX(0,ROUND(AT72*(1+'Calc base'!H73),2)-J73-'Calc base'!T73)</f>
        <v>0</v>
      </c>
      <c r="W73">
        <f>MAX(0,ROUND(AU72*(1+'Calc base'!I73),2)-K73-'Calc base'!U73)</f>
        <v>0</v>
      </c>
      <c r="X73">
        <f>MAX(0,ROUND(AV72*(1+'Calc base'!J73),2)-L73-'Calc base'!V73)</f>
        <v>0</v>
      </c>
      <c r="Y73">
        <f>MAX(0,ROUND(AW72*(1+'Calc base'!K73),2)-M73-'Calc base'!W73)</f>
        <v>0</v>
      </c>
      <c r="Z73">
        <f>MAX(0,ROUND(AX72*(1+'Calc base'!L73),2)-N73-'Calc base'!X73)</f>
        <v>0</v>
      </c>
      <c r="AA73">
        <f>MAX(0,ROUND(AY72*(1+'Calc base'!M73),2)-O73-'Calc base'!Y73)</f>
        <v>0</v>
      </c>
      <c r="AB73">
        <f>MAX(0,ROUND(AZ72*(1+'Calc base'!N73),2)-P73-'Calc base'!Z73)</f>
        <v>0</v>
      </c>
      <c r="AC73">
        <f>MAX(0,ROUND(BA72*(1+'Calc base'!O73),2)-Q73-'Calc base'!AA73)</f>
        <v>0</v>
      </c>
      <c r="AD73">
        <f>MAX(0,ROUND(BB72*(1+'Calc base'!P73),2)-R73-'Calc base'!AB73)</f>
        <v>0</v>
      </c>
      <c r="AE73">
        <f>MAX(0,ROUND(BC72*(1+'Calc base'!Q73),2)-S73-'Calc base'!AC73)</f>
        <v>0</v>
      </c>
      <c r="AF73">
        <f>MAX(0,ROUND(BD72*(1+'Calc base'!R73),2)-T73-'Calc base'!AD73)</f>
        <v>0</v>
      </c>
      <c r="AG73">
        <f>MAX(0,ROUND(BE72*(1+'Calc base'!S73),2)-U73-'Calc base'!AE73)</f>
        <v>0</v>
      </c>
      <c r="AH73">
        <f>IF('Calc base'!C$14=0,0,MIN(V73,MAX(0,$E73-SUMIFS($V73:$AG73,'Calc base'!$C$17:$N$17,"&lt;"&amp;'Calc base'!C$17,'Calc base'!$C$14:$N$14,1))))</f>
        <v>0</v>
      </c>
      <c r="AI73">
        <f>IF('Calc base'!D$14=0,0,MIN(W73,MAX(0,$E73-SUMIFS($V73:$AG73,'Calc base'!$C$17:$N$17,"&lt;"&amp;'Calc base'!D$17,'Calc base'!$C$14:$N$14,1))))</f>
        <v>0</v>
      </c>
      <c r="AJ73">
        <f>IF('Calc base'!E$14=0,0,MIN(X73,MAX(0,$E73-SUMIFS($V73:$AG73,'Calc base'!$C$17:$N$17,"&lt;"&amp;'Calc base'!E$17,'Calc base'!$C$14:$N$14,1))))</f>
        <v>0</v>
      </c>
      <c r="AK73">
        <f>IF('Calc base'!F$14=0,0,MIN(Y73,MAX(0,$E73-SUMIFS($V73:$AG73,'Calc base'!$C$17:$N$17,"&lt;"&amp;'Calc base'!F$17,'Calc base'!$C$14:$N$14,1))))</f>
        <v>0</v>
      </c>
      <c r="AL73">
        <f>IF('Calc base'!G$14=0,0,MIN(Z73,MAX(0,$E73-SUMIFS($V73:$AG73,'Calc base'!$C$17:$N$17,"&lt;"&amp;'Calc base'!G$17,'Calc base'!$C$14:$N$14,1))))</f>
        <v>0</v>
      </c>
      <c r="AM73">
        <f>IF('Calc base'!H$14=0,0,MIN(AA73,MAX(0,$E73-SUMIFS($V73:$AG73,'Calc base'!$C$17:$N$17,"&lt;"&amp;'Calc base'!H$17,'Calc base'!$C$14:$N$14,1))))</f>
        <v>0</v>
      </c>
      <c r="AN73">
        <f>IF('Calc base'!I$14=0,0,MIN(AB73,MAX(0,$E73-SUMIFS($V73:$AG73,'Calc base'!$C$17:$N$17,"&lt;"&amp;'Calc base'!I$17,'Calc base'!$C$14:$N$14,1))))</f>
        <v>0</v>
      </c>
      <c r="AO73">
        <f>IF('Calc base'!J$14=0,0,MIN(AC73,MAX(0,$E73-SUMIFS($V73:$AG73,'Calc base'!$C$17:$N$17,"&lt;"&amp;'Calc base'!J$17,'Calc base'!$C$14:$N$14,1))))</f>
        <v>0</v>
      </c>
      <c r="AP73">
        <f>IF('Calc base'!K$14=0,0,MIN(AD73,MAX(0,$E73-SUMIFS($V73:$AG73,'Calc base'!$C$17:$N$17,"&lt;"&amp;'Calc base'!K$17,'Calc base'!$C$14:$N$14,1))))</f>
        <v>0</v>
      </c>
      <c r="AQ73">
        <f>IF('Calc base'!L$14=0,0,MIN(AE73,MAX(0,$E73-SUMIFS($V73:$AG73,'Calc base'!$C$17:$N$17,"&lt;"&amp;'Calc base'!L$17,'Calc base'!$C$14:$N$14,1))))</f>
        <v>0</v>
      </c>
      <c r="AR73">
        <f>IF('Calc base'!M$14=0,0,MIN(AF73,MAX(0,$E73-SUMIFS($V73:$AG73,'Calc base'!$C$17:$N$17,"&lt;"&amp;'Calc base'!M$17,'Calc base'!$C$14:$N$14,1))))</f>
        <v>0</v>
      </c>
      <c r="AS73">
        <f>IF('Calc base'!N$14=0,0,MIN(AG73,MAX(0,$E73-SUMIFS($V73:$AG73,'Calc base'!$C$17:$N$17,"&lt;"&amp;'Calc base'!N$17,'Calc base'!$C$14:$N$14,1))))</f>
        <v>0</v>
      </c>
      <c r="AT73">
        <f>V73-AH73</f>
        <v>0</v>
      </c>
      <c r="AU73">
        <f>W73-AI73</f>
        <v>0</v>
      </c>
      <c r="AV73">
        <f>X73-AJ73</f>
        <v>0</v>
      </c>
      <c r="AW73">
        <f>Y73-AK73</f>
        <v>0</v>
      </c>
      <c r="AX73">
        <f>Z73-AL73</f>
        <v>0</v>
      </c>
      <c r="AY73">
        <f>AA73-AM73</f>
        <v>0</v>
      </c>
      <c r="AZ73">
        <f>AB73-AN73</f>
        <v>0</v>
      </c>
      <c r="BA73">
        <f>AC73-AO73</f>
        <v>0</v>
      </c>
      <c r="BB73">
        <f>AD73-AP73</f>
        <v>0</v>
      </c>
      <c r="BC73">
        <f>AE73-AQ73</f>
        <v>0</v>
      </c>
      <c r="BD73">
        <f>AF73-AR73</f>
        <v>0</v>
      </c>
      <c r="BE73">
        <f>AG73-AS73</f>
        <v>0</v>
      </c>
    </row>
    <row r="74">
      <c r="A74" t="n">
        <v>44</v>
      </c>
      <c r="B74">
        <f>SUMPRODUCT(ROUND($AT73:$BE73*(1+'Calc base'!$H74:$S74),2))</f>
        <v>0</v>
      </c>
      <c r="C74">
        <f>SUM(J74:U74)</f>
        <v>0</v>
      </c>
      <c r="D74">
        <f>SUM(V74:AG74)</f>
        <v>0</v>
      </c>
      <c r="E74">
        <f>MAX(0,IF(Impostazioni!$B$7="No",'Calc base'!$C74-$C$31,'Calc base'!$C74-C74)+'Calc base'!$G74+'Calc base'!$F74-(B74-C74-D74))</f>
        <v>900</v>
      </c>
      <c r="F74">
        <f>SUM(AH74:AS74)</f>
        <v>0</v>
      </c>
      <c r="G74">
        <f>SUM(AT74:BE74)</f>
        <v>0</v>
      </c>
      <c r="H74">
        <f>B74-G73</f>
        <v>0</v>
      </c>
      <c r="I74">
        <f>B74-G74</f>
        <v>0</v>
      </c>
      <c r="J74">
        <f>IF(AT73&lt;=0,0,IF(ROUND(AT73*(1+'Calc base'!H74),2)-MAX('Calc base'!C$12,ROUND('Calc base'!C$13*AT73,2))&lt;1,ROUND(AT73*(1+'Calc base'!H74),2),MAX('Calc base'!C$12,ROUND('Calc base'!C$13*AT73,2))))</f>
        <v>0</v>
      </c>
      <c r="K74">
        <f>IF(AU73&lt;=0,0,IF(ROUND(AU73*(1+'Calc base'!I74),2)-MAX('Calc base'!D$12,ROUND('Calc base'!D$13*AU73,2))&lt;1,ROUND(AU73*(1+'Calc base'!I74),2),MAX('Calc base'!D$12,ROUND('Calc base'!D$13*AU73,2))))</f>
        <v>0</v>
      </c>
      <c r="L74">
        <f>IF(AV73&lt;=0,0,IF(ROUND(AV73*(1+'Calc base'!J74),2)-MAX('Calc base'!E$12,ROUND('Calc base'!E$13*AV73,2))&lt;1,ROUND(AV73*(1+'Calc base'!J74),2),MAX('Calc base'!E$12,ROUND('Calc base'!E$13*AV73,2))))</f>
        <v>0</v>
      </c>
      <c r="M74">
        <f>IF(AW73&lt;=0,0,IF(ROUND(AW73*(1+'Calc base'!K74),2)-MAX('Calc base'!F$12,ROUND('Calc base'!F$13*AW73,2))&lt;1,ROUND(AW73*(1+'Calc base'!K74),2),MAX('Calc base'!F$12,ROUND('Calc base'!F$13*AW73,2))))</f>
        <v>0</v>
      </c>
      <c r="N74">
        <f>IF(AX73&lt;=0,0,IF(ROUND(AX73*(1+'Calc base'!L74),2)-MAX('Calc base'!G$12,ROUND('Calc base'!G$13*AX73,2))&lt;1,ROUND(AX73*(1+'Calc base'!L74),2),MAX('Calc base'!G$12,ROUND('Calc base'!G$13*AX73,2))))</f>
        <v>0</v>
      </c>
      <c r="O74">
        <f>IF(AY73&lt;=0,0,IF(ROUND(AY73*(1+'Calc base'!M74),2)-MAX('Calc base'!H$12,ROUND('Calc base'!H$13*AY73,2))&lt;1,ROUND(AY73*(1+'Calc base'!M74),2),MAX('Calc base'!H$12,ROUND('Calc base'!H$13*AY73,2))))</f>
        <v>0</v>
      </c>
      <c r="P74">
        <f>IF(AZ73&lt;=0,0,IF(ROUND(AZ73*(1+'Calc base'!N74),2)-MAX('Calc base'!I$12,ROUND('Calc base'!I$13*AZ73,2))&lt;1,ROUND(AZ73*(1+'Calc base'!N74),2),MAX('Calc base'!I$12,ROUND('Calc base'!I$13*AZ73,2))))</f>
        <v>0</v>
      </c>
      <c r="Q74">
        <f>IF(BA73&lt;=0,0,IF(ROUND(BA73*(1+'Calc base'!O74),2)-MAX('Calc base'!J$12,ROUND('Calc base'!J$13*BA73,2))&lt;1,ROUND(BA73*(1+'Calc base'!O74),2),MAX('Calc base'!J$12,ROUND('Calc base'!J$13*BA73,2))))</f>
        <v>0</v>
      </c>
      <c r="R74">
        <f>IF(BB73&lt;=0,0,IF(ROUND(BB73*(1+'Calc base'!P74),2)-MAX('Calc base'!K$12,ROUND('Calc base'!K$13*BB73,2))&lt;1,ROUND(BB73*(1+'Calc base'!P74),2),MAX('Calc base'!K$12,ROUND('Calc base'!K$13*BB73,2))))</f>
        <v>0</v>
      </c>
      <c r="S74">
        <f>IF(BC73&lt;=0,0,IF(ROUND(BC73*(1+'Calc base'!Q74),2)-MAX('Calc base'!L$12,ROUND('Calc base'!L$13*BC73,2))&lt;1,ROUND(BC73*(1+'Calc base'!Q74),2),MAX('Calc base'!L$12,ROUND('Calc base'!L$13*BC73,2))))</f>
        <v>0</v>
      </c>
      <c r="T74">
        <f>IF(BD73&lt;=0,0,IF(ROUND(BD73*(1+'Calc base'!R74),2)-MAX('Calc base'!M$12,ROUND('Calc base'!M$13*BD73,2))&lt;1,ROUND(BD73*(1+'Calc base'!R74),2),MAX('Calc base'!M$12,ROUND('Calc base'!M$13*BD73,2))))</f>
        <v>0</v>
      </c>
      <c r="U74">
        <f>IF(BE73&lt;=0,0,IF(ROUND(BE73*(1+'Calc base'!S74),2)-MAX('Calc base'!N$12,ROUND('Calc base'!N$13*BE73,2))&lt;1,ROUND(BE73*(1+'Calc base'!S74),2),MAX('Calc base'!N$12,ROUND('Calc base'!N$13*BE73,2))))</f>
        <v>0</v>
      </c>
      <c r="V74">
        <f>MAX(0,ROUND(AT73*(1+'Calc base'!H74),2)-J74-'Calc base'!T74)</f>
        <v>0</v>
      </c>
      <c r="W74">
        <f>MAX(0,ROUND(AU73*(1+'Calc base'!I74),2)-K74-'Calc base'!U74)</f>
        <v>0</v>
      </c>
      <c r="X74">
        <f>MAX(0,ROUND(AV73*(1+'Calc base'!J74),2)-L74-'Calc base'!V74)</f>
        <v>0</v>
      </c>
      <c r="Y74">
        <f>MAX(0,ROUND(AW73*(1+'Calc base'!K74),2)-M74-'Calc base'!W74)</f>
        <v>0</v>
      </c>
      <c r="Z74">
        <f>MAX(0,ROUND(AX73*(1+'Calc base'!L74),2)-N74-'Calc base'!X74)</f>
        <v>0</v>
      </c>
      <c r="AA74">
        <f>MAX(0,ROUND(AY73*(1+'Calc base'!M74),2)-O74-'Calc base'!Y74)</f>
        <v>0</v>
      </c>
      <c r="AB74">
        <f>MAX(0,ROUND(AZ73*(1+'Calc base'!N74),2)-P74-'Calc base'!Z74)</f>
        <v>0</v>
      </c>
      <c r="AC74">
        <f>MAX(0,ROUND(BA73*(1+'Calc base'!O74),2)-Q74-'Calc base'!AA74)</f>
        <v>0</v>
      </c>
      <c r="AD74">
        <f>MAX(0,ROUND(BB73*(1+'Calc base'!P74),2)-R74-'Calc base'!AB74)</f>
        <v>0</v>
      </c>
      <c r="AE74">
        <f>MAX(0,ROUND(BC73*(1+'Calc base'!Q74),2)-S74-'Calc base'!AC74)</f>
        <v>0</v>
      </c>
      <c r="AF74">
        <f>MAX(0,ROUND(BD73*(1+'Calc base'!R74),2)-T74-'Calc base'!AD74)</f>
        <v>0</v>
      </c>
      <c r="AG74">
        <f>MAX(0,ROUND(BE73*(1+'Calc base'!S74),2)-U74-'Calc base'!AE74)</f>
        <v>0</v>
      </c>
      <c r="AH74">
        <f>IF('Calc base'!C$14=0,0,MIN(V74,MAX(0,$E74-SUMIFS($V74:$AG74,'Calc base'!$C$17:$N$17,"&lt;"&amp;'Calc base'!C$17,'Calc base'!$C$14:$N$14,1))))</f>
        <v>0</v>
      </c>
      <c r="AI74">
        <f>IF('Calc base'!D$14=0,0,MIN(W74,MAX(0,$E74-SUMIFS($V74:$AG74,'Calc base'!$C$17:$N$17,"&lt;"&amp;'Calc base'!D$17,'Calc base'!$C$14:$N$14,1))))</f>
        <v>0</v>
      </c>
      <c r="AJ74">
        <f>IF('Calc base'!E$14=0,0,MIN(X74,MAX(0,$E74-SUMIFS($V74:$AG74,'Calc base'!$C$17:$N$17,"&lt;"&amp;'Calc base'!E$17,'Calc base'!$C$14:$N$14,1))))</f>
        <v>0</v>
      </c>
      <c r="AK74">
        <f>IF('Calc base'!F$14=0,0,MIN(Y74,MAX(0,$E74-SUMIFS($V74:$AG74,'Calc base'!$C$17:$N$17,"&lt;"&amp;'Calc base'!F$17,'Calc base'!$C$14:$N$14,1))))</f>
        <v>0</v>
      </c>
      <c r="AL74">
        <f>IF('Calc base'!G$14=0,0,MIN(Z74,MAX(0,$E74-SUMIFS($V74:$AG74,'Calc base'!$C$17:$N$17,"&lt;"&amp;'Calc base'!G$17,'Calc base'!$C$14:$N$14,1))))</f>
        <v>0</v>
      </c>
      <c r="AM74">
        <f>IF('Calc base'!H$14=0,0,MIN(AA74,MAX(0,$E74-SUMIFS($V74:$AG74,'Calc base'!$C$17:$N$17,"&lt;"&amp;'Calc base'!H$17,'Calc base'!$C$14:$N$14,1))))</f>
        <v>0</v>
      </c>
      <c r="AN74">
        <f>IF('Calc base'!I$14=0,0,MIN(AB74,MAX(0,$E74-SUMIFS($V74:$AG74,'Calc base'!$C$17:$N$17,"&lt;"&amp;'Calc base'!I$17,'Calc base'!$C$14:$N$14,1))))</f>
        <v>0</v>
      </c>
      <c r="AO74">
        <f>IF('Calc base'!J$14=0,0,MIN(AC74,MAX(0,$E74-SUMIFS($V74:$AG74,'Calc base'!$C$17:$N$17,"&lt;"&amp;'Calc base'!J$17,'Calc base'!$C$14:$N$14,1))))</f>
        <v>0</v>
      </c>
      <c r="AP74">
        <f>IF('Calc base'!K$14=0,0,MIN(AD74,MAX(0,$E74-SUMIFS($V74:$AG74,'Calc base'!$C$17:$N$17,"&lt;"&amp;'Calc base'!K$17,'Calc base'!$C$14:$N$14,1))))</f>
        <v>0</v>
      </c>
      <c r="AQ74">
        <f>IF('Calc base'!L$14=0,0,MIN(AE74,MAX(0,$E74-SUMIFS($V74:$AG74,'Calc base'!$C$17:$N$17,"&lt;"&amp;'Calc base'!L$17,'Calc base'!$C$14:$N$14,1))))</f>
        <v>0</v>
      </c>
      <c r="AR74">
        <f>IF('Calc base'!M$14=0,0,MIN(AF74,MAX(0,$E74-SUMIFS($V74:$AG74,'Calc base'!$C$17:$N$17,"&lt;"&amp;'Calc base'!M$17,'Calc base'!$C$14:$N$14,1))))</f>
        <v>0</v>
      </c>
      <c r="AS74">
        <f>IF('Calc base'!N$14=0,0,MIN(AG74,MAX(0,$E74-SUMIFS($V74:$AG74,'Calc base'!$C$17:$N$17,"&lt;"&amp;'Calc base'!N$17,'Calc base'!$C$14:$N$14,1))))</f>
        <v>0</v>
      </c>
      <c r="AT74">
        <f>V74-AH74</f>
        <v>0</v>
      </c>
      <c r="AU74">
        <f>W74-AI74</f>
        <v>0</v>
      </c>
      <c r="AV74">
        <f>X74-AJ74</f>
        <v>0</v>
      </c>
      <c r="AW74">
        <f>Y74-AK74</f>
        <v>0</v>
      </c>
      <c r="AX74">
        <f>Z74-AL74</f>
        <v>0</v>
      </c>
      <c r="AY74">
        <f>AA74-AM74</f>
        <v>0</v>
      </c>
      <c r="AZ74">
        <f>AB74-AN74</f>
        <v>0</v>
      </c>
      <c r="BA74">
        <f>AC74-AO74</f>
        <v>0</v>
      </c>
      <c r="BB74">
        <f>AD74-AP74</f>
        <v>0</v>
      </c>
      <c r="BC74">
        <f>AE74-AQ74</f>
        <v>0</v>
      </c>
      <c r="BD74">
        <f>AF74-AR74</f>
        <v>0</v>
      </c>
      <c r="BE74">
        <f>AG74-AS74</f>
        <v>0</v>
      </c>
    </row>
    <row r="75">
      <c r="A75" t="n">
        <v>45</v>
      </c>
      <c r="B75">
        <f>SUMPRODUCT(ROUND($AT74:$BE74*(1+'Calc base'!$H75:$S75),2))</f>
        <v>0</v>
      </c>
      <c r="C75">
        <f>SUM(J75:U75)</f>
        <v>0</v>
      </c>
      <c r="D75">
        <f>SUM(V75:AG75)</f>
        <v>0</v>
      </c>
      <c r="E75">
        <f>MAX(0,IF(Impostazioni!$B$7="No",'Calc base'!$C75-$C$31,'Calc base'!$C75-C75)+'Calc base'!$G75+'Calc base'!$F75-(B75-C75-D75))</f>
        <v>900</v>
      </c>
      <c r="F75">
        <f>SUM(AH75:AS75)</f>
        <v>0</v>
      </c>
      <c r="G75">
        <f>SUM(AT75:BE75)</f>
        <v>0</v>
      </c>
      <c r="H75">
        <f>B75-G74</f>
        <v>0</v>
      </c>
      <c r="I75">
        <f>B75-G75</f>
        <v>0</v>
      </c>
      <c r="J75">
        <f>IF(AT74&lt;=0,0,IF(ROUND(AT74*(1+'Calc base'!H75),2)-MAX('Calc base'!C$12,ROUND('Calc base'!C$13*AT74,2))&lt;1,ROUND(AT74*(1+'Calc base'!H75),2),MAX('Calc base'!C$12,ROUND('Calc base'!C$13*AT74,2))))</f>
        <v>0</v>
      </c>
      <c r="K75">
        <f>IF(AU74&lt;=0,0,IF(ROUND(AU74*(1+'Calc base'!I75),2)-MAX('Calc base'!D$12,ROUND('Calc base'!D$13*AU74,2))&lt;1,ROUND(AU74*(1+'Calc base'!I75),2),MAX('Calc base'!D$12,ROUND('Calc base'!D$13*AU74,2))))</f>
        <v>0</v>
      </c>
      <c r="L75">
        <f>IF(AV74&lt;=0,0,IF(ROUND(AV74*(1+'Calc base'!J75),2)-MAX('Calc base'!E$12,ROUND('Calc base'!E$13*AV74,2))&lt;1,ROUND(AV74*(1+'Calc base'!J75),2),MAX('Calc base'!E$12,ROUND('Calc base'!E$13*AV74,2))))</f>
        <v>0</v>
      </c>
      <c r="M75">
        <f>IF(AW74&lt;=0,0,IF(ROUND(AW74*(1+'Calc base'!K75),2)-MAX('Calc base'!F$12,ROUND('Calc base'!F$13*AW74,2))&lt;1,ROUND(AW74*(1+'Calc base'!K75),2),MAX('Calc base'!F$12,ROUND('Calc base'!F$13*AW74,2))))</f>
        <v>0</v>
      </c>
      <c r="N75">
        <f>IF(AX74&lt;=0,0,IF(ROUND(AX74*(1+'Calc base'!L75),2)-MAX('Calc base'!G$12,ROUND('Calc base'!G$13*AX74,2))&lt;1,ROUND(AX74*(1+'Calc base'!L75),2),MAX('Calc base'!G$12,ROUND('Calc base'!G$13*AX74,2))))</f>
        <v>0</v>
      </c>
      <c r="O75">
        <f>IF(AY74&lt;=0,0,IF(ROUND(AY74*(1+'Calc base'!M75),2)-MAX('Calc base'!H$12,ROUND('Calc base'!H$13*AY74,2))&lt;1,ROUND(AY74*(1+'Calc base'!M75),2),MAX('Calc base'!H$12,ROUND('Calc base'!H$13*AY74,2))))</f>
        <v>0</v>
      </c>
      <c r="P75">
        <f>IF(AZ74&lt;=0,0,IF(ROUND(AZ74*(1+'Calc base'!N75),2)-MAX('Calc base'!I$12,ROUND('Calc base'!I$13*AZ74,2))&lt;1,ROUND(AZ74*(1+'Calc base'!N75),2),MAX('Calc base'!I$12,ROUND('Calc base'!I$13*AZ74,2))))</f>
        <v>0</v>
      </c>
      <c r="Q75">
        <f>IF(BA74&lt;=0,0,IF(ROUND(BA74*(1+'Calc base'!O75),2)-MAX('Calc base'!J$12,ROUND('Calc base'!J$13*BA74,2))&lt;1,ROUND(BA74*(1+'Calc base'!O75),2),MAX('Calc base'!J$12,ROUND('Calc base'!J$13*BA74,2))))</f>
        <v>0</v>
      </c>
      <c r="R75">
        <f>IF(BB74&lt;=0,0,IF(ROUND(BB74*(1+'Calc base'!P75),2)-MAX('Calc base'!K$12,ROUND('Calc base'!K$13*BB74,2))&lt;1,ROUND(BB74*(1+'Calc base'!P75),2),MAX('Calc base'!K$12,ROUND('Calc base'!K$13*BB74,2))))</f>
        <v>0</v>
      </c>
      <c r="S75">
        <f>IF(BC74&lt;=0,0,IF(ROUND(BC74*(1+'Calc base'!Q75),2)-MAX('Calc base'!L$12,ROUND('Calc base'!L$13*BC74,2))&lt;1,ROUND(BC74*(1+'Calc base'!Q75),2),MAX('Calc base'!L$12,ROUND('Calc base'!L$13*BC74,2))))</f>
        <v>0</v>
      </c>
      <c r="T75">
        <f>IF(BD74&lt;=0,0,IF(ROUND(BD74*(1+'Calc base'!R75),2)-MAX('Calc base'!M$12,ROUND('Calc base'!M$13*BD74,2))&lt;1,ROUND(BD74*(1+'Calc base'!R75),2),MAX('Calc base'!M$12,ROUND('Calc base'!M$13*BD74,2))))</f>
        <v>0</v>
      </c>
      <c r="U75">
        <f>IF(BE74&lt;=0,0,IF(ROUND(BE74*(1+'Calc base'!S75),2)-MAX('Calc base'!N$12,ROUND('Calc base'!N$13*BE74,2))&lt;1,ROUND(BE74*(1+'Calc base'!S75),2),MAX('Calc base'!N$12,ROUND('Calc base'!N$13*BE74,2))))</f>
        <v>0</v>
      </c>
      <c r="V75">
        <f>MAX(0,ROUND(AT74*(1+'Calc base'!H75),2)-J75-'Calc base'!T75)</f>
        <v>0</v>
      </c>
      <c r="W75">
        <f>MAX(0,ROUND(AU74*(1+'Calc base'!I75),2)-K75-'Calc base'!U75)</f>
        <v>0</v>
      </c>
      <c r="X75">
        <f>MAX(0,ROUND(AV74*(1+'Calc base'!J75),2)-L75-'Calc base'!V75)</f>
        <v>0</v>
      </c>
      <c r="Y75">
        <f>MAX(0,ROUND(AW74*(1+'Calc base'!K75),2)-M75-'Calc base'!W75)</f>
        <v>0</v>
      </c>
      <c r="Z75">
        <f>MAX(0,ROUND(AX74*(1+'Calc base'!L75),2)-N75-'Calc base'!X75)</f>
        <v>0</v>
      </c>
      <c r="AA75">
        <f>MAX(0,ROUND(AY74*(1+'Calc base'!M75),2)-O75-'Calc base'!Y75)</f>
        <v>0</v>
      </c>
      <c r="AB75">
        <f>MAX(0,ROUND(AZ74*(1+'Calc base'!N75),2)-P75-'Calc base'!Z75)</f>
        <v>0</v>
      </c>
      <c r="AC75">
        <f>MAX(0,ROUND(BA74*(1+'Calc base'!O75),2)-Q75-'Calc base'!AA75)</f>
        <v>0</v>
      </c>
      <c r="AD75">
        <f>MAX(0,ROUND(BB74*(1+'Calc base'!P75),2)-R75-'Calc base'!AB75)</f>
        <v>0</v>
      </c>
      <c r="AE75">
        <f>MAX(0,ROUND(BC74*(1+'Calc base'!Q75),2)-S75-'Calc base'!AC75)</f>
        <v>0</v>
      </c>
      <c r="AF75">
        <f>MAX(0,ROUND(BD74*(1+'Calc base'!R75),2)-T75-'Calc base'!AD75)</f>
        <v>0</v>
      </c>
      <c r="AG75">
        <f>MAX(0,ROUND(BE74*(1+'Calc base'!S75),2)-U75-'Calc base'!AE75)</f>
        <v>0</v>
      </c>
      <c r="AH75">
        <f>IF('Calc base'!C$14=0,0,MIN(V75,MAX(0,$E75-SUMIFS($V75:$AG75,'Calc base'!$C$17:$N$17,"&lt;"&amp;'Calc base'!C$17,'Calc base'!$C$14:$N$14,1))))</f>
        <v>0</v>
      </c>
      <c r="AI75">
        <f>IF('Calc base'!D$14=0,0,MIN(W75,MAX(0,$E75-SUMIFS($V75:$AG75,'Calc base'!$C$17:$N$17,"&lt;"&amp;'Calc base'!D$17,'Calc base'!$C$14:$N$14,1))))</f>
        <v>0</v>
      </c>
      <c r="AJ75">
        <f>IF('Calc base'!E$14=0,0,MIN(X75,MAX(0,$E75-SUMIFS($V75:$AG75,'Calc base'!$C$17:$N$17,"&lt;"&amp;'Calc base'!E$17,'Calc base'!$C$14:$N$14,1))))</f>
        <v>0</v>
      </c>
      <c r="AK75">
        <f>IF('Calc base'!F$14=0,0,MIN(Y75,MAX(0,$E75-SUMIFS($V75:$AG75,'Calc base'!$C$17:$N$17,"&lt;"&amp;'Calc base'!F$17,'Calc base'!$C$14:$N$14,1))))</f>
        <v>0</v>
      </c>
      <c r="AL75">
        <f>IF('Calc base'!G$14=0,0,MIN(Z75,MAX(0,$E75-SUMIFS($V75:$AG75,'Calc base'!$C$17:$N$17,"&lt;"&amp;'Calc base'!G$17,'Calc base'!$C$14:$N$14,1))))</f>
        <v>0</v>
      </c>
      <c r="AM75">
        <f>IF('Calc base'!H$14=0,0,MIN(AA75,MAX(0,$E75-SUMIFS($V75:$AG75,'Calc base'!$C$17:$N$17,"&lt;"&amp;'Calc base'!H$17,'Calc base'!$C$14:$N$14,1))))</f>
        <v>0</v>
      </c>
      <c r="AN75">
        <f>IF('Calc base'!I$14=0,0,MIN(AB75,MAX(0,$E75-SUMIFS($V75:$AG75,'Calc base'!$C$17:$N$17,"&lt;"&amp;'Calc base'!I$17,'Calc base'!$C$14:$N$14,1))))</f>
        <v>0</v>
      </c>
      <c r="AO75">
        <f>IF('Calc base'!J$14=0,0,MIN(AC75,MAX(0,$E75-SUMIFS($V75:$AG75,'Calc base'!$C$17:$N$17,"&lt;"&amp;'Calc base'!J$17,'Calc base'!$C$14:$N$14,1))))</f>
        <v>0</v>
      </c>
      <c r="AP75">
        <f>IF('Calc base'!K$14=0,0,MIN(AD75,MAX(0,$E75-SUMIFS($V75:$AG75,'Calc base'!$C$17:$N$17,"&lt;"&amp;'Calc base'!K$17,'Calc base'!$C$14:$N$14,1))))</f>
        <v>0</v>
      </c>
      <c r="AQ75">
        <f>IF('Calc base'!L$14=0,0,MIN(AE75,MAX(0,$E75-SUMIFS($V75:$AG75,'Calc base'!$C$17:$N$17,"&lt;"&amp;'Calc base'!L$17,'Calc base'!$C$14:$N$14,1))))</f>
        <v>0</v>
      </c>
      <c r="AR75">
        <f>IF('Calc base'!M$14=0,0,MIN(AF75,MAX(0,$E75-SUMIFS($V75:$AG75,'Calc base'!$C$17:$N$17,"&lt;"&amp;'Calc base'!M$17,'Calc base'!$C$14:$N$14,1))))</f>
        <v>0</v>
      </c>
      <c r="AS75">
        <f>IF('Calc base'!N$14=0,0,MIN(AG75,MAX(0,$E75-SUMIFS($V75:$AG75,'Calc base'!$C$17:$N$17,"&lt;"&amp;'Calc base'!N$17,'Calc base'!$C$14:$N$14,1))))</f>
        <v>0</v>
      </c>
      <c r="AT75">
        <f>V75-AH75</f>
        <v>0</v>
      </c>
      <c r="AU75">
        <f>W75-AI75</f>
        <v>0</v>
      </c>
      <c r="AV75">
        <f>X75-AJ75</f>
        <v>0</v>
      </c>
      <c r="AW75">
        <f>Y75-AK75</f>
        <v>0</v>
      </c>
      <c r="AX75">
        <f>Z75-AL75</f>
        <v>0</v>
      </c>
      <c r="AY75">
        <f>AA75-AM75</f>
        <v>0</v>
      </c>
      <c r="AZ75">
        <f>AB75-AN75</f>
        <v>0</v>
      </c>
      <c r="BA75">
        <f>AC75-AO75</f>
        <v>0</v>
      </c>
      <c r="BB75">
        <f>AD75-AP75</f>
        <v>0</v>
      </c>
      <c r="BC75">
        <f>AE75-AQ75</f>
        <v>0</v>
      </c>
      <c r="BD75">
        <f>AF75-AR75</f>
        <v>0</v>
      </c>
      <c r="BE75">
        <f>AG75-AS75</f>
        <v>0</v>
      </c>
    </row>
    <row r="76">
      <c r="A76" t="n">
        <v>46</v>
      </c>
      <c r="B76">
        <f>SUMPRODUCT(ROUND($AT75:$BE75*(1+'Calc base'!$H76:$S76),2))</f>
        <v>0</v>
      </c>
      <c r="C76">
        <f>SUM(J76:U76)</f>
        <v>0</v>
      </c>
      <c r="D76">
        <f>SUM(V76:AG76)</f>
        <v>0</v>
      </c>
      <c r="E76">
        <f>MAX(0,IF(Impostazioni!$B$7="No",'Calc base'!$C76-$C$31,'Calc base'!$C76-C76)+'Calc base'!$G76+'Calc base'!$F76-(B76-C76-D76))</f>
        <v>900</v>
      </c>
      <c r="F76">
        <f>SUM(AH76:AS76)</f>
        <v>0</v>
      </c>
      <c r="G76">
        <f>SUM(AT76:BE76)</f>
        <v>0</v>
      </c>
      <c r="H76">
        <f>B76-G75</f>
        <v>0</v>
      </c>
      <c r="I76">
        <f>B76-G76</f>
        <v>0</v>
      </c>
      <c r="J76">
        <f>IF(AT75&lt;=0,0,IF(ROUND(AT75*(1+'Calc base'!H76),2)-MAX('Calc base'!C$12,ROUND('Calc base'!C$13*AT75,2))&lt;1,ROUND(AT75*(1+'Calc base'!H76),2),MAX('Calc base'!C$12,ROUND('Calc base'!C$13*AT75,2))))</f>
        <v>0</v>
      </c>
      <c r="K76">
        <f>IF(AU75&lt;=0,0,IF(ROUND(AU75*(1+'Calc base'!I76),2)-MAX('Calc base'!D$12,ROUND('Calc base'!D$13*AU75,2))&lt;1,ROUND(AU75*(1+'Calc base'!I76),2),MAX('Calc base'!D$12,ROUND('Calc base'!D$13*AU75,2))))</f>
        <v>0</v>
      </c>
      <c r="L76">
        <f>IF(AV75&lt;=0,0,IF(ROUND(AV75*(1+'Calc base'!J76),2)-MAX('Calc base'!E$12,ROUND('Calc base'!E$13*AV75,2))&lt;1,ROUND(AV75*(1+'Calc base'!J76),2),MAX('Calc base'!E$12,ROUND('Calc base'!E$13*AV75,2))))</f>
        <v>0</v>
      </c>
      <c r="M76">
        <f>IF(AW75&lt;=0,0,IF(ROUND(AW75*(1+'Calc base'!K76),2)-MAX('Calc base'!F$12,ROUND('Calc base'!F$13*AW75,2))&lt;1,ROUND(AW75*(1+'Calc base'!K76),2),MAX('Calc base'!F$12,ROUND('Calc base'!F$13*AW75,2))))</f>
        <v>0</v>
      </c>
      <c r="N76">
        <f>IF(AX75&lt;=0,0,IF(ROUND(AX75*(1+'Calc base'!L76),2)-MAX('Calc base'!G$12,ROUND('Calc base'!G$13*AX75,2))&lt;1,ROUND(AX75*(1+'Calc base'!L76),2),MAX('Calc base'!G$12,ROUND('Calc base'!G$13*AX75,2))))</f>
        <v>0</v>
      </c>
      <c r="O76">
        <f>IF(AY75&lt;=0,0,IF(ROUND(AY75*(1+'Calc base'!M76),2)-MAX('Calc base'!H$12,ROUND('Calc base'!H$13*AY75,2))&lt;1,ROUND(AY75*(1+'Calc base'!M76),2),MAX('Calc base'!H$12,ROUND('Calc base'!H$13*AY75,2))))</f>
        <v>0</v>
      </c>
      <c r="P76">
        <f>IF(AZ75&lt;=0,0,IF(ROUND(AZ75*(1+'Calc base'!N76),2)-MAX('Calc base'!I$12,ROUND('Calc base'!I$13*AZ75,2))&lt;1,ROUND(AZ75*(1+'Calc base'!N76),2),MAX('Calc base'!I$12,ROUND('Calc base'!I$13*AZ75,2))))</f>
        <v>0</v>
      </c>
      <c r="Q76">
        <f>IF(BA75&lt;=0,0,IF(ROUND(BA75*(1+'Calc base'!O76),2)-MAX('Calc base'!J$12,ROUND('Calc base'!J$13*BA75,2))&lt;1,ROUND(BA75*(1+'Calc base'!O76),2),MAX('Calc base'!J$12,ROUND('Calc base'!J$13*BA75,2))))</f>
        <v>0</v>
      </c>
      <c r="R76">
        <f>IF(BB75&lt;=0,0,IF(ROUND(BB75*(1+'Calc base'!P76),2)-MAX('Calc base'!K$12,ROUND('Calc base'!K$13*BB75,2))&lt;1,ROUND(BB75*(1+'Calc base'!P76),2),MAX('Calc base'!K$12,ROUND('Calc base'!K$13*BB75,2))))</f>
        <v>0</v>
      </c>
      <c r="S76">
        <f>IF(BC75&lt;=0,0,IF(ROUND(BC75*(1+'Calc base'!Q76),2)-MAX('Calc base'!L$12,ROUND('Calc base'!L$13*BC75,2))&lt;1,ROUND(BC75*(1+'Calc base'!Q76),2),MAX('Calc base'!L$12,ROUND('Calc base'!L$13*BC75,2))))</f>
        <v>0</v>
      </c>
      <c r="T76">
        <f>IF(BD75&lt;=0,0,IF(ROUND(BD75*(1+'Calc base'!R76),2)-MAX('Calc base'!M$12,ROUND('Calc base'!M$13*BD75,2))&lt;1,ROUND(BD75*(1+'Calc base'!R76),2),MAX('Calc base'!M$12,ROUND('Calc base'!M$13*BD75,2))))</f>
        <v>0</v>
      </c>
      <c r="U76">
        <f>IF(BE75&lt;=0,0,IF(ROUND(BE75*(1+'Calc base'!S76),2)-MAX('Calc base'!N$12,ROUND('Calc base'!N$13*BE75,2))&lt;1,ROUND(BE75*(1+'Calc base'!S76),2),MAX('Calc base'!N$12,ROUND('Calc base'!N$13*BE75,2))))</f>
        <v>0</v>
      </c>
      <c r="V76">
        <f>MAX(0,ROUND(AT75*(1+'Calc base'!H76),2)-J76-'Calc base'!T76)</f>
        <v>0</v>
      </c>
      <c r="W76">
        <f>MAX(0,ROUND(AU75*(1+'Calc base'!I76),2)-K76-'Calc base'!U76)</f>
        <v>0</v>
      </c>
      <c r="X76">
        <f>MAX(0,ROUND(AV75*(1+'Calc base'!J76),2)-L76-'Calc base'!V76)</f>
        <v>0</v>
      </c>
      <c r="Y76">
        <f>MAX(0,ROUND(AW75*(1+'Calc base'!K76),2)-M76-'Calc base'!W76)</f>
        <v>0</v>
      </c>
      <c r="Z76">
        <f>MAX(0,ROUND(AX75*(1+'Calc base'!L76),2)-N76-'Calc base'!X76)</f>
        <v>0</v>
      </c>
      <c r="AA76">
        <f>MAX(0,ROUND(AY75*(1+'Calc base'!M76),2)-O76-'Calc base'!Y76)</f>
        <v>0</v>
      </c>
      <c r="AB76">
        <f>MAX(0,ROUND(AZ75*(1+'Calc base'!N76),2)-P76-'Calc base'!Z76)</f>
        <v>0</v>
      </c>
      <c r="AC76">
        <f>MAX(0,ROUND(BA75*(1+'Calc base'!O76),2)-Q76-'Calc base'!AA76)</f>
        <v>0</v>
      </c>
      <c r="AD76">
        <f>MAX(0,ROUND(BB75*(1+'Calc base'!P76),2)-R76-'Calc base'!AB76)</f>
        <v>0</v>
      </c>
      <c r="AE76">
        <f>MAX(0,ROUND(BC75*(1+'Calc base'!Q76),2)-S76-'Calc base'!AC76)</f>
        <v>0</v>
      </c>
      <c r="AF76">
        <f>MAX(0,ROUND(BD75*(1+'Calc base'!R76),2)-T76-'Calc base'!AD76)</f>
        <v>0</v>
      </c>
      <c r="AG76">
        <f>MAX(0,ROUND(BE75*(1+'Calc base'!S76),2)-U76-'Calc base'!AE76)</f>
        <v>0</v>
      </c>
      <c r="AH76">
        <f>IF('Calc base'!C$14=0,0,MIN(V76,MAX(0,$E76-SUMIFS($V76:$AG76,'Calc base'!$C$17:$N$17,"&lt;"&amp;'Calc base'!C$17,'Calc base'!$C$14:$N$14,1))))</f>
        <v>0</v>
      </c>
      <c r="AI76">
        <f>IF('Calc base'!D$14=0,0,MIN(W76,MAX(0,$E76-SUMIFS($V76:$AG76,'Calc base'!$C$17:$N$17,"&lt;"&amp;'Calc base'!D$17,'Calc base'!$C$14:$N$14,1))))</f>
        <v>0</v>
      </c>
      <c r="AJ76">
        <f>IF('Calc base'!E$14=0,0,MIN(X76,MAX(0,$E76-SUMIFS($V76:$AG76,'Calc base'!$C$17:$N$17,"&lt;"&amp;'Calc base'!E$17,'Calc base'!$C$14:$N$14,1))))</f>
        <v>0</v>
      </c>
      <c r="AK76">
        <f>IF('Calc base'!F$14=0,0,MIN(Y76,MAX(0,$E76-SUMIFS($V76:$AG76,'Calc base'!$C$17:$N$17,"&lt;"&amp;'Calc base'!F$17,'Calc base'!$C$14:$N$14,1))))</f>
        <v>0</v>
      </c>
      <c r="AL76">
        <f>IF('Calc base'!G$14=0,0,MIN(Z76,MAX(0,$E76-SUMIFS($V76:$AG76,'Calc base'!$C$17:$N$17,"&lt;"&amp;'Calc base'!G$17,'Calc base'!$C$14:$N$14,1))))</f>
        <v>0</v>
      </c>
      <c r="AM76">
        <f>IF('Calc base'!H$14=0,0,MIN(AA76,MAX(0,$E76-SUMIFS($V76:$AG76,'Calc base'!$C$17:$N$17,"&lt;"&amp;'Calc base'!H$17,'Calc base'!$C$14:$N$14,1))))</f>
        <v>0</v>
      </c>
      <c r="AN76">
        <f>IF('Calc base'!I$14=0,0,MIN(AB76,MAX(0,$E76-SUMIFS($V76:$AG76,'Calc base'!$C$17:$N$17,"&lt;"&amp;'Calc base'!I$17,'Calc base'!$C$14:$N$14,1))))</f>
        <v>0</v>
      </c>
      <c r="AO76">
        <f>IF('Calc base'!J$14=0,0,MIN(AC76,MAX(0,$E76-SUMIFS($V76:$AG76,'Calc base'!$C$17:$N$17,"&lt;"&amp;'Calc base'!J$17,'Calc base'!$C$14:$N$14,1))))</f>
        <v>0</v>
      </c>
      <c r="AP76">
        <f>IF('Calc base'!K$14=0,0,MIN(AD76,MAX(0,$E76-SUMIFS($V76:$AG76,'Calc base'!$C$17:$N$17,"&lt;"&amp;'Calc base'!K$17,'Calc base'!$C$14:$N$14,1))))</f>
        <v>0</v>
      </c>
      <c r="AQ76">
        <f>IF('Calc base'!L$14=0,0,MIN(AE76,MAX(0,$E76-SUMIFS($V76:$AG76,'Calc base'!$C$17:$N$17,"&lt;"&amp;'Calc base'!L$17,'Calc base'!$C$14:$N$14,1))))</f>
        <v>0</v>
      </c>
      <c r="AR76">
        <f>IF('Calc base'!M$14=0,0,MIN(AF76,MAX(0,$E76-SUMIFS($V76:$AG76,'Calc base'!$C$17:$N$17,"&lt;"&amp;'Calc base'!M$17,'Calc base'!$C$14:$N$14,1))))</f>
        <v>0</v>
      </c>
      <c r="AS76">
        <f>IF('Calc base'!N$14=0,0,MIN(AG76,MAX(0,$E76-SUMIFS($V76:$AG76,'Calc base'!$C$17:$N$17,"&lt;"&amp;'Calc base'!N$17,'Calc base'!$C$14:$N$14,1))))</f>
        <v>0</v>
      </c>
      <c r="AT76">
        <f>V76-AH76</f>
        <v>0</v>
      </c>
      <c r="AU76">
        <f>W76-AI76</f>
        <v>0</v>
      </c>
      <c r="AV76">
        <f>X76-AJ76</f>
        <v>0</v>
      </c>
      <c r="AW76">
        <f>Y76-AK76</f>
        <v>0</v>
      </c>
      <c r="AX76">
        <f>Z76-AL76</f>
        <v>0</v>
      </c>
      <c r="AY76">
        <f>AA76-AM76</f>
        <v>0</v>
      </c>
      <c r="AZ76">
        <f>AB76-AN76</f>
        <v>0</v>
      </c>
      <c r="BA76">
        <f>AC76-AO76</f>
        <v>0</v>
      </c>
      <c r="BB76">
        <f>AD76-AP76</f>
        <v>0</v>
      </c>
      <c r="BC76">
        <f>AE76-AQ76</f>
        <v>0</v>
      </c>
      <c r="BD76">
        <f>AF76-AR76</f>
        <v>0</v>
      </c>
      <c r="BE76">
        <f>AG76-AS76</f>
        <v>0</v>
      </c>
    </row>
    <row r="77">
      <c r="A77" t="n">
        <v>47</v>
      </c>
      <c r="B77">
        <f>SUMPRODUCT(ROUND($AT76:$BE76*(1+'Calc base'!$H77:$S77),2))</f>
        <v>0</v>
      </c>
      <c r="C77">
        <f>SUM(J77:U77)</f>
        <v>0</v>
      </c>
      <c r="D77">
        <f>SUM(V77:AG77)</f>
        <v>0</v>
      </c>
      <c r="E77">
        <f>MAX(0,IF(Impostazioni!$B$7="No",'Calc base'!$C77-$C$31,'Calc base'!$C77-C77)+'Calc base'!$G77+'Calc base'!$F77-(B77-C77-D77))</f>
        <v>900</v>
      </c>
      <c r="F77">
        <f>SUM(AH77:AS77)</f>
        <v>0</v>
      </c>
      <c r="G77">
        <f>SUM(AT77:BE77)</f>
        <v>0</v>
      </c>
      <c r="H77">
        <f>B77-G76</f>
        <v>0</v>
      </c>
      <c r="I77">
        <f>B77-G77</f>
        <v>0</v>
      </c>
      <c r="J77">
        <f>IF(AT76&lt;=0,0,IF(ROUND(AT76*(1+'Calc base'!H77),2)-MAX('Calc base'!C$12,ROUND('Calc base'!C$13*AT76,2))&lt;1,ROUND(AT76*(1+'Calc base'!H77),2),MAX('Calc base'!C$12,ROUND('Calc base'!C$13*AT76,2))))</f>
        <v>0</v>
      </c>
      <c r="K77">
        <f>IF(AU76&lt;=0,0,IF(ROUND(AU76*(1+'Calc base'!I77),2)-MAX('Calc base'!D$12,ROUND('Calc base'!D$13*AU76,2))&lt;1,ROUND(AU76*(1+'Calc base'!I77),2),MAX('Calc base'!D$12,ROUND('Calc base'!D$13*AU76,2))))</f>
        <v>0</v>
      </c>
      <c r="L77">
        <f>IF(AV76&lt;=0,0,IF(ROUND(AV76*(1+'Calc base'!J77),2)-MAX('Calc base'!E$12,ROUND('Calc base'!E$13*AV76,2))&lt;1,ROUND(AV76*(1+'Calc base'!J77),2),MAX('Calc base'!E$12,ROUND('Calc base'!E$13*AV76,2))))</f>
        <v>0</v>
      </c>
      <c r="M77">
        <f>IF(AW76&lt;=0,0,IF(ROUND(AW76*(1+'Calc base'!K77),2)-MAX('Calc base'!F$12,ROUND('Calc base'!F$13*AW76,2))&lt;1,ROUND(AW76*(1+'Calc base'!K77),2),MAX('Calc base'!F$12,ROUND('Calc base'!F$13*AW76,2))))</f>
        <v>0</v>
      </c>
      <c r="N77">
        <f>IF(AX76&lt;=0,0,IF(ROUND(AX76*(1+'Calc base'!L77),2)-MAX('Calc base'!G$12,ROUND('Calc base'!G$13*AX76,2))&lt;1,ROUND(AX76*(1+'Calc base'!L77),2),MAX('Calc base'!G$12,ROUND('Calc base'!G$13*AX76,2))))</f>
        <v>0</v>
      </c>
      <c r="O77">
        <f>IF(AY76&lt;=0,0,IF(ROUND(AY76*(1+'Calc base'!M77),2)-MAX('Calc base'!H$12,ROUND('Calc base'!H$13*AY76,2))&lt;1,ROUND(AY76*(1+'Calc base'!M77),2),MAX('Calc base'!H$12,ROUND('Calc base'!H$13*AY76,2))))</f>
        <v>0</v>
      </c>
      <c r="P77">
        <f>IF(AZ76&lt;=0,0,IF(ROUND(AZ76*(1+'Calc base'!N77),2)-MAX('Calc base'!I$12,ROUND('Calc base'!I$13*AZ76,2))&lt;1,ROUND(AZ76*(1+'Calc base'!N77),2),MAX('Calc base'!I$12,ROUND('Calc base'!I$13*AZ76,2))))</f>
        <v>0</v>
      </c>
      <c r="Q77">
        <f>IF(BA76&lt;=0,0,IF(ROUND(BA76*(1+'Calc base'!O77),2)-MAX('Calc base'!J$12,ROUND('Calc base'!J$13*BA76,2))&lt;1,ROUND(BA76*(1+'Calc base'!O77),2),MAX('Calc base'!J$12,ROUND('Calc base'!J$13*BA76,2))))</f>
        <v>0</v>
      </c>
      <c r="R77">
        <f>IF(BB76&lt;=0,0,IF(ROUND(BB76*(1+'Calc base'!P77),2)-MAX('Calc base'!K$12,ROUND('Calc base'!K$13*BB76,2))&lt;1,ROUND(BB76*(1+'Calc base'!P77),2),MAX('Calc base'!K$12,ROUND('Calc base'!K$13*BB76,2))))</f>
        <v>0</v>
      </c>
      <c r="S77">
        <f>IF(BC76&lt;=0,0,IF(ROUND(BC76*(1+'Calc base'!Q77),2)-MAX('Calc base'!L$12,ROUND('Calc base'!L$13*BC76,2))&lt;1,ROUND(BC76*(1+'Calc base'!Q77),2),MAX('Calc base'!L$12,ROUND('Calc base'!L$13*BC76,2))))</f>
        <v>0</v>
      </c>
      <c r="T77">
        <f>IF(BD76&lt;=0,0,IF(ROUND(BD76*(1+'Calc base'!R77),2)-MAX('Calc base'!M$12,ROUND('Calc base'!M$13*BD76,2))&lt;1,ROUND(BD76*(1+'Calc base'!R77),2),MAX('Calc base'!M$12,ROUND('Calc base'!M$13*BD76,2))))</f>
        <v>0</v>
      </c>
      <c r="U77">
        <f>IF(BE76&lt;=0,0,IF(ROUND(BE76*(1+'Calc base'!S77),2)-MAX('Calc base'!N$12,ROUND('Calc base'!N$13*BE76,2))&lt;1,ROUND(BE76*(1+'Calc base'!S77),2),MAX('Calc base'!N$12,ROUND('Calc base'!N$13*BE76,2))))</f>
        <v>0</v>
      </c>
      <c r="V77">
        <f>MAX(0,ROUND(AT76*(1+'Calc base'!H77),2)-J77-'Calc base'!T77)</f>
        <v>0</v>
      </c>
      <c r="W77">
        <f>MAX(0,ROUND(AU76*(1+'Calc base'!I77),2)-K77-'Calc base'!U77)</f>
        <v>0</v>
      </c>
      <c r="X77">
        <f>MAX(0,ROUND(AV76*(1+'Calc base'!J77),2)-L77-'Calc base'!V77)</f>
        <v>0</v>
      </c>
      <c r="Y77">
        <f>MAX(0,ROUND(AW76*(1+'Calc base'!K77),2)-M77-'Calc base'!W77)</f>
        <v>0</v>
      </c>
      <c r="Z77">
        <f>MAX(0,ROUND(AX76*(1+'Calc base'!L77),2)-N77-'Calc base'!X77)</f>
        <v>0</v>
      </c>
      <c r="AA77">
        <f>MAX(0,ROUND(AY76*(1+'Calc base'!M77),2)-O77-'Calc base'!Y77)</f>
        <v>0</v>
      </c>
      <c r="AB77">
        <f>MAX(0,ROUND(AZ76*(1+'Calc base'!N77),2)-P77-'Calc base'!Z77)</f>
        <v>0</v>
      </c>
      <c r="AC77">
        <f>MAX(0,ROUND(BA76*(1+'Calc base'!O77),2)-Q77-'Calc base'!AA77)</f>
        <v>0</v>
      </c>
      <c r="AD77">
        <f>MAX(0,ROUND(BB76*(1+'Calc base'!P77),2)-R77-'Calc base'!AB77)</f>
        <v>0</v>
      </c>
      <c r="AE77">
        <f>MAX(0,ROUND(BC76*(1+'Calc base'!Q77),2)-S77-'Calc base'!AC77)</f>
        <v>0</v>
      </c>
      <c r="AF77">
        <f>MAX(0,ROUND(BD76*(1+'Calc base'!R77),2)-T77-'Calc base'!AD77)</f>
        <v>0</v>
      </c>
      <c r="AG77">
        <f>MAX(0,ROUND(BE76*(1+'Calc base'!S77),2)-U77-'Calc base'!AE77)</f>
        <v>0</v>
      </c>
      <c r="AH77">
        <f>IF('Calc base'!C$14=0,0,MIN(V77,MAX(0,$E77-SUMIFS($V77:$AG77,'Calc base'!$C$17:$N$17,"&lt;"&amp;'Calc base'!C$17,'Calc base'!$C$14:$N$14,1))))</f>
        <v>0</v>
      </c>
      <c r="AI77">
        <f>IF('Calc base'!D$14=0,0,MIN(W77,MAX(0,$E77-SUMIFS($V77:$AG77,'Calc base'!$C$17:$N$17,"&lt;"&amp;'Calc base'!D$17,'Calc base'!$C$14:$N$14,1))))</f>
        <v>0</v>
      </c>
      <c r="AJ77">
        <f>IF('Calc base'!E$14=0,0,MIN(X77,MAX(0,$E77-SUMIFS($V77:$AG77,'Calc base'!$C$17:$N$17,"&lt;"&amp;'Calc base'!E$17,'Calc base'!$C$14:$N$14,1))))</f>
        <v>0</v>
      </c>
      <c r="AK77">
        <f>IF('Calc base'!F$14=0,0,MIN(Y77,MAX(0,$E77-SUMIFS($V77:$AG77,'Calc base'!$C$17:$N$17,"&lt;"&amp;'Calc base'!F$17,'Calc base'!$C$14:$N$14,1))))</f>
        <v>0</v>
      </c>
      <c r="AL77">
        <f>IF('Calc base'!G$14=0,0,MIN(Z77,MAX(0,$E77-SUMIFS($V77:$AG77,'Calc base'!$C$17:$N$17,"&lt;"&amp;'Calc base'!G$17,'Calc base'!$C$14:$N$14,1))))</f>
        <v>0</v>
      </c>
      <c r="AM77">
        <f>IF('Calc base'!H$14=0,0,MIN(AA77,MAX(0,$E77-SUMIFS($V77:$AG77,'Calc base'!$C$17:$N$17,"&lt;"&amp;'Calc base'!H$17,'Calc base'!$C$14:$N$14,1))))</f>
        <v>0</v>
      </c>
      <c r="AN77">
        <f>IF('Calc base'!I$14=0,0,MIN(AB77,MAX(0,$E77-SUMIFS($V77:$AG77,'Calc base'!$C$17:$N$17,"&lt;"&amp;'Calc base'!I$17,'Calc base'!$C$14:$N$14,1))))</f>
        <v>0</v>
      </c>
      <c r="AO77">
        <f>IF('Calc base'!J$14=0,0,MIN(AC77,MAX(0,$E77-SUMIFS($V77:$AG77,'Calc base'!$C$17:$N$17,"&lt;"&amp;'Calc base'!J$17,'Calc base'!$C$14:$N$14,1))))</f>
        <v>0</v>
      </c>
      <c r="AP77">
        <f>IF('Calc base'!K$14=0,0,MIN(AD77,MAX(0,$E77-SUMIFS($V77:$AG77,'Calc base'!$C$17:$N$17,"&lt;"&amp;'Calc base'!K$17,'Calc base'!$C$14:$N$14,1))))</f>
        <v>0</v>
      </c>
      <c r="AQ77">
        <f>IF('Calc base'!L$14=0,0,MIN(AE77,MAX(0,$E77-SUMIFS($V77:$AG77,'Calc base'!$C$17:$N$17,"&lt;"&amp;'Calc base'!L$17,'Calc base'!$C$14:$N$14,1))))</f>
        <v>0</v>
      </c>
      <c r="AR77">
        <f>IF('Calc base'!M$14=0,0,MIN(AF77,MAX(0,$E77-SUMIFS($V77:$AG77,'Calc base'!$C$17:$N$17,"&lt;"&amp;'Calc base'!M$17,'Calc base'!$C$14:$N$14,1))))</f>
        <v>0</v>
      </c>
      <c r="AS77">
        <f>IF('Calc base'!N$14=0,0,MIN(AG77,MAX(0,$E77-SUMIFS($V77:$AG77,'Calc base'!$C$17:$N$17,"&lt;"&amp;'Calc base'!N$17,'Calc base'!$C$14:$N$14,1))))</f>
        <v>0</v>
      </c>
      <c r="AT77">
        <f>V77-AH77</f>
        <v>0</v>
      </c>
      <c r="AU77">
        <f>W77-AI77</f>
        <v>0</v>
      </c>
      <c r="AV77">
        <f>X77-AJ77</f>
        <v>0</v>
      </c>
      <c r="AW77">
        <f>Y77-AK77</f>
        <v>0</v>
      </c>
      <c r="AX77">
        <f>Z77-AL77</f>
        <v>0</v>
      </c>
      <c r="AY77">
        <f>AA77-AM77</f>
        <v>0</v>
      </c>
      <c r="AZ77">
        <f>AB77-AN77</f>
        <v>0</v>
      </c>
      <c r="BA77">
        <f>AC77-AO77</f>
        <v>0</v>
      </c>
      <c r="BB77">
        <f>AD77-AP77</f>
        <v>0</v>
      </c>
      <c r="BC77">
        <f>AE77-AQ77</f>
        <v>0</v>
      </c>
      <c r="BD77">
        <f>AF77-AR77</f>
        <v>0</v>
      </c>
      <c r="BE77">
        <f>AG77-AS77</f>
        <v>0</v>
      </c>
    </row>
    <row r="78">
      <c r="A78" t="n">
        <v>48</v>
      </c>
      <c r="B78">
        <f>SUMPRODUCT(ROUND($AT77:$BE77*(1+'Calc base'!$H78:$S78),2))</f>
        <v>0</v>
      </c>
      <c r="C78">
        <f>SUM(J78:U78)</f>
        <v>0</v>
      </c>
      <c r="D78">
        <f>SUM(V78:AG78)</f>
        <v>0</v>
      </c>
      <c r="E78">
        <f>MAX(0,IF(Impostazioni!$B$7="No",'Calc base'!$C78-$C$31,'Calc base'!$C78-C78)+'Calc base'!$G78+'Calc base'!$F78-(B78-C78-D78))</f>
        <v>900</v>
      </c>
      <c r="F78">
        <f>SUM(AH78:AS78)</f>
        <v>0</v>
      </c>
      <c r="G78">
        <f>SUM(AT78:BE78)</f>
        <v>0</v>
      </c>
      <c r="H78">
        <f>B78-G77</f>
        <v>0</v>
      </c>
      <c r="I78">
        <f>B78-G78</f>
        <v>0</v>
      </c>
      <c r="J78">
        <f>IF(AT77&lt;=0,0,IF(ROUND(AT77*(1+'Calc base'!H78),2)-MAX('Calc base'!C$12,ROUND('Calc base'!C$13*AT77,2))&lt;1,ROUND(AT77*(1+'Calc base'!H78),2),MAX('Calc base'!C$12,ROUND('Calc base'!C$13*AT77,2))))</f>
        <v>0</v>
      </c>
      <c r="K78">
        <f>IF(AU77&lt;=0,0,IF(ROUND(AU77*(1+'Calc base'!I78),2)-MAX('Calc base'!D$12,ROUND('Calc base'!D$13*AU77,2))&lt;1,ROUND(AU77*(1+'Calc base'!I78),2),MAX('Calc base'!D$12,ROUND('Calc base'!D$13*AU77,2))))</f>
        <v>0</v>
      </c>
      <c r="L78">
        <f>IF(AV77&lt;=0,0,IF(ROUND(AV77*(1+'Calc base'!J78),2)-MAX('Calc base'!E$12,ROUND('Calc base'!E$13*AV77,2))&lt;1,ROUND(AV77*(1+'Calc base'!J78),2),MAX('Calc base'!E$12,ROUND('Calc base'!E$13*AV77,2))))</f>
        <v>0</v>
      </c>
      <c r="M78">
        <f>IF(AW77&lt;=0,0,IF(ROUND(AW77*(1+'Calc base'!K78),2)-MAX('Calc base'!F$12,ROUND('Calc base'!F$13*AW77,2))&lt;1,ROUND(AW77*(1+'Calc base'!K78),2),MAX('Calc base'!F$12,ROUND('Calc base'!F$13*AW77,2))))</f>
        <v>0</v>
      </c>
      <c r="N78">
        <f>IF(AX77&lt;=0,0,IF(ROUND(AX77*(1+'Calc base'!L78),2)-MAX('Calc base'!G$12,ROUND('Calc base'!G$13*AX77,2))&lt;1,ROUND(AX77*(1+'Calc base'!L78),2),MAX('Calc base'!G$12,ROUND('Calc base'!G$13*AX77,2))))</f>
        <v>0</v>
      </c>
      <c r="O78">
        <f>IF(AY77&lt;=0,0,IF(ROUND(AY77*(1+'Calc base'!M78),2)-MAX('Calc base'!H$12,ROUND('Calc base'!H$13*AY77,2))&lt;1,ROUND(AY77*(1+'Calc base'!M78),2),MAX('Calc base'!H$12,ROUND('Calc base'!H$13*AY77,2))))</f>
        <v>0</v>
      </c>
      <c r="P78">
        <f>IF(AZ77&lt;=0,0,IF(ROUND(AZ77*(1+'Calc base'!N78),2)-MAX('Calc base'!I$12,ROUND('Calc base'!I$13*AZ77,2))&lt;1,ROUND(AZ77*(1+'Calc base'!N78),2),MAX('Calc base'!I$12,ROUND('Calc base'!I$13*AZ77,2))))</f>
        <v>0</v>
      </c>
      <c r="Q78">
        <f>IF(BA77&lt;=0,0,IF(ROUND(BA77*(1+'Calc base'!O78),2)-MAX('Calc base'!J$12,ROUND('Calc base'!J$13*BA77,2))&lt;1,ROUND(BA77*(1+'Calc base'!O78),2),MAX('Calc base'!J$12,ROUND('Calc base'!J$13*BA77,2))))</f>
        <v>0</v>
      </c>
      <c r="R78">
        <f>IF(BB77&lt;=0,0,IF(ROUND(BB77*(1+'Calc base'!P78),2)-MAX('Calc base'!K$12,ROUND('Calc base'!K$13*BB77,2))&lt;1,ROUND(BB77*(1+'Calc base'!P78),2),MAX('Calc base'!K$12,ROUND('Calc base'!K$13*BB77,2))))</f>
        <v>0</v>
      </c>
      <c r="S78">
        <f>IF(BC77&lt;=0,0,IF(ROUND(BC77*(1+'Calc base'!Q78),2)-MAX('Calc base'!L$12,ROUND('Calc base'!L$13*BC77,2))&lt;1,ROUND(BC77*(1+'Calc base'!Q78),2),MAX('Calc base'!L$12,ROUND('Calc base'!L$13*BC77,2))))</f>
        <v>0</v>
      </c>
      <c r="T78">
        <f>IF(BD77&lt;=0,0,IF(ROUND(BD77*(1+'Calc base'!R78),2)-MAX('Calc base'!M$12,ROUND('Calc base'!M$13*BD77,2))&lt;1,ROUND(BD77*(1+'Calc base'!R78),2),MAX('Calc base'!M$12,ROUND('Calc base'!M$13*BD77,2))))</f>
        <v>0</v>
      </c>
      <c r="U78">
        <f>IF(BE77&lt;=0,0,IF(ROUND(BE77*(1+'Calc base'!S78),2)-MAX('Calc base'!N$12,ROUND('Calc base'!N$13*BE77,2))&lt;1,ROUND(BE77*(1+'Calc base'!S78),2),MAX('Calc base'!N$12,ROUND('Calc base'!N$13*BE77,2))))</f>
        <v>0</v>
      </c>
      <c r="V78">
        <f>MAX(0,ROUND(AT77*(1+'Calc base'!H78),2)-J78-'Calc base'!T78)</f>
        <v>0</v>
      </c>
      <c r="W78">
        <f>MAX(0,ROUND(AU77*(1+'Calc base'!I78),2)-K78-'Calc base'!U78)</f>
        <v>0</v>
      </c>
      <c r="X78">
        <f>MAX(0,ROUND(AV77*(1+'Calc base'!J78),2)-L78-'Calc base'!V78)</f>
        <v>0</v>
      </c>
      <c r="Y78">
        <f>MAX(0,ROUND(AW77*(1+'Calc base'!K78),2)-M78-'Calc base'!W78)</f>
        <v>0</v>
      </c>
      <c r="Z78">
        <f>MAX(0,ROUND(AX77*(1+'Calc base'!L78),2)-N78-'Calc base'!X78)</f>
        <v>0</v>
      </c>
      <c r="AA78">
        <f>MAX(0,ROUND(AY77*(1+'Calc base'!M78),2)-O78-'Calc base'!Y78)</f>
        <v>0</v>
      </c>
      <c r="AB78">
        <f>MAX(0,ROUND(AZ77*(1+'Calc base'!N78),2)-P78-'Calc base'!Z78)</f>
        <v>0</v>
      </c>
      <c r="AC78">
        <f>MAX(0,ROUND(BA77*(1+'Calc base'!O78),2)-Q78-'Calc base'!AA78)</f>
        <v>0</v>
      </c>
      <c r="AD78">
        <f>MAX(0,ROUND(BB77*(1+'Calc base'!P78),2)-R78-'Calc base'!AB78)</f>
        <v>0</v>
      </c>
      <c r="AE78">
        <f>MAX(0,ROUND(BC77*(1+'Calc base'!Q78),2)-S78-'Calc base'!AC78)</f>
        <v>0</v>
      </c>
      <c r="AF78">
        <f>MAX(0,ROUND(BD77*(1+'Calc base'!R78),2)-T78-'Calc base'!AD78)</f>
        <v>0</v>
      </c>
      <c r="AG78">
        <f>MAX(0,ROUND(BE77*(1+'Calc base'!S78),2)-U78-'Calc base'!AE78)</f>
        <v>0</v>
      </c>
      <c r="AH78">
        <f>IF('Calc base'!C$14=0,0,MIN(V78,MAX(0,$E78-SUMIFS($V78:$AG78,'Calc base'!$C$17:$N$17,"&lt;"&amp;'Calc base'!C$17,'Calc base'!$C$14:$N$14,1))))</f>
        <v>0</v>
      </c>
      <c r="AI78">
        <f>IF('Calc base'!D$14=0,0,MIN(W78,MAX(0,$E78-SUMIFS($V78:$AG78,'Calc base'!$C$17:$N$17,"&lt;"&amp;'Calc base'!D$17,'Calc base'!$C$14:$N$14,1))))</f>
        <v>0</v>
      </c>
      <c r="AJ78">
        <f>IF('Calc base'!E$14=0,0,MIN(X78,MAX(0,$E78-SUMIFS($V78:$AG78,'Calc base'!$C$17:$N$17,"&lt;"&amp;'Calc base'!E$17,'Calc base'!$C$14:$N$14,1))))</f>
        <v>0</v>
      </c>
      <c r="AK78">
        <f>IF('Calc base'!F$14=0,0,MIN(Y78,MAX(0,$E78-SUMIFS($V78:$AG78,'Calc base'!$C$17:$N$17,"&lt;"&amp;'Calc base'!F$17,'Calc base'!$C$14:$N$14,1))))</f>
        <v>0</v>
      </c>
      <c r="AL78">
        <f>IF('Calc base'!G$14=0,0,MIN(Z78,MAX(0,$E78-SUMIFS($V78:$AG78,'Calc base'!$C$17:$N$17,"&lt;"&amp;'Calc base'!G$17,'Calc base'!$C$14:$N$14,1))))</f>
        <v>0</v>
      </c>
      <c r="AM78">
        <f>IF('Calc base'!H$14=0,0,MIN(AA78,MAX(0,$E78-SUMIFS($V78:$AG78,'Calc base'!$C$17:$N$17,"&lt;"&amp;'Calc base'!H$17,'Calc base'!$C$14:$N$14,1))))</f>
        <v>0</v>
      </c>
      <c r="AN78">
        <f>IF('Calc base'!I$14=0,0,MIN(AB78,MAX(0,$E78-SUMIFS($V78:$AG78,'Calc base'!$C$17:$N$17,"&lt;"&amp;'Calc base'!I$17,'Calc base'!$C$14:$N$14,1))))</f>
        <v>0</v>
      </c>
      <c r="AO78">
        <f>IF('Calc base'!J$14=0,0,MIN(AC78,MAX(0,$E78-SUMIFS($V78:$AG78,'Calc base'!$C$17:$N$17,"&lt;"&amp;'Calc base'!J$17,'Calc base'!$C$14:$N$14,1))))</f>
        <v>0</v>
      </c>
      <c r="AP78">
        <f>IF('Calc base'!K$14=0,0,MIN(AD78,MAX(0,$E78-SUMIFS($V78:$AG78,'Calc base'!$C$17:$N$17,"&lt;"&amp;'Calc base'!K$17,'Calc base'!$C$14:$N$14,1))))</f>
        <v>0</v>
      </c>
      <c r="AQ78">
        <f>IF('Calc base'!L$14=0,0,MIN(AE78,MAX(0,$E78-SUMIFS($V78:$AG78,'Calc base'!$C$17:$N$17,"&lt;"&amp;'Calc base'!L$17,'Calc base'!$C$14:$N$14,1))))</f>
        <v>0</v>
      </c>
      <c r="AR78">
        <f>IF('Calc base'!M$14=0,0,MIN(AF78,MAX(0,$E78-SUMIFS($V78:$AG78,'Calc base'!$C$17:$N$17,"&lt;"&amp;'Calc base'!M$17,'Calc base'!$C$14:$N$14,1))))</f>
        <v>0</v>
      </c>
      <c r="AS78">
        <f>IF('Calc base'!N$14=0,0,MIN(AG78,MAX(0,$E78-SUMIFS($V78:$AG78,'Calc base'!$C$17:$N$17,"&lt;"&amp;'Calc base'!N$17,'Calc base'!$C$14:$N$14,1))))</f>
        <v>0</v>
      </c>
      <c r="AT78">
        <f>V78-AH78</f>
        <v>0</v>
      </c>
      <c r="AU78">
        <f>W78-AI78</f>
        <v>0</v>
      </c>
      <c r="AV78">
        <f>X78-AJ78</f>
        <v>0</v>
      </c>
      <c r="AW78">
        <f>Y78-AK78</f>
        <v>0</v>
      </c>
      <c r="AX78">
        <f>Z78-AL78</f>
        <v>0</v>
      </c>
      <c r="AY78">
        <f>AA78-AM78</f>
        <v>0</v>
      </c>
      <c r="AZ78">
        <f>AB78-AN78</f>
        <v>0</v>
      </c>
      <c r="BA78">
        <f>AC78-AO78</f>
        <v>0</v>
      </c>
      <c r="BB78">
        <f>AD78-AP78</f>
        <v>0</v>
      </c>
      <c r="BC78">
        <f>AE78-AQ78</f>
        <v>0</v>
      </c>
      <c r="BD78">
        <f>AF78-AR78</f>
        <v>0</v>
      </c>
      <c r="BE78">
        <f>AG78-AS78</f>
        <v>0</v>
      </c>
    </row>
    <row r="79">
      <c r="A79" t="n">
        <v>49</v>
      </c>
      <c r="B79">
        <f>SUMPRODUCT(ROUND($AT78:$BE78*(1+'Calc base'!$H79:$S79),2))</f>
        <v>0</v>
      </c>
      <c r="C79">
        <f>SUM(J79:U79)</f>
        <v>0</v>
      </c>
      <c r="D79">
        <f>SUM(V79:AG79)</f>
        <v>0</v>
      </c>
      <c r="E79">
        <f>MAX(0,IF(Impostazioni!$B$7="No",'Calc base'!$C79-$C$31,'Calc base'!$C79-C79)+'Calc base'!$G79+'Calc base'!$F79-(B79-C79-D79))</f>
        <v>900</v>
      </c>
      <c r="F79">
        <f>SUM(AH79:AS79)</f>
        <v>0</v>
      </c>
      <c r="G79">
        <f>SUM(AT79:BE79)</f>
        <v>0</v>
      </c>
      <c r="H79">
        <f>B79-G78</f>
        <v>0</v>
      </c>
      <c r="I79">
        <f>B79-G79</f>
        <v>0</v>
      </c>
      <c r="J79">
        <f>IF(AT78&lt;=0,0,IF(ROUND(AT78*(1+'Calc base'!H79),2)-MAX('Calc base'!C$12,ROUND('Calc base'!C$13*AT78,2))&lt;1,ROUND(AT78*(1+'Calc base'!H79),2),MAX('Calc base'!C$12,ROUND('Calc base'!C$13*AT78,2))))</f>
        <v>0</v>
      </c>
      <c r="K79">
        <f>IF(AU78&lt;=0,0,IF(ROUND(AU78*(1+'Calc base'!I79),2)-MAX('Calc base'!D$12,ROUND('Calc base'!D$13*AU78,2))&lt;1,ROUND(AU78*(1+'Calc base'!I79),2),MAX('Calc base'!D$12,ROUND('Calc base'!D$13*AU78,2))))</f>
        <v>0</v>
      </c>
      <c r="L79">
        <f>IF(AV78&lt;=0,0,IF(ROUND(AV78*(1+'Calc base'!J79),2)-MAX('Calc base'!E$12,ROUND('Calc base'!E$13*AV78,2))&lt;1,ROUND(AV78*(1+'Calc base'!J79),2),MAX('Calc base'!E$12,ROUND('Calc base'!E$13*AV78,2))))</f>
        <v>0</v>
      </c>
      <c r="M79">
        <f>IF(AW78&lt;=0,0,IF(ROUND(AW78*(1+'Calc base'!K79),2)-MAX('Calc base'!F$12,ROUND('Calc base'!F$13*AW78,2))&lt;1,ROUND(AW78*(1+'Calc base'!K79),2),MAX('Calc base'!F$12,ROUND('Calc base'!F$13*AW78,2))))</f>
        <v>0</v>
      </c>
      <c r="N79">
        <f>IF(AX78&lt;=0,0,IF(ROUND(AX78*(1+'Calc base'!L79),2)-MAX('Calc base'!G$12,ROUND('Calc base'!G$13*AX78,2))&lt;1,ROUND(AX78*(1+'Calc base'!L79),2),MAX('Calc base'!G$12,ROUND('Calc base'!G$13*AX78,2))))</f>
        <v>0</v>
      </c>
      <c r="O79">
        <f>IF(AY78&lt;=0,0,IF(ROUND(AY78*(1+'Calc base'!M79),2)-MAX('Calc base'!H$12,ROUND('Calc base'!H$13*AY78,2))&lt;1,ROUND(AY78*(1+'Calc base'!M79),2),MAX('Calc base'!H$12,ROUND('Calc base'!H$13*AY78,2))))</f>
        <v>0</v>
      </c>
      <c r="P79">
        <f>IF(AZ78&lt;=0,0,IF(ROUND(AZ78*(1+'Calc base'!N79),2)-MAX('Calc base'!I$12,ROUND('Calc base'!I$13*AZ78,2))&lt;1,ROUND(AZ78*(1+'Calc base'!N79),2),MAX('Calc base'!I$12,ROUND('Calc base'!I$13*AZ78,2))))</f>
        <v>0</v>
      </c>
      <c r="Q79">
        <f>IF(BA78&lt;=0,0,IF(ROUND(BA78*(1+'Calc base'!O79),2)-MAX('Calc base'!J$12,ROUND('Calc base'!J$13*BA78,2))&lt;1,ROUND(BA78*(1+'Calc base'!O79),2),MAX('Calc base'!J$12,ROUND('Calc base'!J$13*BA78,2))))</f>
        <v>0</v>
      </c>
      <c r="R79">
        <f>IF(BB78&lt;=0,0,IF(ROUND(BB78*(1+'Calc base'!P79),2)-MAX('Calc base'!K$12,ROUND('Calc base'!K$13*BB78,2))&lt;1,ROUND(BB78*(1+'Calc base'!P79),2),MAX('Calc base'!K$12,ROUND('Calc base'!K$13*BB78,2))))</f>
        <v>0</v>
      </c>
      <c r="S79">
        <f>IF(BC78&lt;=0,0,IF(ROUND(BC78*(1+'Calc base'!Q79),2)-MAX('Calc base'!L$12,ROUND('Calc base'!L$13*BC78,2))&lt;1,ROUND(BC78*(1+'Calc base'!Q79),2),MAX('Calc base'!L$12,ROUND('Calc base'!L$13*BC78,2))))</f>
        <v>0</v>
      </c>
      <c r="T79">
        <f>IF(BD78&lt;=0,0,IF(ROUND(BD78*(1+'Calc base'!R79),2)-MAX('Calc base'!M$12,ROUND('Calc base'!M$13*BD78,2))&lt;1,ROUND(BD78*(1+'Calc base'!R79),2),MAX('Calc base'!M$12,ROUND('Calc base'!M$13*BD78,2))))</f>
        <v>0</v>
      </c>
      <c r="U79">
        <f>IF(BE78&lt;=0,0,IF(ROUND(BE78*(1+'Calc base'!S79),2)-MAX('Calc base'!N$12,ROUND('Calc base'!N$13*BE78,2))&lt;1,ROUND(BE78*(1+'Calc base'!S79),2),MAX('Calc base'!N$12,ROUND('Calc base'!N$13*BE78,2))))</f>
        <v>0</v>
      </c>
      <c r="V79">
        <f>MAX(0,ROUND(AT78*(1+'Calc base'!H79),2)-J79-'Calc base'!T79)</f>
        <v>0</v>
      </c>
      <c r="W79">
        <f>MAX(0,ROUND(AU78*(1+'Calc base'!I79),2)-K79-'Calc base'!U79)</f>
        <v>0</v>
      </c>
      <c r="X79">
        <f>MAX(0,ROUND(AV78*(1+'Calc base'!J79),2)-L79-'Calc base'!V79)</f>
        <v>0</v>
      </c>
      <c r="Y79">
        <f>MAX(0,ROUND(AW78*(1+'Calc base'!K79),2)-M79-'Calc base'!W79)</f>
        <v>0</v>
      </c>
      <c r="Z79">
        <f>MAX(0,ROUND(AX78*(1+'Calc base'!L79),2)-N79-'Calc base'!X79)</f>
        <v>0</v>
      </c>
      <c r="AA79">
        <f>MAX(0,ROUND(AY78*(1+'Calc base'!M79),2)-O79-'Calc base'!Y79)</f>
        <v>0</v>
      </c>
      <c r="AB79">
        <f>MAX(0,ROUND(AZ78*(1+'Calc base'!N79),2)-P79-'Calc base'!Z79)</f>
        <v>0</v>
      </c>
      <c r="AC79">
        <f>MAX(0,ROUND(BA78*(1+'Calc base'!O79),2)-Q79-'Calc base'!AA79)</f>
        <v>0</v>
      </c>
      <c r="AD79">
        <f>MAX(0,ROUND(BB78*(1+'Calc base'!P79),2)-R79-'Calc base'!AB79)</f>
        <v>0</v>
      </c>
      <c r="AE79">
        <f>MAX(0,ROUND(BC78*(1+'Calc base'!Q79),2)-S79-'Calc base'!AC79)</f>
        <v>0</v>
      </c>
      <c r="AF79">
        <f>MAX(0,ROUND(BD78*(1+'Calc base'!R79),2)-T79-'Calc base'!AD79)</f>
        <v>0</v>
      </c>
      <c r="AG79">
        <f>MAX(0,ROUND(BE78*(1+'Calc base'!S79),2)-U79-'Calc base'!AE79)</f>
        <v>0</v>
      </c>
      <c r="AH79">
        <f>IF('Calc base'!C$14=0,0,MIN(V79,MAX(0,$E79-SUMIFS($V79:$AG79,'Calc base'!$C$17:$N$17,"&lt;"&amp;'Calc base'!C$17,'Calc base'!$C$14:$N$14,1))))</f>
        <v>0</v>
      </c>
      <c r="AI79">
        <f>IF('Calc base'!D$14=0,0,MIN(W79,MAX(0,$E79-SUMIFS($V79:$AG79,'Calc base'!$C$17:$N$17,"&lt;"&amp;'Calc base'!D$17,'Calc base'!$C$14:$N$14,1))))</f>
        <v>0</v>
      </c>
      <c r="AJ79">
        <f>IF('Calc base'!E$14=0,0,MIN(X79,MAX(0,$E79-SUMIFS($V79:$AG79,'Calc base'!$C$17:$N$17,"&lt;"&amp;'Calc base'!E$17,'Calc base'!$C$14:$N$14,1))))</f>
        <v>0</v>
      </c>
      <c r="AK79">
        <f>IF('Calc base'!F$14=0,0,MIN(Y79,MAX(0,$E79-SUMIFS($V79:$AG79,'Calc base'!$C$17:$N$17,"&lt;"&amp;'Calc base'!F$17,'Calc base'!$C$14:$N$14,1))))</f>
        <v>0</v>
      </c>
      <c r="AL79">
        <f>IF('Calc base'!G$14=0,0,MIN(Z79,MAX(0,$E79-SUMIFS($V79:$AG79,'Calc base'!$C$17:$N$17,"&lt;"&amp;'Calc base'!G$17,'Calc base'!$C$14:$N$14,1))))</f>
        <v>0</v>
      </c>
      <c r="AM79">
        <f>IF('Calc base'!H$14=0,0,MIN(AA79,MAX(0,$E79-SUMIFS($V79:$AG79,'Calc base'!$C$17:$N$17,"&lt;"&amp;'Calc base'!H$17,'Calc base'!$C$14:$N$14,1))))</f>
        <v>0</v>
      </c>
      <c r="AN79">
        <f>IF('Calc base'!I$14=0,0,MIN(AB79,MAX(0,$E79-SUMIFS($V79:$AG79,'Calc base'!$C$17:$N$17,"&lt;"&amp;'Calc base'!I$17,'Calc base'!$C$14:$N$14,1))))</f>
        <v>0</v>
      </c>
      <c r="AO79">
        <f>IF('Calc base'!J$14=0,0,MIN(AC79,MAX(0,$E79-SUMIFS($V79:$AG79,'Calc base'!$C$17:$N$17,"&lt;"&amp;'Calc base'!J$17,'Calc base'!$C$14:$N$14,1))))</f>
        <v>0</v>
      </c>
      <c r="AP79">
        <f>IF('Calc base'!K$14=0,0,MIN(AD79,MAX(0,$E79-SUMIFS($V79:$AG79,'Calc base'!$C$17:$N$17,"&lt;"&amp;'Calc base'!K$17,'Calc base'!$C$14:$N$14,1))))</f>
        <v>0</v>
      </c>
      <c r="AQ79">
        <f>IF('Calc base'!L$14=0,0,MIN(AE79,MAX(0,$E79-SUMIFS($V79:$AG79,'Calc base'!$C$17:$N$17,"&lt;"&amp;'Calc base'!L$17,'Calc base'!$C$14:$N$14,1))))</f>
        <v>0</v>
      </c>
      <c r="AR79">
        <f>IF('Calc base'!M$14=0,0,MIN(AF79,MAX(0,$E79-SUMIFS($V79:$AG79,'Calc base'!$C$17:$N$17,"&lt;"&amp;'Calc base'!M$17,'Calc base'!$C$14:$N$14,1))))</f>
        <v>0</v>
      </c>
      <c r="AS79">
        <f>IF('Calc base'!N$14=0,0,MIN(AG79,MAX(0,$E79-SUMIFS($V79:$AG79,'Calc base'!$C$17:$N$17,"&lt;"&amp;'Calc base'!N$17,'Calc base'!$C$14:$N$14,1))))</f>
        <v>0</v>
      </c>
      <c r="AT79">
        <f>V79-AH79</f>
        <v>0</v>
      </c>
      <c r="AU79">
        <f>W79-AI79</f>
        <v>0</v>
      </c>
      <c r="AV79">
        <f>X79-AJ79</f>
        <v>0</v>
      </c>
      <c r="AW79">
        <f>Y79-AK79</f>
        <v>0</v>
      </c>
      <c r="AX79">
        <f>Z79-AL79</f>
        <v>0</v>
      </c>
      <c r="AY79">
        <f>AA79-AM79</f>
        <v>0</v>
      </c>
      <c r="AZ79">
        <f>AB79-AN79</f>
        <v>0</v>
      </c>
      <c r="BA79">
        <f>AC79-AO79</f>
        <v>0</v>
      </c>
      <c r="BB79">
        <f>AD79-AP79</f>
        <v>0</v>
      </c>
      <c r="BC79">
        <f>AE79-AQ79</f>
        <v>0</v>
      </c>
      <c r="BD79">
        <f>AF79-AR79</f>
        <v>0</v>
      </c>
      <c r="BE79">
        <f>AG79-AS79</f>
        <v>0</v>
      </c>
    </row>
    <row r="80">
      <c r="A80" t="n">
        <v>50</v>
      </c>
      <c r="B80">
        <f>SUMPRODUCT(ROUND($AT79:$BE79*(1+'Calc base'!$H80:$S80),2))</f>
        <v>0</v>
      </c>
      <c r="C80">
        <f>SUM(J80:U80)</f>
        <v>0</v>
      </c>
      <c r="D80">
        <f>SUM(V80:AG80)</f>
        <v>0</v>
      </c>
      <c r="E80">
        <f>MAX(0,IF(Impostazioni!$B$7="No",'Calc base'!$C80-$C$31,'Calc base'!$C80-C80)+'Calc base'!$G80+'Calc base'!$F80-(B80-C80-D80))</f>
        <v>900</v>
      </c>
      <c r="F80">
        <f>SUM(AH80:AS80)</f>
        <v>0</v>
      </c>
      <c r="G80">
        <f>SUM(AT80:BE80)</f>
        <v>0</v>
      </c>
      <c r="H80">
        <f>B80-G79</f>
        <v>0</v>
      </c>
      <c r="I80">
        <f>B80-G80</f>
        <v>0</v>
      </c>
      <c r="J80">
        <f>IF(AT79&lt;=0,0,IF(ROUND(AT79*(1+'Calc base'!H80),2)-MAX('Calc base'!C$12,ROUND('Calc base'!C$13*AT79,2))&lt;1,ROUND(AT79*(1+'Calc base'!H80),2),MAX('Calc base'!C$12,ROUND('Calc base'!C$13*AT79,2))))</f>
        <v>0</v>
      </c>
      <c r="K80">
        <f>IF(AU79&lt;=0,0,IF(ROUND(AU79*(1+'Calc base'!I80),2)-MAX('Calc base'!D$12,ROUND('Calc base'!D$13*AU79,2))&lt;1,ROUND(AU79*(1+'Calc base'!I80),2),MAX('Calc base'!D$12,ROUND('Calc base'!D$13*AU79,2))))</f>
        <v>0</v>
      </c>
      <c r="L80">
        <f>IF(AV79&lt;=0,0,IF(ROUND(AV79*(1+'Calc base'!J80),2)-MAX('Calc base'!E$12,ROUND('Calc base'!E$13*AV79,2))&lt;1,ROUND(AV79*(1+'Calc base'!J80),2),MAX('Calc base'!E$12,ROUND('Calc base'!E$13*AV79,2))))</f>
        <v>0</v>
      </c>
      <c r="M80">
        <f>IF(AW79&lt;=0,0,IF(ROUND(AW79*(1+'Calc base'!K80),2)-MAX('Calc base'!F$12,ROUND('Calc base'!F$13*AW79,2))&lt;1,ROUND(AW79*(1+'Calc base'!K80),2),MAX('Calc base'!F$12,ROUND('Calc base'!F$13*AW79,2))))</f>
        <v>0</v>
      </c>
      <c r="N80">
        <f>IF(AX79&lt;=0,0,IF(ROUND(AX79*(1+'Calc base'!L80),2)-MAX('Calc base'!G$12,ROUND('Calc base'!G$13*AX79,2))&lt;1,ROUND(AX79*(1+'Calc base'!L80),2),MAX('Calc base'!G$12,ROUND('Calc base'!G$13*AX79,2))))</f>
        <v>0</v>
      </c>
      <c r="O80">
        <f>IF(AY79&lt;=0,0,IF(ROUND(AY79*(1+'Calc base'!M80),2)-MAX('Calc base'!H$12,ROUND('Calc base'!H$13*AY79,2))&lt;1,ROUND(AY79*(1+'Calc base'!M80),2),MAX('Calc base'!H$12,ROUND('Calc base'!H$13*AY79,2))))</f>
        <v>0</v>
      </c>
      <c r="P80">
        <f>IF(AZ79&lt;=0,0,IF(ROUND(AZ79*(1+'Calc base'!N80),2)-MAX('Calc base'!I$12,ROUND('Calc base'!I$13*AZ79,2))&lt;1,ROUND(AZ79*(1+'Calc base'!N80),2),MAX('Calc base'!I$12,ROUND('Calc base'!I$13*AZ79,2))))</f>
        <v>0</v>
      </c>
      <c r="Q80">
        <f>IF(BA79&lt;=0,0,IF(ROUND(BA79*(1+'Calc base'!O80),2)-MAX('Calc base'!J$12,ROUND('Calc base'!J$13*BA79,2))&lt;1,ROUND(BA79*(1+'Calc base'!O80),2),MAX('Calc base'!J$12,ROUND('Calc base'!J$13*BA79,2))))</f>
        <v>0</v>
      </c>
      <c r="R80">
        <f>IF(BB79&lt;=0,0,IF(ROUND(BB79*(1+'Calc base'!P80),2)-MAX('Calc base'!K$12,ROUND('Calc base'!K$13*BB79,2))&lt;1,ROUND(BB79*(1+'Calc base'!P80),2),MAX('Calc base'!K$12,ROUND('Calc base'!K$13*BB79,2))))</f>
        <v>0</v>
      </c>
      <c r="S80">
        <f>IF(BC79&lt;=0,0,IF(ROUND(BC79*(1+'Calc base'!Q80),2)-MAX('Calc base'!L$12,ROUND('Calc base'!L$13*BC79,2))&lt;1,ROUND(BC79*(1+'Calc base'!Q80),2),MAX('Calc base'!L$12,ROUND('Calc base'!L$13*BC79,2))))</f>
        <v>0</v>
      </c>
      <c r="T80">
        <f>IF(BD79&lt;=0,0,IF(ROUND(BD79*(1+'Calc base'!R80),2)-MAX('Calc base'!M$12,ROUND('Calc base'!M$13*BD79,2))&lt;1,ROUND(BD79*(1+'Calc base'!R80),2),MAX('Calc base'!M$12,ROUND('Calc base'!M$13*BD79,2))))</f>
        <v>0</v>
      </c>
      <c r="U80">
        <f>IF(BE79&lt;=0,0,IF(ROUND(BE79*(1+'Calc base'!S80),2)-MAX('Calc base'!N$12,ROUND('Calc base'!N$13*BE79,2))&lt;1,ROUND(BE79*(1+'Calc base'!S80),2),MAX('Calc base'!N$12,ROUND('Calc base'!N$13*BE79,2))))</f>
        <v>0</v>
      </c>
      <c r="V80">
        <f>MAX(0,ROUND(AT79*(1+'Calc base'!H80),2)-J80-'Calc base'!T80)</f>
        <v>0</v>
      </c>
      <c r="W80">
        <f>MAX(0,ROUND(AU79*(1+'Calc base'!I80),2)-K80-'Calc base'!U80)</f>
        <v>0</v>
      </c>
      <c r="X80">
        <f>MAX(0,ROUND(AV79*(1+'Calc base'!J80),2)-L80-'Calc base'!V80)</f>
        <v>0</v>
      </c>
      <c r="Y80">
        <f>MAX(0,ROUND(AW79*(1+'Calc base'!K80),2)-M80-'Calc base'!W80)</f>
        <v>0</v>
      </c>
      <c r="Z80">
        <f>MAX(0,ROUND(AX79*(1+'Calc base'!L80),2)-N80-'Calc base'!X80)</f>
        <v>0</v>
      </c>
      <c r="AA80">
        <f>MAX(0,ROUND(AY79*(1+'Calc base'!M80),2)-O80-'Calc base'!Y80)</f>
        <v>0</v>
      </c>
      <c r="AB80">
        <f>MAX(0,ROUND(AZ79*(1+'Calc base'!N80),2)-P80-'Calc base'!Z80)</f>
        <v>0</v>
      </c>
      <c r="AC80">
        <f>MAX(0,ROUND(BA79*(1+'Calc base'!O80),2)-Q80-'Calc base'!AA80)</f>
        <v>0</v>
      </c>
      <c r="AD80">
        <f>MAX(0,ROUND(BB79*(1+'Calc base'!P80),2)-R80-'Calc base'!AB80)</f>
        <v>0</v>
      </c>
      <c r="AE80">
        <f>MAX(0,ROUND(BC79*(1+'Calc base'!Q80),2)-S80-'Calc base'!AC80)</f>
        <v>0</v>
      </c>
      <c r="AF80">
        <f>MAX(0,ROUND(BD79*(1+'Calc base'!R80),2)-T80-'Calc base'!AD80)</f>
        <v>0</v>
      </c>
      <c r="AG80">
        <f>MAX(0,ROUND(BE79*(1+'Calc base'!S80),2)-U80-'Calc base'!AE80)</f>
        <v>0</v>
      </c>
      <c r="AH80">
        <f>IF('Calc base'!C$14=0,0,MIN(V80,MAX(0,$E80-SUMIFS($V80:$AG80,'Calc base'!$C$17:$N$17,"&lt;"&amp;'Calc base'!C$17,'Calc base'!$C$14:$N$14,1))))</f>
        <v>0</v>
      </c>
      <c r="AI80">
        <f>IF('Calc base'!D$14=0,0,MIN(W80,MAX(0,$E80-SUMIFS($V80:$AG80,'Calc base'!$C$17:$N$17,"&lt;"&amp;'Calc base'!D$17,'Calc base'!$C$14:$N$14,1))))</f>
        <v>0</v>
      </c>
      <c r="AJ80">
        <f>IF('Calc base'!E$14=0,0,MIN(X80,MAX(0,$E80-SUMIFS($V80:$AG80,'Calc base'!$C$17:$N$17,"&lt;"&amp;'Calc base'!E$17,'Calc base'!$C$14:$N$14,1))))</f>
        <v>0</v>
      </c>
      <c r="AK80">
        <f>IF('Calc base'!F$14=0,0,MIN(Y80,MAX(0,$E80-SUMIFS($V80:$AG80,'Calc base'!$C$17:$N$17,"&lt;"&amp;'Calc base'!F$17,'Calc base'!$C$14:$N$14,1))))</f>
        <v>0</v>
      </c>
      <c r="AL80">
        <f>IF('Calc base'!G$14=0,0,MIN(Z80,MAX(0,$E80-SUMIFS($V80:$AG80,'Calc base'!$C$17:$N$17,"&lt;"&amp;'Calc base'!G$17,'Calc base'!$C$14:$N$14,1))))</f>
        <v>0</v>
      </c>
      <c r="AM80">
        <f>IF('Calc base'!H$14=0,0,MIN(AA80,MAX(0,$E80-SUMIFS($V80:$AG80,'Calc base'!$C$17:$N$17,"&lt;"&amp;'Calc base'!H$17,'Calc base'!$C$14:$N$14,1))))</f>
        <v>0</v>
      </c>
      <c r="AN80">
        <f>IF('Calc base'!I$14=0,0,MIN(AB80,MAX(0,$E80-SUMIFS($V80:$AG80,'Calc base'!$C$17:$N$17,"&lt;"&amp;'Calc base'!I$17,'Calc base'!$C$14:$N$14,1))))</f>
        <v>0</v>
      </c>
      <c r="AO80">
        <f>IF('Calc base'!J$14=0,0,MIN(AC80,MAX(0,$E80-SUMIFS($V80:$AG80,'Calc base'!$C$17:$N$17,"&lt;"&amp;'Calc base'!J$17,'Calc base'!$C$14:$N$14,1))))</f>
        <v>0</v>
      </c>
      <c r="AP80">
        <f>IF('Calc base'!K$14=0,0,MIN(AD80,MAX(0,$E80-SUMIFS($V80:$AG80,'Calc base'!$C$17:$N$17,"&lt;"&amp;'Calc base'!K$17,'Calc base'!$C$14:$N$14,1))))</f>
        <v>0</v>
      </c>
      <c r="AQ80">
        <f>IF('Calc base'!L$14=0,0,MIN(AE80,MAX(0,$E80-SUMIFS($V80:$AG80,'Calc base'!$C$17:$N$17,"&lt;"&amp;'Calc base'!L$17,'Calc base'!$C$14:$N$14,1))))</f>
        <v>0</v>
      </c>
      <c r="AR80">
        <f>IF('Calc base'!M$14=0,0,MIN(AF80,MAX(0,$E80-SUMIFS($V80:$AG80,'Calc base'!$C$17:$N$17,"&lt;"&amp;'Calc base'!M$17,'Calc base'!$C$14:$N$14,1))))</f>
        <v>0</v>
      </c>
      <c r="AS80">
        <f>IF('Calc base'!N$14=0,0,MIN(AG80,MAX(0,$E80-SUMIFS($V80:$AG80,'Calc base'!$C$17:$N$17,"&lt;"&amp;'Calc base'!N$17,'Calc base'!$C$14:$N$14,1))))</f>
        <v>0</v>
      </c>
      <c r="AT80">
        <f>V80-AH80</f>
        <v>0</v>
      </c>
      <c r="AU80">
        <f>W80-AI80</f>
        <v>0</v>
      </c>
      <c r="AV80">
        <f>X80-AJ80</f>
        <v>0</v>
      </c>
      <c r="AW80">
        <f>Y80-AK80</f>
        <v>0</v>
      </c>
      <c r="AX80">
        <f>Z80-AL80</f>
        <v>0</v>
      </c>
      <c r="AY80">
        <f>AA80-AM80</f>
        <v>0</v>
      </c>
      <c r="AZ80">
        <f>AB80-AN80</f>
        <v>0</v>
      </c>
      <c r="BA80">
        <f>AC80-AO80</f>
        <v>0</v>
      </c>
      <c r="BB80">
        <f>AD80-AP80</f>
        <v>0</v>
      </c>
      <c r="BC80">
        <f>AE80-AQ80</f>
        <v>0</v>
      </c>
      <c r="BD80">
        <f>AF80-AR80</f>
        <v>0</v>
      </c>
      <c r="BE80">
        <f>AG80-AS80</f>
        <v>0</v>
      </c>
    </row>
    <row r="81">
      <c r="A81" t="n">
        <v>51</v>
      </c>
      <c r="B81">
        <f>SUMPRODUCT(ROUND($AT80:$BE80*(1+'Calc base'!$H81:$S81),2))</f>
        <v>0</v>
      </c>
      <c r="C81">
        <f>SUM(J81:U81)</f>
        <v>0</v>
      </c>
      <c r="D81">
        <f>SUM(V81:AG81)</f>
        <v>0</v>
      </c>
      <c r="E81">
        <f>MAX(0,IF(Impostazioni!$B$7="No",'Calc base'!$C81-$C$31,'Calc base'!$C81-C81)+'Calc base'!$G81+'Calc base'!$F81-(B81-C81-D81))</f>
        <v>900</v>
      </c>
      <c r="F81">
        <f>SUM(AH81:AS81)</f>
        <v>0</v>
      </c>
      <c r="G81">
        <f>SUM(AT81:BE81)</f>
        <v>0</v>
      </c>
      <c r="H81">
        <f>B81-G80</f>
        <v>0</v>
      </c>
      <c r="I81">
        <f>B81-G81</f>
        <v>0</v>
      </c>
      <c r="J81">
        <f>IF(AT80&lt;=0,0,IF(ROUND(AT80*(1+'Calc base'!H81),2)-MAX('Calc base'!C$12,ROUND('Calc base'!C$13*AT80,2))&lt;1,ROUND(AT80*(1+'Calc base'!H81),2),MAX('Calc base'!C$12,ROUND('Calc base'!C$13*AT80,2))))</f>
        <v>0</v>
      </c>
      <c r="K81">
        <f>IF(AU80&lt;=0,0,IF(ROUND(AU80*(1+'Calc base'!I81),2)-MAX('Calc base'!D$12,ROUND('Calc base'!D$13*AU80,2))&lt;1,ROUND(AU80*(1+'Calc base'!I81),2),MAX('Calc base'!D$12,ROUND('Calc base'!D$13*AU80,2))))</f>
        <v>0</v>
      </c>
      <c r="L81">
        <f>IF(AV80&lt;=0,0,IF(ROUND(AV80*(1+'Calc base'!J81),2)-MAX('Calc base'!E$12,ROUND('Calc base'!E$13*AV80,2))&lt;1,ROUND(AV80*(1+'Calc base'!J81),2),MAX('Calc base'!E$12,ROUND('Calc base'!E$13*AV80,2))))</f>
        <v>0</v>
      </c>
      <c r="M81">
        <f>IF(AW80&lt;=0,0,IF(ROUND(AW80*(1+'Calc base'!K81),2)-MAX('Calc base'!F$12,ROUND('Calc base'!F$13*AW80,2))&lt;1,ROUND(AW80*(1+'Calc base'!K81),2),MAX('Calc base'!F$12,ROUND('Calc base'!F$13*AW80,2))))</f>
        <v>0</v>
      </c>
      <c r="N81">
        <f>IF(AX80&lt;=0,0,IF(ROUND(AX80*(1+'Calc base'!L81),2)-MAX('Calc base'!G$12,ROUND('Calc base'!G$13*AX80,2))&lt;1,ROUND(AX80*(1+'Calc base'!L81),2),MAX('Calc base'!G$12,ROUND('Calc base'!G$13*AX80,2))))</f>
        <v>0</v>
      </c>
      <c r="O81">
        <f>IF(AY80&lt;=0,0,IF(ROUND(AY80*(1+'Calc base'!M81),2)-MAX('Calc base'!H$12,ROUND('Calc base'!H$13*AY80,2))&lt;1,ROUND(AY80*(1+'Calc base'!M81),2),MAX('Calc base'!H$12,ROUND('Calc base'!H$13*AY80,2))))</f>
        <v>0</v>
      </c>
      <c r="P81">
        <f>IF(AZ80&lt;=0,0,IF(ROUND(AZ80*(1+'Calc base'!N81),2)-MAX('Calc base'!I$12,ROUND('Calc base'!I$13*AZ80,2))&lt;1,ROUND(AZ80*(1+'Calc base'!N81),2),MAX('Calc base'!I$12,ROUND('Calc base'!I$13*AZ80,2))))</f>
        <v>0</v>
      </c>
      <c r="Q81">
        <f>IF(BA80&lt;=0,0,IF(ROUND(BA80*(1+'Calc base'!O81),2)-MAX('Calc base'!J$12,ROUND('Calc base'!J$13*BA80,2))&lt;1,ROUND(BA80*(1+'Calc base'!O81),2),MAX('Calc base'!J$12,ROUND('Calc base'!J$13*BA80,2))))</f>
        <v>0</v>
      </c>
      <c r="R81">
        <f>IF(BB80&lt;=0,0,IF(ROUND(BB80*(1+'Calc base'!P81),2)-MAX('Calc base'!K$12,ROUND('Calc base'!K$13*BB80,2))&lt;1,ROUND(BB80*(1+'Calc base'!P81),2),MAX('Calc base'!K$12,ROUND('Calc base'!K$13*BB80,2))))</f>
        <v>0</v>
      </c>
      <c r="S81">
        <f>IF(BC80&lt;=0,0,IF(ROUND(BC80*(1+'Calc base'!Q81),2)-MAX('Calc base'!L$12,ROUND('Calc base'!L$13*BC80,2))&lt;1,ROUND(BC80*(1+'Calc base'!Q81),2),MAX('Calc base'!L$12,ROUND('Calc base'!L$13*BC80,2))))</f>
        <v>0</v>
      </c>
      <c r="T81">
        <f>IF(BD80&lt;=0,0,IF(ROUND(BD80*(1+'Calc base'!R81),2)-MAX('Calc base'!M$12,ROUND('Calc base'!M$13*BD80,2))&lt;1,ROUND(BD80*(1+'Calc base'!R81),2),MAX('Calc base'!M$12,ROUND('Calc base'!M$13*BD80,2))))</f>
        <v>0</v>
      </c>
      <c r="U81">
        <f>IF(BE80&lt;=0,0,IF(ROUND(BE80*(1+'Calc base'!S81),2)-MAX('Calc base'!N$12,ROUND('Calc base'!N$13*BE80,2))&lt;1,ROUND(BE80*(1+'Calc base'!S81),2),MAX('Calc base'!N$12,ROUND('Calc base'!N$13*BE80,2))))</f>
        <v>0</v>
      </c>
      <c r="V81">
        <f>MAX(0,ROUND(AT80*(1+'Calc base'!H81),2)-J81-'Calc base'!T81)</f>
        <v>0</v>
      </c>
      <c r="W81">
        <f>MAX(0,ROUND(AU80*(1+'Calc base'!I81),2)-K81-'Calc base'!U81)</f>
        <v>0</v>
      </c>
      <c r="X81">
        <f>MAX(0,ROUND(AV80*(1+'Calc base'!J81),2)-L81-'Calc base'!V81)</f>
        <v>0</v>
      </c>
      <c r="Y81">
        <f>MAX(0,ROUND(AW80*(1+'Calc base'!K81),2)-M81-'Calc base'!W81)</f>
        <v>0</v>
      </c>
      <c r="Z81">
        <f>MAX(0,ROUND(AX80*(1+'Calc base'!L81),2)-N81-'Calc base'!X81)</f>
        <v>0</v>
      </c>
      <c r="AA81">
        <f>MAX(0,ROUND(AY80*(1+'Calc base'!M81),2)-O81-'Calc base'!Y81)</f>
        <v>0</v>
      </c>
      <c r="AB81">
        <f>MAX(0,ROUND(AZ80*(1+'Calc base'!N81),2)-P81-'Calc base'!Z81)</f>
        <v>0</v>
      </c>
      <c r="AC81">
        <f>MAX(0,ROUND(BA80*(1+'Calc base'!O81),2)-Q81-'Calc base'!AA81)</f>
        <v>0</v>
      </c>
      <c r="AD81">
        <f>MAX(0,ROUND(BB80*(1+'Calc base'!P81),2)-R81-'Calc base'!AB81)</f>
        <v>0</v>
      </c>
      <c r="AE81">
        <f>MAX(0,ROUND(BC80*(1+'Calc base'!Q81),2)-S81-'Calc base'!AC81)</f>
        <v>0</v>
      </c>
      <c r="AF81">
        <f>MAX(0,ROUND(BD80*(1+'Calc base'!R81),2)-T81-'Calc base'!AD81)</f>
        <v>0</v>
      </c>
      <c r="AG81">
        <f>MAX(0,ROUND(BE80*(1+'Calc base'!S81),2)-U81-'Calc base'!AE81)</f>
        <v>0</v>
      </c>
      <c r="AH81">
        <f>IF('Calc base'!C$14=0,0,MIN(V81,MAX(0,$E81-SUMIFS($V81:$AG81,'Calc base'!$C$17:$N$17,"&lt;"&amp;'Calc base'!C$17,'Calc base'!$C$14:$N$14,1))))</f>
        <v>0</v>
      </c>
      <c r="AI81">
        <f>IF('Calc base'!D$14=0,0,MIN(W81,MAX(0,$E81-SUMIFS($V81:$AG81,'Calc base'!$C$17:$N$17,"&lt;"&amp;'Calc base'!D$17,'Calc base'!$C$14:$N$14,1))))</f>
        <v>0</v>
      </c>
      <c r="AJ81">
        <f>IF('Calc base'!E$14=0,0,MIN(X81,MAX(0,$E81-SUMIFS($V81:$AG81,'Calc base'!$C$17:$N$17,"&lt;"&amp;'Calc base'!E$17,'Calc base'!$C$14:$N$14,1))))</f>
        <v>0</v>
      </c>
      <c r="AK81">
        <f>IF('Calc base'!F$14=0,0,MIN(Y81,MAX(0,$E81-SUMIFS($V81:$AG81,'Calc base'!$C$17:$N$17,"&lt;"&amp;'Calc base'!F$17,'Calc base'!$C$14:$N$14,1))))</f>
        <v>0</v>
      </c>
      <c r="AL81">
        <f>IF('Calc base'!G$14=0,0,MIN(Z81,MAX(0,$E81-SUMIFS($V81:$AG81,'Calc base'!$C$17:$N$17,"&lt;"&amp;'Calc base'!G$17,'Calc base'!$C$14:$N$14,1))))</f>
        <v>0</v>
      </c>
      <c r="AM81">
        <f>IF('Calc base'!H$14=0,0,MIN(AA81,MAX(0,$E81-SUMIFS($V81:$AG81,'Calc base'!$C$17:$N$17,"&lt;"&amp;'Calc base'!H$17,'Calc base'!$C$14:$N$14,1))))</f>
        <v>0</v>
      </c>
      <c r="AN81">
        <f>IF('Calc base'!I$14=0,0,MIN(AB81,MAX(0,$E81-SUMIFS($V81:$AG81,'Calc base'!$C$17:$N$17,"&lt;"&amp;'Calc base'!I$17,'Calc base'!$C$14:$N$14,1))))</f>
        <v>0</v>
      </c>
      <c r="AO81">
        <f>IF('Calc base'!J$14=0,0,MIN(AC81,MAX(0,$E81-SUMIFS($V81:$AG81,'Calc base'!$C$17:$N$17,"&lt;"&amp;'Calc base'!J$17,'Calc base'!$C$14:$N$14,1))))</f>
        <v>0</v>
      </c>
      <c r="AP81">
        <f>IF('Calc base'!K$14=0,0,MIN(AD81,MAX(0,$E81-SUMIFS($V81:$AG81,'Calc base'!$C$17:$N$17,"&lt;"&amp;'Calc base'!K$17,'Calc base'!$C$14:$N$14,1))))</f>
        <v>0</v>
      </c>
      <c r="AQ81">
        <f>IF('Calc base'!L$14=0,0,MIN(AE81,MAX(0,$E81-SUMIFS($V81:$AG81,'Calc base'!$C$17:$N$17,"&lt;"&amp;'Calc base'!L$17,'Calc base'!$C$14:$N$14,1))))</f>
        <v>0</v>
      </c>
      <c r="AR81">
        <f>IF('Calc base'!M$14=0,0,MIN(AF81,MAX(0,$E81-SUMIFS($V81:$AG81,'Calc base'!$C$17:$N$17,"&lt;"&amp;'Calc base'!M$17,'Calc base'!$C$14:$N$14,1))))</f>
        <v>0</v>
      </c>
      <c r="AS81">
        <f>IF('Calc base'!N$14=0,0,MIN(AG81,MAX(0,$E81-SUMIFS($V81:$AG81,'Calc base'!$C$17:$N$17,"&lt;"&amp;'Calc base'!N$17,'Calc base'!$C$14:$N$14,1))))</f>
        <v>0</v>
      </c>
      <c r="AT81">
        <f>V81-AH81</f>
        <v>0</v>
      </c>
      <c r="AU81">
        <f>W81-AI81</f>
        <v>0</v>
      </c>
      <c r="AV81">
        <f>X81-AJ81</f>
        <v>0</v>
      </c>
      <c r="AW81">
        <f>Y81-AK81</f>
        <v>0</v>
      </c>
      <c r="AX81">
        <f>Z81-AL81</f>
        <v>0</v>
      </c>
      <c r="AY81">
        <f>AA81-AM81</f>
        <v>0</v>
      </c>
      <c r="AZ81">
        <f>AB81-AN81</f>
        <v>0</v>
      </c>
      <c r="BA81">
        <f>AC81-AO81</f>
        <v>0</v>
      </c>
      <c r="BB81">
        <f>AD81-AP81</f>
        <v>0</v>
      </c>
      <c r="BC81">
        <f>AE81-AQ81</f>
        <v>0</v>
      </c>
      <c r="BD81">
        <f>AF81-AR81</f>
        <v>0</v>
      </c>
      <c r="BE81">
        <f>AG81-AS81</f>
        <v>0</v>
      </c>
    </row>
    <row r="82">
      <c r="A82" t="n">
        <v>52</v>
      </c>
      <c r="B82">
        <f>SUMPRODUCT(ROUND($AT81:$BE81*(1+'Calc base'!$H82:$S82),2))</f>
        <v>0</v>
      </c>
      <c r="C82">
        <f>SUM(J82:U82)</f>
        <v>0</v>
      </c>
      <c r="D82">
        <f>SUM(V82:AG82)</f>
        <v>0</v>
      </c>
      <c r="E82">
        <f>MAX(0,IF(Impostazioni!$B$7="No",'Calc base'!$C82-$C$31,'Calc base'!$C82-C82)+'Calc base'!$G82+'Calc base'!$F82-(B82-C82-D82))</f>
        <v>900</v>
      </c>
      <c r="F82">
        <f>SUM(AH82:AS82)</f>
        <v>0</v>
      </c>
      <c r="G82">
        <f>SUM(AT82:BE82)</f>
        <v>0</v>
      </c>
      <c r="H82">
        <f>B82-G81</f>
        <v>0</v>
      </c>
      <c r="I82">
        <f>B82-G82</f>
        <v>0</v>
      </c>
      <c r="J82">
        <f>IF(AT81&lt;=0,0,IF(ROUND(AT81*(1+'Calc base'!H82),2)-MAX('Calc base'!C$12,ROUND('Calc base'!C$13*AT81,2))&lt;1,ROUND(AT81*(1+'Calc base'!H82),2),MAX('Calc base'!C$12,ROUND('Calc base'!C$13*AT81,2))))</f>
        <v>0</v>
      </c>
      <c r="K82">
        <f>IF(AU81&lt;=0,0,IF(ROUND(AU81*(1+'Calc base'!I82),2)-MAX('Calc base'!D$12,ROUND('Calc base'!D$13*AU81,2))&lt;1,ROUND(AU81*(1+'Calc base'!I82),2),MAX('Calc base'!D$12,ROUND('Calc base'!D$13*AU81,2))))</f>
        <v>0</v>
      </c>
      <c r="L82">
        <f>IF(AV81&lt;=0,0,IF(ROUND(AV81*(1+'Calc base'!J82),2)-MAX('Calc base'!E$12,ROUND('Calc base'!E$13*AV81,2))&lt;1,ROUND(AV81*(1+'Calc base'!J82),2),MAX('Calc base'!E$12,ROUND('Calc base'!E$13*AV81,2))))</f>
        <v>0</v>
      </c>
      <c r="M82">
        <f>IF(AW81&lt;=0,0,IF(ROUND(AW81*(1+'Calc base'!K82),2)-MAX('Calc base'!F$12,ROUND('Calc base'!F$13*AW81,2))&lt;1,ROUND(AW81*(1+'Calc base'!K82),2),MAX('Calc base'!F$12,ROUND('Calc base'!F$13*AW81,2))))</f>
        <v>0</v>
      </c>
      <c r="N82">
        <f>IF(AX81&lt;=0,0,IF(ROUND(AX81*(1+'Calc base'!L82),2)-MAX('Calc base'!G$12,ROUND('Calc base'!G$13*AX81,2))&lt;1,ROUND(AX81*(1+'Calc base'!L82),2),MAX('Calc base'!G$12,ROUND('Calc base'!G$13*AX81,2))))</f>
        <v>0</v>
      </c>
      <c r="O82">
        <f>IF(AY81&lt;=0,0,IF(ROUND(AY81*(1+'Calc base'!M82),2)-MAX('Calc base'!H$12,ROUND('Calc base'!H$13*AY81,2))&lt;1,ROUND(AY81*(1+'Calc base'!M82),2),MAX('Calc base'!H$12,ROUND('Calc base'!H$13*AY81,2))))</f>
        <v>0</v>
      </c>
      <c r="P82">
        <f>IF(AZ81&lt;=0,0,IF(ROUND(AZ81*(1+'Calc base'!N82),2)-MAX('Calc base'!I$12,ROUND('Calc base'!I$13*AZ81,2))&lt;1,ROUND(AZ81*(1+'Calc base'!N82),2),MAX('Calc base'!I$12,ROUND('Calc base'!I$13*AZ81,2))))</f>
        <v>0</v>
      </c>
      <c r="Q82">
        <f>IF(BA81&lt;=0,0,IF(ROUND(BA81*(1+'Calc base'!O82),2)-MAX('Calc base'!J$12,ROUND('Calc base'!J$13*BA81,2))&lt;1,ROUND(BA81*(1+'Calc base'!O82),2),MAX('Calc base'!J$12,ROUND('Calc base'!J$13*BA81,2))))</f>
        <v>0</v>
      </c>
      <c r="R82">
        <f>IF(BB81&lt;=0,0,IF(ROUND(BB81*(1+'Calc base'!P82),2)-MAX('Calc base'!K$12,ROUND('Calc base'!K$13*BB81,2))&lt;1,ROUND(BB81*(1+'Calc base'!P82),2),MAX('Calc base'!K$12,ROUND('Calc base'!K$13*BB81,2))))</f>
        <v>0</v>
      </c>
      <c r="S82">
        <f>IF(BC81&lt;=0,0,IF(ROUND(BC81*(1+'Calc base'!Q82),2)-MAX('Calc base'!L$12,ROUND('Calc base'!L$13*BC81,2))&lt;1,ROUND(BC81*(1+'Calc base'!Q82),2),MAX('Calc base'!L$12,ROUND('Calc base'!L$13*BC81,2))))</f>
        <v>0</v>
      </c>
      <c r="T82">
        <f>IF(BD81&lt;=0,0,IF(ROUND(BD81*(1+'Calc base'!R82),2)-MAX('Calc base'!M$12,ROUND('Calc base'!M$13*BD81,2))&lt;1,ROUND(BD81*(1+'Calc base'!R82),2),MAX('Calc base'!M$12,ROUND('Calc base'!M$13*BD81,2))))</f>
        <v>0</v>
      </c>
      <c r="U82">
        <f>IF(BE81&lt;=0,0,IF(ROUND(BE81*(1+'Calc base'!S82),2)-MAX('Calc base'!N$12,ROUND('Calc base'!N$13*BE81,2))&lt;1,ROUND(BE81*(1+'Calc base'!S82),2),MAX('Calc base'!N$12,ROUND('Calc base'!N$13*BE81,2))))</f>
        <v>0</v>
      </c>
      <c r="V82">
        <f>MAX(0,ROUND(AT81*(1+'Calc base'!H82),2)-J82-'Calc base'!T82)</f>
        <v>0</v>
      </c>
      <c r="W82">
        <f>MAX(0,ROUND(AU81*(1+'Calc base'!I82),2)-K82-'Calc base'!U82)</f>
        <v>0</v>
      </c>
      <c r="X82">
        <f>MAX(0,ROUND(AV81*(1+'Calc base'!J82),2)-L82-'Calc base'!V82)</f>
        <v>0</v>
      </c>
      <c r="Y82">
        <f>MAX(0,ROUND(AW81*(1+'Calc base'!K82),2)-M82-'Calc base'!W82)</f>
        <v>0</v>
      </c>
      <c r="Z82">
        <f>MAX(0,ROUND(AX81*(1+'Calc base'!L82),2)-N82-'Calc base'!X82)</f>
        <v>0</v>
      </c>
      <c r="AA82">
        <f>MAX(0,ROUND(AY81*(1+'Calc base'!M82),2)-O82-'Calc base'!Y82)</f>
        <v>0</v>
      </c>
      <c r="AB82">
        <f>MAX(0,ROUND(AZ81*(1+'Calc base'!N82),2)-P82-'Calc base'!Z82)</f>
        <v>0</v>
      </c>
      <c r="AC82">
        <f>MAX(0,ROUND(BA81*(1+'Calc base'!O82),2)-Q82-'Calc base'!AA82)</f>
        <v>0</v>
      </c>
      <c r="AD82">
        <f>MAX(0,ROUND(BB81*(1+'Calc base'!P82),2)-R82-'Calc base'!AB82)</f>
        <v>0</v>
      </c>
      <c r="AE82">
        <f>MAX(0,ROUND(BC81*(1+'Calc base'!Q82),2)-S82-'Calc base'!AC82)</f>
        <v>0</v>
      </c>
      <c r="AF82">
        <f>MAX(0,ROUND(BD81*(1+'Calc base'!R82),2)-T82-'Calc base'!AD82)</f>
        <v>0</v>
      </c>
      <c r="AG82">
        <f>MAX(0,ROUND(BE81*(1+'Calc base'!S82),2)-U82-'Calc base'!AE82)</f>
        <v>0</v>
      </c>
      <c r="AH82">
        <f>IF('Calc base'!C$14=0,0,MIN(V82,MAX(0,$E82-SUMIFS($V82:$AG82,'Calc base'!$C$17:$N$17,"&lt;"&amp;'Calc base'!C$17,'Calc base'!$C$14:$N$14,1))))</f>
        <v>0</v>
      </c>
      <c r="AI82">
        <f>IF('Calc base'!D$14=0,0,MIN(W82,MAX(0,$E82-SUMIFS($V82:$AG82,'Calc base'!$C$17:$N$17,"&lt;"&amp;'Calc base'!D$17,'Calc base'!$C$14:$N$14,1))))</f>
        <v>0</v>
      </c>
      <c r="AJ82">
        <f>IF('Calc base'!E$14=0,0,MIN(X82,MAX(0,$E82-SUMIFS($V82:$AG82,'Calc base'!$C$17:$N$17,"&lt;"&amp;'Calc base'!E$17,'Calc base'!$C$14:$N$14,1))))</f>
        <v>0</v>
      </c>
      <c r="AK82">
        <f>IF('Calc base'!F$14=0,0,MIN(Y82,MAX(0,$E82-SUMIFS($V82:$AG82,'Calc base'!$C$17:$N$17,"&lt;"&amp;'Calc base'!F$17,'Calc base'!$C$14:$N$14,1))))</f>
        <v>0</v>
      </c>
      <c r="AL82">
        <f>IF('Calc base'!G$14=0,0,MIN(Z82,MAX(0,$E82-SUMIFS($V82:$AG82,'Calc base'!$C$17:$N$17,"&lt;"&amp;'Calc base'!G$17,'Calc base'!$C$14:$N$14,1))))</f>
        <v>0</v>
      </c>
      <c r="AM82">
        <f>IF('Calc base'!H$14=0,0,MIN(AA82,MAX(0,$E82-SUMIFS($V82:$AG82,'Calc base'!$C$17:$N$17,"&lt;"&amp;'Calc base'!H$17,'Calc base'!$C$14:$N$14,1))))</f>
        <v>0</v>
      </c>
      <c r="AN82">
        <f>IF('Calc base'!I$14=0,0,MIN(AB82,MAX(0,$E82-SUMIFS($V82:$AG82,'Calc base'!$C$17:$N$17,"&lt;"&amp;'Calc base'!I$17,'Calc base'!$C$14:$N$14,1))))</f>
        <v>0</v>
      </c>
      <c r="AO82">
        <f>IF('Calc base'!J$14=0,0,MIN(AC82,MAX(0,$E82-SUMIFS($V82:$AG82,'Calc base'!$C$17:$N$17,"&lt;"&amp;'Calc base'!J$17,'Calc base'!$C$14:$N$14,1))))</f>
        <v>0</v>
      </c>
      <c r="AP82">
        <f>IF('Calc base'!K$14=0,0,MIN(AD82,MAX(0,$E82-SUMIFS($V82:$AG82,'Calc base'!$C$17:$N$17,"&lt;"&amp;'Calc base'!K$17,'Calc base'!$C$14:$N$14,1))))</f>
        <v>0</v>
      </c>
      <c r="AQ82">
        <f>IF('Calc base'!L$14=0,0,MIN(AE82,MAX(0,$E82-SUMIFS($V82:$AG82,'Calc base'!$C$17:$N$17,"&lt;"&amp;'Calc base'!L$17,'Calc base'!$C$14:$N$14,1))))</f>
        <v>0</v>
      </c>
      <c r="AR82">
        <f>IF('Calc base'!M$14=0,0,MIN(AF82,MAX(0,$E82-SUMIFS($V82:$AG82,'Calc base'!$C$17:$N$17,"&lt;"&amp;'Calc base'!M$17,'Calc base'!$C$14:$N$14,1))))</f>
        <v>0</v>
      </c>
      <c r="AS82">
        <f>IF('Calc base'!N$14=0,0,MIN(AG82,MAX(0,$E82-SUMIFS($V82:$AG82,'Calc base'!$C$17:$N$17,"&lt;"&amp;'Calc base'!N$17,'Calc base'!$C$14:$N$14,1))))</f>
        <v>0</v>
      </c>
      <c r="AT82">
        <f>V82-AH82</f>
        <v>0</v>
      </c>
      <c r="AU82">
        <f>W82-AI82</f>
        <v>0</v>
      </c>
      <c r="AV82">
        <f>X82-AJ82</f>
        <v>0</v>
      </c>
      <c r="AW82">
        <f>Y82-AK82</f>
        <v>0</v>
      </c>
      <c r="AX82">
        <f>Z82-AL82</f>
        <v>0</v>
      </c>
      <c r="AY82">
        <f>AA82-AM82</f>
        <v>0</v>
      </c>
      <c r="AZ82">
        <f>AB82-AN82</f>
        <v>0</v>
      </c>
      <c r="BA82">
        <f>AC82-AO82</f>
        <v>0</v>
      </c>
      <c r="BB82">
        <f>AD82-AP82</f>
        <v>0</v>
      </c>
      <c r="BC82">
        <f>AE82-AQ82</f>
        <v>0</v>
      </c>
      <c r="BD82">
        <f>AF82-AR82</f>
        <v>0</v>
      </c>
      <c r="BE82">
        <f>AG82-AS82</f>
        <v>0</v>
      </c>
    </row>
    <row r="83">
      <c r="A83" t="n">
        <v>53</v>
      </c>
      <c r="B83">
        <f>SUMPRODUCT(ROUND($AT82:$BE82*(1+'Calc base'!$H83:$S83),2))</f>
        <v>0</v>
      </c>
      <c r="C83">
        <f>SUM(J83:U83)</f>
        <v>0</v>
      </c>
      <c r="D83">
        <f>SUM(V83:AG83)</f>
        <v>0</v>
      </c>
      <c r="E83">
        <f>MAX(0,IF(Impostazioni!$B$7="No",'Calc base'!$C83-$C$31,'Calc base'!$C83-C83)+'Calc base'!$G83+'Calc base'!$F83-(B83-C83-D83))</f>
        <v>900</v>
      </c>
      <c r="F83">
        <f>SUM(AH83:AS83)</f>
        <v>0</v>
      </c>
      <c r="G83">
        <f>SUM(AT83:BE83)</f>
        <v>0</v>
      </c>
      <c r="H83">
        <f>B83-G82</f>
        <v>0</v>
      </c>
      <c r="I83">
        <f>B83-G83</f>
        <v>0</v>
      </c>
      <c r="J83">
        <f>IF(AT82&lt;=0,0,IF(ROUND(AT82*(1+'Calc base'!H83),2)-MAX('Calc base'!C$12,ROUND('Calc base'!C$13*AT82,2))&lt;1,ROUND(AT82*(1+'Calc base'!H83),2),MAX('Calc base'!C$12,ROUND('Calc base'!C$13*AT82,2))))</f>
        <v>0</v>
      </c>
      <c r="K83">
        <f>IF(AU82&lt;=0,0,IF(ROUND(AU82*(1+'Calc base'!I83),2)-MAX('Calc base'!D$12,ROUND('Calc base'!D$13*AU82,2))&lt;1,ROUND(AU82*(1+'Calc base'!I83),2),MAX('Calc base'!D$12,ROUND('Calc base'!D$13*AU82,2))))</f>
        <v>0</v>
      </c>
      <c r="L83">
        <f>IF(AV82&lt;=0,0,IF(ROUND(AV82*(1+'Calc base'!J83),2)-MAX('Calc base'!E$12,ROUND('Calc base'!E$13*AV82,2))&lt;1,ROUND(AV82*(1+'Calc base'!J83),2),MAX('Calc base'!E$12,ROUND('Calc base'!E$13*AV82,2))))</f>
        <v>0</v>
      </c>
      <c r="M83">
        <f>IF(AW82&lt;=0,0,IF(ROUND(AW82*(1+'Calc base'!K83),2)-MAX('Calc base'!F$12,ROUND('Calc base'!F$13*AW82,2))&lt;1,ROUND(AW82*(1+'Calc base'!K83),2),MAX('Calc base'!F$12,ROUND('Calc base'!F$13*AW82,2))))</f>
        <v>0</v>
      </c>
      <c r="N83">
        <f>IF(AX82&lt;=0,0,IF(ROUND(AX82*(1+'Calc base'!L83),2)-MAX('Calc base'!G$12,ROUND('Calc base'!G$13*AX82,2))&lt;1,ROUND(AX82*(1+'Calc base'!L83),2),MAX('Calc base'!G$12,ROUND('Calc base'!G$13*AX82,2))))</f>
        <v>0</v>
      </c>
      <c r="O83">
        <f>IF(AY82&lt;=0,0,IF(ROUND(AY82*(1+'Calc base'!M83),2)-MAX('Calc base'!H$12,ROUND('Calc base'!H$13*AY82,2))&lt;1,ROUND(AY82*(1+'Calc base'!M83),2),MAX('Calc base'!H$12,ROUND('Calc base'!H$13*AY82,2))))</f>
        <v>0</v>
      </c>
      <c r="P83">
        <f>IF(AZ82&lt;=0,0,IF(ROUND(AZ82*(1+'Calc base'!N83),2)-MAX('Calc base'!I$12,ROUND('Calc base'!I$13*AZ82,2))&lt;1,ROUND(AZ82*(1+'Calc base'!N83),2),MAX('Calc base'!I$12,ROUND('Calc base'!I$13*AZ82,2))))</f>
        <v>0</v>
      </c>
      <c r="Q83">
        <f>IF(BA82&lt;=0,0,IF(ROUND(BA82*(1+'Calc base'!O83),2)-MAX('Calc base'!J$12,ROUND('Calc base'!J$13*BA82,2))&lt;1,ROUND(BA82*(1+'Calc base'!O83),2),MAX('Calc base'!J$12,ROUND('Calc base'!J$13*BA82,2))))</f>
        <v>0</v>
      </c>
      <c r="R83">
        <f>IF(BB82&lt;=0,0,IF(ROUND(BB82*(1+'Calc base'!P83),2)-MAX('Calc base'!K$12,ROUND('Calc base'!K$13*BB82,2))&lt;1,ROUND(BB82*(1+'Calc base'!P83),2),MAX('Calc base'!K$12,ROUND('Calc base'!K$13*BB82,2))))</f>
        <v>0</v>
      </c>
      <c r="S83">
        <f>IF(BC82&lt;=0,0,IF(ROUND(BC82*(1+'Calc base'!Q83),2)-MAX('Calc base'!L$12,ROUND('Calc base'!L$13*BC82,2))&lt;1,ROUND(BC82*(1+'Calc base'!Q83),2),MAX('Calc base'!L$12,ROUND('Calc base'!L$13*BC82,2))))</f>
        <v>0</v>
      </c>
      <c r="T83">
        <f>IF(BD82&lt;=0,0,IF(ROUND(BD82*(1+'Calc base'!R83),2)-MAX('Calc base'!M$12,ROUND('Calc base'!M$13*BD82,2))&lt;1,ROUND(BD82*(1+'Calc base'!R83),2),MAX('Calc base'!M$12,ROUND('Calc base'!M$13*BD82,2))))</f>
        <v>0</v>
      </c>
      <c r="U83">
        <f>IF(BE82&lt;=0,0,IF(ROUND(BE82*(1+'Calc base'!S83),2)-MAX('Calc base'!N$12,ROUND('Calc base'!N$13*BE82,2))&lt;1,ROUND(BE82*(1+'Calc base'!S83),2),MAX('Calc base'!N$12,ROUND('Calc base'!N$13*BE82,2))))</f>
        <v>0</v>
      </c>
      <c r="V83">
        <f>MAX(0,ROUND(AT82*(1+'Calc base'!H83),2)-J83-'Calc base'!T83)</f>
        <v>0</v>
      </c>
      <c r="W83">
        <f>MAX(0,ROUND(AU82*(1+'Calc base'!I83),2)-K83-'Calc base'!U83)</f>
        <v>0</v>
      </c>
      <c r="X83">
        <f>MAX(0,ROUND(AV82*(1+'Calc base'!J83),2)-L83-'Calc base'!V83)</f>
        <v>0</v>
      </c>
      <c r="Y83">
        <f>MAX(0,ROUND(AW82*(1+'Calc base'!K83),2)-M83-'Calc base'!W83)</f>
        <v>0</v>
      </c>
      <c r="Z83">
        <f>MAX(0,ROUND(AX82*(1+'Calc base'!L83),2)-N83-'Calc base'!X83)</f>
        <v>0</v>
      </c>
      <c r="AA83">
        <f>MAX(0,ROUND(AY82*(1+'Calc base'!M83),2)-O83-'Calc base'!Y83)</f>
        <v>0</v>
      </c>
      <c r="AB83">
        <f>MAX(0,ROUND(AZ82*(1+'Calc base'!N83),2)-P83-'Calc base'!Z83)</f>
        <v>0</v>
      </c>
      <c r="AC83">
        <f>MAX(0,ROUND(BA82*(1+'Calc base'!O83),2)-Q83-'Calc base'!AA83)</f>
        <v>0</v>
      </c>
      <c r="AD83">
        <f>MAX(0,ROUND(BB82*(1+'Calc base'!P83),2)-R83-'Calc base'!AB83)</f>
        <v>0</v>
      </c>
      <c r="AE83">
        <f>MAX(0,ROUND(BC82*(1+'Calc base'!Q83),2)-S83-'Calc base'!AC83)</f>
        <v>0</v>
      </c>
      <c r="AF83">
        <f>MAX(0,ROUND(BD82*(1+'Calc base'!R83),2)-T83-'Calc base'!AD83)</f>
        <v>0</v>
      </c>
      <c r="AG83">
        <f>MAX(0,ROUND(BE82*(1+'Calc base'!S83),2)-U83-'Calc base'!AE83)</f>
        <v>0</v>
      </c>
      <c r="AH83">
        <f>IF('Calc base'!C$14=0,0,MIN(V83,MAX(0,$E83-SUMIFS($V83:$AG83,'Calc base'!$C$17:$N$17,"&lt;"&amp;'Calc base'!C$17,'Calc base'!$C$14:$N$14,1))))</f>
        <v>0</v>
      </c>
      <c r="AI83">
        <f>IF('Calc base'!D$14=0,0,MIN(W83,MAX(0,$E83-SUMIFS($V83:$AG83,'Calc base'!$C$17:$N$17,"&lt;"&amp;'Calc base'!D$17,'Calc base'!$C$14:$N$14,1))))</f>
        <v>0</v>
      </c>
      <c r="AJ83">
        <f>IF('Calc base'!E$14=0,0,MIN(X83,MAX(0,$E83-SUMIFS($V83:$AG83,'Calc base'!$C$17:$N$17,"&lt;"&amp;'Calc base'!E$17,'Calc base'!$C$14:$N$14,1))))</f>
        <v>0</v>
      </c>
      <c r="AK83">
        <f>IF('Calc base'!F$14=0,0,MIN(Y83,MAX(0,$E83-SUMIFS($V83:$AG83,'Calc base'!$C$17:$N$17,"&lt;"&amp;'Calc base'!F$17,'Calc base'!$C$14:$N$14,1))))</f>
        <v>0</v>
      </c>
      <c r="AL83">
        <f>IF('Calc base'!G$14=0,0,MIN(Z83,MAX(0,$E83-SUMIFS($V83:$AG83,'Calc base'!$C$17:$N$17,"&lt;"&amp;'Calc base'!G$17,'Calc base'!$C$14:$N$14,1))))</f>
        <v>0</v>
      </c>
      <c r="AM83">
        <f>IF('Calc base'!H$14=0,0,MIN(AA83,MAX(0,$E83-SUMIFS($V83:$AG83,'Calc base'!$C$17:$N$17,"&lt;"&amp;'Calc base'!H$17,'Calc base'!$C$14:$N$14,1))))</f>
        <v>0</v>
      </c>
      <c r="AN83">
        <f>IF('Calc base'!I$14=0,0,MIN(AB83,MAX(0,$E83-SUMIFS($V83:$AG83,'Calc base'!$C$17:$N$17,"&lt;"&amp;'Calc base'!I$17,'Calc base'!$C$14:$N$14,1))))</f>
        <v>0</v>
      </c>
      <c r="AO83">
        <f>IF('Calc base'!J$14=0,0,MIN(AC83,MAX(0,$E83-SUMIFS($V83:$AG83,'Calc base'!$C$17:$N$17,"&lt;"&amp;'Calc base'!J$17,'Calc base'!$C$14:$N$14,1))))</f>
        <v>0</v>
      </c>
      <c r="AP83">
        <f>IF('Calc base'!K$14=0,0,MIN(AD83,MAX(0,$E83-SUMIFS($V83:$AG83,'Calc base'!$C$17:$N$17,"&lt;"&amp;'Calc base'!K$17,'Calc base'!$C$14:$N$14,1))))</f>
        <v>0</v>
      </c>
      <c r="AQ83">
        <f>IF('Calc base'!L$14=0,0,MIN(AE83,MAX(0,$E83-SUMIFS($V83:$AG83,'Calc base'!$C$17:$N$17,"&lt;"&amp;'Calc base'!L$17,'Calc base'!$C$14:$N$14,1))))</f>
        <v>0</v>
      </c>
      <c r="AR83">
        <f>IF('Calc base'!M$14=0,0,MIN(AF83,MAX(0,$E83-SUMIFS($V83:$AG83,'Calc base'!$C$17:$N$17,"&lt;"&amp;'Calc base'!M$17,'Calc base'!$C$14:$N$14,1))))</f>
        <v>0</v>
      </c>
      <c r="AS83">
        <f>IF('Calc base'!N$14=0,0,MIN(AG83,MAX(0,$E83-SUMIFS($V83:$AG83,'Calc base'!$C$17:$N$17,"&lt;"&amp;'Calc base'!N$17,'Calc base'!$C$14:$N$14,1))))</f>
        <v>0</v>
      </c>
      <c r="AT83">
        <f>V83-AH83</f>
        <v>0</v>
      </c>
      <c r="AU83">
        <f>W83-AI83</f>
        <v>0</v>
      </c>
      <c r="AV83">
        <f>X83-AJ83</f>
        <v>0</v>
      </c>
      <c r="AW83">
        <f>Y83-AK83</f>
        <v>0</v>
      </c>
      <c r="AX83">
        <f>Z83-AL83</f>
        <v>0</v>
      </c>
      <c r="AY83">
        <f>AA83-AM83</f>
        <v>0</v>
      </c>
      <c r="AZ83">
        <f>AB83-AN83</f>
        <v>0</v>
      </c>
      <c r="BA83">
        <f>AC83-AO83</f>
        <v>0</v>
      </c>
      <c r="BB83">
        <f>AD83-AP83</f>
        <v>0</v>
      </c>
      <c r="BC83">
        <f>AE83-AQ83</f>
        <v>0</v>
      </c>
      <c r="BD83">
        <f>AF83-AR83</f>
        <v>0</v>
      </c>
      <c r="BE83">
        <f>AG83-AS83</f>
        <v>0</v>
      </c>
    </row>
    <row r="84">
      <c r="A84" t="n">
        <v>54</v>
      </c>
      <c r="B84">
        <f>SUMPRODUCT(ROUND($AT83:$BE83*(1+'Calc base'!$H84:$S84),2))</f>
        <v>0</v>
      </c>
      <c r="C84">
        <f>SUM(J84:U84)</f>
        <v>0</v>
      </c>
      <c r="D84">
        <f>SUM(V84:AG84)</f>
        <v>0</v>
      </c>
      <c r="E84">
        <f>MAX(0,IF(Impostazioni!$B$7="No",'Calc base'!$C84-$C$31,'Calc base'!$C84-C84)+'Calc base'!$G84+'Calc base'!$F84-(B84-C84-D84))</f>
        <v>900</v>
      </c>
      <c r="F84">
        <f>SUM(AH84:AS84)</f>
        <v>0</v>
      </c>
      <c r="G84">
        <f>SUM(AT84:BE84)</f>
        <v>0</v>
      </c>
      <c r="H84">
        <f>B84-G83</f>
        <v>0</v>
      </c>
      <c r="I84">
        <f>B84-G84</f>
        <v>0</v>
      </c>
      <c r="J84">
        <f>IF(AT83&lt;=0,0,IF(ROUND(AT83*(1+'Calc base'!H84),2)-MAX('Calc base'!C$12,ROUND('Calc base'!C$13*AT83,2))&lt;1,ROUND(AT83*(1+'Calc base'!H84),2),MAX('Calc base'!C$12,ROUND('Calc base'!C$13*AT83,2))))</f>
        <v>0</v>
      </c>
      <c r="K84">
        <f>IF(AU83&lt;=0,0,IF(ROUND(AU83*(1+'Calc base'!I84),2)-MAX('Calc base'!D$12,ROUND('Calc base'!D$13*AU83,2))&lt;1,ROUND(AU83*(1+'Calc base'!I84),2),MAX('Calc base'!D$12,ROUND('Calc base'!D$13*AU83,2))))</f>
        <v>0</v>
      </c>
      <c r="L84">
        <f>IF(AV83&lt;=0,0,IF(ROUND(AV83*(1+'Calc base'!J84),2)-MAX('Calc base'!E$12,ROUND('Calc base'!E$13*AV83,2))&lt;1,ROUND(AV83*(1+'Calc base'!J84),2),MAX('Calc base'!E$12,ROUND('Calc base'!E$13*AV83,2))))</f>
        <v>0</v>
      </c>
      <c r="M84">
        <f>IF(AW83&lt;=0,0,IF(ROUND(AW83*(1+'Calc base'!K84),2)-MAX('Calc base'!F$12,ROUND('Calc base'!F$13*AW83,2))&lt;1,ROUND(AW83*(1+'Calc base'!K84),2),MAX('Calc base'!F$12,ROUND('Calc base'!F$13*AW83,2))))</f>
        <v>0</v>
      </c>
      <c r="N84">
        <f>IF(AX83&lt;=0,0,IF(ROUND(AX83*(1+'Calc base'!L84),2)-MAX('Calc base'!G$12,ROUND('Calc base'!G$13*AX83,2))&lt;1,ROUND(AX83*(1+'Calc base'!L84),2),MAX('Calc base'!G$12,ROUND('Calc base'!G$13*AX83,2))))</f>
        <v>0</v>
      </c>
      <c r="O84">
        <f>IF(AY83&lt;=0,0,IF(ROUND(AY83*(1+'Calc base'!M84),2)-MAX('Calc base'!H$12,ROUND('Calc base'!H$13*AY83,2))&lt;1,ROUND(AY83*(1+'Calc base'!M84),2),MAX('Calc base'!H$12,ROUND('Calc base'!H$13*AY83,2))))</f>
        <v>0</v>
      </c>
      <c r="P84">
        <f>IF(AZ83&lt;=0,0,IF(ROUND(AZ83*(1+'Calc base'!N84),2)-MAX('Calc base'!I$12,ROUND('Calc base'!I$13*AZ83,2))&lt;1,ROUND(AZ83*(1+'Calc base'!N84),2),MAX('Calc base'!I$12,ROUND('Calc base'!I$13*AZ83,2))))</f>
        <v>0</v>
      </c>
      <c r="Q84">
        <f>IF(BA83&lt;=0,0,IF(ROUND(BA83*(1+'Calc base'!O84),2)-MAX('Calc base'!J$12,ROUND('Calc base'!J$13*BA83,2))&lt;1,ROUND(BA83*(1+'Calc base'!O84),2),MAX('Calc base'!J$12,ROUND('Calc base'!J$13*BA83,2))))</f>
        <v>0</v>
      </c>
      <c r="R84">
        <f>IF(BB83&lt;=0,0,IF(ROUND(BB83*(1+'Calc base'!P84),2)-MAX('Calc base'!K$12,ROUND('Calc base'!K$13*BB83,2))&lt;1,ROUND(BB83*(1+'Calc base'!P84),2),MAX('Calc base'!K$12,ROUND('Calc base'!K$13*BB83,2))))</f>
        <v>0</v>
      </c>
      <c r="S84">
        <f>IF(BC83&lt;=0,0,IF(ROUND(BC83*(1+'Calc base'!Q84),2)-MAX('Calc base'!L$12,ROUND('Calc base'!L$13*BC83,2))&lt;1,ROUND(BC83*(1+'Calc base'!Q84),2),MAX('Calc base'!L$12,ROUND('Calc base'!L$13*BC83,2))))</f>
        <v>0</v>
      </c>
      <c r="T84">
        <f>IF(BD83&lt;=0,0,IF(ROUND(BD83*(1+'Calc base'!R84),2)-MAX('Calc base'!M$12,ROUND('Calc base'!M$13*BD83,2))&lt;1,ROUND(BD83*(1+'Calc base'!R84),2),MAX('Calc base'!M$12,ROUND('Calc base'!M$13*BD83,2))))</f>
        <v>0</v>
      </c>
      <c r="U84">
        <f>IF(BE83&lt;=0,0,IF(ROUND(BE83*(1+'Calc base'!S84),2)-MAX('Calc base'!N$12,ROUND('Calc base'!N$13*BE83,2))&lt;1,ROUND(BE83*(1+'Calc base'!S84),2),MAX('Calc base'!N$12,ROUND('Calc base'!N$13*BE83,2))))</f>
        <v>0</v>
      </c>
      <c r="V84">
        <f>MAX(0,ROUND(AT83*(1+'Calc base'!H84),2)-J84-'Calc base'!T84)</f>
        <v>0</v>
      </c>
      <c r="W84">
        <f>MAX(0,ROUND(AU83*(1+'Calc base'!I84),2)-K84-'Calc base'!U84)</f>
        <v>0</v>
      </c>
      <c r="X84">
        <f>MAX(0,ROUND(AV83*(1+'Calc base'!J84),2)-L84-'Calc base'!V84)</f>
        <v>0</v>
      </c>
      <c r="Y84">
        <f>MAX(0,ROUND(AW83*(1+'Calc base'!K84),2)-M84-'Calc base'!W84)</f>
        <v>0</v>
      </c>
      <c r="Z84">
        <f>MAX(0,ROUND(AX83*(1+'Calc base'!L84),2)-N84-'Calc base'!X84)</f>
        <v>0</v>
      </c>
      <c r="AA84">
        <f>MAX(0,ROUND(AY83*(1+'Calc base'!M84),2)-O84-'Calc base'!Y84)</f>
        <v>0</v>
      </c>
      <c r="AB84">
        <f>MAX(0,ROUND(AZ83*(1+'Calc base'!N84),2)-P84-'Calc base'!Z84)</f>
        <v>0</v>
      </c>
      <c r="AC84">
        <f>MAX(0,ROUND(BA83*(1+'Calc base'!O84),2)-Q84-'Calc base'!AA84)</f>
        <v>0</v>
      </c>
      <c r="AD84">
        <f>MAX(0,ROUND(BB83*(1+'Calc base'!P84),2)-R84-'Calc base'!AB84)</f>
        <v>0</v>
      </c>
      <c r="AE84">
        <f>MAX(0,ROUND(BC83*(1+'Calc base'!Q84),2)-S84-'Calc base'!AC84)</f>
        <v>0</v>
      </c>
      <c r="AF84">
        <f>MAX(0,ROUND(BD83*(1+'Calc base'!R84),2)-T84-'Calc base'!AD84)</f>
        <v>0</v>
      </c>
      <c r="AG84">
        <f>MAX(0,ROUND(BE83*(1+'Calc base'!S84),2)-U84-'Calc base'!AE84)</f>
        <v>0</v>
      </c>
      <c r="AH84">
        <f>IF('Calc base'!C$14=0,0,MIN(V84,MAX(0,$E84-SUMIFS($V84:$AG84,'Calc base'!$C$17:$N$17,"&lt;"&amp;'Calc base'!C$17,'Calc base'!$C$14:$N$14,1))))</f>
        <v>0</v>
      </c>
      <c r="AI84">
        <f>IF('Calc base'!D$14=0,0,MIN(W84,MAX(0,$E84-SUMIFS($V84:$AG84,'Calc base'!$C$17:$N$17,"&lt;"&amp;'Calc base'!D$17,'Calc base'!$C$14:$N$14,1))))</f>
        <v>0</v>
      </c>
      <c r="AJ84">
        <f>IF('Calc base'!E$14=0,0,MIN(X84,MAX(0,$E84-SUMIFS($V84:$AG84,'Calc base'!$C$17:$N$17,"&lt;"&amp;'Calc base'!E$17,'Calc base'!$C$14:$N$14,1))))</f>
        <v>0</v>
      </c>
      <c r="AK84">
        <f>IF('Calc base'!F$14=0,0,MIN(Y84,MAX(0,$E84-SUMIFS($V84:$AG84,'Calc base'!$C$17:$N$17,"&lt;"&amp;'Calc base'!F$17,'Calc base'!$C$14:$N$14,1))))</f>
        <v>0</v>
      </c>
      <c r="AL84">
        <f>IF('Calc base'!G$14=0,0,MIN(Z84,MAX(0,$E84-SUMIFS($V84:$AG84,'Calc base'!$C$17:$N$17,"&lt;"&amp;'Calc base'!G$17,'Calc base'!$C$14:$N$14,1))))</f>
        <v>0</v>
      </c>
      <c r="AM84">
        <f>IF('Calc base'!H$14=0,0,MIN(AA84,MAX(0,$E84-SUMIFS($V84:$AG84,'Calc base'!$C$17:$N$17,"&lt;"&amp;'Calc base'!H$17,'Calc base'!$C$14:$N$14,1))))</f>
        <v>0</v>
      </c>
      <c r="AN84">
        <f>IF('Calc base'!I$14=0,0,MIN(AB84,MAX(0,$E84-SUMIFS($V84:$AG84,'Calc base'!$C$17:$N$17,"&lt;"&amp;'Calc base'!I$17,'Calc base'!$C$14:$N$14,1))))</f>
        <v>0</v>
      </c>
      <c r="AO84">
        <f>IF('Calc base'!J$14=0,0,MIN(AC84,MAX(0,$E84-SUMIFS($V84:$AG84,'Calc base'!$C$17:$N$17,"&lt;"&amp;'Calc base'!J$17,'Calc base'!$C$14:$N$14,1))))</f>
        <v>0</v>
      </c>
      <c r="AP84">
        <f>IF('Calc base'!K$14=0,0,MIN(AD84,MAX(0,$E84-SUMIFS($V84:$AG84,'Calc base'!$C$17:$N$17,"&lt;"&amp;'Calc base'!K$17,'Calc base'!$C$14:$N$14,1))))</f>
        <v>0</v>
      </c>
      <c r="AQ84">
        <f>IF('Calc base'!L$14=0,0,MIN(AE84,MAX(0,$E84-SUMIFS($V84:$AG84,'Calc base'!$C$17:$N$17,"&lt;"&amp;'Calc base'!L$17,'Calc base'!$C$14:$N$14,1))))</f>
        <v>0</v>
      </c>
      <c r="AR84">
        <f>IF('Calc base'!M$14=0,0,MIN(AF84,MAX(0,$E84-SUMIFS($V84:$AG84,'Calc base'!$C$17:$N$17,"&lt;"&amp;'Calc base'!M$17,'Calc base'!$C$14:$N$14,1))))</f>
        <v>0</v>
      </c>
      <c r="AS84">
        <f>IF('Calc base'!N$14=0,0,MIN(AG84,MAX(0,$E84-SUMIFS($V84:$AG84,'Calc base'!$C$17:$N$17,"&lt;"&amp;'Calc base'!N$17,'Calc base'!$C$14:$N$14,1))))</f>
        <v>0</v>
      </c>
      <c r="AT84">
        <f>V84-AH84</f>
        <v>0</v>
      </c>
      <c r="AU84">
        <f>W84-AI84</f>
        <v>0</v>
      </c>
      <c r="AV84">
        <f>X84-AJ84</f>
        <v>0</v>
      </c>
      <c r="AW84">
        <f>Y84-AK84</f>
        <v>0</v>
      </c>
      <c r="AX84">
        <f>Z84-AL84</f>
        <v>0</v>
      </c>
      <c r="AY84">
        <f>AA84-AM84</f>
        <v>0</v>
      </c>
      <c r="AZ84">
        <f>AB84-AN84</f>
        <v>0</v>
      </c>
      <c r="BA84">
        <f>AC84-AO84</f>
        <v>0</v>
      </c>
      <c r="BB84">
        <f>AD84-AP84</f>
        <v>0</v>
      </c>
      <c r="BC84">
        <f>AE84-AQ84</f>
        <v>0</v>
      </c>
      <c r="BD84">
        <f>AF84-AR84</f>
        <v>0</v>
      </c>
      <c r="BE84">
        <f>AG84-AS84</f>
        <v>0</v>
      </c>
    </row>
    <row r="85">
      <c r="A85" t="n">
        <v>55</v>
      </c>
      <c r="B85">
        <f>SUMPRODUCT(ROUND($AT84:$BE84*(1+'Calc base'!$H85:$S85),2))</f>
        <v>0</v>
      </c>
      <c r="C85">
        <f>SUM(J85:U85)</f>
        <v>0</v>
      </c>
      <c r="D85">
        <f>SUM(V85:AG85)</f>
        <v>0</v>
      </c>
      <c r="E85">
        <f>MAX(0,IF(Impostazioni!$B$7="No",'Calc base'!$C85-$C$31,'Calc base'!$C85-C85)+'Calc base'!$G85+'Calc base'!$F85-(B85-C85-D85))</f>
        <v>900</v>
      </c>
      <c r="F85">
        <f>SUM(AH85:AS85)</f>
        <v>0</v>
      </c>
      <c r="G85">
        <f>SUM(AT85:BE85)</f>
        <v>0</v>
      </c>
      <c r="H85">
        <f>B85-G84</f>
        <v>0</v>
      </c>
      <c r="I85">
        <f>B85-G85</f>
        <v>0</v>
      </c>
      <c r="J85">
        <f>IF(AT84&lt;=0,0,IF(ROUND(AT84*(1+'Calc base'!H85),2)-MAX('Calc base'!C$12,ROUND('Calc base'!C$13*AT84,2))&lt;1,ROUND(AT84*(1+'Calc base'!H85),2),MAX('Calc base'!C$12,ROUND('Calc base'!C$13*AT84,2))))</f>
        <v>0</v>
      </c>
      <c r="K85">
        <f>IF(AU84&lt;=0,0,IF(ROUND(AU84*(1+'Calc base'!I85),2)-MAX('Calc base'!D$12,ROUND('Calc base'!D$13*AU84,2))&lt;1,ROUND(AU84*(1+'Calc base'!I85),2),MAX('Calc base'!D$12,ROUND('Calc base'!D$13*AU84,2))))</f>
        <v>0</v>
      </c>
      <c r="L85">
        <f>IF(AV84&lt;=0,0,IF(ROUND(AV84*(1+'Calc base'!J85),2)-MAX('Calc base'!E$12,ROUND('Calc base'!E$13*AV84,2))&lt;1,ROUND(AV84*(1+'Calc base'!J85),2),MAX('Calc base'!E$12,ROUND('Calc base'!E$13*AV84,2))))</f>
        <v>0</v>
      </c>
      <c r="M85">
        <f>IF(AW84&lt;=0,0,IF(ROUND(AW84*(1+'Calc base'!K85),2)-MAX('Calc base'!F$12,ROUND('Calc base'!F$13*AW84,2))&lt;1,ROUND(AW84*(1+'Calc base'!K85),2),MAX('Calc base'!F$12,ROUND('Calc base'!F$13*AW84,2))))</f>
        <v>0</v>
      </c>
      <c r="N85">
        <f>IF(AX84&lt;=0,0,IF(ROUND(AX84*(1+'Calc base'!L85),2)-MAX('Calc base'!G$12,ROUND('Calc base'!G$13*AX84,2))&lt;1,ROUND(AX84*(1+'Calc base'!L85),2),MAX('Calc base'!G$12,ROUND('Calc base'!G$13*AX84,2))))</f>
        <v>0</v>
      </c>
      <c r="O85">
        <f>IF(AY84&lt;=0,0,IF(ROUND(AY84*(1+'Calc base'!M85),2)-MAX('Calc base'!H$12,ROUND('Calc base'!H$13*AY84,2))&lt;1,ROUND(AY84*(1+'Calc base'!M85),2),MAX('Calc base'!H$12,ROUND('Calc base'!H$13*AY84,2))))</f>
        <v>0</v>
      </c>
      <c r="P85">
        <f>IF(AZ84&lt;=0,0,IF(ROUND(AZ84*(1+'Calc base'!N85),2)-MAX('Calc base'!I$12,ROUND('Calc base'!I$13*AZ84,2))&lt;1,ROUND(AZ84*(1+'Calc base'!N85),2),MAX('Calc base'!I$12,ROUND('Calc base'!I$13*AZ84,2))))</f>
        <v>0</v>
      </c>
      <c r="Q85">
        <f>IF(BA84&lt;=0,0,IF(ROUND(BA84*(1+'Calc base'!O85),2)-MAX('Calc base'!J$12,ROUND('Calc base'!J$13*BA84,2))&lt;1,ROUND(BA84*(1+'Calc base'!O85),2),MAX('Calc base'!J$12,ROUND('Calc base'!J$13*BA84,2))))</f>
        <v>0</v>
      </c>
      <c r="R85">
        <f>IF(BB84&lt;=0,0,IF(ROUND(BB84*(1+'Calc base'!P85),2)-MAX('Calc base'!K$12,ROUND('Calc base'!K$13*BB84,2))&lt;1,ROUND(BB84*(1+'Calc base'!P85),2),MAX('Calc base'!K$12,ROUND('Calc base'!K$13*BB84,2))))</f>
        <v>0</v>
      </c>
      <c r="S85">
        <f>IF(BC84&lt;=0,0,IF(ROUND(BC84*(1+'Calc base'!Q85),2)-MAX('Calc base'!L$12,ROUND('Calc base'!L$13*BC84,2))&lt;1,ROUND(BC84*(1+'Calc base'!Q85),2),MAX('Calc base'!L$12,ROUND('Calc base'!L$13*BC84,2))))</f>
        <v>0</v>
      </c>
      <c r="T85">
        <f>IF(BD84&lt;=0,0,IF(ROUND(BD84*(1+'Calc base'!R85),2)-MAX('Calc base'!M$12,ROUND('Calc base'!M$13*BD84,2))&lt;1,ROUND(BD84*(1+'Calc base'!R85),2),MAX('Calc base'!M$12,ROUND('Calc base'!M$13*BD84,2))))</f>
        <v>0</v>
      </c>
      <c r="U85">
        <f>IF(BE84&lt;=0,0,IF(ROUND(BE84*(1+'Calc base'!S85),2)-MAX('Calc base'!N$12,ROUND('Calc base'!N$13*BE84,2))&lt;1,ROUND(BE84*(1+'Calc base'!S85),2),MAX('Calc base'!N$12,ROUND('Calc base'!N$13*BE84,2))))</f>
        <v>0</v>
      </c>
      <c r="V85">
        <f>MAX(0,ROUND(AT84*(1+'Calc base'!H85),2)-J85-'Calc base'!T85)</f>
        <v>0</v>
      </c>
      <c r="W85">
        <f>MAX(0,ROUND(AU84*(1+'Calc base'!I85),2)-K85-'Calc base'!U85)</f>
        <v>0</v>
      </c>
      <c r="X85">
        <f>MAX(0,ROUND(AV84*(1+'Calc base'!J85),2)-L85-'Calc base'!V85)</f>
        <v>0</v>
      </c>
      <c r="Y85">
        <f>MAX(0,ROUND(AW84*(1+'Calc base'!K85),2)-M85-'Calc base'!W85)</f>
        <v>0</v>
      </c>
      <c r="Z85">
        <f>MAX(0,ROUND(AX84*(1+'Calc base'!L85),2)-N85-'Calc base'!X85)</f>
        <v>0</v>
      </c>
      <c r="AA85">
        <f>MAX(0,ROUND(AY84*(1+'Calc base'!M85),2)-O85-'Calc base'!Y85)</f>
        <v>0</v>
      </c>
      <c r="AB85">
        <f>MAX(0,ROUND(AZ84*(1+'Calc base'!N85),2)-P85-'Calc base'!Z85)</f>
        <v>0</v>
      </c>
      <c r="AC85">
        <f>MAX(0,ROUND(BA84*(1+'Calc base'!O85),2)-Q85-'Calc base'!AA85)</f>
        <v>0</v>
      </c>
      <c r="AD85">
        <f>MAX(0,ROUND(BB84*(1+'Calc base'!P85),2)-R85-'Calc base'!AB85)</f>
        <v>0</v>
      </c>
      <c r="AE85">
        <f>MAX(0,ROUND(BC84*(1+'Calc base'!Q85),2)-S85-'Calc base'!AC85)</f>
        <v>0</v>
      </c>
      <c r="AF85">
        <f>MAX(0,ROUND(BD84*(1+'Calc base'!R85),2)-T85-'Calc base'!AD85)</f>
        <v>0</v>
      </c>
      <c r="AG85">
        <f>MAX(0,ROUND(BE84*(1+'Calc base'!S85),2)-U85-'Calc base'!AE85)</f>
        <v>0</v>
      </c>
      <c r="AH85">
        <f>IF('Calc base'!C$14=0,0,MIN(V85,MAX(0,$E85-SUMIFS($V85:$AG85,'Calc base'!$C$17:$N$17,"&lt;"&amp;'Calc base'!C$17,'Calc base'!$C$14:$N$14,1))))</f>
        <v>0</v>
      </c>
      <c r="AI85">
        <f>IF('Calc base'!D$14=0,0,MIN(W85,MAX(0,$E85-SUMIFS($V85:$AG85,'Calc base'!$C$17:$N$17,"&lt;"&amp;'Calc base'!D$17,'Calc base'!$C$14:$N$14,1))))</f>
        <v>0</v>
      </c>
      <c r="AJ85">
        <f>IF('Calc base'!E$14=0,0,MIN(X85,MAX(0,$E85-SUMIFS($V85:$AG85,'Calc base'!$C$17:$N$17,"&lt;"&amp;'Calc base'!E$17,'Calc base'!$C$14:$N$14,1))))</f>
        <v>0</v>
      </c>
      <c r="AK85">
        <f>IF('Calc base'!F$14=0,0,MIN(Y85,MAX(0,$E85-SUMIFS($V85:$AG85,'Calc base'!$C$17:$N$17,"&lt;"&amp;'Calc base'!F$17,'Calc base'!$C$14:$N$14,1))))</f>
        <v>0</v>
      </c>
      <c r="AL85">
        <f>IF('Calc base'!G$14=0,0,MIN(Z85,MAX(0,$E85-SUMIFS($V85:$AG85,'Calc base'!$C$17:$N$17,"&lt;"&amp;'Calc base'!G$17,'Calc base'!$C$14:$N$14,1))))</f>
        <v>0</v>
      </c>
      <c r="AM85">
        <f>IF('Calc base'!H$14=0,0,MIN(AA85,MAX(0,$E85-SUMIFS($V85:$AG85,'Calc base'!$C$17:$N$17,"&lt;"&amp;'Calc base'!H$17,'Calc base'!$C$14:$N$14,1))))</f>
        <v>0</v>
      </c>
      <c r="AN85">
        <f>IF('Calc base'!I$14=0,0,MIN(AB85,MAX(0,$E85-SUMIFS($V85:$AG85,'Calc base'!$C$17:$N$17,"&lt;"&amp;'Calc base'!I$17,'Calc base'!$C$14:$N$14,1))))</f>
        <v>0</v>
      </c>
      <c r="AO85">
        <f>IF('Calc base'!J$14=0,0,MIN(AC85,MAX(0,$E85-SUMIFS($V85:$AG85,'Calc base'!$C$17:$N$17,"&lt;"&amp;'Calc base'!J$17,'Calc base'!$C$14:$N$14,1))))</f>
        <v>0</v>
      </c>
      <c r="AP85">
        <f>IF('Calc base'!K$14=0,0,MIN(AD85,MAX(0,$E85-SUMIFS($V85:$AG85,'Calc base'!$C$17:$N$17,"&lt;"&amp;'Calc base'!K$17,'Calc base'!$C$14:$N$14,1))))</f>
        <v>0</v>
      </c>
      <c r="AQ85">
        <f>IF('Calc base'!L$14=0,0,MIN(AE85,MAX(0,$E85-SUMIFS($V85:$AG85,'Calc base'!$C$17:$N$17,"&lt;"&amp;'Calc base'!L$17,'Calc base'!$C$14:$N$14,1))))</f>
        <v>0</v>
      </c>
      <c r="AR85">
        <f>IF('Calc base'!M$14=0,0,MIN(AF85,MAX(0,$E85-SUMIFS($V85:$AG85,'Calc base'!$C$17:$N$17,"&lt;"&amp;'Calc base'!M$17,'Calc base'!$C$14:$N$14,1))))</f>
        <v>0</v>
      </c>
      <c r="AS85">
        <f>IF('Calc base'!N$14=0,0,MIN(AG85,MAX(0,$E85-SUMIFS($V85:$AG85,'Calc base'!$C$17:$N$17,"&lt;"&amp;'Calc base'!N$17,'Calc base'!$C$14:$N$14,1))))</f>
        <v>0</v>
      </c>
      <c r="AT85">
        <f>V85-AH85</f>
        <v>0</v>
      </c>
      <c r="AU85">
        <f>W85-AI85</f>
        <v>0</v>
      </c>
      <c r="AV85">
        <f>X85-AJ85</f>
        <v>0</v>
      </c>
      <c r="AW85">
        <f>Y85-AK85</f>
        <v>0</v>
      </c>
      <c r="AX85">
        <f>Z85-AL85</f>
        <v>0</v>
      </c>
      <c r="AY85">
        <f>AA85-AM85</f>
        <v>0</v>
      </c>
      <c r="AZ85">
        <f>AB85-AN85</f>
        <v>0</v>
      </c>
      <c r="BA85">
        <f>AC85-AO85</f>
        <v>0</v>
      </c>
      <c r="BB85">
        <f>AD85-AP85</f>
        <v>0</v>
      </c>
      <c r="BC85">
        <f>AE85-AQ85</f>
        <v>0</v>
      </c>
      <c r="BD85">
        <f>AF85-AR85</f>
        <v>0</v>
      </c>
      <c r="BE85">
        <f>AG85-AS85</f>
        <v>0</v>
      </c>
    </row>
    <row r="86">
      <c r="A86" t="n">
        <v>56</v>
      </c>
      <c r="B86">
        <f>SUMPRODUCT(ROUND($AT85:$BE85*(1+'Calc base'!$H86:$S86),2))</f>
        <v>0</v>
      </c>
      <c r="C86">
        <f>SUM(J86:U86)</f>
        <v>0</v>
      </c>
      <c r="D86">
        <f>SUM(V86:AG86)</f>
        <v>0</v>
      </c>
      <c r="E86">
        <f>MAX(0,IF(Impostazioni!$B$7="No",'Calc base'!$C86-$C$31,'Calc base'!$C86-C86)+'Calc base'!$G86+'Calc base'!$F86-(B86-C86-D86))</f>
        <v>900</v>
      </c>
      <c r="F86">
        <f>SUM(AH86:AS86)</f>
        <v>0</v>
      </c>
      <c r="G86">
        <f>SUM(AT86:BE86)</f>
        <v>0</v>
      </c>
      <c r="H86">
        <f>B86-G85</f>
        <v>0</v>
      </c>
      <c r="I86">
        <f>B86-G86</f>
        <v>0</v>
      </c>
      <c r="J86">
        <f>IF(AT85&lt;=0,0,IF(ROUND(AT85*(1+'Calc base'!H86),2)-MAX('Calc base'!C$12,ROUND('Calc base'!C$13*AT85,2))&lt;1,ROUND(AT85*(1+'Calc base'!H86),2),MAX('Calc base'!C$12,ROUND('Calc base'!C$13*AT85,2))))</f>
        <v>0</v>
      </c>
      <c r="K86">
        <f>IF(AU85&lt;=0,0,IF(ROUND(AU85*(1+'Calc base'!I86),2)-MAX('Calc base'!D$12,ROUND('Calc base'!D$13*AU85,2))&lt;1,ROUND(AU85*(1+'Calc base'!I86),2),MAX('Calc base'!D$12,ROUND('Calc base'!D$13*AU85,2))))</f>
        <v>0</v>
      </c>
      <c r="L86">
        <f>IF(AV85&lt;=0,0,IF(ROUND(AV85*(1+'Calc base'!J86),2)-MAX('Calc base'!E$12,ROUND('Calc base'!E$13*AV85,2))&lt;1,ROUND(AV85*(1+'Calc base'!J86),2),MAX('Calc base'!E$12,ROUND('Calc base'!E$13*AV85,2))))</f>
        <v>0</v>
      </c>
      <c r="M86">
        <f>IF(AW85&lt;=0,0,IF(ROUND(AW85*(1+'Calc base'!K86),2)-MAX('Calc base'!F$12,ROUND('Calc base'!F$13*AW85,2))&lt;1,ROUND(AW85*(1+'Calc base'!K86),2),MAX('Calc base'!F$12,ROUND('Calc base'!F$13*AW85,2))))</f>
        <v>0</v>
      </c>
      <c r="N86">
        <f>IF(AX85&lt;=0,0,IF(ROUND(AX85*(1+'Calc base'!L86),2)-MAX('Calc base'!G$12,ROUND('Calc base'!G$13*AX85,2))&lt;1,ROUND(AX85*(1+'Calc base'!L86),2),MAX('Calc base'!G$12,ROUND('Calc base'!G$13*AX85,2))))</f>
        <v>0</v>
      </c>
      <c r="O86">
        <f>IF(AY85&lt;=0,0,IF(ROUND(AY85*(1+'Calc base'!M86),2)-MAX('Calc base'!H$12,ROUND('Calc base'!H$13*AY85,2))&lt;1,ROUND(AY85*(1+'Calc base'!M86),2),MAX('Calc base'!H$12,ROUND('Calc base'!H$13*AY85,2))))</f>
        <v>0</v>
      </c>
      <c r="P86">
        <f>IF(AZ85&lt;=0,0,IF(ROUND(AZ85*(1+'Calc base'!N86),2)-MAX('Calc base'!I$12,ROUND('Calc base'!I$13*AZ85,2))&lt;1,ROUND(AZ85*(1+'Calc base'!N86),2),MAX('Calc base'!I$12,ROUND('Calc base'!I$13*AZ85,2))))</f>
        <v>0</v>
      </c>
      <c r="Q86">
        <f>IF(BA85&lt;=0,0,IF(ROUND(BA85*(1+'Calc base'!O86),2)-MAX('Calc base'!J$12,ROUND('Calc base'!J$13*BA85,2))&lt;1,ROUND(BA85*(1+'Calc base'!O86),2),MAX('Calc base'!J$12,ROUND('Calc base'!J$13*BA85,2))))</f>
        <v>0</v>
      </c>
      <c r="R86">
        <f>IF(BB85&lt;=0,0,IF(ROUND(BB85*(1+'Calc base'!P86),2)-MAX('Calc base'!K$12,ROUND('Calc base'!K$13*BB85,2))&lt;1,ROUND(BB85*(1+'Calc base'!P86),2),MAX('Calc base'!K$12,ROUND('Calc base'!K$13*BB85,2))))</f>
        <v>0</v>
      </c>
      <c r="S86">
        <f>IF(BC85&lt;=0,0,IF(ROUND(BC85*(1+'Calc base'!Q86),2)-MAX('Calc base'!L$12,ROUND('Calc base'!L$13*BC85,2))&lt;1,ROUND(BC85*(1+'Calc base'!Q86),2),MAX('Calc base'!L$12,ROUND('Calc base'!L$13*BC85,2))))</f>
        <v>0</v>
      </c>
      <c r="T86">
        <f>IF(BD85&lt;=0,0,IF(ROUND(BD85*(1+'Calc base'!R86),2)-MAX('Calc base'!M$12,ROUND('Calc base'!M$13*BD85,2))&lt;1,ROUND(BD85*(1+'Calc base'!R86),2),MAX('Calc base'!M$12,ROUND('Calc base'!M$13*BD85,2))))</f>
        <v>0</v>
      </c>
      <c r="U86">
        <f>IF(BE85&lt;=0,0,IF(ROUND(BE85*(1+'Calc base'!S86),2)-MAX('Calc base'!N$12,ROUND('Calc base'!N$13*BE85,2))&lt;1,ROUND(BE85*(1+'Calc base'!S86),2),MAX('Calc base'!N$12,ROUND('Calc base'!N$13*BE85,2))))</f>
        <v>0</v>
      </c>
      <c r="V86">
        <f>MAX(0,ROUND(AT85*(1+'Calc base'!H86),2)-J86-'Calc base'!T86)</f>
        <v>0</v>
      </c>
      <c r="W86">
        <f>MAX(0,ROUND(AU85*(1+'Calc base'!I86),2)-K86-'Calc base'!U86)</f>
        <v>0</v>
      </c>
      <c r="X86">
        <f>MAX(0,ROUND(AV85*(1+'Calc base'!J86),2)-L86-'Calc base'!V86)</f>
        <v>0</v>
      </c>
      <c r="Y86">
        <f>MAX(0,ROUND(AW85*(1+'Calc base'!K86),2)-M86-'Calc base'!W86)</f>
        <v>0</v>
      </c>
      <c r="Z86">
        <f>MAX(0,ROUND(AX85*(1+'Calc base'!L86),2)-N86-'Calc base'!X86)</f>
        <v>0</v>
      </c>
      <c r="AA86">
        <f>MAX(0,ROUND(AY85*(1+'Calc base'!M86),2)-O86-'Calc base'!Y86)</f>
        <v>0</v>
      </c>
      <c r="AB86">
        <f>MAX(0,ROUND(AZ85*(1+'Calc base'!N86),2)-P86-'Calc base'!Z86)</f>
        <v>0</v>
      </c>
      <c r="AC86">
        <f>MAX(0,ROUND(BA85*(1+'Calc base'!O86),2)-Q86-'Calc base'!AA86)</f>
        <v>0</v>
      </c>
      <c r="AD86">
        <f>MAX(0,ROUND(BB85*(1+'Calc base'!P86),2)-R86-'Calc base'!AB86)</f>
        <v>0</v>
      </c>
      <c r="AE86">
        <f>MAX(0,ROUND(BC85*(1+'Calc base'!Q86),2)-S86-'Calc base'!AC86)</f>
        <v>0</v>
      </c>
      <c r="AF86">
        <f>MAX(0,ROUND(BD85*(1+'Calc base'!R86),2)-T86-'Calc base'!AD86)</f>
        <v>0</v>
      </c>
      <c r="AG86">
        <f>MAX(0,ROUND(BE85*(1+'Calc base'!S86),2)-U86-'Calc base'!AE86)</f>
        <v>0</v>
      </c>
      <c r="AH86">
        <f>IF('Calc base'!C$14=0,0,MIN(V86,MAX(0,$E86-SUMIFS($V86:$AG86,'Calc base'!$C$17:$N$17,"&lt;"&amp;'Calc base'!C$17,'Calc base'!$C$14:$N$14,1))))</f>
        <v>0</v>
      </c>
      <c r="AI86">
        <f>IF('Calc base'!D$14=0,0,MIN(W86,MAX(0,$E86-SUMIFS($V86:$AG86,'Calc base'!$C$17:$N$17,"&lt;"&amp;'Calc base'!D$17,'Calc base'!$C$14:$N$14,1))))</f>
        <v>0</v>
      </c>
      <c r="AJ86">
        <f>IF('Calc base'!E$14=0,0,MIN(X86,MAX(0,$E86-SUMIFS($V86:$AG86,'Calc base'!$C$17:$N$17,"&lt;"&amp;'Calc base'!E$17,'Calc base'!$C$14:$N$14,1))))</f>
        <v>0</v>
      </c>
      <c r="AK86">
        <f>IF('Calc base'!F$14=0,0,MIN(Y86,MAX(0,$E86-SUMIFS($V86:$AG86,'Calc base'!$C$17:$N$17,"&lt;"&amp;'Calc base'!F$17,'Calc base'!$C$14:$N$14,1))))</f>
        <v>0</v>
      </c>
      <c r="AL86">
        <f>IF('Calc base'!G$14=0,0,MIN(Z86,MAX(0,$E86-SUMIFS($V86:$AG86,'Calc base'!$C$17:$N$17,"&lt;"&amp;'Calc base'!G$17,'Calc base'!$C$14:$N$14,1))))</f>
        <v>0</v>
      </c>
      <c r="AM86">
        <f>IF('Calc base'!H$14=0,0,MIN(AA86,MAX(0,$E86-SUMIFS($V86:$AG86,'Calc base'!$C$17:$N$17,"&lt;"&amp;'Calc base'!H$17,'Calc base'!$C$14:$N$14,1))))</f>
        <v>0</v>
      </c>
      <c r="AN86">
        <f>IF('Calc base'!I$14=0,0,MIN(AB86,MAX(0,$E86-SUMIFS($V86:$AG86,'Calc base'!$C$17:$N$17,"&lt;"&amp;'Calc base'!I$17,'Calc base'!$C$14:$N$14,1))))</f>
        <v>0</v>
      </c>
      <c r="AO86">
        <f>IF('Calc base'!J$14=0,0,MIN(AC86,MAX(0,$E86-SUMIFS($V86:$AG86,'Calc base'!$C$17:$N$17,"&lt;"&amp;'Calc base'!J$17,'Calc base'!$C$14:$N$14,1))))</f>
        <v>0</v>
      </c>
      <c r="AP86">
        <f>IF('Calc base'!K$14=0,0,MIN(AD86,MAX(0,$E86-SUMIFS($V86:$AG86,'Calc base'!$C$17:$N$17,"&lt;"&amp;'Calc base'!K$17,'Calc base'!$C$14:$N$14,1))))</f>
        <v>0</v>
      </c>
      <c r="AQ86">
        <f>IF('Calc base'!L$14=0,0,MIN(AE86,MAX(0,$E86-SUMIFS($V86:$AG86,'Calc base'!$C$17:$N$17,"&lt;"&amp;'Calc base'!L$17,'Calc base'!$C$14:$N$14,1))))</f>
        <v>0</v>
      </c>
      <c r="AR86">
        <f>IF('Calc base'!M$14=0,0,MIN(AF86,MAX(0,$E86-SUMIFS($V86:$AG86,'Calc base'!$C$17:$N$17,"&lt;"&amp;'Calc base'!M$17,'Calc base'!$C$14:$N$14,1))))</f>
        <v>0</v>
      </c>
      <c r="AS86">
        <f>IF('Calc base'!N$14=0,0,MIN(AG86,MAX(0,$E86-SUMIFS($V86:$AG86,'Calc base'!$C$17:$N$17,"&lt;"&amp;'Calc base'!N$17,'Calc base'!$C$14:$N$14,1))))</f>
        <v>0</v>
      </c>
      <c r="AT86">
        <f>V86-AH86</f>
        <v>0</v>
      </c>
      <c r="AU86">
        <f>W86-AI86</f>
        <v>0</v>
      </c>
      <c r="AV86">
        <f>X86-AJ86</f>
        <v>0</v>
      </c>
      <c r="AW86">
        <f>Y86-AK86</f>
        <v>0</v>
      </c>
      <c r="AX86">
        <f>Z86-AL86</f>
        <v>0</v>
      </c>
      <c r="AY86">
        <f>AA86-AM86</f>
        <v>0</v>
      </c>
      <c r="AZ86">
        <f>AB86-AN86</f>
        <v>0</v>
      </c>
      <c r="BA86">
        <f>AC86-AO86</f>
        <v>0</v>
      </c>
      <c r="BB86">
        <f>AD86-AP86</f>
        <v>0</v>
      </c>
      <c r="BC86">
        <f>AE86-AQ86</f>
        <v>0</v>
      </c>
      <c r="BD86">
        <f>AF86-AR86</f>
        <v>0</v>
      </c>
      <c r="BE86">
        <f>AG86-AS86</f>
        <v>0</v>
      </c>
    </row>
    <row r="87">
      <c r="A87" t="n">
        <v>57</v>
      </c>
      <c r="B87">
        <f>SUMPRODUCT(ROUND($AT86:$BE86*(1+'Calc base'!$H87:$S87),2))</f>
        <v>0</v>
      </c>
      <c r="C87">
        <f>SUM(J87:U87)</f>
        <v>0</v>
      </c>
      <c r="D87">
        <f>SUM(V87:AG87)</f>
        <v>0</v>
      </c>
      <c r="E87">
        <f>MAX(0,IF(Impostazioni!$B$7="No",'Calc base'!$C87-$C$31,'Calc base'!$C87-C87)+'Calc base'!$G87+'Calc base'!$F87-(B87-C87-D87))</f>
        <v>900</v>
      </c>
      <c r="F87">
        <f>SUM(AH87:AS87)</f>
        <v>0</v>
      </c>
      <c r="G87">
        <f>SUM(AT87:BE87)</f>
        <v>0</v>
      </c>
      <c r="H87">
        <f>B87-G86</f>
        <v>0</v>
      </c>
      <c r="I87">
        <f>B87-G87</f>
        <v>0</v>
      </c>
      <c r="J87">
        <f>IF(AT86&lt;=0,0,IF(ROUND(AT86*(1+'Calc base'!H87),2)-MAX('Calc base'!C$12,ROUND('Calc base'!C$13*AT86,2))&lt;1,ROUND(AT86*(1+'Calc base'!H87),2),MAX('Calc base'!C$12,ROUND('Calc base'!C$13*AT86,2))))</f>
        <v>0</v>
      </c>
      <c r="K87">
        <f>IF(AU86&lt;=0,0,IF(ROUND(AU86*(1+'Calc base'!I87),2)-MAX('Calc base'!D$12,ROUND('Calc base'!D$13*AU86,2))&lt;1,ROUND(AU86*(1+'Calc base'!I87),2),MAX('Calc base'!D$12,ROUND('Calc base'!D$13*AU86,2))))</f>
        <v>0</v>
      </c>
      <c r="L87">
        <f>IF(AV86&lt;=0,0,IF(ROUND(AV86*(1+'Calc base'!J87),2)-MAX('Calc base'!E$12,ROUND('Calc base'!E$13*AV86,2))&lt;1,ROUND(AV86*(1+'Calc base'!J87),2),MAX('Calc base'!E$12,ROUND('Calc base'!E$13*AV86,2))))</f>
        <v>0</v>
      </c>
      <c r="M87">
        <f>IF(AW86&lt;=0,0,IF(ROUND(AW86*(1+'Calc base'!K87),2)-MAX('Calc base'!F$12,ROUND('Calc base'!F$13*AW86,2))&lt;1,ROUND(AW86*(1+'Calc base'!K87),2),MAX('Calc base'!F$12,ROUND('Calc base'!F$13*AW86,2))))</f>
        <v>0</v>
      </c>
      <c r="N87">
        <f>IF(AX86&lt;=0,0,IF(ROUND(AX86*(1+'Calc base'!L87),2)-MAX('Calc base'!G$12,ROUND('Calc base'!G$13*AX86,2))&lt;1,ROUND(AX86*(1+'Calc base'!L87),2),MAX('Calc base'!G$12,ROUND('Calc base'!G$13*AX86,2))))</f>
        <v>0</v>
      </c>
      <c r="O87">
        <f>IF(AY86&lt;=0,0,IF(ROUND(AY86*(1+'Calc base'!M87),2)-MAX('Calc base'!H$12,ROUND('Calc base'!H$13*AY86,2))&lt;1,ROUND(AY86*(1+'Calc base'!M87),2),MAX('Calc base'!H$12,ROUND('Calc base'!H$13*AY86,2))))</f>
        <v>0</v>
      </c>
      <c r="P87">
        <f>IF(AZ86&lt;=0,0,IF(ROUND(AZ86*(1+'Calc base'!N87),2)-MAX('Calc base'!I$12,ROUND('Calc base'!I$13*AZ86,2))&lt;1,ROUND(AZ86*(1+'Calc base'!N87),2),MAX('Calc base'!I$12,ROUND('Calc base'!I$13*AZ86,2))))</f>
        <v>0</v>
      </c>
      <c r="Q87">
        <f>IF(BA86&lt;=0,0,IF(ROUND(BA86*(1+'Calc base'!O87),2)-MAX('Calc base'!J$12,ROUND('Calc base'!J$13*BA86,2))&lt;1,ROUND(BA86*(1+'Calc base'!O87),2),MAX('Calc base'!J$12,ROUND('Calc base'!J$13*BA86,2))))</f>
        <v>0</v>
      </c>
      <c r="R87">
        <f>IF(BB86&lt;=0,0,IF(ROUND(BB86*(1+'Calc base'!P87),2)-MAX('Calc base'!K$12,ROUND('Calc base'!K$13*BB86,2))&lt;1,ROUND(BB86*(1+'Calc base'!P87),2),MAX('Calc base'!K$12,ROUND('Calc base'!K$13*BB86,2))))</f>
        <v>0</v>
      </c>
      <c r="S87">
        <f>IF(BC86&lt;=0,0,IF(ROUND(BC86*(1+'Calc base'!Q87),2)-MAX('Calc base'!L$12,ROUND('Calc base'!L$13*BC86,2))&lt;1,ROUND(BC86*(1+'Calc base'!Q87),2),MAX('Calc base'!L$12,ROUND('Calc base'!L$13*BC86,2))))</f>
        <v>0</v>
      </c>
      <c r="T87">
        <f>IF(BD86&lt;=0,0,IF(ROUND(BD86*(1+'Calc base'!R87),2)-MAX('Calc base'!M$12,ROUND('Calc base'!M$13*BD86,2))&lt;1,ROUND(BD86*(1+'Calc base'!R87),2),MAX('Calc base'!M$12,ROUND('Calc base'!M$13*BD86,2))))</f>
        <v>0</v>
      </c>
      <c r="U87">
        <f>IF(BE86&lt;=0,0,IF(ROUND(BE86*(1+'Calc base'!S87),2)-MAX('Calc base'!N$12,ROUND('Calc base'!N$13*BE86,2))&lt;1,ROUND(BE86*(1+'Calc base'!S87),2),MAX('Calc base'!N$12,ROUND('Calc base'!N$13*BE86,2))))</f>
        <v>0</v>
      </c>
      <c r="V87">
        <f>MAX(0,ROUND(AT86*(1+'Calc base'!H87),2)-J87-'Calc base'!T87)</f>
        <v>0</v>
      </c>
      <c r="W87">
        <f>MAX(0,ROUND(AU86*(1+'Calc base'!I87),2)-K87-'Calc base'!U87)</f>
        <v>0</v>
      </c>
      <c r="X87">
        <f>MAX(0,ROUND(AV86*(1+'Calc base'!J87),2)-L87-'Calc base'!V87)</f>
        <v>0</v>
      </c>
      <c r="Y87">
        <f>MAX(0,ROUND(AW86*(1+'Calc base'!K87),2)-M87-'Calc base'!W87)</f>
        <v>0</v>
      </c>
      <c r="Z87">
        <f>MAX(0,ROUND(AX86*(1+'Calc base'!L87),2)-N87-'Calc base'!X87)</f>
        <v>0</v>
      </c>
      <c r="AA87">
        <f>MAX(0,ROUND(AY86*(1+'Calc base'!M87),2)-O87-'Calc base'!Y87)</f>
        <v>0</v>
      </c>
      <c r="AB87">
        <f>MAX(0,ROUND(AZ86*(1+'Calc base'!N87),2)-P87-'Calc base'!Z87)</f>
        <v>0</v>
      </c>
      <c r="AC87">
        <f>MAX(0,ROUND(BA86*(1+'Calc base'!O87),2)-Q87-'Calc base'!AA87)</f>
        <v>0</v>
      </c>
      <c r="AD87">
        <f>MAX(0,ROUND(BB86*(1+'Calc base'!P87),2)-R87-'Calc base'!AB87)</f>
        <v>0</v>
      </c>
      <c r="AE87">
        <f>MAX(0,ROUND(BC86*(1+'Calc base'!Q87),2)-S87-'Calc base'!AC87)</f>
        <v>0</v>
      </c>
      <c r="AF87">
        <f>MAX(0,ROUND(BD86*(1+'Calc base'!R87),2)-T87-'Calc base'!AD87)</f>
        <v>0</v>
      </c>
      <c r="AG87">
        <f>MAX(0,ROUND(BE86*(1+'Calc base'!S87),2)-U87-'Calc base'!AE87)</f>
        <v>0</v>
      </c>
      <c r="AH87">
        <f>IF('Calc base'!C$14=0,0,MIN(V87,MAX(0,$E87-SUMIFS($V87:$AG87,'Calc base'!$C$17:$N$17,"&lt;"&amp;'Calc base'!C$17,'Calc base'!$C$14:$N$14,1))))</f>
        <v>0</v>
      </c>
      <c r="AI87">
        <f>IF('Calc base'!D$14=0,0,MIN(W87,MAX(0,$E87-SUMIFS($V87:$AG87,'Calc base'!$C$17:$N$17,"&lt;"&amp;'Calc base'!D$17,'Calc base'!$C$14:$N$14,1))))</f>
        <v>0</v>
      </c>
      <c r="AJ87">
        <f>IF('Calc base'!E$14=0,0,MIN(X87,MAX(0,$E87-SUMIFS($V87:$AG87,'Calc base'!$C$17:$N$17,"&lt;"&amp;'Calc base'!E$17,'Calc base'!$C$14:$N$14,1))))</f>
        <v>0</v>
      </c>
      <c r="AK87">
        <f>IF('Calc base'!F$14=0,0,MIN(Y87,MAX(0,$E87-SUMIFS($V87:$AG87,'Calc base'!$C$17:$N$17,"&lt;"&amp;'Calc base'!F$17,'Calc base'!$C$14:$N$14,1))))</f>
        <v>0</v>
      </c>
      <c r="AL87">
        <f>IF('Calc base'!G$14=0,0,MIN(Z87,MAX(0,$E87-SUMIFS($V87:$AG87,'Calc base'!$C$17:$N$17,"&lt;"&amp;'Calc base'!G$17,'Calc base'!$C$14:$N$14,1))))</f>
        <v>0</v>
      </c>
      <c r="AM87">
        <f>IF('Calc base'!H$14=0,0,MIN(AA87,MAX(0,$E87-SUMIFS($V87:$AG87,'Calc base'!$C$17:$N$17,"&lt;"&amp;'Calc base'!H$17,'Calc base'!$C$14:$N$14,1))))</f>
        <v>0</v>
      </c>
      <c r="AN87">
        <f>IF('Calc base'!I$14=0,0,MIN(AB87,MAX(0,$E87-SUMIFS($V87:$AG87,'Calc base'!$C$17:$N$17,"&lt;"&amp;'Calc base'!I$17,'Calc base'!$C$14:$N$14,1))))</f>
        <v>0</v>
      </c>
      <c r="AO87">
        <f>IF('Calc base'!J$14=0,0,MIN(AC87,MAX(0,$E87-SUMIFS($V87:$AG87,'Calc base'!$C$17:$N$17,"&lt;"&amp;'Calc base'!J$17,'Calc base'!$C$14:$N$14,1))))</f>
        <v>0</v>
      </c>
      <c r="AP87">
        <f>IF('Calc base'!K$14=0,0,MIN(AD87,MAX(0,$E87-SUMIFS($V87:$AG87,'Calc base'!$C$17:$N$17,"&lt;"&amp;'Calc base'!K$17,'Calc base'!$C$14:$N$14,1))))</f>
        <v>0</v>
      </c>
      <c r="AQ87">
        <f>IF('Calc base'!L$14=0,0,MIN(AE87,MAX(0,$E87-SUMIFS($V87:$AG87,'Calc base'!$C$17:$N$17,"&lt;"&amp;'Calc base'!L$17,'Calc base'!$C$14:$N$14,1))))</f>
        <v>0</v>
      </c>
      <c r="AR87">
        <f>IF('Calc base'!M$14=0,0,MIN(AF87,MAX(0,$E87-SUMIFS($V87:$AG87,'Calc base'!$C$17:$N$17,"&lt;"&amp;'Calc base'!M$17,'Calc base'!$C$14:$N$14,1))))</f>
        <v>0</v>
      </c>
      <c r="AS87">
        <f>IF('Calc base'!N$14=0,0,MIN(AG87,MAX(0,$E87-SUMIFS($V87:$AG87,'Calc base'!$C$17:$N$17,"&lt;"&amp;'Calc base'!N$17,'Calc base'!$C$14:$N$14,1))))</f>
        <v>0</v>
      </c>
      <c r="AT87">
        <f>V87-AH87</f>
        <v>0</v>
      </c>
      <c r="AU87">
        <f>W87-AI87</f>
        <v>0</v>
      </c>
      <c r="AV87">
        <f>X87-AJ87</f>
        <v>0</v>
      </c>
      <c r="AW87">
        <f>Y87-AK87</f>
        <v>0</v>
      </c>
      <c r="AX87">
        <f>Z87-AL87</f>
        <v>0</v>
      </c>
      <c r="AY87">
        <f>AA87-AM87</f>
        <v>0</v>
      </c>
      <c r="AZ87">
        <f>AB87-AN87</f>
        <v>0</v>
      </c>
      <c r="BA87">
        <f>AC87-AO87</f>
        <v>0</v>
      </c>
      <c r="BB87">
        <f>AD87-AP87</f>
        <v>0</v>
      </c>
      <c r="BC87">
        <f>AE87-AQ87</f>
        <v>0</v>
      </c>
      <c r="BD87">
        <f>AF87-AR87</f>
        <v>0</v>
      </c>
      <c r="BE87">
        <f>AG87-AS87</f>
        <v>0</v>
      </c>
    </row>
    <row r="88">
      <c r="A88" t="n">
        <v>58</v>
      </c>
      <c r="B88">
        <f>SUMPRODUCT(ROUND($AT87:$BE87*(1+'Calc base'!$H88:$S88),2))</f>
        <v>0</v>
      </c>
      <c r="C88">
        <f>SUM(J88:U88)</f>
        <v>0</v>
      </c>
      <c r="D88">
        <f>SUM(V88:AG88)</f>
        <v>0</v>
      </c>
      <c r="E88">
        <f>MAX(0,IF(Impostazioni!$B$7="No",'Calc base'!$C88-$C$31,'Calc base'!$C88-C88)+'Calc base'!$G88+'Calc base'!$F88-(B88-C88-D88))</f>
        <v>900</v>
      </c>
      <c r="F88">
        <f>SUM(AH88:AS88)</f>
        <v>0</v>
      </c>
      <c r="G88">
        <f>SUM(AT88:BE88)</f>
        <v>0</v>
      </c>
      <c r="H88">
        <f>B88-G87</f>
        <v>0</v>
      </c>
      <c r="I88">
        <f>B88-G88</f>
        <v>0</v>
      </c>
      <c r="J88">
        <f>IF(AT87&lt;=0,0,IF(ROUND(AT87*(1+'Calc base'!H88),2)-MAX('Calc base'!C$12,ROUND('Calc base'!C$13*AT87,2))&lt;1,ROUND(AT87*(1+'Calc base'!H88),2),MAX('Calc base'!C$12,ROUND('Calc base'!C$13*AT87,2))))</f>
        <v>0</v>
      </c>
      <c r="K88">
        <f>IF(AU87&lt;=0,0,IF(ROUND(AU87*(1+'Calc base'!I88),2)-MAX('Calc base'!D$12,ROUND('Calc base'!D$13*AU87,2))&lt;1,ROUND(AU87*(1+'Calc base'!I88),2),MAX('Calc base'!D$12,ROUND('Calc base'!D$13*AU87,2))))</f>
        <v>0</v>
      </c>
      <c r="L88">
        <f>IF(AV87&lt;=0,0,IF(ROUND(AV87*(1+'Calc base'!J88),2)-MAX('Calc base'!E$12,ROUND('Calc base'!E$13*AV87,2))&lt;1,ROUND(AV87*(1+'Calc base'!J88),2),MAX('Calc base'!E$12,ROUND('Calc base'!E$13*AV87,2))))</f>
        <v>0</v>
      </c>
      <c r="M88">
        <f>IF(AW87&lt;=0,0,IF(ROUND(AW87*(1+'Calc base'!K88),2)-MAX('Calc base'!F$12,ROUND('Calc base'!F$13*AW87,2))&lt;1,ROUND(AW87*(1+'Calc base'!K88),2),MAX('Calc base'!F$12,ROUND('Calc base'!F$13*AW87,2))))</f>
        <v>0</v>
      </c>
      <c r="N88">
        <f>IF(AX87&lt;=0,0,IF(ROUND(AX87*(1+'Calc base'!L88),2)-MAX('Calc base'!G$12,ROUND('Calc base'!G$13*AX87,2))&lt;1,ROUND(AX87*(1+'Calc base'!L88),2),MAX('Calc base'!G$12,ROUND('Calc base'!G$13*AX87,2))))</f>
        <v>0</v>
      </c>
      <c r="O88">
        <f>IF(AY87&lt;=0,0,IF(ROUND(AY87*(1+'Calc base'!M88),2)-MAX('Calc base'!H$12,ROUND('Calc base'!H$13*AY87,2))&lt;1,ROUND(AY87*(1+'Calc base'!M88),2),MAX('Calc base'!H$12,ROUND('Calc base'!H$13*AY87,2))))</f>
        <v>0</v>
      </c>
      <c r="P88">
        <f>IF(AZ87&lt;=0,0,IF(ROUND(AZ87*(1+'Calc base'!N88),2)-MAX('Calc base'!I$12,ROUND('Calc base'!I$13*AZ87,2))&lt;1,ROUND(AZ87*(1+'Calc base'!N88),2),MAX('Calc base'!I$12,ROUND('Calc base'!I$13*AZ87,2))))</f>
        <v>0</v>
      </c>
      <c r="Q88">
        <f>IF(BA87&lt;=0,0,IF(ROUND(BA87*(1+'Calc base'!O88),2)-MAX('Calc base'!J$12,ROUND('Calc base'!J$13*BA87,2))&lt;1,ROUND(BA87*(1+'Calc base'!O88),2),MAX('Calc base'!J$12,ROUND('Calc base'!J$13*BA87,2))))</f>
        <v>0</v>
      </c>
      <c r="R88">
        <f>IF(BB87&lt;=0,0,IF(ROUND(BB87*(1+'Calc base'!P88),2)-MAX('Calc base'!K$12,ROUND('Calc base'!K$13*BB87,2))&lt;1,ROUND(BB87*(1+'Calc base'!P88),2),MAX('Calc base'!K$12,ROUND('Calc base'!K$13*BB87,2))))</f>
        <v>0</v>
      </c>
      <c r="S88">
        <f>IF(BC87&lt;=0,0,IF(ROUND(BC87*(1+'Calc base'!Q88),2)-MAX('Calc base'!L$12,ROUND('Calc base'!L$13*BC87,2))&lt;1,ROUND(BC87*(1+'Calc base'!Q88),2),MAX('Calc base'!L$12,ROUND('Calc base'!L$13*BC87,2))))</f>
        <v>0</v>
      </c>
      <c r="T88">
        <f>IF(BD87&lt;=0,0,IF(ROUND(BD87*(1+'Calc base'!R88),2)-MAX('Calc base'!M$12,ROUND('Calc base'!M$13*BD87,2))&lt;1,ROUND(BD87*(1+'Calc base'!R88),2),MAX('Calc base'!M$12,ROUND('Calc base'!M$13*BD87,2))))</f>
        <v>0</v>
      </c>
      <c r="U88">
        <f>IF(BE87&lt;=0,0,IF(ROUND(BE87*(1+'Calc base'!S88),2)-MAX('Calc base'!N$12,ROUND('Calc base'!N$13*BE87,2))&lt;1,ROUND(BE87*(1+'Calc base'!S88),2),MAX('Calc base'!N$12,ROUND('Calc base'!N$13*BE87,2))))</f>
        <v>0</v>
      </c>
      <c r="V88">
        <f>MAX(0,ROUND(AT87*(1+'Calc base'!H88),2)-J88-'Calc base'!T88)</f>
        <v>0</v>
      </c>
      <c r="W88">
        <f>MAX(0,ROUND(AU87*(1+'Calc base'!I88),2)-K88-'Calc base'!U88)</f>
        <v>0</v>
      </c>
      <c r="X88">
        <f>MAX(0,ROUND(AV87*(1+'Calc base'!J88),2)-L88-'Calc base'!V88)</f>
        <v>0</v>
      </c>
      <c r="Y88">
        <f>MAX(0,ROUND(AW87*(1+'Calc base'!K88),2)-M88-'Calc base'!W88)</f>
        <v>0</v>
      </c>
      <c r="Z88">
        <f>MAX(0,ROUND(AX87*(1+'Calc base'!L88),2)-N88-'Calc base'!X88)</f>
        <v>0</v>
      </c>
      <c r="AA88">
        <f>MAX(0,ROUND(AY87*(1+'Calc base'!M88),2)-O88-'Calc base'!Y88)</f>
        <v>0</v>
      </c>
      <c r="AB88">
        <f>MAX(0,ROUND(AZ87*(1+'Calc base'!N88),2)-P88-'Calc base'!Z88)</f>
        <v>0</v>
      </c>
      <c r="AC88">
        <f>MAX(0,ROUND(BA87*(1+'Calc base'!O88),2)-Q88-'Calc base'!AA88)</f>
        <v>0</v>
      </c>
      <c r="AD88">
        <f>MAX(0,ROUND(BB87*(1+'Calc base'!P88),2)-R88-'Calc base'!AB88)</f>
        <v>0</v>
      </c>
      <c r="AE88">
        <f>MAX(0,ROUND(BC87*(1+'Calc base'!Q88),2)-S88-'Calc base'!AC88)</f>
        <v>0</v>
      </c>
      <c r="AF88">
        <f>MAX(0,ROUND(BD87*(1+'Calc base'!R88),2)-T88-'Calc base'!AD88)</f>
        <v>0</v>
      </c>
      <c r="AG88">
        <f>MAX(0,ROUND(BE87*(1+'Calc base'!S88),2)-U88-'Calc base'!AE88)</f>
        <v>0</v>
      </c>
      <c r="AH88">
        <f>IF('Calc base'!C$14=0,0,MIN(V88,MAX(0,$E88-SUMIFS($V88:$AG88,'Calc base'!$C$17:$N$17,"&lt;"&amp;'Calc base'!C$17,'Calc base'!$C$14:$N$14,1))))</f>
        <v>0</v>
      </c>
      <c r="AI88">
        <f>IF('Calc base'!D$14=0,0,MIN(W88,MAX(0,$E88-SUMIFS($V88:$AG88,'Calc base'!$C$17:$N$17,"&lt;"&amp;'Calc base'!D$17,'Calc base'!$C$14:$N$14,1))))</f>
        <v>0</v>
      </c>
      <c r="AJ88">
        <f>IF('Calc base'!E$14=0,0,MIN(X88,MAX(0,$E88-SUMIFS($V88:$AG88,'Calc base'!$C$17:$N$17,"&lt;"&amp;'Calc base'!E$17,'Calc base'!$C$14:$N$14,1))))</f>
        <v>0</v>
      </c>
      <c r="AK88">
        <f>IF('Calc base'!F$14=0,0,MIN(Y88,MAX(0,$E88-SUMIFS($V88:$AG88,'Calc base'!$C$17:$N$17,"&lt;"&amp;'Calc base'!F$17,'Calc base'!$C$14:$N$14,1))))</f>
        <v>0</v>
      </c>
      <c r="AL88">
        <f>IF('Calc base'!G$14=0,0,MIN(Z88,MAX(0,$E88-SUMIFS($V88:$AG88,'Calc base'!$C$17:$N$17,"&lt;"&amp;'Calc base'!G$17,'Calc base'!$C$14:$N$14,1))))</f>
        <v>0</v>
      </c>
      <c r="AM88">
        <f>IF('Calc base'!H$14=0,0,MIN(AA88,MAX(0,$E88-SUMIFS($V88:$AG88,'Calc base'!$C$17:$N$17,"&lt;"&amp;'Calc base'!H$17,'Calc base'!$C$14:$N$14,1))))</f>
        <v>0</v>
      </c>
      <c r="AN88">
        <f>IF('Calc base'!I$14=0,0,MIN(AB88,MAX(0,$E88-SUMIFS($V88:$AG88,'Calc base'!$C$17:$N$17,"&lt;"&amp;'Calc base'!I$17,'Calc base'!$C$14:$N$14,1))))</f>
        <v>0</v>
      </c>
      <c r="AO88">
        <f>IF('Calc base'!J$14=0,0,MIN(AC88,MAX(0,$E88-SUMIFS($V88:$AG88,'Calc base'!$C$17:$N$17,"&lt;"&amp;'Calc base'!J$17,'Calc base'!$C$14:$N$14,1))))</f>
        <v>0</v>
      </c>
      <c r="AP88">
        <f>IF('Calc base'!K$14=0,0,MIN(AD88,MAX(0,$E88-SUMIFS($V88:$AG88,'Calc base'!$C$17:$N$17,"&lt;"&amp;'Calc base'!K$17,'Calc base'!$C$14:$N$14,1))))</f>
        <v>0</v>
      </c>
      <c r="AQ88">
        <f>IF('Calc base'!L$14=0,0,MIN(AE88,MAX(0,$E88-SUMIFS($V88:$AG88,'Calc base'!$C$17:$N$17,"&lt;"&amp;'Calc base'!L$17,'Calc base'!$C$14:$N$14,1))))</f>
        <v>0</v>
      </c>
      <c r="AR88">
        <f>IF('Calc base'!M$14=0,0,MIN(AF88,MAX(0,$E88-SUMIFS($V88:$AG88,'Calc base'!$C$17:$N$17,"&lt;"&amp;'Calc base'!M$17,'Calc base'!$C$14:$N$14,1))))</f>
        <v>0</v>
      </c>
      <c r="AS88">
        <f>IF('Calc base'!N$14=0,0,MIN(AG88,MAX(0,$E88-SUMIFS($V88:$AG88,'Calc base'!$C$17:$N$17,"&lt;"&amp;'Calc base'!N$17,'Calc base'!$C$14:$N$14,1))))</f>
        <v>0</v>
      </c>
      <c r="AT88">
        <f>V88-AH88</f>
        <v>0</v>
      </c>
      <c r="AU88">
        <f>W88-AI88</f>
        <v>0</v>
      </c>
      <c r="AV88">
        <f>X88-AJ88</f>
        <v>0</v>
      </c>
      <c r="AW88">
        <f>Y88-AK88</f>
        <v>0</v>
      </c>
      <c r="AX88">
        <f>Z88-AL88</f>
        <v>0</v>
      </c>
      <c r="AY88">
        <f>AA88-AM88</f>
        <v>0</v>
      </c>
      <c r="AZ88">
        <f>AB88-AN88</f>
        <v>0</v>
      </c>
      <c r="BA88">
        <f>AC88-AO88</f>
        <v>0</v>
      </c>
      <c r="BB88">
        <f>AD88-AP88</f>
        <v>0</v>
      </c>
      <c r="BC88">
        <f>AE88-AQ88</f>
        <v>0</v>
      </c>
      <c r="BD88">
        <f>AF88-AR88</f>
        <v>0</v>
      </c>
      <c r="BE88">
        <f>AG88-AS88</f>
        <v>0</v>
      </c>
    </row>
    <row r="89">
      <c r="A89" t="n">
        <v>59</v>
      </c>
      <c r="B89">
        <f>SUMPRODUCT(ROUND($AT88:$BE88*(1+'Calc base'!$H89:$S89),2))</f>
        <v>0</v>
      </c>
      <c r="C89">
        <f>SUM(J89:U89)</f>
        <v>0</v>
      </c>
      <c r="D89">
        <f>SUM(V89:AG89)</f>
        <v>0</v>
      </c>
      <c r="E89">
        <f>MAX(0,IF(Impostazioni!$B$7="No",'Calc base'!$C89-$C$31,'Calc base'!$C89-C89)+'Calc base'!$G89+'Calc base'!$F89-(B89-C89-D89))</f>
        <v>900</v>
      </c>
      <c r="F89">
        <f>SUM(AH89:AS89)</f>
        <v>0</v>
      </c>
      <c r="G89">
        <f>SUM(AT89:BE89)</f>
        <v>0</v>
      </c>
      <c r="H89">
        <f>B89-G88</f>
        <v>0</v>
      </c>
      <c r="I89">
        <f>B89-G89</f>
        <v>0</v>
      </c>
      <c r="J89">
        <f>IF(AT88&lt;=0,0,IF(ROUND(AT88*(1+'Calc base'!H89),2)-MAX('Calc base'!C$12,ROUND('Calc base'!C$13*AT88,2))&lt;1,ROUND(AT88*(1+'Calc base'!H89),2),MAX('Calc base'!C$12,ROUND('Calc base'!C$13*AT88,2))))</f>
        <v>0</v>
      </c>
      <c r="K89">
        <f>IF(AU88&lt;=0,0,IF(ROUND(AU88*(1+'Calc base'!I89),2)-MAX('Calc base'!D$12,ROUND('Calc base'!D$13*AU88,2))&lt;1,ROUND(AU88*(1+'Calc base'!I89),2),MAX('Calc base'!D$12,ROUND('Calc base'!D$13*AU88,2))))</f>
        <v>0</v>
      </c>
      <c r="L89">
        <f>IF(AV88&lt;=0,0,IF(ROUND(AV88*(1+'Calc base'!J89),2)-MAX('Calc base'!E$12,ROUND('Calc base'!E$13*AV88,2))&lt;1,ROUND(AV88*(1+'Calc base'!J89),2),MAX('Calc base'!E$12,ROUND('Calc base'!E$13*AV88,2))))</f>
        <v>0</v>
      </c>
      <c r="M89">
        <f>IF(AW88&lt;=0,0,IF(ROUND(AW88*(1+'Calc base'!K89),2)-MAX('Calc base'!F$12,ROUND('Calc base'!F$13*AW88,2))&lt;1,ROUND(AW88*(1+'Calc base'!K89),2),MAX('Calc base'!F$12,ROUND('Calc base'!F$13*AW88,2))))</f>
        <v>0</v>
      </c>
      <c r="N89">
        <f>IF(AX88&lt;=0,0,IF(ROUND(AX88*(1+'Calc base'!L89),2)-MAX('Calc base'!G$12,ROUND('Calc base'!G$13*AX88,2))&lt;1,ROUND(AX88*(1+'Calc base'!L89),2),MAX('Calc base'!G$12,ROUND('Calc base'!G$13*AX88,2))))</f>
        <v>0</v>
      </c>
      <c r="O89">
        <f>IF(AY88&lt;=0,0,IF(ROUND(AY88*(1+'Calc base'!M89),2)-MAX('Calc base'!H$12,ROUND('Calc base'!H$13*AY88,2))&lt;1,ROUND(AY88*(1+'Calc base'!M89),2),MAX('Calc base'!H$12,ROUND('Calc base'!H$13*AY88,2))))</f>
        <v>0</v>
      </c>
      <c r="P89">
        <f>IF(AZ88&lt;=0,0,IF(ROUND(AZ88*(1+'Calc base'!N89),2)-MAX('Calc base'!I$12,ROUND('Calc base'!I$13*AZ88,2))&lt;1,ROUND(AZ88*(1+'Calc base'!N89),2),MAX('Calc base'!I$12,ROUND('Calc base'!I$13*AZ88,2))))</f>
        <v>0</v>
      </c>
      <c r="Q89">
        <f>IF(BA88&lt;=0,0,IF(ROUND(BA88*(1+'Calc base'!O89),2)-MAX('Calc base'!J$12,ROUND('Calc base'!J$13*BA88,2))&lt;1,ROUND(BA88*(1+'Calc base'!O89),2),MAX('Calc base'!J$12,ROUND('Calc base'!J$13*BA88,2))))</f>
        <v>0</v>
      </c>
      <c r="R89">
        <f>IF(BB88&lt;=0,0,IF(ROUND(BB88*(1+'Calc base'!P89),2)-MAX('Calc base'!K$12,ROUND('Calc base'!K$13*BB88,2))&lt;1,ROUND(BB88*(1+'Calc base'!P89),2),MAX('Calc base'!K$12,ROUND('Calc base'!K$13*BB88,2))))</f>
        <v>0</v>
      </c>
      <c r="S89">
        <f>IF(BC88&lt;=0,0,IF(ROUND(BC88*(1+'Calc base'!Q89),2)-MAX('Calc base'!L$12,ROUND('Calc base'!L$13*BC88,2))&lt;1,ROUND(BC88*(1+'Calc base'!Q89),2),MAX('Calc base'!L$12,ROUND('Calc base'!L$13*BC88,2))))</f>
        <v>0</v>
      </c>
      <c r="T89">
        <f>IF(BD88&lt;=0,0,IF(ROUND(BD88*(1+'Calc base'!R89),2)-MAX('Calc base'!M$12,ROUND('Calc base'!M$13*BD88,2))&lt;1,ROUND(BD88*(1+'Calc base'!R89),2),MAX('Calc base'!M$12,ROUND('Calc base'!M$13*BD88,2))))</f>
        <v>0</v>
      </c>
      <c r="U89">
        <f>IF(BE88&lt;=0,0,IF(ROUND(BE88*(1+'Calc base'!S89),2)-MAX('Calc base'!N$12,ROUND('Calc base'!N$13*BE88,2))&lt;1,ROUND(BE88*(1+'Calc base'!S89),2),MAX('Calc base'!N$12,ROUND('Calc base'!N$13*BE88,2))))</f>
        <v>0</v>
      </c>
      <c r="V89">
        <f>MAX(0,ROUND(AT88*(1+'Calc base'!H89),2)-J89-'Calc base'!T89)</f>
        <v>0</v>
      </c>
      <c r="W89">
        <f>MAX(0,ROUND(AU88*(1+'Calc base'!I89),2)-K89-'Calc base'!U89)</f>
        <v>0</v>
      </c>
      <c r="X89">
        <f>MAX(0,ROUND(AV88*(1+'Calc base'!J89),2)-L89-'Calc base'!V89)</f>
        <v>0</v>
      </c>
      <c r="Y89">
        <f>MAX(0,ROUND(AW88*(1+'Calc base'!K89),2)-M89-'Calc base'!W89)</f>
        <v>0</v>
      </c>
      <c r="Z89">
        <f>MAX(0,ROUND(AX88*(1+'Calc base'!L89),2)-N89-'Calc base'!X89)</f>
        <v>0</v>
      </c>
      <c r="AA89">
        <f>MAX(0,ROUND(AY88*(1+'Calc base'!M89),2)-O89-'Calc base'!Y89)</f>
        <v>0</v>
      </c>
      <c r="AB89">
        <f>MAX(0,ROUND(AZ88*(1+'Calc base'!N89),2)-P89-'Calc base'!Z89)</f>
        <v>0</v>
      </c>
      <c r="AC89">
        <f>MAX(0,ROUND(BA88*(1+'Calc base'!O89),2)-Q89-'Calc base'!AA89)</f>
        <v>0</v>
      </c>
      <c r="AD89">
        <f>MAX(0,ROUND(BB88*(1+'Calc base'!P89),2)-R89-'Calc base'!AB89)</f>
        <v>0</v>
      </c>
      <c r="AE89">
        <f>MAX(0,ROUND(BC88*(1+'Calc base'!Q89),2)-S89-'Calc base'!AC89)</f>
        <v>0</v>
      </c>
      <c r="AF89">
        <f>MAX(0,ROUND(BD88*(1+'Calc base'!R89),2)-T89-'Calc base'!AD89)</f>
        <v>0</v>
      </c>
      <c r="AG89">
        <f>MAX(0,ROUND(BE88*(1+'Calc base'!S89),2)-U89-'Calc base'!AE89)</f>
        <v>0</v>
      </c>
      <c r="AH89">
        <f>IF('Calc base'!C$14=0,0,MIN(V89,MAX(0,$E89-SUMIFS($V89:$AG89,'Calc base'!$C$17:$N$17,"&lt;"&amp;'Calc base'!C$17,'Calc base'!$C$14:$N$14,1))))</f>
        <v>0</v>
      </c>
      <c r="AI89">
        <f>IF('Calc base'!D$14=0,0,MIN(W89,MAX(0,$E89-SUMIFS($V89:$AG89,'Calc base'!$C$17:$N$17,"&lt;"&amp;'Calc base'!D$17,'Calc base'!$C$14:$N$14,1))))</f>
        <v>0</v>
      </c>
      <c r="AJ89">
        <f>IF('Calc base'!E$14=0,0,MIN(X89,MAX(0,$E89-SUMIFS($V89:$AG89,'Calc base'!$C$17:$N$17,"&lt;"&amp;'Calc base'!E$17,'Calc base'!$C$14:$N$14,1))))</f>
        <v>0</v>
      </c>
      <c r="AK89">
        <f>IF('Calc base'!F$14=0,0,MIN(Y89,MAX(0,$E89-SUMIFS($V89:$AG89,'Calc base'!$C$17:$N$17,"&lt;"&amp;'Calc base'!F$17,'Calc base'!$C$14:$N$14,1))))</f>
        <v>0</v>
      </c>
      <c r="AL89">
        <f>IF('Calc base'!G$14=0,0,MIN(Z89,MAX(0,$E89-SUMIFS($V89:$AG89,'Calc base'!$C$17:$N$17,"&lt;"&amp;'Calc base'!G$17,'Calc base'!$C$14:$N$14,1))))</f>
        <v>0</v>
      </c>
      <c r="AM89">
        <f>IF('Calc base'!H$14=0,0,MIN(AA89,MAX(0,$E89-SUMIFS($V89:$AG89,'Calc base'!$C$17:$N$17,"&lt;"&amp;'Calc base'!H$17,'Calc base'!$C$14:$N$14,1))))</f>
        <v>0</v>
      </c>
      <c r="AN89">
        <f>IF('Calc base'!I$14=0,0,MIN(AB89,MAX(0,$E89-SUMIFS($V89:$AG89,'Calc base'!$C$17:$N$17,"&lt;"&amp;'Calc base'!I$17,'Calc base'!$C$14:$N$14,1))))</f>
        <v>0</v>
      </c>
      <c r="AO89">
        <f>IF('Calc base'!J$14=0,0,MIN(AC89,MAX(0,$E89-SUMIFS($V89:$AG89,'Calc base'!$C$17:$N$17,"&lt;"&amp;'Calc base'!J$17,'Calc base'!$C$14:$N$14,1))))</f>
        <v>0</v>
      </c>
      <c r="AP89">
        <f>IF('Calc base'!K$14=0,0,MIN(AD89,MAX(0,$E89-SUMIFS($V89:$AG89,'Calc base'!$C$17:$N$17,"&lt;"&amp;'Calc base'!K$17,'Calc base'!$C$14:$N$14,1))))</f>
        <v>0</v>
      </c>
      <c r="AQ89">
        <f>IF('Calc base'!L$14=0,0,MIN(AE89,MAX(0,$E89-SUMIFS($V89:$AG89,'Calc base'!$C$17:$N$17,"&lt;"&amp;'Calc base'!L$17,'Calc base'!$C$14:$N$14,1))))</f>
        <v>0</v>
      </c>
      <c r="AR89">
        <f>IF('Calc base'!M$14=0,0,MIN(AF89,MAX(0,$E89-SUMIFS($V89:$AG89,'Calc base'!$C$17:$N$17,"&lt;"&amp;'Calc base'!M$17,'Calc base'!$C$14:$N$14,1))))</f>
        <v>0</v>
      </c>
      <c r="AS89">
        <f>IF('Calc base'!N$14=0,0,MIN(AG89,MAX(0,$E89-SUMIFS($V89:$AG89,'Calc base'!$C$17:$N$17,"&lt;"&amp;'Calc base'!N$17,'Calc base'!$C$14:$N$14,1))))</f>
        <v>0</v>
      </c>
      <c r="AT89">
        <f>V89-AH89</f>
        <v>0</v>
      </c>
      <c r="AU89">
        <f>W89-AI89</f>
        <v>0</v>
      </c>
      <c r="AV89">
        <f>X89-AJ89</f>
        <v>0</v>
      </c>
      <c r="AW89">
        <f>Y89-AK89</f>
        <v>0</v>
      </c>
      <c r="AX89">
        <f>Z89-AL89</f>
        <v>0</v>
      </c>
      <c r="AY89">
        <f>AA89-AM89</f>
        <v>0</v>
      </c>
      <c r="AZ89">
        <f>AB89-AN89</f>
        <v>0</v>
      </c>
      <c r="BA89">
        <f>AC89-AO89</f>
        <v>0</v>
      </c>
      <c r="BB89">
        <f>AD89-AP89</f>
        <v>0</v>
      </c>
      <c r="BC89">
        <f>AE89-AQ89</f>
        <v>0</v>
      </c>
      <c r="BD89">
        <f>AF89-AR89</f>
        <v>0</v>
      </c>
      <c r="BE89">
        <f>AG89-AS89</f>
        <v>0</v>
      </c>
    </row>
    <row r="90">
      <c r="A90" t="n">
        <v>60</v>
      </c>
      <c r="B90">
        <f>SUMPRODUCT(ROUND($AT89:$BE89*(1+'Calc base'!$H90:$S90),2))</f>
        <v>0</v>
      </c>
      <c r="C90">
        <f>SUM(J90:U90)</f>
        <v>0</v>
      </c>
      <c r="D90">
        <f>SUM(V90:AG90)</f>
        <v>0</v>
      </c>
      <c r="E90">
        <f>MAX(0,IF(Impostazioni!$B$7="No",'Calc base'!$C90-$C$31,'Calc base'!$C90-C90)+'Calc base'!$G90+'Calc base'!$F90-(B90-C90-D90))</f>
        <v>900</v>
      </c>
      <c r="F90">
        <f>SUM(AH90:AS90)</f>
        <v>0</v>
      </c>
      <c r="G90">
        <f>SUM(AT90:BE90)</f>
        <v>0</v>
      </c>
      <c r="H90">
        <f>B90-G89</f>
        <v>0</v>
      </c>
      <c r="I90">
        <f>B90-G90</f>
        <v>0</v>
      </c>
      <c r="J90">
        <f>IF(AT89&lt;=0,0,IF(ROUND(AT89*(1+'Calc base'!H90),2)-MAX('Calc base'!C$12,ROUND('Calc base'!C$13*AT89,2))&lt;1,ROUND(AT89*(1+'Calc base'!H90),2),MAX('Calc base'!C$12,ROUND('Calc base'!C$13*AT89,2))))</f>
        <v>0</v>
      </c>
      <c r="K90">
        <f>IF(AU89&lt;=0,0,IF(ROUND(AU89*(1+'Calc base'!I90),2)-MAX('Calc base'!D$12,ROUND('Calc base'!D$13*AU89,2))&lt;1,ROUND(AU89*(1+'Calc base'!I90),2),MAX('Calc base'!D$12,ROUND('Calc base'!D$13*AU89,2))))</f>
        <v>0</v>
      </c>
      <c r="L90">
        <f>IF(AV89&lt;=0,0,IF(ROUND(AV89*(1+'Calc base'!J90),2)-MAX('Calc base'!E$12,ROUND('Calc base'!E$13*AV89,2))&lt;1,ROUND(AV89*(1+'Calc base'!J90),2),MAX('Calc base'!E$12,ROUND('Calc base'!E$13*AV89,2))))</f>
        <v>0</v>
      </c>
      <c r="M90">
        <f>IF(AW89&lt;=0,0,IF(ROUND(AW89*(1+'Calc base'!K90),2)-MAX('Calc base'!F$12,ROUND('Calc base'!F$13*AW89,2))&lt;1,ROUND(AW89*(1+'Calc base'!K90),2),MAX('Calc base'!F$12,ROUND('Calc base'!F$13*AW89,2))))</f>
        <v>0</v>
      </c>
      <c r="N90">
        <f>IF(AX89&lt;=0,0,IF(ROUND(AX89*(1+'Calc base'!L90),2)-MAX('Calc base'!G$12,ROUND('Calc base'!G$13*AX89,2))&lt;1,ROUND(AX89*(1+'Calc base'!L90),2),MAX('Calc base'!G$12,ROUND('Calc base'!G$13*AX89,2))))</f>
        <v>0</v>
      </c>
      <c r="O90">
        <f>IF(AY89&lt;=0,0,IF(ROUND(AY89*(1+'Calc base'!M90),2)-MAX('Calc base'!H$12,ROUND('Calc base'!H$13*AY89,2))&lt;1,ROUND(AY89*(1+'Calc base'!M90),2),MAX('Calc base'!H$12,ROUND('Calc base'!H$13*AY89,2))))</f>
        <v>0</v>
      </c>
      <c r="P90">
        <f>IF(AZ89&lt;=0,0,IF(ROUND(AZ89*(1+'Calc base'!N90),2)-MAX('Calc base'!I$12,ROUND('Calc base'!I$13*AZ89,2))&lt;1,ROUND(AZ89*(1+'Calc base'!N90),2),MAX('Calc base'!I$12,ROUND('Calc base'!I$13*AZ89,2))))</f>
        <v>0</v>
      </c>
      <c r="Q90">
        <f>IF(BA89&lt;=0,0,IF(ROUND(BA89*(1+'Calc base'!O90),2)-MAX('Calc base'!J$12,ROUND('Calc base'!J$13*BA89,2))&lt;1,ROUND(BA89*(1+'Calc base'!O90),2),MAX('Calc base'!J$12,ROUND('Calc base'!J$13*BA89,2))))</f>
        <v>0</v>
      </c>
      <c r="R90">
        <f>IF(BB89&lt;=0,0,IF(ROUND(BB89*(1+'Calc base'!P90),2)-MAX('Calc base'!K$12,ROUND('Calc base'!K$13*BB89,2))&lt;1,ROUND(BB89*(1+'Calc base'!P90),2),MAX('Calc base'!K$12,ROUND('Calc base'!K$13*BB89,2))))</f>
        <v>0</v>
      </c>
      <c r="S90">
        <f>IF(BC89&lt;=0,0,IF(ROUND(BC89*(1+'Calc base'!Q90),2)-MAX('Calc base'!L$12,ROUND('Calc base'!L$13*BC89,2))&lt;1,ROUND(BC89*(1+'Calc base'!Q90),2),MAX('Calc base'!L$12,ROUND('Calc base'!L$13*BC89,2))))</f>
        <v>0</v>
      </c>
      <c r="T90">
        <f>IF(BD89&lt;=0,0,IF(ROUND(BD89*(1+'Calc base'!R90),2)-MAX('Calc base'!M$12,ROUND('Calc base'!M$13*BD89,2))&lt;1,ROUND(BD89*(1+'Calc base'!R90),2),MAX('Calc base'!M$12,ROUND('Calc base'!M$13*BD89,2))))</f>
        <v>0</v>
      </c>
      <c r="U90">
        <f>IF(BE89&lt;=0,0,IF(ROUND(BE89*(1+'Calc base'!S90),2)-MAX('Calc base'!N$12,ROUND('Calc base'!N$13*BE89,2))&lt;1,ROUND(BE89*(1+'Calc base'!S90),2),MAX('Calc base'!N$12,ROUND('Calc base'!N$13*BE89,2))))</f>
        <v>0</v>
      </c>
      <c r="V90">
        <f>MAX(0,ROUND(AT89*(1+'Calc base'!H90),2)-J90-'Calc base'!T90)</f>
        <v>0</v>
      </c>
      <c r="W90">
        <f>MAX(0,ROUND(AU89*(1+'Calc base'!I90),2)-K90-'Calc base'!U90)</f>
        <v>0</v>
      </c>
      <c r="X90">
        <f>MAX(0,ROUND(AV89*(1+'Calc base'!J90),2)-L90-'Calc base'!V90)</f>
        <v>0</v>
      </c>
      <c r="Y90">
        <f>MAX(0,ROUND(AW89*(1+'Calc base'!K90),2)-M90-'Calc base'!W90)</f>
        <v>0</v>
      </c>
      <c r="Z90">
        <f>MAX(0,ROUND(AX89*(1+'Calc base'!L90),2)-N90-'Calc base'!X90)</f>
        <v>0</v>
      </c>
      <c r="AA90">
        <f>MAX(0,ROUND(AY89*(1+'Calc base'!M90),2)-O90-'Calc base'!Y90)</f>
        <v>0</v>
      </c>
      <c r="AB90">
        <f>MAX(0,ROUND(AZ89*(1+'Calc base'!N90),2)-P90-'Calc base'!Z90)</f>
        <v>0</v>
      </c>
      <c r="AC90">
        <f>MAX(0,ROUND(BA89*(1+'Calc base'!O90),2)-Q90-'Calc base'!AA90)</f>
        <v>0</v>
      </c>
      <c r="AD90">
        <f>MAX(0,ROUND(BB89*(1+'Calc base'!P90),2)-R90-'Calc base'!AB90)</f>
        <v>0</v>
      </c>
      <c r="AE90">
        <f>MAX(0,ROUND(BC89*(1+'Calc base'!Q90),2)-S90-'Calc base'!AC90)</f>
        <v>0</v>
      </c>
      <c r="AF90">
        <f>MAX(0,ROUND(BD89*(1+'Calc base'!R90),2)-T90-'Calc base'!AD90)</f>
        <v>0</v>
      </c>
      <c r="AG90">
        <f>MAX(0,ROUND(BE89*(1+'Calc base'!S90),2)-U90-'Calc base'!AE90)</f>
        <v>0</v>
      </c>
      <c r="AH90">
        <f>IF('Calc base'!C$14=0,0,MIN(V90,MAX(0,$E90-SUMIFS($V90:$AG90,'Calc base'!$C$17:$N$17,"&lt;"&amp;'Calc base'!C$17,'Calc base'!$C$14:$N$14,1))))</f>
        <v>0</v>
      </c>
      <c r="AI90">
        <f>IF('Calc base'!D$14=0,0,MIN(W90,MAX(0,$E90-SUMIFS($V90:$AG90,'Calc base'!$C$17:$N$17,"&lt;"&amp;'Calc base'!D$17,'Calc base'!$C$14:$N$14,1))))</f>
        <v>0</v>
      </c>
      <c r="AJ90">
        <f>IF('Calc base'!E$14=0,0,MIN(X90,MAX(0,$E90-SUMIFS($V90:$AG90,'Calc base'!$C$17:$N$17,"&lt;"&amp;'Calc base'!E$17,'Calc base'!$C$14:$N$14,1))))</f>
        <v>0</v>
      </c>
      <c r="AK90">
        <f>IF('Calc base'!F$14=0,0,MIN(Y90,MAX(0,$E90-SUMIFS($V90:$AG90,'Calc base'!$C$17:$N$17,"&lt;"&amp;'Calc base'!F$17,'Calc base'!$C$14:$N$14,1))))</f>
        <v>0</v>
      </c>
      <c r="AL90">
        <f>IF('Calc base'!G$14=0,0,MIN(Z90,MAX(0,$E90-SUMIFS($V90:$AG90,'Calc base'!$C$17:$N$17,"&lt;"&amp;'Calc base'!G$17,'Calc base'!$C$14:$N$14,1))))</f>
        <v>0</v>
      </c>
      <c r="AM90">
        <f>IF('Calc base'!H$14=0,0,MIN(AA90,MAX(0,$E90-SUMIFS($V90:$AG90,'Calc base'!$C$17:$N$17,"&lt;"&amp;'Calc base'!H$17,'Calc base'!$C$14:$N$14,1))))</f>
        <v>0</v>
      </c>
      <c r="AN90">
        <f>IF('Calc base'!I$14=0,0,MIN(AB90,MAX(0,$E90-SUMIFS($V90:$AG90,'Calc base'!$C$17:$N$17,"&lt;"&amp;'Calc base'!I$17,'Calc base'!$C$14:$N$14,1))))</f>
        <v>0</v>
      </c>
      <c r="AO90">
        <f>IF('Calc base'!J$14=0,0,MIN(AC90,MAX(0,$E90-SUMIFS($V90:$AG90,'Calc base'!$C$17:$N$17,"&lt;"&amp;'Calc base'!J$17,'Calc base'!$C$14:$N$14,1))))</f>
        <v>0</v>
      </c>
      <c r="AP90">
        <f>IF('Calc base'!K$14=0,0,MIN(AD90,MAX(0,$E90-SUMIFS($V90:$AG90,'Calc base'!$C$17:$N$17,"&lt;"&amp;'Calc base'!K$17,'Calc base'!$C$14:$N$14,1))))</f>
        <v>0</v>
      </c>
      <c r="AQ90">
        <f>IF('Calc base'!L$14=0,0,MIN(AE90,MAX(0,$E90-SUMIFS($V90:$AG90,'Calc base'!$C$17:$N$17,"&lt;"&amp;'Calc base'!L$17,'Calc base'!$C$14:$N$14,1))))</f>
        <v>0</v>
      </c>
      <c r="AR90">
        <f>IF('Calc base'!M$14=0,0,MIN(AF90,MAX(0,$E90-SUMIFS($V90:$AG90,'Calc base'!$C$17:$N$17,"&lt;"&amp;'Calc base'!M$17,'Calc base'!$C$14:$N$14,1))))</f>
        <v>0</v>
      </c>
      <c r="AS90">
        <f>IF('Calc base'!N$14=0,0,MIN(AG90,MAX(0,$E90-SUMIFS($V90:$AG90,'Calc base'!$C$17:$N$17,"&lt;"&amp;'Calc base'!N$17,'Calc base'!$C$14:$N$14,1))))</f>
        <v>0</v>
      </c>
      <c r="AT90">
        <f>V90-AH90</f>
        <v>0</v>
      </c>
      <c r="AU90">
        <f>W90-AI90</f>
        <v>0</v>
      </c>
      <c r="AV90">
        <f>X90-AJ90</f>
        <v>0</v>
      </c>
      <c r="AW90">
        <f>Y90-AK90</f>
        <v>0</v>
      </c>
      <c r="AX90">
        <f>Z90-AL90</f>
        <v>0</v>
      </c>
      <c r="AY90">
        <f>AA90-AM90</f>
        <v>0</v>
      </c>
      <c r="AZ90">
        <f>AB90-AN90</f>
        <v>0</v>
      </c>
      <c r="BA90">
        <f>AC90-AO90</f>
        <v>0</v>
      </c>
      <c r="BB90">
        <f>AD90-AP90</f>
        <v>0</v>
      </c>
      <c r="BC90">
        <f>AE90-AQ90</f>
        <v>0</v>
      </c>
      <c r="BD90">
        <f>AF90-AR90</f>
        <v>0</v>
      </c>
      <c r="BE90">
        <f>AG90-AS90</f>
        <v>0</v>
      </c>
    </row>
    <row r="91">
      <c r="A91" t="n">
        <v>61</v>
      </c>
      <c r="B91">
        <f>SUMPRODUCT(ROUND($AT90:$BE90*(1+'Calc base'!$H91:$S91),2))</f>
        <v>0</v>
      </c>
      <c r="C91">
        <f>SUM(J91:U91)</f>
        <v>0</v>
      </c>
      <c r="D91">
        <f>SUM(V91:AG91)</f>
        <v>0</v>
      </c>
      <c r="E91">
        <f>MAX(0,IF(Impostazioni!$B$7="No",'Calc base'!$C91-$C$31,'Calc base'!$C91-C91)+'Calc base'!$G91+'Calc base'!$F91-(B91-C91-D91))</f>
        <v>900</v>
      </c>
      <c r="F91">
        <f>SUM(AH91:AS91)</f>
        <v>0</v>
      </c>
      <c r="G91">
        <f>SUM(AT91:BE91)</f>
        <v>0</v>
      </c>
      <c r="H91">
        <f>B91-G90</f>
        <v>0</v>
      </c>
      <c r="I91">
        <f>B91-G91</f>
        <v>0</v>
      </c>
      <c r="J91">
        <f>IF(AT90&lt;=0,0,IF(ROUND(AT90*(1+'Calc base'!H91),2)-MAX('Calc base'!C$12,ROUND('Calc base'!C$13*AT90,2))&lt;1,ROUND(AT90*(1+'Calc base'!H91),2),MAX('Calc base'!C$12,ROUND('Calc base'!C$13*AT90,2))))</f>
        <v>0</v>
      </c>
      <c r="K91">
        <f>IF(AU90&lt;=0,0,IF(ROUND(AU90*(1+'Calc base'!I91),2)-MAX('Calc base'!D$12,ROUND('Calc base'!D$13*AU90,2))&lt;1,ROUND(AU90*(1+'Calc base'!I91),2),MAX('Calc base'!D$12,ROUND('Calc base'!D$13*AU90,2))))</f>
        <v>0</v>
      </c>
      <c r="L91">
        <f>IF(AV90&lt;=0,0,IF(ROUND(AV90*(1+'Calc base'!J91),2)-MAX('Calc base'!E$12,ROUND('Calc base'!E$13*AV90,2))&lt;1,ROUND(AV90*(1+'Calc base'!J91),2),MAX('Calc base'!E$12,ROUND('Calc base'!E$13*AV90,2))))</f>
        <v>0</v>
      </c>
      <c r="M91">
        <f>IF(AW90&lt;=0,0,IF(ROUND(AW90*(1+'Calc base'!K91),2)-MAX('Calc base'!F$12,ROUND('Calc base'!F$13*AW90,2))&lt;1,ROUND(AW90*(1+'Calc base'!K91),2),MAX('Calc base'!F$12,ROUND('Calc base'!F$13*AW90,2))))</f>
        <v>0</v>
      </c>
      <c r="N91">
        <f>IF(AX90&lt;=0,0,IF(ROUND(AX90*(1+'Calc base'!L91),2)-MAX('Calc base'!G$12,ROUND('Calc base'!G$13*AX90,2))&lt;1,ROUND(AX90*(1+'Calc base'!L91),2),MAX('Calc base'!G$12,ROUND('Calc base'!G$13*AX90,2))))</f>
        <v>0</v>
      </c>
      <c r="O91">
        <f>IF(AY90&lt;=0,0,IF(ROUND(AY90*(1+'Calc base'!M91),2)-MAX('Calc base'!H$12,ROUND('Calc base'!H$13*AY90,2))&lt;1,ROUND(AY90*(1+'Calc base'!M91),2),MAX('Calc base'!H$12,ROUND('Calc base'!H$13*AY90,2))))</f>
        <v>0</v>
      </c>
      <c r="P91">
        <f>IF(AZ90&lt;=0,0,IF(ROUND(AZ90*(1+'Calc base'!N91),2)-MAX('Calc base'!I$12,ROUND('Calc base'!I$13*AZ90,2))&lt;1,ROUND(AZ90*(1+'Calc base'!N91),2),MAX('Calc base'!I$12,ROUND('Calc base'!I$13*AZ90,2))))</f>
        <v>0</v>
      </c>
      <c r="Q91">
        <f>IF(BA90&lt;=0,0,IF(ROUND(BA90*(1+'Calc base'!O91),2)-MAX('Calc base'!J$12,ROUND('Calc base'!J$13*BA90,2))&lt;1,ROUND(BA90*(1+'Calc base'!O91),2),MAX('Calc base'!J$12,ROUND('Calc base'!J$13*BA90,2))))</f>
        <v>0</v>
      </c>
      <c r="R91">
        <f>IF(BB90&lt;=0,0,IF(ROUND(BB90*(1+'Calc base'!P91),2)-MAX('Calc base'!K$12,ROUND('Calc base'!K$13*BB90,2))&lt;1,ROUND(BB90*(1+'Calc base'!P91),2),MAX('Calc base'!K$12,ROUND('Calc base'!K$13*BB90,2))))</f>
        <v>0</v>
      </c>
      <c r="S91">
        <f>IF(BC90&lt;=0,0,IF(ROUND(BC90*(1+'Calc base'!Q91),2)-MAX('Calc base'!L$12,ROUND('Calc base'!L$13*BC90,2))&lt;1,ROUND(BC90*(1+'Calc base'!Q91),2),MAX('Calc base'!L$12,ROUND('Calc base'!L$13*BC90,2))))</f>
        <v>0</v>
      </c>
      <c r="T91">
        <f>IF(BD90&lt;=0,0,IF(ROUND(BD90*(1+'Calc base'!R91),2)-MAX('Calc base'!M$12,ROUND('Calc base'!M$13*BD90,2))&lt;1,ROUND(BD90*(1+'Calc base'!R91),2),MAX('Calc base'!M$12,ROUND('Calc base'!M$13*BD90,2))))</f>
        <v>0</v>
      </c>
      <c r="U91">
        <f>IF(BE90&lt;=0,0,IF(ROUND(BE90*(1+'Calc base'!S91),2)-MAX('Calc base'!N$12,ROUND('Calc base'!N$13*BE90,2))&lt;1,ROUND(BE90*(1+'Calc base'!S91),2),MAX('Calc base'!N$12,ROUND('Calc base'!N$13*BE90,2))))</f>
        <v>0</v>
      </c>
      <c r="V91">
        <f>MAX(0,ROUND(AT90*(1+'Calc base'!H91),2)-J91-'Calc base'!T91)</f>
        <v>0</v>
      </c>
      <c r="W91">
        <f>MAX(0,ROUND(AU90*(1+'Calc base'!I91),2)-K91-'Calc base'!U91)</f>
        <v>0</v>
      </c>
      <c r="X91">
        <f>MAX(0,ROUND(AV90*(1+'Calc base'!J91),2)-L91-'Calc base'!V91)</f>
        <v>0</v>
      </c>
      <c r="Y91">
        <f>MAX(0,ROUND(AW90*(1+'Calc base'!K91),2)-M91-'Calc base'!W91)</f>
        <v>0</v>
      </c>
      <c r="Z91">
        <f>MAX(0,ROUND(AX90*(1+'Calc base'!L91),2)-N91-'Calc base'!X91)</f>
        <v>0</v>
      </c>
      <c r="AA91">
        <f>MAX(0,ROUND(AY90*(1+'Calc base'!M91),2)-O91-'Calc base'!Y91)</f>
        <v>0</v>
      </c>
      <c r="AB91">
        <f>MAX(0,ROUND(AZ90*(1+'Calc base'!N91),2)-P91-'Calc base'!Z91)</f>
        <v>0</v>
      </c>
      <c r="AC91">
        <f>MAX(0,ROUND(BA90*(1+'Calc base'!O91),2)-Q91-'Calc base'!AA91)</f>
        <v>0</v>
      </c>
      <c r="AD91">
        <f>MAX(0,ROUND(BB90*(1+'Calc base'!P91),2)-R91-'Calc base'!AB91)</f>
        <v>0</v>
      </c>
      <c r="AE91">
        <f>MAX(0,ROUND(BC90*(1+'Calc base'!Q91),2)-S91-'Calc base'!AC91)</f>
        <v>0</v>
      </c>
      <c r="AF91">
        <f>MAX(0,ROUND(BD90*(1+'Calc base'!R91),2)-T91-'Calc base'!AD91)</f>
        <v>0</v>
      </c>
      <c r="AG91">
        <f>MAX(0,ROUND(BE90*(1+'Calc base'!S91),2)-U91-'Calc base'!AE91)</f>
        <v>0</v>
      </c>
      <c r="AH91">
        <f>IF('Calc base'!C$14=0,0,MIN(V91,MAX(0,$E91-SUMIFS($V91:$AG91,'Calc base'!$C$17:$N$17,"&lt;"&amp;'Calc base'!C$17,'Calc base'!$C$14:$N$14,1))))</f>
        <v>0</v>
      </c>
      <c r="AI91">
        <f>IF('Calc base'!D$14=0,0,MIN(W91,MAX(0,$E91-SUMIFS($V91:$AG91,'Calc base'!$C$17:$N$17,"&lt;"&amp;'Calc base'!D$17,'Calc base'!$C$14:$N$14,1))))</f>
        <v>0</v>
      </c>
      <c r="AJ91">
        <f>IF('Calc base'!E$14=0,0,MIN(X91,MAX(0,$E91-SUMIFS($V91:$AG91,'Calc base'!$C$17:$N$17,"&lt;"&amp;'Calc base'!E$17,'Calc base'!$C$14:$N$14,1))))</f>
        <v>0</v>
      </c>
      <c r="AK91">
        <f>IF('Calc base'!F$14=0,0,MIN(Y91,MAX(0,$E91-SUMIFS($V91:$AG91,'Calc base'!$C$17:$N$17,"&lt;"&amp;'Calc base'!F$17,'Calc base'!$C$14:$N$14,1))))</f>
        <v>0</v>
      </c>
      <c r="AL91">
        <f>IF('Calc base'!G$14=0,0,MIN(Z91,MAX(0,$E91-SUMIFS($V91:$AG91,'Calc base'!$C$17:$N$17,"&lt;"&amp;'Calc base'!G$17,'Calc base'!$C$14:$N$14,1))))</f>
        <v>0</v>
      </c>
      <c r="AM91">
        <f>IF('Calc base'!H$14=0,0,MIN(AA91,MAX(0,$E91-SUMIFS($V91:$AG91,'Calc base'!$C$17:$N$17,"&lt;"&amp;'Calc base'!H$17,'Calc base'!$C$14:$N$14,1))))</f>
        <v>0</v>
      </c>
      <c r="AN91">
        <f>IF('Calc base'!I$14=0,0,MIN(AB91,MAX(0,$E91-SUMIFS($V91:$AG91,'Calc base'!$C$17:$N$17,"&lt;"&amp;'Calc base'!I$17,'Calc base'!$C$14:$N$14,1))))</f>
        <v>0</v>
      </c>
      <c r="AO91">
        <f>IF('Calc base'!J$14=0,0,MIN(AC91,MAX(0,$E91-SUMIFS($V91:$AG91,'Calc base'!$C$17:$N$17,"&lt;"&amp;'Calc base'!J$17,'Calc base'!$C$14:$N$14,1))))</f>
        <v>0</v>
      </c>
      <c r="AP91">
        <f>IF('Calc base'!K$14=0,0,MIN(AD91,MAX(0,$E91-SUMIFS($V91:$AG91,'Calc base'!$C$17:$N$17,"&lt;"&amp;'Calc base'!K$17,'Calc base'!$C$14:$N$14,1))))</f>
        <v>0</v>
      </c>
      <c r="AQ91">
        <f>IF('Calc base'!L$14=0,0,MIN(AE91,MAX(0,$E91-SUMIFS($V91:$AG91,'Calc base'!$C$17:$N$17,"&lt;"&amp;'Calc base'!L$17,'Calc base'!$C$14:$N$14,1))))</f>
        <v>0</v>
      </c>
      <c r="AR91">
        <f>IF('Calc base'!M$14=0,0,MIN(AF91,MAX(0,$E91-SUMIFS($V91:$AG91,'Calc base'!$C$17:$N$17,"&lt;"&amp;'Calc base'!M$17,'Calc base'!$C$14:$N$14,1))))</f>
        <v>0</v>
      </c>
      <c r="AS91">
        <f>IF('Calc base'!N$14=0,0,MIN(AG91,MAX(0,$E91-SUMIFS($V91:$AG91,'Calc base'!$C$17:$N$17,"&lt;"&amp;'Calc base'!N$17,'Calc base'!$C$14:$N$14,1))))</f>
        <v>0</v>
      </c>
      <c r="AT91">
        <f>V91-AH91</f>
        <v>0</v>
      </c>
      <c r="AU91">
        <f>W91-AI91</f>
        <v>0</v>
      </c>
      <c r="AV91">
        <f>X91-AJ91</f>
        <v>0</v>
      </c>
      <c r="AW91">
        <f>Y91-AK91</f>
        <v>0</v>
      </c>
      <c r="AX91">
        <f>Z91-AL91</f>
        <v>0</v>
      </c>
      <c r="AY91">
        <f>AA91-AM91</f>
        <v>0</v>
      </c>
      <c r="AZ91">
        <f>AB91-AN91</f>
        <v>0</v>
      </c>
      <c r="BA91">
        <f>AC91-AO91</f>
        <v>0</v>
      </c>
      <c r="BB91">
        <f>AD91-AP91</f>
        <v>0</v>
      </c>
      <c r="BC91">
        <f>AE91-AQ91</f>
        <v>0</v>
      </c>
      <c r="BD91">
        <f>AF91-AR91</f>
        <v>0</v>
      </c>
      <c r="BE91">
        <f>AG91-AS91</f>
        <v>0</v>
      </c>
    </row>
    <row r="92">
      <c r="A92" t="n">
        <v>62</v>
      </c>
      <c r="B92">
        <f>SUMPRODUCT(ROUND($AT91:$BE91*(1+'Calc base'!$H92:$S92),2))</f>
        <v>0</v>
      </c>
      <c r="C92">
        <f>SUM(J92:U92)</f>
        <v>0</v>
      </c>
      <c r="D92">
        <f>SUM(V92:AG92)</f>
        <v>0</v>
      </c>
      <c r="E92">
        <f>MAX(0,IF(Impostazioni!$B$7="No",'Calc base'!$C92-$C$31,'Calc base'!$C92-C92)+'Calc base'!$G92+'Calc base'!$F92-(B92-C92-D92))</f>
        <v>900</v>
      </c>
      <c r="F92">
        <f>SUM(AH92:AS92)</f>
        <v>0</v>
      </c>
      <c r="G92">
        <f>SUM(AT92:BE92)</f>
        <v>0</v>
      </c>
      <c r="H92">
        <f>B92-G91</f>
        <v>0</v>
      </c>
      <c r="I92">
        <f>B92-G92</f>
        <v>0</v>
      </c>
      <c r="J92">
        <f>IF(AT91&lt;=0,0,IF(ROUND(AT91*(1+'Calc base'!H92),2)-MAX('Calc base'!C$12,ROUND('Calc base'!C$13*AT91,2))&lt;1,ROUND(AT91*(1+'Calc base'!H92),2),MAX('Calc base'!C$12,ROUND('Calc base'!C$13*AT91,2))))</f>
        <v>0</v>
      </c>
      <c r="K92">
        <f>IF(AU91&lt;=0,0,IF(ROUND(AU91*(1+'Calc base'!I92),2)-MAX('Calc base'!D$12,ROUND('Calc base'!D$13*AU91,2))&lt;1,ROUND(AU91*(1+'Calc base'!I92),2),MAX('Calc base'!D$12,ROUND('Calc base'!D$13*AU91,2))))</f>
        <v>0</v>
      </c>
      <c r="L92">
        <f>IF(AV91&lt;=0,0,IF(ROUND(AV91*(1+'Calc base'!J92),2)-MAX('Calc base'!E$12,ROUND('Calc base'!E$13*AV91,2))&lt;1,ROUND(AV91*(1+'Calc base'!J92),2),MAX('Calc base'!E$12,ROUND('Calc base'!E$13*AV91,2))))</f>
        <v>0</v>
      </c>
      <c r="M92">
        <f>IF(AW91&lt;=0,0,IF(ROUND(AW91*(1+'Calc base'!K92),2)-MAX('Calc base'!F$12,ROUND('Calc base'!F$13*AW91,2))&lt;1,ROUND(AW91*(1+'Calc base'!K92),2),MAX('Calc base'!F$12,ROUND('Calc base'!F$13*AW91,2))))</f>
        <v>0</v>
      </c>
      <c r="N92">
        <f>IF(AX91&lt;=0,0,IF(ROUND(AX91*(1+'Calc base'!L92),2)-MAX('Calc base'!G$12,ROUND('Calc base'!G$13*AX91,2))&lt;1,ROUND(AX91*(1+'Calc base'!L92),2),MAX('Calc base'!G$12,ROUND('Calc base'!G$13*AX91,2))))</f>
        <v>0</v>
      </c>
      <c r="O92">
        <f>IF(AY91&lt;=0,0,IF(ROUND(AY91*(1+'Calc base'!M92),2)-MAX('Calc base'!H$12,ROUND('Calc base'!H$13*AY91,2))&lt;1,ROUND(AY91*(1+'Calc base'!M92),2),MAX('Calc base'!H$12,ROUND('Calc base'!H$13*AY91,2))))</f>
        <v>0</v>
      </c>
      <c r="P92">
        <f>IF(AZ91&lt;=0,0,IF(ROUND(AZ91*(1+'Calc base'!N92),2)-MAX('Calc base'!I$12,ROUND('Calc base'!I$13*AZ91,2))&lt;1,ROUND(AZ91*(1+'Calc base'!N92),2),MAX('Calc base'!I$12,ROUND('Calc base'!I$13*AZ91,2))))</f>
        <v>0</v>
      </c>
      <c r="Q92">
        <f>IF(BA91&lt;=0,0,IF(ROUND(BA91*(1+'Calc base'!O92),2)-MAX('Calc base'!J$12,ROUND('Calc base'!J$13*BA91,2))&lt;1,ROUND(BA91*(1+'Calc base'!O92),2),MAX('Calc base'!J$12,ROUND('Calc base'!J$13*BA91,2))))</f>
        <v>0</v>
      </c>
      <c r="R92">
        <f>IF(BB91&lt;=0,0,IF(ROUND(BB91*(1+'Calc base'!P92),2)-MAX('Calc base'!K$12,ROUND('Calc base'!K$13*BB91,2))&lt;1,ROUND(BB91*(1+'Calc base'!P92),2),MAX('Calc base'!K$12,ROUND('Calc base'!K$13*BB91,2))))</f>
        <v>0</v>
      </c>
      <c r="S92">
        <f>IF(BC91&lt;=0,0,IF(ROUND(BC91*(1+'Calc base'!Q92),2)-MAX('Calc base'!L$12,ROUND('Calc base'!L$13*BC91,2))&lt;1,ROUND(BC91*(1+'Calc base'!Q92),2),MAX('Calc base'!L$12,ROUND('Calc base'!L$13*BC91,2))))</f>
        <v>0</v>
      </c>
      <c r="T92">
        <f>IF(BD91&lt;=0,0,IF(ROUND(BD91*(1+'Calc base'!R92),2)-MAX('Calc base'!M$12,ROUND('Calc base'!M$13*BD91,2))&lt;1,ROUND(BD91*(1+'Calc base'!R92),2),MAX('Calc base'!M$12,ROUND('Calc base'!M$13*BD91,2))))</f>
        <v>0</v>
      </c>
      <c r="U92">
        <f>IF(BE91&lt;=0,0,IF(ROUND(BE91*(1+'Calc base'!S92),2)-MAX('Calc base'!N$12,ROUND('Calc base'!N$13*BE91,2))&lt;1,ROUND(BE91*(1+'Calc base'!S92),2),MAX('Calc base'!N$12,ROUND('Calc base'!N$13*BE91,2))))</f>
        <v>0</v>
      </c>
      <c r="V92">
        <f>MAX(0,ROUND(AT91*(1+'Calc base'!H92),2)-J92-'Calc base'!T92)</f>
        <v>0</v>
      </c>
      <c r="W92">
        <f>MAX(0,ROUND(AU91*(1+'Calc base'!I92),2)-K92-'Calc base'!U92)</f>
        <v>0</v>
      </c>
      <c r="X92">
        <f>MAX(0,ROUND(AV91*(1+'Calc base'!J92),2)-L92-'Calc base'!V92)</f>
        <v>0</v>
      </c>
      <c r="Y92">
        <f>MAX(0,ROUND(AW91*(1+'Calc base'!K92),2)-M92-'Calc base'!W92)</f>
        <v>0</v>
      </c>
      <c r="Z92">
        <f>MAX(0,ROUND(AX91*(1+'Calc base'!L92),2)-N92-'Calc base'!X92)</f>
        <v>0</v>
      </c>
      <c r="AA92">
        <f>MAX(0,ROUND(AY91*(1+'Calc base'!M92),2)-O92-'Calc base'!Y92)</f>
        <v>0</v>
      </c>
      <c r="AB92">
        <f>MAX(0,ROUND(AZ91*(1+'Calc base'!N92),2)-P92-'Calc base'!Z92)</f>
        <v>0</v>
      </c>
      <c r="AC92">
        <f>MAX(0,ROUND(BA91*(1+'Calc base'!O92),2)-Q92-'Calc base'!AA92)</f>
        <v>0</v>
      </c>
      <c r="AD92">
        <f>MAX(0,ROUND(BB91*(1+'Calc base'!P92),2)-R92-'Calc base'!AB92)</f>
        <v>0</v>
      </c>
      <c r="AE92">
        <f>MAX(0,ROUND(BC91*(1+'Calc base'!Q92),2)-S92-'Calc base'!AC92)</f>
        <v>0</v>
      </c>
      <c r="AF92">
        <f>MAX(0,ROUND(BD91*(1+'Calc base'!R92),2)-T92-'Calc base'!AD92)</f>
        <v>0</v>
      </c>
      <c r="AG92">
        <f>MAX(0,ROUND(BE91*(1+'Calc base'!S92),2)-U92-'Calc base'!AE92)</f>
        <v>0</v>
      </c>
      <c r="AH92">
        <f>IF('Calc base'!C$14=0,0,MIN(V92,MAX(0,$E92-SUMIFS($V92:$AG92,'Calc base'!$C$17:$N$17,"&lt;"&amp;'Calc base'!C$17,'Calc base'!$C$14:$N$14,1))))</f>
        <v>0</v>
      </c>
      <c r="AI92">
        <f>IF('Calc base'!D$14=0,0,MIN(W92,MAX(0,$E92-SUMIFS($V92:$AG92,'Calc base'!$C$17:$N$17,"&lt;"&amp;'Calc base'!D$17,'Calc base'!$C$14:$N$14,1))))</f>
        <v>0</v>
      </c>
      <c r="AJ92">
        <f>IF('Calc base'!E$14=0,0,MIN(X92,MAX(0,$E92-SUMIFS($V92:$AG92,'Calc base'!$C$17:$N$17,"&lt;"&amp;'Calc base'!E$17,'Calc base'!$C$14:$N$14,1))))</f>
        <v>0</v>
      </c>
      <c r="AK92">
        <f>IF('Calc base'!F$14=0,0,MIN(Y92,MAX(0,$E92-SUMIFS($V92:$AG92,'Calc base'!$C$17:$N$17,"&lt;"&amp;'Calc base'!F$17,'Calc base'!$C$14:$N$14,1))))</f>
        <v>0</v>
      </c>
      <c r="AL92">
        <f>IF('Calc base'!G$14=0,0,MIN(Z92,MAX(0,$E92-SUMIFS($V92:$AG92,'Calc base'!$C$17:$N$17,"&lt;"&amp;'Calc base'!G$17,'Calc base'!$C$14:$N$14,1))))</f>
        <v>0</v>
      </c>
      <c r="AM92">
        <f>IF('Calc base'!H$14=0,0,MIN(AA92,MAX(0,$E92-SUMIFS($V92:$AG92,'Calc base'!$C$17:$N$17,"&lt;"&amp;'Calc base'!H$17,'Calc base'!$C$14:$N$14,1))))</f>
        <v>0</v>
      </c>
      <c r="AN92">
        <f>IF('Calc base'!I$14=0,0,MIN(AB92,MAX(0,$E92-SUMIFS($V92:$AG92,'Calc base'!$C$17:$N$17,"&lt;"&amp;'Calc base'!I$17,'Calc base'!$C$14:$N$14,1))))</f>
        <v>0</v>
      </c>
      <c r="AO92">
        <f>IF('Calc base'!J$14=0,0,MIN(AC92,MAX(0,$E92-SUMIFS($V92:$AG92,'Calc base'!$C$17:$N$17,"&lt;"&amp;'Calc base'!J$17,'Calc base'!$C$14:$N$14,1))))</f>
        <v>0</v>
      </c>
      <c r="AP92">
        <f>IF('Calc base'!K$14=0,0,MIN(AD92,MAX(0,$E92-SUMIFS($V92:$AG92,'Calc base'!$C$17:$N$17,"&lt;"&amp;'Calc base'!K$17,'Calc base'!$C$14:$N$14,1))))</f>
        <v>0</v>
      </c>
      <c r="AQ92">
        <f>IF('Calc base'!L$14=0,0,MIN(AE92,MAX(0,$E92-SUMIFS($V92:$AG92,'Calc base'!$C$17:$N$17,"&lt;"&amp;'Calc base'!L$17,'Calc base'!$C$14:$N$14,1))))</f>
        <v>0</v>
      </c>
      <c r="AR92">
        <f>IF('Calc base'!M$14=0,0,MIN(AF92,MAX(0,$E92-SUMIFS($V92:$AG92,'Calc base'!$C$17:$N$17,"&lt;"&amp;'Calc base'!M$17,'Calc base'!$C$14:$N$14,1))))</f>
        <v>0</v>
      </c>
      <c r="AS92">
        <f>IF('Calc base'!N$14=0,0,MIN(AG92,MAX(0,$E92-SUMIFS($V92:$AG92,'Calc base'!$C$17:$N$17,"&lt;"&amp;'Calc base'!N$17,'Calc base'!$C$14:$N$14,1))))</f>
        <v>0</v>
      </c>
      <c r="AT92">
        <f>V92-AH92</f>
        <v>0</v>
      </c>
      <c r="AU92">
        <f>W92-AI92</f>
        <v>0</v>
      </c>
      <c r="AV92">
        <f>X92-AJ92</f>
        <v>0</v>
      </c>
      <c r="AW92">
        <f>Y92-AK92</f>
        <v>0</v>
      </c>
      <c r="AX92">
        <f>Z92-AL92</f>
        <v>0</v>
      </c>
      <c r="AY92">
        <f>AA92-AM92</f>
        <v>0</v>
      </c>
      <c r="AZ92">
        <f>AB92-AN92</f>
        <v>0</v>
      </c>
      <c r="BA92">
        <f>AC92-AO92</f>
        <v>0</v>
      </c>
      <c r="BB92">
        <f>AD92-AP92</f>
        <v>0</v>
      </c>
      <c r="BC92">
        <f>AE92-AQ92</f>
        <v>0</v>
      </c>
      <c r="BD92">
        <f>AF92-AR92</f>
        <v>0</v>
      </c>
      <c r="BE92">
        <f>AG92-AS92</f>
        <v>0</v>
      </c>
    </row>
    <row r="93">
      <c r="A93" t="n">
        <v>63</v>
      </c>
      <c r="B93">
        <f>SUMPRODUCT(ROUND($AT92:$BE92*(1+'Calc base'!$H93:$S93),2))</f>
        <v>0</v>
      </c>
      <c r="C93">
        <f>SUM(J93:U93)</f>
        <v>0</v>
      </c>
      <c r="D93">
        <f>SUM(V93:AG93)</f>
        <v>0</v>
      </c>
      <c r="E93">
        <f>MAX(0,IF(Impostazioni!$B$7="No",'Calc base'!$C93-$C$31,'Calc base'!$C93-C93)+'Calc base'!$G93+'Calc base'!$F93-(B93-C93-D93))</f>
        <v>900</v>
      </c>
      <c r="F93">
        <f>SUM(AH93:AS93)</f>
        <v>0</v>
      </c>
      <c r="G93">
        <f>SUM(AT93:BE93)</f>
        <v>0</v>
      </c>
      <c r="H93">
        <f>B93-G92</f>
        <v>0</v>
      </c>
      <c r="I93">
        <f>B93-G93</f>
        <v>0</v>
      </c>
      <c r="J93">
        <f>IF(AT92&lt;=0,0,IF(ROUND(AT92*(1+'Calc base'!H93),2)-MAX('Calc base'!C$12,ROUND('Calc base'!C$13*AT92,2))&lt;1,ROUND(AT92*(1+'Calc base'!H93),2),MAX('Calc base'!C$12,ROUND('Calc base'!C$13*AT92,2))))</f>
        <v>0</v>
      </c>
      <c r="K93">
        <f>IF(AU92&lt;=0,0,IF(ROUND(AU92*(1+'Calc base'!I93),2)-MAX('Calc base'!D$12,ROUND('Calc base'!D$13*AU92,2))&lt;1,ROUND(AU92*(1+'Calc base'!I93),2),MAX('Calc base'!D$12,ROUND('Calc base'!D$13*AU92,2))))</f>
        <v>0</v>
      </c>
      <c r="L93">
        <f>IF(AV92&lt;=0,0,IF(ROUND(AV92*(1+'Calc base'!J93),2)-MAX('Calc base'!E$12,ROUND('Calc base'!E$13*AV92,2))&lt;1,ROUND(AV92*(1+'Calc base'!J93),2),MAX('Calc base'!E$12,ROUND('Calc base'!E$13*AV92,2))))</f>
        <v>0</v>
      </c>
      <c r="M93">
        <f>IF(AW92&lt;=0,0,IF(ROUND(AW92*(1+'Calc base'!K93),2)-MAX('Calc base'!F$12,ROUND('Calc base'!F$13*AW92,2))&lt;1,ROUND(AW92*(1+'Calc base'!K93),2),MAX('Calc base'!F$12,ROUND('Calc base'!F$13*AW92,2))))</f>
        <v>0</v>
      </c>
      <c r="N93">
        <f>IF(AX92&lt;=0,0,IF(ROUND(AX92*(1+'Calc base'!L93),2)-MAX('Calc base'!G$12,ROUND('Calc base'!G$13*AX92,2))&lt;1,ROUND(AX92*(1+'Calc base'!L93),2),MAX('Calc base'!G$12,ROUND('Calc base'!G$13*AX92,2))))</f>
        <v>0</v>
      </c>
      <c r="O93">
        <f>IF(AY92&lt;=0,0,IF(ROUND(AY92*(1+'Calc base'!M93),2)-MAX('Calc base'!H$12,ROUND('Calc base'!H$13*AY92,2))&lt;1,ROUND(AY92*(1+'Calc base'!M93),2),MAX('Calc base'!H$12,ROUND('Calc base'!H$13*AY92,2))))</f>
        <v>0</v>
      </c>
      <c r="P93">
        <f>IF(AZ92&lt;=0,0,IF(ROUND(AZ92*(1+'Calc base'!N93),2)-MAX('Calc base'!I$12,ROUND('Calc base'!I$13*AZ92,2))&lt;1,ROUND(AZ92*(1+'Calc base'!N93),2),MAX('Calc base'!I$12,ROUND('Calc base'!I$13*AZ92,2))))</f>
        <v>0</v>
      </c>
      <c r="Q93">
        <f>IF(BA92&lt;=0,0,IF(ROUND(BA92*(1+'Calc base'!O93),2)-MAX('Calc base'!J$12,ROUND('Calc base'!J$13*BA92,2))&lt;1,ROUND(BA92*(1+'Calc base'!O93),2),MAX('Calc base'!J$12,ROUND('Calc base'!J$13*BA92,2))))</f>
        <v>0</v>
      </c>
      <c r="R93">
        <f>IF(BB92&lt;=0,0,IF(ROUND(BB92*(1+'Calc base'!P93),2)-MAX('Calc base'!K$12,ROUND('Calc base'!K$13*BB92,2))&lt;1,ROUND(BB92*(1+'Calc base'!P93),2),MAX('Calc base'!K$12,ROUND('Calc base'!K$13*BB92,2))))</f>
        <v>0</v>
      </c>
      <c r="S93">
        <f>IF(BC92&lt;=0,0,IF(ROUND(BC92*(1+'Calc base'!Q93),2)-MAX('Calc base'!L$12,ROUND('Calc base'!L$13*BC92,2))&lt;1,ROUND(BC92*(1+'Calc base'!Q93),2),MAX('Calc base'!L$12,ROUND('Calc base'!L$13*BC92,2))))</f>
        <v>0</v>
      </c>
      <c r="T93">
        <f>IF(BD92&lt;=0,0,IF(ROUND(BD92*(1+'Calc base'!R93),2)-MAX('Calc base'!M$12,ROUND('Calc base'!M$13*BD92,2))&lt;1,ROUND(BD92*(1+'Calc base'!R93),2),MAX('Calc base'!M$12,ROUND('Calc base'!M$13*BD92,2))))</f>
        <v>0</v>
      </c>
      <c r="U93">
        <f>IF(BE92&lt;=0,0,IF(ROUND(BE92*(1+'Calc base'!S93),2)-MAX('Calc base'!N$12,ROUND('Calc base'!N$13*BE92,2))&lt;1,ROUND(BE92*(1+'Calc base'!S93),2),MAX('Calc base'!N$12,ROUND('Calc base'!N$13*BE92,2))))</f>
        <v>0</v>
      </c>
      <c r="V93">
        <f>MAX(0,ROUND(AT92*(1+'Calc base'!H93),2)-J93-'Calc base'!T93)</f>
        <v>0</v>
      </c>
      <c r="W93">
        <f>MAX(0,ROUND(AU92*(1+'Calc base'!I93),2)-K93-'Calc base'!U93)</f>
        <v>0</v>
      </c>
      <c r="X93">
        <f>MAX(0,ROUND(AV92*(1+'Calc base'!J93),2)-L93-'Calc base'!V93)</f>
        <v>0</v>
      </c>
      <c r="Y93">
        <f>MAX(0,ROUND(AW92*(1+'Calc base'!K93),2)-M93-'Calc base'!W93)</f>
        <v>0</v>
      </c>
      <c r="Z93">
        <f>MAX(0,ROUND(AX92*(1+'Calc base'!L93),2)-N93-'Calc base'!X93)</f>
        <v>0</v>
      </c>
      <c r="AA93">
        <f>MAX(0,ROUND(AY92*(1+'Calc base'!M93),2)-O93-'Calc base'!Y93)</f>
        <v>0</v>
      </c>
      <c r="AB93">
        <f>MAX(0,ROUND(AZ92*(1+'Calc base'!N93),2)-P93-'Calc base'!Z93)</f>
        <v>0</v>
      </c>
      <c r="AC93">
        <f>MAX(0,ROUND(BA92*(1+'Calc base'!O93),2)-Q93-'Calc base'!AA93)</f>
        <v>0</v>
      </c>
      <c r="AD93">
        <f>MAX(0,ROUND(BB92*(1+'Calc base'!P93),2)-R93-'Calc base'!AB93)</f>
        <v>0</v>
      </c>
      <c r="AE93">
        <f>MAX(0,ROUND(BC92*(1+'Calc base'!Q93),2)-S93-'Calc base'!AC93)</f>
        <v>0</v>
      </c>
      <c r="AF93">
        <f>MAX(0,ROUND(BD92*(1+'Calc base'!R93),2)-T93-'Calc base'!AD93)</f>
        <v>0</v>
      </c>
      <c r="AG93">
        <f>MAX(0,ROUND(BE92*(1+'Calc base'!S93),2)-U93-'Calc base'!AE93)</f>
        <v>0</v>
      </c>
      <c r="AH93">
        <f>IF('Calc base'!C$14=0,0,MIN(V93,MAX(0,$E93-SUMIFS($V93:$AG93,'Calc base'!$C$17:$N$17,"&lt;"&amp;'Calc base'!C$17,'Calc base'!$C$14:$N$14,1))))</f>
        <v>0</v>
      </c>
      <c r="AI93">
        <f>IF('Calc base'!D$14=0,0,MIN(W93,MAX(0,$E93-SUMIFS($V93:$AG93,'Calc base'!$C$17:$N$17,"&lt;"&amp;'Calc base'!D$17,'Calc base'!$C$14:$N$14,1))))</f>
        <v>0</v>
      </c>
      <c r="AJ93">
        <f>IF('Calc base'!E$14=0,0,MIN(X93,MAX(0,$E93-SUMIFS($V93:$AG93,'Calc base'!$C$17:$N$17,"&lt;"&amp;'Calc base'!E$17,'Calc base'!$C$14:$N$14,1))))</f>
        <v>0</v>
      </c>
      <c r="AK93">
        <f>IF('Calc base'!F$14=0,0,MIN(Y93,MAX(0,$E93-SUMIFS($V93:$AG93,'Calc base'!$C$17:$N$17,"&lt;"&amp;'Calc base'!F$17,'Calc base'!$C$14:$N$14,1))))</f>
        <v>0</v>
      </c>
      <c r="AL93">
        <f>IF('Calc base'!G$14=0,0,MIN(Z93,MAX(0,$E93-SUMIFS($V93:$AG93,'Calc base'!$C$17:$N$17,"&lt;"&amp;'Calc base'!G$17,'Calc base'!$C$14:$N$14,1))))</f>
        <v>0</v>
      </c>
      <c r="AM93">
        <f>IF('Calc base'!H$14=0,0,MIN(AA93,MAX(0,$E93-SUMIFS($V93:$AG93,'Calc base'!$C$17:$N$17,"&lt;"&amp;'Calc base'!H$17,'Calc base'!$C$14:$N$14,1))))</f>
        <v>0</v>
      </c>
      <c r="AN93">
        <f>IF('Calc base'!I$14=0,0,MIN(AB93,MAX(0,$E93-SUMIFS($V93:$AG93,'Calc base'!$C$17:$N$17,"&lt;"&amp;'Calc base'!I$17,'Calc base'!$C$14:$N$14,1))))</f>
        <v>0</v>
      </c>
      <c r="AO93">
        <f>IF('Calc base'!J$14=0,0,MIN(AC93,MAX(0,$E93-SUMIFS($V93:$AG93,'Calc base'!$C$17:$N$17,"&lt;"&amp;'Calc base'!J$17,'Calc base'!$C$14:$N$14,1))))</f>
        <v>0</v>
      </c>
      <c r="AP93">
        <f>IF('Calc base'!K$14=0,0,MIN(AD93,MAX(0,$E93-SUMIFS($V93:$AG93,'Calc base'!$C$17:$N$17,"&lt;"&amp;'Calc base'!K$17,'Calc base'!$C$14:$N$14,1))))</f>
        <v>0</v>
      </c>
      <c r="AQ93">
        <f>IF('Calc base'!L$14=0,0,MIN(AE93,MAX(0,$E93-SUMIFS($V93:$AG93,'Calc base'!$C$17:$N$17,"&lt;"&amp;'Calc base'!L$17,'Calc base'!$C$14:$N$14,1))))</f>
        <v>0</v>
      </c>
      <c r="AR93">
        <f>IF('Calc base'!M$14=0,0,MIN(AF93,MAX(0,$E93-SUMIFS($V93:$AG93,'Calc base'!$C$17:$N$17,"&lt;"&amp;'Calc base'!M$17,'Calc base'!$C$14:$N$14,1))))</f>
        <v>0</v>
      </c>
      <c r="AS93">
        <f>IF('Calc base'!N$14=0,0,MIN(AG93,MAX(0,$E93-SUMIFS($V93:$AG93,'Calc base'!$C$17:$N$17,"&lt;"&amp;'Calc base'!N$17,'Calc base'!$C$14:$N$14,1))))</f>
        <v>0</v>
      </c>
      <c r="AT93">
        <f>V93-AH93</f>
        <v>0</v>
      </c>
      <c r="AU93">
        <f>W93-AI93</f>
        <v>0</v>
      </c>
      <c r="AV93">
        <f>X93-AJ93</f>
        <v>0</v>
      </c>
      <c r="AW93">
        <f>Y93-AK93</f>
        <v>0</v>
      </c>
      <c r="AX93">
        <f>Z93-AL93</f>
        <v>0</v>
      </c>
      <c r="AY93">
        <f>AA93-AM93</f>
        <v>0</v>
      </c>
      <c r="AZ93">
        <f>AB93-AN93</f>
        <v>0</v>
      </c>
      <c r="BA93">
        <f>AC93-AO93</f>
        <v>0</v>
      </c>
      <c r="BB93">
        <f>AD93-AP93</f>
        <v>0</v>
      </c>
      <c r="BC93">
        <f>AE93-AQ93</f>
        <v>0</v>
      </c>
      <c r="BD93">
        <f>AF93-AR93</f>
        <v>0</v>
      </c>
      <c r="BE93">
        <f>AG93-AS93</f>
        <v>0</v>
      </c>
    </row>
    <row r="94">
      <c r="A94" t="n">
        <v>64</v>
      </c>
      <c r="B94">
        <f>SUMPRODUCT(ROUND($AT93:$BE93*(1+'Calc base'!$H94:$S94),2))</f>
        <v>0</v>
      </c>
      <c r="C94">
        <f>SUM(J94:U94)</f>
        <v>0</v>
      </c>
      <c r="D94">
        <f>SUM(V94:AG94)</f>
        <v>0</v>
      </c>
      <c r="E94">
        <f>MAX(0,IF(Impostazioni!$B$7="No",'Calc base'!$C94-$C$31,'Calc base'!$C94-C94)+'Calc base'!$G94+'Calc base'!$F94-(B94-C94-D94))</f>
        <v>900</v>
      </c>
      <c r="F94">
        <f>SUM(AH94:AS94)</f>
        <v>0</v>
      </c>
      <c r="G94">
        <f>SUM(AT94:BE94)</f>
        <v>0</v>
      </c>
      <c r="H94">
        <f>B94-G93</f>
        <v>0</v>
      </c>
      <c r="I94">
        <f>B94-G94</f>
        <v>0</v>
      </c>
      <c r="J94">
        <f>IF(AT93&lt;=0,0,IF(ROUND(AT93*(1+'Calc base'!H94),2)-MAX('Calc base'!C$12,ROUND('Calc base'!C$13*AT93,2))&lt;1,ROUND(AT93*(1+'Calc base'!H94),2),MAX('Calc base'!C$12,ROUND('Calc base'!C$13*AT93,2))))</f>
        <v>0</v>
      </c>
      <c r="K94">
        <f>IF(AU93&lt;=0,0,IF(ROUND(AU93*(1+'Calc base'!I94),2)-MAX('Calc base'!D$12,ROUND('Calc base'!D$13*AU93,2))&lt;1,ROUND(AU93*(1+'Calc base'!I94),2),MAX('Calc base'!D$12,ROUND('Calc base'!D$13*AU93,2))))</f>
        <v>0</v>
      </c>
      <c r="L94">
        <f>IF(AV93&lt;=0,0,IF(ROUND(AV93*(1+'Calc base'!J94),2)-MAX('Calc base'!E$12,ROUND('Calc base'!E$13*AV93,2))&lt;1,ROUND(AV93*(1+'Calc base'!J94),2),MAX('Calc base'!E$12,ROUND('Calc base'!E$13*AV93,2))))</f>
        <v>0</v>
      </c>
      <c r="M94">
        <f>IF(AW93&lt;=0,0,IF(ROUND(AW93*(1+'Calc base'!K94),2)-MAX('Calc base'!F$12,ROUND('Calc base'!F$13*AW93,2))&lt;1,ROUND(AW93*(1+'Calc base'!K94),2),MAX('Calc base'!F$12,ROUND('Calc base'!F$13*AW93,2))))</f>
        <v>0</v>
      </c>
      <c r="N94">
        <f>IF(AX93&lt;=0,0,IF(ROUND(AX93*(1+'Calc base'!L94),2)-MAX('Calc base'!G$12,ROUND('Calc base'!G$13*AX93,2))&lt;1,ROUND(AX93*(1+'Calc base'!L94),2),MAX('Calc base'!G$12,ROUND('Calc base'!G$13*AX93,2))))</f>
        <v>0</v>
      </c>
      <c r="O94">
        <f>IF(AY93&lt;=0,0,IF(ROUND(AY93*(1+'Calc base'!M94),2)-MAX('Calc base'!H$12,ROUND('Calc base'!H$13*AY93,2))&lt;1,ROUND(AY93*(1+'Calc base'!M94),2),MAX('Calc base'!H$12,ROUND('Calc base'!H$13*AY93,2))))</f>
        <v>0</v>
      </c>
      <c r="P94">
        <f>IF(AZ93&lt;=0,0,IF(ROUND(AZ93*(1+'Calc base'!N94),2)-MAX('Calc base'!I$12,ROUND('Calc base'!I$13*AZ93,2))&lt;1,ROUND(AZ93*(1+'Calc base'!N94),2),MAX('Calc base'!I$12,ROUND('Calc base'!I$13*AZ93,2))))</f>
        <v>0</v>
      </c>
      <c r="Q94">
        <f>IF(BA93&lt;=0,0,IF(ROUND(BA93*(1+'Calc base'!O94),2)-MAX('Calc base'!J$12,ROUND('Calc base'!J$13*BA93,2))&lt;1,ROUND(BA93*(1+'Calc base'!O94),2),MAX('Calc base'!J$12,ROUND('Calc base'!J$13*BA93,2))))</f>
        <v>0</v>
      </c>
      <c r="R94">
        <f>IF(BB93&lt;=0,0,IF(ROUND(BB93*(1+'Calc base'!P94),2)-MAX('Calc base'!K$12,ROUND('Calc base'!K$13*BB93,2))&lt;1,ROUND(BB93*(1+'Calc base'!P94),2),MAX('Calc base'!K$12,ROUND('Calc base'!K$13*BB93,2))))</f>
        <v>0</v>
      </c>
      <c r="S94">
        <f>IF(BC93&lt;=0,0,IF(ROUND(BC93*(1+'Calc base'!Q94),2)-MAX('Calc base'!L$12,ROUND('Calc base'!L$13*BC93,2))&lt;1,ROUND(BC93*(1+'Calc base'!Q94),2),MAX('Calc base'!L$12,ROUND('Calc base'!L$13*BC93,2))))</f>
        <v>0</v>
      </c>
      <c r="T94">
        <f>IF(BD93&lt;=0,0,IF(ROUND(BD93*(1+'Calc base'!R94),2)-MAX('Calc base'!M$12,ROUND('Calc base'!M$13*BD93,2))&lt;1,ROUND(BD93*(1+'Calc base'!R94),2),MAX('Calc base'!M$12,ROUND('Calc base'!M$13*BD93,2))))</f>
        <v>0</v>
      </c>
      <c r="U94">
        <f>IF(BE93&lt;=0,0,IF(ROUND(BE93*(1+'Calc base'!S94),2)-MAX('Calc base'!N$12,ROUND('Calc base'!N$13*BE93,2))&lt;1,ROUND(BE93*(1+'Calc base'!S94),2),MAX('Calc base'!N$12,ROUND('Calc base'!N$13*BE93,2))))</f>
        <v>0</v>
      </c>
      <c r="V94">
        <f>MAX(0,ROUND(AT93*(1+'Calc base'!H94),2)-J94-'Calc base'!T94)</f>
        <v>0</v>
      </c>
      <c r="W94">
        <f>MAX(0,ROUND(AU93*(1+'Calc base'!I94),2)-K94-'Calc base'!U94)</f>
        <v>0</v>
      </c>
      <c r="X94">
        <f>MAX(0,ROUND(AV93*(1+'Calc base'!J94),2)-L94-'Calc base'!V94)</f>
        <v>0</v>
      </c>
      <c r="Y94">
        <f>MAX(0,ROUND(AW93*(1+'Calc base'!K94),2)-M94-'Calc base'!W94)</f>
        <v>0</v>
      </c>
      <c r="Z94">
        <f>MAX(0,ROUND(AX93*(1+'Calc base'!L94),2)-N94-'Calc base'!X94)</f>
        <v>0</v>
      </c>
      <c r="AA94">
        <f>MAX(0,ROUND(AY93*(1+'Calc base'!M94),2)-O94-'Calc base'!Y94)</f>
        <v>0</v>
      </c>
      <c r="AB94">
        <f>MAX(0,ROUND(AZ93*(1+'Calc base'!N94),2)-P94-'Calc base'!Z94)</f>
        <v>0</v>
      </c>
      <c r="AC94">
        <f>MAX(0,ROUND(BA93*(1+'Calc base'!O94),2)-Q94-'Calc base'!AA94)</f>
        <v>0</v>
      </c>
      <c r="AD94">
        <f>MAX(0,ROUND(BB93*(1+'Calc base'!P94),2)-R94-'Calc base'!AB94)</f>
        <v>0</v>
      </c>
      <c r="AE94">
        <f>MAX(0,ROUND(BC93*(1+'Calc base'!Q94),2)-S94-'Calc base'!AC94)</f>
        <v>0</v>
      </c>
      <c r="AF94">
        <f>MAX(0,ROUND(BD93*(1+'Calc base'!R94),2)-T94-'Calc base'!AD94)</f>
        <v>0</v>
      </c>
      <c r="AG94">
        <f>MAX(0,ROUND(BE93*(1+'Calc base'!S94),2)-U94-'Calc base'!AE94)</f>
        <v>0</v>
      </c>
      <c r="AH94">
        <f>IF('Calc base'!C$14=0,0,MIN(V94,MAX(0,$E94-SUMIFS($V94:$AG94,'Calc base'!$C$17:$N$17,"&lt;"&amp;'Calc base'!C$17,'Calc base'!$C$14:$N$14,1))))</f>
        <v>0</v>
      </c>
      <c r="AI94">
        <f>IF('Calc base'!D$14=0,0,MIN(W94,MAX(0,$E94-SUMIFS($V94:$AG94,'Calc base'!$C$17:$N$17,"&lt;"&amp;'Calc base'!D$17,'Calc base'!$C$14:$N$14,1))))</f>
        <v>0</v>
      </c>
      <c r="AJ94">
        <f>IF('Calc base'!E$14=0,0,MIN(X94,MAX(0,$E94-SUMIFS($V94:$AG94,'Calc base'!$C$17:$N$17,"&lt;"&amp;'Calc base'!E$17,'Calc base'!$C$14:$N$14,1))))</f>
        <v>0</v>
      </c>
      <c r="AK94">
        <f>IF('Calc base'!F$14=0,0,MIN(Y94,MAX(0,$E94-SUMIFS($V94:$AG94,'Calc base'!$C$17:$N$17,"&lt;"&amp;'Calc base'!F$17,'Calc base'!$C$14:$N$14,1))))</f>
        <v>0</v>
      </c>
      <c r="AL94">
        <f>IF('Calc base'!G$14=0,0,MIN(Z94,MAX(0,$E94-SUMIFS($V94:$AG94,'Calc base'!$C$17:$N$17,"&lt;"&amp;'Calc base'!G$17,'Calc base'!$C$14:$N$14,1))))</f>
        <v>0</v>
      </c>
      <c r="AM94">
        <f>IF('Calc base'!H$14=0,0,MIN(AA94,MAX(0,$E94-SUMIFS($V94:$AG94,'Calc base'!$C$17:$N$17,"&lt;"&amp;'Calc base'!H$17,'Calc base'!$C$14:$N$14,1))))</f>
        <v>0</v>
      </c>
      <c r="AN94">
        <f>IF('Calc base'!I$14=0,0,MIN(AB94,MAX(0,$E94-SUMIFS($V94:$AG94,'Calc base'!$C$17:$N$17,"&lt;"&amp;'Calc base'!I$17,'Calc base'!$C$14:$N$14,1))))</f>
        <v>0</v>
      </c>
      <c r="AO94">
        <f>IF('Calc base'!J$14=0,0,MIN(AC94,MAX(0,$E94-SUMIFS($V94:$AG94,'Calc base'!$C$17:$N$17,"&lt;"&amp;'Calc base'!J$17,'Calc base'!$C$14:$N$14,1))))</f>
        <v>0</v>
      </c>
      <c r="AP94">
        <f>IF('Calc base'!K$14=0,0,MIN(AD94,MAX(0,$E94-SUMIFS($V94:$AG94,'Calc base'!$C$17:$N$17,"&lt;"&amp;'Calc base'!K$17,'Calc base'!$C$14:$N$14,1))))</f>
        <v>0</v>
      </c>
      <c r="AQ94">
        <f>IF('Calc base'!L$14=0,0,MIN(AE94,MAX(0,$E94-SUMIFS($V94:$AG94,'Calc base'!$C$17:$N$17,"&lt;"&amp;'Calc base'!L$17,'Calc base'!$C$14:$N$14,1))))</f>
        <v>0</v>
      </c>
      <c r="AR94">
        <f>IF('Calc base'!M$14=0,0,MIN(AF94,MAX(0,$E94-SUMIFS($V94:$AG94,'Calc base'!$C$17:$N$17,"&lt;"&amp;'Calc base'!M$17,'Calc base'!$C$14:$N$14,1))))</f>
        <v>0</v>
      </c>
      <c r="AS94">
        <f>IF('Calc base'!N$14=0,0,MIN(AG94,MAX(0,$E94-SUMIFS($V94:$AG94,'Calc base'!$C$17:$N$17,"&lt;"&amp;'Calc base'!N$17,'Calc base'!$C$14:$N$14,1))))</f>
        <v>0</v>
      </c>
      <c r="AT94">
        <f>V94-AH94</f>
        <v>0</v>
      </c>
      <c r="AU94">
        <f>W94-AI94</f>
        <v>0</v>
      </c>
      <c r="AV94">
        <f>X94-AJ94</f>
        <v>0</v>
      </c>
      <c r="AW94">
        <f>Y94-AK94</f>
        <v>0</v>
      </c>
      <c r="AX94">
        <f>Z94-AL94</f>
        <v>0</v>
      </c>
      <c r="AY94">
        <f>AA94-AM94</f>
        <v>0</v>
      </c>
      <c r="AZ94">
        <f>AB94-AN94</f>
        <v>0</v>
      </c>
      <c r="BA94">
        <f>AC94-AO94</f>
        <v>0</v>
      </c>
      <c r="BB94">
        <f>AD94-AP94</f>
        <v>0</v>
      </c>
      <c r="BC94">
        <f>AE94-AQ94</f>
        <v>0</v>
      </c>
      <c r="BD94">
        <f>AF94-AR94</f>
        <v>0</v>
      </c>
      <c r="BE94">
        <f>AG94-AS94</f>
        <v>0</v>
      </c>
    </row>
    <row r="95">
      <c r="A95" t="n">
        <v>65</v>
      </c>
      <c r="B95">
        <f>SUMPRODUCT(ROUND($AT94:$BE94*(1+'Calc base'!$H95:$S95),2))</f>
        <v>0</v>
      </c>
      <c r="C95">
        <f>SUM(J95:U95)</f>
        <v>0</v>
      </c>
      <c r="D95">
        <f>SUM(V95:AG95)</f>
        <v>0</v>
      </c>
      <c r="E95">
        <f>MAX(0,IF(Impostazioni!$B$7="No",'Calc base'!$C95-$C$31,'Calc base'!$C95-C95)+'Calc base'!$G95+'Calc base'!$F95-(B95-C95-D95))</f>
        <v>900</v>
      </c>
      <c r="F95">
        <f>SUM(AH95:AS95)</f>
        <v>0</v>
      </c>
      <c r="G95">
        <f>SUM(AT95:BE95)</f>
        <v>0</v>
      </c>
      <c r="H95">
        <f>B95-G94</f>
        <v>0</v>
      </c>
      <c r="I95">
        <f>B95-G95</f>
        <v>0</v>
      </c>
      <c r="J95">
        <f>IF(AT94&lt;=0,0,IF(ROUND(AT94*(1+'Calc base'!H95),2)-MAX('Calc base'!C$12,ROUND('Calc base'!C$13*AT94,2))&lt;1,ROUND(AT94*(1+'Calc base'!H95),2),MAX('Calc base'!C$12,ROUND('Calc base'!C$13*AT94,2))))</f>
        <v>0</v>
      </c>
      <c r="K95">
        <f>IF(AU94&lt;=0,0,IF(ROUND(AU94*(1+'Calc base'!I95),2)-MAX('Calc base'!D$12,ROUND('Calc base'!D$13*AU94,2))&lt;1,ROUND(AU94*(1+'Calc base'!I95),2),MAX('Calc base'!D$12,ROUND('Calc base'!D$13*AU94,2))))</f>
        <v>0</v>
      </c>
      <c r="L95">
        <f>IF(AV94&lt;=0,0,IF(ROUND(AV94*(1+'Calc base'!J95),2)-MAX('Calc base'!E$12,ROUND('Calc base'!E$13*AV94,2))&lt;1,ROUND(AV94*(1+'Calc base'!J95),2),MAX('Calc base'!E$12,ROUND('Calc base'!E$13*AV94,2))))</f>
        <v>0</v>
      </c>
      <c r="M95">
        <f>IF(AW94&lt;=0,0,IF(ROUND(AW94*(1+'Calc base'!K95),2)-MAX('Calc base'!F$12,ROUND('Calc base'!F$13*AW94,2))&lt;1,ROUND(AW94*(1+'Calc base'!K95),2),MAX('Calc base'!F$12,ROUND('Calc base'!F$13*AW94,2))))</f>
        <v>0</v>
      </c>
      <c r="N95">
        <f>IF(AX94&lt;=0,0,IF(ROUND(AX94*(1+'Calc base'!L95),2)-MAX('Calc base'!G$12,ROUND('Calc base'!G$13*AX94,2))&lt;1,ROUND(AX94*(1+'Calc base'!L95),2),MAX('Calc base'!G$12,ROUND('Calc base'!G$13*AX94,2))))</f>
        <v>0</v>
      </c>
      <c r="O95">
        <f>IF(AY94&lt;=0,0,IF(ROUND(AY94*(1+'Calc base'!M95),2)-MAX('Calc base'!H$12,ROUND('Calc base'!H$13*AY94,2))&lt;1,ROUND(AY94*(1+'Calc base'!M95),2),MAX('Calc base'!H$12,ROUND('Calc base'!H$13*AY94,2))))</f>
        <v>0</v>
      </c>
      <c r="P95">
        <f>IF(AZ94&lt;=0,0,IF(ROUND(AZ94*(1+'Calc base'!N95),2)-MAX('Calc base'!I$12,ROUND('Calc base'!I$13*AZ94,2))&lt;1,ROUND(AZ94*(1+'Calc base'!N95),2),MAX('Calc base'!I$12,ROUND('Calc base'!I$13*AZ94,2))))</f>
        <v>0</v>
      </c>
      <c r="Q95">
        <f>IF(BA94&lt;=0,0,IF(ROUND(BA94*(1+'Calc base'!O95),2)-MAX('Calc base'!J$12,ROUND('Calc base'!J$13*BA94,2))&lt;1,ROUND(BA94*(1+'Calc base'!O95),2),MAX('Calc base'!J$12,ROUND('Calc base'!J$13*BA94,2))))</f>
        <v>0</v>
      </c>
      <c r="R95">
        <f>IF(BB94&lt;=0,0,IF(ROUND(BB94*(1+'Calc base'!P95),2)-MAX('Calc base'!K$12,ROUND('Calc base'!K$13*BB94,2))&lt;1,ROUND(BB94*(1+'Calc base'!P95),2),MAX('Calc base'!K$12,ROUND('Calc base'!K$13*BB94,2))))</f>
        <v>0</v>
      </c>
      <c r="S95">
        <f>IF(BC94&lt;=0,0,IF(ROUND(BC94*(1+'Calc base'!Q95),2)-MAX('Calc base'!L$12,ROUND('Calc base'!L$13*BC94,2))&lt;1,ROUND(BC94*(1+'Calc base'!Q95),2),MAX('Calc base'!L$12,ROUND('Calc base'!L$13*BC94,2))))</f>
        <v>0</v>
      </c>
      <c r="T95">
        <f>IF(BD94&lt;=0,0,IF(ROUND(BD94*(1+'Calc base'!R95),2)-MAX('Calc base'!M$12,ROUND('Calc base'!M$13*BD94,2))&lt;1,ROUND(BD94*(1+'Calc base'!R95),2),MAX('Calc base'!M$12,ROUND('Calc base'!M$13*BD94,2))))</f>
        <v>0</v>
      </c>
      <c r="U95">
        <f>IF(BE94&lt;=0,0,IF(ROUND(BE94*(1+'Calc base'!S95),2)-MAX('Calc base'!N$12,ROUND('Calc base'!N$13*BE94,2))&lt;1,ROUND(BE94*(1+'Calc base'!S95),2),MAX('Calc base'!N$12,ROUND('Calc base'!N$13*BE94,2))))</f>
        <v>0</v>
      </c>
      <c r="V95">
        <f>MAX(0,ROUND(AT94*(1+'Calc base'!H95),2)-J95-'Calc base'!T95)</f>
        <v>0</v>
      </c>
      <c r="W95">
        <f>MAX(0,ROUND(AU94*(1+'Calc base'!I95),2)-K95-'Calc base'!U95)</f>
        <v>0</v>
      </c>
      <c r="X95">
        <f>MAX(0,ROUND(AV94*(1+'Calc base'!J95),2)-L95-'Calc base'!V95)</f>
        <v>0</v>
      </c>
      <c r="Y95">
        <f>MAX(0,ROUND(AW94*(1+'Calc base'!K95),2)-M95-'Calc base'!W95)</f>
        <v>0</v>
      </c>
      <c r="Z95">
        <f>MAX(0,ROUND(AX94*(1+'Calc base'!L95),2)-N95-'Calc base'!X95)</f>
        <v>0</v>
      </c>
      <c r="AA95">
        <f>MAX(0,ROUND(AY94*(1+'Calc base'!M95),2)-O95-'Calc base'!Y95)</f>
        <v>0</v>
      </c>
      <c r="AB95">
        <f>MAX(0,ROUND(AZ94*(1+'Calc base'!N95),2)-P95-'Calc base'!Z95)</f>
        <v>0</v>
      </c>
      <c r="AC95">
        <f>MAX(0,ROUND(BA94*(1+'Calc base'!O95),2)-Q95-'Calc base'!AA95)</f>
        <v>0</v>
      </c>
      <c r="AD95">
        <f>MAX(0,ROUND(BB94*(1+'Calc base'!P95),2)-R95-'Calc base'!AB95)</f>
        <v>0</v>
      </c>
      <c r="AE95">
        <f>MAX(0,ROUND(BC94*(1+'Calc base'!Q95),2)-S95-'Calc base'!AC95)</f>
        <v>0</v>
      </c>
      <c r="AF95">
        <f>MAX(0,ROUND(BD94*(1+'Calc base'!R95),2)-T95-'Calc base'!AD95)</f>
        <v>0</v>
      </c>
      <c r="AG95">
        <f>MAX(0,ROUND(BE94*(1+'Calc base'!S95),2)-U95-'Calc base'!AE95)</f>
        <v>0</v>
      </c>
      <c r="AH95">
        <f>IF('Calc base'!C$14=0,0,MIN(V95,MAX(0,$E95-SUMIFS($V95:$AG95,'Calc base'!$C$17:$N$17,"&lt;"&amp;'Calc base'!C$17,'Calc base'!$C$14:$N$14,1))))</f>
        <v>0</v>
      </c>
      <c r="AI95">
        <f>IF('Calc base'!D$14=0,0,MIN(W95,MAX(0,$E95-SUMIFS($V95:$AG95,'Calc base'!$C$17:$N$17,"&lt;"&amp;'Calc base'!D$17,'Calc base'!$C$14:$N$14,1))))</f>
        <v>0</v>
      </c>
      <c r="AJ95">
        <f>IF('Calc base'!E$14=0,0,MIN(X95,MAX(0,$E95-SUMIFS($V95:$AG95,'Calc base'!$C$17:$N$17,"&lt;"&amp;'Calc base'!E$17,'Calc base'!$C$14:$N$14,1))))</f>
        <v>0</v>
      </c>
      <c r="AK95">
        <f>IF('Calc base'!F$14=0,0,MIN(Y95,MAX(0,$E95-SUMIFS($V95:$AG95,'Calc base'!$C$17:$N$17,"&lt;"&amp;'Calc base'!F$17,'Calc base'!$C$14:$N$14,1))))</f>
        <v>0</v>
      </c>
      <c r="AL95">
        <f>IF('Calc base'!G$14=0,0,MIN(Z95,MAX(0,$E95-SUMIFS($V95:$AG95,'Calc base'!$C$17:$N$17,"&lt;"&amp;'Calc base'!G$17,'Calc base'!$C$14:$N$14,1))))</f>
        <v>0</v>
      </c>
      <c r="AM95">
        <f>IF('Calc base'!H$14=0,0,MIN(AA95,MAX(0,$E95-SUMIFS($V95:$AG95,'Calc base'!$C$17:$N$17,"&lt;"&amp;'Calc base'!H$17,'Calc base'!$C$14:$N$14,1))))</f>
        <v>0</v>
      </c>
      <c r="AN95">
        <f>IF('Calc base'!I$14=0,0,MIN(AB95,MAX(0,$E95-SUMIFS($V95:$AG95,'Calc base'!$C$17:$N$17,"&lt;"&amp;'Calc base'!I$17,'Calc base'!$C$14:$N$14,1))))</f>
        <v>0</v>
      </c>
      <c r="AO95">
        <f>IF('Calc base'!J$14=0,0,MIN(AC95,MAX(0,$E95-SUMIFS($V95:$AG95,'Calc base'!$C$17:$N$17,"&lt;"&amp;'Calc base'!J$17,'Calc base'!$C$14:$N$14,1))))</f>
        <v>0</v>
      </c>
      <c r="AP95">
        <f>IF('Calc base'!K$14=0,0,MIN(AD95,MAX(0,$E95-SUMIFS($V95:$AG95,'Calc base'!$C$17:$N$17,"&lt;"&amp;'Calc base'!K$17,'Calc base'!$C$14:$N$14,1))))</f>
        <v>0</v>
      </c>
      <c r="AQ95">
        <f>IF('Calc base'!L$14=0,0,MIN(AE95,MAX(0,$E95-SUMIFS($V95:$AG95,'Calc base'!$C$17:$N$17,"&lt;"&amp;'Calc base'!L$17,'Calc base'!$C$14:$N$14,1))))</f>
        <v>0</v>
      </c>
      <c r="AR95">
        <f>IF('Calc base'!M$14=0,0,MIN(AF95,MAX(0,$E95-SUMIFS($V95:$AG95,'Calc base'!$C$17:$N$17,"&lt;"&amp;'Calc base'!M$17,'Calc base'!$C$14:$N$14,1))))</f>
        <v>0</v>
      </c>
      <c r="AS95">
        <f>IF('Calc base'!N$14=0,0,MIN(AG95,MAX(0,$E95-SUMIFS($V95:$AG95,'Calc base'!$C$17:$N$17,"&lt;"&amp;'Calc base'!N$17,'Calc base'!$C$14:$N$14,1))))</f>
        <v>0</v>
      </c>
      <c r="AT95">
        <f>V95-AH95</f>
        <v>0</v>
      </c>
      <c r="AU95">
        <f>W95-AI95</f>
        <v>0</v>
      </c>
      <c r="AV95">
        <f>X95-AJ95</f>
        <v>0</v>
      </c>
      <c r="AW95">
        <f>Y95-AK95</f>
        <v>0</v>
      </c>
      <c r="AX95">
        <f>Z95-AL95</f>
        <v>0</v>
      </c>
      <c r="AY95">
        <f>AA95-AM95</f>
        <v>0</v>
      </c>
      <c r="AZ95">
        <f>AB95-AN95</f>
        <v>0</v>
      </c>
      <c r="BA95">
        <f>AC95-AO95</f>
        <v>0</v>
      </c>
      <c r="BB95">
        <f>AD95-AP95</f>
        <v>0</v>
      </c>
      <c r="BC95">
        <f>AE95-AQ95</f>
        <v>0</v>
      </c>
      <c r="BD95">
        <f>AF95-AR95</f>
        <v>0</v>
      </c>
      <c r="BE95">
        <f>AG95-AS95</f>
        <v>0</v>
      </c>
    </row>
    <row r="96">
      <c r="A96" t="n">
        <v>66</v>
      </c>
      <c r="B96">
        <f>SUMPRODUCT(ROUND($AT95:$BE95*(1+'Calc base'!$H96:$S96),2))</f>
        <v>0</v>
      </c>
      <c r="C96">
        <f>SUM(J96:U96)</f>
        <v>0</v>
      </c>
      <c r="D96">
        <f>SUM(V96:AG96)</f>
        <v>0</v>
      </c>
      <c r="E96">
        <f>MAX(0,IF(Impostazioni!$B$7="No",'Calc base'!$C96-$C$31,'Calc base'!$C96-C96)+'Calc base'!$G96+'Calc base'!$F96-(B96-C96-D96))</f>
        <v>900</v>
      </c>
      <c r="F96">
        <f>SUM(AH96:AS96)</f>
        <v>0</v>
      </c>
      <c r="G96">
        <f>SUM(AT96:BE96)</f>
        <v>0</v>
      </c>
      <c r="H96">
        <f>B96-G95</f>
        <v>0</v>
      </c>
      <c r="I96">
        <f>B96-G96</f>
        <v>0</v>
      </c>
      <c r="J96">
        <f>IF(AT95&lt;=0,0,IF(ROUND(AT95*(1+'Calc base'!H96),2)-MAX('Calc base'!C$12,ROUND('Calc base'!C$13*AT95,2))&lt;1,ROUND(AT95*(1+'Calc base'!H96),2),MAX('Calc base'!C$12,ROUND('Calc base'!C$13*AT95,2))))</f>
        <v>0</v>
      </c>
      <c r="K96">
        <f>IF(AU95&lt;=0,0,IF(ROUND(AU95*(1+'Calc base'!I96),2)-MAX('Calc base'!D$12,ROUND('Calc base'!D$13*AU95,2))&lt;1,ROUND(AU95*(1+'Calc base'!I96),2),MAX('Calc base'!D$12,ROUND('Calc base'!D$13*AU95,2))))</f>
        <v>0</v>
      </c>
      <c r="L96">
        <f>IF(AV95&lt;=0,0,IF(ROUND(AV95*(1+'Calc base'!J96),2)-MAX('Calc base'!E$12,ROUND('Calc base'!E$13*AV95,2))&lt;1,ROUND(AV95*(1+'Calc base'!J96),2),MAX('Calc base'!E$12,ROUND('Calc base'!E$13*AV95,2))))</f>
        <v>0</v>
      </c>
      <c r="M96">
        <f>IF(AW95&lt;=0,0,IF(ROUND(AW95*(1+'Calc base'!K96),2)-MAX('Calc base'!F$12,ROUND('Calc base'!F$13*AW95,2))&lt;1,ROUND(AW95*(1+'Calc base'!K96),2),MAX('Calc base'!F$12,ROUND('Calc base'!F$13*AW95,2))))</f>
        <v>0</v>
      </c>
      <c r="N96">
        <f>IF(AX95&lt;=0,0,IF(ROUND(AX95*(1+'Calc base'!L96),2)-MAX('Calc base'!G$12,ROUND('Calc base'!G$13*AX95,2))&lt;1,ROUND(AX95*(1+'Calc base'!L96),2),MAX('Calc base'!G$12,ROUND('Calc base'!G$13*AX95,2))))</f>
        <v>0</v>
      </c>
      <c r="O96">
        <f>IF(AY95&lt;=0,0,IF(ROUND(AY95*(1+'Calc base'!M96),2)-MAX('Calc base'!H$12,ROUND('Calc base'!H$13*AY95,2))&lt;1,ROUND(AY95*(1+'Calc base'!M96),2),MAX('Calc base'!H$12,ROUND('Calc base'!H$13*AY95,2))))</f>
        <v>0</v>
      </c>
      <c r="P96">
        <f>IF(AZ95&lt;=0,0,IF(ROUND(AZ95*(1+'Calc base'!N96),2)-MAX('Calc base'!I$12,ROUND('Calc base'!I$13*AZ95,2))&lt;1,ROUND(AZ95*(1+'Calc base'!N96),2),MAX('Calc base'!I$12,ROUND('Calc base'!I$13*AZ95,2))))</f>
        <v>0</v>
      </c>
      <c r="Q96">
        <f>IF(BA95&lt;=0,0,IF(ROUND(BA95*(1+'Calc base'!O96),2)-MAX('Calc base'!J$12,ROUND('Calc base'!J$13*BA95,2))&lt;1,ROUND(BA95*(1+'Calc base'!O96),2),MAX('Calc base'!J$12,ROUND('Calc base'!J$13*BA95,2))))</f>
        <v>0</v>
      </c>
      <c r="R96">
        <f>IF(BB95&lt;=0,0,IF(ROUND(BB95*(1+'Calc base'!P96),2)-MAX('Calc base'!K$12,ROUND('Calc base'!K$13*BB95,2))&lt;1,ROUND(BB95*(1+'Calc base'!P96),2),MAX('Calc base'!K$12,ROUND('Calc base'!K$13*BB95,2))))</f>
        <v>0</v>
      </c>
      <c r="S96">
        <f>IF(BC95&lt;=0,0,IF(ROUND(BC95*(1+'Calc base'!Q96),2)-MAX('Calc base'!L$12,ROUND('Calc base'!L$13*BC95,2))&lt;1,ROUND(BC95*(1+'Calc base'!Q96),2),MAX('Calc base'!L$12,ROUND('Calc base'!L$13*BC95,2))))</f>
        <v>0</v>
      </c>
      <c r="T96">
        <f>IF(BD95&lt;=0,0,IF(ROUND(BD95*(1+'Calc base'!R96),2)-MAX('Calc base'!M$12,ROUND('Calc base'!M$13*BD95,2))&lt;1,ROUND(BD95*(1+'Calc base'!R96),2),MAX('Calc base'!M$12,ROUND('Calc base'!M$13*BD95,2))))</f>
        <v>0</v>
      </c>
      <c r="U96">
        <f>IF(BE95&lt;=0,0,IF(ROUND(BE95*(1+'Calc base'!S96),2)-MAX('Calc base'!N$12,ROUND('Calc base'!N$13*BE95,2))&lt;1,ROUND(BE95*(1+'Calc base'!S96),2),MAX('Calc base'!N$12,ROUND('Calc base'!N$13*BE95,2))))</f>
        <v>0</v>
      </c>
      <c r="V96">
        <f>MAX(0,ROUND(AT95*(1+'Calc base'!H96),2)-J96-'Calc base'!T96)</f>
        <v>0</v>
      </c>
      <c r="W96">
        <f>MAX(0,ROUND(AU95*(1+'Calc base'!I96),2)-K96-'Calc base'!U96)</f>
        <v>0</v>
      </c>
      <c r="X96">
        <f>MAX(0,ROUND(AV95*(1+'Calc base'!J96),2)-L96-'Calc base'!V96)</f>
        <v>0</v>
      </c>
      <c r="Y96">
        <f>MAX(0,ROUND(AW95*(1+'Calc base'!K96),2)-M96-'Calc base'!W96)</f>
        <v>0</v>
      </c>
      <c r="Z96">
        <f>MAX(0,ROUND(AX95*(1+'Calc base'!L96),2)-N96-'Calc base'!X96)</f>
        <v>0</v>
      </c>
      <c r="AA96">
        <f>MAX(0,ROUND(AY95*(1+'Calc base'!M96),2)-O96-'Calc base'!Y96)</f>
        <v>0</v>
      </c>
      <c r="AB96">
        <f>MAX(0,ROUND(AZ95*(1+'Calc base'!N96),2)-P96-'Calc base'!Z96)</f>
        <v>0</v>
      </c>
      <c r="AC96">
        <f>MAX(0,ROUND(BA95*(1+'Calc base'!O96),2)-Q96-'Calc base'!AA96)</f>
        <v>0</v>
      </c>
      <c r="AD96">
        <f>MAX(0,ROUND(BB95*(1+'Calc base'!P96),2)-R96-'Calc base'!AB96)</f>
        <v>0</v>
      </c>
      <c r="AE96">
        <f>MAX(0,ROUND(BC95*(1+'Calc base'!Q96),2)-S96-'Calc base'!AC96)</f>
        <v>0</v>
      </c>
      <c r="AF96">
        <f>MAX(0,ROUND(BD95*(1+'Calc base'!R96),2)-T96-'Calc base'!AD96)</f>
        <v>0</v>
      </c>
      <c r="AG96">
        <f>MAX(0,ROUND(BE95*(1+'Calc base'!S96),2)-U96-'Calc base'!AE96)</f>
        <v>0</v>
      </c>
      <c r="AH96">
        <f>IF('Calc base'!C$14=0,0,MIN(V96,MAX(0,$E96-SUMIFS($V96:$AG96,'Calc base'!$C$17:$N$17,"&lt;"&amp;'Calc base'!C$17,'Calc base'!$C$14:$N$14,1))))</f>
        <v>0</v>
      </c>
      <c r="AI96">
        <f>IF('Calc base'!D$14=0,0,MIN(W96,MAX(0,$E96-SUMIFS($V96:$AG96,'Calc base'!$C$17:$N$17,"&lt;"&amp;'Calc base'!D$17,'Calc base'!$C$14:$N$14,1))))</f>
        <v>0</v>
      </c>
      <c r="AJ96">
        <f>IF('Calc base'!E$14=0,0,MIN(X96,MAX(0,$E96-SUMIFS($V96:$AG96,'Calc base'!$C$17:$N$17,"&lt;"&amp;'Calc base'!E$17,'Calc base'!$C$14:$N$14,1))))</f>
        <v>0</v>
      </c>
      <c r="AK96">
        <f>IF('Calc base'!F$14=0,0,MIN(Y96,MAX(0,$E96-SUMIFS($V96:$AG96,'Calc base'!$C$17:$N$17,"&lt;"&amp;'Calc base'!F$17,'Calc base'!$C$14:$N$14,1))))</f>
        <v>0</v>
      </c>
      <c r="AL96">
        <f>IF('Calc base'!G$14=0,0,MIN(Z96,MAX(0,$E96-SUMIFS($V96:$AG96,'Calc base'!$C$17:$N$17,"&lt;"&amp;'Calc base'!G$17,'Calc base'!$C$14:$N$14,1))))</f>
        <v>0</v>
      </c>
      <c r="AM96">
        <f>IF('Calc base'!H$14=0,0,MIN(AA96,MAX(0,$E96-SUMIFS($V96:$AG96,'Calc base'!$C$17:$N$17,"&lt;"&amp;'Calc base'!H$17,'Calc base'!$C$14:$N$14,1))))</f>
        <v>0</v>
      </c>
      <c r="AN96">
        <f>IF('Calc base'!I$14=0,0,MIN(AB96,MAX(0,$E96-SUMIFS($V96:$AG96,'Calc base'!$C$17:$N$17,"&lt;"&amp;'Calc base'!I$17,'Calc base'!$C$14:$N$14,1))))</f>
        <v>0</v>
      </c>
      <c r="AO96">
        <f>IF('Calc base'!J$14=0,0,MIN(AC96,MAX(0,$E96-SUMIFS($V96:$AG96,'Calc base'!$C$17:$N$17,"&lt;"&amp;'Calc base'!J$17,'Calc base'!$C$14:$N$14,1))))</f>
        <v>0</v>
      </c>
      <c r="AP96">
        <f>IF('Calc base'!K$14=0,0,MIN(AD96,MAX(0,$E96-SUMIFS($V96:$AG96,'Calc base'!$C$17:$N$17,"&lt;"&amp;'Calc base'!K$17,'Calc base'!$C$14:$N$14,1))))</f>
        <v>0</v>
      </c>
      <c r="AQ96">
        <f>IF('Calc base'!L$14=0,0,MIN(AE96,MAX(0,$E96-SUMIFS($V96:$AG96,'Calc base'!$C$17:$N$17,"&lt;"&amp;'Calc base'!L$17,'Calc base'!$C$14:$N$14,1))))</f>
        <v>0</v>
      </c>
      <c r="AR96">
        <f>IF('Calc base'!M$14=0,0,MIN(AF96,MAX(0,$E96-SUMIFS($V96:$AG96,'Calc base'!$C$17:$N$17,"&lt;"&amp;'Calc base'!M$17,'Calc base'!$C$14:$N$14,1))))</f>
        <v>0</v>
      </c>
      <c r="AS96">
        <f>IF('Calc base'!N$14=0,0,MIN(AG96,MAX(0,$E96-SUMIFS($V96:$AG96,'Calc base'!$C$17:$N$17,"&lt;"&amp;'Calc base'!N$17,'Calc base'!$C$14:$N$14,1))))</f>
        <v>0</v>
      </c>
      <c r="AT96">
        <f>V96-AH96</f>
        <v>0</v>
      </c>
      <c r="AU96">
        <f>W96-AI96</f>
        <v>0</v>
      </c>
      <c r="AV96">
        <f>X96-AJ96</f>
        <v>0</v>
      </c>
      <c r="AW96">
        <f>Y96-AK96</f>
        <v>0</v>
      </c>
      <c r="AX96">
        <f>Z96-AL96</f>
        <v>0</v>
      </c>
      <c r="AY96">
        <f>AA96-AM96</f>
        <v>0</v>
      </c>
      <c r="AZ96">
        <f>AB96-AN96</f>
        <v>0</v>
      </c>
      <c r="BA96">
        <f>AC96-AO96</f>
        <v>0</v>
      </c>
      <c r="BB96">
        <f>AD96-AP96</f>
        <v>0</v>
      </c>
      <c r="BC96">
        <f>AE96-AQ96</f>
        <v>0</v>
      </c>
      <c r="BD96">
        <f>AF96-AR96</f>
        <v>0</v>
      </c>
      <c r="BE96">
        <f>AG96-AS96</f>
        <v>0</v>
      </c>
    </row>
    <row r="97">
      <c r="A97" t="n">
        <v>67</v>
      </c>
      <c r="B97">
        <f>SUMPRODUCT(ROUND($AT96:$BE96*(1+'Calc base'!$H97:$S97),2))</f>
        <v>0</v>
      </c>
      <c r="C97">
        <f>SUM(J97:U97)</f>
        <v>0</v>
      </c>
      <c r="D97">
        <f>SUM(V97:AG97)</f>
        <v>0</v>
      </c>
      <c r="E97">
        <f>MAX(0,IF(Impostazioni!$B$7="No",'Calc base'!$C97-$C$31,'Calc base'!$C97-C97)+'Calc base'!$G97+'Calc base'!$F97-(B97-C97-D97))</f>
        <v>900</v>
      </c>
      <c r="F97">
        <f>SUM(AH97:AS97)</f>
        <v>0</v>
      </c>
      <c r="G97">
        <f>SUM(AT97:BE97)</f>
        <v>0</v>
      </c>
      <c r="H97">
        <f>B97-G96</f>
        <v>0</v>
      </c>
      <c r="I97">
        <f>B97-G97</f>
        <v>0</v>
      </c>
      <c r="J97">
        <f>IF(AT96&lt;=0,0,IF(ROUND(AT96*(1+'Calc base'!H97),2)-MAX('Calc base'!C$12,ROUND('Calc base'!C$13*AT96,2))&lt;1,ROUND(AT96*(1+'Calc base'!H97),2),MAX('Calc base'!C$12,ROUND('Calc base'!C$13*AT96,2))))</f>
        <v>0</v>
      </c>
      <c r="K97">
        <f>IF(AU96&lt;=0,0,IF(ROUND(AU96*(1+'Calc base'!I97),2)-MAX('Calc base'!D$12,ROUND('Calc base'!D$13*AU96,2))&lt;1,ROUND(AU96*(1+'Calc base'!I97),2),MAX('Calc base'!D$12,ROUND('Calc base'!D$13*AU96,2))))</f>
        <v>0</v>
      </c>
      <c r="L97">
        <f>IF(AV96&lt;=0,0,IF(ROUND(AV96*(1+'Calc base'!J97),2)-MAX('Calc base'!E$12,ROUND('Calc base'!E$13*AV96,2))&lt;1,ROUND(AV96*(1+'Calc base'!J97),2),MAX('Calc base'!E$12,ROUND('Calc base'!E$13*AV96,2))))</f>
        <v>0</v>
      </c>
      <c r="M97">
        <f>IF(AW96&lt;=0,0,IF(ROUND(AW96*(1+'Calc base'!K97),2)-MAX('Calc base'!F$12,ROUND('Calc base'!F$13*AW96,2))&lt;1,ROUND(AW96*(1+'Calc base'!K97),2),MAX('Calc base'!F$12,ROUND('Calc base'!F$13*AW96,2))))</f>
        <v>0</v>
      </c>
      <c r="N97">
        <f>IF(AX96&lt;=0,0,IF(ROUND(AX96*(1+'Calc base'!L97),2)-MAX('Calc base'!G$12,ROUND('Calc base'!G$13*AX96,2))&lt;1,ROUND(AX96*(1+'Calc base'!L97),2),MAX('Calc base'!G$12,ROUND('Calc base'!G$13*AX96,2))))</f>
        <v>0</v>
      </c>
      <c r="O97">
        <f>IF(AY96&lt;=0,0,IF(ROUND(AY96*(1+'Calc base'!M97),2)-MAX('Calc base'!H$12,ROUND('Calc base'!H$13*AY96,2))&lt;1,ROUND(AY96*(1+'Calc base'!M97),2),MAX('Calc base'!H$12,ROUND('Calc base'!H$13*AY96,2))))</f>
        <v>0</v>
      </c>
      <c r="P97">
        <f>IF(AZ96&lt;=0,0,IF(ROUND(AZ96*(1+'Calc base'!N97),2)-MAX('Calc base'!I$12,ROUND('Calc base'!I$13*AZ96,2))&lt;1,ROUND(AZ96*(1+'Calc base'!N97),2),MAX('Calc base'!I$12,ROUND('Calc base'!I$13*AZ96,2))))</f>
        <v>0</v>
      </c>
      <c r="Q97">
        <f>IF(BA96&lt;=0,0,IF(ROUND(BA96*(1+'Calc base'!O97),2)-MAX('Calc base'!J$12,ROUND('Calc base'!J$13*BA96,2))&lt;1,ROUND(BA96*(1+'Calc base'!O97),2),MAX('Calc base'!J$12,ROUND('Calc base'!J$13*BA96,2))))</f>
        <v>0</v>
      </c>
      <c r="R97">
        <f>IF(BB96&lt;=0,0,IF(ROUND(BB96*(1+'Calc base'!P97),2)-MAX('Calc base'!K$12,ROUND('Calc base'!K$13*BB96,2))&lt;1,ROUND(BB96*(1+'Calc base'!P97),2),MAX('Calc base'!K$12,ROUND('Calc base'!K$13*BB96,2))))</f>
        <v>0</v>
      </c>
      <c r="S97">
        <f>IF(BC96&lt;=0,0,IF(ROUND(BC96*(1+'Calc base'!Q97),2)-MAX('Calc base'!L$12,ROUND('Calc base'!L$13*BC96,2))&lt;1,ROUND(BC96*(1+'Calc base'!Q97),2),MAX('Calc base'!L$12,ROUND('Calc base'!L$13*BC96,2))))</f>
        <v>0</v>
      </c>
      <c r="T97">
        <f>IF(BD96&lt;=0,0,IF(ROUND(BD96*(1+'Calc base'!R97),2)-MAX('Calc base'!M$12,ROUND('Calc base'!M$13*BD96,2))&lt;1,ROUND(BD96*(1+'Calc base'!R97),2),MAX('Calc base'!M$12,ROUND('Calc base'!M$13*BD96,2))))</f>
        <v>0</v>
      </c>
      <c r="U97">
        <f>IF(BE96&lt;=0,0,IF(ROUND(BE96*(1+'Calc base'!S97),2)-MAX('Calc base'!N$12,ROUND('Calc base'!N$13*BE96,2))&lt;1,ROUND(BE96*(1+'Calc base'!S97),2),MAX('Calc base'!N$12,ROUND('Calc base'!N$13*BE96,2))))</f>
        <v>0</v>
      </c>
      <c r="V97">
        <f>MAX(0,ROUND(AT96*(1+'Calc base'!H97),2)-J97-'Calc base'!T97)</f>
        <v>0</v>
      </c>
      <c r="W97">
        <f>MAX(0,ROUND(AU96*(1+'Calc base'!I97),2)-K97-'Calc base'!U97)</f>
        <v>0</v>
      </c>
      <c r="X97">
        <f>MAX(0,ROUND(AV96*(1+'Calc base'!J97),2)-L97-'Calc base'!V97)</f>
        <v>0</v>
      </c>
      <c r="Y97">
        <f>MAX(0,ROUND(AW96*(1+'Calc base'!K97),2)-M97-'Calc base'!W97)</f>
        <v>0</v>
      </c>
      <c r="Z97">
        <f>MAX(0,ROUND(AX96*(1+'Calc base'!L97),2)-N97-'Calc base'!X97)</f>
        <v>0</v>
      </c>
      <c r="AA97">
        <f>MAX(0,ROUND(AY96*(1+'Calc base'!M97),2)-O97-'Calc base'!Y97)</f>
        <v>0</v>
      </c>
      <c r="AB97">
        <f>MAX(0,ROUND(AZ96*(1+'Calc base'!N97),2)-P97-'Calc base'!Z97)</f>
        <v>0</v>
      </c>
      <c r="AC97">
        <f>MAX(0,ROUND(BA96*(1+'Calc base'!O97),2)-Q97-'Calc base'!AA97)</f>
        <v>0</v>
      </c>
      <c r="AD97">
        <f>MAX(0,ROUND(BB96*(1+'Calc base'!P97),2)-R97-'Calc base'!AB97)</f>
        <v>0</v>
      </c>
      <c r="AE97">
        <f>MAX(0,ROUND(BC96*(1+'Calc base'!Q97),2)-S97-'Calc base'!AC97)</f>
        <v>0</v>
      </c>
      <c r="AF97">
        <f>MAX(0,ROUND(BD96*(1+'Calc base'!R97),2)-T97-'Calc base'!AD97)</f>
        <v>0</v>
      </c>
      <c r="AG97">
        <f>MAX(0,ROUND(BE96*(1+'Calc base'!S97),2)-U97-'Calc base'!AE97)</f>
        <v>0</v>
      </c>
      <c r="AH97">
        <f>IF('Calc base'!C$14=0,0,MIN(V97,MAX(0,$E97-SUMIFS($V97:$AG97,'Calc base'!$C$17:$N$17,"&lt;"&amp;'Calc base'!C$17,'Calc base'!$C$14:$N$14,1))))</f>
        <v>0</v>
      </c>
      <c r="AI97">
        <f>IF('Calc base'!D$14=0,0,MIN(W97,MAX(0,$E97-SUMIFS($V97:$AG97,'Calc base'!$C$17:$N$17,"&lt;"&amp;'Calc base'!D$17,'Calc base'!$C$14:$N$14,1))))</f>
        <v>0</v>
      </c>
      <c r="AJ97">
        <f>IF('Calc base'!E$14=0,0,MIN(X97,MAX(0,$E97-SUMIFS($V97:$AG97,'Calc base'!$C$17:$N$17,"&lt;"&amp;'Calc base'!E$17,'Calc base'!$C$14:$N$14,1))))</f>
        <v>0</v>
      </c>
      <c r="AK97">
        <f>IF('Calc base'!F$14=0,0,MIN(Y97,MAX(0,$E97-SUMIFS($V97:$AG97,'Calc base'!$C$17:$N$17,"&lt;"&amp;'Calc base'!F$17,'Calc base'!$C$14:$N$14,1))))</f>
        <v>0</v>
      </c>
      <c r="AL97">
        <f>IF('Calc base'!G$14=0,0,MIN(Z97,MAX(0,$E97-SUMIFS($V97:$AG97,'Calc base'!$C$17:$N$17,"&lt;"&amp;'Calc base'!G$17,'Calc base'!$C$14:$N$14,1))))</f>
        <v>0</v>
      </c>
      <c r="AM97">
        <f>IF('Calc base'!H$14=0,0,MIN(AA97,MAX(0,$E97-SUMIFS($V97:$AG97,'Calc base'!$C$17:$N$17,"&lt;"&amp;'Calc base'!H$17,'Calc base'!$C$14:$N$14,1))))</f>
        <v>0</v>
      </c>
      <c r="AN97">
        <f>IF('Calc base'!I$14=0,0,MIN(AB97,MAX(0,$E97-SUMIFS($V97:$AG97,'Calc base'!$C$17:$N$17,"&lt;"&amp;'Calc base'!I$17,'Calc base'!$C$14:$N$14,1))))</f>
        <v>0</v>
      </c>
      <c r="AO97">
        <f>IF('Calc base'!J$14=0,0,MIN(AC97,MAX(0,$E97-SUMIFS($V97:$AG97,'Calc base'!$C$17:$N$17,"&lt;"&amp;'Calc base'!J$17,'Calc base'!$C$14:$N$14,1))))</f>
        <v>0</v>
      </c>
      <c r="AP97">
        <f>IF('Calc base'!K$14=0,0,MIN(AD97,MAX(0,$E97-SUMIFS($V97:$AG97,'Calc base'!$C$17:$N$17,"&lt;"&amp;'Calc base'!K$17,'Calc base'!$C$14:$N$14,1))))</f>
        <v>0</v>
      </c>
      <c r="AQ97">
        <f>IF('Calc base'!L$14=0,0,MIN(AE97,MAX(0,$E97-SUMIFS($V97:$AG97,'Calc base'!$C$17:$N$17,"&lt;"&amp;'Calc base'!L$17,'Calc base'!$C$14:$N$14,1))))</f>
        <v>0</v>
      </c>
      <c r="AR97">
        <f>IF('Calc base'!M$14=0,0,MIN(AF97,MAX(0,$E97-SUMIFS($V97:$AG97,'Calc base'!$C$17:$N$17,"&lt;"&amp;'Calc base'!M$17,'Calc base'!$C$14:$N$14,1))))</f>
        <v>0</v>
      </c>
      <c r="AS97">
        <f>IF('Calc base'!N$14=0,0,MIN(AG97,MAX(0,$E97-SUMIFS($V97:$AG97,'Calc base'!$C$17:$N$17,"&lt;"&amp;'Calc base'!N$17,'Calc base'!$C$14:$N$14,1))))</f>
        <v>0</v>
      </c>
      <c r="AT97">
        <f>V97-AH97</f>
        <v>0</v>
      </c>
      <c r="AU97">
        <f>W97-AI97</f>
        <v>0</v>
      </c>
      <c r="AV97">
        <f>X97-AJ97</f>
        <v>0</v>
      </c>
      <c r="AW97">
        <f>Y97-AK97</f>
        <v>0</v>
      </c>
      <c r="AX97">
        <f>Z97-AL97</f>
        <v>0</v>
      </c>
      <c r="AY97">
        <f>AA97-AM97</f>
        <v>0</v>
      </c>
      <c r="AZ97">
        <f>AB97-AN97</f>
        <v>0</v>
      </c>
      <c r="BA97">
        <f>AC97-AO97</f>
        <v>0</v>
      </c>
      <c r="BB97">
        <f>AD97-AP97</f>
        <v>0</v>
      </c>
      <c r="BC97">
        <f>AE97-AQ97</f>
        <v>0</v>
      </c>
      <c r="BD97">
        <f>AF97-AR97</f>
        <v>0</v>
      </c>
      <c r="BE97">
        <f>AG97-AS97</f>
        <v>0</v>
      </c>
    </row>
    <row r="98">
      <c r="A98" t="n">
        <v>68</v>
      </c>
      <c r="B98">
        <f>SUMPRODUCT(ROUND($AT97:$BE97*(1+'Calc base'!$H98:$S98),2))</f>
        <v>0</v>
      </c>
      <c r="C98">
        <f>SUM(J98:U98)</f>
        <v>0</v>
      </c>
      <c r="D98">
        <f>SUM(V98:AG98)</f>
        <v>0</v>
      </c>
      <c r="E98">
        <f>MAX(0,IF(Impostazioni!$B$7="No",'Calc base'!$C98-$C$31,'Calc base'!$C98-C98)+'Calc base'!$G98+'Calc base'!$F98-(B98-C98-D98))</f>
        <v>900</v>
      </c>
      <c r="F98">
        <f>SUM(AH98:AS98)</f>
        <v>0</v>
      </c>
      <c r="G98">
        <f>SUM(AT98:BE98)</f>
        <v>0</v>
      </c>
      <c r="H98">
        <f>B98-G97</f>
        <v>0</v>
      </c>
      <c r="I98">
        <f>B98-G98</f>
        <v>0</v>
      </c>
      <c r="J98">
        <f>IF(AT97&lt;=0,0,IF(ROUND(AT97*(1+'Calc base'!H98),2)-MAX('Calc base'!C$12,ROUND('Calc base'!C$13*AT97,2))&lt;1,ROUND(AT97*(1+'Calc base'!H98),2),MAX('Calc base'!C$12,ROUND('Calc base'!C$13*AT97,2))))</f>
        <v>0</v>
      </c>
      <c r="K98">
        <f>IF(AU97&lt;=0,0,IF(ROUND(AU97*(1+'Calc base'!I98),2)-MAX('Calc base'!D$12,ROUND('Calc base'!D$13*AU97,2))&lt;1,ROUND(AU97*(1+'Calc base'!I98),2),MAX('Calc base'!D$12,ROUND('Calc base'!D$13*AU97,2))))</f>
        <v>0</v>
      </c>
      <c r="L98">
        <f>IF(AV97&lt;=0,0,IF(ROUND(AV97*(1+'Calc base'!J98),2)-MAX('Calc base'!E$12,ROUND('Calc base'!E$13*AV97,2))&lt;1,ROUND(AV97*(1+'Calc base'!J98),2),MAX('Calc base'!E$12,ROUND('Calc base'!E$13*AV97,2))))</f>
        <v>0</v>
      </c>
      <c r="M98">
        <f>IF(AW97&lt;=0,0,IF(ROUND(AW97*(1+'Calc base'!K98),2)-MAX('Calc base'!F$12,ROUND('Calc base'!F$13*AW97,2))&lt;1,ROUND(AW97*(1+'Calc base'!K98),2),MAX('Calc base'!F$12,ROUND('Calc base'!F$13*AW97,2))))</f>
        <v>0</v>
      </c>
      <c r="N98">
        <f>IF(AX97&lt;=0,0,IF(ROUND(AX97*(1+'Calc base'!L98),2)-MAX('Calc base'!G$12,ROUND('Calc base'!G$13*AX97,2))&lt;1,ROUND(AX97*(1+'Calc base'!L98),2),MAX('Calc base'!G$12,ROUND('Calc base'!G$13*AX97,2))))</f>
        <v>0</v>
      </c>
      <c r="O98">
        <f>IF(AY97&lt;=0,0,IF(ROUND(AY97*(1+'Calc base'!M98),2)-MAX('Calc base'!H$12,ROUND('Calc base'!H$13*AY97,2))&lt;1,ROUND(AY97*(1+'Calc base'!M98),2),MAX('Calc base'!H$12,ROUND('Calc base'!H$13*AY97,2))))</f>
        <v>0</v>
      </c>
      <c r="P98">
        <f>IF(AZ97&lt;=0,0,IF(ROUND(AZ97*(1+'Calc base'!N98),2)-MAX('Calc base'!I$12,ROUND('Calc base'!I$13*AZ97,2))&lt;1,ROUND(AZ97*(1+'Calc base'!N98),2),MAX('Calc base'!I$12,ROUND('Calc base'!I$13*AZ97,2))))</f>
        <v>0</v>
      </c>
      <c r="Q98">
        <f>IF(BA97&lt;=0,0,IF(ROUND(BA97*(1+'Calc base'!O98),2)-MAX('Calc base'!J$12,ROUND('Calc base'!J$13*BA97,2))&lt;1,ROUND(BA97*(1+'Calc base'!O98),2),MAX('Calc base'!J$12,ROUND('Calc base'!J$13*BA97,2))))</f>
        <v>0</v>
      </c>
      <c r="R98">
        <f>IF(BB97&lt;=0,0,IF(ROUND(BB97*(1+'Calc base'!P98),2)-MAX('Calc base'!K$12,ROUND('Calc base'!K$13*BB97,2))&lt;1,ROUND(BB97*(1+'Calc base'!P98),2),MAX('Calc base'!K$12,ROUND('Calc base'!K$13*BB97,2))))</f>
        <v>0</v>
      </c>
      <c r="S98">
        <f>IF(BC97&lt;=0,0,IF(ROUND(BC97*(1+'Calc base'!Q98),2)-MAX('Calc base'!L$12,ROUND('Calc base'!L$13*BC97,2))&lt;1,ROUND(BC97*(1+'Calc base'!Q98),2),MAX('Calc base'!L$12,ROUND('Calc base'!L$13*BC97,2))))</f>
        <v>0</v>
      </c>
      <c r="T98">
        <f>IF(BD97&lt;=0,0,IF(ROUND(BD97*(1+'Calc base'!R98),2)-MAX('Calc base'!M$12,ROUND('Calc base'!M$13*BD97,2))&lt;1,ROUND(BD97*(1+'Calc base'!R98),2),MAX('Calc base'!M$12,ROUND('Calc base'!M$13*BD97,2))))</f>
        <v>0</v>
      </c>
      <c r="U98">
        <f>IF(BE97&lt;=0,0,IF(ROUND(BE97*(1+'Calc base'!S98),2)-MAX('Calc base'!N$12,ROUND('Calc base'!N$13*BE97,2))&lt;1,ROUND(BE97*(1+'Calc base'!S98),2),MAX('Calc base'!N$12,ROUND('Calc base'!N$13*BE97,2))))</f>
        <v>0</v>
      </c>
      <c r="V98">
        <f>MAX(0,ROUND(AT97*(1+'Calc base'!H98),2)-J98-'Calc base'!T98)</f>
        <v>0</v>
      </c>
      <c r="W98">
        <f>MAX(0,ROUND(AU97*(1+'Calc base'!I98),2)-K98-'Calc base'!U98)</f>
        <v>0</v>
      </c>
      <c r="X98">
        <f>MAX(0,ROUND(AV97*(1+'Calc base'!J98),2)-L98-'Calc base'!V98)</f>
        <v>0</v>
      </c>
      <c r="Y98">
        <f>MAX(0,ROUND(AW97*(1+'Calc base'!K98),2)-M98-'Calc base'!W98)</f>
        <v>0</v>
      </c>
      <c r="Z98">
        <f>MAX(0,ROUND(AX97*(1+'Calc base'!L98),2)-N98-'Calc base'!X98)</f>
        <v>0</v>
      </c>
      <c r="AA98">
        <f>MAX(0,ROUND(AY97*(1+'Calc base'!M98),2)-O98-'Calc base'!Y98)</f>
        <v>0</v>
      </c>
      <c r="AB98">
        <f>MAX(0,ROUND(AZ97*(1+'Calc base'!N98),2)-P98-'Calc base'!Z98)</f>
        <v>0</v>
      </c>
      <c r="AC98">
        <f>MAX(0,ROUND(BA97*(1+'Calc base'!O98),2)-Q98-'Calc base'!AA98)</f>
        <v>0</v>
      </c>
      <c r="AD98">
        <f>MAX(0,ROUND(BB97*(1+'Calc base'!P98),2)-R98-'Calc base'!AB98)</f>
        <v>0</v>
      </c>
      <c r="AE98">
        <f>MAX(0,ROUND(BC97*(1+'Calc base'!Q98),2)-S98-'Calc base'!AC98)</f>
        <v>0</v>
      </c>
      <c r="AF98">
        <f>MAX(0,ROUND(BD97*(1+'Calc base'!R98),2)-T98-'Calc base'!AD98)</f>
        <v>0</v>
      </c>
      <c r="AG98">
        <f>MAX(0,ROUND(BE97*(1+'Calc base'!S98),2)-U98-'Calc base'!AE98)</f>
        <v>0</v>
      </c>
      <c r="AH98">
        <f>IF('Calc base'!C$14=0,0,MIN(V98,MAX(0,$E98-SUMIFS($V98:$AG98,'Calc base'!$C$17:$N$17,"&lt;"&amp;'Calc base'!C$17,'Calc base'!$C$14:$N$14,1))))</f>
        <v>0</v>
      </c>
      <c r="AI98">
        <f>IF('Calc base'!D$14=0,0,MIN(W98,MAX(0,$E98-SUMIFS($V98:$AG98,'Calc base'!$C$17:$N$17,"&lt;"&amp;'Calc base'!D$17,'Calc base'!$C$14:$N$14,1))))</f>
        <v>0</v>
      </c>
      <c r="AJ98">
        <f>IF('Calc base'!E$14=0,0,MIN(X98,MAX(0,$E98-SUMIFS($V98:$AG98,'Calc base'!$C$17:$N$17,"&lt;"&amp;'Calc base'!E$17,'Calc base'!$C$14:$N$14,1))))</f>
        <v>0</v>
      </c>
      <c r="AK98">
        <f>IF('Calc base'!F$14=0,0,MIN(Y98,MAX(0,$E98-SUMIFS($V98:$AG98,'Calc base'!$C$17:$N$17,"&lt;"&amp;'Calc base'!F$17,'Calc base'!$C$14:$N$14,1))))</f>
        <v>0</v>
      </c>
      <c r="AL98">
        <f>IF('Calc base'!G$14=0,0,MIN(Z98,MAX(0,$E98-SUMIFS($V98:$AG98,'Calc base'!$C$17:$N$17,"&lt;"&amp;'Calc base'!G$17,'Calc base'!$C$14:$N$14,1))))</f>
        <v>0</v>
      </c>
      <c r="AM98">
        <f>IF('Calc base'!H$14=0,0,MIN(AA98,MAX(0,$E98-SUMIFS($V98:$AG98,'Calc base'!$C$17:$N$17,"&lt;"&amp;'Calc base'!H$17,'Calc base'!$C$14:$N$14,1))))</f>
        <v>0</v>
      </c>
      <c r="AN98">
        <f>IF('Calc base'!I$14=0,0,MIN(AB98,MAX(0,$E98-SUMIFS($V98:$AG98,'Calc base'!$C$17:$N$17,"&lt;"&amp;'Calc base'!I$17,'Calc base'!$C$14:$N$14,1))))</f>
        <v>0</v>
      </c>
      <c r="AO98">
        <f>IF('Calc base'!J$14=0,0,MIN(AC98,MAX(0,$E98-SUMIFS($V98:$AG98,'Calc base'!$C$17:$N$17,"&lt;"&amp;'Calc base'!J$17,'Calc base'!$C$14:$N$14,1))))</f>
        <v>0</v>
      </c>
      <c r="AP98">
        <f>IF('Calc base'!K$14=0,0,MIN(AD98,MAX(0,$E98-SUMIFS($V98:$AG98,'Calc base'!$C$17:$N$17,"&lt;"&amp;'Calc base'!K$17,'Calc base'!$C$14:$N$14,1))))</f>
        <v>0</v>
      </c>
      <c r="AQ98">
        <f>IF('Calc base'!L$14=0,0,MIN(AE98,MAX(0,$E98-SUMIFS($V98:$AG98,'Calc base'!$C$17:$N$17,"&lt;"&amp;'Calc base'!L$17,'Calc base'!$C$14:$N$14,1))))</f>
        <v>0</v>
      </c>
      <c r="AR98">
        <f>IF('Calc base'!M$14=0,0,MIN(AF98,MAX(0,$E98-SUMIFS($V98:$AG98,'Calc base'!$C$17:$N$17,"&lt;"&amp;'Calc base'!M$17,'Calc base'!$C$14:$N$14,1))))</f>
        <v>0</v>
      </c>
      <c r="AS98">
        <f>IF('Calc base'!N$14=0,0,MIN(AG98,MAX(0,$E98-SUMIFS($V98:$AG98,'Calc base'!$C$17:$N$17,"&lt;"&amp;'Calc base'!N$17,'Calc base'!$C$14:$N$14,1))))</f>
        <v>0</v>
      </c>
      <c r="AT98">
        <f>V98-AH98</f>
        <v>0</v>
      </c>
      <c r="AU98">
        <f>W98-AI98</f>
        <v>0</v>
      </c>
      <c r="AV98">
        <f>X98-AJ98</f>
        <v>0</v>
      </c>
      <c r="AW98">
        <f>Y98-AK98</f>
        <v>0</v>
      </c>
      <c r="AX98">
        <f>Z98-AL98</f>
        <v>0</v>
      </c>
      <c r="AY98">
        <f>AA98-AM98</f>
        <v>0</v>
      </c>
      <c r="AZ98">
        <f>AB98-AN98</f>
        <v>0</v>
      </c>
      <c r="BA98">
        <f>AC98-AO98</f>
        <v>0</v>
      </c>
      <c r="BB98">
        <f>AD98-AP98</f>
        <v>0</v>
      </c>
      <c r="BC98">
        <f>AE98-AQ98</f>
        <v>0</v>
      </c>
      <c r="BD98">
        <f>AF98-AR98</f>
        <v>0</v>
      </c>
      <c r="BE98">
        <f>AG98-AS98</f>
        <v>0</v>
      </c>
    </row>
    <row r="99">
      <c r="A99" t="n">
        <v>69</v>
      </c>
      <c r="B99">
        <f>SUMPRODUCT(ROUND($AT98:$BE98*(1+'Calc base'!$H99:$S99),2))</f>
        <v>0</v>
      </c>
      <c r="C99">
        <f>SUM(J99:U99)</f>
        <v>0</v>
      </c>
      <c r="D99">
        <f>SUM(V99:AG99)</f>
        <v>0</v>
      </c>
      <c r="E99">
        <f>MAX(0,IF(Impostazioni!$B$7="No",'Calc base'!$C99-$C$31,'Calc base'!$C99-C99)+'Calc base'!$G99+'Calc base'!$F99-(B99-C99-D99))</f>
        <v>900</v>
      </c>
      <c r="F99">
        <f>SUM(AH99:AS99)</f>
        <v>0</v>
      </c>
      <c r="G99">
        <f>SUM(AT99:BE99)</f>
        <v>0</v>
      </c>
      <c r="H99">
        <f>B99-G98</f>
        <v>0</v>
      </c>
      <c r="I99">
        <f>B99-G99</f>
        <v>0</v>
      </c>
      <c r="J99">
        <f>IF(AT98&lt;=0,0,IF(ROUND(AT98*(1+'Calc base'!H99),2)-MAX('Calc base'!C$12,ROUND('Calc base'!C$13*AT98,2))&lt;1,ROUND(AT98*(1+'Calc base'!H99),2),MAX('Calc base'!C$12,ROUND('Calc base'!C$13*AT98,2))))</f>
        <v>0</v>
      </c>
      <c r="K99">
        <f>IF(AU98&lt;=0,0,IF(ROUND(AU98*(1+'Calc base'!I99),2)-MAX('Calc base'!D$12,ROUND('Calc base'!D$13*AU98,2))&lt;1,ROUND(AU98*(1+'Calc base'!I99),2),MAX('Calc base'!D$12,ROUND('Calc base'!D$13*AU98,2))))</f>
        <v>0</v>
      </c>
      <c r="L99">
        <f>IF(AV98&lt;=0,0,IF(ROUND(AV98*(1+'Calc base'!J99),2)-MAX('Calc base'!E$12,ROUND('Calc base'!E$13*AV98,2))&lt;1,ROUND(AV98*(1+'Calc base'!J99),2),MAX('Calc base'!E$12,ROUND('Calc base'!E$13*AV98,2))))</f>
        <v>0</v>
      </c>
      <c r="M99">
        <f>IF(AW98&lt;=0,0,IF(ROUND(AW98*(1+'Calc base'!K99),2)-MAX('Calc base'!F$12,ROUND('Calc base'!F$13*AW98,2))&lt;1,ROUND(AW98*(1+'Calc base'!K99),2),MAX('Calc base'!F$12,ROUND('Calc base'!F$13*AW98,2))))</f>
        <v>0</v>
      </c>
      <c r="N99">
        <f>IF(AX98&lt;=0,0,IF(ROUND(AX98*(1+'Calc base'!L99),2)-MAX('Calc base'!G$12,ROUND('Calc base'!G$13*AX98,2))&lt;1,ROUND(AX98*(1+'Calc base'!L99),2),MAX('Calc base'!G$12,ROUND('Calc base'!G$13*AX98,2))))</f>
        <v>0</v>
      </c>
      <c r="O99">
        <f>IF(AY98&lt;=0,0,IF(ROUND(AY98*(1+'Calc base'!M99),2)-MAX('Calc base'!H$12,ROUND('Calc base'!H$13*AY98,2))&lt;1,ROUND(AY98*(1+'Calc base'!M99),2),MAX('Calc base'!H$12,ROUND('Calc base'!H$13*AY98,2))))</f>
        <v>0</v>
      </c>
      <c r="P99">
        <f>IF(AZ98&lt;=0,0,IF(ROUND(AZ98*(1+'Calc base'!N99),2)-MAX('Calc base'!I$12,ROUND('Calc base'!I$13*AZ98,2))&lt;1,ROUND(AZ98*(1+'Calc base'!N99),2),MAX('Calc base'!I$12,ROUND('Calc base'!I$13*AZ98,2))))</f>
        <v>0</v>
      </c>
      <c r="Q99">
        <f>IF(BA98&lt;=0,0,IF(ROUND(BA98*(1+'Calc base'!O99),2)-MAX('Calc base'!J$12,ROUND('Calc base'!J$13*BA98,2))&lt;1,ROUND(BA98*(1+'Calc base'!O99),2),MAX('Calc base'!J$12,ROUND('Calc base'!J$13*BA98,2))))</f>
        <v>0</v>
      </c>
      <c r="R99">
        <f>IF(BB98&lt;=0,0,IF(ROUND(BB98*(1+'Calc base'!P99),2)-MAX('Calc base'!K$12,ROUND('Calc base'!K$13*BB98,2))&lt;1,ROUND(BB98*(1+'Calc base'!P99),2),MAX('Calc base'!K$12,ROUND('Calc base'!K$13*BB98,2))))</f>
        <v>0</v>
      </c>
      <c r="S99">
        <f>IF(BC98&lt;=0,0,IF(ROUND(BC98*(1+'Calc base'!Q99),2)-MAX('Calc base'!L$12,ROUND('Calc base'!L$13*BC98,2))&lt;1,ROUND(BC98*(1+'Calc base'!Q99),2),MAX('Calc base'!L$12,ROUND('Calc base'!L$13*BC98,2))))</f>
        <v>0</v>
      </c>
      <c r="T99">
        <f>IF(BD98&lt;=0,0,IF(ROUND(BD98*(1+'Calc base'!R99),2)-MAX('Calc base'!M$12,ROUND('Calc base'!M$13*BD98,2))&lt;1,ROUND(BD98*(1+'Calc base'!R99),2),MAX('Calc base'!M$12,ROUND('Calc base'!M$13*BD98,2))))</f>
        <v>0</v>
      </c>
      <c r="U99">
        <f>IF(BE98&lt;=0,0,IF(ROUND(BE98*(1+'Calc base'!S99),2)-MAX('Calc base'!N$12,ROUND('Calc base'!N$13*BE98,2))&lt;1,ROUND(BE98*(1+'Calc base'!S99),2),MAX('Calc base'!N$12,ROUND('Calc base'!N$13*BE98,2))))</f>
        <v>0</v>
      </c>
      <c r="V99">
        <f>MAX(0,ROUND(AT98*(1+'Calc base'!H99),2)-J99-'Calc base'!T99)</f>
        <v>0</v>
      </c>
      <c r="W99">
        <f>MAX(0,ROUND(AU98*(1+'Calc base'!I99),2)-K99-'Calc base'!U99)</f>
        <v>0</v>
      </c>
      <c r="X99">
        <f>MAX(0,ROUND(AV98*(1+'Calc base'!J99),2)-L99-'Calc base'!V99)</f>
        <v>0</v>
      </c>
      <c r="Y99">
        <f>MAX(0,ROUND(AW98*(1+'Calc base'!K99),2)-M99-'Calc base'!W99)</f>
        <v>0</v>
      </c>
      <c r="Z99">
        <f>MAX(0,ROUND(AX98*(1+'Calc base'!L99),2)-N99-'Calc base'!X99)</f>
        <v>0</v>
      </c>
      <c r="AA99">
        <f>MAX(0,ROUND(AY98*(1+'Calc base'!M99),2)-O99-'Calc base'!Y99)</f>
        <v>0</v>
      </c>
      <c r="AB99">
        <f>MAX(0,ROUND(AZ98*(1+'Calc base'!N99),2)-P99-'Calc base'!Z99)</f>
        <v>0</v>
      </c>
      <c r="AC99">
        <f>MAX(0,ROUND(BA98*(1+'Calc base'!O99),2)-Q99-'Calc base'!AA99)</f>
        <v>0</v>
      </c>
      <c r="AD99">
        <f>MAX(0,ROUND(BB98*(1+'Calc base'!P99),2)-R99-'Calc base'!AB99)</f>
        <v>0</v>
      </c>
      <c r="AE99">
        <f>MAX(0,ROUND(BC98*(1+'Calc base'!Q99),2)-S99-'Calc base'!AC99)</f>
        <v>0</v>
      </c>
      <c r="AF99">
        <f>MAX(0,ROUND(BD98*(1+'Calc base'!R99),2)-T99-'Calc base'!AD99)</f>
        <v>0</v>
      </c>
      <c r="AG99">
        <f>MAX(0,ROUND(BE98*(1+'Calc base'!S99),2)-U99-'Calc base'!AE99)</f>
        <v>0</v>
      </c>
      <c r="AH99">
        <f>IF('Calc base'!C$14=0,0,MIN(V99,MAX(0,$E99-SUMIFS($V99:$AG99,'Calc base'!$C$17:$N$17,"&lt;"&amp;'Calc base'!C$17,'Calc base'!$C$14:$N$14,1))))</f>
        <v>0</v>
      </c>
      <c r="AI99">
        <f>IF('Calc base'!D$14=0,0,MIN(W99,MAX(0,$E99-SUMIFS($V99:$AG99,'Calc base'!$C$17:$N$17,"&lt;"&amp;'Calc base'!D$17,'Calc base'!$C$14:$N$14,1))))</f>
        <v>0</v>
      </c>
      <c r="AJ99">
        <f>IF('Calc base'!E$14=0,0,MIN(X99,MAX(0,$E99-SUMIFS($V99:$AG99,'Calc base'!$C$17:$N$17,"&lt;"&amp;'Calc base'!E$17,'Calc base'!$C$14:$N$14,1))))</f>
        <v>0</v>
      </c>
      <c r="AK99">
        <f>IF('Calc base'!F$14=0,0,MIN(Y99,MAX(0,$E99-SUMIFS($V99:$AG99,'Calc base'!$C$17:$N$17,"&lt;"&amp;'Calc base'!F$17,'Calc base'!$C$14:$N$14,1))))</f>
        <v>0</v>
      </c>
      <c r="AL99">
        <f>IF('Calc base'!G$14=0,0,MIN(Z99,MAX(0,$E99-SUMIFS($V99:$AG99,'Calc base'!$C$17:$N$17,"&lt;"&amp;'Calc base'!G$17,'Calc base'!$C$14:$N$14,1))))</f>
        <v>0</v>
      </c>
      <c r="AM99">
        <f>IF('Calc base'!H$14=0,0,MIN(AA99,MAX(0,$E99-SUMIFS($V99:$AG99,'Calc base'!$C$17:$N$17,"&lt;"&amp;'Calc base'!H$17,'Calc base'!$C$14:$N$14,1))))</f>
        <v>0</v>
      </c>
      <c r="AN99">
        <f>IF('Calc base'!I$14=0,0,MIN(AB99,MAX(0,$E99-SUMIFS($V99:$AG99,'Calc base'!$C$17:$N$17,"&lt;"&amp;'Calc base'!I$17,'Calc base'!$C$14:$N$14,1))))</f>
        <v>0</v>
      </c>
      <c r="AO99">
        <f>IF('Calc base'!J$14=0,0,MIN(AC99,MAX(0,$E99-SUMIFS($V99:$AG99,'Calc base'!$C$17:$N$17,"&lt;"&amp;'Calc base'!J$17,'Calc base'!$C$14:$N$14,1))))</f>
        <v>0</v>
      </c>
      <c r="AP99">
        <f>IF('Calc base'!K$14=0,0,MIN(AD99,MAX(0,$E99-SUMIFS($V99:$AG99,'Calc base'!$C$17:$N$17,"&lt;"&amp;'Calc base'!K$17,'Calc base'!$C$14:$N$14,1))))</f>
        <v>0</v>
      </c>
      <c r="AQ99">
        <f>IF('Calc base'!L$14=0,0,MIN(AE99,MAX(0,$E99-SUMIFS($V99:$AG99,'Calc base'!$C$17:$N$17,"&lt;"&amp;'Calc base'!L$17,'Calc base'!$C$14:$N$14,1))))</f>
        <v>0</v>
      </c>
      <c r="AR99">
        <f>IF('Calc base'!M$14=0,0,MIN(AF99,MAX(0,$E99-SUMIFS($V99:$AG99,'Calc base'!$C$17:$N$17,"&lt;"&amp;'Calc base'!M$17,'Calc base'!$C$14:$N$14,1))))</f>
        <v>0</v>
      </c>
      <c r="AS99">
        <f>IF('Calc base'!N$14=0,0,MIN(AG99,MAX(0,$E99-SUMIFS($V99:$AG99,'Calc base'!$C$17:$N$17,"&lt;"&amp;'Calc base'!N$17,'Calc base'!$C$14:$N$14,1))))</f>
        <v>0</v>
      </c>
      <c r="AT99">
        <f>V99-AH99</f>
        <v>0</v>
      </c>
      <c r="AU99">
        <f>W99-AI99</f>
        <v>0</v>
      </c>
      <c r="AV99">
        <f>X99-AJ99</f>
        <v>0</v>
      </c>
      <c r="AW99">
        <f>Y99-AK99</f>
        <v>0</v>
      </c>
      <c r="AX99">
        <f>Z99-AL99</f>
        <v>0</v>
      </c>
      <c r="AY99">
        <f>AA99-AM99</f>
        <v>0</v>
      </c>
      <c r="AZ99">
        <f>AB99-AN99</f>
        <v>0</v>
      </c>
      <c r="BA99">
        <f>AC99-AO99</f>
        <v>0</v>
      </c>
      <c r="BB99">
        <f>AD99-AP99</f>
        <v>0</v>
      </c>
      <c r="BC99">
        <f>AE99-AQ99</f>
        <v>0</v>
      </c>
      <c r="BD99">
        <f>AF99-AR99</f>
        <v>0</v>
      </c>
      <c r="BE99">
        <f>AG99-AS99</f>
        <v>0</v>
      </c>
    </row>
    <row r="100">
      <c r="A100" t="n">
        <v>70</v>
      </c>
      <c r="B100">
        <f>SUMPRODUCT(ROUND($AT99:$BE99*(1+'Calc base'!$H100:$S100),2))</f>
        <v>0</v>
      </c>
      <c r="C100">
        <f>SUM(J100:U100)</f>
        <v>0</v>
      </c>
      <c r="D100">
        <f>SUM(V100:AG100)</f>
        <v>0</v>
      </c>
      <c r="E100">
        <f>MAX(0,IF(Impostazioni!$B$7="No",'Calc base'!$C100-$C$31,'Calc base'!$C100-C100)+'Calc base'!$G100+'Calc base'!$F100-(B100-C100-D100))</f>
        <v>900</v>
      </c>
      <c r="F100">
        <f>SUM(AH100:AS100)</f>
        <v>0</v>
      </c>
      <c r="G100">
        <f>SUM(AT100:BE100)</f>
        <v>0</v>
      </c>
      <c r="H100">
        <f>B100-G99</f>
        <v>0</v>
      </c>
      <c r="I100">
        <f>B100-G100</f>
        <v>0</v>
      </c>
      <c r="J100">
        <f>IF(AT99&lt;=0,0,IF(ROUND(AT99*(1+'Calc base'!H100),2)-MAX('Calc base'!C$12,ROUND('Calc base'!C$13*AT99,2))&lt;1,ROUND(AT99*(1+'Calc base'!H100),2),MAX('Calc base'!C$12,ROUND('Calc base'!C$13*AT99,2))))</f>
        <v>0</v>
      </c>
      <c r="K100">
        <f>IF(AU99&lt;=0,0,IF(ROUND(AU99*(1+'Calc base'!I100),2)-MAX('Calc base'!D$12,ROUND('Calc base'!D$13*AU99,2))&lt;1,ROUND(AU99*(1+'Calc base'!I100),2),MAX('Calc base'!D$12,ROUND('Calc base'!D$13*AU99,2))))</f>
        <v>0</v>
      </c>
      <c r="L100">
        <f>IF(AV99&lt;=0,0,IF(ROUND(AV99*(1+'Calc base'!J100),2)-MAX('Calc base'!E$12,ROUND('Calc base'!E$13*AV99,2))&lt;1,ROUND(AV99*(1+'Calc base'!J100),2),MAX('Calc base'!E$12,ROUND('Calc base'!E$13*AV99,2))))</f>
        <v>0</v>
      </c>
      <c r="M100">
        <f>IF(AW99&lt;=0,0,IF(ROUND(AW99*(1+'Calc base'!K100),2)-MAX('Calc base'!F$12,ROUND('Calc base'!F$13*AW99,2))&lt;1,ROUND(AW99*(1+'Calc base'!K100),2),MAX('Calc base'!F$12,ROUND('Calc base'!F$13*AW99,2))))</f>
        <v>0</v>
      </c>
      <c r="N100">
        <f>IF(AX99&lt;=0,0,IF(ROUND(AX99*(1+'Calc base'!L100),2)-MAX('Calc base'!G$12,ROUND('Calc base'!G$13*AX99,2))&lt;1,ROUND(AX99*(1+'Calc base'!L100),2),MAX('Calc base'!G$12,ROUND('Calc base'!G$13*AX99,2))))</f>
        <v>0</v>
      </c>
      <c r="O100">
        <f>IF(AY99&lt;=0,0,IF(ROUND(AY99*(1+'Calc base'!M100),2)-MAX('Calc base'!H$12,ROUND('Calc base'!H$13*AY99,2))&lt;1,ROUND(AY99*(1+'Calc base'!M100),2),MAX('Calc base'!H$12,ROUND('Calc base'!H$13*AY99,2))))</f>
        <v>0</v>
      </c>
      <c r="P100">
        <f>IF(AZ99&lt;=0,0,IF(ROUND(AZ99*(1+'Calc base'!N100),2)-MAX('Calc base'!I$12,ROUND('Calc base'!I$13*AZ99,2))&lt;1,ROUND(AZ99*(1+'Calc base'!N100),2),MAX('Calc base'!I$12,ROUND('Calc base'!I$13*AZ99,2))))</f>
        <v>0</v>
      </c>
      <c r="Q100">
        <f>IF(BA99&lt;=0,0,IF(ROUND(BA99*(1+'Calc base'!O100),2)-MAX('Calc base'!J$12,ROUND('Calc base'!J$13*BA99,2))&lt;1,ROUND(BA99*(1+'Calc base'!O100),2),MAX('Calc base'!J$12,ROUND('Calc base'!J$13*BA99,2))))</f>
        <v>0</v>
      </c>
      <c r="R100">
        <f>IF(BB99&lt;=0,0,IF(ROUND(BB99*(1+'Calc base'!P100),2)-MAX('Calc base'!K$12,ROUND('Calc base'!K$13*BB99,2))&lt;1,ROUND(BB99*(1+'Calc base'!P100),2),MAX('Calc base'!K$12,ROUND('Calc base'!K$13*BB99,2))))</f>
        <v>0</v>
      </c>
      <c r="S100">
        <f>IF(BC99&lt;=0,0,IF(ROUND(BC99*(1+'Calc base'!Q100),2)-MAX('Calc base'!L$12,ROUND('Calc base'!L$13*BC99,2))&lt;1,ROUND(BC99*(1+'Calc base'!Q100),2),MAX('Calc base'!L$12,ROUND('Calc base'!L$13*BC99,2))))</f>
        <v>0</v>
      </c>
      <c r="T100">
        <f>IF(BD99&lt;=0,0,IF(ROUND(BD99*(1+'Calc base'!R100),2)-MAX('Calc base'!M$12,ROUND('Calc base'!M$13*BD99,2))&lt;1,ROUND(BD99*(1+'Calc base'!R100),2),MAX('Calc base'!M$12,ROUND('Calc base'!M$13*BD99,2))))</f>
        <v>0</v>
      </c>
      <c r="U100">
        <f>IF(BE99&lt;=0,0,IF(ROUND(BE99*(1+'Calc base'!S100),2)-MAX('Calc base'!N$12,ROUND('Calc base'!N$13*BE99,2))&lt;1,ROUND(BE99*(1+'Calc base'!S100),2),MAX('Calc base'!N$12,ROUND('Calc base'!N$13*BE99,2))))</f>
        <v>0</v>
      </c>
      <c r="V100">
        <f>MAX(0,ROUND(AT99*(1+'Calc base'!H100),2)-J100-'Calc base'!T100)</f>
        <v>0</v>
      </c>
      <c r="W100">
        <f>MAX(0,ROUND(AU99*(1+'Calc base'!I100),2)-K100-'Calc base'!U100)</f>
        <v>0</v>
      </c>
      <c r="X100">
        <f>MAX(0,ROUND(AV99*(1+'Calc base'!J100),2)-L100-'Calc base'!V100)</f>
        <v>0</v>
      </c>
      <c r="Y100">
        <f>MAX(0,ROUND(AW99*(1+'Calc base'!K100),2)-M100-'Calc base'!W100)</f>
        <v>0</v>
      </c>
      <c r="Z100">
        <f>MAX(0,ROUND(AX99*(1+'Calc base'!L100),2)-N100-'Calc base'!X100)</f>
        <v>0</v>
      </c>
      <c r="AA100">
        <f>MAX(0,ROUND(AY99*(1+'Calc base'!M100),2)-O100-'Calc base'!Y100)</f>
        <v>0</v>
      </c>
      <c r="AB100">
        <f>MAX(0,ROUND(AZ99*(1+'Calc base'!N100),2)-P100-'Calc base'!Z100)</f>
        <v>0</v>
      </c>
      <c r="AC100">
        <f>MAX(0,ROUND(BA99*(1+'Calc base'!O100),2)-Q100-'Calc base'!AA100)</f>
        <v>0</v>
      </c>
      <c r="AD100">
        <f>MAX(0,ROUND(BB99*(1+'Calc base'!P100),2)-R100-'Calc base'!AB100)</f>
        <v>0</v>
      </c>
      <c r="AE100">
        <f>MAX(0,ROUND(BC99*(1+'Calc base'!Q100),2)-S100-'Calc base'!AC100)</f>
        <v>0</v>
      </c>
      <c r="AF100">
        <f>MAX(0,ROUND(BD99*(1+'Calc base'!R100),2)-T100-'Calc base'!AD100)</f>
        <v>0</v>
      </c>
      <c r="AG100">
        <f>MAX(0,ROUND(BE99*(1+'Calc base'!S100),2)-U100-'Calc base'!AE100)</f>
        <v>0</v>
      </c>
      <c r="AH100">
        <f>IF('Calc base'!C$14=0,0,MIN(V100,MAX(0,$E100-SUMIFS($V100:$AG100,'Calc base'!$C$17:$N$17,"&lt;"&amp;'Calc base'!C$17,'Calc base'!$C$14:$N$14,1))))</f>
        <v>0</v>
      </c>
      <c r="AI100">
        <f>IF('Calc base'!D$14=0,0,MIN(W100,MAX(0,$E100-SUMIFS($V100:$AG100,'Calc base'!$C$17:$N$17,"&lt;"&amp;'Calc base'!D$17,'Calc base'!$C$14:$N$14,1))))</f>
        <v>0</v>
      </c>
      <c r="AJ100">
        <f>IF('Calc base'!E$14=0,0,MIN(X100,MAX(0,$E100-SUMIFS($V100:$AG100,'Calc base'!$C$17:$N$17,"&lt;"&amp;'Calc base'!E$17,'Calc base'!$C$14:$N$14,1))))</f>
        <v>0</v>
      </c>
      <c r="AK100">
        <f>IF('Calc base'!F$14=0,0,MIN(Y100,MAX(0,$E100-SUMIFS($V100:$AG100,'Calc base'!$C$17:$N$17,"&lt;"&amp;'Calc base'!F$17,'Calc base'!$C$14:$N$14,1))))</f>
        <v>0</v>
      </c>
      <c r="AL100">
        <f>IF('Calc base'!G$14=0,0,MIN(Z100,MAX(0,$E100-SUMIFS($V100:$AG100,'Calc base'!$C$17:$N$17,"&lt;"&amp;'Calc base'!G$17,'Calc base'!$C$14:$N$14,1))))</f>
        <v>0</v>
      </c>
      <c r="AM100">
        <f>IF('Calc base'!H$14=0,0,MIN(AA100,MAX(0,$E100-SUMIFS($V100:$AG100,'Calc base'!$C$17:$N$17,"&lt;"&amp;'Calc base'!H$17,'Calc base'!$C$14:$N$14,1))))</f>
        <v>0</v>
      </c>
      <c r="AN100">
        <f>IF('Calc base'!I$14=0,0,MIN(AB100,MAX(0,$E100-SUMIFS($V100:$AG100,'Calc base'!$C$17:$N$17,"&lt;"&amp;'Calc base'!I$17,'Calc base'!$C$14:$N$14,1))))</f>
        <v>0</v>
      </c>
      <c r="AO100">
        <f>IF('Calc base'!J$14=0,0,MIN(AC100,MAX(0,$E100-SUMIFS($V100:$AG100,'Calc base'!$C$17:$N$17,"&lt;"&amp;'Calc base'!J$17,'Calc base'!$C$14:$N$14,1))))</f>
        <v>0</v>
      </c>
      <c r="AP100">
        <f>IF('Calc base'!K$14=0,0,MIN(AD100,MAX(0,$E100-SUMIFS($V100:$AG100,'Calc base'!$C$17:$N$17,"&lt;"&amp;'Calc base'!K$17,'Calc base'!$C$14:$N$14,1))))</f>
        <v>0</v>
      </c>
      <c r="AQ100">
        <f>IF('Calc base'!L$14=0,0,MIN(AE100,MAX(0,$E100-SUMIFS($V100:$AG100,'Calc base'!$C$17:$N$17,"&lt;"&amp;'Calc base'!L$17,'Calc base'!$C$14:$N$14,1))))</f>
        <v>0</v>
      </c>
      <c r="AR100">
        <f>IF('Calc base'!M$14=0,0,MIN(AF100,MAX(0,$E100-SUMIFS($V100:$AG100,'Calc base'!$C$17:$N$17,"&lt;"&amp;'Calc base'!M$17,'Calc base'!$C$14:$N$14,1))))</f>
        <v>0</v>
      </c>
      <c r="AS100">
        <f>IF('Calc base'!N$14=0,0,MIN(AG100,MAX(0,$E100-SUMIFS($V100:$AG100,'Calc base'!$C$17:$N$17,"&lt;"&amp;'Calc base'!N$17,'Calc base'!$C$14:$N$14,1))))</f>
        <v>0</v>
      </c>
      <c r="AT100">
        <f>V100-AH100</f>
        <v>0</v>
      </c>
      <c r="AU100">
        <f>W100-AI100</f>
        <v>0</v>
      </c>
      <c r="AV100">
        <f>X100-AJ100</f>
        <v>0</v>
      </c>
      <c r="AW100">
        <f>Y100-AK100</f>
        <v>0</v>
      </c>
      <c r="AX100">
        <f>Z100-AL100</f>
        <v>0</v>
      </c>
      <c r="AY100">
        <f>AA100-AM100</f>
        <v>0</v>
      </c>
      <c r="AZ100">
        <f>AB100-AN100</f>
        <v>0</v>
      </c>
      <c r="BA100">
        <f>AC100-AO100</f>
        <v>0</v>
      </c>
      <c r="BB100">
        <f>AD100-AP100</f>
        <v>0</v>
      </c>
      <c r="BC100">
        <f>AE100-AQ100</f>
        <v>0</v>
      </c>
      <c r="BD100">
        <f>AF100-AR100</f>
        <v>0</v>
      </c>
      <c r="BE100">
        <f>AG100-AS100</f>
        <v>0</v>
      </c>
    </row>
    <row r="101">
      <c r="A101" t="n">
        <v>71</v>
      </c>
      <c r="B101">
        <f>SUMPRODUCT(ROUND($AT100:$BE100*(1+'Calc base'!$H101:$S101),2))</f>
        <v>0</v>
      </c>
      <c r="C101">
        <f>SUM(J101:U101)</f>
        <v>0</v>
      </c>
      <c r="D101">
        <f>SUM(V101:AG101)</f>
        <v>0</v>
      </c>
      <c r="E101">
        <f>MAX(0,IF(Impostazioni!$B$7="No",'Calc base'!$C101-$C$31,'Calc base'!$C101-C101)+'Calc base'!$G101+'Calc base'!$F101-(B101-C101-D101))</f>
        <v>900</v>
      </c>
      <c r="F101">
        <f>SUM(AH101:AS101)</f>
        <v>0</v>
      </c>
      <c r="G101">
        <f>SUM(AT101:BE101)</f>
        <v>0</v>
      </c>
      <c r="H101">
        <f>B101-G100</f>
        <v>0</v>
      </c>
      <c r="I101">
        <f>B101-G101</f>
        <v>0</v>
      </c>
      <c r="J101">
        <f>IF(AT100&lt;=0,0,IF(ROUND(AT100*(1+'Calc base'!H101),2)-MAX('Calc base'!C$12,ROUND('Calc base'!C$13*AT100,2))&lt;1,ROUND(AT100*(1+'Calc base'!H101),2),MAX('Calc base'!C$12,ROUND('Calc base'!C$13*AT100,2))))</f>
        <v>0</v>
      </c>
      <c r="K101">
        <f>IF(AU100&lt;=0,0,IF(ROUND(AU100*(1+'Calc base'!I101),2)-MAX('Calc base'!D$12,ROUND('Calc base'!D$13*AU100,2))&lt;1,ROUND(AU100*(1+'Calc base'!I101),2),MAX('Calc base'!D$12,ROUND('Calc base'!D$13*AU100,2))))</f>
        <v>0</v>
      </c>
      <c r="L101">
        <f>IF(AV100&lt;=0,0,IF(ROUND(AV100*(1+'Calc base'!J101),2)-MAX('Calc base'!E$12,ROUND('Calc base'!E$13*AV100,2))&lt;1,ROUND(AV100*(1+'Calc base'!J101),2),MAX('Calc base'!E$12,ROUND('Calc base'!E$13*AV100,2))))</f>
        <v>0</v>
      </c>
      <c r="M101">
        <f>IF(AW100&lt;=0,0,IF(ROUND(AW100*(1+'Calc base'!K101),2)-MAX('Calc base'!F$12,ROUND('Calc base'!F$13*AW100,2))&lt;1,ROUND(AW100*(1+'Calc base'!K101),2),MAX('Calc base'!F$12,ROUND('Calc base'!F$13*AW100,2))))</f>
        <v>0</v>
      </c>
      <c r="N101">
        <f>IF(AX100&lt;=0,0,IF(ROUND(AX100*(1+'Calc base'!L101),2)-MAX('Calc base'!G$12,ROUND('Calc base'!G$13*AX100,2))&lt;1,ROUND(AX100*(1+'Calc base'!L101),2),MAX('Calc base'!G$12,ROUND('Calc base'!G$13*AX100,2))))</f>
        <v>0</v>
      </c>
      <c r="O101">
        <f>IF(AY100&lt;=0,0,IF(ROUND(AY100*(1+'Calc base'!M101),2)-MAX('Calc base'!H$12,ROUND('Calc base'!H$13*AY100,2))&lt;1,ROUND(AY100*(1+'Calc base'!M101),2),MAX('Calc base'!H$12,ROUND('Calc base'!H$13*AY100,2))))</f>
        <v>0</v>
      </c>
      <c r="P101">
        <f>IF(AZ100&lt;=0,0,IF(ROUND(AZ100*(1+'Calc base'!N101),2)-MAX('Calc base'!I$12,ROUND('Calc base'!I$13*AZ100,2))&lt;1,ROUND(AZ100*(1+'Calc base'!N101),2),MAX('Calc base'!I$12,ROUND('Calc base'!I$13*AZ100,2))))</f>
        <v>0</v>
      </c>
      <c r="Q101">
        <f>IF(BA100&lt;=0,0,IF(ROUND(BA100*(1+'Calc base'!O101),2)-MAX('Calc base'!J$12,ROUND('Calc base'!J$13*BA100,2))&lt;1,ROUND(BA100*(1+'Calc base'!O101),2),MAX('Calc base'!J$12,ROUND('Calc base'!J$13*BA100,2))))</f>
        <v>0</v>
      </c>
      <c r="R101">
        <f>IF(BB100&lt;=0,0,IF(ROUND(BB100*(1+'Calc base'!P101),2)-MAX('Calc base'!K$12,ROUND('Calc base'!K$13*BB100,2))&lt;1,ROUND(BB100*(1+'Calc base'!P101),2),MAX('Calc base'!K$12,ROUND('Calc base'!K$13*BB100,2))))</f>
        <v>0</v>
      </c>
      <c r="S101">
        <f>IF(BC100&lt;=0,0,IF(ROUND(BC100*(1+'Calc base'!Q101),2)-MAX('Calc base'!L$12,ROUND('Calc base'!L$13*BC100,2))&lt;1,ROUND(BC100*(1+'Calc base'!Q101),2),MAX('Calc base'!L$12,ROUND('Calc base'!L$13*BC100,2))))</f>
        <v>0</v>
      </c>
      <c r="T101">
        <f>IF(BD100&lt;=0,0,IF(ROUND(BD100*(1+'Calc base'!R101),2)-MAX('Calc base'!M$12,ROUND('Calc base'!M$13*BD100,2))&lt;1,ROUND(BD100*(1+'Calc base'!R101),2),MAX('Calc base'!M$12,ROUND('Calc base'!M$13*BD100,2))))</f>
        <v>0</v>
      </c>
      <c r="U101">
        <f>IF(BE100&lt;=0,0,IF(ROUND(BE100*(1+'Calc base'!S101),2)-MAX('Calc base'!N$12,ROUND('Calc base'!N$13*BE100,2))&lt;1,ROUND(BE100*(1+'Calc base'!S101),2),MAX('Calc base'!N$12,ROUND('Calc base'!N$13*BE100,2))))</f>
        <v>0</v>
      </c>
      <c r="V101">
        <f>MAX(0,ROUND(AT100*(1+'Calc base'!H101),2)-J101-'Calc base'!T101)</f>
        <v>0</v>
      </c>
      <c r="W101">
        <f>MAX(0,ROUND(AU100*(1+'Calc base'!I101),2)-K101-'Calc base'!U101)</f>
        <v>0</v>
      </c>
      <c r="X101">
        <f>MAX(0,ROUND(AV100*(1+'Calc base'!J101),2)-L101-'Calc base'!V101)</f>
        <v>0</v>
      </c>
      <c r="Y101">
        <f>MAX(0,ROUND(AW100*(1+'Calc base'!K101),2)-M101-'Calc base'!W101)</f>
        <v>0</v>
      </c>
      <c r="Z101">
        <f>MAX(0,ROUND(AX100*(1+'Calc base'!L101),2)-N101-'Calc base'!X101)</f>
        <v>0</v>
      </c>
      <c r="AA101">
        <f>MAX(0,ROUND(AY100*(1+'Calc base'!M101),2)-O101-'Calc base'!Y101)</f>
        <v>0</v>
      </c>
      <c r="AB101">
        <f>MAX(0,ROUND(AZ100*(1+'Calc base'!N101),2)-P101-'Calc base'!Z101)</f>
        <v>0</v>
      </c>
      <c r="AC101">
        <f>MAX(0,ROUND(BA100*(1+'Calc base'!O101),2)-Q101-'Calc base'!AA101)</f>
        <v>0</v>
      </c>
      <c r="AD101">
        <f>MAX(0,ROUND(BB100*(1+'Calc base'!P101),2)-R101-'Calc base'!AB101)</f>
        <v>0</v>
      </c>
      <c r="AE101">
        <f>MAX(0,ROUND(BC100*(1+'Calc base'!Q101),2)-S101-'Calc base'!AC101)</f>
        <v>0</v>
      </c>
      <c r="AF101">
        <f>MAX(0,ROUND(BD100*(1+'Calc base'!R101),2)-T101-'Calc base'!AD101)</f>
        <v>0</v>
      </c>
      <c r="AG101">
        <f>MAX(0,ROUND(BE100*(1+'Calc base'!S101),2)-U101-'Calc base'!AE101)</f>
        <v>0</v>
      </c>
      <c r="AH101">
        <f>IF('Calc base'!C$14=0,0,MIN(V101,MAX(0,$E101-SUMIFS($V101:$AG101,'Calc base'!$C$17:$N$17,"&lt;"&amp;'Calc base'!C$17,'Calc base'!$C$14:$N$14,1))))</f>
        <v>0</v>
      </c>
      <c r="AI101">
        <f>IF('Calc base'!D$14=0,0,MIN(W101,MAX(0,$E101-SUMIFS($V101:$AG101,'Calc base'!$C$17:$N$17,"&lt;"&amp;'Calc base'!D$17,'Calc base'!$C$14:$N$14,1))))</f>
        <v>0</v>
      </c>
      <c r="AJ101">
        <f>IF('Calc base'!E$14=0,0,MIN(X101,MAX(0,$E101-SUMIFS($V101:$AG101,'Calc base'!$C$17:$N$17,"&lt;"&amp;'Calc base'!E$17,'Calc base'!$C$14:$N$14,1))))</f>
        <v>0</v>
      </c>
      <c r="AK101">
        <f>IF('Calc base'!F$14=0,0,MIN(Y101,MAX(0,$E101-SUMIFS($V101:$AG101,'Calc base'!$C$17:$N$17,"&lt;"&amp;'Calc base'!F$17,'Calc base'!$C$14:$N$14,1))))</f>
        <v>0</v>
      </c>
      <c r="AL101">
        <f>IF('Calc base'!G$14=0,0,MIN(Z101,MAX(0,$E101-SUMIFS($V101:$AG101,'Calc base'!$C$17:$N$17,"&lt;"&amp;'Calc base'!G$17,'Calc base'!$C$14:$N$14,1))))</f>
        <v>0</v>
      </c>
      <c r="AM101">
        <f>IF('Calc base'!H$14=0,0,MIN(AA101,MAX(0,$E101-SUMIFS($V101:$AG101,'Calc base'!$C$17:$N$17,"&lt;"&amp;'Calc base'!H$17,'Calc base'!$C$14:$N$14,1))))</f>
        <v>0</v>
      </c>
      <c r="AN101">
        <f>IF('Calc base'!I$14=0,0,MIN(AB101,MAX(0,$E101-SUMIFS($V101:$AG101,'Calc base'!$C$17:$N$17,"&lt;"&amp;'Calc base'!I$17,'Calc base'!$C$14:$N$14,1))))</f>
        <v>0</v>
      </c>
      <c r="AO101">
        <f>IF('Calc base'!J$14=0,0,MIN(AC101,MAX(0,$E101-SUMIFS($V101:$AG101,'Calc base'!$C$17:$N$17,"&lt;"&amp;'Calc base'!J$17,'Calc base'!$C$14:$N$14,1))))</f>
        <v>0</v>
      </c>
      <c r="AP101">
        <f>IF('Calc base'!K$14=0,0,MIN(AD101,MAX(0,$E101-SUMIFS($V101:$AG101,'Calc base'!$C$17:$N$17,"&lt;"&amp;'Calc base'!K$17,'Calc base'!$C$14:$N$14,1))))</f>
        <v>0</v>
      </c>
      <c r="AQ101">
        <f>IF('Calc base'!L$14=0,0,MIN(AE101,MAX(0,$E101-SUMIFS($V101:$AG101,'Calc base'!$C$17:$N$17,"&lt;"&amp;'Calc base'!L$17,'Calc base'!$C$14:$N$14,1))))</f>
        <v>0</v>
      </c>
      <c r="AR101">
        <f>IF('Calc base'!M$14=0,0,MIN(AF101,MAX(0,$E101-SUMIFS($V101:$AG101,'Calc base'!$C$17:$N$17,"&lt;"&amp;'Calc base'!M$17,'Calc base'!$C$14:$N$14,1))))</f>
        <v>0</v>
      </c>
      <c r="AS101">
        <f>IF('Calc base'!N$14=0,0,MIN(AG101,MAX(0,$E101-SUMIFS($V101:$AG101,'Calc base'!$C$17:$N$17,"&lt;"&amp;'Calc base'!N$17,'Calc base'!$C$14:$N$14,1))))</f>
        <v>0</v>
      </c>
      <c r="AT101">
        <f>V101-AH101</f>
        <v>0</v>
      </c>
      <c r="AU101">
        <f>W101-AI101</f>
        <v>0</v>
      </c>
      <c r="AV101">
        <f>X101-AJ101</f>
        <v>0</v>
      </c>
      <c r="AW101">
        <f>Y101-AK101</f>
        <v>0</v>
      </c>
      <c r="AX101">
        <f>Z101-AL101</f>
        <v>0</v>
      </c>
      <c r="AY101">
        <f>AA101-AM101</f>
        <v>0</v>
      </c>
      <c r="AZ101">
        <f>AB101-AN101</f>
        <v>0</v>
      </c>
      <c r="BA101">
        <f>AC101-AO101</f>
        <v>0</v>
      </c>
      <c r="BB101">
        <f>AD101-AP101</f>
        <v>0</v>
      </c>
      <c r="BC101">
        <f>AE101-AQ101</f>
        <v>0</v>
      </c>
      <c r="BD101">
        <f>AF101-AR101</f>
        <v>0</v>
      </c>
      <c r="BE101">
        <f>AG101-AS101</f>
        <v>0</v>
      </c>
    </row>
    <row r="102">
      <c r="A102" t="n">
        <v>72</v>
      </c>
      <c r="B102">
        <f>SUMPRODUCT(ROUND($AT101:$BE101*(1+'Calc base'!$H102:$S102),2))</f>
        <v>0</v>
      </c>
      <c r="C102">
        <f>SUM(J102:U102)</f>
        <v>0</v>
      </c>
      <c r="D102">
        <f>SUM(V102:AG102)</f>
        <v>0</v>
      </c>
      <c r="E102">
        <f>MAX(0,IF(Impostazioni!$B$7="No",'Calc base'!$C102-$C$31,'Calc base'!$C102-C102)+'Calc base'!$G102+'Calc base'!$F102-(B102-C102-D102))</f>
        <v>900</v>
      </c>
      <c r="F102">
        <f>SUM(AH102:AS102)</f>
        <v>0</v>
      </c>
      <c r="G102">
        <f>SUM(AT102:BE102)</f>
        <v>0</v>
      </c>
      <c r="H102">
        <f>B102-G101</f>
        <v>0</v>
      </c>
      <c r="I102">
        <f>B102-G102</f>
        <v>0</v>
      </c>
      <c r="J102">
        <f>IF(AT101&lt;=0,0,IF(ROUND(AT101*(1+'Calc base'!H102),2)-MAX('Calc base'!C$12,ROUND('Calc base'!C$13*AT101,2))&lt;1,ROUND(AT101*(1+'Calc base'!H102),2),MAX('Calc base'!C$12,ROUND('Calc base'!C$13*AT101,2))))</f>
        <v>0</v>
      </c>
      <c r="K102">
        <f>IF(AU101&lt;=0,0,IF(ROUND(AU101*(1+'Calc base'!I102),2)-MAX('Calc base'!D$12,ROUND('Calc base'!D$13*AU101,2))&lt;1,ROUND(AU101*(1+'Calc base'!I102),2),MAX('Calc base'!D$12,ROUND('Calc base'!D$13*AU101,2))))</f>
        <v>0</v>
      </c>
      <c r="L102">
        <f>IF(AV101&lt;=0,0,IF(ROUND(AV101*(1+'Calc base'!J102),2)-MAX('Calc base'!E$12,ROUND('Calc base'!E$13*AV101,2))&lt;1,ROUND(AV101*(1+'Calc base'!J102),2),MAX('Calc base'!E$12,ROUND('Calc base'!E$13*AV101,2))))</f>
        <v>0</v>
      </c>
      <c r="M102">
        <f>IF(AW101&lt;=0,0,IF(ROUND(AW101*(1+'Calc base'!K102),2)-MAX('Calc base'!F$12,ROUND('Calc base'!F$13*AW101,2))&lt;1,ROUND(AW101*(1+'Calc base'!K102),2),MAX('Calc base'!F$12,ROUND('Calc base'!F$13*AW101,2))))</f>
        <v>0</v>
      </c>
      <c r="N102">
        <f>IF(AX101&lt;=0,0,IF(ROUND(AX101*(1+'Calc base'!L102),2)-MAX('Calc base'!G$12,ROUND('Calc base'!G$13*AX101,2))&lt;1,ROUND(AX101*(1+'Calc base'!L102),2),MAX('Calc base'!G$12,ROUND('Calc base'!G$13*AX101,2))))</f>
        <v>0</v>
      </c>
      <c r="O102">
        <f>IF(AY101&lt;=0,0,IF(ROUND(AY101*(1+'Calc base'!M102),2)-MAX('Calc base'!H$12,ROUND('Calc base'!H$13*AY101,2))&lt;1,ROUND(AY101*(1+'Calc base'!M102),2),MAX('Calc base'!H$12,ROUND('Calc base'!H$13*AY101,2))))</f>
        <v>0</v>
      </c>
      <c r="P102">
        <f>IF(AZ101&lt;=0,0,IF(ROUND(AZ101*(1+'Calc base'!N102),2)-MAX('Calc base'!I$12,ROUND('Calc base'!I$13*AZ101,2))&lt;1,ROUND(AZ101*(1+'Calc base'!N102),2),MAX('Calc base'!I$12,ROUND('Calc base'!I$13*AZ101,2))))</f>
        <v>0</v>
      </c>
      <c r="Q102">
        <f>IF(BA101&lt;=0,0,IF(ROUND(BA101*(1+'Calc base'!O102),2)-MAX('Calc base'!J$12,ROUND('Calc base'!J$13*BA101,2))&lt;1,ROUND(BA101*(1+'Calc base'!O102),2),MAX('Calc base'!J$12,ROUND('Calc base'!J$13*BA101,2))))</f>
        <v>0</v>
      </c>
      <c r="R102">
        <f>IF(BB101&lt;=0,0,IF(ROUND(BB101*(1+'Calc base'!P102),2)-MAX('Calc base'!K$12,ROUND('Calc base'!K$13*BB101,2))&lt;1,ROUND(BB101*(1+'Calc base'!P102),2),MAX('Calc base'!K$12,ROUND('Calc base'!K$13*BB101,2))))</f>
        <v>0</v>
      </c>
      <c r="S102">
        <f>IF(BC101&lt;=0,0,IF(ROUND(BC101*(1+'Calc base'!Q102),2)-MAX('Calc base'!L$12,ROUND('Calc base'!L$13*BC101,2))&lt;1,ROUND(BC101*(1+'Calc base'!Q102),2),MAX('Calc base'!L$12,ROUND('Calc base'!L$13*BC101,2))))</f>
        <v>0</v>
      </c>
      <c r="T102">
        <f>IF(BD101&lt;=0,0,IF(ROUND(BD101*(1+'Calc base'!R102),2)-MAX('Calc base'!M$12,ROUND('Calc base'!M$13*BD101,2))&lt;1,ROUND(BD101*(1+'Calc base'!R102),2),MAX('Calc base'!M$12,ROUND('Calc base'!M$13*BD101,2))))</f>
        <v>0</v>
      </c>
      <c r="U102">
        <f>IF(BE101&lt;=0,0,IF(ROUND(BE101*(1+'Calc base'!S102),2)-MAX('Calc base'!N$12,ROUND('Calc base'!N$13*BE101,2))&lt;1,ROUND(BE101*(1+'Calc base'!S102),2),MAX('Calc base'!N$12,ROUND('Calc base'!N$13*BE101,2))))</f>
        <v>0</v>
      </c>
      <c r="V102">
        <f>MAX(0,ROUND(AT101*(1+'Calc base'!H102),2)-J102-'Calc base'!T102)</f>
        <v>0</v>
      </c>
      <c r="W102">
        <f>MAX(0,ROUND(AU101*(1+'Calc base'!I102),2)-K102-'Calc base'!U102)</f>
        <v>0</v>
      </c>
      <c r="X102">
        <f>MAX(0,ROUND(AV101*(1+'Calc base'!J102),2)-L102-'Calc base'!V102)</f>
        <v>0</v>
      </c>
      <c r="Y102">
        <f>MAX(0,ROUND(AW101*(1+'Calc base'!K102),2)-M102-'Calc base'!W102)</f>
        <v>0</v>
      </c>
      <c r="Z102">
        <f>MAX(0,ROUND(AX101*(1+'Calc base'!L102),2)-N102-'Calc base'!X102)</f>
        <v>0</v>
      </c>
      <c r="AA102">
        <f>MAX(0,ROUND(AY101*(1+'Calc base'!M102),2)-O102-'Calc base'!Y102)</f>
        <v>0</v>
      </c>
      <c r="AB102">
        <f>MAX(0,ROUND(AZ101*(1+'Calc base'!N102),2)-P102-'Calc base'!Z102)</f>
        <v>0</v>
      </c>
      <c r="AC102">
        <f>MAX(0,ROUND(BA101*(1+'Calc base'!O102),2)-Q102-'Calc base'!AA102)</f>
        <v>0</v>
      </c>
      <c r="AD102">
        <f>MAX(0,ROUND(BB101*(1+'Calc base'!P102),2)-R102-'Calc base'!AB102)</f>
        <v>0</v>
      </c>
      <c r="AE102">
        <f>MAX(0,ROUND(BC101*(1+'Calc base'!Q102),2)-S102-'Calc base'!AC102)</f>
        <v>0</v>
      </c>
      <c r="AF102">
        <f>MAX(0,ROUND(BD101*(1+'Calc base'!R102),2)-T102-'Calc base'!AD102)</f>
        <v>0</v>
      </c>
      <c r="AG102">
        <f>MAX(0,ROUND(BE101*(1+'Calc base'!S102),2)-U102-'Calc base'!AE102)</f>
        <v>0</v>
      </c>
      <c r="AH102">
        <f>IF('Calc base'!C$14=0,0,MIN(V102,MAX(0,$E102-SUMIFS($V102:$AG102,'Calc base'!$C$17:$N$17,"&lt;"&amp;'Calc base'!C$17,'Calc base'!$C$14:$N$14,1))))</f>
        <v>0</v>
      </c>
      <c r="AI102">
        <f>IF('Calc base'!D$14=0,0,MIN(W102,MAX(0,$E102-SUMIFS($V102:$AG102,'Calc base'!$C$17:$N$17,"&lt;"&amp;'Calc base'!D$17,'Calc base'!$C$14:$N$14,1))))</f>
        <v>0</v>
      </c>
      <c r="AJ102">
        <f>IF('Calc base'!E$14=0,0,MIN(X102,MAX(0,$E102-SUMIFS($V102:$AG102,'Calc base'!$C$17:$N$17,"&lt;"&amp;'Calc base'!E$17,'Calc base'!$C$14:$N$14,1))))</f>
        <v>0</v>
      </c>
      <c r="AK102">
        <f>IF('Calc base'!F$14=0,0,MIN(Y102,MAX(0,$E102-SUMIFS($V102:$AG102,'Calc base'!$C$17:$N$17,"&lt;"&amp;'Calc base'!F$17,'Calc base'!$C$14:$N$14,1))))</f>
        <v>0</v>
      </c>
      <c r="AL102">
        <f>IF('Calc base'!G$14=0,0,MIN(Z102,MAX(0,$E102-SUMIFS($V102:$AG102,'Calc base'!$C$17:$N$17,"&lt;"&amp;'Calc base'!G$17,'Calc base'!$C$14:$N$14,1))))</f>
        <v>0</v>
      </c>
      <c r="AM102">
        <f>IF('Calc base'!H$14=0,0,MIN(AA102,MAX(0,$E102-SUMIFS($V102:$AG102,'Calc base'!$C$17:$N$17,"&lt;"&amp;'Calc base'!H$17,'Calc base'!$C$14:$N$14,1))))</f>
        <v>0</v>
      </c>
      <c r="AN102">
        <f>IF('Calc base'!I$14=0,0,MIN(AB102,MAX(0,$E102-SUMIFS($V102:$AG102,'Calc base'!$C$17:$N$17,"&lt;"&amp;'Calc base'!I$17,'Calc base'!$C$14:$N$14,1))))</f>
        <v>0</v>
      </c>
      <c r="AO102">
        <f>IF('Calc base'!J$14=0,0,MIN(AC102,MAX(0,$E102-SUMIFS($V102:$AG102,'Calc base'!$C$17:$N$17,"&lt;"&amp;'Calc base'!J$17,'Calc base'!$C$14:$N$14,1))))</f>
        <v>0</v>
      </c>
      <c r="AP102">
        <f>IF('Calc base'!K$14=0,0,MIN(AD102,MAX(0,$E102-SUMIFS($V102:$AG102,'Calc base'!$C$17:$N$17,"&lt;"&amp;'Calc base'!K$17,'Calc base'!$C$14:$N$14,1))))</f>
        <v>0</v>
      </c>
      <c r="AQ102">
        <f>IF('Calc base'!L$14=0,0,MIN(AE102,MAX(0,$E102-SUMIFS($V102:$AG102,'Calc base'!$C$17:$N$17,"&lt;"&amp;'Calc base'!L$17,'Calc base'!$C$14:$N$14,1))))</f>
        <v>0</v>
      </c>
      <c r="AR102">
        <f>IF('Calc base'!M$14=0,0,MIN(AF102,MAX(0,$E102-SUMIFS($V102:$AG102,'Calc base'!$C$17:$N$17,"&lt;"&amp;'Calc base'!M$17,'Calc base'!$C$14:$N$14,1))))</f>
        <v>0</v>
      </c>
      <c r="AS102">
        <f>IF('Calc base'!N$14=0,0,MIN(AG102,MAX(0,$E102-SUMIFS($V102:$AG102,'Calc base'!$C$17:$N$17,"&lt;"&amp;'Calc base'!N$17,'Calc base'!$C$14:$N$14,1))))</f>
        <v>0</v>
      </c>
      <c r="AT102">
        <f>V102-AH102</f>
        <v>0</v>
      </c>
      <c r="AU102">
        <f>W102-AI102</f>
        <v>0</v>
      </c>
      <c r="AV102">
        <f>X102-AJ102</f>
        <v>0</v>
      </c>
      <c r="AW102">
        <f>Y102-AK102</f>
        <v>0</v>
      </c>
      <c r="AX102">
        <f>Z102-AL102</f>
        <v>0</v>
      </c>
      <c r="AY102">
        <f>AA102-AM102</f>
        <v>0</v>
      </c>
      <c r="AZ102">
        <f>AB102-AN102</f>
        <v>0</v>
      </c>
      <c r="BA102">
        <f>AC102-AO102</f>
        <v>0</v>
      </c>
      <c r="BB102">
        <f>AD102-AP102</f>
        <v>0</v>
      </c>
      <c r="BC102">
        <f>AE102-AQ102</f>
        <v>0</v>
      </c>
      <c r="BD102">
        <f>AF102-AR102</f>
        <v>0</v>
      </c>
      <c r="BE102">
        <f>AG102-AS102</f>
        <v>0</v>
      </c>
    </row>
    <row r="103">
      <c r="A103" t="n">
        <v>73</v>
      </c>
      <c r="B103">
        <f>SUMPRODUCT(ROUND($AT102:$BE102*(1+'Calc base'!$H103:$S103),2))</f>
        <v>0</v>
      </c>
      <c r="C103">
        <f>SUM(J103:U103)</f>
        <v>0</v>
      </c>
      <c r="D103">
        <f>SUM(V103:AG103)</f>
        <v>0</v>
      </c>
      <c r="E103">
        <f>MAX(0,IF(Impostazioni!$B$7="No",'Calc base'!$C103-$C$31,'Calc base'!$C103-C103)+'Calc base'!$G103+'Calc base'!$F103-(B103-C103-D103))</f>
        <v>900</v>
      </c>
      <c r="F103">
        <f>SUM(AH103:AS103)</f>
        <v>0</v>
      </c>
      <c r="G103">
        <f>SUM(AT103:BE103)</f>
        <v>0</v>
      </c>
      <c r="H103">
        <f>B103-G102</f>
        <v>0</v>
      </c>
      <c r="I103">
        <f>B103-G103</f>
        <v>0</v>
      </c>
      <c r="J103">
        <f>IF(AT102&lt;=0,0,IF(ROUND(AT102*(1+'Calc base'!H103),2)-MAX('Calc base'!C$12,ROUND('Calc base'!C$13*AT102,2))&lt;1,ROUND(AT102*(1+'Calc base'!H103),2),MAX('Calc base'!C$12,ROUND('Calc base'!C$13*AT102,2))))</f>
        <v>0</v>
      </c>
      <c r="K103">
        <f>IF(AU102&lt;=0,0,IF(ROUND(AU102*(1+'Calc base'!I103),2)-MAX('Calc base'!D$12,ROUND('Calc base'!D$13*AU102,2))&lt;1,ROUND(AU102*(1+'Calc base'!I103),2),MAX('Calc base'!D$12,ROUND('Calc base'!D$13*AU102,2))))</f>
        <v>0</v>
      </c>
      <c r="L103">
        <f>IF(AV102&lt;=0,0,IF(ROUND(AV102*(1+'Calc base'!J103),2)-MAX('Calc base'!E$12,ROUND('Calc base'!E$13*AV102,2))&lt;1,ROUND(AV102*(1+'Calc base'!J103),2),MAX('Calc base'!E$12,ROUND('Calc base'!E$13*AV102,2))))</f>
        <v>0</v>
      </c>
      <c r="M103">
        <f>IF(AW102&lt;=0,0,IF(ROUND(AW102*(1+'Calc base'!K103),2)-MAX('Calc base'!F$12,ROUND('Calc base'!F$13*AW102,2))&lt;1,ROUND(AW102*(1+'Calc base'!K103),2),MAX('Calc base'!F$12,ROUND('Calc base'!F$13*AW102,2))))</f>
        <v>0</v>
      </c>
      <c r="N103">
        <f>IF(AX102&lt;=0,0,IF(ROUND(AX102*(1+'Calc base'!L103),2)-MAX('Calc base'!G$12,ROUND('Calc base'!G$13*AX102,2))&lt;1,ROUND(AX102*(1+'Calc base'!L103),2),MAX('Calc base'!G$12,ROUND('Calc base'!G$13*AX102,2))))</f>
        <v>0</v>
      </c>
      <c r="O103">
        <f>IF(AY102&lt;=0,0,IF(ROUND(AY102*(1+'Calc base'!M103),2)-MAX('Calc base'!H$12,ROUND('Calc base'!H$13*AY102,2))&lt;1,ROUND(AY102*(1+'Calc base'!M103),2),MAX('Calc base'!H$12,ROUND('Calc base'!H$13*AY102,2))))</f>
        <v>0</v>
      </c>
      <c r="P103">
        <f>IF(AZ102&lt;=0,0,IF(ROUND(AZ102*(1+'Calc base'!N103),2)-MAX('Calc base'!I$12,ROUND('Calc base'!I$13*AZ102,2))&lt;1,ROUND(AZ102*(1+'Calc base'!N103),2),MAX('Calc base'!I$12,ROUND('Calc base'!I$13*AZ102,2))))</f>
        <v>0</v>
      </c>
      <c r="Q103">
        <f>IF(BA102&lt;=0,0,IF(ROUND(BA102*(1+'Calc base'!O103),2)-MAX('Calc base'!J$12,ROUND('Calc base'!J$13*BA102,2))&lt;1,ROUND(BA102*(1+'Calc base'!O103),2),MAX('Calc base'!J$12,ROUND('Calc base'!J$13*BA102,2))))</f>
        <v>0</v>
      </c>
      <c r="R103">
        <f>IF(BB102&lt;=0,0,IF(ROUND(BB102*(1+'Calc base'!P103),2)-MAX('Calc base'!K$12,ROUND('Calc base'!K$13*BB102,2))&lt;1,ROUND(BB102*(1+'Calc base'!P103),2),MAX('Calc base'!K$12,ROUND('Calc base'!K$13*BB102,2))))</f>
        <v>0</v>
      </c>
      <c r="S103">
        <f>IF(BC102&lt;=0,0,IF(ROUND(BC102*(1+'Calc base'!Q103),2)-MAX('Calc base'!L$12,ROUND('Calc base'!L$13*BC102,2))&lt;1,ROUND(BC102*(1+'Calc base'!Q103),2),MAX('Calc base'!L$12,ROUND('Calc base'!L$13*BC102,2))))</f>
        <v>0</v>
      </c>
      <c r="T103">
        <f>IF(BD102&lt;=0,0,IF(ROUND(BD102*(1+'Calc base'!R103),2)-MAX('Calc base'!M$12,ROUND('Calc base'!M$13*BD102,2))&lt;1,ROUND(BD102*(1+'Calc base'!R103),2),MAX('Calc base'!M$12,ROUND('Calc base'!M$13*BD102,2))))</f>
        <v>0</v>
      </c>
      <c r="U103">
        <f>IF(BE102&lt;=0,0,IF(ROUND(BE102*(1+'Calc base'!S103),2)-MAX('Calc base'!N$12,ROUND('Calc base'!N$13*BE102,2))&lt;1,ROUND(BE102*(1+'Calc base'!S103),2),MAX('Calc base'!N$12,ROUND('Calc base'!N$13*BE102,2))))</f>
        <v>0</v>
      </c>
      <c r="V103">
        <f>MAX(0,ROUND(AT102*(1+'Calc base'!H103),2)-J103-'Calc base'!T103)</f>
        <v>0</v>
      </c>
      <c r="W103">
        <f>MAX(0,ROUND(AU102*(1+'Calc base'!I103),2)-K103-'Calc base'!U103)</f>
        <v>0</v>
      </c>
      <c r="X103">
        <f>MAX(0,ROUND(AV102*(1+'Calc base'!J103),2)-L103-'Calc base'!V103)</f>
        <v>0</v>
      </c>
      <c r="Y103">
        <f>MAX(0,ROUND(AW102*(1+'Calc base'!K103),2)-M103-'Calc base'!W103)</f>
        <v>0</v>
      </c>
      <c r="Z103">
        <f>MAX(0,ROUND(AX102*(1+'Calc base'!L103),2)-N103-'Calc base'!X103)</f>
        <v>0</v>
      </c>
      <c r="AA103">
        <f>MAX(0,ROUND(AY102*(1+'Calc base'!M103),2)-O103-'Calc base'!Y103)</f>
        <v>0</v>
      </c>
      <c r="AB103">
        <f>MAX(0,ROUND(AZ102*(1+'Calc base'!N103),2)-P103-'Calc base'!Z103)</f>
        <v>0</v>
      </c>
      <c r="AC103">
        <f>MAX(0,ROUND(BA102*(1+'Calc base'!O103),2)-Q103-'Calc base'!AA103)</f>
        <v>0</v>
      </c>
      <c r="AD103">
        <f>MAX(0,ROUND(BB102*(1+'Calc base'!P103),2)-R103-'Calc base'!AB103)</f>
        <v>0</v>
      </c>
      <c r="AE103">
        <f>MAX(0,ROUND(BC102*(1+'Calc base'!Q103),2)-S103-'Calc base'!AC103)</f>
        <v>0</v>
      </c>
      <c r="AF103">
        <f>MAX(0,ROUND(BD102*(1+'Calc base'!R103),2)-T103-'Calc base'!AD103)</f>
        <v>0</v>
      </c>
      <c r="AG103">
        <f>MAX(0,ROUND(BE102*(1+'Calc base'!S103),2)-U103-'Calc base'!AE103)</f>
        <v>0</v>
      </c>
      <c r="AH103">
        <f>IF('Calc base'!C$14=0,0,MIN(V103,MAX(0,$E103-SUMIFS($V103:$AG103,'Calc base'!$C$17:$N$17,"&lt;"&amp;'Calc base'!C$17,'Calc base'!$C$14:$N$14,1))))</f>
        <v>0</v>
      </c>
      <c r="AI103">
        <f>IF('Calc base'!D$14=0,0,MIN(W103,MAX(0,$E103-SUMIFS($V103:$AG103,'Calc base'!$C$17:$N$17,"&lt;"&amp;'Calc base'!D$17,'Calc base'!$C$14:$N$14,1))))</f>
        <v>0</v>
      </c>
      <c r="AJ103">
        <f>IF('Calc base'!E$14=0,0,MIN(X103,MAX(0,$E103-SUMIFS($V103:$AG103,'Calc base'!$C$17:$N$17,"&lt;"&amp;'Calc base'!E$17,'Calc base'!$C$14:$N$14,1))))</f>
        <v>0</v>
      </c>
      <c r="AK103">
        <f>IF('Calc base'!F$14=0,0,MIN(Y103,MAX(0,$E103-SUMIFS($V103:$AG103,'Calc base'!$C$17:$N$17,"&lt;"&amp;'Calc base'!F$17,'Calc base'!$C$14:$N$14,1))))</f>
        <v>0</v>
      </c>
      <c r="AL103">
        <f>IF('Calc base'!G$14=0,0,MIN(Z103,MAX(0,$E103-SUMIFS($V103:$AG103,'Calc base'!$C$17:$N$17,"&lt;"&amp;'Calc base'!G$17,'Calc base'!$C$14:$N$14,1))))</f>
        <v>0</v>
      </c>
      <c r="AM103">
        <f>IF('Calc base'!H$14=0,0,MIN(AA103,MAX(0,$E103-SUMIFS($V103:$AG103,'Calc base'!$C$17:$N$17,"&lt;"&amp;'Calc base'!H$17,'Calc base'!$C$14:$N$14,1))))</f>
        <v>0</v>
      </c>
      <c r="AN103">
        <f>IF('Calc base'!I$14=0,0,MIN(AB103,MAX(0,$E103-SUMIFS($V103:$AG103,'Calc base'!$C$17:$N$17,"&lt;"&amp;'Calc base'!I$17,'Calc base'!$C$14:$N$14,1))))</f>
        <v>0</v>
      </c>
      <c r="AO103">
        <f>IF('Calc base'!J$14=0,0,MIN(AC103,MAX(0,$E103-SUMIFS($V103:$AG103,'Calc base'!$C$17:$N$17,"&lt;"&amp;'Calc base'!J$17,'Calc base'!$C$14:$N$14,1))))</f>
        <v>0</v>
      </c>
      <c r="AP103">
        <f>IF('Calc base'!K$14=0,0,MIN(AD103,MAX(0,$E103-SUMIFS($V103:$AG103,'Calc base'!$C$17:$N$17,"&lt;"&amp;'Calc base'!K$17,'Calc base'!$C$14:$N$14,1))))</f>
        <v>0</v>
      </c>
      <c r="AQ103">
        <f>IF('Calc base'!L$14=0,0,MIN(AE103,MAX(0,$E103-SUMIFS($V103:$AG103,'Calc base'!$C$17:$N$17,"&lt;"&amp;'Calc base'!L$17,'Calc base'!$C$14:$N$14,1))))</f>
        <v>0</v>
      </c>
      <c r="AR103">
        <f>IF('Calc base'!M$14=0,0,MIN(AF103,MAX(0,$E103-SUMIFS($V103:$AG103,'Calc base'!$C$17:$N$17,"&lt;"&amp;'Calc base'!M$17,'Calc base'!$C$14:$N$14,1))))</f>
        <v>0</v>
      </c>
      <c r="AS103">
        <f>IF('Calc base'!N$14=0,0,MIN(AG103,MAX(0,$E103-SUMIFS($V103:$AG103,'Calc base'!$C$17:$N$17,"&lt;"&amp;'Calc base'!N$17,'Calc base'!$C$14:$N$14,1))))</f>
        <v>0</v>
      </c>
      <c r="AT103">
        <f>V103-AH103</f>
        <v>0</v>
      </c>
      <c r="AU103">
        <f>W103-AI103</f>
        <v>0</v>
      </c>
      <c r="AV103">
        <f>X103-AJ103</f>
        <v>0</v>
      </c>
      <c r="AW103">
        <f>Y103-AK103</f>
        <v>0</v>
      </c>
      <c r="AX103">
        <f>Z103-AL103</f>
        <v>0</v>
      </c>
      <c r="AY103">
        <f>AA103-AM103</f>
        <v>0</v>
      </c>
      <c r="AZ103">
        <f>AB103-AN103</f>
        <v>0</v>
      </c>
      <c r="BA103">
        <f>AC103-AO103</f>
        <v>0</v>
      </c>
      <c r="BB103">
        <f>AD103-AP103</f>
        <v>0</v>
      </c>
      <c r="BC103">
        <f>AE103-AQ103</f>
        <v>0</v>
      </c>
      <c r="BD103">
        <f>AF103-AR103</f>
        <v>0</v>
      </c>
      <c r="BE103">
        <f>AG103-AS103</f>
        <v>0</v>
      </c>
    </row>
    <row r="104">
      <c r="A104" t="n">
        <v>74</v>
      </c>
      <c r="B104">
        <f>SUMPRODUCT(ROUND($AT103:$BE103*(1+'Calc base'!$H104:$S104),2))</f>
        <v>0</v>
      </c>
      <c r="C104">
        <f>SUM(J104:U104)</f>
        <v>0</v>
      </c>
      <c r="D104">
        <f>SUM(V104:AG104)</f>
        <v>0</v>
      </c>
      <c r="E104">
        <f>MAX(0,IF(Impostazioni!$B$7="No",'Calc base'!$C104-$C$31,'Calc base'!$C104-C104)+'Calc base'!$G104+'Calc base'!$F104-(B104-C104-D104))</f>
        <v>900</v>
      </c>
      <c r="F104">
        <f>SUM(AH104:AS104)</f>
        <v>0</v>
      </c>
      <c r="G104">
        <f>SUM(AT104:BE104)</f>
        <v>0</v>
      </c>
      <c r="H104">
        <f>B104-G103</f>
        <v>0</v>
      </c>
      <c r="I104">
        <f>B104-G104</f>
        <v>0</v>
      </c>
      <c r="J104">
        <f>IF(AT103&lt;=0,0,IF(ROUND(AT103*(1+'Calc base'!H104),2)-MAX('Calc base'!C$12,ROUND('Calc base'!C$13*AT103,2))&lt;1,ROUND(AT103*(1+'Calc base'!H104),2),MAX('Calc base'!C$12,ROUND('Calc base'!C$13*AT103,2))))</f>
        <v>0</v>
      </c>
      <c r="K104">
        <f>IF(AU103&lt;=0,0,IF(ROUND(AU103*(1+'Calc base'!I104),2)-MAX('Calc base'!D$12,ROUND('Calc base'!D$13*AU103,2))&lt;1,ROUND(AU103*(1+'Calc base'!I104),2),MAX('Calc base'!D$12,ROUND('Calc base'!D$13*AU103,2))))</f>
        <v>0</v>
      </c>
      <c r="L104">
        <f>IF(AV103&lt;=0,0,IF(ROUND(AV103*(1+'Calc base'!J104),2)-MAX('Calc base'!E$12,ROUND('Calc base'!E$13*AV103,2))&lt;1,ROUND(AV103*(1+'Calc base'!J104),2),MAX('Calc base'!E$12,ROUND('Calc base'!E$13*AV103,2))))</f>
        <v>0</v>
      </c>
      <c r="M104">
        <f>IF(AW103&lt;=0,0,IF(ROUND(AW103*(1+'Calc base'!K104),2)-MAX('Calc base'!F$12,ROUND('Calc base'!F$13*AW103,2))&lt;1,ROUND(AW103*(1+'Calc base'!K104),2),MAX('Calc base'!F$12,ROUND('Calc base'!F$13*AW103,2))))</f>
        <v>0</v>
      </c>
      <c r="N104">
        <f>IF(AX103&lt;=0,0,IF(ROUND(AX103*(1+'Calc base'!L104),2)-MAX('Calc base'!G$12,ROUND('Calc base'!G$13*AX103,2))&lt;1,ROUND(AX103*(1+'Calc base'!L104),2),MAX('Calc base'!G$12,ROUND('Calc base'!G$13*AX103,2))))</f>
        <v>0</v>
      </c>
      <c r="O104">
        <f>IF(AY103&lt;=0,0,IF(ROUND(AY103*(1+'Calc base'!M104),2)-MAX('Calc base'!H$12,ROUND('Calc base'!H$13*AY103,2))&lt;1,ROUND(AY103*(1+'Calc base'!M104),2),MAX('Calc base'!H$12,ROUND('Calc base'!H$13*AY103,2))))</f>
        <v>0</v>
      </c>
      <c r="P104">
        <f>IF(AZ103&lt;=0,0,IF(ROUND(AZ103*(1+'Calc base'!N104),2)-MAX('Calc base'!I$12,ROUND('Calc base'!I$13*AZ103,2))&lt;1,ROUND(AZ103*(1+'Calc base'!N104),2),MAX('Calc base'!I$12,ROUND('Calc base'!I$13*AZ103,2))))</f>
        <v>0</v>
      </c>
      <c r="Q104">
        <f>IF(BA103&lt;=0,0,IF(ROUND(BA103*(1+'Calc base'!O104),2)-MAX('Calc base'!J$12,ROUND('Calc base'!J$13*BA103,2))&lt;1,ROUND(BA103*(1+'Calc base'!O104),2),MAX('Calc base'!J$12,ROUND('Calc base'!J$13*BA103,2))))</f>
        <v>0</v>
      </c>
      <c r="R104">
        <f>IF(BB103&lt;=0,0,IF(ROUND(BB103*(1+'Calc base'!P104),2)-MAX('Calc base'!K$12,ROUND('Calc base'!K$13*BB103,2))&lt;1,ROUND(BB103*(1+'Calc base'!P104),2),MAX('Calc base'!K$12,ROUND('Calc base'!K$13*BB103,2))))</f>
        <v>0</v>
      </c>
      <c r="S104">
        <f>IF(BC103&lt;=0,0,IF(ROUND(BC103*(1+'Calc base'!Q104),2)-MAX('Calc base'!L$12,ROUND('Calc base'!L$13*BC103,2))&lt;1,ROUND(BC103*(1+'Calc base'!Q104),2),MAX('Calc base'!L$12,ROUND('Calc base'!L$13*BC103,2))))</f>
        <v>0</v>
      </c>
      <c r="T104">
        <f>IF(BD103&lt;=0,0,IF(ROUND(BD103*(1+'Calc base'!R104),2)-MAX('Calc base'!M$12,ROUND('Calc base'!M$13*BD103,2))&lt;1,ROUND(BD103*(1+'Calc base'!R104),2),MAX('Calc base'!M$12,ROUND('Calc base'!M$13*BD103,2))))</f>
        <v>0</v>
      </c>
      <c r="U104">
        <f>IF(BE103&lt;=0,0,IF(ROUND(BE103*(1+'Calc base'!S104),2)-MAX('Calc base'!N$12,ROUND('Calc base'!N$13*BE103,2))&lt;1,ROUND(BE103*(1+'Calc base'!S104),2),MAX('Calc base'!N$12,ROUND('Calc base'!N$13*BE103,2))))</f>
        <v>0</v>
      </c>
      <c r="V104">
        <f>MAX(0,ROUND(AT103*(1+'Calc base'!H104),2)-J104-'Calc base'!T104)</f>
        <v>0</v>
      </c>
      <c r="W104">
        <f>MAX(0,ROUND(AU103*(1+'Calc base'!I104),2)-K104-'Calc base'!U104)</f>
        <v>0</v>
      </c>
      <c r="X104">
        <f>MAX(0,ROUND(AV103*(1+'Calc base'!J104),2)-L104-'Calc base'!V104)</f>
        <v>0</v>
      </c>
      <c r="Y104">
        <f>MAX(0,ROUND(AW103*(1+'Calc base'!K104),2)-M104-'Calc base'!W104)</f>
        <v>0</v>
      </c>
      <c r="Z104">
        <f>MAX(0,ROUND(AX103*(1+'Calc base'!L104),2)-N104-'Calc base'!X104)</f>
        <v>0</v>
      </c>
      <c r="AA104">
        <f>MAX(0,ROUND(AY103*(1+'Calc base'!M104),2)-O104-'Calc base'!Y104)</f>
        <v>0</v>
      </c>
      <c r="AB104">
        <f>MAX(0,ROUND(AZ103*(1+'Calc base'!N104),2)-P104-'Calc base'!Z104)</f>
        <v>0</v>
      </c>
      <c r="AC104">
        <f>MAX(0,ROUND(BA103*(1+'Calc base'!O104),2)-Q104-'Calc base'!AA104)</f>
        <v>0</v>
      </c>
      <c r="AD104">
        <f>MAX(0,ROUND(BB103*(1+'Calc base'!P104),2)-R104-'Calc base'!AB104)</f>
        <v>0</v>
      </c>
      <c r="AE104">
        <f>MAX(0,ROUND(BC103*(1+'Calc base'!Q104),2)-S104-'Calc base'!AC104)</f>
        <v>0</v>
      </c>
      <c r="AF104">
        <f>MAX(0,ROUND(BD103*(1+'Calc base'!R104),2)-T104-'Calc base'!AD104)</f>
        <v>0</v>
      </c>
      <c r="AG104">
        <f>MAX(0,ROUND(BE103*(1+'Calc base'!S104),2)-U104-'Calc base'!AE104)</f>
        <v>0</v>
      </c>
      <c r="AH104">
        <f>IF('Calc base'!C$14=0,0,MIN(V104,MAX(0,$E104-SUMIFS($V104:$AG104,'Calc base'!$C$17:$N$17,"&lt;"&amp;'Calc base'!C$17,'Calc base'!$C$14:$N$14,1))))</f>
        <v>0</v>
      </c>
      <c r="AI104">
        <f>IF('Calc base'!D$14=0,0,MIN(W104,MAX(0,$E104-SUMIFS($V104:$AG104,'Calc base'!$C$17:$N$17,"&lt;"&amp;'Calc base'!D$17,'Calc base'!$C$14:$N$14,1))))</f>
        <v>0</v>
      </c>
      <c r="AJ104">
        <f>IF('Calc base'!E$14=0,0,MIN(X104,MAX(0,$E104-SUMIFS($V104:$AG104,'Calc base'!$C$17:$N$17,"&lt;"&amp;'Calc base'!E$17,'Calc base'!$C$14:$N$14,1))))</f>
        <v>0</v>
      </c>
      <c r="AK104">
        <f>IF('Calc base'!F$14=0,0,MIN(Y104,MAX(0,$E104-SUMIFS($V104:$AG104,'Calc base'!$C$17:$N$17,"&lt;"&amp;'Calc base'!F$17,'Calc base'!$C$14:$N$14,1))))</f>
        <v>0</v>
      </c>
      <c r="AL104">
        <f>IF('Calc base'!G$14=0,0,MIN(Z104,MAX(0,$E104-SUMIFS($V104:$AG104,'Calc base'!$C$17:$N$17,"&lt;"&amp;'Calc base'!G$17,'Calc base'!$C$14:$N$14,1))))</f>
        <v>0</v>
      </c>
      <c r="AM104">
        <f>IF('Calc base'!H$14=0,0,MIN(AA104,MAX(0,$E104-SUMIFS($V104:$AG104,'Calc base'!$C$17:$N$17,"&lt;"&amp;'Calc base'!H$17,'Calc base'!$C$14:$N$14,1))))</f>
        <v>0</v>
      </c>
      <c r="AN104">
        <f>IF('Calc base'!I$14=0,0,MIN(AB104,MAX(0,$E104-SUMIFS($V104:$AG104,'Calc base'!$C$17:$N$17,"&lt;"&amp;'Calc base'!I$17,'Calc base'!$C$14:$N$14,1))))</f>
        <v>0</v>
      </c>
      <c r="AO104">
        <f>IF('Calc base'!J$14=0,0,MIN(AC104,MAX(0,$E104-SUMIFS($V104:$AG104,'Calc base'!$C$17:$N$17,"&lt;"&amp;'Calc base'!J$17,'Calc base'!$C$14:$N$14,1))))</f>
        <v>0</v>
      </c>
      <c r="AP104">
        <f>IF('Calc base'!K$14=0,0,MIN(AD104,MAX(0,$E104-SUMIFS($V104:$AG104,'Calc base'!$C$17:$N$17,"&lt;"&amp;'Calc base'!K$17,'Calc base'!$C$14:$N$14,1))))</f>
        <v>0</v>
      </c>
      <c r="AQ104">
        <f>IF('Calc base'!L$14=0,0,MIN(AE104,MAX(0,$E104-SUMIFS($V104:$AG104,'Calc base'!$C$17:$N$17,"&lt;"&amp;'Calc base'!L$17,'Calc base'!$C$14:$N$14,1))))</f>
        <v>0</v>
      </c>
      <c r="AR104">
        <f>IF('Calc base'!M$14=0,0,MIN(AF104,MAX(0,$E104-SUMIFS($V104:$AG104,'Calc base'!$C$17:$N$17,"&lt;"&amp;'Calc base'!M$17,'Calc base'!$C$14:$N$14,1))))</f>
        <v>0</v>
      </c>
      <c r="AS104">
        <f>IF('Calc base'!N$14=0,0,MIN(AG104,MAX(0,$E104-SUMIFS($V104:$AG104,'Calc base'!$C$17:$N$17,"&lt;"&amp;'Calc base'!N$17,'Calc base'!$C$14:$N$14,1))))</f>
        <v>0</v>
      </c>
      <c r="AT104">
        <f>V104-AH104</f>
        <v>0</v>
      </c>
      <c r="AU104">
        <f>W104-AI104</f>
        <v>0</v>
      </c>
      <c r="AV104">
        <f>X104-AJ104</f>
        <v>0</v>
      </c>
      <c r="AW104">
        <f>Y104-AK104</f>
        <v>0</v>
      </c>
      <c r="AX104">
        <f>Z104-AL104</f>
        <v>0</v>
      </c>
      <c r="AY104">
        <f>AA104-AM104</f>
        <v>0</v>
      </c>
      <c r="AZ104">
        <f>AB104-AN104</f>
        <v>0</v>
      </c>
      <c r="BA104">
        <f>AC104-AO104</f>
        <v>0</v>
      </c>
      <c r="BB104">
        <f>AD104-AP104</f>
        <v>0</v>
      </c>
      <c r="BC104">
        <f>AE104-AQ104</f>
        <v>0</v>
      </c>
      <c r="BD104">
        <f>AF104-AR104</f>
        <v>0</v>
      </c>
      <c r="BE104">
        <f>AG104-AS104</f>
        <v>0</v>
      </c>
    </row>
    <row r="105">
      <c r="A105" t="n">
        <v>75</v>
      </c>
      <c r="B105">
        <f>SUMPRODUCT(ROUND($AT104:$BE104*(1+'Calc base'!$H105:$S105),2))</f>
        <v>0</v>
      </c>
      <c r="C105">
        <f>SUM(J105:U105)</f>
        <v>0</v>
      </c>
      <c r="D105">
        <f>SUM(V105:AG105)</f>
        <v>0</v>
      </c>
      <c r="E105">
        <f>MAX(0,IF(Impostazioni!$B$7="No",'Calc base'!$C105-$C$31,'Calc base'!$C105-C105)+'Calc base'!$G105+'Calc base'!$F105-(B105-C105-D105))</f>
        <v>900</v>
      </c>
      <c r="F105">
        <f>SUM(AH105:AS105)</f>
        <v>0</v>
      </c>
      <c r="G105">
        <f>SUM(AT105:BE105)</f>
        <v>0</v>
      </c>
      <c r="H105">
        <f>B105-G104</f>
        <v>0</v>
      </c>
      <c r="I105">
        <f>B105-G105</f>
        <v>0</v>
      </c>
      <c r="J105">
        <f>IF(AT104&lt;=0,0,IF(ROUND(AT104*(1+'Calc base'!H105),2)-MAX('Calc base'!C$12,ROUND('Calc base'!C$13*AT104,2))&lt;1,ROUND(AT104*(1+'Calc base'!H105),2),MAX('Calc base'!C$12,ROUND('Calc base'!C$13*AT104,2))))</f>
        <v>0</v>
      </c>
      <c r="K105">
        <f>IF(AU104&lt;=0,0,IF(ROUND(AU104*(1+'Calc base'!I105),2)-MAX('Calc base'!D$12,ROUND('Calc base'!D$13*AU104,2))&lt;1,ROUND(AU104*(1+'Calc base'!I105),2),MAX('Calc base'!D$12,ROUND('Calc base'!D$13*AU104,2))))</f>
        <v>0</v>
      </c>
      <c r="L105">
        <f>IF(AV104&lt;=0,0,IF(ROUND(AV104*(1+'Calc base'!J105),2)-MAX('Calc base'!E$12,ROUND('Calc base'!E$13*AV104,2))&lt;1,ROUND(AV104*(1+'Calc base'!J105),2),MAX('Calc base'!E$12,ROUND('Calc base'!E$13*AV104,2))))</f>
        <v>0</v>
      </c>
      <c r="M105">
        <f>IF(AW104&lt;=0,0,IF(ROUND(AW104*(1+'Calc base'!K105),2)-MAX('Calc base'!F$12,ROUND('Calc base'!F$13*AW104,2))&lt;1,ROUND(AW104*(1+'Calc base'!K105),2),MAX('Calc base'!F$12,ROUND('Calc base'!F$13*AW104,2))))</f>
        <v>0</v>
      </c>
      <c r="N105">
        <f>IF(AX104&lt;=0,0,IF(ROUND(AX104*(1+'Calc base'!L105),2)-MAX('Calc base'!G$12,ROUND('Calc base'!G$13*AX104,2))&lt;1,ROUND(AX104*(1+'Calc base'!L105),2),MAX('Calc base'!G$12,ROUND('Calc base'!G$13*AX104,2))))</f>
        <v>0</v>
      </c>
      <c r="O105">
        <f>IF(AY104&lt;=0,0,IF(ROUND(AY104*(1+'Calc base'!M105),2)-MAX('Calc base'!H$12,ROUND('Calc base'!H$13*AY104,2))&lt;1,ROUND(AY104*(1+'Calc base'!M105),2),MAX('Calc base'!H$12,ROUND('Calc base'!H$13*AY104,2))))</f>
        <v>0</v>
      </c>
      <c r="P105">
        <f>IF(AZ104&lt;=0,0,IF(ROUND(AZ104*(1+'Calc base'!N105),2)-MAX('Calc base'!I$12,ROUND('Calc base'!I$13*AZ104,2))&lt;1,ROUND(AZ104*(1+'Calc base'!N105),2),MAX('Calc base'!I$12,ROUND('Calc base'!I$13*AZ104,2))))</f>
        <v>0</v>
      </c>
      <c r="Q105">
        <f>IF(BA104&lt;=0,0,IF(ROUND(BA104*(1+'Calc base'!O105),2)-MAX('Calc base'!J$12,ROUND('Calc base'!J$13*BA104,2))&lt;1,ROUND(BA104*(1+'Calc base'!O105),2),MAX('Calc base'!J$12,ROUND('Calc base'!J$13*BA104,2))))</f>
        <v>0</v>
      </c>
      <c r="R105">
        <f>IF(BB104&lt;=0,0,IF(ROUND(BB104*(1+'Calc base'!P105),2)-MAX('Calc base'!K$12,ROUND('Calc base'!K$13*BB104,2))&lt;1,ROUND(BB104*(1+'Calc base'!P105),2),MAX('Calc base'!K$12,ROUND('Calc base'!K$13*BB104,2))))</f>
        <v>0</v>
      </c>
      <c r="S105">
        <f>IF(BC104&lt;=0,0,IF(ROUND(BC104*(1+'Calc base'!Q105),2)-MAX('Calc base'!L$12,ROUND('Calc base'!L$13*BC104,2))&lt;1,ROUND(BC104*(1+'Calc base'!Q105),2),MAX('Calc base'!L$12,ROUND('Calc base'!L$13*BC104,2))))</f>
        <v>0</v>
      </c>
      <c r="T105">
        <f>IF(BD104&lt;=0,0,IF(ROUND(BD104*(1+'Calc base'!R105),2)-MAX('Calc base'!M$12,ROUND('Calc base'!M$13*BD104,2))&lt;1,ROUND(BD104*(1+'Calc base'!R105),2),MAX('Calc base'!M$12,ROUND('Calc base'!M$13*BD104,2))))</f>
        <v>0</v>
      </c>
      <c r="U105">
        <f>IF(BE104&lt;=0,0,IF(ROUND(BE104*(1+'Calc base'!S105),2)-MAX('Calc base'!N$12,ROUND('Calc base'!N$13*BE104,2))&lt;1,ROUND(BE104*(1+'Calc base'!S105),2),MAX('Calc base'!N$12,ROUND('Calc base'!N$13*BE104,2))))</f>
        <v>0</v>
      </c>
      <c r="V105">
        <f>MAX(0,ROUND(AT104*(1+'Calc base'!H105),2)-J105-'Calc base'!T105)</f>
        <v>0</v>
      </c>
      <c r="W105">
        <f>MAX(0,ROUND(AU104*(1+'Calc base'!I105),2)-K105-'Calc base'!U105)</f>
        <v>0</v>
      </c>
      <c r="X105">
        <f>MAX(0,ROUND(AV104*(1+'Calc base'!J105),2)-L105-'Calc base'!V105)</f>
        <v>0</v>
      </c>
      <c r="Y105">
        <f>MAX(0,ROUND(AW104*(1+'Calc base'!K105),2)-M105-'Calc base'!W105)</f>
        <v>0</v>
      </c>
      <c r="Z105">
        <f>MAX(0,ROUND(AX104*(1+'Calc base'!L105),2)-N105-'Calc base'!X105)</f>
        <v>0</v>
      </c>
      <c r="AA105">
        <f>MAX(0,ROUND(AY104*(1+'Calc base'!M105),2)-O105-'Calc base'!Y105)</f>
        <v>0</v>
      </c>
      <c r="AB105">
        <f>MAX(0,ROUND(AZ104*(1+'Calc base'!N105),2)-P105-'Calc base'!Z105)</f>
        <v>0</v>
      </c>
      <c r="AC105">
        <f>MAX(0,ROUND(BA104*(1+'Calc base'!O105),2)-Q105-'Calc base'!AA105)</f>
        <v>0</v>
      </c>
      <c r="AD105">
        <f>MAX(0,ROUND(BB104*(1+'Calc base'!P105),2)-R105-'Calc base'!AB105)</f>
        <v>0</v>
      </c>
      <c r="AE105">
        <f>MAX(0,ROUND(BC104*(1+'Calc base'!Q105),2)-S105-'Calc base'!AC105)</f>
        <v>0</v>
      </c>
      <c r="AF105">
        <f>MAX(0,ROUND(BD104*(1+'Calc base'!R105),2)-T105-'Calc base'!AD105)</f>
        <v>0</v>
      </c>
      <c r="AG105">
        <f>MAX(0,ROUND(BE104*(1+'Calc base'!S105),2)-U105-'Calc base'!AE105)</f>
        <v>0</v>
      </c>
      <c r="AH105">
        <f>IF('Calc base'!C$14=0,0,MIN(V105,MAX(0,$E105-SUMIFS($V105:$AG105,'Calc base'!$C$17:$N$17,"&lt;"&amp;'Calc base'!C$17,'Calc base'!$C$14:$N$14,1))))</f>
        <v>0</v>
      </c>
      <c r="AI105">
        <f>IF('Calc base'!D$14=0,0,MIN(W105,MAX(0,$E105-SUMIFS($V105:$AG105,'Calc base'!$C$17:$N$17,"&lt;"&amp;'Calc base'!D$17,'Calc base'!$C$14:$N$14,1))))</f>
        <v>0</v>
      </c>
      <c r="AJ105">
        <f>IF('Calc base'!E$14=0,0,MIN(X105,MAX(0,$E105-SUMIFS($V105:$AG105,'Calc base'!$C$17:$N$17,"&lt;"&amp;'Calc base'!E$17,'Calc base'!$C$14:$N$14,1))))</f>
        <v>0</v>
      </c>
      <c r="AK105">
        <f>IF('Calc base'!F$14=0,0,MIN(Y105,MAX(0,$E105-SUMIFS($V105:$AG105,'Calc base'!$C$17:$N$17,"&lt;"&amp;'Calc base'!F$17,'Calc base'!$C$14:$N$14,1))))</f>
        <v>0</v>
      </c>
      <c r="AL105">
        <f>IF('Calc base'!G$14=0,0,MIN(Z105,MAX(0,$E105-SUMIFS($V105:$AG105,'Calc base'!$C$17:$N$17,"&lt;"&amp;'Calc base'!G$17,'Calc base'!$C$14:$N$14,1))))</f>
        <v>0</v>
      </c>
      <c r="AM105">
        <f>IF('Calc base'!H$14=0,0,MIN(AA105,MAX(0,$E105-SUMIFS($V105:$AG105,'Calc base'!$C$17:$N$17,"&lt;"&amp;'Calc base'!H$17,'Calc base'!$C$14:$N$14,1))))</f>
        <v>0</v>
      </c>
      <c r="AN105">
        <f>IF('Calc base'!I$14=0,0,MIN(AB105,MAX(0,$E105-SUMIFS($V105:$AG105,'Calc base'!$C$17:$N$17,"&lt;"&amp;'Calc base'!I$17,'Calc base'!$C$14:$N$14,1))))</f>
        <v>0</v>
      </c>
      <c r="AO105">
        <f>IF('Calc base'!J$14=0,0,MIN(AC105,MAX(0,$E105-SUMIFS($V105:$AG105,'Calc base'!$C$17:$N$17,"&lt;"&amp;'Calc base'!J$17,'Calc base'!$C$14:$N$14,1))))</f>
        <v>0</v>
      </c>
      <c r="AP105">
        <f>IF('Calc base'!K$14=0,0,MIN(AD105,MAX(0,$E105-SUMIFS($V105:$AG105,'Calc base'!$C$17:$N$17,"&lt;"&amp;'Calc base'!K$17,'Calc base'!$C$14:$N$14,1))))</f>
        <v>0</v>
      </c>
      <c r="AQ105">
        <f>IF('Calc base'!L$14=0,0,MIN(AE105,MAX(0,$E105-SUMIFS($V105:$AG105,'Calc base'!$C$17:$N$17,"&lt;"&amp;'Calc base'!L$17,'Calc base'!$C$14:$N$14,1))))</f>
        <v>0</v>
      </c>
      <c r="AR105">
        <f>IF('Calc base'!M$14=0,0,MIN(AF105,MAX(0,$E105-SUMIFS($V105:$AG105,'Calc base'!$C$17:$N$17,"&lt;"&amp;'Calc base'!M$17,'Calc base'!$C$14:$N$14,1))))</f>
        <v>0</v>
      </c>
      <c r="AS105">
        <f>IF('Calc base'!N$14=0,0,MIN(AG105,MAX(0,$E105-SUMIFS($V105:$AG105,'Calc base'!$C$17:$N$17,"&lt;"&amp;'Calc base'!N$17,'Calc base'!$C$14:$N$14,1))))</f>
        <v>0</v>
      </c>
      <c r="AT105">
        <f>V105-AH105</f>
        <v>0</v>
      </c>
      <c r="AU105">
        <f>W105-AI105</f>
        <v>0</v>
      </c>
      <c r="AV105">
        <f>X105-AJ105</f>
        <v>0</v>
      </c>
      <c r="AW105">
        <f>Y105-AK105</f>
        <v>0</v>
      </c>
      <c r="AX105">
        <f>Z105-AL105</f>
        <v>0</v>
      </c>
      <c r="AY105">
        <f>AA105-AM105</f>
        <v>0</v>
      </c>
      <c r="AZ105">
        <f>AB105-AN105</f>
        <v>0</v>
      </c>
      <c r="BA105">
        <f>AC105-AO105</f>
        <v>0</v>
      </c>
      <c r="BB105">
        <f>AD105-AP105</f>
        <v>0</v>
      </c>
      <c r="BC105">
        <f>AE105-AQ105</f>
        <v>0</v>
      </c>
      <c r="BD105">
        <f>AF105-AR105</f>
        <v>0</v>
      </c>
      <c r="BE105">
        <f>AG105-AS105</f>
        <v>0</v>
      </c>
    </row>
    <row r="106">
      <c r="A106" t="n">
        <v>76</v>
      </c>
      <c r="B106">
        <f>SUMPRODUCT(ROUND($AT105:$BE105*(1+'Calc base'!$H106:$S106),2))</f>
        <v>0</v>
      </c>
      <c r="C106">
        <f>SUM(J106:U106)</f>
        <v>0</v>
      </c>
      <c r="D106">
        <f>SUM(V106:AG106)</f>
        <v>0</v>
      </c>
      <c r="E106">
        <f>MAX(0,IF(Impostazioni!$B$7="No",'Calc base'!$C106-$C$31,'Calc base'!$C106-C106)+'Calc base'!$G106+'Calc base'!$F106-(B106-C106-D106))</f>
        <v>900</v>
      </c>
      <c r="F106">
        <f>SUM(AH106:AS106)</f>
        <v>0</v>
      </c>
      <c r="G106">
        <f>SUM(AT106:BE106)</f>
        <v>0</v>
      </c>
      <c r="H106">
        <f>B106-G105</f>
        <v>0</v>
      </c>
      <c r="I106">
        <f>B106-G106</f>
        <v>0</v>
      </c>
      <c r="J106">
        <f>IF(AT105&lt;=0,0,IF(ROUND(AT105*(1+'Calc base'!H106),2)-MAX('Calc base'!C$12,ROUND('Calc base'!C$13*AT105,2))&lt;1,ROUND(AT105*(1+'Calc base'!H106),2),MAX('Calc base'!C$12,ROUND('Calc base'!C$13*AT105,2))))</f>
        <v>0</v>
      </c>
      <c r="K106">
        <f>IF(AU105&lt;=0,0,IF(ROUND(AU105*(1+'Calc base'!I106),2)-MAX('Calc base'!D$12,ROUND('Calc base'!D$13*AU105,2))&lt;1,ROUND(AU105*(1+'Calc base'!I106),2),MAX('Calc base'!D$12,ROUND('Calc base'!D$13*AU105,2))))</f>
        <v>0</v>
      </c>
      <c r="L106">
        <f>IF(AV105&lt;=0,0,IF(ROUND(AV105*(1+'Calc base'!J106),2)-MAX('Calc base'!E$12,ROUND('Calc base'!E$13*AV105,2))&lt;1,ROUND(AV105*(1+'Calc base'!J106),2),MAX('Calc base'!E$12,ROUND('Calc base'!E$13*AV105,2))))</f>
        <v>0</v>
      </c>
      <c r="M106">
        <f>IF(AW105&lt;=0,0,IF(ROUND(AW105*(1+'Calc base'!K106),2)-MAX('Calc base'!F$12,ROUND('Calc base'!F$13*AW105,2))&lt;1,ROUND(AW105*(1+'Calc base'!K106),2),MAX('Calc base'!F$12,ROUND('Calc base'!F$13*AW105,2))))</f>
        <v>0</v>
      </c>
      <c r="N106">
        <f>IF(AX105&lt;=0,0,IF(ROUND(AX105*(1+'Calc base'!L106),2)-MAX('Calc base'!G$12,ROUND('Calc base'!G$13*AX105,2))&lt;1,ROUND(AX105*(1+'Calc base'!L106),2),MAX('Calc base'!G$12,ROUND('Calc base'!G$13*AX105,2))))</f>
        <v>0</v>
      </c>
      <c r="O106">
        <f>IF(AY105&lt;=0,0,IF(ROUND(AY105*(1+'Calc base'!M106),2)-MAX('Calc base'!H$12,ROUND('Calc base'!H$13*AY105,2))&lt;1,ROUND(AY105*(1+'Calc base'!M106),2),MAX('Calc base'!H$12,ROUND('Calc base'!H$13*AY105,2))))</f>
        <v>0</v>
      </c>
      <c r="P106">
        <f>IF(AZ105&lt;=0,0,IF(ROUND(AZ105*(1+'Calc base'!N106),2)-MAX('Calc base'!I$12,ROUND('Calc base'!I$13*AZ105,2))&lt;1,ROUND(AZ105*(1+'Calc base'!N106),2),MAX('Calc base'!I$12,ROUND('Calc base'!I$13*AZ105,2))))</f>
        <v>0</v>
      </c>
      <c r="Q106">
        <f>IF(BA105&lt;=0,0,IF(ROUND(BA105*(1+'Calc base'!O106),2)-MAX('Calc base'!J$12,ROUND('Calc base'!J$13*BA105,2))&lt;1,ROUND(BA105*(1+'Calc base'!O106),2),MAX('Calc base'!J$12,ROUND('Calc base'!J$13*BA105,2))))</f>
        <v>0</v>
      </c>
      <c r="R106">
        <f>IF(BB105&lt;=0,0,IF(ROUND(BB105*(1+'Calc base'!P106),2)-MAX('Calc base'!K$12,ROUND('Calc base'!K$13*BB105,2))&lt;1,ROUND(BB105*(1+'Calc base'!P106),2),MAX('Calc base'!K$12,ROUND('Calc base'!K$13*BB105,2))))</f>
        <v>0</v>
      </c>
      <c r="S106">
        <f>IF(BC105&lt;=0,0,IF(ROUND(BC105*(1+'Calc base'!Q106),2)-MAX('Calc base'!L$12,ROUND('Calc base'!L$13*BC105,2))&lt;1,ROUND(BC105*(1+'Calc base'!Q106),2),MAX('Calc base'!L$12,ROUND('Calc base'!L$13*BC105,2))))</f>
        <v>0</v>
      </c>
      <c r="T106">
        <f>IF(BD105&lt;=0,0,IF(ROUND(BD105*(1+'Calc base'!R106),2)-MAX('Calc base'!M$12,ROUND('Calc base'!M$13*BD105,2))&lt;1,ROUND(BD105*(1+'Calc base'!R106),2),MAX('Calc base'!M$12,ROUND('Calc base'!M$13*BD105,2))))</f>
        <v>0</v>
      </c>
      <c r="U106">
        <f>IF(BE105&lt;=0,0,IF(ROUND(BE105*(1+'Calc base'!S106),2)-MAX('Calc base'!N$12,ROUND('Calc base'!N$13*BE105,2))&lt;1,ROUND(BE105*(1+'Calc base'!S106),2),MAX('Calc base'!N$12,ROUND('Calc base'!N$13*BE105,2))))</f>
        <v>0</v>
      </c>
      <c r="V106">
        <f>MAX(0,ROUND(AT105*(1+'Calc base'!H106),2)-J106-'Calc base'!T106)</f>
        <v>0</v>
      </c>
      <c r="W106">
        <f>MAX(0,ROUND(AU105*(1+'Calc base'!I106),2)-K106-'Calc base'!U106)</f>
        <v>0</v>
      </c>
      <c r="X106">
        <f>MAX(0,ROUND(AV105*(1+'Calc base'!J106),2)-L106-'Calc base'!V106)</f>
        <v>0</v>
      </c>
      <c r="Y106">
        <f>MAX(0,ROUND(AW105*(1+'Calc base'!K106),2)-M106-'Calc base'!W106)</f>
        <v>0</v>
      </c>
      <c r="Z106">
        <f>MAX(0,ROUND(AX105*(1+'Calc base'!L106),2)-N106-'Calc base'!X106)</f>
        <v>0</v>
      </c>
      <c r="AA106">
        <f>MAX(0,ROUND(AY105*(1+'Calc base'!M106),2)-O106-'Calc base'!Y106)</f>
        <v>0</v>
      </c>
      <c r="AB106">
        <f>MAX(0,ROUND(AZ105*(1+'Calc base'!N106),2)-P106-'Calc base'!Z106)</f>
        <v>0</v>
      </c>
      <c r="AC106">
        <f>MAX(0,ROUND(BA105*(1+'Calc base'!O106),2)-Q106-'Calc base'!AA106)</f>
        <v>0</v>
      </c>
      <c r="AD106">
        <f>MAX(0,ROUND(BB105*(1+'Calc base'!P106),2)-R106-'Calc base'!AB106)</f>
        <v>0</v>
      </c>
      <c r="AE106">
        <f>MAX(0,ROUND(BC105*(1+'Calc base'!Q106),2)-S106-'Calc base'!AC106)</f>
        <v>0</v>
      </c>
      <c r="AF106">
        <f>MAX(0,ROUND(BD105*(1+'Calc base'!R106),2)-T106-'Calc base'!AD106)</f>
        <v>0</v>
      </c>
      <c r="AG106">
        <f>MAX(0,ROUND(BE105*(1+'Calc base'!S106),2)-U106-'Calc base'!AE106)</f>
        <v>0</v>
      </c>
      <c r="AH106">
        <f>IF('Calc base'!C$14=0,0,MIN(V106,MAX(0,$E106-SUMIFS($V106:$AG106,'Calc base'!$C$17:$N$17,"&lt;"&amp;'Calc base'!C$17,'Calc base'!$C$14:$N$14,1))))</f>
        <v>0</v>
      </c>
      <c r="AI106">
        <f>IF('Calc base'!D$14=0,0,MIN(W106,MAX(0,$E106-SUMIFS($V106:$AG106,'Calc base'!$C$17:$N$17,"&lt;"&amp;'Calc base'!D$17,'Calc base'!$C$14:$N$14,1))))</f>
        <v>0</v>
      </c>
      <c r="AJ106">
        <f>IF('Calc base'!E$14=0,0,MIN(X106,MAX(0,$E106-SUMIFS($V106:$AG106,'Calc base'!$C$17:$N$17,"&lt;"&amp;'Calc base'!E$17,'Calc base'!$C$14:$N$14,1))))</f>
        <v>0</v>
      </c>
      <c r="AK106">
        <f>IF('Calc base'!F$14=0,0,MIN(Y106,MAX(0,$E106-SUMIFS($V106:$AG106,'Calc base'!$C$17:$N$17,"&lt;"&amp;'Calc base'!F$17,'Calc base'!$C$14:$N$14,1))))</f>
        <v>0</v>
      </c>
      <c r="AL106">
        <f>IF('Calc base'!G$14=0,0,MIN(Z106,MAX(0,$E106-SUMIFS($V106:$AG106,'Calc base'!$C$17:$N$17,"&lt;"&amp;'Calc base'!G$17,'Calc base'!$C$14:$N$14,1))))</f>
        <v>0</v>
      </c>
      <c r="AM106">
        <f>IF('Calc base'!H$14=0,0,MIN(AA106,MAX(0,$E106-SUMIFS($V106:$AG106,'Calc base'!$C$17:$N$17,"&lt;"&amp;'Calc base'!H$17,'Calc base'!$C$14:$N$14,1))))</f>
        <v>0</v>
      </c>
      <c r="AN106">
        <f>IF('Calc base'!I$14=0,0,MIN(AB106,MAX(0,$E106-SUMIFS($V106:$AG106,'Calc base'!$C$17:$N$17,"&lt;"&amp;'Calc base'!I$17,'Calc base'!$C$14:$N$14,1))))</f>
        <v>0</v>
      </c>
      <c r="AO106">
        <f>IF('Calc base'!J$14=0,0,MIN(AC106,MAX(0,$E106-SUMIFS($V106:$AG106,'Calc base'!$C$17:$N$17,"&lt;"&amp;'Calc base'!J$17,'Calc base'!$C$14:$N$14,1))))</f>
        <v>0</v>
      </c>
      <c r="AP106">
        <f>IF('Calc base'!K$14=0,0,MIN(AD106,MAX(0,$E106-SUMIFS($V106:$AG106,'Calc base'!$C$17:$N$17,"&lt;"&amp;'Calc base'!K$17,'Calc base'!$C$14:$N$14,1))))</f>
        <v>0</v>
      </c>
      <c r="AQ106">
        <f>IF('Calc base'!L$14=0,0,MIN(AE106,MAX(0,$E106-SUMIFS($V106:$AG106,'Calc base'!$C$17:$N$17,"&lt;"&amp;'Calc base'!L$17,'Calc base'!$C$14:$N$14,1))))</f>
        <v>0</v>
      </c>
      <c r="AR106">
        <f>IF('Calc base'!M$14=0,0,MIN(AF106,MAX(0,$E106-SUMIFS($V106:$AG106,'Calc base'!$C$17:$N$17,"&lt;"&amp;'Calc base'!M$17,'Calc base'!$C$14:$N$14,1))))</f>
        <v>0</v>
      </c>
      <c r="AS106">
        <f>IF('Calc base'!N$14=0,0,MIN(AG106,MAX(0,$E106-SUMIFS($V106:$AG106,'Calc base'!$C$17:$N$17,"&lt;"&amp;'Calc base'!N$17,'Calc base'!$C$14:$N$14,1))))</f>
        <v>0</v>
      </c>
      <c r="AT106">
        <f>V106-AH106</f>
        <v>0</v>
      </c>
      <c r="AU106">
        <f>W106-AI106</f>
        <v>0</v>
      </c>
      <c r="AV106">
        <f>X106-AJ106</f>
        <v>0</v>
      </c>
      <c r="AW106">
        <f>Y106-AK106</f>
        <v>0</v>
      </c>
      <c r="AX106">
        <f>Z106-AL106</f>
        <v>0</v>
      </c>
      <c r="AY106">
        <f>AA106-AM106</f>
        <v>0</v>
      </c>
      <c r="AZ106">
        <f>AB106-AN106</f>
        <v>0</v>
      </c>
      <c r="BA106">
        <f>AC106-AO106</f>
        <v>0</v>
      </c>
      <c r="BB106">
        <f>AD106-AP106</f>
        <v>0</v>
      </c>
      <c r="BC106">
        <f>AE106-AQ106</f>
        <v>0</v>
      </c>
      <c r="BD106">
        <f>AF106-AR106</f>
        <v>0</v>
      </c>
      <c r="BE106">
        <f>AG106-AS106</f>
        <v>0</v>
      </c>
    </row>
    <row r="107">
      <c r="A107" t="n">
        <v>77</v>
      </c>
      <c r="B107">
        <f>SUMPRODUCT(ROUND($AT106:$BE106*(1+'Calc base'!$H107:$S107),2))</f>
        <v>0</v>
      </c>
      <c r="C107">
        <f>SUM(J107:U107)</f>
        <v>0</v>
      </c>
      <c r="D107">
        <f>SUM(V107:AG107)</f>
        <v>0</v>
      </c>
      <c r="E107">
        <f>MAX(0,IF(Impostazioni!$B$7="No",'Calc base'!$C107-$C$31,'Calc base'!$C107-C107)+'Calc base'!$G107+'Calc base'!$F107-(B107-C107-D107))</f>
        <v>900</v>
      </c>
      <c r="F107">
        <f>SUM(AH107:AS107)</f>
        <v>0</v>
      </c>
      <c r="G107">
        <f>SUM(AT107:BE107)</f>
        <v>0</v>
      </c>
      <c r="H107">
        <f>B107-G106</f>
        <v>0</v>
      </c>
      <c r="I107">
        <f>B107-G107</f>
        <v>0</v>
      </c>
      <c r="J107">
        <f>IF(AT106&lt;=0,0,IF(ROUND(AT106*(1+'Calc base'!H107),2)-MAX('Calc base'!C$12,ROUND('Calc base'!C$13*AT106,2))&lt;1,ROUND(AT106*(1+'Calc base'!H107),2),MAX('Calc base'!C$12,ROUND('Calc base'!C$13*AT106,2))))</f>
        <v>0</v>
      </c>
      <c r="K107">
        <f>IF(AU106&lt;=0,0,IF(ROUND(AU106*(1+'Calc base'!I107),2)-MAX('Calc base'!D$12,ROUND('Calc base'!D$13*AU106,2))&lt;1,ROUND(AU106*(1+'Calc base'!I107),2),MAX('Calc base'!D$12,ROUND('Calc base'!D$13*AU106,2))))</f>
        <v>0</v>
      </c>
      <c r="L107">
        <f>IF(AV106&lt;=0,0,IF(ROUND(AV106*(1+'Calc base'!J107),2)-MAX('Calc base'!E$12,ROUND('Calc base'!E$13*AV106,2))&lt;1,ROUND(AV106*(1+'Calc base'!J107),2),MAX('Calc base'!E$12,ROUND('Calc base'!E$13*AV106,2))))</f>
        <v>0</v>
      </c>
      <c r="M107">
        <f>IF(AW106&lt;=0,0,IF(ROUND(AW106*(1+'Calc base'!K107),2)-MAX('Calc base'!F$12,ROUND('Calc base'!F$13*AW106,2))&lt;1,ROUND(AW106*(1+'Calc base'!K107),2),MAX('Calc base'!F$12,ROUND('Calc base'!F$13*AW106,2))))</f>
        <v>0</v>
      </c>
      <c r="N107">
        <f>IF(AX106&lt;=0,0,IF(ROUND(AX106*(1+'Calc base'!L107),2)-MAX('Calc base'!G$12,ROUND('Calc base'!G$13*AX106,2))&lt;1,ROUND(AX106*(1+'Calc base'!L107),2),MAX('Calc base'!G$12,ROUND('Calc base'!G$13*AX106,2))))</f>
        <v>0</v>
      </c>
      <c r="O107">
        <f>IF(AY106&lt;=0,0,IF(ROUND(AY106*(1+'Calc base'!M107),2)-MAX('Calc base'!H$12,ROUND('Calc base'!H$13*AY106,2))&lt;1,ROUND(AY106*(1+'Calc base'!M107),2),MAX('Calc base'!H$12,ROUND('Calc base'!H$13*AY106,2))))</f>
        <v>0</v>
      </c>
      <c r="P107">
        <f>IF(AZ106&lt;=0,0,IF(ROUND(AZ106*(1+'Calc base'!N107),2)-MAX('Calc base'!I$12,ROUND('Calc base'!I$13*AZ106,2))&lt;1,ROUND(AZ106*(1+'Calc base'!N107),2),MAX('Calc base'!I$12,ROUND('Calc base'!I$13*AZ106,2))))</f>
        <v>0</v>
      </c>
      <c r="Q107">
        <f>IF(BA106&lt;=0,0,IF(ROUND(BA106*(1+'Calc base'!O107),2)-MAX('Calc base'!J$12,ROUND('Calc base'!J$13*BA106,2))&lt;1,ROUND(BA106*(1+'Calc base'!O107),2),MAX('Calc base'!J$12,ROUND('Calc base'!J$13*BA106,2))))</f>
        <v>0</v>
      </c>
      <c r="R107">
        <f>IF(BB106&lt;=0,0,IF(ROUND(BB106*(1+'Calc base'!P107),2)-MAX('Calc base'!K$12,ROUND('Calc base'!K$13*BB106,2))&lt;1,ROUND(BB106*(1+'Calc base'!P107),2),MAX('Calc base'!K$12,ROUND('Calc base'!K$13*BB106,2))))</f>
        <v>0</v>
      </c>
      <c r="S107">
        <f>IF(BC106&lt;=0,0,IF(ROUND(BC106*(1+'Calc base'!Q107),2)-MAX('Calc base'!L$12,ROUND('Calc base'!L$13*BC106,2))&lt;1,ROUND(BC106*(1+'Calc base'!Q107),2),MAX('Calc base'!L$12,ROUND('Calc base'!L$13*BC106,2))))</f>
        <v>0</v>
      </c>
      <c r="T107">
        <f>IF(BD106&lt;=0,0,IF(ROUND(BD106*(1+'Calc base'!R107),2)-MAX('Calc base'!M$12,ROUND('Calc base'!M$13*BD106,2))&lt;1,ROUND(BD106*(1+'Calc base'!R107),2),MAX('Calc base'!M$12,ROUND('Calc base'!M$13*BD106,2))))</f>
        <v>0</v>
      </c>
      <c r="U107">
        <f>IF(BE106&lt;=0,0,IF(ROUND(BE106*(1+'Calc base'!S107),2)-MAX('Calc base'!N$12,ROUND('Calc base'!N$13*BE106,2))&lt;1,ROUND(BE106*(1+'Calc base'!S107),2),MAX('Calc base'!N$12,ROUND('Calc base'!N$13*BE106,2))))</f>
        <v>0</v>
      </c>
      <c r="V107">
        <f>MAX(0,ROUND(AT106*(1+'Calc base'!H107),2)-J107-'Calc base'!T107)</f>
        <v>0</v>
      </c>
      <c r="W107">
        <f>MAX(0,ROUND(AU106*(1+'Calc base'!I107),2)-K107-'Calc base'!U107)</f>
        <v>0</v>
      </c>
      <c r="X107">
        <f>MAX(0,ROUND(AV106*(1+'Calc base'!J107),2)-L107-'Calc base'!V107)</f>
        <v>0</v>
      </c>
      <c r="Y107">
        <f>MAX(0,ROUND(AW106*(1+'Calc base'!K107),2)-M107-'Calc base'!W107)</f>
        <v>0</v>
      </c>
      <c r="Z107">
        <f>MAX(0,ROUND(AX106*(1+'Calc base'!L107),2)-N107-'Calc base'!X107)</f>
        <v>0</v>
      </c>
      <c r="AA107">
        <f>MAX(0,ROUND(AY106*(1+'Calc base'!M107),2)-O107-'Calc base'!Y107)</f>
        <v>0</v>
      </c>
      <c r="AB107">
        <f>MAX(0,ROUND(AZ106*(1+'Calc base'!N107),2)-P107-'Calc base'!Z107)</f>
        <v>0</v>
      </c>
      <c r="AC107">
        <f>MAX(0,ROUND(BA106*(1+'Calc base'!O107),2)-Q107-'Calc base'!AA107)</f>
        <v>0</v>
      </c>
      <c r="AD107">
        <f>MAX(0,ROUND(BB106*(1+'Calc base'!P107),2)-R107-'Calc base'!AB107)</f>
        <v>0</v>
      </c>
      <c r="AE107">
        <f>MAX(0,ROUND(BC106*(1+'Calc base'!Q107),2)-S107-'Calc base'!AC107)</f>
        <v>0</v>
      </c>
      <c r="AF107">
        <f>MAX(0,ROUND(BD106*(1+'Calc base'!R107),2)-T107-'Calc base'!AD107)</f>
        <v>0</v>
      </c>
      <c r="AG107">
        <f>MAX(0,ROUND(BE106*(1+'Calc base'!S107),2)-U107-'Calc base'!AE107)</f>
        <v>0</v>
      </c>
      <c r="AH107">
        <f>IF('Calc base'!C$14=0,0,MIN(V107,MAX(0,$E107-SUMIFS($V107:$AG107,'Calc base'!$C$17:$N$17,"&lt;"&amp;'Calc base'!C$17,'Calc base'!$C$14:$N$14,1))))</f>
        <v>0</v>
      </c>
      <c r="AI107">
        <f>IF('Calc base'!D$14=0,0,MIN(W107,MAX(0,$E107-SUMIFS($V107:$AG107,'Calc base'!$C$17:$N$17,"&lt;"&amp;'Calc base'!D$17,'Calc base'!$C$14:$N$14,1))))</f>
        <v>0</v>
      </c>
      <c r="AJ107">
        <f>IF('Calc base'!E$14=0,0,MIN(X107,MAX(0,$E107-SUMIFS($V107:$AG107,'Calc base'!$C$17:$N$17,"&lt;"&amp;'Calc base'!E$17,'Calc base'!$C$14:$N$14,1))))</f>
        <v>0</v>
      </c>
      <c r="AK107">
        <f>IF('Calc base'!F$14=0,0,MIN(Y107,MAX(0,$E107-SUMIFS($V107:$AG107,'Calc base'!$C$17:$N$17,"&lt;"&amp;'Calc base'!F$17,'Calc base'!$C$14:$N$14,1))))</f>
        <v>0</v>
      </c>
      <c r="AL107">
        <f>IF('Calc base'!G$14=0,0,MIN(Z107,MAX(0,$E107-SUMIFS($V107:$AG107,'Calc base'!$C$17:$N$17,"&lt;"&amp;'Calc base'!G$17,'Calc base'!$C$14:$N$14,1))))</f>
        <v>0</v>
      </c>
      <c r="AM107">
        <f>IF('Calc base'!H$14=0,0,MIN(AA107,MAX(0,$E107-SUMIFS($V107:$AG107,'Calc base'!$C$17:$N$17,"&lt;"&amp;'Calc base'!H$17,'Calc base'!$C$14:$N$14,1))))</f>
        <v>0</v>
      </c>
      <c r="AN107">
        <f>IF('Calc base'!I$14=0,0,MIN(AB107,MAX(0,$E107-SUMIFS($V107:$AG107,'Calc base'!$C$17:$N$17,"&lt;"&amp;'Calc base'!I$17,'Calc base'!$C$14:$N$14,1))))</f>
        <v>0</v>
      </c>
      <c r="AO107">
        <f>IF('Calc base'!J$14=0,0,MIN(AC107,MAX(0,$E107-SUMIFS($V107:$AG107,'Calc base'!$C$17:$N$17,"&lt;"&amp;'Calc base'!J$17,'Calc base'!$C$14:$N$14,1))))</f>
        <v>0</v>
      </c>
      <c r="AP107">
        <f>IF('Calc base'!K$14=0,0,MIN(AD107,MAX(0,$E107-SUMIFS($V107:$AG107,'Calc base'!$C$17:$N$17,"&lt;"&amp;'Calc base'!K$17,'Calc base'!$C$14:$N$14,1))))</f>
        <v>0</v>
      </c>
      <c r="AQ107">
        <f>IF('Calc base'!L$14=0,0,MIN(AE107,MAX(0,$E107-SUMIFS($V107:$AG107,'Calc base'!$C$17:$N$17,"&lt;"&amp;'Calc base'!L$17,'Calc base'!$C$14:$N$14,1))))</f>
        <v>0</v>
      </c>
      <c r="AR107">
        <f>IF('Calc base'!M$14=0,0,MIN(AF107,MAX(0,$E107-SUMIFS($V107:$AG107,'Calc base'!$C$17:$N$17,"&lt;"&amp;'Calc base'!M$17,'Calc base'!$C$14:$N$14,1))))</f>
        <v>0</v>
      </c>
      <c r="AS107">
        <f>IF('Calc base'!N$14=0,0,MIN(AG107,MAX(0,$E107-SUMIFS($V107:$AG107,'Calc base'!$C$17:$N$17,"&lt;"&amp;'Calc base'!N$17,'Calc base'!$C$14:$N$14,1))))</f>
        <v>0</v>
      </c>
      <c r="AT107">
        <f>V107-AH107</f>
        <v>0</v>
      </c>
      <c r="AU107">
        <f>W107-AI107</f>
        <v>0</v>
      </c>
      <c r="AV107">
        <f>X107-AJ107</f>
        <v>0</v>
      </c>
      <c r="AW107">
        <f>Y107-AK107</f>
        <v>0</v>
      </c>
      <c r="AX107">
        <f>Z107-AL107</f>
        <v>0</v>
      </c>
      <c r="AY107">
        <f>AA107-AM107</f>
        <v>0</v>
      </c>
      <c r="AZ107">
        <f>AB107-AN107</f>
        <v>0</v>
      </c>
      <c r="BA107">
        <f>AC107-AO107</f>
        <v>0</v>
      </c>
      <c r="BB107">
        <f>AD107-AP107</f>
        <v>0</v>
      </c>
      <c r="BC107">
        <f>AE107-AQ107</f>
        <v>0</v>
      </c>
      <c r="BD107">
        <f>AF107-AR107</f>
        <v>0</v>
      </c>
      <c r="BE107">
        <f>AG107-AS107</f>
        <v>0</v>
      </c>
    </row>
    <row r="108">
      <c r="A108" t="n">
        <v>78</v>
      </c>
      <c r="B108">
        <f>SUMPRODUCT(ROUND($AT107:$BE107*(1+'Calc base'!$H108:$S108),2))</f>
        <v>0</v>
      </c>
      <c r="C108">
        <f>SUM(J108:U108)</f>
        <v>0</v>
      </c>
      <c r="D108">
        <f>SUM(V108:AG108)</f>
        <v>0</v>
      </c>
      <c r="E108">
        <f>MAX(0,IF(Impostazioni!$B$7="No",'Calc base'!$C108-$C$31,'Calc base'!$C108-C108)+'Calc base'!$G108+'Calc base'!$F108-(B108-C108-D108))</f>
        <v>900</v>
      </c>
      <c r="F108">
        <f>SUM(AH108:AS108)</f>
        <v>0</v>
      </c>
      <c r="G108">
        <f>SUM(AT108:BE108)</f>
        <v>0</v>
      </c>
      <c r="H108">
        <f>B108-G107</f>
        <v>0</v>
      </c>
      <c r="I108">
        <f>B108-G108</f>
        <v>0</v>
      </c>
      <c r="J108">
        <f>IF(AT107&lt;=0,0,IF(ROUND(AT107*(1+'Calc base'!H108),2)-MAX('Calc base'!C$12,ROUND('Calc base'!C$13*AT107,2))&lt;1,ROUND(AT107*(1+'Calc base'!H108),2),MAX('Calc base'!C$12,ROUND('Calc base'!C$13*AT107,2))))</f>
        <v>0</v>
      </c>
      <c r="K108">
        <f>IF(AU107&lt;=0,0,IF(ROUND(AU107*(1+'Calc base'!I108),2)-MAX('Calc base'!D$12,ROUND('Calc base'!D$13*AU107,2))&lt;1,ROUND(AU107*(1+'Calc base'!I108),2),MAX('Calc base'!D$12,ROUND('Calc base'!D$13*AU107,2))))</f>
        <v>0</v>
      </c>
      <c r="L108">
        <f>IF(AV107&lt;=0,0,IF(ROUND(AV107*(1+'Calc base'!J108),2)-MAX('Calc base'!E$12,ROUND('Calc base'!E$13*AV107,2))&lt;1,ROUND(AV107*(1+'Calc base'!J108),2),MAX('Calc base'!E$12,ROUND('Calc base'!E$13*AV107,2))))</f>
        <v>0</v>
      </c>
      <c r="M108">
        <f>IF(AW107&lt;=0,0,IF(ROUND(AW107*(1+'Calc base'!K108),2)-MAX('Calc base'!F$12,ROUND('Calc base'!F$13*AW107,2))&lt;1,ROUND(AW107*(1+'Calc base'!K108),2),MAX('Calc base'!F$12,ROUND('Calc base'!F$13*AW107,2))))</f>
        <v>0</v>
      </c>
      <c r="N108">
        <f>IF(AX107&lt;=0,0,IF(ROUND(AX107*(1+'Calc base'!L108),2)-MAX('Calc base'!G$12,ROUND('Calc base'!G$13*AX107,2))&lt;1,ROUND(AX107*(1+'Calc base'!L108),2),MAX('Calc base'!G$12,ROUND('Calc base'!G$13*AX107,2))))</f>
        <v>0</v>
      </c>
      <c r="O108">
        <f>IF(AY107&lt;=0,0,IF(ROUND(AY107*(1+'Calc base'!M108),2)-MAX('Calc base'!H$12,ROUND('Calc base'!H$13*AY107,2))&lt;1,ROUND(AY107*(1+'Calc base'!M108),2),MAX('Calc base'!H$12,ROUND('Calc base'!H$13*AY107,2))))</f>
        <v>0</v>
      </c>
      <c r="P108">
        <f>IF(AZ107&lt;=0,0,IF(ROUND(AZ107*(1+'Calc base'!N108),2)-MAX('Calc base'!I$12,ROUND('Calc base'!I$13*AZ107,2))&lt;1,ROUND(AZ107*(1+'Calc base'!N108),2),MAX('Calc base'!I$12,ROUND('Calc base'!I$13*AZ107,2))))</f>
        <v>0</v>
      </c>
      <c r="Q108">
        <f>IF(BA107&lt;=0,0,IF(ROUND(BA107*(1+'Calc base'!O108),2)-MAX('Calc base'!J$12,ROUND('Calc base'!J$13*BA107,2))&lt;1,ROUND(BA107*(1+'Calc base'!O108),2),MAX('Calc base'!J$12,ROUND('Calc base'!J$13*BA107,2))))</f>
        <v>0</v>
      </c>
      <c r="R108">
        <f>IF(BB107&lt;=0,0,IF(ROUND(BB107*(1+'Calc base'!P108),2)-MAX('Calc base'!K$12,ROUND('Calc base'!K$13*BB107,2))&lt;1,ROUND(BB107*(1+'Calc base'!P108),2),MAX('Calc base'!K$12,ROUND('Calc base'!K$13*BB107,2))))</f>
        <v>0</v>
      </c>
      <c r="S108">
        <f>IF(BC107&lt;=0,0,IF(ROUND(BC107*(1+'Calc base'!Q108),2)-MAX('Calc base'!L$12,ROUND('Calc base'!L$13*BC107,2))&lt;1,ROUND(BC107*(1+'Calc base'!Q108),2),MAX('Calc base'!L$12,ROUND('Calc base'!L$13*BC107,2))))</f>
        <v>0</v>
      </c>
      <c r="T108">
        <f>IF(BD107&lt;=0,0,IF(ROUND(BD107*(1+'Calc base'!R108),2)-MAX('Calc base'!M$12,ROUND('Calc base'!M$13*BD107,2))&lt;1,ROUND(BD107*(1+'Calc base'!R108),2),MAX('Calc base'!M$12,ROUND('Calc base'!M$13*BD107,2))))</f>
        <v>0</v>
      </c>
      <c r="U108">
        <f>IF(BE107&lt;=0,0,IF(ROUND(BE107*(1+'Calc base'!S108),2)-MAX('Calc base'!N$12,ROUND('Calc base'!N$13*BE107,2))&lt;1,ROUND(BE107*(1+'Calc base'!S108),2),MAX('Calc base'!N$12,ROUND('Calc base'!N$13*BE107,2))))</f>
        <v>0</v>
      </c>
      <c r="V108">
        <f>MAX(0,ROUND(AT107*(1+'Calc base'!H108),2)-J108-'Calc base'!T108)</f>
        <v>0</v>
      </c>
      <c r="W108">
        <f>MAX(0,ROUND(AU107*(1+'Calc base'!I108),2)-K108-'Calc base'!U108)</f>
        <v>0</v>
      </c>
      <c r="X108">
        <f>MAX(0,ROUND(AV107*(1+'Calc base'!J108),2)-L108-'Calc base'!V108)</f>
        <v>0</v>
      </c>
      <c r="Y108">
        <f>MAX(0,ROUND(AW107*(1+'Calc base'!K108),2)-M108-'Calc base'!W108)</f>
        <v>0</v>
      </c>
      <c r="Z108">
        <f>MAX(0,ROUND(AX107*(1+'Calc base'!L108),2)-N108-'Calc base'!X108)</f>
        <v>0</v>
      </c>
      <c r="AA108">
        <f>MAX(0,ROUND(AY107*(1+'Calc base'!M108),2)-O108-'Calc base'!Y108)</f>
        <v>0</v>
      </c>
      <c r="AB108">
        <f>MAX(0,ROUND(AZ107*(1+'Calc base'!N108),2)-P108-'Calc base'!Z108)</f>
        <v>0</v>
      </c>
      <c r="AC108">
        <f>MAX(0,ROUND(BA107*(1+'Calc base'!O108),2)-Q108-'Calc base'!AA108)</f>
        <v>0</v>
      </c>
      <c r="AD108">
        <f>MAX(0,ROUND(BB107*(1+'Calc base'!P108),2)-R108-'Calc base'!AB108)</f>
        <v>0</v>
      </c>
      <c r="AE108">
        <f>MAX(0,ROUND(BC107*(1+'Calc base'!Q108),2)-S108-'Calc base'!AC108)</f>
        <v>0</v>
      </c>
      <c r="AF108">
        <f>MAX(0,ROUND(BD107*(1+'Calc base'!R108),2)-T108-'Calc base'!AD108)</f>
        <v>0</v>
      </c>
      <c r="AG108">
        <f>MAX(0,ROUND(BE107*(1+'Calc base'!S108),2)-U108-'Calc base'!AE108)</f>
        <v>0</v>
      </c>
      <c r="AH108">
        <f>IF('Calc base'!C$14=0,0,MIN(V108,MAX(0,$E108-SUMIFS($V108:$AG108,'Calc base'!$C$17:$N$17,"&lt;"&amp;'Calc base'!C$17,'Calc base'!$C$14:$N$14,1))))</f>
        <v>0</v>
      </c>
      <c r="AI108">
        <f>IF('Calc base'!D$14=0,0,MIN(W108,MAX(0,$E108-SUMIFS($V108:$AG108,'Calc base'!$C$17:$N$17,"&lt;"&amp;'Calc base'!D$17,'Calc base'!$C$14:$N$14,1))))</f>
        <v>0</v>
      </c>
      <c r="AJ108">
        <f>IF('Calc base'!E$14=0,0,MIN(X108,MAX(0,$E108-SUMIFS($V108:$AG108,'Calc base'!$C$17:$N$17,"&lt;"&amp;'Calc base'!E$17,'Calc base'!$C$14:$N$14,1))))</f>
        <v>0</v>
      </c>
      <c r="AK108">
        <f>IF('Calc base'!F$14=0,0,MIN(Y108,MAX(0,$E108-SUMIFS($V108:$AG108,'Calc base'!$C$17:$N$17,"&lt;"&amp;'Calc base'!F$17,'Calc base'!$C$14:$N$14,1))))</f>
        <v>0</v>
      </c>
      <c r="AL108">
        <f>IF('Calc base'!G$14=0,0,MIN(Z108,MAX(0,$E108-SUMIFS($V108:$AG108,'Calc base'!$C$17:$N$17,"&lt;"&amp;'Calc base'!G$17,'Calc base'!$C$14:$N$14,1))))</f>
        <v>0</v>
      </c>
      <c r="AM108">
        <f>IF('Calc base'!H$14=0,0,MIN(AA108,MAX(0,$E108-SUMIFS($V108:$AG108,'Calc base'!$C$17:$N$17,"&lt;"&amp;'Calc base'!H$17,'Calc base'!$C$14:$N$14,1))))</f>
        <v>0</v>
      </c>
      <c r="AN108">
        <f>IF('Calc base'!I$14=0,0,MIN(AB108,MAX(0,$E108-SUMIFS($V108:$AG108,'Calc base'!$C$17:$N$17,"&lt;"&amp;'Calc base'!I$17,'Calc base'!$C$14:$N$14,1))))</f>
        <v>0</v>
      </c>
      <c r="AO108">
        <f>IF('Calc base'!J$14=0,0,MIN(AC108,MAX(0,$E108-SUMIFS($V108:$AG108,'Calc base'!$C$17:$N$17,"&lt;"&amp;'Calc base'!J$17,'Calc base'!$C$14:$N$14,1))))</f>
        <v>0</v>
      </c>
      <c r="AP108">
        <f>IF('Calc base'!K$14=0,0,MIN(AD108,MAX(0,$E108-SUMIFS($V108:$AG108,'Calc base'!$C$17:$N$17,"&lt;"&amp;'Calc base'!K$17,'Calc base'!$C$14:$N$14,1))))</f>
        <v>0</v>
      </c>
      <c r="AQ108">
        <f>IF('Calc base'!L$14=0,0,MIN(AE108,MAX(0,$E108-SUMIFS($V108:$AG108,'Calc base'!$C$17:$N$17,"&lt;"&amp;'Calc base'!L$17,'Calc base'!$C$14:$N$14,1))))</f>
        <v>0</v>
      </c>
      <c r="AR108">
        <f>IF('Calc base'!M$14=0,0,MIN(AF108,MAX(0,$E108-SUMIFS($V108:$AG108,'Calc base'!$C$17:$N$17,"&lt;"&amp;'Calc base'!M$17,'Calc base'!$C$14:$N$14,1))))</f>
        <v>0</v>
      </c>
      <c r="AS108">
        <f>IF('Calc base'!N$14=0,0,MIN(AG108,MAX(0,$E108-SUMIFS($V108:$AG108,'Calc base'!$C$17:$N$17,"&lt;"&amp;'Calc base'!N$17,'Calc base'!$C$14:$N$14,1))))</f>
        <v>0</v>
      </c>
      <c r="AT108">
        <f>V108-AH108</f>
        <v>0</v>
      </c>
      <c r="AU108">
        <f>W108-AI108</f>
        <v>0</v>
      </c>
      <c r="AV108">
        <f>X108-AJ108</f>
        <v>0</v>
      </c>
      <c r="AW108">
        <f>Y108-AK108</f>
        <v>0</v>
      </c>
      <c r="AX108">
        <f>Z108-AL108</f>
        <v>0</v>
      </c>
      <c r="AY108">
        <f>AA108-AM108</f>
        <v>0</v>
      </c>
      <c r="AZ108">
        <f>AB108-AN108</f>
        <v>0</v>
      </c>
      <c r="BA108">
        <f>AC108-AO108</f>
        <v>0</v>
      </c>
      <c r="BB108">
        <f>AD108-AP108</f>
        <v>0</v>
      </c>
      <c r="BC108">
        <f>AE108-AQ108</f>
        <v>0</v>
      </c>
      <c r="BD108">
        <f>AF108-AR108</f>
        <v>0</v>
      </c>
      <c r="BE108">
        <f>AG108-AS108</f>
        <v>0</v>
      </c>
    </row>
    <row r="109">
      <c r="A109" t="n">
        <v>79</v>
      </c>
      <c r="B109">
        <f>SUMPRODUCT(ROUND($AT108:$BE108*(1+'Calc base'!$H109:$S109),2))</f>
        <v>0</v>
      </c>
      <c r="C109">
        <f>SUM(J109:U109)</f>
        <v>0</v>
      </c>
      <c r="D109">
        <f>SUM(V109:AG109)</f>
        <v>0</v>
      </c>
      <c r="E109">
        <f>MAX(0,IF(Impostazioni!$B$7="No",'Calc base'!$C109-$C$31,'Calc base'!$C109-C109)+'Calc base'!$G109+'Calc base'!$F109-(B109-C109-D109))</f>
        <v>900</v>
      </c>
      <c r="F109">
        <f>SUM(AH109:AS109)</f>
        <v>0</v>
      </c>
      <c r="G109">
        <f>SUM(AT109:BE109)</f>
        <v>0</v>
      </c>
      <c r="H109">
        <f>B109-G108</f>
        <v>0</v>
      </c>
      <c r="I109">
        <f>B109-G109</f>
        <v>0</v>
      </c>
      <c r="J109">
        <f>IF(AT108&lt;=0,0,IF(ROUND(AT108*(1+'Calc base'!H109),2)-MAX('Calc base'!C$12,ROUND('Calc base'!C$13*AT108,2))&lt;1,ROUND(AT108*(1+'Calc base'!H109),2),MAX('Calc base'!C$12,ROUND('Calc base'!C$13*AT108,2))))</f>
        <v>0</v>
      </c>
      <c r="K109">
        <f>IF(AU108&lt;=0,0,IF(ROUND(AU108*(1+'Calc base'!I109),2)-MAX('Calc base'!D$12,ROUND('Calc base'!D$13*AU108,2))&lt;1,ROUND(AU108*(1+'Calc base'!I109),2),MAX('Calc base'!D$12,ROUND('Calc base'!D$13*AU108,2))))</f>
        <v>0</v>
      </c>
      <c r="L109">
        <f>IF(AV108&lt;=0,0,IF(ROUND(AV108*(1+'Calc base'!J109),2)-MAX('Calc base'!E$12,ROUND('Calc base'!E$13*AV108,2))&lt;1,ROUND(AV108*(1+'Calc base'!J109),2),MAX('Calc base'!E$12,ROUND('Calc base'!E$13*AV108,2))))</f>
        <v>0</v>
      </c>
      <c r="M109">
        <f>IF(AW108&lt;=0,0,IF(ROUND(AW108*(1+'Calc base'!K109),2)-MAX('Calc base'!F$12,ROUND('Calc base'!F$13*AW108,2))&lt;1,ROUND(AW108*(1+'Calc base'!K109),2),MAX('Calc base'!F$12,ROUND('Calc base'!F$13*AW108,2))))</f>
        <v>0</v>
      </c>
      <c r="N109">
        <f>IF(AX108&lt;=0,0,IF(ROUND(AX108*(1+'Calc base'!L109),2)-MAX('Calc base'!G$12,ROUND('Calc base'!G$13*AX108,2))&lt;1,ROUND(AX108*(1+'Calc base'!L109),2),MAX('Calc base'!G$12,ROUND('Calc base'!G$13*AX108,2))))</f>
        <v>0</v>
      </c>
      <c r="O109">
        <f>IF(AY108&lt;=0,0,IF(ROUND(AY108*(1+'Calc base'!M109),2)-MAX('Calc base'!H$12,ROUND('Calc base'!H$13*AY108,2))&lt;1,ROUND(AY108*(1+'Calc base'!M109),2),MAX('Calc base'!H$12,ROUND('Calc base'!H$13*AY108,2))))</f>
        <v>0</v>
      </c>
      <c r="P109">
        <f>IF(AZ108&lt;=0,0,IF(ROUND(AZ108*(1+'Calc base'!N109),2)-MAX('Calc base'!I$12,ROUND('Calc base'!I$13*AZ108,2))&lt;1,ROUND(AZ108*(1+'Calc base'!N109),2),MAX('Calc base'!I$12,ROUND('Calc base'!I$13*AZ108,2))))</f>
        <v>0</v>
      </c>
      <c r="Q109">
        <f>IF(BA108&lt;=0,0,IF(ROUND(BA108*(1+'Calc base'!O109),2)-MAX('Calc base'!J$12,ROUND('Calc base'!J$13*BA108,2))&lt;1,ROUND(BA108*(1+'Calc base'!O109),2),MAX('Calc base'!J$12,ROUND('Calc base'!J$13*BA108,2))))</f>
        <v>0</v>
      </c>
      <c r="R109">
        <f>IF(BB108&lt;=0,0,IF(ROUND(BB108*(1+'Calc base'!P109),2)-MAX('Calc base'!K$12,ROUND('Calc base'!K$13*BB108,2))&lt;1,ROUND(BB108*(1+'Calc base'!P109),2),MAX('Calc base'!K$12,ROUND('Calc base'!K$13*BB108,2))))</f>
        <v>0</v>
      </c>
      <c r="S109">
        <f>IF(BC108&lt;=0,0,IF(ROUND(BC108*(1+'Calc base'!Q109),2)-MAX('Calc base'!L$12,ROUND('Calc base'!L$13*BC108,2))&lt;1,ROUND(BC108*(1+'Calc base'!Q109),2),MAX('Calc base'!L$12,ROUND('Calc base'!L$13*BC108,2))))</f>
        <v>0</v>
      </c>
      <c r="T109">
        <f>IF(BD108&lt;=0,0,IF(ROUND(BD108*(1+'Calc base'!R109),2)-MAX('Calc base'!M$12,ROUND('Calc base'!M$13*BD108,2))&lt;1,ROUND(BD108*(1+'Calc base'!R109),2),MAX('Calc base'!M$12,ROUND('Calc base'!M$13*BD108,2))))</f>
        <v>0</v>
      </c>
      <c r="U109">
        <f>IF(BE108&lt;=0,0,IF(ROUND(BE108*(1+'Calc base'!S109),2)-MAX('Calc base'!N$12,ROUND('Calc base'!N$13*BE108,2))&lt;1,ROUND(BE108*(1+'Calc base'!S109),2),MAX('Calc base'!N$12,ROUND('Calc base'!N$13*BE108,2))))</f>
        <v>0</v>
      </c>
      <c r="V109">
        <f>MAX(0,ROUND(AT108*(1+'Calc base'!H109),2)-J109-'Calc base'!T109)</f>
        <v>0</v>
      </c>
      <c r="W109">
        <f>MAX(0,ROUND(AU108*(1+'Calc base'!I109),2)-K109-'Calc base'!U109)</f>
        <v>0</v>
      </c>
      <c r="X109">
        <f>MAX(0,ROUND(AV108*(1+'Calc base'!J109),2)-L109-'Calc base'!V109)</f>
        <v>0</v>
      </c>
      <c r="Y109">
        <f>MAX(0,ROUND(AW108*(1+'Calc base'!K109),2)-M109-'Calc base'!W109)</f>
        <v>0</v>
      </c>
      <c r="Z109">
        <f>MAX(0,ROUND(AX108*(1+'Calc base'!L109),2)-N109-'Calc base'!X109)</f>
        <v>0</v>
      </c>
      <c r="AA109">
        <f>MAX(0,ROUND(AY108*(1+'Calc base'!M109),2)-O109-'Calc base'!Y109)</f>
        <v>0</v>
      </c>
      <c r="AB109">
        <f>MAX(0,ROUND(AZ108*(1+'Calc base'!N109),2)-P109-'Calc base'!Z109)</f>
        <v>0</v>
      </c>
      <c r="AC109">
        <f>MAX(0,ROUND(BA108*(1+'Calc base'!O109),2)-Q109-'Calc base'!AA109)</f>
        <v>0</v>
      </c>
      <c r="AD109">
        <f>MAX(0,ROUND(BB108*(1+'Calc base'!P109),2)-R109-'Calc base'!AB109)</f>
        <v>0</v>
      </c>
      <c r="AE109">
        <f>MAX(0,ROUND(BC108*(1+'Calc base'!Q109),2)-S109-'Calc base'!AC109)</f>
        <v>0</v>
      </c>
      <c r="AF109">
        <f>MAX(0,ROUND(BD108*(1+'Calc base'!R109),2)-T109-'Calc base'!AD109)</f>
        <v>0</v>
      </c>
      <c r="AG109">
        <f>MAX(0,ROUND(BE108*(1+'Calc base'!S109),2)-U109-'Calc base'!AE109)</f>
        <v>0</v>
      </c>
      <c r="AH109">
        <f>IF('Calc base'!C$14=0,0,MIN(V109,MAX(0,$E109-SUMIFS($V109:$AG109,'Calc base'!$C$17:$N$17,"&lt;"&amp;'Calc base'!C$17,'Calc base'!$C$14:$N$14,1))))</f>
        <v>0</v>
      </c>
      <c r="AI109">
        <f>IF('Calc base'!D$14=0,0,MIN(W109,MAX(0,$E109-SUMIFS($V109:$AG109,'Calc base'!$C$17:$N$17,"&lt;"&amp;'Calc base'!D$17,'Calc base'!$C$14:$N$14,1))))</f>
        <v>0</v>
      </c>
      <c r="AJ109">
        <f>IF('Calc base'!E$14=0,0,MIN(X109,MAX(0,$E109-SUMIFS($V109:$AG109,'Calc base'!$C$17:$N$17,"&lt;"&amp;'Calc base'!E$17,'Calc base'!$C$14:$N$14,1))))</f>
        <v>0</v>
      </c>
      <c r="AK109">
        <f>IF('Calc base'!F$14=0,0,MIN(Y109,MAX(0,$E109-SUMIFS($V109:$AG109,'Calc base'!$C$17:$N$17,"&lt;"&amp;'Calc base'!F$17,'Calc base'!$C$14:$N$14,1))))</f>
        <v>0</v>
      </c>
      <c r="AL109">
        <f>IF('Calc base'!G$14=0,0,MIN(Z109,MAX(0,$E109-SUMIFS($V109:$AG109,'Calc base'!$C$17:$N$17,"&lt;"&amp;'Calc base'!G$17,'Calc base'!$C$14:$N$14,1))))</f>
        <v>0</v>
      </c>
      <c r="AM109">
        <f>IF('Calc base'!H$14=0,0,MIN(AA109,MAX(0,$E109-SUMIFS($V109:$AG109,'Calc base'!$C$17:$N$17,"&lt;"&amp;'Calc base'!H$17,'Calc base'!$C$14:$N$14,1))))</f>
        <v>0</v>
      </c>
      <c r="AN109">
        <f>IF('Calc base'!I$14=0,0,MIN(AB109,MAX(0,$E109-SUMIFS($V109:$AG109,'Calc base'!$C$17:$N$17,"&lt;"&amp;'Calc base'!I$17,'Calc base'!$C$14:$N$14,1))))</f>
        <v>0</v>
      </c>
      <c r="AO109">
        <f>IF('Calc base'!J$14=0,0,MIN(AC109,MAX(0,$E109-SUMIFS($V109:$AG109,'Calc base'!$C$17:$N$17,"&lt;"&amp;'Calc base'!J$17,'Calc base'!$C$14:$N$14,1))))</f>
        <v>0</v>
      </c>
      <c r="AP109">
        <f>IF('Calc base'!K$14=0,0,MIN(AD109,MAX(0,$E109-SUMIFS($V109:$AG109,'Calc base'!$C$17:$N$17,"&lt;"&amp;'Calc base'!K$17,'Calc base'!$C$14:$N$14,1))))</f>
        <v>0</v>
      </c>
      <c r="AQ109">
        <f>IF('Calc base'!L$14=0,0,MIN(AE109,MAX(0,$E109-SUMIFS($V109:$AG109,'Calc base'!$C$17:$N$17,"&lt;"&amp;'Calc base'!L$17,'Calc base'!$C$14:$N$14,1))))</f>
        <v>0</v>
      </c>
      <c r="AR109">
        <f>IF('Calc base'!M$14=0,0,MIN(AF109,MAX(0,$E109-SUMIFS($V109:$AG109,'Calc base'!$C$17:$N$17,"&lt;"&amp;'Calc base'!M$17,'Calc base'!$C$14:$N$14,1))))</f>
        <v>0</v>
      </c>
      <c r="AS109">
        <f>IF('Calc base'!N$14=0,0,MIN(AG109,MAX(0,$E109-SUMIFS($V109:$AG109,'Calc base'!$C$17:$N$17,"&lt;"&amp;'Calc base'!N$17,'Calc base'!$C$14:$N$14,1))))</f>
        <v>0</v>
      </c>
      <c r="AT109">
        <f>V109-AH109</f>
        <v>0</v>
      </c>
      <c r="AU109">
        <f>W109-AI109</f>
        <v>0</v>
      </c>
      <c r="AV109">
        <f>X109-AJ109</f>
        <v>0</v>
      </c>
      <c r="AW109">
        <f>Y109-AK109</f>
        <v>0</v>
      </c>
      <c r="AX109">
        <f>Z109-AL109</f>
        <v>0</v>
      </c>
      <c r="AY109">
        <f>AA109-AM109</f>
        <v>0</v>
      </c>
      <c r="AZ109">
        <f>AB109-AN109</f>
        <v>0</v>
      </c>
      <c r="BA109">
        <f>AC109-AO109</f>
        <v>0</v>
      </c>
      <c r="BB109">
        <f>AD109-AP109</f>
        <v>0</v>
      </c>
      <c r="BC109">
        <f>AE109-AQ109</f>
        <v>0</v>
      </c>
      <c r="BD109">
        <f>AF109-AR109</f>
        <v>0</v>
      </c>
      <c r="BE109">
        <f>AG109-AS109</f>
        <v>0</v>
      </c>
    </row>
    <row r="110">
      <c r="A110" t="n">
        <v>80</v>
      </c>
      <c r="B110">
        <f>SUMPRODUCT(ROUND($AT109:$BE109*(1+'Calc base'!$H110:$S110),2))</f>
        <v>0</v>
      </c>
      <c r="C110">
        <f>SUM(J110:U110)</f>
        <v>0</v>
      </c>
      <c r="D110">
        <f>SUM(V110:AG110)</f>
        <v>0</v>
      </c>
      <c r="E110">
        <f>MAX(0,IF(Impostazioni!$B$7="No",'Calc base'!$C110-$C$31,'Calc base'!$C110-C110)+'Calc base'!$G110+'Calc base'!$F110-(B110-C110-D110))</f>
        <v>900</v>
      </c>
      <c r="F110">
        <f>SUM(AH110:AS110)</f>
        <v>0</v>
      </c>
      <c r="G110">
        <f>SUM(AT110:BE110)</f>
        <v>0</v>
      </c>
      <c r="H110">
        <f>B110-G109</f>
        <v>0</v>
      </c>
      <c r="I110">
        <f>B110-G110</f>
        <v>0</v>
      </c>
      <c r="J110">
        <f>IF(AT109&lt;=0,0,IF(ROUND(AT109*(1+'Calc base'!H110),2)-MAX('Calc base'!C$12,ROUND('Calc base'!C$13*AT109,2))&lt;1,ROUND(AT109*(1+'Calc base'!H110),2),MAX('Calc base'!C$12,ROUND('Calc base'!C$13*AT109,2))))</f>
        <v>0</v>
      </c>
      <c r="K110">
        <f>IF(AU109&lt;=0,0,IF(ROUND(AU109*(1+'Calc base'!I110),2)-MAX('Calc base'!D$12,ROUND('Calc base'!D$13*AU109,2))&lt;1,ROUND(AU109*(1+'Calc base'!I110),2),MAX('Calc base'!D$12,ROUND('Calc base'!D$13*AU109,2))))</f>
        <v>0</v>
      </c>
      <c r="L110">
        <f>IF(AV109&lt;=0,0,IF(ROUND(AV109*(1+'Calc base'!J110),2)-MAX('Calc base'!E$12,ROUND('Calc base'!E$13*AV109,2))&lt;1,ROUND(AV109*(1+'Calc base'!J110),2),MAX('Calc base'!E$12,ROUND('Calc base'!E$13*AV109,2))))</f>
        <v>0</v>
      </c>
      <c r="M110">
        <f>IF(AW109&lt;=0,0,IF(ROUND(AW109*(1+'Calc base'!K110),2)-MAX('Calc base'!F$12,ROUND('Calc base'!F$13*AW109,2))&lt;1,ROUND(AW109*(1+'Calc base'!K110),2),MAX('Calc base'!F$12,ROUND('Calc base'!F$13*AW109,2))))</f>
        <v>0</v>
      </c>
      <c r="N110">
        <f>IF(AX109&lt;=0,0,IF(ROUND(AX109*(1+'Calc base'!L110),2)-MAX('Calc base'!G$12,ROUND('Calc base'!G$13*AX109,2))&lt;1,ROUND(AX109*(1+'Calc base'!L110),2),MAX('Calc base'!G$12,ROUND('Calc base'!G$13*AX109,2))))</f>
        <v>0</v>
      </c>
      <c r="O110">
        <f>IF(AY109&lt;=0,0,IF(ROUND(AY109*(1+'Calc base'!M110),2)-MAX('Calc base'!H$12,ROUND('Calc base'!H$13*AY109,2))&lt;1,ROUND(AY109*(1+'Calc base'!M110),2),MAX('Calc base'!H$12,ROUND('Calc base'!H$13*AY109,2))))</f>
        <v>0</v>
      </c>
      <c r="P110">
        <f>IF(AZ109&lt;=0,0,IF(ROUND(AZ109*(1+'Calc base'!N110),2)-MAX('Calc base'!I$12,ROUND('Calc base'!I$13*AZ109,2))&lt;1,ROUND(AZ109*(1+'Calc base'!N110),2),MAX('Calc base'!I$12,ROUND('Calc base'!I$13*AZ109,2))))</f>
        <v>0</v>
      </c>
      <c r="Q110">
        <f>IF(BA109&lt;=0,0,IF(ROUND(BA109*(1+'Calc base'!O110),2)-MAX('Calc base'!J$12,ROUND('Calc base'!J$13*BA109,2))&lt;1,ROUND(BA109*(1+'Calc base'!O110),2),MAX('Calc base'!J$12,ROUND('Calc base'!J$13*BA109,2))))</f>
        <v>0</v>
      </c>
      <c r="R110">
        <f>IF(BB109&lt;=0,0,IF(ROUND(BB109*(1+'Calc base'!P110),2)-MAX('Calc base'!K$12,ROUND('Calc base'!K$13*BB109,2))&lt;1,ROUND(BB109*(1+'Calc base'!P110),2),MAX('Calc base'!K$12,ROUND('Calc base'!K$13*BB109,2))))</f>
        <v>0</v>
      </c>
      <c r="S110">
        <f>IF(BC109&lt;=0,0,IF(ROUND(BC109*(1+'Calc base'!Q110),2)-MAX('Calc base'!L$12,ROUND('Calc base'!L$13*BC109,2))&lt;1,ROUND(BC109*(1+'Calc base'!Q110),2),MAX('Calc base'!L$12,ROUND('Calc base'!L$13*BC109,2))))</f>
        <v>0</v>
      </c>
      <c r="T110">
        <f>IF(BD109&lt;=0,0,IF(ROUND(BD109*(1+'Calc base'!R110),2)-MAX('Calc base'!M$12,ROUND('Calc base'!M$13*BD109,2))&lt;1,ROUND(BD109*(1+'Calc base'!R110),2),MAX('Calc base'!M$12,ROUND('Calc base'!M$13*BD109,2))))</f>
        <v>0</v>
      </c>
      <c r="U110">
        <f>IF(BE109&lt;=0,0,IF(ROUND(BE109*(1+'Calc base'!S110),2)-MAX('Calc base'!N$12,ROUND('Calc base'!N$13*BE109,2))&lt;1,ROUND(BE109*(1+'Calc base'!S110),2),MAX('Calc base'!N$12,ROUND('Calc base'!N$13*BE109,2))))</f>
        <v>0</v>
      </c>
      <c r="V110">
        <f>MAX(0,ROUND(AT109*(1+'Calc base'!H110),2)-J110-'Calc base'!T110)</f>
        <v>0</v>
      </c>
      <c r="W110">
        <f>MAX(0,ROUND(AU109*(1+'Calc base'!I110),2)-K110-'Calc base'!U110)</f>
        <v>0</v>
      </c>
      <c r="X110">
        <f>MAX(0,ROUND(AV109*(1+'Calc base'!J110),2)-L110-'Calc base'!V110)</f>
        <v>0</v>
      </c>
      <c r="Y110">
        <f>MAX(0,ROUND(AW109*(1+'Calc base'!K110),2)-M110-'Calc base'!W110)</f>
        <v>0</v>
      </c>
      <c r="Z110">
        <f>MAX(0,ROUND(AX109*(1+'Calc base'!L110),2)-N110-'Calc base'!X110)</f>
        <v>0</v>
      </c>
      <c r="AA110">
        <f>MAX(0,ROUND(AY109*(1+'Calc base'!M110),2)-O110-'Calc base'!Y110)</f>
        <v>0</v>
      </c>
      <c r="AB110">
        <f>MAX(0,ROUND(AZ109*(1+'Calc base'!N110),2)-P110-'Calc base'!Z110)</f>
        <v>0</v>
      </c>
      <c r="AC110">
        <f>MAX(0,ROUND(BA109*(1+'Calc base'!O110),2)-Q110-'Calc base'!AA110)</f>
        <v>0</v>
      </c>
      <c r="AD110">
        <f>MAX(0,ROUND(BB109*(1+'Calc base'!P110),2)-R110-'Calc base'!AB110)</f>
        <v>0</v>
      </c>
      <c r="AE110">
        <f>MAX(0,ROUND(BC109*(1+'Calc base'!Q110),2)-S110-'Calc base'!AC110)</f>
        <v>0</v>
      </c>
      <c r="AF110">
        <f>MAX(0,ROUND(BD109*(1+'Calc base'!R110),2)-T110-'Calc base'!AD110)</f>
        <v>0</v>
      </c>
      <c r="AG110">
        <f>MAX(0,ROUND(BE109*(1+'Calc base'!S110),2)-U110-'Calc base'!AE110)</f>
        <v>0</v>
      </c>
      <c r="AH110">
        <f>IF('Calc base'!C$14=0,0,MIN(V110,MAX(0,$E110-SUMIFS($V110:$AG110,'Calc base'!$C$17:$N$17,"&lt;"&amp;'Calc base'!C$17,'Calc base'!$C$14:$N$14,1))))</f>
        <v>0</v>
      </c>
      <c r="AI110">
        <f>IF('Calc base'!D$14=0,0,MIN(W110,MAX(0,$E110-SUMIFS($V110:$AG110,'Calc base'!$C$17:$N$17,"&lt;"&amp;'Calc base'!D$17,'Calc base'!$C$14:$N$14,1))))</f>
        <v>0</v>
      </c>
      <c r="AJ110">
        <f>IF('Calc base'!E$14=0,0,MIN(X110,MAX(0,$E110-SUMIFS($V110:$AG110,'Calc base'!$C$17:$N$17,"&lt;"&amp;'Calc base'!E$17,'Calc base'!$C$14:$N$14,1))))</f>
        <v>0</v>
      </c>
      <c r="AK110">
        <f>IF('Calc base'!F$14=0,0,MIN(Y110,MAX(0,$E110-SUMIFS($V110:$AG110,'Calc base'!$C$17:$N$17,"&lt;"&amp;'Calc base'!F$17,'Calc base'!$C$14:$N$14,1))))</f>
        <v>0</v>
      </c>
      <c r="AL110">
        <f>IF('Calc base'!G$14=0,0,MIN(Z110,MAX(0,$E110-SUMIFS($V110:$AG110,'Calc base'!$C$17:$N$17,"&lt;"&amp;'Calc base'!G$17,'Calc base'!$C$14:$N$14,1))))</f>
        <v>0</v>
      </c>
      <c r="AM110">
        <f>IF('Calc base'!H$14=0,0,MIN(AA110,MAX(0,$E110-SUMIFS($V110:$AG110,'Calc base'!$C$17:$N$17,"&lt;"&amp;'Calc base'!H$17,'Calc base'!$C$14:$N$14,1))))</f>
        <v>0</v>
      </c>
      <c r="AN110">
        <f>IF('Calc base'!I$14=0,0,MIN(AB110,MAX(0,$E110-SUMIFS($V110:$AG110,'Calc base'!$C$17:$N$17,"&lt;"&amp;'Calc base'!I$17,'Calc base'!$C$14:$N$14,1))))</f>
        <v>0</v>
      </c>
      <c r="AO110">
        <f>IF('Calc base'!J$14=0,0,MIN(AC110,MAX(0,$E110-SUMIFS($V110:$AG110,'Calc base'!$C$17:$N$17,"&lt;"&amp;'Calc base'!J$17,'Calc base'!$C$14:$N$14,1))))</f>
        <v>0</v>
      </c>
      <c r="AP110">
        <f>IF('Calc base'!K$14=0,0,MIN(AD110,MAX(0,$E110-SUMIFS($V110:$AG110,'Calc base'!$C$17:$N$17,"&lt;"&amp;'Calc base'!K$17,'Calc base'!$C$14:$N$14,1))))</f>
        <v>0</v>
      </c>
      <c r="AQ110">
        <f>IF('Calc base'!L$14=0,0,MIN(AE110,MAX(0,$E110-SUMIFS($V110:$AG110,'Calc base'!$C$17:$N$17,"&lt;"&amp;'Calc base'!L$17,'Calc base'!$C$14:$N$14,1))))</f>
        <v>0</v>
      </c>
      <c r="AR110">
        <f>IF('Calc base'!M$14=0,0,MIN(AF110,MAX(0,$E110-SUMIFS($V110:$AG110,'Calc base'!$C$17:$N$17,"&lt;"&amp;'Calc base'!M$17,'Calc base'!$C$14:$N$14,1))))</f>
        <v>0</v>
      </c>
      <c r="AS110">
        <f>IF('Calc base'!N$14=0,0,MIN(AG110,MAX(0,$E110-SUMIFS($V110:$AG110,'Calc base'!$C$17:$N$17,"&lt;"&amp;'Calc base'!N$17,'Calc base'!$C$14:$N$14,1))))</f>
        <v>0</v>
      </c>
      <c r="AT110">
        <f>V110-AH110</f>
        <v>0</v>
      </c>
      <c r="AU110">
        <f>W110-AI110</f>
        <v>0</v>
      </c>
      <c r="AV110">
        <f>X110-AJ110</f>
        <v>0</v>
      </c>
      <c r="AW110">
        <f>Y110-AK110</f>
        <v>0</v>
      </c>
      <c r="AX110">
        <f>Z110-AL110</f>
        <v>0</v>
      </c>
      <c r="AY110">
        <f>AA110-AM110</f>
        <v>0</v>
      </c>
      <c r="AZ110">
        <f>AB110-AN110</f>
        <v>0</v>
      </c>
      <c r="BA110">
        <f>AC110-AO110</f>
        <v>0</v>
      </c>
      <c r="BB110">
        <f>AD110-AP110</f>
        <v>0</v>
      </c>
      <c r="BC110">
        <f>AE110-AQ110</f>
        <v>0</v>
      </c>
      <c r="BD110">
        <f>AF110-AR110</f>
        <v>0</v>
      </c>
      <c r="BE110">
        <f>AG110-AS110</f>
        <v>0</v>
      </c>
    </row>
    <row r="111">
      <c r="A111" t="n">
        <v>81</v>
      </c>
      <c r="B111">
        <f>SUMPRODUCT(ROUND($AT110:$BE110*(1+'Calc base'!$H111:$S111),2))</f>
        <v>0</v>
      </c>
      <c r="C111">
        <f>SUM(J111:U111)</f>
        <v>0</v>
      </c>
      <c r="D111">
        <f>SUM(V111:AG111)</f>
        <v>0</v>
      </c>
      <c r="E111">
        <f>MAX(0,IF(Impostazioni!$B$7="No",'Calc base'!$C111-$C$31,'Calc base'!$C111-C111)+'Calc base'!$G111+'Calc base'!$F111-(B111-C111-D111))</f>
        <v>900</v>
      </c>
      <c r="F111">
        <f>SUM(AH111:AS111)</f>
        <v>0</v>
      </c>
      <c r="G111">
        <f>SUM(AT111:BE111)</f>
        <v>0</v>
      </c>
      <c r="H111">
        <f>B111-G110</f>
        <v>0</v>
      </c>
      <c r="I111">
        <f>B111-G111</f>
        <v>0</v>
      </c>
      <c r="J111">
        <f>IF(AT110&lt;=0,0,IF(ROUND(AT110*(1+'Calc base'!H111),2)-MAX('Calc base'!C$12,ROUND('Calc base'!C$13*AT110,2))&lt;1,ROUND(AT110*(1+'Calc base'!H111),2),MAX('Calc base'!C$12,ROUND('Calc base'!C$13*AT110,2))))</f>
        <v>0</v>
      </c>
      <c r="K111">
        <f>IF(AU110&lt;=0,0,IF(ROUND(AU110*(1+'Calc base'!I111),2)-MAX('Calc base'!D$12,ROUND('Calc base'!D$13*AU110,2))&lt;1,ROUND(AU110*(1+'Calc base'!I111),2),MAX('Calc base'!D$12,ROUND('Calc base'!D$13*AU110,2))))</f>
        <v>0</v>
      </c>
      <c r="L111">
        <f>IF(AV110&lt;=0,0,IF(ROUND(AV110*(1+'Calc base'!J111),2)-MAX('Calc base'!E$12,ROUND('Calc base'!E$13*AV110,2))&lt;1,ROUND(AV110*(1+'Calc base'!J111),2),MAX('Calc base'!E$12,ROUND('Calc base'!E$13*AV110,2))))</f>
        <v>0</v>
      </c>
      <c r="M111">
        <f>IF(AW110&lt;=0,0,IF(ROUND(AW110*(1+'Calc base'!K111),2)-MAX('Calc base'!F$12,ROUND('Calc base'!F$13*AW110,2))&lt;1,ROUND(AW110*(1+'Calc base'!K111),2),MAX('Calc base'!F$12,ROUND('Calc base'!F$13*AW110,2))))</f>
        <v>0</v>
      </c>
      <c r="N111">
        <f>IF(AX110&lt;=0,0,IF(ROUND(AX110*(1+'Calc base'!L111),2)-MAX('Calc base'!G$12,ROUND('Calc base'!G$13*AX110,2))&lt;1,ROUND(AX110*(1+'Calc base'!L111),2),MAX('Calc base'!G$12,ROUND('Calc base'!G$13*AX110,2))))</f>
        <v>0</v>
      </c>
      <c r="O111">
        <f>IF(AY110&lt;=0,0,IF(ROUND(AY110*(1+'Calc base'!M111),2)-MAX('Calc base'!H$12,ROUND('Calc base'!H$13*AY110,2))&lt;1,ROUND(AY110*(1+'Calc base'!M111),2),MAX('Calc base'!H$12,ROUND('Calc base'!H$13*AY110,2))))</f>
        <v>0</v>
      </c>
      <c r="P111">
        <f>IF(AZ110&lt;=0,0,IF(ROUND(AZ110*(1+'Calc base'!N111),2)-MAX('Calc base'!I$12,ROUND('Calc base'!I$13*AZ110,2))&lt;1,ROUND(AZ110*(1+'Calc base'!N111),2),MAX('Calc base'!I$12,ROUND('Calc base'!I$13*AZ110,2))))</f>
        <v>0</v>
      </c>
      <c r="Q111">
        <f>IF(BA110&lt;=0,0,IF(ROUND(BA110*(1+'Calc base'!O111),2)-MAX('Calc base'!J$12,ROUND('Calc base'!J$13*BA110,2))&lt;1,ROUND(BA110*(1+'Calc base'!O111),2),MAX('Calc base'!J$12,ROUND('Calc base'!J$13*BA110,2))))</f>
        <v>0</v>
      </c>
      <c r="R111">
        <f>IF(BB110&lt;=0,0,IF(ROUND(BB110*(1+'Calc base'!P111),2)-MAX('Calc base'!K$12,ROUND('Calc base'!K$13*BB110,2))&lt;1,ROUND(BB110*(1+'Calc base'!P111),2),MAX('Calc base'!K$12,ROUND('Calc base'!K$13*BB110,2))))</f>
        <v>0</v>
      </c>
      <c r="S111">
        <f>IF(BC110&lt;=0,0,IF(ROUND(BC110*(1+'Calc base'!Q111),2)-MAX('Calc base'!L$12,ROUND('Calc base'!L$13*BC110,2))&lt;1,ROUND(BC110*(1+'Calc base'!Q111),2),MAX('Calc base'!L$12,ROUND('Calc base'!L$13*BC110,2))))</f>
        <v>0</v>
      </c>
      <c r="T111">
        <f>IF(BD110&lt;=0,0,IF(ROUND(BD110*(1+'Calc base'!R111),2)-MAX('Calc base'!M$12,ROUND('Calc base'!M$13*BD110,2))&lt;1,ROUND(BD110*(1+'Calc base'!R111),2),MAX('Calc base'!M$12,ROUND('Calc base'!M$13*BD110,2))))</f>
        <v>0</v>
      </c>
      <c r="U111">
        <f>IF(BE110&lt;=0,0,IF(ROUND(BE110*(1+'Calc base'!S111),2)-MAX('Calc base'!N$12,ROUND('Calc base'!N$13*BE110,2))&lt;1,ROUND(BE110*(1+'Calc base'!S111),2),MAX('Calc base'!N$12,ROUND('Calc base'!N$13*BE110,2))))</f>
        <v>0</v>
      </c>
      <c r="V111">
        <f>MAX(0,ROUND(AT110*(1+'Calc base'!H111),2)-J111-'Calc base'!T111)</f>
        <v>0</v>
      </c>
      <c r="W111">
        <f>MAX(0,ROUND(AU110*(1+'Calc base'!I111),2)-K111-'Calc base'!U111)</f>
        <v>0</v>
      </c>
      <c r="X111">
        <f>MAX(0,ROUND(AV110*(1+'Calc base'!J111),2)-L111-'Calc base'!V111)</f>
        <v>0</v>
      </c>
      <c r="Y111">
        <f>MAX(0,ROUND(AW110*(1+'Calc base'!K111),2)-M111-'Calc base'!W111)</f>
        <v>0</v>
      </c>
      <c r="Z111">
        <f>MAX(0,ROUND(AX110*(1+'Calc base'!L111),2)-N111-'Calc base'!X111)</f>
        <v>0</v>
      </c>
      <c r="AA111">
        <f>MAX(0,ROUND(AY110*(1+'Calc base'!M111),2)-O111-'Calc base'!Y111)</f>
        <v>0</v>
      </c>
      <c r="AB111">
        <f>MAX(0,ROUND(AZ110*(1+'Calc base'!N111),2)-P111-'Calc base'!Z111)</f>
        <v>0</v>
      </c>
      <c r="AC111">
        <f>MAX(0,ROUND(BA110*(1+'Calc base'!O111),2)-Q111-'Calc base'!AA111)</f>
        <v>0</v>
      </c>
      <c r="AD111">
        <f>MAX(0,ROUND(BB110*(1+'Calc base'!P111),2)-R111-'Calc base'!AB111)</f>
        <v>0</v>
      </c>
      <c r="AE111">
        <f>MAX(0,ROUND(BC110*(1+'Calc base'!Q111),2)-S111-'Calc base'!AC111)</f>
        <v>0</v>
      </c>
      <c r="AF111">
        <f>MAX(0,ROUND(BD110*(1+'Calc base'!R111),2)-T111-'Calc base'!AD111)</f>
        <v>0</v>
      </c>
      <c r="AG111">
        <f>MAX(0,ROUND(BE110*(1+'Calc base'!S111),2)-U111-'Calc base'!AE111)</f>
        <v>0</v>
      </c>
      <c r="AH111">
        <f>IF('Calc base'!C$14=0,0,MIN(V111,MAX(0,$E111-SUMIFS($V111:$AG111,'Calc base'!$C$17:$N$17,"&lt;"&amp;'Calc base'!C$17,'Calc base'!$C$14:$N$14,1))))</f>
        <v>0</v>
      </c>
      <c r="AI111">
        <f>IF('Calc base'!D$14=0,0,MIN(W111,MAX(0,$E111-SUMIFS($V111:$AG111,'Calc base'!$C$17:$N$17,"&lt;"&amp;'Calc base'!D$17,'Calc base'!$C$14:$N$14,1))))</f>
        <v>0</v>
      </c>
      <c r="AJ111">
        <f>IF('Calc base'!E$14=0,0,MIN(X111,MAX(0,$E111-SUMIFS($V111:$AG111,'Calc base'!$C$17:$N$17,"&lt;"&amp;'Calc base'!E$17,'Calc base'!$C$14:$N$14,1))))</f>
        <v>0</v>
      </c>
      <c r="AK111">
        <f>IF('Calc base'!F$14=0,0,MIN(Y111,MAX(0,$E111-SUMIFS($V111:$AG111,'Calc base'!$C$17:$N$17,"&lt;"&amp;'Calc base'!F$17,'Calc base'!$C$14:$N$14,1))))</f>
        <v>0</v>
      </c>
      <c r="AL111">
        <f>IF('Calc base'!G$14=0,0,MIN(Z111,MAX(0,$E111-SUMIFS($V111:$AG111,'Calc base'!$C$17:$N$17,"&lt;"&amp;'Calc base'!G$17,'Calc base'!$C$14:$N$14,1))))</f>
        <v>0</v>
      </c>
      <c r="AM111">
        <f>IF('Calc base'!H$14=0,0,MIN(AA111,MAX(0,$E111-SUMIFS($V111:$AG111,'Calc base'!$C$17:$N$17,"&lt;"&amp;'Calc base'!H$17,'Calc base'!$C$14:$N$14,1))))</f>
        <v>0</v>
      </c>
      <c r="AN111">
        <f>IF('Calc base'!I$14=0,0,MIN(AB111,MAX(0,$E111-SUMIFS($V111:$AG111,'Calc base'!$C$17:$N$17,"&lt;"&amp;'Calc base'!I$17,'Calc base'!$C$14:$N$14,1))))</f>
        <v>0</v>
      </c>
      <c r="AO111">
        <f>IF('Calc base'!J$14=0,0,MIN(AC111,MAX(0,$E111-SUMIFS($V111:$AG111,'Calc base'!$C$17:$N$17,"&lt;"&amp;'Calc base'!J$17,'Calc base'!$C$14:$N$14,1))))</f>
        <v>0</v>
      </c>
      <c r="AP111">
        <f>IF('Calc base'!K$14=0,0,MIN(AD111,MAX(0,$E111-SUMIFS($V111:$AG111,'Calc base'!$C$17:$N$17,"&lt;"&amp;'Calc base'!K$17,'Calc base'!$C$14:$N$14,1))))</f>
        <v>0</v>
      </c>
      <c r="AQ111">
        <f>IF('Calc base'!L$14=0,0,MIN(AE111,MAX(0,$E111-SUMIFS($V111:$AG111,'Calc base'!$C$17:$N$17,"&lt;"&amp;'Calc base'!L$17,'Calc base'!$C$14:$N$14,1))))</f>
        <v>0</v>
      </c>
      <c r="AR111">
        <f>IF('Calc base'!M$14=0,0,MIN(AF111,MAX(0,$E111-SUMIFS($V111:$AG111,'Calc base'!$C$17:$N$17,"&lt;"&amp;'Calc base'!M$17,'Calc base'!$C$14:$N$14,1))))</f>
        <v>0</v>
      </c>
      <c r="AS111">
        <f>IF('Calc base'!N$14=0,0,MIN(AG111,MAX(0,$E111-SUMIFS($V111:$AG111,'Calc base'!$C$17:$N$17,"&lt;"&amp;'Calc base'!N$17,'Calc base'!$C$14:$N$14,1))))</f>
        <v>0</v>
      </c>
      <c r="AT111">
        <f>V111-AH111</f>
        <v>0</v>
      </c>
      <c r="AU111">
        <f>W111-AI111</f>
        <v>0</v>
      </c>
      <c r="AV111">
        <f>X111-AJ111</f>
        <v>0</v>
      </c>
      <c r="AW111">
        <f>Y111-AK111</f>
        <v>0</v>
      </c>
      <c r="AX111">
        <f>Z111-AL111</f>
        <v>0</v>
      </c>
      <c r="AY111">
        <f>AA111-AM111</f>
        <v>0</v>
      </c>
      <c r="AZ111">
        <f>AB111-AN111</f>
        <v>0</v>
      </c>
      <c r="BA111">
        <f>AC111-AO111</f>
        <v>0</v>
      </c>
      <c r="BB111">
        <f>AD111-AP111</f>
        <v>0</v>
      </c>
      <c r="BC111">
        <f>AE111-AQ111</f>
        <v>0</v>
      </c>
      <c r="BD111">
        <f>AF111-AR111</f>
        <v>0</v>
      </c>
      <c r="BE111">
        <f>AG111-AS111</f>
        <v>0</v>
      </c>
    </row>
    <row r="112">
      <c r="A112" t="n">
        <v>82</v>
      </c>
      <c r="B112">
        <f>SUMPRODUCT(ROUND($AT111:$BE111*(1+'Calc base'!$H112:$S112),2))</f>
        <v>0</v>
      </c>
      <c r="C112">
        <f>SUM(J112:U112)</f>
        <v>0</v>
      </c>
      <c r="D112">
        <f>SUM(V112:AG112)</f>
        <v>0</v>
      </c>
      <c r="E112">
        <f>MAX(0,IF(Impostazioni!$B$7="No",'Calc base'!$C112-$C$31,'Calc base'!$C112-C112)+'Calc base'!$G112+'Calc base'!$F112-(B112-C112-D112))</f>
        <v>900</v>
      </c>
      <c r="F112">
        <f>SUM(AH112:AS112)</f>
        <v>0</v>
      </c>
      <c r="G112">
        <f>SUM(AT112:BE112)</f>
        <v>0</v>
      </c>
      <c r="H112">
        <f>B112-G111</f>
        <v>0</v>
      </c>
      <c r="I112">
        <f>B112-G112</f>
        <v>0</v>
      </c>
      <c r="J112">
        <f>IF(AT111&lt;=0,0,IF(ROUND(AT111*(1+'Calc base'!H112),2)-MAX('Calc base'!C$12,ROUND('Calc base'!C$13*AT111,2))&lt;1,ROUND(AT111*(1+'Calc base'!H112),2),MAX('Calc base'!C$12,ROUND('Calc base'!C$13*AT111,2))))</f>
        <v>0</v>
      </c>
      <c r="K112">
        <f>IF(AU111&lt;=0,0,IF(ROUND(AU111*(1+'Calc base'!I112),2)-MAX('Calc base'!D$12,ROUND('Calc base'!D$13*AU111,2))&lt;1,ROUND(AU111*(1+'Calc base'!I112),2),MAX('Calc base'!D$12,ROUND('Calc base'!D$13*AU111,2))))</f>
        <v>0</v>
      </c>
      <c r="L112">
        <f>IF(AV111&lt;=0,0,IF(ROUND(AV111*(1+'Calc base'!J112),2)-MAX('Calc base'!E$12,ROUND('Calc base'!E$13*AV111,2))&lt;1,ROUND(AV111*(1+'Calc base'!J112),2),MAX('Calc base'!E$12,ROUND('Calc base'!E$13*AV111,2))))</f>
        <v>0</v>
      </c>
      <c r="M112">
        <f>IF(AW111&lt;=0,0,IF(ROUND(AW111*(1+'Calc base'!K112),2)-MAX('Calc base'!F$12,ROUND('Calc base'!F$13*AW111,2))&lt;1,ROUND(AW111*(1+'Calc base'!K112),2),MAX('Calc base'!F$12,ROUND('Calc base'!F$13*AW111,2))))</f>
        <v>0</v>
      </c>
      <c r="N112">
        <f>IF(AX111&lt;=0,0,IF(ROUND(AX111*(1+'Calc base'!L112),2)-MAX('Calc base'!G$12,ROUND('Calc base'!G$13*AX111,2))&lt;1,ROUND(AX111*(1+'Calc base'!L112),2),MAX('Calc base'!G$12,ROUND('Calc base'!G$13*AX111,2))))</f>
        <v>0</v>
      </c>
      <c r="O112">
        <f>IF(AY111&lt;=0,0,IF(ROUND(AY111*(1+'Calc base'!M112),2)-MAX('Calc base'!H$12,ROUND('Calc base'!H$13*AY111,2))&lt;1,ROUND(AY111*(1+'Calc base'!M112),2),MAX('Calc base'!H$12,ROUND('Calc base'!H$13*AY111,2))))</f>
        <v>0</v>
      </c>
      <c r="P112">
        <f>IF(AZ111&lt;=0,0,IF(ROUND(AZ111*(1+'Calc base'!N112),2)-MAX('Calc base'!I$12,ROUND('Calc base'!I$13*AZ111,2))&lt;1,ROUND(AZ111*(1+'Calc base'!N112),2),MAX('Calc base'!I$12,ROUND('Calc base'!I$13*AZ111,2))))</f>
        <v>0</v>
      </c>
      <c r="Q112">
        <f>IF(BA111&lt;=0,0,IF(ROUND(BA111*(1+'Calc base'!O112),2)-MAX('Calc base'!J$12,ROUND('Calc base'!J$13*BA111,2))&lt;1,ROUND(BA111*(1+'Calc base'!O112),2),MAX('Calc base'!J$12,ROUND('Calc base'!J$13*BA111,2))))</f>
        <v>0</v>
      </c>
      <c r="R112">
        <f>IF(BB111&lt;=0,0,IF(ROUND(BB111*(1+'Calc base'!P112),2)-MAX('Calc base'!K$12,ROUND('Calc base'!K$13*BB111,2))&lt;1,ROUND(BB111*(1+'Calc base'!P112),2),MAX('Calc base'!K$12,ROUND('Calc base'!K$13*BB111,2))))</f>
        <v>0</v>
      </c>
      <c r="S112">
        <f>IF(BC111&lt;=0,0,IF(ROUND(BC111*(1+'Calc base'!Q112),2)-MAX('Calc base'!L$12,ROUND('Calc base'!L$13*BC111,2))&lt;1,ROUND(BC111*(1+'Calc base'!Q112),2),MAX('Calc base'!L$12,ROUND('Calc base'!L$13*BC111,2))))</f>
        <v>0</v>
      </c>
      <c r="T112">
        <f>IF(BD111&lt;=0,0,IF(ROUND(BD111*(1+'Calc base'!R112),2)-MAX('Calc base'!M$12,ROUND('Calc base'!M$13*BD111,2))&lt;1,ROUND(BD111*(1+'Calc base'!R112),2),MAX('Calc base'!M$12,ROUND('Calc base'!M$13*BD111,2))))</f>
        <v>0</v>
      </c>
      <c r="U112">
        <f>IF(BE111&lt;=0,0,IF(ROUND(BE111*(1+'Calc base'!S112),2)-MAX('Calc base'!N$12,ROUND('Calc base'!N$13*BE111,2))&lt;1,ROUND(BE111*(1+'Calc base'!S112),2),MAX('Calc base'!N$12,ROUND('Calc base'!N$13*BE111,2))))</f>
        <v>0</v>
      </c>
      <c r="V112">
        <f>MAX(0,ROUND(AT111*(1+'Calc base'!H112),2)-J112-'Calc base'!T112)</f>
        <v>0</v>
      </c>
      <c r="W112">
        <f>MAX(0,ROUND(AU111*(1+'Calc base'!I112),2)-K112-'Calc base'!U112)</f>
        <v>0</v>
      </c>
      <c r="X112">
        <f>MAX(0,ROUND(AV111*(1+'Calc base'!J112),2)-L112-'Calc base'!V112)</f>
        <v>0</v>
      </c>
      <c r="Y112">
        <f>MAX(0,ROUND(AW111*(1+'Calc base'!K112),2)-M112-'Calc base'!W112)</f>
        <v>0</v>
      </c>
      <c r="Z112">
        <f>MAX(0,ROUND(AX111*(1+'Calc base'!L112),2)-N112-'Calc base'!X112)</f>
        <v>0</v>
      </c>
      <c r="AA112">
        <f>MAX(0,ROUND(AY111*(1+'Calc base'!M112),2)-O112-'Calc base'!Y112)</f>
        <v>0</v>
      </c>
      <c r="AB112">
        <f>MAX(0,ROUND(AZ111*(1+'Calc base'!N112),2)-P112-'Calc base'!Z112)</f>
        <v>0</v>
      </c>
      <c r="AC112">
        <f>MAX(0,ROUND(BA111*(1+'Calc base'!O112),2)-Q112-'Calc base'!AA112)</f>
        <v>0</v>
      </c>
      <c r="AD112">
        <f>MAX(0,ROUND(BB111*(1+'Calc base'!P112),2)-R112-'Calc base'!AB112)</f>
        <v>0</v>
      </c>
      <c r="AE112">
        <f>MAX(0,ROUND(BC111*(1+'Calc base'!Q112),2)-S112-'Calc base'!AC112)</f>
        <v>0</v>
      </c>
      <c r="AF112">
        <f>MAX(0,ROUND(BD111*(1+'Calc base'!R112),2)-T112-'Calc base'!AD112)</f>
        <v>0</v>
      </c>
      <c r="AG112">
        <f>MAX(0,ROUND(BE111*(1+'Calc base'!S112),2)-U112-'Calc base'!AE112)</f>
        <v>0</v>
      </c>
      <c r="AH112">
        <f>IF('Calc base'!C$14=0,0,MIN(V112,MAX(0,$E112-SUMIFS($V112:$AG112,'Calc base'!$C$17:$N$17,"&lt;"&amp;'Calc base'!C$17,'Calc base'!$C$14:$N$14,1))))</f>
        <v>0</v>
      </c>
      <c r="AI112">
        <f>IF('Calc base'!D$14=0,0,MIN(W112,MAX(0,$E112-SUMIFS($V112:$AG112,'Calc base'!$C$17:$N$17,"&lt;"&amp;'Calc base'!D$17,'Calc base'!$C$14:$N$14,1))))</f>
        <v>0</v>
      </c>
      <c r="AJ112">
        <f>IF('Calc base'!E$14=0,0,MIN(X112,MAX(0,$E112-SUMIFS($V112:$AG112,'Calc base'!$C$17:$N$17,"&lt;"&amp;'Calc base'!E$17,'Calc base'!$C$14:$N$14,1))))</f>
        <v>0</v>
      </c>
      <c r="AK112">
        <f>IF('Calc base'!F$14=0,0,MIN(Y112,MAX(0,$E112-SUMIFS($V112:$AG112,'Calc base'!$C$17:$N$17,"&lt;"&amp;'Calc base'!F$17,'Calc base'!$C$14:$N$14,1))))</f>
        <v>0</v>
      </c>
      <c r="AL112">
        <f>IF('Calc base'!G$14=0,0,MIN(Z112,MAX(0,$E112-SUMIFS($V112:$AG112,'Calc base'!$C$17:$N$17,"&lt;"&amp;'Calc base'!G$17,'Calc base'!$C$14:$N$14,1))))</f>
        <v>0</v>
      </c>
      <c r="AM112">
        <f>IF('Calc base'!H$14=0,0,MIN(AA112,MAX(0,$E112-SUMIFS($V112:$AG112,'Calc base'!$C$17:$N$17,"&lt;"&amp;'Calc base'!H$17,'Calc base'!$C$14:$N$14,1))))</f>
        <v>0</v>
      </c>
      <c r="AN112">
        <f>IF('Calc base'!I$14=0,0,MIN(AB112,MAX(0,$E112-SUMIFS($V112:$AG112,'Calc base'!$C$17:$N$17,"&lt;"&amp;'Calc base'!I$17,'Calc base'!$C$14:$N$14,1))))</f>
        <v>0</v>
      </c>
      <c r="AO112">
        <f>IF('Calc base'!J$14=0,0,MIN(AC112,MAX(0,$E112-SUMIFS($V112:$AG112,'Calc base'!$C$17:$N$17,"&lt;"&amp;'Calc base'!J$17,'Calc base'!$C$14:$N$14,1))))</f>
        <v>0</v>
      </c>
      <c r="AP112">
        <f>IF('Calc base'!K$14=0,0,MIN(AD112,MAX(0,$E112-SUMIFS($V112:$AG112,'Calc base'!$C$17:$N$17,"&lt;"&amp;'Calc base'!K$17,'Calc base'!$C$14:$N$14,1))))</f>
        <v>0</v>
      </c>
      <c r="AQ112">
        <f>IF('Calc base'!L$14=0,0,MIN(AE112,MAX(0,$E112-SUMIFS($V112:$AG112,'Calc base'!$C$17:$N$17,"&lt;"&amp;'Calc base'!L$17,'Calc base'!$C$14:$N$14,1))))</f>
        <v>0</v>
      </c>
      <c r="AR112">
        <f>IF('Calc base'!M$14=0,0,MIN(AF112,MAX(0,$E112-SUMIFS($V112:$AG112,'Calc base'!$C$17:$N$17,"&lt;"&amp;'Calc base'!M$17,'Calc base'!$C$14:$N$14,1))))</f>
        <v>0</v>
      </c>
      <c r="AS112">
        <f>IF('Calc base'!N$14=0,0,MIN(AG112,MAX(0,$E112-SUMIFS($V112:$AG112,'Calc base'!$C$17:$N$17,"&lt;"&amp;'Calc base'!N$17,'Calc base'!$C$14:$N$14,1))))</f>
        <v>0</v>
      </c>
      <c r="AT112">
        <f>V112-AH112</f>
        <v>0</v>
      </c>
      <c r="AU112">
        <f>W112-AI112</f>
        <v>0</v>
      </c>
      <c r="AV112">
        <f>X112-AJ112</f>
        <v>0</v>
      </c>
      <c r="AW112">
        <f>Y112-AK112</f>
        <v>0</v>
      </c>
      <c r="AX112">
        <f>Z112-AL112</f>
        <v>0</v>
      </c>
      <c r="AY112">
        <f>AA112-AM112</f>
        <v>0</v>
      </c>
      <c r="AZ112">
        <f>AB112-AN112</f>
        <v>0</v>
      </c>
      <c r="BA112">
        <f>AC112-AO112</f>
        <v>0</v>
      </c>
      <c r="BB112">
        <f>AD112-AP112</f>
        <v>0</v>
      </c>
      <c r="BC112">
        <f>AE112-AQ112</f>
        <v>0</v>
      </c>
      <c r="BD112">
        <f>AF112-AR112</f>
        <v>0</v>
      </c>
      <c r="BE112">
        <f>AG112-AS112</f>
        <v>0</v>
      </c>
    </row>
    <row r="113">
      <c r="A113" t="n">
        <v>83</v>
      </c>
      <c r="B113">
        <f>SUMPRODUCT(ROUND($AT112:$BE112*(1+'Calc base'!$H113:$S113),2))</f>
        <v>0</v>
      </c>
      <c r="C113">
        <f>SUM(J113:U113)</f>
        <v>0</v>
      </c>
      <c r="D113">
        <f>SUM(V113:AG113)</f>
        <v>0</v>
      </c>
      <c r="E113">
        <f>MAX(0,IF(Impostazioni!$B$7="No",'Calc base'!$C113-$C$31,'Calc base'!$C113-C113)+'Calc base'!$G113+'Calc base'!$F113-(B113-C113-D113))</f>
        <v>900</v>
      </c>
      <c r="F113">
        <f>SUM(AH113:AS113)</f>
        <v>0</v>
      </c>
      <c r="G113">
        <f>SUM(AT113:BE113)</f>
        <v>0</v>
      </c>
      <c r="H113">
        <f>B113-G112</f>
        <v>0</v>
      </c>
      <c r="I113">
        <f>B113-G113</f>
        <v>0</v>
      </c>
      <c r="J113">
        <f>IF(AT112&lt;=0,0,IF(ROUND(AT112*(1+'Calc base'!H113),2)-MAX('Calc base'!C$12,ROUND('Calc base'!C$13*AT112,2))&lt;1,ROUND(AT112*(1+'Calc base'!H113),2),MAX('Calc base'!C$12,ROUND('Calc base'!C$13*AT112,2))))</f>
        <v>0</v>
      </c>
      <c r="K113">
        <f>IF(AU112&lt;=0,0,IF(ROUND(AU112*(1+'Calc base'!I113),2)-MAX('Calc base'!D$12,ROUND('Calc base'!D$13*AU112,2))&lt;1,ROUND(AU112*(1+'Calc base'!I113),2),MAX('Calc base'!D$12,ROUND('Calc base'!D$13*AU112,2))))</f>
        <v>0</v>
      </c>
      <c r="L113">
        <f>IF(AV112&lt;=0,0,IF(ROUND(AV112*(1+'Calc base'!J113),2)-MAX('Calc base'!E$12,ROUND('Calc base'!E$13*AV112,2))&lt;1,ROUND(AV112*(1+'Calc base'!J113),2),MAX('Calc base'!E$12,ROUND('Calc base'!E$13*AV112,2))))</f>
        <v>0</v>
      </c>
      <c r="M113">
        <f>IF(AW112&lt;=0,0,IF(ROUND(AW112*(1+'Calc base'!K113),2)-MAX('Calc base'!F$12,ROUND('Calc base'!F$13*AW112,2))&lt;1,ROUND(AW112*(1+'Calc base'!K113),2),MAX('Calc base'!F$12,ROUND('Calc base'!F$13*AW112,2))))</f>
        <v>0</v>
      </c>
      <c r="N113">
        <f>IF(AX112&lt;=0,0,IF(ROUND(AX112*(1+'Calc base'!L113),2)-MAX('Calc base'!G$12,ROUND('Calc base'!G$13*AX112,2))&lt;1,ROUND(AX112*(1+'Calc base'!L113),2),MAX('Calc base'!G$12,ROUND('Calc base'!G$13*AX112,2))))</f>
        <v>0</v>
      </c>
      <c r="O113">
        <f>IF(AY112&lt;=0,0,IF(ROUND(AY112*(1+'Calc base'!M113),2)-MAX('Calc base'!H$12,ROUND('Calc base'!H$13*AY112,2))&lt;1,ROUND(AY112*(1+'Calc base'!M113),2),MAX('Calc base'!H$12,ROUND('Calc base'!H$13*AY112,2))))</f>
        <v>0</v>
      </c>
      <c r="P113">
        <f>IF(AZ112&lt;=0,0,IF(ROUND(AZ112*(1+'Calc base'!N113),2)-MAX('Calc base'!I$12,ROUND('Calc base'!I$13*AZ112,2))&lt;1,ROUND(AZ112*(1+'Calc base'!N113),2),MAX('Calc base'!I$12,ROUND('Calc base'!I$13*AZ112,2))))</f>
        <v>0</v>
      </c>
      <c r="Q113">
        <f>IF(BA112&lt;=0,0,IF(ROUND(BA112*(1+'Calc base'!O113),2)-MAX('Calc base'!J$12,ROUND('Calc base'!J$13*BA112,2))&lt;1,ROUND(BA112*(1+'Calc base'!O113),2),MAX('Calc base'!J$12,ROUND('Calc base'!J$13*BA112,2))))</f>
        <v>0</v>
      </c>
      <c r="R113">
        <f>IF(BB112&lt;=0,0,IF(ROUND(BB112*(1+'Calc base'!P113),2)-MAX('Calc base'!K$12,ROUND('Calc base'!K$13*BB112,2))&lt;1,ROUND(BB112*(1+'Calc base'!P113),2),MAX('Calc base'!K$12,ROUND('Calc base'!K$13*BB112,2))))</f>
        <v>0</v>
      </c>
      <c r="S113">
        <f>IF(BC112&lt;=0,0,IF(ROUND(BC112*(1+'Calc base'!Q113),2)-MAX('Calc base'!L$12,ROUND('Calc base'!L$13*BC112,2))&lt;1,ROUND(BC112*(1+'Calc base'!Q113),2),MAX('Calc base'!L$12,ROUND('Calc base'!L$13*BC112,2))))</f>
        <v>0</v>
      </c>
      <c r="T113">
        <f>IF(BD112&lt;=0,0,IF(ROUND(BD112*(1+'Calc base'!R113),2)-MAX('Calc base'!M$12,ROUND('Calc base'!M$13*BD112,2))&lt;1,ROUND(BD112*(1+'Calc base'!R113),2),MAX('Calc base'!M$12,ROUND('Calc base'!M$13*BD112,2))))</f>
        <v>0</v>
      </c>
      <c r="U113">
        <f>IF(BE112&lt;=0,0,IF(ROUND(BE112*(1+'Calc base'!S113),2)-MAX('Calc base'!N$12,ROUND('Calc base'!N$13*BE112,2))&lt;1,ROUND(BE112*(1+'Calc base'!S113),2),MAX('Calc base'!N$12,ROUND('Calc base'!N$13*BE112,2))))</f>
        <v>0</v>
      </c>
      <c r="V113">
        <f>MAX(0,ROUND(AT112*(1+'Calc base'!H113),2)-J113-'Calc base'!T113)</f>
        <v>0</v>
      </c>
      <c r="W113">
        <f>MAX(0,ROUND(AU112*(1+'Calc base'!I113),2)-K113-'Calc base'!U113)</f>
        <v>0</v>
      </c>
      <c r="X113">
        <f>MAX(0,ROUND(AV112*(1+'Calc base'!J113),2)-L113-'Calc base'!V113)</f>
        <v>0</v>
      </c>
      <c r="Y113">
        <f>MAX(0,ROUND(AW112*(1+'Calc base'!K113),2)-M113-'Calc base'!W113)</f>
        <v>0</v>
      </c>
      <c r="Z113">
        <f>MAX(0,ROUND(AX112*(1+'Calc base'!L113),2)-N113-'Calc base'!X113)</f>
        <v>0</v>
      </c>
      <c r="AA113">
        <f>MAX(0,ROUND(AY112*(1+'Calc base'!M113),2)-O113-'Calc base'!Y113)</f>
        <v>0</v>
      </c>
      <c r="AB113">
        <f>MAX(0,ROUND(AZ112*(1+'Calc base'!N113),2)-P113-'Calc base'!Z113)</f>
        <v>0</v>
      </c>
      <c r="AC113">
        <f>MAX(0,ROUND(BA112*(1+'Calc base'!O113),2)-Q113-'Calc base'!AA113)</f>
        <v>0</v>
      </c>
      <c r="AD113">
        <f>MAX(0,ROUND(BB112*(1+'Calc base'!P113),2)-R113-'Calc base'!AB113)</f>
        <v>0</v>
      </c>
      <c r="AE113">
        <f>MAX(0,ROUND(BC112*(1+'Calc base'!Q113),2)-S113-'Calc base'!AC113)</f>
        <v>0</v>
      </c>
      <c r="AF113">
        <f>MAX(0,ROUND(BD112*(1+'Calc base'!R113),2)-T113-'Calc base'!AD113)</f>
        <v>0</v>
      </c>
      <c r="AG113">
        <f>MAX(0,ROUND(BE112*(1+'Calc base'!S113),2)-U113-'Calc base'!AE113)</f>
        <v>0</v>
      </c>
      <c r="AH113">
        <f>IF('Calc base'!C$14=0,0,MIN(V113,MAX(0,$E113-SUMIFS($V113:$AG113,'Calc base'!$C$17:$N$17,"&lt;"&amp;'Calc base'!C$17,'Calc base'!$C$14:$N$14,1))))</f>
        <v>0</v>
      </c>
      <c r="AI113">
        <f>IF('Calc base'!D$14=0,0,MIN(W113,MAX(0,$E113-SUMIFS($V113:$AG113,'Calc base'!$C$17:$N$17,"&lt;"&amp;'Calc base'!D$17,'Calc base'!$C$14:$N$14,1))))</f>
        <v>0</v>
      </c>
      <c r="AJ113">
        <f>IF('Calc base'!E$14=0,0,MIN(X113,MAX(0,$E113-SUMIFS($V113:$AG113,'Calc base'!$C$17:$N$17,"&lt;"&amp;'Calc base'!E$17,'Calc base'!$C$14:$N$14,1))))</f>
        <v>0</v>
      </c>
      <c r="AK113">
        <f>IF('Calc base'!F$14=0,0,MIN(Y113,MAX(0,$E113-SUMIFS($V113:$AG113,'Calc base'!$C$17:$N$17,"&lt;"&amp;'Calc base'!F$17,'Calc base'!$C$14:$N$14,1))))</f>
        <v>0</v>
      </c>
      <c r="AL113">
        <f>IF('Calc base'!G$14=0,0,MIN(Z113,MAX(0,$E113-SUMIFS($V113:$AG113,'Calc base'!$C$17:$N$17,"&lt;"&amp;'Calc base'!G$17,'Calc base'!$C$14:$N$14,1))))</f>
        <v>0</v>
      </c>
      <c r="AM113">
        <f>IF('Calc base'!H$14=0,0,MIN(AA113,MAX(0,$E113-SUMIFS($V113:$AG113,'Calc base'!$C$17:$N$17,"&lt;"&amp;'Calc base'!H$17,'Calc base'!$C$14:$N$14,1))))</f>
        <v>0</v>
      </c>
      <c r="AN113">
        <f>IF('Calc base'!I$14=0,0,MIN(AB113,MAX(0,$E113-SUMIFS($V113:$AG113,'Calc base'!$C$17:$N$17,"&lt;"&amp;'Calc base'!I$17,'Calc base'!$C$14:$N$14,1))))</f>
        <v>0</v>
      </c>
      <c r="AO113">
        <f>IF('Calc base'!J$14=0,0,MIN(AC113,MAX(0,$E113-SUMIFS($V113:$AG113,'Calc base'!$C$17:$N$17,"&lt;"&amp;'Calc base'!J$17,'Calc base'!$C$14:$N$14,1))))</f>
        <v>0</v>
      </c>
      <c r="AP113">
        <f>IF('Calc base'!K$14=0,0,MIN(AD113,MAX(0,$E113-SUMIFS($V113:$AG113,'Calc base'!$C$17:$N$17,"&lt;"&amp;'Calc base'!K$17,'Calc base'!$C$14:$N$14,1))))</f>
        <v>0</v>
      </c>
      <c r="AQ113">
        <f>IF('Calc base'!L$14=0,0,MIN(AE113,MAX(0,$E113-SUMIFS($V113:$AG113,'Calc base'!$C$17:$N$17,"&lt;"&amp;'Calc base'!L$17,'Calc base'!$C$14:$N$14,1))))</f>
        <v>0</v>
      </c>
      <c r="AR113">
        <f>IF('Calc base'!M$14=0,0,MIN(AF113,MAX(0,$E113-SUMIFS($V113:$AG113,'Calc base'!$C$17:$N$17,"&lt;"&amp;'Calc base'!M$17,'Calc base'!$C$14:$N$14,1))))</f>
        <v>0</v>
      </c>
      <c r="AS113">
        <f>IF('Calc base'!N$14=0,0,MIN(AG113,MAX(0,$E113-SUMIFS($V113:$AG113,'Calc base'!$C$17:$N$17,"&lt;"&amp;'Calc base'!N$17,'Calc base'!$C$14:$N$14,1))))</f>
        <v>0</v>
      </c>
      <c r="AT113">
        <f>V113-AH113</f>
        <v>0</v>
      </c>
      <c r="AU113">
        <f>W113-AI113</f>
        <v>0</v>
      </c>
      <c r="AV113">
        <f>X113-AJ113</f>
        <v>0</v>
      </c>
      <c r="AW113">
        <f>Y113-AK113</f>
        <v>0</v>
      </c>
      <c r="AX113">
        <f>Z113-AL113</f>
        <v>0</v>
      </c>
      <c r="AY113">
        <f>AA113-AM113</f>
        <v>0</v>
      </c>
      <c r="AZ113">
        <f>AB113-AN113</f>
        <v>0</v>
      </c>
      <c r="BA113">
        <f>AC113-AO113</f>
        <v>0</v>
      </c>
      <c r="BB113">
        <f>AD113-AP113</f>
        <v>0</v>
      </c>
      <c r="BC113">
        <f>AE113-AQ113</f>
        <v>0</v>
      </c>
      <c r="BD113">
        <f>AF113-AR113</f>
        <v>0</v>
      </c>
      <c r="BE113">
        <f>AG113-AS113</f>
        <v>0</v>
      </c>
    </row>
    <row r="114">
      <c r="A114" t="n">
        <v>84</v>
      </c>
      <c r="B114">
        <f>SUMPRODUCT(ROUND($AT113:$BE113*(1+'Calc base'!$H114:$S114),2))</f>
        <v>0</v>
      </c>
      <c r="C114">
        <f>SUM(J114:U114)</f>
        <v>0</v>
      </c>
      <c r="D114">
        <f>SUM(V114:AG114)</f>
        <v>0</v>
      </c>
      <c r="E114">
        <f>MAX(0,IF(Impostazioni!$B$7="No",'Calc base'!$C114-$C$31,'Calc base'!$C114-C114)+'Calc base'!$G114+'Calc base'!$F114-(B114-C114-D114))</f>
        <v>900</v>
      </c>
      <c r="F114">
        <f>SUM(AH114:AS114)</f>
        <v>0</v>
      </c>
      <c r="G114">
        <f>SUM(AT114:BE114)</f>
        <v>0</v>
      </c>
      <c r="H114">
        <f>B114-G113</f>
        <v>0</v>
      </c>
      <c r="I114">
        <f>B114-G114</f>
        <v>0</v>
      </c>
      <c r="J114">
        <f>IF(AT113&lt;=0,0,IF(ROUND(AT113*(1+'Calc base'!H114),2)-MAX('Calc base'!C$12,ROUND('Calc base'!C$13*AT113,2))&lt;1,ROUND(AT113*(1+'Calc base'!H114),2),MAX('Calc base'!C$12,ROUND('Calc base'!C$13*AT113,2))))</f>
        <v>0</v>
      </c>
      <c r="K114">
        <f>IF(AU113&lt;=0,0,IF(ROUND(AU113*(1+'Calc base'!I114),2)-MAX('Calc base'!D$12,ROUND('Calc base'!D$13*AU113,2))&lt;1,ROUND(AU113*(1+'Calc base'!I114),2),MAX('Calc base'!D$12,ROUND('Calc base'!D$13*AU113,2))))</f>
        <v>0</v>
      </c>
      <c r="L114">
        <f>IF(AV113&lt;=0,0,IF(ROUND(AV113*(1+'Calc base'!J114),2)-MAX('Calc base'!E$12,ROUND('Calc base'!E$13*AV113,2))&lt;1,ROUND(AV113*(1+'Calc base'!J114),2),MAX('Calc base'!E$12,ROUND('Calc base'!E$13*AV113,2))))</f>
        <v>0</v>
      </c>
      <c r="M114">
        <f>IF(AW113&lt;=0,0,IF(ROUND(AW113*(1+'Calc base'!K114),2)-MAX('Calc base'!F$12,ROUND('Calc base'!F$13*AW113,2))&lt;1,ROUND(AW113*(1+'Calc base'!K114),2),MAX('Calc base'!F$12,ROUND('Calc base'!F$13*AW113,2))))</f>
        <v>0</v>
      </c>
      <c r="N114">
        <f>IF(AX113&lt;=0,0,IF(ROUND(AX113*(1+'Calc base'!L114),2)-MAX('Calc base'!G$12,ROUND('Calc base'!G$13*AX113,2))&lt;1,ROUND(AX113*(1+'Calc base'!L114),2),MAX('Calc base'!G$12,ROUND('Calc base'!G$13*AX113,2))))</f>
        <v>0</v>
      </c>
      <c r="O114">
        <f>IF(AY113&lt;=0,0,IF(ROUND(AY113*(1+'Calc base'!M114),2)-MAX('Calc base'!H$12,ROUND('Calc base'!H$13*AY113,2))&lt;1,ROUND(AY113*(1+'Calc base'!M114),2),MAX('Calc base'!H$12,ROUND('Calc base'!H$13*AY113,2))))</f>
        <v>0</v>
      </c>
      <c r="P114">
        <f>IF(AZ113&lt;=0,0,IF(ROUND(AZ113*(1+'Calc base'!N114),2)-MAX('Calc base'!I$12,ROUND('Calc base'!I$13*AZ113,2))&lt;1,ROUND(AZ113*(1+'Calc base'!N114),2),MAX('Calc base'!I$12,ROUND('Calc base'!I$13*AZ113,2))))</f>
        <v>0</v>
      </c>
      <c r="Q114">
        <f>IF(BA113&lt;=0,0,IF(ROUND(BA113*(1+'Calc base'!O114),2)-MAX('Calc base'!J$12,ROUND('Calc base'!J$13*BA113,2))&lt;1,ROUND(BA113*(1+'Calc base'!O114),2),MAX('Calc base'!J$12,ROUND('Calc base'!J$13*BA113,2))))</f>
        <v>0</v>
      </c>
      <c r="R114">
        <f>IF(BB113&lt;=0,0,IF(ROUND(BB113*(1+'Calc base'!P114),2)-MAX('Calc base'!K$12,ROUND('Calc base'!K$13*BB113,2))&lt;1,ROUND(BB113*(1+'Calc base'!P114),2),MAX('Calc base'!K$12,ROUND('Calc base'!K$13*BB113,2))))</f>
        <v>0</v>
      </c>
      <c r="S114">
        <f>IF(BC113&lt;=0,0,IF(ROUND(BC113*(1+'Calc base'!Q114),2)-MAX('Calc base'!L$12,ROUND('Calc base'!L$13*BC113,2))&lt;1,ROUND(BC113*(1+'Calc base'!Q114),2),MAX('Calc base'!L$12,ROUND('Calc base'!L$13*BC113,2))))</f>
        <v>0</v>
      </c>
      <c r="T114">
        <f>IF(BD113&lt;=0,0,IF(ROUND(BD113*(1+'Calc base'!R114),2)-MAX('Calc base'!M$12,ROUND('Calc base'!M$13*BD113,2))&lt;1,ROUND(BD113*(1+'Calc base'!R114),2),MAX('Calc base'!M$12,ROUND('Calc base'!M$13*BD113,2))))</f>
        <v>0</v>
      </c>
      <c r="U114">
        <f>IF(BE113&lt;=0,0,IF(ROUND(BE113*(1+'Calc base'!S114),2)-MAX('Calc base'!N$12,ROUND('Calc base'!N$13*BE113,2))&lt;1,ROUND(BE113*(1+'Calc base'!S114),2),MAX('Calc base'!N$12,ROUND('Calc base'!N$13*BE113,2))))</f>
        <v>0</v>
      </c>
      <c r="V114">
        <f>MAX(0,ROUND(AT113*(1+'Calc base'!H114),2)-J114-'Calc base'!T114)</f>
        <v>0</v>
      </c>
      <c r="W114">
        <f>MAX(0,ROUND(AU113*(1+'Calc base'!I114),2)-K114-'Calc base'!U114)</f>
        <v>0</v>
      </c>
      <c r="X114">
        <f>MAX(0,ROUND(AV113*(1+'Calc base'!J114),2)-L114-'Calc base'!V114)</f>
        <v>0</v>
      </c>
      <c r="Y114">
        <f>MAX(0,ROUND(AW113*(1+'Calc base'!K114),2)-M114-'Calc base'!W114)</f>
        <v>0</v>
      </c>
      <c r="Z114">
        <f>MAX(0,ROUND(AX113*(1+'Calc base'!L114),2)-N114-'Calc base'!X114)</f>
        <v>0</v>
      </c>
      <c r="AA114">
        <f>MAX(0,ROUND(AY113*(1+'Calc base'!M114),2)-O114-'Calc base'!Y114)</f>
        <v>0</v>
      </c>
      <c r="AB114">
        <f>MAX(0,ROUND(AZ113*(1+'Calc base'!N114),2)-P114-'Calc base'!Z114)</f>
        <v>0</v>
      </c>
      <c r="AC114">
        <f>MAX(0,ROUND(BA113*(1+'Calc base'!O114),2)-Q114-'Calc base'!AA114)</f>
        <v>0</v>
      </c>
      <c r="AD114">
        <f>MAX(0,ROUND(BB113*(1+'Calc base'!P114),2)-R114-'Calc base'!AB114)</f>
        <v>0</v>
      </c>
      <c r="AE114">
        <f>MAX(0,ROUND(BC113*(1+'Calc base'!Q114),2)-S114-'Calc base'!AC114)</f>
        <v>0</v>
      </c>
      <c r="AF114">
        <f>MAX(0,ROUND(BD113*(1+'Calc base'!R114),2)-T114-'Calc base'!AD114)</f>
        <v>0</v>
      </c>
      <c r="AG114">
        <f>MAX(0,ROUND(BE113*(1+'Calc base'!S114),2)-U114-'Calc base'!AE114)</f>
        <v>0</v>
      </c>
      <c r="AH114">
        <f>IF('Calc base'!C$14=0,0,MIN(V114,MAX(0,$E114-SUMIFS($V114:$AG114,'Calc base'!$C$17:$N$17,"&lt;"&amp;'Calc base'!C$17,'Calc base'!$C$14:$N$14,1))))</f>
        <v>0</v>
      </c>
      <c r="AI114">
        <f>IF('Calc base'!D$14=0,0,MIN(W114,MAX(0,$E114-SUMIFS($V114:$AG114,'Calc base'!$C$17:$N$17,"&lt;"&amp;'Calc base'!D$17,'Calc base'!$C$14:$N$14,1))))</f>
        <v>0</v>
      </c>
      <c r="AJ114">
        <f>IF('Calc base'!E$14=0,0,MIN(X114,MAX(0,$E114-SUMIFS($V114:$AG114,'Calc base'!$C$17:$N$17,"&lt;"&amp;'Calc base'!E$17,'Calc base'!$C$14:$N$14,1))))</f>
        <v>0</v>
      </c>
      <c r="AK114">
        <f>IF('Calc base'!F$14=0,0,MIN(Y114,MAX(0,$E114-SUMIFS($V114:$AG114,'Calc base'!$C$17:$N$17,"&lt;"&amp;'Calc base'!F$17,'Calc base'!$C$14:$N$14,1))))</f>
        <v>0</v>
      </c>
      <c r="AL114">
        <f>IF('Calc base'!G$14=0,0,MIN(Z114,MAX(0,$E114-SUMIFS($V114:$AG114,'Calc base'!$C$17:$N$17,"&lt;"&amp;'Calc base'!G$17,'Calc base'!$C$14:$N$14,1))))</f>
        <v>0</v>
      </c>
      <c r="AM114">
        <f>IF('Calc base'!H$14=0,0,MIN(AA114,MAX(0,$E114-SUMIFS($V114:$AG114,'Calc base'!$C$17:$N$17,"&lt;"&amp;'Calc base'!H$17,'Calc base'!$C$14:$N$14,1))))</f>
        <v>0</v>
      </c>
      <c r="AN114">
        <f>IF('Calc base'!I$14=0,0,MIN(AB114,MAX(0,$E114-SUMIFS($V114:$AG114,'Calc base'!$C$17:$N$17,"&lt;"&amp;'Calc base'!I$17,'Calc base'!$C$14:$N$14,1))))</f>
        <v>0</v>
      </c>
      <c r="AO114">
        <f>IF('Calc base'!J$14=0,0,MIN(AC114,MAX(0,$E114-SUMIFS($V114:$AG114,'Calc base'!$C$17:$N$17,"&lt;"&amp;'Calc base'!J$17,'Calc base'!$C$14:$N$14,1))))</f>
        <v>0</v>
      </c>
      <c r="AP114">
        <f>IF('Calc base'!K$14=0,0,MIN(AD114,MAX(0,$E114-SUMIFS($V114:$AG114,'Calc base'!$C$17:$N$17,"&lt;"&amp;'Calc base'!K$17,'Calc base'!$C$14:$N$14,1))))</f>
        <v>0</v>
      </c>
      <c r="AQ114">
        <f>IF('Calc base'!L$14=0,0,MIN(AE114,MAX(0,$E114-SUMIFS($V114:$AG114,'Calc base'!$C$17:$N$17,"&lt;"&amp;'Calc base'!L$17,'Calc base'!$C$14:$N$14,1))))</f>
        <v>0</v>
      </c>
      <c r="AR114">
        <f>IF('Calc base'!M$14=0,0,MIN(AF114,MAX(0,$E114-SUMIFS($V114:$AG114,'Calc base'!$C$17:$N$17,"&lt;"&amp;'Calc base'!M$17,'Calc base'!$C$14:$N$14,1))))</f>
        <v>0</v>
      </c>
      <c r="AS114">
        <f>IF('Calc base'!N$14=0,0,MIN(AG114,MAX(0,$E114-SUMIFS($V114:$AG114,'Calc base'!$C$17:$N$17,"&lt;"&amp;'Calc base'!N$17,'Calc base'!$C$14:$N$14,1))))</f>
        <v>0</v>
      </c>
      <c r="AT114">
        <f>V114-AH114</f>
        <v>0</v>
      </c>
      <c r="AU114">
        <f>W114-AI114</f>
        <v>0</v>
      </c>
      <c r="AV114">
        <f>X114-AJ114</f>
        <v>0</v>
      </c>
      <c r="AW114">
        <f>Y114-AK114</f>
        <v>0</v>
      </c>
      <c r="AX114">
        <f>Z114-AL114</f>
        <v>0</v>
      </c>
      <c r="AY114">
        <f>AA114-AM114</f>
        <v>0</v>
      </c>
      <c r="AZ114">
        <f>AB114-AN114</f>
        <v>0</v>
      </c>
      <c r="BA114">
        <f>AC114-AO114</f>
        <v>0</v>
      </c>
      <c r="BB114">
        <f>AD114-AP114</f>
        <v>0</v>
      </c>
      <c r="BC114">
        <f>AE114-AQ114</f>
        <v>0</v>
      </c>
      <c r="BD114">
        <f>AF114-AR114</f>
        <v>0</v>
      </c>
      <c r="BE114">
        <f>AG114-AS114</f>
        <v>0</v>
      </c>
    </row>
    <row r="115">
      <c r="A115" t="n">
        <v>85</v>
      </c>
      <c r="B115">
        <f>SUMPRODUCT(ROUND($AT114:$BE114*(1+'Calc base'!$H115:$S115),2))</f>
        <v>0</v>
      </c>
      <c r="C115">
        <f>SUM(J115:U115)</f>
        <v>0</v>
      </c>
      <c r="D115">
        <f>SUM(V115:AG115)</f>
        <v>0</v>
      </c>
      <c r="E115">
        <f>MAX(0,IF(Impostazioni!$B$7="No",'Calc base'!$C115-$C$31,'Calc base'!$C115-C115)+'Calc base'!$G115+'Calc base'!$F115-(B115-C115-D115))</f>
        <v>900</v>
      </c>
      <c r="F115">
        <f>SUM(AH115:AS115)</f>
        <v>0</v>
      </c>
      <c r="G115">
        <f>SUM(AT115:BE115)</f>
        <v>0</v>
      </c>
      <c r="H115">
        <f>B115-G114</f>
        <v>0</v>
      </c>
      <c r="I115">
        <f>B115-G115</f>
        <v>0</v>
      </c>
      <c r="J115">
        <f>IF(AT114&lt;=0,0,IF(ROUND(AT114*(1+'Calc base'!H115),2)-MAX('Calc base'!C$12,ROUND('Calc base'!C$13*AT114,2))&lt;1,ROUND(AT114*(1+'Calc base'!H115),2),MAX('Calc base'!C$12,ROUND('Calc base'!C$13*AT114,2))))</f>
        <v>0</v>
      </c>
      <c r="K115">
        <f>IF(AU114&lt;=0,0,IF(ROUND(AU114*(1+'Calc base'!I115),2)-MAX('Calc base'!D$12,ROUND('Calc base'!D$13*AU114,2))&lt;1,ROUND(AU114*(1+'Calc base'!I115),2),MAX('Calc base'!D$12,ROUND('Calc base'!D$13*AU114,2))))</f>
        <v>0</v>
      </c>
      <c r="L115">
        <f>IF(AV114&lt;=0,0,IF(ROUND(AV114*(1+'Calc base'!J115),2)-MAX('Calc base'!E$12,ROUND('Calc base'!E$13*AV114,2))&lt;1,ROUND(AV114*(1+'Calc base'!J115),2),MAX('Calc base'!E$12,ROUND('Calc base'!E$13*AV114,2))))</f>
        <v>0</v>
      </c>
      <c r="M115">
        <f>IF(AW114&lt;=0,0,IF(ROUND(AW114*(1+'Calc base'!K115),2)-MAX('Calc base'!F$12,ROUND('Calc base'!F$13*AW114,2))&lt;1,ROUND(AW114*(1+'Calc base'!K115),2),MAX('Calc base'!F$12,ROUND('Calc base'!F$13*AW114,2))))</f>
        <v>0</v>
      </c>
      <c r="N115">
        <f>IF(AX114&lt;=0,0,IF(ROUND(AX114*(1+'Calc base'!L115),2)-MAX('Calc base'!G$12,ROUND('Calc base'!G$13*AX114,2))&lt;1,ROUND(AX114*(1+'Calc base'!L115),2),MAX('Calc base'!G$12,ROUND('Calc base'!G$13*AX114,2))))</f>
        <v>0</v>
      </c>
      <c r="O115">
        <f>IF(AY114&lt;=0,0,IF(ROUND(AY114*(1+'Calc base'!M115),2)-MAX('Calc base'!H$12,ROUND('Calc base'!H$13*AY114,2))&lt;1,ROUND(AY114*(1+'Calc base'!M115),2),MAX('Calc base'!H$12,ROUND('Calc base'!H$13*AY114,2))))</f>
        <v>0</v>
      </c>
      <c r="P115">
        <f>IF(AZ114&lt;=0,0,IF(ROUND(AZ114*(1+'Calc base'!N115),2)-MAX('Calc base'!I$12,ROUND('Calc base'!I$13*AZ114,2))&lt;1,ROUND(AZ114*(1+'Calc base'!N115),2),MAX('Calc base'!I$12,ROUND('Calc base'!I$13*AZ114,2))))</f>
        <v>0</v>
      </c>
      <c r="Q115">
        <f>IF(BA114&lt;=0,0,IF(ROUND(BA114*(1+'Calc base'!O115),2)-MAX('Calc base'!J$12,ROUND('Calc base'!J$13*BA114,2))&lt;1,ROUND(BA114*(1+'Calc base'!O115),2),MAX('Calc base'!J$12,ROUND('Calc base'!J$13*BA114,2))))</f>
        <v>0</v>
      </c>
      <c r="R115">
        <f>IF(BB114&lt;=0,0,IF(ROUND(BB114*(1+'Calc base'!P115),2)-MAX('Calc base'!K$12,ROUND('Calc base'!K$13*BB114,2))&lt;1,ROUND(BB114*(1+'Calc base'!P115),2),MAX('Calc base'!K$12,ROUND('Calc base'!K$13*BB114,2))))</f>
        <v>0</v>
      </c>
      <c r="S115">
        <f>IF(BC114&lt;=0,0,IF(ROUND(BC114*(1+'Calc base'!Q115),2)-MAX('Calc base'!L$12,ROUND('Calc base'!L$13*BC114,2))&lt;1,ROUND(BC114*(1+'Calc base'!Q115),2),MAX('Calc base'!L$12,ROUND('Calc base'!L$13*BC114,2))))</f>
        <v>0</v>
      </c>
      <c r="T115">
        <f>IF(BD114&lt;=0,0,IF(ROUND(BD114*(1+'Calc base'!R115),2)-MAX('Calc base'!M$12,ROUND('Calc base'!M$13*BD114,2))&lt;1,ROUND(BD114*(1+'Calc base'!R115),2),MAX('Calc base'!M$12,ROUND('Calc base'!M$13*BD114,2))))</f>
        <v>0</v>
      </c>
      <c r="U115">
        <f>IF(BE114&lt;=0,0,IF(ROUND(BE114*(1+'Calc base'!S115),2)-MAX('Calc base'!N$12,ROUND('Calc base'!N$13*BE114,2))&lt;1,ROUND(BE114*(1+'Calc base'!S115),2),MAX('Calc base'!N$12,ROUND('Calc base'!N$13*BE114,2))))</f>
        <v>0</v>
      </c>
      <c r="V115">
        <f>MAX(0,ROUND(AT114*(1+'Calc base'!H115),2)-J115-'Calc base'!T115)</f>
        <v>0</v>
      </c>
      <c r="W115">
        <f>MAX(0,ROUND(AU114*(1+'Calc base'!I115),2)-K115-'Calc base'!U115)</f>
        <v>0</v>
      </c>
      <c r="X115">
        <f>MAX(0,ROUND(AV114*(1+'Calc base'!J115),2)-L115-'Calc base'!V115)</f>
        <v>0</v>
      </c>
      <c r="Y115">
        <f>MAX(0,ROUND(AW114*(1+'Calc base'!K115),2)-M115-'Calc base'!W115)</f>
        <v>0</v>
      </c>
      <c r="Z115">
        <f>MAX(0,ROUND(AX114*(1+'Calc base'!L115),2)-N115-'Calc base'!X115)</f>
        <v>0</v>
      </c>
      <c r="AA115">
        <f>MAX(0,ROUND(AY114*(1+'Calc base'!M115),2)-O115-'Calc base'!Y115)</f>
        <v>0</v>
      </c>
      <c r="AB115">
        <f>MAX(0,ROUND(AZ114*(1+'Calc base'!N115),2)-P115-'Calc base'!Z115)</f>
        <v>0</v>
      </c>
      <c r="AC115">
        <f>MAX(0,ROUND(BA114*(1+'Calc base'!O115),2)-Q115-'Calc base'!AA115)</f>
        <v>0</v>
      </c>
      <c r="AD115">
        <f>MAX(0,ROUND(BB114*(1+'Calc base'!P115),2)-R115-'Calc base'!AB115)</f>
        <v>0</v>
      </c>
      <c r="AE115">
        <f>MAX(0,ROUND(BC114*(1+'Calc base'!Q115),2)-S115-'Calc base'!AC115)</f>
        <v>0</v>
      </c>
      <c r="AF115">
        <f>MAX(0,ROUND(BD114*(1+'Calc base'!R115),2)-T115-'Calc base'!AD115)</f>
        <v>0</v>
      </c>
      <c r="AG115">
        <f>MAX(0,ROUND(BE114*(1+'Calc base'!S115),2)-U115-'Calc base'!AE115)</f>
        <v>0</v>
      </c>
      <c r="AH115">
        <f>IF('Calc base'!C$14=0,0,MIN(V115,MAX(0,$E115-SUMIFS($V115:$AG115,'Calc base'!$C$17:$N$17,"&lt;"&amp;'Calc base'!C$17,'Calc base'!$C$14:$N$14,1))))</f>
        <v>0</v>
      </c>
      <c r="AI115">
        <f>IF('Calc base'!D$14=0,0,MIN(W115,MAX(0,$E115-SUMIFS($V115:$AG115,'Calc base'!$C$17:$N$17,"&lt;"&amp;'Calc base'!D$17,'Calc base'!$C$14:$N$14,1))))</f>
        <v>0</v>
      </c>
      <c r="AJ115">
        <f>IF('Calc base'!E$14=0,0,MIN(X115,MAX(0,$E115-SUMIFS($V115:$AG115,'Calc base'!$C$17:$N$17,"&lt;"&amp;'Calc base'!E$17,'Calc base'!$C$14:$N$14,1))))</f>
        <v>0</v>
      </c>
      <c r="AK115">
        <f>IF('Calc base'!F$14=0,0,MIN(Y115,MAX(0,$E115-SUMIFS($V115:$AG115,'Calc base'!$C$17:$N$17,"&lt;"&amp;'Calc base'!F$17,'Calc base'!$C$14:$N$14,1))))</f>
        <v>0</v>
      </c>
      <c r="AL115">
        <f>IF('Calc base'!G$14=0,0,MIN(Z115,MAX(0,$E115-SUMIFS($V115:$AG115,'Calc base'!$C$17:$N$17,"&lt;"&amp;'Calc base'!G$17,'Calc base'!$C$14:$N$14,1))))</f>
        <v>0</v>
      </c>
      <c r="AM115">
        <f>IF('Calc base'!H$14=0,0,MIN(AA115,MAX(0,$E115-SUMIFS($V115:$AG115,'Calc base'!$C$17:$N$17,"&lt;"&amp;'Calc base'!H$17,'Calc base'!$C$14:$N$14,1))))</f>
        <v>0</v>
      </c>
      <c r="AN115">
        <f>IF('Calc base'!I$14=0,0,MIN(AB115,MAX(0,$E115-SUMIFS($V115:$AG115,'Calc base'!$C$17:$N$17,"&lt;"&amp;'Calc base'!I$17,'Calc base'!$C$14:$N$14,1))))</f>
        <v>0</v>
      </c>
      <c r="AO115">
        <f>IF('Calc base'!J$14=0,0,MIN(AC115,MAX(0,$E115-SUMIFS($V115:$AG115,'Calc base'!$C$17:$N$17,"&lt;"&amp;'Calc base'!J$17,'Calc base'!$C$14:$N$14,1))))</f>
        <v>0</v>
      </c>
      <c r="AP115">
        <f>IF('Calc base'!K$14=0,0,MIN(AD115,MAX(0,$E115-SUMIFS($V115:$AG115,'Calc base'!$C$17:$N$17,"&lt;"&amp;'Calc base'!K$17,'Calc base'!$C$14:$N$14,1))))</f>
        <v>0</v>
      </c>
      <c r="AQ115">
        <f>IF('Calc base'!L$14=0,0,MIN(AE115,MAX(0,$E115-SUMIFS($V115:$AG115,'Calc base'!$C$17:$N$17,"&lt;"&amp;'Calc base'!L$17,'Calc base'!$C$14:$N$14,1))))</f>
        <v>0</v>
      </c>
      <c r="AR115">
        <f>IF('Calc base'!M$14=0,0,MIN(AF115,MAX(0,$E115-SUMIFS($V115:$AG115,'Calc base'!$C$17:$N$17,"&lt;"&amp;'Calc base'!M$17,'Calc base'!$C$14:$N$14,1))))</f>
        <v>0</v>
      </c>
      <c r="AS115">
        <f>IF('Calc base'!N$14=0,0,MIN(AG115,MAX(0,$E115-SUMIFS($V115:$AG115,'Calc base'!$C$17:$N$17,"&lt;"&amp;'Calc base'!N$17,'Calc base'!$C$14:$N$14,1))))</f>
        <v>0</v>
      </c>
      <c r="AT115">
        <f>V115-AH115</f>
        <v>0</v>
      </c>
      <c r="AU115">
        <f>W115-AI115</f>
        <v>0</v>
      </c>
      <c r="AV115">
        <f>X115-AJ115</f>
        <v>0</v>
      </c>
      <c r="AW115">
        <f>Y115-AK115</f>
        <v>0</v>
      </c>
      <c r="AX115">
        <f>Z115-AL115</f>
        <v>0</v>
      </c>
      <c r="AY115">
        <f>AA115-AM115</f>
        <v>0</v>
      </c>
      <c r="AZ115">
        <f>AB115-AN115</f>
        <v>0</v>
      </c>
      <c r="BA115">
        <f>AC115-AO115</f>
        <v>0</v>
      </c>
      <c r="BB115">
        <f>AD115-AP115</f>
        <v>0</v>
      </c>
      <c r="BC115">
        <f>AE115-AQ115</f>
        <v>0</v>
      </c>
      <c r="BD115">
        <f>AF115-AR115</f>
        <v>0</v>
      </c>
      <c r="BE115">
        <f>AG115-AS115</f>
        <v>0</v>
      </c>
    </row>
    <row r="116">
      <c r="A116" t="n">
        <v>86</v>
      </c>
      <c r="B116">
        <f>SUMPRODUCT(ROUND($AT115:$BE115*(1+'Calc base'!$H116:$S116),2))</f>
        <v>0</v>
      </c>
      <c r="C116">
        <f>SUM(J116:U116)</f>
        <v>0</v>
      </c>
      <c r="D116">
        <f>SUM(V116:AG116)</f>
        <v>0</v>
      </c>
      <c r="E116">
        <f>MAX(0,IF(Impostazioni!$B$7="No",'Calc base'!$C116-$C$31,'Calc base'!$C116-C116)+'Calc base'!$G116+'Calc base'!$F116-(B116-C116-D116))</f>
        <v>900</v>
      </c>
      <c r="F116">
        <f>SUM(AH116:AS116)</f>
        <v>0</v>
      </c>
      <c r="G116">
        <f>SUM(AT116:BE116)</f>
        <v>0</v>
      </c>
      <c r="H116">
        <f>B116-G115</f>
        <v>0</v>
      </c>
      <c r="I116">
        <f>B116-G116</f>
        <v>0</v>
      </c>
      <c r="J116">
        <f>IF(AT115&lt;=0,0,IF(ROUND(AT115*(1+'Calc base'!H116),2)-MAX('Calc base'!C$12,ROUND('Calc base'!C$13*AT115,2))&lt;1,ROUND(AT115*(1+'Calc base'!H116),2),MAX('Calc base'!C$12,ROUND('Calc base'!C$13*AT115,2))))</f>
        <v>0</v>
      </c>
      <c r="K116">
        <f>IF(AU115&lt;=0,0,IF(ROUND(AU115*(1+'Calc base'!I116),2)-MAX('Calc base'!D$12,ROUND('Calc base'!D$13*AU115,2))&lt;1,ROUND(AU115*(1+'Calc base'!I116),2),MAX('Calc base'!D$12,ROUND('Calc base'!D$13*AU115,2))))</f>
        <v>0</v>
      </c>
      <c r="L116">
        <f>IF(AV115&lt;=0,0,IF(ROUND(AV115*(1+'Calc base'!J116),2)-MAX('Calc base'!E$12,ROUND('Calc base'!E$13*AV115,2))&lt;1,ROUND(AV115*(1+'Calc base'!J116),2),MAX('Calc base'!E$12,ROUND('Calc base'!E$13*AV115,2))))</f>
        <v>0</v>
      </c>
      <c r="M116">
        <f>IF(AW115&lt;=0,0,IF(ROUND(AW115*(1+'Calc base'!K116),2)-MAX('Calc base'!F$12,ROUND('Calc base'!F$13*AW115,2))&lt;1,ROUND(AW115*(1+'Calc base'!K116),2),MAX('Calc base'!F$12,ROUND('Calc base'!F$13*AW115,2))))</f>
        <v>0</v>
      </c>
      <c r="N116">
        <f>IF(AX115&lt;=0,0,IF(ROUND(AX115*(1+'Calc base'!L116),2)-MAX('Calc base'!G$12,ROUND('Calc base'!G$13*AX115,2))&lt;1,ROUND(AX115*(1+'Calc base'!L116),2),MAX('Calc base'!G$12,ROUND('Calc base'!G$13*AX115,2))))</f>
        <v>0</v>
      </c>
      <c r="O116">
        <f>IF(AY115&lt;=0,0,IF(ROUND(AY115*(1+'Calc base'!M116),2)-MAX('Calc base'!H$12,ROUND('Calc base'!H$13*AY115,2))&lt;1,ROUND(AY115*(1+'Calc base'!M116),2),MAX('Calc base'!H$12,ROUND('Calc base'!H$13*AY115,2))))</f>
        <v>0</v>
      </c>
      <c r="P116">
        <f>IF(AZ115&lt;=0,0,IF(ROUND(AZ115*(1+'Calc base'!N116),2)-MAX('Calc base'!I$12,ROUND('Calc base'!I$13*AZ115,2))&lt;1,ROUND(AZ115*(1+'Calc base'!N116),2),MAX('Calc base'!I$12,ROUND('Calc base'!I$13*AZ115,2))))</f>
        <v>0</v>
      </c>
      <c r="Q116">
        <f>IF(BA115&lt;=0,0,IF(ROUND(BA115*(1+'Calc base'!O116),2)-MAX('Calc base'!J$12,ROUND('Calc base'!J$13*BA115,2))&lt;1,ROUND(BA115*(1+'Calc base'!O116),2),MAX('Calc base'!J$12,ROUND('Calc base'!J$13*BA115,2))))</f>
        <v>0</v>
      </c>
      <c r="R116">
        <f>IF(BB115&lt;=0,0,IF(ROUND(BB115*(1+'Calc base'!P116),2)-MAX('Calc base'!K$12,ROUND('Calc base'!K$13*BB115,2))&lt;1,ROUND(BB115*(1+'Calc base'!P116),2),MAX('Calc base'!K$12,ROUND('Calc base'!K$13*BB115,2))))</f>
        <v>0</v>
      </c>
      <c r="S116">
        <f>IF(BC115&lt;=0,0,IF(ROUND(BC115*(1+'Calc base'!Q116),2)-MAX('Calc base'!L$12,ROUND('Calc base'!L$13*BC115,2))&lt;1,ROUND(BC115*(1+'Calc base'!Q116),2),MAX('Calc base'!L$12,ROUND('Calc base'!L$13*BC115,2))))</f>
        <v>0</v>
      </c>
      <c r="T116">
        <f>IF(BD115&lt;=0,0,IF(ROUND(BD115*(1+'Calc base'!R116),2)-MAX('Calc base'!M$12,ROUND('Calc base'!M$13*BD115,2))&lt;1,ROUND(BD115*(1+'Calc base'!R116),2),MAX('Calc base'!M$12,ROUND('Calc base'!M$13*BD115,2))))</f>
        <v>0</v>
      </c>
      <c r="U116">
        <f>IF(BE115&lt;=0,0,IF(ROUND(BE115*(1+'Calc base'!S116),2)-MAX('Calc base'!N$12,ROUND('Calc base'!N$13*BE115,2))&lt;1,ROUND(BE115*(1+'Calc base'!S116),2),MAX('Calc base'!N$12,ROUND('Calc base'!N$13*BE115,2))))</f>
        <v>0</v>
      </c>
      <c r="V116">
        <f>MAX(0,ROUND(AT115*(1+'Calc base'!H116),2)-J116-'Calc base'!T116)</f>
        <v>0</v>
      </c>
      <c r="W116">
        <f>MAX(0,ROUND(AU115*(1+'Calc base'!I116),2)-K116-'Calc base'!U116)</f>
        <v>0</v>
      </c>
      <c r="X116">
        <f>MAX(0,ROUND(AV115*(1+'Calc base'!J116),2)-L116-'Calc base'!V116)</f>
        <v>0</v>
      </c>
      <c r="Y116">
        <f>MAX(0,ROUND(AW115*(1+'Calc base'!K116),2)-M116-'Calc base'!W116)</f>
        <v>0</v>
      </c>
      <c r="Z116">
        <f>MAX(0,ROUND(AX115*(1+'Calc base'!L116),2)-N116-'Calc base'!X116)</f>
        <v>0</v>
      </c>
      <c r="AA116">
        <f>MAX(0,ROUND(AY115*(1+'Calc base'!M116),2)-O116-'Calc base'!Y116)</f>
        <v>0</v>
      </c>
      <c r="AB116">
        <f>MAX(0,ROUND(AZ115*(1+'Calc base'!N116),2)-P116-'Calc base'!Z116)</f>
        <v>0</v>
      </c>
      <c r="AC116">
        <f>MAX(0,ROUND(BA115*(1+'Calc base'!O116),2)-Q116-'Calc base'!AA116)</f>
        <v>0</v>
      </c>
      <c r="AD116">
        <f>MAX(0,ROUND(BB115*(1+'Calc base'!P116),2)-R116-'Calc base'!AB116)</f>
        <v>0</v>
      </c>
      <c r="AE116">
        <f>MAX(0,ROUND(BC115*(1+'Calc base'!Q116),2)-S116-'Calc base'!AC116)</f>
        <v>0</v>
      </c>
      <c r="AF116">
        <f>MAX(0,ROUND(BD115*(1+'Calc base'!R116),2)-T116-'Calc base'!AD116)</f>
        <v>0</v>
      </c>
      <c r="AG116">
        <f>MAX(0,ROUND(BE115*(1+'Calc base'!S116),2)-U116-'Calc base'!AE116)</f>
        <v>0</v>
      </c>
      <c r="AH116">
        <f>IF('Calc base'!C$14=0,0,MIN(V116,MAX(0,$E116-SUMIFS($V116:$AG116,'Calc base'!$C$17:$N$17,"&lt;"&amp;'Calc base'!C$17,'Calc base'!$C$14:$N$14,1))))</f>
        <v>0</v>
      </c>
      <c r="AI116">
        <f>IF('Calc base'!D$14=0,0,MIN(W116,MAX(0,$E116-SUMIFS($V116:$AG116,'Calc base'!$C$17:$N$17,"&lt;"&amp;'Calc base'!D$17,'Calc base'!$C$14:$N$14,1))))</f>
        <v>0</v>
      </c>
      <c r="AJ116">
        <f>IF('Calc base'!E$14=0,0,MIN(X116,MAX(0,$E116-SUMIFS($V116:$AG116,'Calc base'!$C$17:$N$17,"&lt;"&amp;'Calc base'!E$17,'Calc base'!$C$14:$N$14,1))))</f>
        <v>0</v>
      </c>
      <c r="AK116">
        <f>IF('Calc base'!F$14=0,0,MIN(Y116,MAX(0,$E116-SUMIFS($V116:$AG116,'Calc base'!$C$17:$N$17,"&lt;"&amp;'Calc base'!F$17,'Calc base'!$C$14:$N$14,1))))</f>
        <v>0</v>
      </c>
      <c r="AL116">
        <f>IF('Calc base'!G$14=0,0,MIN(Z116,MAX(0,$E116-SUMIFS($V116:$AG116,'Calc base'!$C$17:$N$17,"&lt;"&amp;'Calc base'!G$17,'Calc base'!$C$14:$N$14,1))))</f>
        <v>0</v>
      </c>
      <c r="AM116">
        <f>IF('Calc base'!H$14=0,0,MIN(AA116,MAX(0,$E116-SUMIFS($V116:$AG116,'Calc base'!$C$17:$N$17,"&lt;"&amp;'Calc base'!H$17,'Calc base'!$C$14:$N$14,1))))</f>
        <v>0</v>
      </c>
      <c r="AN116">
        <f>IF('Calc base'!I$14=0,0,MIN(AB116,MAX(0,$E116-SUMIFS($V116:$AG116,'Calc base'!$C$17:$N$17,"&lt;"&amp;'Calc base'!I$17,'Calc base'!$C$14:$N$14,1))))</f>
        <v>0</v>
      </c>
      <c r="AO116">
        <f>IF('Calc base'!J$14=0,0,MIN(AC116,MAX(0,$E116-SUMIFS($V116:$AG116,'Calc base'!$C$17:$N$17,"&lt;"&amp;'Calc base'!J$17,'Calc base'!$C$14:$N$14,1))))</f>
        <v>0</v>
      </c>
      <c r="AP116">
        <f>IF('Calc base'!K$14=0,0,MIN(AD116,MAX(0,$E116-SUMIFS($V116:$AG116,'Calc base'!$C$17:$N$17,"&lt;"&amp;'Calc base'!K$17,'Calc base'!$C$14:$N$14,1))))</f>
        <v>0</v>
      </c>
      <c r="AQ116">
        <f>IF('Calc base'!L$14=0,0,MIN(AE116,MAX(0,$E116-SUMIFS($V116:$AG116,'Calc base'!$C$17:$N$17,"&lt;"&amp;'Calc base'!L$17,'Calc base'!$C$14:$N$14,1))))</f>
        <v>0</v>
      </c>
      <c r="AR116">
        <f>IF('Calc base'!M$14=0,0,MIN(AF116,MAX(0,$E116-SUMIFS($V116:$AG116,'Calc base'!$C$17:$N$17,"&lt;"&amp;'Calc base'!M$17,'Calc base'!$C$14:$N$14,1))))</f>
        <v>0</v>
      </c>
      <c r="AS116">
        <f>IF('Calc base'!N$14=0,0,MIN(AG116,MAX(0,$E116-SUMIFS($V116:$AG116,'Calc base'!$C$17:$N$17,"&lt;"&amp;'Calc base'!N$17,'Calc base'!$C$14:$N$14,1))))</f>
        <v>0</v>
      </c>
      <c r="AT116">
        <f>V116-AH116</f>
        <v>0</v>
      </c>
      <c r="AU116">
        <f>W116-AI116</f>
        <v>0</v>
      </c>
      <c r="AV116">
        <f>X116-AJ116</f>
        <v>0</v>
      </c>
      <c r="AW116">
        <f>Y116-AK116</f>
        <v>0</v>
      </c>
      <c r="AX116">
        <f>Z116-AL116</f>
        <v>0</v>
      </c>
      <c r="AY116">
        <f>AA116-AM116</f>
        <v>0</v>
      </c>
      <c r="AZ116">
        <f>AB116-AN116</f>
        <v>0</v>
      </c>
      <c r="BA116">
        <f>AC116-AO116</f>
        <v>0</v>
      </c>
      <c r="BB116">
        <f>AD116-AP116</f>
        <v>0</v>
      </c>
      <c r="BC116">
        <f>AE116-AQ116</f>
        <v>0</v>
      </c>
      <c r="BD116">
        <f>AF116-AR116</f>
        <v>0</v>
      </c>
      <c r="BE116">
        <f>AG116-AS116</f>
        <v>0</v>
      </c>
    </row>
    <row r="117">
      <c r="A117" t="n">
        <v>87</v>
      </c>
      <c r="B117">
        <f>SUMPRODUCT(ROUND($AT116:$BE116*(1+'Calc base'!$H117:$S117),2))</f>
        <v>0</v>
      </c>
      <c r="C117">
        <f>SUM(J117:U117)</f>
        <v>0</v>
      </c>
      <c r="D117">
        <f>SUM(V117:AG117)</f>
        <v>0</v>
      </c>
      <c r="E117">
        <f>MAX(0,IF(Impostazioni!$B$7="No",'Calc base'!$C117-$C$31,'Calc base'!$C117-C117)+'Calc base'!$G117+'Calc base'!$F117-(B117-C117-D117))</f>
        <v>900</v>
      </c>
      <c r="F117">
        <f>SUM(AH117:AS117)</f>
        <v>0</v>
      </c>
      <c r="G117">
        <f>SUM(AT117:BE117)</f>
        <v>0</v>
      </c>
      <c r="H117">
        <f>B117-G116</f>
        <v>0</v>
      </c>
      <c r="I117">
        <f>B117-G117</f>
        <v>0</v>
      </c>
      <c r="J117">
        <f>IF(AT116&lt;=0,0,IF(ROUND(AT116*(1+'Calc base'!H117),2)-MAX('Calc base'!C$12,ROUND('Calc base'!C$13*AT116,2))&lt;1,ROUND(AT116*(1+'Calc base'!H117),2),MAX('Calc base'!C$12,ROUND('Calc base'!C$13*AT116,2))))</f>
        <v>0</v>
      </c>
      <c r="K117">
        <f>IF(AU116&lt;=0,0,IF(ROUND(AU116*(1+'Calc base'!I117),2)-MAX('Calc base'!D$12,ROUND('Calc base'!D$13*AU116,2))&lt;1,ROUND(AU116*(1+'Calc base'!I117),2),MAX('Calc base'!D$12,ROUND('Calc base'!D$13*AU116,2))))</f>
        <v>0</v>
      </c>
      <c r="L117">
        <f>IF(AV116&lt;=0,0,IF(ROUND(AV116*(1+'Calc base'!J117),2)-MAX('Calc base'!E$12,ROUND('Calc base'!E$13*AV116,2))&lt;1,ROUND(AV116*(1+'Calc base'!J117),2),MAX('Calc base'!E$12,ROUND('Calc base'!E$13*AV116,2))))</f>
        <v>0</v>
      </c>
      <c r="M117">
        <f>IF(AW116&lt;=0,0,IF(ROUND(AW116*(1+'Calc base'!K117),2)-MAX('Calc base'!F$12,ROUND('Calc base'!F$13*AW116,2))&lt;1,ROUND(AW116*(1+'Calc base'!K117),2),MAX('Calc base'!F$12,ROUND('Calc base'!F$13*AW116,2))))</f>
        <v>0</v>
      </c>
      <c r="N117">
        <f>IF(AX116&lt;=0,0,IF(ROUND(AX116*(1+'Calc base'!L117),2)-MAX('Calc base'!G$12,ROUND('Calc base'!G$13*AX116,2))&lt;1,ROUND(AX116*(1+'Calc base'!L117),2),MAX('Calc base'!G$12,ROUND('Calc base'!G$13*AX116,2))))</f>
        <v>0</v>
      </c>
      <c r="O117">
        <f>IF(AY116&lt;=0,0,IF(ROUND(AY116*(1+'Calc base'!M117),2)-MAX('Calc base'!H$12,ROUND('Calc base'!H$13*AY116,2))&lt;1,ROUND(AY116*(1+'Calc base'!M117),2),MAX('Calc base'!H$12,ROUND('Calc base'!H$13*AY116,2))))</f>
        <v>0</v>
      </c>
      <c r="P117">
        <f>IF(AZ116&lt;=0,0,IF(ROUND(AZ116*(1+'Calc base'!N117),2)-MAX('Calc base'!I$12,ROUND('Calc base'!I$13*AZ116,2))&lt;1,ROUND(AZ116*(1+'Calc base'!N117),2),MAX('Calc base'!I$12,ROUND('Calc base'!I$13*AZ116,2))))</f>
        <v>0</v>
      </c>
      <c r="Q117">
        <f>IF(BA116&lt;=0,0,IF(ROUND(BA116*(1+'Calc base'!O117),2)-MAX('Calc base'!J$12,ROUND('Calc base'!J$13*BA116,2))&lt;1,ROUND(BA116*(1+'Calc base'!O117),2),MAX('Calc base'!J$12,ROUND('Calc base'!J$13*BA116,2))))</f>
        <v>0</v>
      </c>
      <c r="R117">
        <f>IF(BB116&lt;=0,0,IF(ROUND(BB116*(1+'Calc base'!P117),2)-MAX('Calc base'!K$12,ROUND('Calc base'!K$13*BB116,2))&lt;1,ROUND(BB116*(1+'Calc base'!P117),2),MAX('Calc base'!K$12,ROUND('Calc base'!K$13*BB116,2))))</f>
        <v>0</v>
      </c>
      <c r="S117">
        <f>IF(BC116&lt;=0,0,IF(ROUND(BC116*(1+'Calc base'!Q117),2)-MAX('Calc base'!L$12,ROUND('Calc base'!L$13*BC116,2))&lt;1,ROUND(BC116*(1+'Calc base'!Q117),2),MAX('Calc base'!L$12,ROUND('Calc base'!L$13*BC116,2))))</f>
        <v>0</v>
      </c>
      <c r="T117">
        <f>IF(BD116&lt;=0,0,IF(ROUND(BD116*(1+'Calc base'!R117),2)-MAX('Calc base'!M$12,ROUND('Calc base'!M$13*BD116,2))&lt;1,ROUND(BD116*(1+'Calc base'!R117),2),MAX('Calc base'!M$12,ROUND('Calc base'!M$13*BD116,2))))</f>
        <v>0</v>
      </c>
      <c r="U117">
        <f>IF(BE116&lt;=0,0,IF(ROUND(BE116*(1+'Calc base'!S117),2)-MAX('Calc base'!N$12,ROUND('Calc base'!N$13*BE116,2))&lt;1,ROUND(BE116*(1+'Calc base'!S117),2),MAX('Calc base'!N$12,ROUND('Calc base'!N$13*BE116,2))))</f>
        <v>0</v>
      </c>
      <c r="V117">
        <f>MAX(0,ROUND(AT116*(1+'Calc base'!H117),2)-J117-'Calc base'!T117)</f>
        <v>0</v>
      </c>
      <c r="W117">
        <f>MAX(0,ROUND(AU116*(1+'Calc base'!I117),2)-K117-'Calc base'!U117)</f>
        <v>0</v>
      </c>
      <c r="X117">
        <f>MAX(0,ROUND(AV116*(1+'Calc base'!J117),2)-L117-'Calc base'!V117)</f>
        <v>0</v>
      </c>
      <c r="Y117">
        <f>MAX(0,ROUND(AW116*(1+'Calc base'!K117),2)-M117-'Calc base'!W117)</f>
        <v>0</v>
      </c>
      <c r="Z117">
        <f>MAX(0,ROUND(AX116*(1+'Calc base'!L117),2)-N117-'Calc base'!X117)</f>
        <v>0</v>
      </c>
      <c r="AA117">
        <f>MAX(0,ROUND(AY116*(1+'Calc base'!M117),2)-O117-'Calc base'!Y117)</f>
        <v>0</v>
      </c>
      <c r="AB117">
        <f>MAX(0,ROUND(AZ116*(1+'Calc base'!N117),2)-P117-'Calc base'!Z117)</f>
        <v>0</v>
      </c>
      <c r="AC117">
        <f>MAX(0,ROUND(BA116*(1+'Calc base'!O117),2)-Q117-'Calc base'!AA117)</f>
        <v>0</v>
      </c>
      <c r="AD117">
        <f>MAX(0,ROUND(BB116*(1+'Calc base'!P117),2)-R117-'Calc base'!AB117)</f>
        <v>0</v>
      </c>
      <c r="AE117">
        <f>MAX(0,ROUND(BC116*(1+'Calc base'!Q117),2)-S117-'Calc base'!AC117)</f>
        <v>0</v>
      </c>
      <c r="AF117">
        <f>MAX(0,ROUND(BD116*(1+'Calc base'!R117),2)-T117-'Calc base'!AD117)</f>
        <v>0</v>
      </c>
      <c r="AG117">
        <f>MAX(0,ROUND(BE116*(1+'Calc base'!S117),2)-U117-'Calc base'!AE117)</f>
        <v>0</v>
      </c>
      <c r="AH117">
        <f>IF('Calc base'!C$14=0,0,MIN(V117,MAX(0,$E117-SUMIFS($V117:$AG117,'Calc base'!$C$17:$N$17,"&lt;"&amp;'Calc base'!C$17,'Calc base'!$C$14:$N$14,1))))</f>
        <v>0</v>
      </c>
      <c r="AI117">
        <f>IF('Calc base'!D$14=0,0,MIN(W117,MAX(0,$E117-SUMIFS($V117:$AG117,'Calc base'!$C$17:$N$17,"&lt;"&amp;'Calc base'!D$17,'Calc base'!$C$14:$N$14,1))))</f>
        <v>0</v>
      </c>
      <c r="AJ117">
        <f>IF('Calc base'!E$14=0,0,MIN(X117,MAX(0,$E117-SUMIFS($V117:$AG117,'Calc base'!$C$17:$N$17,"&lt;"&amp;'Calc base'!E$17,'Calc base'!$C$14:$N$14,1))))</f>
        <v>0</v>
      </c>
      <c r="AK117">
        <f>IF('Calc base'!F$14=0,0,MIN(Y117,MAX(0,$E117-SUMIFS($V117:$AG117,'Calc base'!$C$17:$N$17,"&lt;"&amp;'Calc base'!F$17,'Calc base'!$C$14:$N$14,1))))</f>
        <v>0</v>
      </c>
      <c r="AL117">
        <f>IF('Calc base'!G$14=0,0,MIN(Z117,MAX(0,$E117-SUMIFS($V117:$AG117,'Calc base'!$C$17:$N$17,"&lt;"&amp;'Calc base'!G$17,'Calc base'!$C$14:$N$14,1))))</f>
        <v>0</v>
      </c>
      <c r="AM117">
        <f>IF('Calc base'!H$14=0,0,MIN(AA117,MAX(0,$E117-SUMIFS($V117:$AG117,'Calc base'!$C$17:$N$17,"&lt;"&amp;'Calc base'!H$17,'Calc base'!$C$14:$N$14,1))))</f>
        <v>0</v>
      </c>
      <c r="AN117">
        <f>IF('Calc base'!I$14=0,0,MIN(AB117,MAX(0,$E117-SUMIFS($V117:$AG117,'Calc base'!$C$17:$N$17,"&lt;"&amp;'Calc base'!I$17,'Calc base'!$C$14:$N$14,1))))</f>
        <v>0</v>
      </c>
      <c r="AO117">
        <f>IF('Calc base'!J$14=0,0,MIN(AC117,MAX(0,$E117-SUMIFS($V117:$AG117,'Calc base'!$C$17:$N$17,"&lt;"&amp;'Calc base'!J$17,'Calc base'!$C$14:$N$14,1))))</f>
        <v>0</v>
      </c>
      <c r="AP117">
        <f>IF('Calc base'!K$14=0,0,MIN(AD117,MAX(0,$E117-SUMIFS($V117:$AG117,'Calc base'!$C$17:$N$17,"&lt;"&amp;'Calc base'!K$17,'Calc base'!$C$14:$N$14,1))))</f>
        <v>0</v>
      </c>
      <c r="AQ117">
        <f>IF('Calc base'!L$14=0,0,MIN(AE117,MAX(0,$E117-SUMIFS($V117:$AG117,'Calc base'!$C$17:$N$17,"&lt;"&amp;'Calc base'!L$17,'Calc base'!$C$14:$N$14,1))))</f>
        <v>0</v>
      </c>
      <c r="AR117">
        <f>IF('Calc base'!M$14=0,0,MIN(AF117,MAX(0,$E117-SUMIFS($V117:$AG117,'Calc base'!$C$17:$N$17,"&lt;"&amp;'Calc base'!M$17,'Calc base'!$C$14:$N$14,1))))</f>
        <v>0</v>
      </c>
      <c r="AS117">
        <f>IF('Calc base'!N$14=0,0,MIN(AG117,MAX(0,$E117-SUMIFS($V117:$AG117,'Calc base'!$C$17:$N$17,"&lt;"&amp;'Calc base'!N$17,'Calc base'!$C$14:$N$14,1))))</f>
        <v>0</v>
      </c>
      <c r="AT117">
        <f>V117-AH117</f>
        <v>0</v>
      </c>
      <c r="AU117">
        <f>W117-AI117</f>
        <v>0</v>
      </c>
      <c r="AV117">
        <f>X117-AJ117</f>
        <v>0</v>
      </c>
      <c r="AW117">
        <f>Y117-AK117</f>
        <v>0</v>
      </c>
      <c r="AX117">
        <f>Z117-AL117</f>
        <v>0</v>
      </c>
      <c r="AY117">
        <f>AA117-AM117</f>
        <v>0</v>
      </c>
      <c r="AZ117">
        <f>AB117-AN117</f>
        <v>0</v>
      </c>
      <c r="BA117">
        <f>AC117-AO117</f>
        <v>0</v>
      </c>
      <c r="BB117">
        <f>AD117-AP117</f>
        <v>0</v>
      </c>
      <c r="BC117">
        <f>AE117-AQ117</f>
        <v>0</v>
      </c>
      <c r="BD117">
        <f>AF117-AR117</f>
        <v>0</v>
      </c>
      <c r="BE117">
        <f>AG117-AS117</f>
        <v>0</v>
      </c>
    </row>
    <row r="118">
      <c r="A118" t="n">
        <v>88</v>
      </c>
      <c r="B118">
        <f>SUMPRODUCT(ROUND($AT117:$BE117*(1+'Calc base'!$H118:$S118),2))</f>
        <v>0</v>
      </c>
      <c r="C118">
        <f>SUM(J118:U118)</f>
        <v>0</v>
      </c>
      <c r="D118">
        <f>SUM(V118:AG118)</f>
        <v>0</v>
      </c>
      <c r="E118">
        <f>MAX(0,IF(Impostazioni!$B$7="No",'Calc base'!$C118-$C$31,'Calc base'!$C118-C118)+'Calc base'!$G118+'Calc base'!$F118-(B118-C118-D118))</f>
        <v>900</v>
      </c>
      <c r="F118">
        <f>SUM(AH118:AS118)</f>
        <v>0</v>
      </c>
      <c r="G118">
        <f>SUM(AT118:BE118)</f>
        <v>0</v>
      </c>
      <c r="H118">
        <f>B118-G117</f>
        <v>0</v>
      </c>
      <c r="I118">
        <f>B118-G118</f>
        <v>0</v>
      </c>
      <c r="J118">
        <f>IF(AT117&lt;=0,0,IF(ROUND(AT117*(1+'Calc base'!H118),2)-MAX('Calc base'!C$12,ROUND('Calc base'!C$13*AT117,2))&lt;1,ROUND(AT117*(1+'Calc base'!H118),2),MAX('Calc base'!C$12,ROUND('Calc base'!C$13*AT117,2))))</f>
        <v>0</v>
      </c>
      <c r="K118">
        <f>IF(AU117&lt;=0,0,IF(ROUND(AU117*(1+'Calc base'!I118),2)-MAX('Calc base'!D$12,ROUND('Calc base'!D$13*AU117,2))&lt;1,ROUND(AU117*(1+'Calc base'!I118),2),MAX('Calc base'!D$12,ROUND('Calc base'!D$13*AU117,2))))</f>
        <v>0</v>
      </c>
      <c r="L118">
        <f>IF(AV117&lt;=0,0,IF(ROUND(AV117*(1+'Calc base'!J118),2)-MAX('Calc base'!E$12,ROUND('Calc base'!E$13*AV117,2))&lt;1,ROUND(AV117*(1+'Calc base'!J118),2),MAX('Calc base'!E$12,ROUND('Calc base'!E$13*AV117,2))))</f>
        <v>0</v>
      </c>
      <c r="M118">
        <f>IF(AW117&lt;=0,0,IF(ROUND(AW117*(1+'Calc base'!K118),2)-MAX('Calc base'!F$12,ROUND('Calc base'!F$13*AW117,2))&lt;1,ROUND(AW117*(1+'Calc base'!K118),2),MAX('Calc base'!F$12,ROUND('Calc base'!F$13*AW117,2))))</f>
        <v>0</v>
      </c>
      <c r="N118">
        <f>IF(AX117&lt;=0,0,IF(ROUND(AX117*(1+'Calc base'!L118),2)-MAX('Calc base'!G$12,ROUND('Calc base'!G$13*AX117,2))&lt;1,ROUND(AX117*(1+'Calc base'!L118),2),MAX('Calc base'!G$12,ROUND('Calc base'!G$13*AX117,2))))</f>
        <v>0</v>
      </c>
      <c r="O118">
        <f>IF(AY117&lt;=0,0,IF(ROUND(AY117*(1+'Calc base'!M118),2)-MAX('Calc base'!H$12,ROUND('Calc base'!H$13*AY117,2))&lt;1,ROUND(AY117*(1+'Calc base'!M118),2),MAX('Calc base'!H$12,ROUND('Calc base'!H$13*AY117,2))))</f>
        <v>0</v>
      </c>
      <c r="P118">
        <f>IF(AZ117&lt;=0,0,IF(ROUND(AZ117*(1+'Calc base'!N118),2)-MAX('Calc base'!I$12,ROUND('Calc base'!I$13*AZ117,2))&lt;1,ROUND(AZ117*(1+'Calc base'!N118),2),MAX('Calc base'!I$12,ROUND('Calc base'!I$13*AZ117,2))))</f>
        <v>0</v>
      </c>
      <c r="Q118">
        <f>IF(BA117&lt;=0,0,IF(ROUND(BA117*(1+'Calc base'!O118),2)-MAX('Calc base'!J$12,ROUND('Calc base'!J$13*BA117,2))&lt;1,ROUND(BA117*(1+'Calc base'!O118),2),MAX('Calc base'!J$12,ROUND('Calc base'!J$13*BA117,2))))</f>
        <v>0</v>
      </c>
      <c r="R118">
        <f>IF(BB117&lt;=0,0,IF(ROUND(BB117*(1+'Calc base'!P118),2)-MAX('Calc base'!K$12,ROUND('Calc base'!K$13*BB117,2))&lt;1,ROUND(BB117*(1+'Calc base'!P118),2),MAX('Calc base'!K$12,ROUND('Calc base'!K$13*BB117,2))))</f>
        <v>0</v>
      </c>
      <c r="S118">
        <f>IF(BC117&lt;=0,0,IF(ROUND(BC117*(1+'Calc base'!Q118),2)-MAX('Calc base'!L$12,ROUND('Calc base'!L$13*BC117,2))&lt;1,ROUND(BC117*(1+'Calc base'!Q118),2),MAX('Calc base'!L$12,ROUND('Calc base'!L$13*BC117,2))))</f>
        <v>0</v>
      </c>
      <c r="T118">
        <f>IF(BD117&lt;=0,0,IF(ROUND(BD117*(1+'Calc base'!R118),2)-MAX('Calc base'!M$12,ROUND('Calc base'!M$13*BD117,2))&lt;1,ROUND(BD117*(1+'Calc base'!R118),2),MAX('Calc base'!M$12,ROUND('Calc base'!M$13*BD117,2))))</f>
        <v>0</v>
      </c>
      <c r="U118">
        <f>IF(BE117&lt;=0,0,IF(ROUND(BE117*(1+'Calc base'!S118),2)-MAX('Calc base'!N$12,ROUND('Calc base'!N$13*BE117,2))&lt;1,ROUND(BE117*(1+'Calc base'!S118),2),MAX('Calc base'!N$12,ROUND('Calc base'!N$13*BE117,2))))</f>
        <v>0</v>
      </c>
      <c r="V118">
        <f>MAX(0,ROUND(AT117*(1+'Calc base'!H118),2)-J118-'Calc base'!T118)</f>
        <v>0</v>
      </c>
      <c r="W118">
        <f>MAX(0,ROUND(AU117*(1+'Calc base'!I118),2)-K118-'Calc base'!U118)</f>
        <v>0</v>
      </c>
      <c r="X118">
        <f>MAX(0,ROUND(AV117*(1+'Calc base'!J118),2)-L118-'Calc base'!V118)</f>
        <v>0</v>
      </c>
      <c r="Y118">
        <f>MAX(0,ROUND(AW117*(1+'Calc base'!K118),2)-M118-'Calc base'!W118)</f>
        <v>0</v>
      </c>
      <c r="Z118">
        <f>MAX(0,ROUND(AX117*(1+'Calc base'!L118),2)-N118-'Calc base'!X118)</f>
        <v>0</v>
      </c>
      <c r="AA118">
        <f>MAX(0,ROUND(AY117*(1+'Calc base'!M118),2)-O118-'Calc base'!Y118)</f>
        <v>0</v>
      </c>
      <c r="AB118">
        <f>MAX(0,ROUND(AZ117*(1+'Calc base'!N118),2)-P118-'Calc base'!Z118)</f>
        <v>0</v>
      </c>
      <c r="AC118">
        <f>MAX(0,ROUND(BA117*(1+'Calc base'!O118),2)-Q118-'Calc base'!AA118)</f>
        <v>0</v>
      </c>
      <c r="AD118">
        <f>MAX(0,ROUND(BB117*(1+'Calc base'!P118),2)-R118-'Calc base'!AB118)</f>
        <v>0</v>
      </c>
      <c r="AE118">
        <f>MAX(0,ROUND(BC117*(1+'Calc base'!Q118),2)-S118-'Calc base'!AC118)</f>
        <v>0</v>
      </c>
      <c r="AF118">
        <f>MAX(0,ROUND(BD117*(1+'Calc base'!R118),2)-T118-'Calc base'!AD118)</f>
        <v>0</v>
      </c>
      <c r="AG118">
        <f>MAX(0,ROUND(BE117*(1+'Calc base'!S118),2)-U118-'Calc base'!AE118)</f>
        <v>0</v>
      </c>
      <c r="AH118">
        <f>IF('Calc base'!C$14=0,0,MIN(V118,MAX(0,$E118-SUMIFS($V118:$AG118,'Calc base'!$C$17:$N$17,"&lt;"&amp;'Calc base'!C$17,'Calc base'!$C$14:$N$14,1))))</f>
        <v>0</v>
      </c>
      <c r="AI118">
        <f>IF('Calc base'!D$14=0,0,MIN(W118,MAX(0,$E118-SUMIFS($V118:$AG118,'Calc base'!$C$17:$N$17,"&lt;"&amp;'Calc base'!D$17,'Calc base'!$C$14:$N$14,1))))</f>
        <v>0</v>
      </c>
      <c r="AJ118">
        <f>IF('Calc base'!E$14=0,0,MIN(X118,MAX(0,$E118-SUMIFS($V118:$AG118,'Calc base'!$C$17:$N$17,"&lt;"&amp;'Calc base'!E$17,'Calc base'!$C$14:$N$14,1))))</f>
        <v>0</v>
      </c>
      <c r="AK118">
        <f>IF('Calc base'!F$14=0,0,MIN(Y118,MAX(0,$E118-SUMIFS($V118:$AG118,'Calc base'!$C$17:$N$17,"&lt;"&amp;'Calc base'!F$17,'Calc base'!$C$14:$N$14,1))))</f>
        <v>0</v>
      </c>
      <c r="AL118">
        <f>IF('Calc base'!G$14=0,0,MIN(Z118,MAX(0,$E118-SUMIFS($V118:$AG118,'Calc base'!$C$17:$N$17,"&lt;"&amp;'Calc base'!G$17,'Calc base'!$C$14:$N$14,1))))</f>
        <v>0</v>
      </c>
      <c r="AM118">
        <f>IF('Calc base'!H$14=0,0,MIN(AA118,MAX(0,$E118-SUMIFS($V118:$AG118,'Calc base'!$C$17:$N$17,"&lt;"&amp;'Calc base'!H$17,'Calc base'!$C$14:$N$14,1))))</f>
        <v>0</v>
      </c>
      <c r="AN118">
        <f>IF('Calc base'!I$14=0,0,MIN(AB118,MAX(0,$E118-SUMIFS($V118:$AG118,'Calc base'!$C$17:$N$17,"&lt;"&amp;'Calc base'!I$17,'Calc base'!$C$14:$N$14,1))))</f>
        <v>0</v>
      </c>
      <c r="AO118">
        <f>IF('Calc base'!J$14=0,0,MIN(AC118,MAX(0,$E118-SUMIFS($V118:$AG118,'Calc base'!$C$17:$N$17,"&lt;"&amp;'Calc base'!J$17,'Calc base'!$C$14:$N$14,1))))</f>
        <v>0</v>
      </c>
      <c r="AP118">
        <f>IF('Calc base'!K$14=0,0,MIN(AD118,MAX(0,$E118-SUMIFS($V118:$AG118,'Calc base'!$C$17:$N$17,"&lt;"&amp;'Calc base'!K$17,'Calc base'!$C$14:$N$14,1))))</f>
        <v>0</v>
      </c>
      <c r="AQ118">
        <f>IF('Calc base'!L$14=0,0,MIN(AE118,MAX(0,$E118-SUMIFS($V118:$AG118,'Calc base'!$C$17:$N$17,"&lt;"&amp;'Calc base'!L$17,'Calc base'!$C$14:$N$14,1))))</f>
        <v>0</v>
      </c>
      <c r="AR118">
        <f>IF('Calc base'!M$14=0,0,MIN(AF118,MAX(0,$E118-SUMIFS($V118:$AG118,'Calc base'!$C$17:$N$17,"&lt;"&amp;'Calc base'!M$17,'Calc base'!$C$14:$N$14,1))))</f>
        <v>0</v>
      </c>
      <c r="AS118">
        <f>IF('Calc base'!N$14=0,0,MIN(AG118,MAX(0,$E118-SUMIFS($V118:$AG118,'Calc base'!$C$17:$N$17,"&lt;"&amp;'Calc base'!N$17,'Calc base'!$C$14:$N$14,1))))</f>
        <v>0</v>
      </c>
      <c r="AT118">
        <f>V118-AH118</f>
        <v>0</v>
      </c>
      <c r="AU118">
        <f>W118-AI118</f>
        <v>0</v>
      </c>
      <c r="AV118">
        <f>X118-AJ118</f>
        <v>0</v>
      </c>
      <c r="AW118">
        <f>Y118-AK118</f>
        <v>0</v>
      </c>
      <c r="AX118">
        <f>Z118-AL118</f>
        <v>0</v>
      </c>
      <c r="AY118">
        <f>AA118-AM118</f>
        <v>0</v>
      </c>
      <c r="AZ118">
        <f>AB118-AN118</f>
        <v>0</v>
      </c>
      <c r="BA118">
        <f>AC118-AO118</f>
        <v>0</v>
      </c>
      <c r="BB118">
        <f>AD118-AP118</f>
        <v>0</v>
      </c>
      <c r="BC118">
        <f>AE118-AQ118</f>
        <v>0</v>
      </c>
      <c r="BD118">
        <f>AF118-AR118</f>
        <v>0</v>
      </c>
      <c r="BE118">
        <f>AG118-AS118</f>
        <v>0</v>
      </c>
    </row>
    <row r="119">
      <c r="A119" t="n">
        <v>89</v>
      </c>
      <c r="B119">
        <f>SUMPRODUCT(ROUND($AT118:$BE118*(1+'Calc base'!$H119:$S119),2))</f>
        <v>0</v>
      </c>
      <c r="C119">
        <f>SUM(J119:U119)</f>
        <v>0</v>
      </c>
      <c r="D119">
        <f>SUM(V119:AG119)</f>
        <v>0</v>
      </c>
      <c r="E119">
        <f>MAX(0,IF(Impostazioni!$B$7="No",'Calc base'!$C119-$C$31,'Calc base'!$C119-C119)+'Calc base'!$G119+'Calc base'!$F119-(B119-C119-D119))</f>
        <v>900</v>
      </c>
      <c r="F119">
        <f>SUM(AH119:AS119)</f>
        <v>0</v>
      </c>
      <c r="G119">
        <f>SUM(AT119:BE119)</f>
        <v>0</v>
      </c>
      <c r="H119">
        <f>B119-G118</f>
        <v>0</v>
      </c>
      <c r="I119">
        <f>B119-G119</f>
        <v>0</v>
      </c>
      <c r="J119">
        <f>IF(AT118&lt;=0,0,IF(ROUND(AT118*(1+'Calc base'!H119),2)-MAX('Calc base'!C$12,ROUND('Calc base'!C$13*AT118,2))&lt;1,ROUND(AT118*(1+'Calc base'!H119),2),MAX('Calc base'!C$12,ROUND('Calc base'!C$13*AT118,2))))</f>
        <v>0</v>
      </c>
      <c r="K119">
        <f>IF(AU118&lt;=0,0,IF(ROUND(AU118*(1+'Calc base'!I119),2)-MAX('Calc base'!D$12,ROUND('Calc base'!D$13*AU118,2))&lt;1,ROUND(AU118*(1+'Calc base'!I119),2),MAX('Calc base'!D$12,ROUND('Calc base'!D$13*AU118,2))))</f>
        <v>0</v>
      </c>
      <c r="L119">
        <f>IF(AV118&lt;=0,0,IF(ROUND(AV118*(1+'Calc base'!J119),2)-MAX('Calc base'!E$12,ROUND('Calc base'!E$13*AV118,2))&lt;1,ROUND(AV118*(1+'Calc base'!J119),2),MAX('Calc base'!E$12,ROUND('Calc base'!E$13*AV118,2))))</f>
        <v>0</v>
      </c>
      <c r="M119">
        <f>IF(AW118&lt;=0,0,IF(ROUND(AW118*(1+'Calc base'!K119),2)-MAX('Calc base'!F$12,ROUND('Calc base'!F$13*AW118,2))&lt;1,ROUND(AW118*(1+'Calc base'!K119),2),MAX('Calc base'!F$12,ROUND('Calc base'!F$13*AW118,2))))</f>
        <v>0</v>
      </c>
      <c r="N119">
        <f>IF(AX118&lt;=0,0,IF(ROUND(AX118*(1+'Calc base'!L119),2)-MAX('Calc base'!G$12,ROUND('Calc base'!G$13*AX118,2))&lt;1,ROUND(AX118*(1+'Calc base'!L119),2),MAX('Calc base'!G$12,ROUND('Calc base'!G$13*AX118,2))))</f>
        <v>0</v>
      </c>
      <c r="O119">
        <f>IF(AY118&lt;=0,0,IF(ROUND(AY118*(1+'Calc base'!M119),2)-MAX('Calc base'!H$12,ROUND('Calc base'!H$13*AY118,2))&lt;1,ROUND(AY118*(1+'Calc base'!M119),2),MAX('Calc base'!H$12,ROUND('Calc base'!H$13*AY118,2))))</f>
        <v>0</v>
      </c>
      <c r="P119">
        <f>IF(AZ118&lt;=0,0,IF(ROUND(AZ118*(1+'Calc base'!N119),2)-MAX('Calc base'!I$12,ROUND('Calc base'!I$13*AZ118,2))&lt;1,ROUND(AZ118*(1+'Calc base'!N119),2),MAX('Calc base'!I$12,ROUND('Calc base'!I$13*AZ118,2))))</f>
        <v>0</v>
      </c>
      <c r="Q119">
        <f>IF(BA118&lt;=0,0,IF(ROUND(BA118*(1+'Calc base'!O119),2)-MAX('Calc base'!J$12,ROUND('Calc base'!J$13*BA118,2))&lt;1,ROUND(BA118*(1+'Calc base'!O119),2),MAX('Calc base'!J$12,ROUND('Calc base'!J$13*BA118,2))))</f>
        <v>0</v>
      </c>
      <c r="R119">
        <f>IF(BB118&lt;=0,0,IF(ROUND(BB118*(1+'Calc base'!P119),2)-MAX('Calc base'!K$12,ROUND('Calc base'!K$13*BB118,2))&lt;1,ROUND(BB118*(1+'Calc base'!P119),2),MAX('Calc base'!K$12,ROUND('Calc base'!K$13*BB118,2))))</f>
        <v>0</v>
      </c>
      <c r="S119">
        <f>IF(BC118&lt;=0,0,IF(ROUND(BC118*(1+'Calc base'!Q119),2)-MAX('Calc base'!L$12,ROUND('Calc base'!L$13*BC118,2))&lt;1,ROUND(BC118*(1+'Calc base'!Q119),2),MAX('Calc base'!L$12,ROUND('Calc base'!L$13*BC118,2))))</f>
        <v>0</v>
      </c>
      <c r="T119">
        <f>IF(BD118&lt;=0,0,IF(ROUND(BD118*(1+'Calc base'!R119),2)-MAX('Calc base'!M$12,ROUND('Calc base'!M$13*BD118,2))&lt;1,ROUND(BD118*(1+'Calc base'!R119),2),MAX('Calc base'!M$12,ROUND('Calc base'!M$13*BD118,2))))</f>
        <v>0</v>
      </c>
      <c r="U119">
        <f>IF(BE118&lt;=0,0,IF(ROUND(BE118*(1+'Calc base'!S119),2)-MAX('Calc base'!N$12,ROUND('Calc base'!N$13*BE118,2))&lt;1,ROUND(BE118*(1+'Calc base'!S119),2),MAX('Calc base'!N$12,ROUND('Calc base'!N$13*BE118,2))))</f>
        <v>0</v>
      </c>
      <c r="V119">
        <f>MAX(0,ROUND(AT118*(1+'Calc base'!H119),2)-J119-'Calc base'!T119)</f>
        <v>0</v>
      </c>
      <c r="W119">
        <f>MAX(0,ROUND(AU118*(1+'Calc base'!I119),2)-K119-'Calc base'!U119)</f>
        <v>0</v>
      </c>
      <c r="X119">
        <f>MAX(0,ROUND(AV118*(1+'Calc base'!J119),2)-L119-'Calc base'!V119)</f>
        <v>0</v>
      </c>
      <c r="Y119">
        <f>MAX(0,ROUND(AW118*(1+'Calc base'!K119),2)-M119-'Calc base'!W119)</f>
        <v>0</v>
      </c>
      <c r="Z119">
        <f>MAX(0,ROUND(AX118*(1+'Calc base'!L119),2)-N119-'Calc base'!X119)</f>
        <v>0</v>
      </c>
      <c r="AA119">
        <f>MAX(0,ROUND(AY118*(1+'Calc base'!M119),2)-O119-'Calc base'!Y119)</f>
        <v>0</v>
      </c>
      <c r="AB119">
        <f>MAX(0,ROUND(AZ118*(1+'Calc base'!N119),2)-P119-'Calc base'!Z119)</f>
        <v>0</v>
      </c>
      <c r="AC119">
        <f>MAX(0,ROUND(BA118*(1+'Calc base'!O119),2)-Q119-'Calc base'!AA119)</f>
        <v>0</v>
      </c>
      <c r="AD119">
        <f>MAX(0,ROUND(BB118*(1+'Calc base'!P119),2)-R119-'Calc base'!AB119)</f>
        <v>0</v>
      </c>
      <c r="AE119">
        <f>MAX(0,ROUND(BC118*(1+'Calc base'!Q119),2)-S119-'Calc base'!AC119)</f>
        <v>0</v>
      </c>
      <c r="AF119">
        <f>MAX(0,ROUND(BD118*(1+'Calc base'!R119),2)-T119-'Calc base'!AD119)</f>
        <v>0</v>
      </c>
      <c r="AG119">
        <f>MAX(0,ROUND(BE118*(1+'Calc base'!S119),2)-U119-'Calc base'!AE119)</f>
        <v>0</v>
      </c>
      <c r="AH119">
        <f>IF('Calc base'!C$14=0,0,MIN(V119,MAX(0,$E119-SUMIFS($V119:$AG119,'Calc base'!$C$17:$N$17,"&lt;"&amp;'Calc base'!C$17,'Calc base'!$C$14:$N$14,1))))</f>
        <v>0</v>
      </c>
      <c r="AI119">
        <f>IF('Calc base'!D$14=0,0,MIN(W119,MAX(0,$E119-SUMIFS($V119:$AG119,'Calc base'!$C$17:$N$17,"&lt;"&amp;'Calc base'!D$17,'Calc base'!$C$14:$N$14,1))))</f>
        <v>0</v>
      </c>
      <c r="AJ119">
        <f>IF('Calc base'!E$14=0,0,MIN(X119,MAX(0,$E119-SUMIFS($V119:$AG119,'Calc base'!$C$17:$N$17,"&lt;"&amp;'Calc base'!E$17,'Calc base'!$C$14:$N$14,1))))</f>
        <v>0</v>
      </c>
      <c r="AK119">
        <f>IF('Calc base'!F$14=0,0,MIN(Y119,MAX(0,$E119-SUMIFS($V119:$AG119,'Calc base'!$C$17:$N$17,"&lt;"&amp;'Calc base'!F$17,'Calc base'!$C$14:$N$14,1))))</f>
        <v>0</v>
      </c>
      <c r="AL119">
        <f>IF('Calc base'!G$14=0,0,MIN(Z119,MAX(0,$E119-SUMIFS($V119:$AG119,'Calc base'!$C$17:$N$17,"&lt;"&amp;'Calc base'!G$17,'Calc base'!$C$14:$N$14,1))))</f>
        <v>0</v>
      </c>
      <c r="AM119">
        <f>IF('Calc base'!H$14=0,0,MIN(AA119,MAX(0,$E119-SUMIFS($V119:$AG119,'Calc base'!$C$17:$N$17,"&lt;"&amp;'Calc base'!H$17,'Calc base'!$C$14:$N$14,1))))</f>
        <v>0</v>
      </c>
      <c r="AN119">
        <f>IF('Calc base'!I$14=0,0,MIN(AB119,MAX(0,$E119-SUMIFS($V119:$AG119,'Calc base'!$C$17:$N$17,"&lt;"&amp;'Calc base'!I$17,'Calc base'!$C$14:$N$14,1))))</f>
        <v>0</v>
      </c>
      <c r="AO119">
        <f>IF('Calc base'!J$14=0,0,MIN(AC119,MAX(0,$E119-SUMIFS($V119:$AG119,'Calc base'!$C$17:$N$17,"&lt;"&amp;'Calc base'!J$17,'Calc base'!$C$14:$N$14,1))))</f>
        <v>0</v>
      </c>
      <c r="AP119">
        <f>IF('Calc base'!K$14=0,0,MIN(AD119,MAX(0,$E119-SUMIFS($V119:$AG119,'Calc base'!$C$17:$N$17,"&lt;"&amp;'Calc base'!K$17,'Calc base'!$C$14:$N$14,1))))</f>
        <v>0</v>
      </c>
      <c r="AQ119">
        <f>IF('Calc base'!L$14=0,0,MIN(AE119,MAX(0,$E119-SUMIFS($V119:$AG119,'Calc base'!$C$17:$N$17,"&lt;"&amp;'Calc base'!L$17,'Calc base'!$C$14:$N$14,1))))</f>
        <v>0</v>
      </c>
      <c r="AR119">
        <f>IF('Calc base'!M$14=0,0,MIN(AF119,MAX(0,$E119-SUMIFS($V119:$AG119,'Calc base'!$C$17:$N$17,"&lt;"&amp;'Calc base'!M$17,'Calc base'!$C$14:$N$14,1))))</f>
        <v>0</v>
      </c>
      <c r="AS119">
        <f>IF('Calc base'!N$14=0,0,MIN(AG119,MAX(0,$E119-SUMIFS($V119:$AG119,'Calc base'!$C$17:$N$17,"&lt;"&amp;'Calc base'!N$17,'Calc base'!$C$14:$N$14,1))))</f>
        <v>0</v>
      </c>
      <c r="AT119">
        <f>V119-AH119</f>
        <v>0</v>
      </c>
      <c r="AU119">
        <f>W119-AI119</f>
        <v>0</v>
      </c>
      <c r="AV119">
        <f>X119-AJ119</f>
        <v>0</v>
      </c>
      <c r="AW119">
        <f>Y119-AK119</f>
        <v>0</v>
      </c>
      <c r="AX119">
        <f>Z119-AL119</f>
        <v>0</v>
      </c>
      <c r="AY119">
        <f>AA119-AM119</f>
        <v>0</v>
      </c>
      <c r="AZ119">
        <f>AB119-AN119</f>
        <v>0</v>
      </c>
      <c r="BA119">
        <f>AC119-AO119</f>
        <v>0</v>
      </c>
      <c r="BB119">
        <f>AD119-AP119</f>
        <v>0</v>
      </c>
      <c r="BC119">
        <f>AE119-AQ119</f>
        <v>0</v>
      </c>
      <c r="BD119">
        <f>AF119-AR119</f>
        <v>0</v>
      </c>
      <c r="BE119">
        <f>AG119-AS119</f>
        <v>0</v>
      </c>
    </row>
    <row r="120">
      <c r="A120" t="n">
        <v>90</v>
      </c>
      <c r="B120">
        <f>SUMPRODUCT(ROUND($AT119:$BE119*(1+'Calc base'!$H120:$S120),2))</f>
        <v>0</v>
      </c>
      <c r="C120">
        <f>SUM(J120:U120)</f>
        <v>0</v>
      </c>
      <c r="D120">
        <f>SUM(V120:AG120)</f>
        <v>0</v>
      </c>
      <c r="E120">
        <f>MAX(0,IF(Impostazioni!$B$7="No",'Calc base'!$C120-$C$31,'Calc base'!$C120-C120)+'Calc base'!$G120+'Calc base'!$F120-(B120-C120-D120))</f>
        <v>900</v>
      </c>
      <c r="F120">
        <f>SUM(AH120:AS120)</f>
        <v>0</v>
      </c>
      <c r="G120">
        <f>SUM(AT120:BE120)</f>
        <v>0</v>
      </c>
      <c r="H120">
        <f>B120-G119</f>
        <v>0</v>
      </c>
      <c r="I120">
        <f>B120-G120</f>
        <v>0</v>
      </c>
      <c r="J120">
        <f>IF(AT119&lt;=0,0,IF(ROUND(AT119*(1+'Calc base'!H120),2)-MAX('Calc base'!C$12,ROUND('Calc base'!C$13*AT119,2))&lt;1,ROUND(AT119*(1+'Calc base'!H120),2),MAX('Calc base'!C$12,ROUND('Calc base'!C$13*AT119,2))))</f>
        <v>0</v>
      </c>
      <c r="K120">
        <f>IF(AU119&lt;=0,0,IF(ROUND(AU119*(1+'Calc base'!I120),2)-MAX('Calc base'!D$12,ROUND('Calc base'!D$13*AU119,2))&lt;1,ROUND(AU119*(1+'Calc base'!I120),2),MAX('Calc base'!D$12,ROUND('Calc base'!D$13*AU119,2))))</f>
        <v>0</v>
      </c>
      <c r="L120">
        <f>IF(AV119&lt;=0,0,IF(ROUND(AV119*(1+'Calc base'!J120),2)-MAX('Calc base'!E$12,ROUND('Calc base'!E$13*AV119,2))&lt;1,ROUND(AV119*(1+'Calc base'!J120),2),MAX('Calc base'!E$12,ROUND('Calc base'!E$13*AV119,2))))</f>
        <v>0</v>
      </c>
      <c r="M120">
        <f>IF(AW119&lt;=0,0,IF(ROUND(AW119*(1+'Calc base'!K120),2)-MAX('Calc base'!F$12,ROUND('Calc base'!F$13*AW119,2))&lt;1,ROUND(AW119*(1+'Calc base'!K120),2),MAX('Calc base'!F$12,ROUND('Calc base'!F$13*AW119,2))))</f>
        <v>0</v>
      </c>
      <c r="N120">
        <f>IF(AX119&lt;=0,0,IF(ROUND(AX119*(1+'Calc base'!L120),2)-MAX('Calc base'!G$12,ROUND('Calc base'!G$13*AX119,2))&lt;1,ROUND(AX119*(1+'Calc base'!L120),2),MAX('Calc base'!G$12,ROUND('Calc base'!G$13*AX119,2))))</f>
        <v>0</v>
      </c>
      <c r="O120">
        <f>IF(AY119&lt;=0,0,IF(ROUND(AY119*(1+'Calc base'!M120),2)-MAX('Calc base'!H$12,ROUND('Calc base'!H$13*AY119,2))&lt;1,ROUND(AY119*(1+'Calc base'!M120),2),MAX('Calc base'!H$12,ROUND('Calc base'!H$13*AY119,2))))</f>
        <v>0</v>
      </c>
      <c r="P120">
        <f>IF(AZ119&lt;=0,0,IF(ROUND(AZ119*(1+'Calc base'!N120),2)-MAX('Calc base'!I$12,ROUND('Calc base'!I$13*AZ119,2))&lt;1,ROUND(AZ119*(1+'Calc base'!N120),2),MAX('Calc base'!I$12,ROUND('Calc base'!I$13*AZ119,2))))</f>
        <v>0</v>
      </c>
      <c r="Q120">
        <f>IF(BA119&lt;=0,0,IF(ROUND(BA119*(1+'Calc base'!O120),2)-MAX('Calc base'!J$12,ROUND('Calc base'!J$13*BA119,2))&lt;1,ROUND(BA119*(1+'Calc base'!O120),2),MAX('Calc base'!J$12,ROUND('Calc base'!J$13*BA119,2))))</f>
        <v>0</v>
      </c>
      <c r="R120">
        <f>IF(BB119&lt;=0,0,IF(ROUND(BB119*(1+'Calc base'!P120),2)-MAX('Calc base'!K$12,ROUND('Calc base'!K$13*BB119,2))&lt;1,ROUND(BB119*(1+'Calc base'!P120),2),MAX('Calc base'!K$12,ROUND('Calc base'!K$13*BB119,2))))</f>
        <v>0</v>
      </c>
      <c r="S120">
        <f>IF(BC119&lt;=0,0,IF(ROUND(BC119*(1+'Calc base'!Q120),2)-MAX('Calc base'!L$12,ROUND('Calc base'!L$13*BC119,2))&lt;1,ROUND(BC119*(1+'Calc base'!Q120),2),MAX('Calc base'!L$12,ROUND('Calc base'!L$13*BC119,2))))</f>
        <v>0</v>
      </c>
      <c r="T120">
        <f>IF(BD119&lt;=0,0,IF(ROUND(BD119*(1+'Calc base'!R120),2)-MAX('Calc base'!M$12,ROUND('Calc base'!M$13*BD119,2))&lt;1,ROUND(BD119*(1+'Calc base'!R120),2),MAX('Calc base'!M$12,ROUND('Calc base'!M$13*BD119,2))))</f>
        <v>0</v>
      </c>
      <c r="U120">
        <f>IF(BE119&lt;=0,0,IF(ROUND(BE119*(1+'Calc base'!S120),2)-MAX('Calc base'!N$12,ROUND('Calc base'!N$13*BE119,2))&lt;1,ROUND(BE119*(1+'Calc base'!S120),2),MAX('Calc base'!N$12,ROUND('Calc base'!N$13*BE119,2))))</f>
        <v>0</v>
      </c>
      <c r="V120">
        <f>MAX(0,ROUND(AT119*(1+'Calc base'!H120),2)-J120-'Calc base'!T120)</f>
        <v>0</v>
      </c>
      <c r="W120">
        <f>MAX(0,ROUND(AU119*(1+'Calc base'!I120),2)-K120-'Calc base'!U120)</f>
        <v>0</v>
      </c>
      <c r="X120">
        <f>MAX(0,ROUND(AV119*(1+'Calc base'!J120),2)-L120-'Calc base'!V120)</f>
        <v>0</v>
      </c>
      <c r="Y120">
        <f>MAX(0,ROUND(AW119*(1+'Calc base'!K120),2)-M120-'Calc base'!W120)</f>
        <v>0</v>
      </c>
      <c r="Z120">
        <f>MAX(0,ROUND(AX119*(1+'Calc base'!L120),2)-N120-'Calc base'!X120)</f>
        <v>0</v>
      </c>
      <c r="AA120">
        <f>MAX(0,ROUND(AY119*(1+'Calc base'!M120),2)-O120-'Calc base'!Y120)</f>
        <v>0</v>
      </c>
      <c r="AB120">
        <f>MAX(0,ROUND(AZ119*(1+'Calc base'!N120),2)-P120-'Calc base'!Z120)</f>
        <v>0</v>
      </c>
      <c r="AC120">
        <f>MAX(0,ROUND(BA119*(1+'Calc base'!O120),2)-Q120-'Calc base'!AA120)</f>
        <v>0</v>
      </c>
      <c r="AD120">
        <f>MAX(0,ROUND(BB119*(1+'Calc base'!P120),2)-R120-'Calc base'!AB120)</f>
        <v>0</v>
      </c>
      <c r="AE120">
        <f>MAX(0,ROUND(BC119*(1+'Calc base'!Q120),2)-S120-'Calc base'!AC120)</f>
        <v>0</v>
      </c>
      <c r="AF120">
        <f>MAX(0,ROUND(BD119*(1+'Calc base'!R120),2)-T120-'Calc base'!AD120)</f>
        <v>0</v>
      </c>
      <c r="AG120">
        <f>MAX(0,ROUND(BE119*(1+'Calc base'!S120),2)-U120-'Calc base'!AE120)</f>
        <v>0</v>
      </c>
      <c r="AH120">
        <f>IF('Calc base'!C$14=0,0,MIN(V120,MAX(0,$E120-SUMIFS($V120:$AG120,'Calc base'!$C$17:$N$17,"&lt;"&amp;'Calc base'!C$17,'Calc base'!$C$14:$N$14,1))))</f>
        <v>0</v>
      </c>
      <c r="AI120">
        <f>IF('Calc base'!D$14=0,0,MIN(W120,MAX(0,$E120-SUMIFS($V120:$AG120,'Calc base'!$C$17:$N$17,"&lt;"&amp;'Calc base'!D$17,'Calc base'!$C$14:$N$14,1))))</f>
        <v>0</v>
      </c>
      <c r="AJ120">
        <f>IF('Calc base'!E$14=0,0,MIN(X120,MAX(0,$E120-SUMIFS($V120:$AG120,'Calc base'!$C$17:$N$17,"&lt;"&amp;'Calc base'!E$17,'Calc base'!$C$14:$N$14,1))))</f>
        <v>0</v>
      </c>
      <c r="AK120">
        <f>IF('Calc base'!F$14=0,0,MIN(Y120,MAX(0,$E120-SUMIFS($V120:$AG120,'Calc base'!$C$17:$N$17,"&lt;"&amp;'Calc base'!F$17,'Calc base'!$C$14:$N$14,1))))</f>
        <v>0</v>
      </c>
      <c r="AL120">
        <f>IF('Calc base'!G$14=0,0,MIN(Z120,MAX(0,$E120-SUMIFS($V120:$AG120,'Calc base'!$C$17:$N$17,"&lt;"&amp;'Calc base'!G$17,'Calc base'!$C$14:$N$14,1))))</f>
        <v>0</v>
      </c>
      <c r="AM120">
        <f>IF('Calc base'!H$14=0,0,MIN(AA120,MAX(0,$E120-SUMIFS($V120:$AG120,'Calc base'!$C$17:$N$17,"&lt;"&amp;'Calc base'!H$17,'Calc base'!$C$14:$N$14,1))))</f>
        <v>0</v>
      </c>
      <c r="AN120">
        <f>IF('Calc base'!I$14=0,0,MIN(AB120,MAX(0,$E120-SUMIFS($V120:$AG120,'Calc base'!$C$17:$N$17,"&lt;"&amp;'Calc base'!I$17,'Calc base'!$C$14:$N$14,1))))</f>
        <v>0</v>
      </c>
      <c r="AO120">
        <f>IF('Calc base'!J$14=0,0,MIN(AC120,MAX(0,$E120-SUMIFS($V120:$AG120,'Calc base'!$C$17:$N$17,"&lt;"&amp;'Calc base'!J$17,'Calc base'!$C$14:$N$14,1))))</f>
        <v>0</v>
      </c>
      <c r="AP120">
        <f>IF('Calc base'!K$14=0,0,MIN(AD120,MAX(0,$E120-SUMIFS($V120:$AG120,'Calc base'!$C$17:$N$17,"&lt;"&amp;'Calc base'!K$17,'Calc base'!$C$14:$N$14,1))))</f>
        <v>0</v>
      </c>
      <c r="AQ120">
        <f>IF('Calc base'!L$14=0,0,MIN(AE120,MAX(0,$E120-SUMIFS($V120:$AG120,'Calc base'!$C$17:$N$17,"&lt;"&amp;'Calc base'!L$17,'Calc base'!$C$14:$N$14,1))))</f>
        <v>0</v>
      </c>
      <c r="AR120">
        <f>IF('Calc base'!M$14=0,0,MIN(AF120,MAX(0,$E120-SUMIFS($V120:$AG120,'Calc base'!$C$17:$N$17,"&lt;"&amp;'Calc base'!M$17,'Calc base'!$C$14:$N$14,1))))</f>
        <v>0</v>
      </c>
      <c r="AS120">
        <f>IF('Calc base'!N$14=0,0,MIN(AG120,MAX(0,$E120-SUMIFS($V120:$AG120,'Calc base'!$C$17:$N$17,"&lt;"&amp;'Calc base'!N$17,'Calc base'!$C$14:$N$14,1))))</f>
        <v>0</v>
      </c>
      <c r="AT120">
        <f>V120-AH120</f>
        <v>0</v>
      </c>
      <c r="AU120">
        <f>W120-AI120</f>
        <v>0</v>
      </c>
      <c r="AV120">
        <f>X120-AJ120</f>
        <v>0</v>
      </c>
      <c r="AW120">
        <f>Y120-AK120</f>
        <v>0</v>
      </c>
      <c r="AX120">
        <f>Z120-AL120</f>
        <v>0</v>
      </c>
      <c r="AY120">
        <f>AA120-AM120</f>
        <v>0</v>
      </c>
      <c r="AZ120">
        <f>AB120-AN120</f>
        <v>0</v>
      </c>
      <c r="BA120">
        <f>AC120-AO120</f>
        <v>0</v>
      </c>
      <c r="BB120">
        <f>AD120-AP120</f>
        <v>0</v>
      </c>
      <c r="BC120">
        <f>AE120-AQ120</f>
        <v>0</v>
      </c>
      <c r="BD120">
        <f>AF120-AR120</f>
        <v>0</v>
      </c>
      <c r="BE120">
        <f>AG120-AS120</f>
        <v>0</v>
      </c>
    </row>
    <row r="121">
      <c r="A121" t="n">
        <v>91</v>
      </c>
      <c r="B121">
        <f>SUMPRODUCT(ROUND($AT120:$BE120*(1+'Calc base'!$H121:$S121),2))</f>
        <v>0</v>
      </c>
      <c r="C121">
        <f>SUM(J121:U121)</f>
        <v>0</v>
      </c>
      <c r="D121">
        <f>SUM(V121:AG121)</f>
        <v>0</v>
      </c>
      <c r="E121">
        <f>MAX(0,IF(Impostazioni!$B$7="No",'Calc base'!$C121-$C$31,'Calc base'!$C121-C121)+'Calc base'!$G121+'Calc base'!$F121-(B121-C121-D121))</f>
        <v>900</v>
      </c>
      <c r="F121">
        <f>SUM(AH121:AS121)</f>
        <v>0</v>
      </c>
      <c r="G121">
        <f>SUM(AT121:BE121)</f>
        <v>0</v>
      </c>
      <c r="H121">
        <f>B121-G120</f>
        <v>0</v>
      </c>
      <c r="I121">
        <f>B121-G121</f>
        <v>0</v>
      </c>
      <c r="J121">
        <f>IF(AT120&lt;=0,0,IF(ROUND(AT120*(1+'Calc base'!H121),2)-MAX('Calc base'!C$12,ROUND('Calc base'!C$13*AT120,2))&lt;1,ROUND(AT120*(1+'Calc base'!H121),2),MAX('Calc base'!C$12,ROUND('Calc base'!C$13*AT120,2))))</f>
        <v>0</v>
      </c>
      <c r="K121">
        <f>IF(AU120&lt;=0,0,IF(ROUND(AU120*(1+'Calc base'!I121),2)-MAX('Calc base'!D$12,ROUND('Calc base'!D$13*AU120,2))&lt;1,ROUND(AU120*(1+'Calc base'!I121),2),MAX('Calc base'!D$12,ROUND('Calc base'!D$13*AU120,2))))</f>
        <v>0</v>
      </c>
      <c r="L121">
        <f>IF(AV120&lt;=0,0,IF(ROUND(AV120*(1+'Calc base'!J121),2)-MAX('Calc base'!E$12,ROUND('Calc base'!E$13*AV120,2))&lt;1,ROUND(AV120*(1+'Calc base'!J121),2),MAX('Calc base'!E$12,ROUND('Calc base'!E$13*AV120,2))))</f>
        <v>0</v>
      </c>
      <c r="M121">
        <f>IF(AW120&lt;=0,0,IF(ROUND(AW120*(1+'Calc base'!K121),2)-MAX('Calc base'!F$12,ROUND('Calc base'!F$13*AW120,2))&lt;1,ROUND(AW120*(1+'Calc base'!K121),2),MAX('Calc base'!F$12,ROUND('Calc base'!F$13*AW120,2))))</f>
        <v>0</v>
      </c>
      <c r="N121">
        <f>IF(AX120&lt;=0,0,IF(ROUND(AX120*(1+'Calc base'!L121),2)-MAX('Calc base'!G$12,ROUND('Calc base'!G$13*AX120,2))&lt;1,ROUND(AX120*(1+'Calc base'!L121),2),MAX('Calc base'!G$12,ROUND('Calc base'!G$13*AX120,2))))</f>
        <v>0</v>
      </c>
      <c r="O121">
        <f>IF(AY120&lt;=0,0,IF(ROUND(AY120*(1+'Calc base'!M121),2)-MAX('Calc base'!H$12,ROUND('Calc base'!H$13*AY120,2))&lt;1,ROUND(AY120*(1+'Calc base'!M121),2),MAX('Calc base'!H$12,ROUND('Calc base'!H$13*AY120,2))))</f>
        <v>0</v>
      </c>
      <c r="P121">
        <f>IF(AZ120&lt;=0,0,IF(ROUND(AZ120*(1+'Calc base'!N121),2)-MAX('Calc base'!I$12,ROUND('Calc base'!I$13*AZ120,2))&lt;1,ROUND(AZ120*(1+'Calc base'!N121),2),MAX('Calc base'!I$12,ROUND('Calc base'!I$13*AZ120,2))))</f>
        <v>0</v>
      </c>
      <c r="Q121">
        <f>IF(BA120&lt;=0,0,IF(ROUND(BA120*(1+'Calc base'!O121),2)-MAX('Calc base'!J$12,ROUND('Calc base'!J$13*BA120,2))&lt;1,ROUND(BA120*(1+'Calc base'!O121),2),MAX('Calc base'!J$12,ROUND('Calc base'!J$13*BA120,2))))</f>
        <v>0</v>
      </c>
      <c r="R121">
        <f>IF(BB120&lt;=0,0,IF(ROUND(BB120*(1+'Calc base'!P121),2)-MAX('Calc base'!K$12,ROUND('Calc base'!K$13*BB120,2))&lt;1,ROUND(BB120*(1+'Calc base'!P121),2),MAX('Calc base'!K$12,ROUND('Calc base'!K$13*BB120,2))))</f>
        <v>0</v>
      </c>
      <c r="S121">
        <f>IF(BC120&lt;=0,0,IF(ROUND(BC120*(1+'Calc base'!Q121),2)-MAX('Calc base'!L$12,ROUND('Calc base'!L$13*BC120,2))&lt;1,ROUND(BC120*(1+'Calc base'!Q121),2),MAX('Calc base'!L$12,ROUND('Calc base'!L$13*BC120,2))))</f>
        <v>0</v>
      </c>
      <c r="T121">
        <f>IF(BD120&lt;=0,0,IF(ROUND(BD120*(1+'Calc base'!R121),2)-MAX('Calc base'!M$12,ROUND('Calc base'!M$13*BD120,2))&lt;1,ROUND(BD120*(1+'Calc base'!R121),2),MAX('Calc base'!M$12,ROUND('Calc base'!M$13*BD120,2))))</f>
        <v>0</v>
      </c>
      <c r="U121">
        <f>IF(BE120&lt;=0,0,IF(ROUND(BE120*(1+'Calc base'!S121),2)-MAX('Calc base'!N$12,ROUND('Calc base'!N$13*BE120,2))&lt;1,ROUND(BE120*(1+'Calc base'!S121),2),MAX('Calc base'!N$12,ROUND('Calc base'!N$13*BE120,2))))</f>
        <v>0</v>
      </c>
      <c r="V121">
        <f>MAX(0,ROUND(AT120*(1+'Calc base'!H121),2)-J121-'Calc base'!T121)</f>
        <v>0</v>
      </c>
      <c r="W121">
        <f>MAX(0,ROUND(AU120*(1+'Calc base'!I121),2)-K121-'Calc base'!U121)</f>
        <v>0</v>
      </c>
      <c r="X121">
        <f>MAX(0,ROUND(AV120*(1+'Calc base'!J121),2)-L121-'Calc base'!V121)</f>
        <v>0</v>
      </c>
      <c r="Y121">
        <f>MAX(0,ROUND(AW120*(1+'Calc base'!K121),2)-M121-'Calc base'!W121)</f>
        <v>0</v>
      </c>
      <c r="Z121">
        <f>MAX(0,ROUND(AX120*(1+'Calc base'!L121),2)-N121-'Calc base'!X121)</f>
        <v>0</v>
      </c>
      <c r="AA121">
        <f>MAX(0,ROUND(AY120*(1+'Calc base'!M121),2)-O121-'Calc base'!Y121)</f>
        <v>0</v>
      </c>
      <c r="AB121">
        <f>MAX(0,ROUND(AZ120*(1+'Calc base'!N121),2)-P121-'Calc base'!Z121)</f>
        <v>0</v>
      </c>
      <c r="AC121">
        <f>MAX(0,ROUND(BA120*(1+'Calc base'!O121),2)-Q121-'Calc base'!AA121)</f>
        <v>0</v>
      </c>
      <c r="AD121">
        <f>MAX(0,ROUND(BB120*(1+'Calc base'!P121),2)-R121-'Calc base'!AB121)</f>
        <v>0</v>
      </c>
      <c r="AE121">
        <f>MAX(0,ROUND(BC120*(1+'Calc base'!Q121),2)-S121-'Calc base'!AC121)</f>
        <v>0</v>
      </c>
      <c r="AF121">
        <f>MAX(0,ROUND(BD120*(1+'Calc base'!R121),2)-T121-'Calc base'!AD121)</f>
        <v>0</v>
      </c>
      <c r="AG121">
        <f>MAX(0,ROUND(BE120*(1+'Calc base'!S121),2)-U121-'Calc base'!AE121)</f>
        <v>0</v>
      </c>
      <c r="AH121">
        <f>IF('Calc base'!C$14=0,0,MIN(V121,MAX(0,$E121-SUMIFS($V121:$AG121,'Calc base'!$C$17:$N$17,"&lt;"&amp;'Calc base'!C$17,'Calc base'!$C$14:$N$14,1))))</f>
        <v>0</v>
      </c>
      <c r="AI121">
        <f>IF('Calc base'!D$14=0,0,MIN(W121,MAX(0,$E121-SUMIFS($V121:$AG121,'Calc base'!$C$17:$N$17,"&lt;"&amp;'Calc base'!D$17,'Calc base'!$C$14:$N$14,1))))</f>
        <v>0</v>
      </c>
      <c r="AJ121">
        <f>IF('Calc base'!E$14=0,0,MIN(X121,MAX(0,$E121-SUMIFS($V121:$AG121,'Calc base'!$C$17:$N$17,"&lt;"&amp;'Calc base'!E$17,'Calc base'!$C$14:$N$14,1))))</f>
        <v>0</v>
      </c>
      <c r="AK121">
        <f>IF('Calc base'!F$14=0,0,MIN(Y121,MAX(0,$E121-SUMIFS($V121:$AG121,'Calc base'!$C$17:$N$17,"&lt;"&amp;'Calc base'!F$17,'Calc base'!$C$14:$N$14,1))))</f>
        <v>0</v>
      </c>
      <c r="AL121">
        <f>IF('Calc base'!G$14=0,0,MIN(Z121,MAX(0,$E121-SUMIFS($V121:$AG121,'Calc base'!$C$17:$N$17,"&lt;"&amp;'Calc base'!G$17,'Calc base'!$C$14:$N$14,1))))</f>
        <v>0</v>
      </c>
      <c r="AM121">
        <f>IF('Calc base'!H$14=0,0,MIN(AA121,MAX(0,$E121-SUMIFS($V121:$AG121,'Calc base'!$C$17:$N$17,"&lt;"&amp;'Calc base'!H$17,'Calc base'!$C$14:$N$14,1))))</f>
        <v>0</v>
      </c>
      <c r="AN121">
        <f>IF('Calc base'!I$14=0,0,MIN(AB121,MAX(0,$E121-SUMIFS($V121:$AG121,'Calc base'!$C$17:$N$17,"&lt;"&amp;'Calc base'!I$17,'Calc base'!$C$14:$N$14,1))))</f>
        <v>0</v>
      </c>
      <c r="AO121">
        <f>IF('Calc base'!J$14=0,0,MIN(AC121,MAX(0,$E121-SUMIFS($V121:$AG121,'Calc base'!$C$17:$N$17,"&lt;"&amp;'Calc base'!J$17,'Calc base'!$C$14:$N$14,1))))</f>
        <v>0</v>
      </c>
      <c r="AP121">
        <f>IF('Calc base'!K$14=0,0,MIN(AD121,MAX(0,$E121-SUMIFS($V121:$AG121,'Calc base'!$C$17:$N$17,"&lt;"&amp;'Calc base'!K$17,'Calc base'!$C$14:$N$14,1))))</f>
        <v>0</v>
      </c>
      <c r="AQ121">
        <f>IF('Calc base'!L$14=0,0,MIN(AE121,MAX(0,$E121-SUMIFS($V121:$AG121,'Calc base'!$C$17:$N$17,"&lt;"&amp;'Calc base'!L$17,'Calc base'!$C$14:$N$14,1))))</f>
        <v>0</v>
      </c>
      <c r="AR121">
        <f>IF('Calc base'!M$14=0,0,MIN(AF121,MAX(0,$E121-SUMIFS($V121:$AG121,'Calc base'!$C$17:$N$17,"&lt;"&amp;'Calc base'!M$17,'Calc base'!$C$14:$N$14,1))))</f>
        <v>0</v>
      </c>
      <c r="AS121">
        <f>IF('Calc base'!N$14=0,0,MIN(AG121,MAX(0,$E121-SUMIFS($V121:$AG121,'Calc base'!$C$17:$N$17,"&lt;"&amp;'Calc base'!N$17,'Calc base'!$C$14:$N$14,1))))</f>
        <v>0</v>
      </c>
      <c r="AT121">
        <f>V121-AH121</f>
        <v>0</v>
      </c>
      <c r="AU121">
        <f>W121-AI121</f>
        <v>0</v>
      </c>
      <c r="AV121">
        <f>X121-AJ121</f>
        <v>0</v>
      </c>
      <c r="AW121">
        <f>Y121-AK121</f>
        <v>0</v>
      </c>
      <c r="AX121">
        <f>Z121-AL121</f>
        <v>0</v>
      </c>
      <c r="AY121">
        <f>AA121-AM121</f>
        <v>0</v>
      </c>
      <c r="AZ121">
        <f>AB121-AN121</f>
        <v>0</v>
      </c>
      <c r="BA121">
        <f>AC121-AO121</f>
        <v>0</v>
      </c>
      <c r="BB121">
        <f>AD121-AP121</f>
        <v>0</v>
      </c>
      <c r="BC121">
        <f>AE121-AQ121</f>
        <v>0</v>
      </c>
      <c r="BD121">
        <f>AF121-AR121</f>
        <v>0</v>
      </c>
      <c r="BE121">
        <f>AG121-AS121</f>
        <v>0</v>
      </c>
    </row>
    <row r="122">
      <c r="A122" t="n">
        <v>92</v>
      </c>
      <c r="B122">
        <f>SUMPRODUCT(ROUND($AT121:$BE121*(1+'Calc base'!$H122:$S122),2))</f>
        <v>0</v>
      </c>
      <c r="C122">
        <f>SUM(J122:U122)</f>
        <v>0</v>
      </c>
      <c r="D122">
        <f>SUM(V122:AG122)</f>
        <v>0</v>
      </c>
      <c r="E122">
        <f>MAX(0,IF(Impostazioni!$B$7="No",'Calc base'!$C122-$C$31,'Calc base'!$C122-C122)+'Calc base'!$G122+'Calc base'!$F122-(B122-C122-D122))</f>
        <v>900</v>
      </c>
      <c r="F122">
        <f>SUM(AH122:AS122)</f>
        <v>0</v>
      </c>
      <c r="G122">
        <f>SUM(AT122:BE122)</f>
        <v>0</v>
      </c>
      <c r="H122">
        <f>B122-G121</f>
        <v>0</v>
      </c>
      <c r="I122">
        <f>B122-G122</f>
        <v>0</v>
      </c>
      <c r="J122">
        <f>IF(AT121&lt;=0,0,IF(ROUND(AT121*(1+'Calc base'!H122),2)-MAX('Calc base'!C$12,ROUND('Calc base'!C$13*AT121,2))&lt;1,ROUND(AT121*(1+'Calc base'!H122),2),MAX('Calc base'!C$12,ROUND('Calc base'!C$13*AT121,2))))</f>
        <v>0</v>
      </c>
      <c r="K122">
        <f>IF(AU121&lt;=0,0,IF(ROUND(AU121*(1+'Calc base'!I122),2)-MAX('Calc base'!D$12,ROUND('Calc base'!D$13*AU121,2))&lt;1,ROUND(AU121*(1+'Calc base'!I122),2),MAX('Calc base'!D$12,ROUND('Calc base'!D$13*AU121,2))))</f>
        <v>0</v>
      </c>
      <c r="L122">
        <f>IF(AV121&lt;=0,0,IF(ROUND(AV121*(1+'Calc base'!J122),2)-MAX('Calc base'!E$12,ROUND('Calc base'!E$13*AV121,2))&lt;1,ROUND(AV121*(1+'Calc base'!J122),2),MAX('Calc base'!E$12,ROUND('Calc base'!E$13*AV121,2))))</f>
        <v>0</v>
      </c>
      <c r="M122">
        <f>IF(AW121&lt;=0,0,IF(ROUND(AW121*(1+'Calc base'!K122),2)-MAX('Calc base'!F$12,ROUND('Calc base'!F$13*AW121,2))&lt;1,ROUND(AW121*(1+'Calc base'!K122),2),MAX('Calc base'!F$12,ROUND('Calc base'!F$13*AW121,2))))</f>
        <v>0</v>
      </c>
      <c r="N122">
        <f>IF(AX121&lt;=0,0,IF(ROUND(AX121*(1+'Calc base'!L122),2)-MAX('Calc base'!G$12,ROUND('Calc base'!G$13*AX121,2))&lt;1,ROUND(AX121*(1+'Calc base'!L122),2),MAX('Calc base'!G$12,ROUND('Calc base'!G$13*AX121,2))))</f>
        <v>0</v>
      </c>
      <c r="O122">
        <f>IF(AY121&lt;=0,0,IF(ROUND(AY121*(1+'Calc base'!M122),2)-MAX('Calc base'!H$12,ROUND('Calc base'!H$13*AY121,2))&lt;1,ROUND(AY121*(1+'Calc base'!M122),2),MAX('Calc base'!H$12,ROUND('Calc base'!H$13*AY121,2))))</f>
        <v>0</v>
      </c>
      <c r="P122">
        <f>IF(AZ121&lt;=0,0,IF(ROUND(AZ121*(1+'Calc base'!N122),2)-MAX('Calc base'!I$12,ROUND('Calc base'!I$13*AZ121,2))&lt;1,ROUND(AZ121*(1+'Calc base'!N122),2),MAX('Calc base'!I$12,ROUND('Calc base'!I$13*AZ121,2))))</f>
        <v>0</v>
      </c>
      <c r="Q122">
        <f>IF(BA121&lt;=0,0,IF(ROUND(BA121*(1+'Calc base'!O122),2)-MAX('Calc base'!J$12,ROUND('Calc base'!J$13*BA121,2))&lt;1,ROUND(BA121*(1+'Calc base'!O122),2),MAX('Calc base'!J$12,ROUND('Calc base'!J$13*BA121,2))))</f>
        <v>0</v>
      </c>
      <c r="R122">
        <f>IF(BB121&lt;=0,0,IF(ROUND(BB121*(1+'Calc base'!P122),2)-MAX('Calc base'!K$12,ROUND('Calc base'!K$13*BB121,2))&lt;1,ROUND(BB121*(1+'Calc base'!P122),2),MAX('Calc base'!K$12,ROUND('Calc base'!K$13*BB121,2))))</f>
        <v>0</v>
      </c>
      <c r="S122">
        <f>IF(BC121&lt;=0,0,IF(ROUND(BC121*(1+'Calc base'!Q122),2)-MAX('Calc base'!L$12,ROUND('Calc base'!L$13*BC121,2))&lt;1,ROUND(BC121*(1+'Calc base'!Q122),2),MAX('Calc base'!L$12,ROUND('Calc base'!L$13*BC121,2))))</f>
        <v>0</v>
      </c>
      <c r="T122">
        <f>IF(BD121&lt;=0,0,IF(ROUND(BD121*(1+'Calc base'!R122),2)-MAX('Calc base'!M$12,ROUND('Calc base'!M$13*BD121,2))&lt;1,ROUND(BD121*(1+'Calc base'!R122),2),MAX('Calc base'!M$12,ROUND('Calc base'!M$13*BD121,2))))</f>
        <v>0</v>
      </c>
      <c r="U122">
        <f>IF(BE121&lt;=0,0,IF(ROUND(BE121*(1+'Calc base'!S122),2)-MAX('Calc base'!N$12,ROUND('Calc base'!N$13*BE121,2))&lt;1,ROUND(BE121*(1+'Calc base'!S122),2),MAX('Calc base'!N$12,ROUND('Calc base'!N$13*BE121,2))))</f>
        <v>0</v>
      </c>
      <c r="V122">
        <f>MAX(0,ROUND(AT121*(1+'Calc base'!H122),2)-J122-'Calc base'!T122)</f>
        <v>0</v>
      </c>
      <c r="W122">
        <f>MAX(0,ROUND(AU121*(1+'Calc base'!I122),2)-K122-'Calc base'!U122)</f>
        <v>0</v>
      </c>
      <c r="X122">
        <f>MAX(0,ROUND(AV121*(1+'Calc base'!J122),2)-L122-'Calc base'!V122)</f>
        <v>0</v>
      </c>
      <c r="Y122">
        <f>MAX(0,ROUND(AW121*(1+'Calc base'!K122),2)-M122-'Calc base'!W122)</f>
        <v>0</v>
      </c>
      <c r="Z122">
        <f>MAX(0,ROUND(AX121*(1+'Calc base'!L122),2)-N122-'Calc base'!X122)</f>
        <v>0</v>
      </c>
      <c r="AA122">
        <f>MAX(0,ROUND(AY121*(1+'Calc base'!M122),2)-O122-'Calc base'!Y122)</f>
        <v>0</v>
      </c>
      <c r="AB122">
        <f>MAX(0,ROUND(AZ121*(1+'Calc base'!N122),2)-P122-'Calc base'!Z122)</f>
        <v>0</v>
      </c>
      <c r="AC122">
        <f>MAX(0,ROUND(BA121*(1+'Calc base'!O122),2)-Q122-'Calc base'!AA122)</f>
        <v>0</v>
      </c>
      <c r="AD122">
        <f>MAX(0,ROUND(BB121*(1+'Calc base'!P122),2)-R122-'Calc base'!AB122)</f>
        <v>0</v>
      </c>
      <c r="AE122">
        <f>MAX(0,ROUND(BC121*(1+'Calc base'!Q122),2)-S122-'Calc base'!AC122)</f>
        <v>0</v>
      </c>
      <c r="AF122">
        <f>MAX(0,ROUND(BD121*(1+'Calc base'!R122),2)-T122-'Calc base'!AD122)</f>
        <v>0</v>
      </c>
      <c r="AG122">
        <f>MAX(0,ROUND(BE121*(1+'Calc base'!S122),2)-U122-'Calc base'!AE122)</f>
        <v>0</v>
      </c>
      <c r="AH122">
        <f>IF('Calc base'!C$14=0,0,MIN(V122,MAX(0,$E122-SUMIFS($V122:$AG122,'Calc base'!$C$17:$N$17,"&lt;"&amp;'Calc base'!C$17,'Calc base'!$C$14:$N$14,1))))</f>
        <v>0</v>
      </c>
      <c r="AI122">
        <f>IF('Calc base'!D$14=0,0,MIN(W122,MAX(0,$E122-SUMIFS($V122:$AG122,'Calc base'!$C$17:$N$17,"&lt;"&amp;'Calc base'!D$17,'Calc base'!$C$14:$N$14,1))))</f>
        <v>0</v>
      </c>
      <c r="AJ122">
        <f>IF('Calc base'!E$14=0,0,MIN(X122,MAX(0,$E122-SUMIFS($V122:$AG122,'Calc base'!$C$17:$N$17,"&lt;"&amp;'Calc base'!E$17,'Calc base'!$C$14:$N$14,1))))</f>
        <v>0</v>
      </c>
      <c r="AK122">
        <f>IF('Calc base'!F$14=0,0,MIN(Y122,MAX(0,$E122-SUMIFS($V122:$AG122,'Calc base'!$C$17:$N$17,"&lt;"&amp;'Calc base'!F$17,'Calc base'!$C$14:$N$14,1))))</f>
        <v>0</v>
      </c>
      <c r="AL122">
        <f>IF('Calc base'!G$14=0,0,MIN(Z122,MAX(0,$E122-SUMIFS($V122:$AG122,'Calc base'!$C$17:$N$17,"&lt;"&amp;'Calc base'!G$17,'Calc base'!$C$14:$N$14,1))))</f>
        <v>0</v>
      </c>
      <c r="AM122">
        <f>IF('Calc base'!H$14=0,0,MIN(AA122,MAX(0,$E122-SUMIFS($V122:$AG122,'Calc base'!$C$17:$N$17,"&lt;"&amp;'Calc base'!H$17,'Calc base'!$C$14:$N$14,1))))</f>
        <v>0</v>
      </c>
      <c r="AN122">
        <f>IF('Calc base'!I$14=0,0,MIN(AB122,MAX(0,$E122-SUMIFS($V122:$AG122,'Calc base'!$C$17:$N$17,"&lt;"&amp;'Calc base'!I$17,'Calc base'!$C$14:$N$14,1))))</f>
        <v>0</v>
      </c>
      <c r="AO122">
        <f>IF('Calc base'!J$14=0,0,MIN(AC122,MAX(0,$E122-SUMIFS($V122:$AG122,'Calc base'!$C$17:$N$17,"&lt;"&amp;'Calc base'!J$17,'Calc base'!$C$14:$N$14,1))))</f>
        <v>0</v>
      </c>
      <c r="AP122">
        <f>IF('Calc base'!K$14=0,0,MIN(AD122,MAX(0,$E122-SUMIFS($V122:$AG122,'Calc base'!$C$17:$N$17,"&lt;"&amp;'Calc base'!K$17,'Calc base'!$C$14:$N$14,1))))</f>
        <v>0</v>
      </c>
      <c r="AQ122">
        <f>IF('Calc base'!L$14=0,0,MIN(AE122,MAX(0,$E122-SUMIFS($V122:$AG122,'Calc base'!$C$17:$N$17,"&lt;"&amp;'Calc base'!L$17,'Calc base'!$C$14:$N$14,1))))</f>
        <v>0</v>
      </c>
      <c r="AR122">
        <f>IF('Calc base'!M$14=0,0,MIN(AF122,MAX(0,$E122-SUMIFS($V122:$AG122,'Calc base'!$C$17:$N$17,"&lt;"&amp;'Calc base'!M$17,'Calc base'!$C$14:$N$14,1))))</f>
        <v>0</v>
      </c>
      <c r="AS122">
        <f>IF('Calc base'!N$14=0,0,MIN(AG122,MAX(0,$E122-SUMIFS($V122:$AG122,'Calc base'!$C$17:$N$17,"&lt;"&amp;'Calc base'!N$17,'Calc base'!$C$14:$N$14,1))))</f>
        <v>0</v>
      </c>
      <c r="AT122">
        <f>V122-AH122</f>
        <v>0</v>
      </c>
      <c r="AU122">
        <f>W122-AI122</f>
        <v>0</v>
      </c>
      <c r="AV122">
        <f>X122-AJ122</f>
        <v>0</v>
      </c>
      <c r="AW122">
        <f>Y122-AK122</f>
        <v>0</v>
      </c>
      <c r="AX122">
        <f>Z122-AL122</f>
        <v>0</v>
      </c>
      <c r="AY122">
        <f>AA122-AM122</f>
        <v>0</v>
      </c>
      <c r="AZ122">
        <f>AB122-AN122</f>
        <v>0</v>
      </c>
      <c r="BA122">
        <f>AC122-AO122</f>
        <v>0</v>
      </c>
      <c r="BB122">
        <f>AD122-AP122</f>
        <v>0</v>
      </c>
      <c r="BC122">
        <f>AE122-AQ122</f>
        <v>0</v>
      </c>
      <c r="BD122">
        <f>AF122-AR122</f>
        <v>0</v>
      </c>
      <c r="BE122">
        <f>AG122-AS122</f>
        <v>0</v>
      </c>
    </row>
    <row r="123">
      <c r="A123" t="n">
        <v>93</v>
      </c>
      <c r="B123">
        <f>SUMPRODUCT(ROUND($AT122:$BE122*(1+'Calc base'!$H123:$S123),2))</f>
        <v>0</v>
      </c>
      <c r="C123">
        <f>SUM(J123:U123)</f>
        <v>0</v>
      </c>
      <c r="D123">
        <f>SUM(V123:AG123)</f>
        <v>0</v>
      </c>
      <c r="E123">
        <f>MAX(0,IF(Impostazioni!$B$7="No",'Calc base'!$C123-$C$31,'Calc base'!$C123-C123)+'Calc base'!$G123+'Calc base'!$F123-(B123-C123-D123))</f>
        <v>900</v>
      </c>
      <c r="F123">
        <f>SUM(AH123:AS123)</f>
        <v>0</v>
      </c>
      <c r="G123">
        <f>SUM(AT123:BE123)</f>
        <v>0</v>
      </c>
      <c r="H123">
        <f>B123-G122</f>
        <v>0</v>
      </c>
      <c r="I123">
        <f>B123-G123</f>
        <v>0</v>
      </c>
      <c r="J123">
        <f>IF(AT122&lt;=0,0,IF(ROUND(AT122*(1+'Calc base'!H123),2)-MAX('Calc base'!C$12,ROUND('Calc base'!C$13*AT122,2))&lt;1,ROUND(AT122*(1+'Calc base'!H123),2),MAX('Calc base'!C$12,ROUND('Calc base'!C$13*AT122,2))))</f>
        <v>0</v>
      </c>
      <c r="K123">
        <f>IF(AU122&lt;=0,0,IF(ROUND(AU122*(1+'Calc base'!I123),2)-MAX('Calc base'!D$12,ROUND('Calc base'!D$13*AU122,2))&lt;1,ROUND(AU122*(1+'Calc base'!I123),2),MAX('Calc base'!D$12,ROUND('Calc base'!D$13*AU122,2))))</f>
        <v>0</v>
      </c>
      <c r="L123">
        <f>IF(AV122&lt;=0,0,IF(ROUND(AV122*(1+'Calc base'!J123),2)-MAX('Calc base'!E$12,ROUND('Calc base'!E$13*AV122,2))&lt;1,ROUND(AV122*(1+'Calc base'!J123),2),MAX('Calc base'!E$12,ROUND('Calc base'!E$13*AV122,2))))</f>
        <v>0</v>
      </c>
      <c r="M123">
        <f>IF(AW122&lt;=0,0,IF(ROUND(AW122*(1+'Calc base'!K123),2)-MAX('Calc base'!F$12,ROUND('Calc base'!F$13*AW122,2))&lt;1,ROUND(AW122*(1+'Calc base'!K123),2),MAX('Calc base'!F$12,ROUND('Calc base'!F$13*AW122,2))))</f>
        <v>0</v>
      </c>
      <c r="N123">
        <f>IF(AX122&lt;=0,0,IF(ROUND(AX122*(1+'Calc base'!L123),2)-MAX('Calc base'!G$12,ROUND('Calc base'!G$13*AX122,2))&lt;1,ROUND(AX122*(1+'Calc base'!L123),2),MAX('Calc base'!G$12,ROUND('Calc base'!G$13*AX122,2))))</f>
        <v>0</v>
      </c>
      <c r="O123">
        <f>IF(AY122&lt;=0,0,IF(ROUND(AY122*(1+'Calc base'!M123),2)-MAX('Calc base'!H$12,ROUND('Calc base'!H$13*AY122,2))&lt;1,ROUND(AY122*(1+'Calc base'!M123),2),MAX('Calc base'!H$12,ROUND('Calc base'!H$13*AY122,2))))</f>
        <v>0</v>
      </c>
      <c r="P123">
        <f>IF(AZ122&lt;=0,0,IF(ROUND(AZ122*(1+'Calc base'!N123),2)-MAX('Calc base'!I$12,ROUND('Calc base'!I$13*AZ122,2))&lt;1,ROUND(AZ122*(1+'Calc base'!N123),2),MAX('Calc base'!I$12,ROUND('Calc base'!I$13*AZ122,2))))</f>
        <v>0</v>
      </c>
      <c r="Q123">
        <f>IF(BA122&lt;=0,0,IF(ROUND(BA122*(1+'Calc base'!O123),2)-MAX('Calc base'!J$12,ROUND('Calc base'!J$13*BA122,2))&lt;1,ROUND(BA122*(1+'Calc base'!O123),2),MAX('Calc base'!J$12,ROUND('Calc base'!J$13*BA122,2))))</f>
        <v>0</v>
      </c>
      <c r="R123">
        <f>IF(BB122&lt;=0,0,IF(ROUND(BB122*(1+'Calc base'!P123),2)-MAX('Calc base'!K$12,ROUND('Calc base'!K$13*BB122,2))&lt;1,ROUND(BB122*(1+'Calc base'!P123),2),MAX('Calc base'!K$12,ROUND('Calc base'!K$13*BB122,2))))</f>
        <v>0</v>
      </c>
      <c r="S123">
        <f>IF(BC122&lt;=0,0,IF(ROUND(BC122*(1+'Calc base'!Q123),2)-MAX('Calc base'!L$12,ROUND('Calc base'!L$13*BC122,2))&lt;1,ROUND(BC122*(1+'Calc base'!Q123),2),MAX('Calc base'!L$12,ROUND('Calc base'!L$13*BC122,2))))</f>
        <v>0</v>
      </c>
      <c r="T123">
        <f>IF(BD122&lt;=0,0,IF(ROUND(BD122*(1+'Calc base'!R123),2)-MAX('Calc base'!M$12,ROUND('Calc base'!M$13*BD122,2))&lt;1,ROUND(BD122*(1+'Calc base'!R123),2),MAX('Calc base'!M$12,ROUND('Calc base'!M$13*BD122,2))))</f>
        <v>0</v>
      </c>
      <c r="U123">
        <f>IF(BE122&lt;=0,0,IF(ROUND(BE122*(1+'Calc base'!S123),2)-MAX('Calc base'!N$12,ROUND('Calc base'!N$13*BE122,2))&lt;1,ROUND(BE122*(1+'Calc base'!S123),2),MAX('Calc base'!N$12,ROUND('Calc base'!N$13*BE122,2))))</f>
        <v>0</v>
      </c>
      <c r="V123">
        <f>MAX(0,ROUND(AT122*(1+'Calc base'!H123),2)-J123-'Calc base'!T123)</f>
        <v>0</v>
      </c>
      <c r="W123">
        <f>MAX(0,ROUND(AU122*(1+'Calc base'!I123),2)-K123-'Calc base'!U123)</f>
        <v>0</v>
      </c>
      <c r="X123">
        <f>MAX(0,ROUND(AV122*(1+'Calc base'!J123),2)-L123-'Calc base'!V123)</f>
        <v>0</v>
      </c>
      <c r="Y123">
        <f>MAX(0,ROUND(AW122*(1+'Calc base'!K123),2)-M123-'Calc base'!W123)</f>
        <v>0</v>
      </c>
      <c r="Z123">
        <f>MAX(0,ROUND(AX122*(1+'Calc base'!L123),2)-N123-'Calc base'!X123)</f>
        <v>0</v>
      </c>
      <c r="AA123">
        <f>MAX(0,ROUND(AY122*(1+'Calc base'!M123),2)-O123-'Calc base'!Y123)</f>
        <v>0</v>
      </c>
      <c r="AB123">
        <f>MAX(0,ROUND(AZ122*(1+'Calc base'!N123),2)-P123-'Calc base'!Z123)</f>
        <v>0</v>
      </c>
      <c r="AC123">
        <f>MAX(0,ROUND(BA122*(1+'Calc base'!O123),2)-Q123-'Calc base'!AA123)</f>
        <v>0</v>
      </c>
      <c r="AD123">
        <f>MAX(0,ROUND(BB122*(1+'Calc base'!P123),2)-R123-'Calc base'!AB123)</f>
        <v>0</v>
      </c>
      <c r="AE123">
        <f>MAX(0,ROUND(BC122*(1+'Calc base'!Q123),2)-S123-'Calc base'!AC123)</f>
        <v>0</v>
      </c>
      <c r="AF123">
        <f>MAX(0,ROUND(BD122*(1+'Calc base'!R123),2)-T123-'Calc base'!AD123)</f>
        <v>0</v>
      </c>
      <c r="AG123">
        <f>MAX(0,ROUND(BE122*(1+'Calc base'!S123),2)-U123-'Calc base'!AE123)</f>
        <v>0</v>
      </c>
      <c r="AH123">
        <f>IF('Calc base'!C$14=0,0,MIN(V123,MAX(0,$E123-SUMIFS($V123:$AG123,'Calc base'!$C$17:$N$17,"&lt;"&amp;'Calc base'!C$17,'Calc base'!$C$14:$N$14,1))))</f>
        <v>0</v>
      </c>
      <c r="AI123">
        <f>IF('Calc base'!D$14=0,0,MIN(W123,MAX(0,$E123-SUMIFS($V123:$AG123,'Calc base'!$C$17:$N$17,"&lt;"&amp;'Calc base'!D$17,'Calc base'!$C$14:$N$14,1))))</f>
        <v>0</v>
      </c>
      <c r="AJ123">
        <f>IF('Calc base'!E$14=0,0,MIN(X123,MAX(0,$E123-SUMIFS($V123:$AG123,'Calc base'!$C$17:$N$17,"&lt;"&amp;'Calc base'!E$17,'Calc base'!$C$14:$N$14,1))))</f>
        <v>0</v>
      </c>
      <c r="AK123">
        <f>IF('Calc base'!F$14=0,0,MIN(Y123,MAX(0,$E123-SUMIFS($V123:$AG123,'Calc base'!$C$17:$N$17,"&lt;"&amp;'Calc base'!F$17,'Calc base'!$C$14:$N$14,1))))</f>
        <v>0</v>
      </c>
      <c r="AL123">
        <f>IF('Calc base'!G$14=0,0,MIN(Z123,MAX(0,$E123-SUMIFS($V123:$AG123,'Calc base'!$C$17:$N$17,"&lt;"&amp;'Calc base'!G$17,'Calc base'!$C$14:$N$14,1))))</f>
        <v>0</v>
      </c>
      <c r="AM123">
        <f>IF('Calc base'!H$14=0,0,MIN(AA123,MAX(0,$E123-SUMIFS($V123:$AG123,'Calc base'!$C$17:$N$17,"&lt;"&amp;'Calc base'!H$17,'Calc base'!$C$14:$N$14,1))))</f>
        <v>0</v>
      </c>
      <c r="AN123">
        <f>IF('Calc base'!I$14=0,0,MIN(AB123,MAX(0,$E123-SUMIFS($V123:$AG123,'Calc base'!$C$17:$N$17,"&lt;"&amp;'Calc base'!I$17,'Calc base'!$C$14:$N$14,1))))</f>
        <v>0</v>
      </c>
      <c r="AO123">
        <f>IF('Calc base'!J$14=0,0,MIN(AC123,MAX(0,$E123-SUMIFS($V123:$AG123,'Calc base'!$C$17:$N$17,"&lt;"&amp;'Calc base'!J$17,'Calc base'!$C$14:$N$14,1))))</f>
        <v>0</v>
      </c>
      <c r="AP123">
        <f>IF('Calc base'!K$14=0,0,MIN(AD123,MAX(0,$E123-SUMIFS($V123:$AG123,'Calc base'!$C$17:$N$17,"&lt;"&amp;'Calc base'!K$17,'Calc base'!$C$14:$N$14,1))))</f>
        <v>0</v>
      </c>
      <c r="AQ123">
        <f>IF('Calc base'!L$14=0,0,MIN(AE123,MAX(0,$E123-SUMIFS($V123:$AG123,'Calc base'!$C$17:$N$17,"&lt;"&amp;'Calc base'!L$17,'Calc base'!$C$14:$N$14,1))))</f>
        <v>0</v>
      </c>
      <c r="AR123">
        <f>IF('Calc base'!M$14=0,0,MIN(AF123,MAX(0,$E123-SUMIFS($V123:$AG123,'Calc base'!$C$17:$N$17,"&lt;"&amp;'Calc base'!M$17,'Calc base'!$C$14:$N$14,1))))</f>
        <v>0</v>
      </c>
      <c r="AS123">
        <f>IF('Calc base'!N$14=0,0,MIN(AG123,MAX(0,$E123-SUMIFS($V123:$AG123,'Calc base'!$C$17:$N$17,"&lt;"&amp;'Calc base'!N$17,'Calc base'!$C$14:$N$14,1))))</f>
        <v>0</v>
      </c>
      <c r="AT123">
        <f>V123-AH123</f>
        <v>0</v>
      </c>
      <c r="AU123">
        <f>W123-AI123</f>
        <v>0</v>
      </c>
      <c r="AV123">
        <f>X123-AJ123</f>
        <v>0</v>
      </c>
      <c r="AW123">
        <f>Y123-AK123</f>
        <v>0</v>
      </c>
      <c r="AX123">
        <f>Z123-AL123</f>
        <v>0</v>
      </c>
      <c r="AY123">
        <f>AA123-AM123</f>
        <v>0</v>
      </c>
      <c r="AZ123">
        <f>AB123-AN123</f>
        <v>0</v>
      </c>
      <c r="BA123">
        <f>AC123-AO123</f>
        <v>0</v>
      </c>
      <c r="BB123">
        <f>AD123-AP123</f>
        <v>0</v>
      </c>
      <c r="BC123">
        <f>AE123-AQ123</f>
        <v>0</v>
      </c>
      <c r="BD123">
        <f>AF123-AR123</f>
        <v>0</v>
      </c>
      <c r="BE123">
        <f>AG123-AS123</f>
        <v>0</v>
      </c>
    </row>
    <row r="124">
      <c r="A124" t="n">
        <v>94</v>
      </c>
      <c r="B124">
        <f>SUMPRODUCT(ROUND($AT123:$BE123*(1+'Calc base'!$H124:$S124),2))</f>
        <v>0</v>
      </c>
      <c r="C124">
        <f>SUM(J124:U124)</f>
        <v>0</v>
      </c>
      <c r="D124">
        <f>SUM(V124:AG124)</f>
        <v>0</v>
      </c>
      <c r="E124">
        <f>MAX(0,IF(Impostazioni!$B$7="No",'Calc base'!$C124-$C$31,'Calc base'!$C124-C124)+'Calc base'!$G124+'Calc base'!$F124-(B124-C124-D124))</f>
        <v>900</v>
      </c>
      <c r="F124">
        <f>SUM(AH124:AS124)</f>
        <v>0</v>
      </c>
      <c r="G124">
        <f>SUM(AT124:BE124)</f>
        <v>0</v>
      </c>
      <c r="H124">
        <f>B124-G123</f>
        <v>0</v>
      </c>
      <c r="I124">
        <f>B124-G124</f>
        <v>0</v>
      </c>
      <c r="J124">
        <f>IF(AT123&lt;=0,0,IF(ROUND(AT123*(1+'Calc base'!H124),2)-MAX('Calc base'!C$12,ROUND('Calc base'!C$13*AT123,2))&lt;1,ROUND(AT123*(1+'Calc base'!H124),2),MAX('Calc base'!C$12,ROUND('Calc base'!C$13*AT123,2))))</f>
        <v>0</v>
      </c>
      <c r="K124">
        <f>IF(AU123&lt;=0,0,IF(ROUND(AU123*(1+'Calc base'!I124),2)-MAX('Calc base'!D$12,ROUND('Calc base'!D$13*AU123,2))&lt;1,ROUND(AU123*(1+'Calc base'!I124),2),MAX('Calc base'!D$12,ROUND('Calc base'!D$13*AU123,2))))</f>
        <v>0</v>
      </c>
      <c r="L124">
        <f>IF(AV123&lt;=0,0,IF(ROUND(AV123*(1+'Calc base'!J124),2)-MAX('Calc base'!E$12,ROUND('Calc base'!E$13*AV123,2))&lt;1,ROUND(AV123*(1+'Calc base'!J124),2),MAX('Calc base'!E$12,ROUND('Calc base'!E$13*AV123,2))))</f>
        <v>0</v>
      </c>
      <c r="M124">
        <f>IF(AW123&lt;=0,0,IF(ROUND(AW123*(1+'Calc base'!K124),2)-MAX('Calc base'!F$12,ROUND('Calc base'!F$13*AW123,2))&lt;1,ROUND(AW123*(1+'Calc base'!K124),2),MAX('Calc base'!F$12,ROUND('Calc base'!F$13*AW123,2))))</f>
        <v>0</v>
      </c>
      <c r="N124">
        <f>IF(AX123&lt;=0,0,IF(ROUND(AX123*(1+'Calc base'!L124),2)-MAX('Calc base'!G$12,ROUND('Calc base'!G$13*AX123,2))&lt;1,ROUND(AX123*(1+'Calc base'!L124),2),MAX('Calc base'!G$12,ROUND('Calc base'!G$13*AX123,2))))</f>
        <v>0</v>
      </c>
      <c r="O124">
        <f>IF(AY123&lt;=0,0,IF(ROUND(AY123*(1+'Calc base'!M124),2)-MAX('Calc base'!H$12,ROUND('Calc base'!H$13*AY123,2))&lt;1,ROUND(AY123*(1+'Calc base'!M124),2),MAX('Calc base'!H$12,ROUND('Calc base'!H$13*AY123,2))))</f>
        <v>0</v>
      </c>
      <c r="P124">
        <f>IF(AZ123&lt;=0,0,IF(ROUND(AZ123*(1+'Calc base'!N124),2)-MAX('Calc base'!I$12,ROUND('Calc base'!I$13*AZ123,2))&lt;1,ROUND(AZ123*(1+'Calc base'!N124),2),MAX('Calc base'!I$12,ROUND('Calc base'!I$13*AZ123,2))))</f>
        <v>0</v>
      </c>
      <c r="Q124">
        <f>IF(BA123&lt;=0,0,IF(ROUND(BA123*(1+'Calc base'!O124),2)-MAX('Calc base'!J$12,ROUND('Calc base'!J$13*BA123,2))&lt;1,ROUND(BA123*(1+'Calc base'!O124),2),MAX('Calc base'!J$12,ROUND('Calc base'!J$13*BA123,2))))</f>
        <v>0</v>
      </c>
      <c r="R124">
        <f>IF(BB123&lt;=0,0,IF(ROUND(BB123*(1+'Calc base'!P124),2)-MAX('Calc base'!K$12,ROUND('Calc base'!K$13*BB123,2))&lt;1,ROUND(BB123*(1+'Calc base'!P124),2),MAX('Calc base'!K$12,ROUND('Calc base'!K$13*BB123,2))))</f>
        <v>0</v>
      </c>
      <c r="S124">
        <f>IF(BC123&lt;=0,0,IF(ROUND(BC123*(1+'Calc base'!Q124),2)-MAX('Calc base'!L$12,ROUND('Calc base'!L$13*BC123,2))&lt;1,ROUND(BC123*(1+'Calc base'!Q124),2),MAX('Calc base'!L$12,ROUND('Calc base'!L$13*BC123,2))))</f>
        <v>0</v>
      </c>
      <c r="T124">
        <f>IF(BD123&lt;=0,0,IF(ROUND(BD123*(1+'Calc base'!R124),2)-MAX('Calc base'!M$12,ROUND('Calc base'!M$13*BD123,2))&lt;1,ROUND(BD123*(1+'Calc base'!R124),2),MAX('Calc base'!M$12,ROUND('Calc base'!M$13*BD123,2))))</f>
        <v>0</v>
      </c>
      <c r="U124">
        <f>IF(BE123&lt;=0,0,IF(ROUND(BE123*(1+'Calc base'!S124),2)-MAX('Calc base'!N$12,ROUND('Calc base'!N$13*BE123,2))&lt;1,ROUND(BE123*(1+'Calc base'!S124),2),MAX('Calc base'!N$12,ROUND('Calc base'!N$13*BE123,2))))</f>
        <v>0</v>
      </c>
      <c r="V124">
        <f>MAX(0,ROUND(AT123*(1+'Calc base'!H124),2)-J124-'Calc base'!T124)</f>
        <v>0</v>
      </c>
      <c r="W124">
        <f>MAX(0,ROUND(AU123*(1+'Calc base'!I124),2)-K124-'Calc base'!U124)</f>
        <v>0</v>
      </c>
      <c r="X124">
        <f>MAX(0,ROUND(AV123*(1+'Calc base'!J124),2)-L124-'Calc base'!V124)</f>
        <v>0</v>
      </c>
      <c r="Y124">
        <f>MAX(0,ROUND(AW123*(1+'Calc base'!K124),2)-M124-'Calc base'!W124)</f>
        <v>0</v>
      </c>
      <c r="Z124">
        <f>MAX(0,ROUND(AX123*(1+'Calc base'!L124),2)-N124-'Calc base'!X124)</f>
        <v>0</v>
      </c>
      <c r="AA124">
        <f>MAX(0,ROUND(AY123*(1+'Calc base'!M124),2)-O124-'Calc base'!Y124)</f>
        <v>0</v>
      </c>
      <c r="AB124">
        <f>MAX(0,ROUND(AZ123*(1+'Calc base'!N124),2)-P124-'Calc base'!Z124)</f>
        <v>0</v>
      </c>
      <c r="AC124">
        <f>MAX(0,ROUND(BA123*(1+'Calc base'!O124),2)-Q124-'Calc base'!AA124)</f>
        <v>0</v>
      </c>
      <c r="AD124">
        <f>MAX(0,ROUND(BB123*(1+'Calc base'!P124),2)-R124-'Calc base'!AB124)</f>
        <v>0</v>
      </c>
      <c r="AE124">
        <f>MAX(0,ROUND(BC123*(1+'Calc base'!Q124),2)-S124-'Calc base'!AC124)</f>
        <v>0</v>
      </c>
      <c r="AF124">
        <f>MAX(0,ROUND(BD123*(1+'Calc base'!R124),2)-T124-'Calc base'!AD124)</f>
        <v>0</v>
      </c>
      <c r="AG124">
        <f>MAX(0,ROUND(BE123*(1+'Calc base'!S124),2)-U124-'Calc base'!AE124)</f>
        <v>0</v>
      </c>
      <c r="AH124">
        <f>IF('Calc base'!C$14=0,0,MIN(V124,MAX(0,$E124-SUMIFS($V124:$AG124,'Calc base'!$C$17:$N$17,"&lt;"&amp;'Calc base'!C$17,'Calc base'!$C$14:$N$14,1))))</f>
        <v>0</v>
      </c>
      <c r="AI124">
        <f>IF('Calc base'!D$14=0,0,MIN(W124,MAX(0,$E124-SUMIFS($V124:$AG124,'Calc base'!$C$17:$N$17,"&lt;"&amp;'Calc base'!D$17,'Calc base'!$C$14:$N$14,1))))</f>
        <v>0</v>
      </c>
      <c r="AJ124">
        <f>IF('Calc base'!E$14=0,0,MIN(X124,MAX(0,$E124-SUMIFS($V124:$AG124,'Calc base'!$C$17:$N$17,"&lt;"&amp;'Calc base'!E$17,'Calc base'!$C$14:$N$14,1))))</f>
        <v>0</v>
      </c>
      <c r="AK124">
        <f>IF('Calc base'!F$14=0,0,MIN(Y124,MAX(0,$E124-SUMIFS($V124:$AG124,'Calc base'!$C$17:$N$17,"&lt;"&amp;'Calc base'!F$17,'Calc base'!$C$14:$N$14,1))))</f>
        <v>0</v>
      </c>
      <c r="AL124">
        <f>IF('Calc base'!G$14=0,0,MIN(Z124,MAX(0,$E124-SUMIFS($V124:$AG124,'Calc base'!$C$17:$N$17,"&lt;"&amp;'Calc base'!G$17,'Calc base'!$C$14:$N$14,1))))</f>
        <v>0</v>
      </c>
      <c r="AM124">
        <f>IF('Calc base'!H$14=0,0,MIN(AA124,MAX(0,$E124-SUMIFS($V124:$AG124,'Calc base'!$C$17:$N$17,"&lt;"&amp;'Calc base'!H$17,'Calc base'!$C$14:$N$14,1))))</f>
        <v>0</v>
      </c>
      <c r="AN124">
        <f>IF('Calc base'!I$14=0,0,MIN(AB124,MAX(0,$E124-SUMIFS($V124:$AG124,'Calc base'!$C$17:$N$17,"&lt;"&amp;'Calc base'!I$17,'Calc base'!$C$14:$N$14,1))))</f>
        <v>0</v>
      </c>
      <c r="AO124">
        <f>IF('Calc base'!J$14=0,0,MIN(AC124,MAX(0,$E124-SUMIFS($V124:$AG124,'Calc base'!$C$17:$N$17,"&lt;"&amp;'Calc base'!J$17,'Calc base'!$C$14:$N$14,1))))</f>
        <v>0</v>
      </c>
      <c r="AP124">
        <f>IF('Calc base'!K$14=0,0,MIN(AD124,MAX(0,$E124-SUMIFS($V124:$AG124,'Calc base'!$C$17:$N$17,"&lt;"&amp;'Calc base'!K$17,'Calc base'!$C$14:$N$14,1))))</f>
        <v>0</v>
      </c>
      <c r="AQ124">
        <f>IF('Calc base'!L$14=0,0,MIN(AE124,MAX(0,$E124-SUMIFS($V124:$AG124,'Calc base'!$C$17:$N$17,"&lt;"&amp;'Calc base'!L$17,'Calc base'!$C$14:$N$14,1))))</f>
        <v>0</v>
      </c>
      <c r="AR124">
        <f>IF('Calc base'!M$14=0,0,MIN(AF124,MAX(0,$E124-SUMIFS($V124:$AG124,'Calc base'!$C$17:$N$17,"&lt;"&amp;'Calc base'!M$17,'Calc base'!$C$14:$N$14,1))))</f>
        <v>0</v>
      </c>
      <c r="AS124">
        <f>IF('Calc base'!N$14=0,0,MIN(AG124,MAX(0,$E124-SUMIFS($V124:$AG124,'Calc base'!$C$17:$N$17,"&lt;"&amp;'Calc base'!N$17,'Calc base'!$C$14:$N$14,1))))</f>
        <v>0</v>
      </c>
      <c r="AT124">
        <f>V124-AH124</f>
        <v>0</v>
      </c>
      <c r="AU124">
        <f>W124-AI124</f>
        <v>0</v>
      </c>
      <c r="AV124">
        <f>X124-AJ124</f>
        <v>0</v>
      </c>
      <c r="AW124">
        <f>Y124-AK124</f>
        <v>0</v>
      </c>
      <c r="AX124">
        <f>Z124-AL124</f>
        <v>0</v>
      </c>
      <c r="AY124">
        <f>AA124-AM124</f>
        <v>0</v>
      </c>
      <c r="AZ124">
        <f>AB124-AN124</f>
        <v>0</v>
      </c>
      <c r="BA124">
        <f>AC124-AO124</f>
        <v>0</v>
      </c>
      <c r="BB124">
        <f>AD124-AP124</f>
        <v>0</v>
      </c>
      <c r="BC124">
        <f>AE124-AQ124</f>
        <v>0</v>
      </c>
      <c r="BD124">
        <f>AF124-AR124</f>
        <v>0</v>
      </c>
      <c r="BE124">
        <f>AG124-AS124</f>
        <v>0</v>
      </c>
    </row>
    <row r="125">
      <c r="A125" t="n">
        <v>95</v>
      </c>
      <c r="B125">
        <f>SUMPRODUCT(ROUND($AT124:$BE124*(1+'Calc base'!$H125:$S125),2))</f>
        <v>0</v>
      </c>
      <c r="C125">
        <f>SUM(J125:U125)</f>
        <v>0</v>
      </c>
      <c r="D125">
        <f>SUM(V125:AG125)</f>
        <v>0</v>
      </c>
      <c r="E125">
        <f>MAX(0,IF(Impostazioni!$B$7="No",'Calc base'!$C125-$C$31,'Calc base'!$C125-C125)+'Calc base'!$G125+'Calc base'!$F125-(B125-C125-D125))</f>
        <v>900</v>
      </c>
      <c r="F125">
        <f>SUM(AH125:AS125)</f>
        <v>0</v>
      </c>
      <c r="G125">
        <f>SUM(AT125:BE125)</f>
        <v>0</v>
      </c>
      <c r="H125">
        <f>B125-G124</f>
        <v>0</v>
      </c>
      <c r="I125">
        <f>B125-G125</f>
        <v>0</v>
      </c>
      <c r="J125">
        <f>IF(AT124&lt;=0,0,IF(ROUND(AT124*(1+'Calc base'!H125),2)-MAX('Calc base'!C$12,ROUND('Calc base'!C$13*AT124,2))&lt;1,ROUND(AT124*(1+'Calc base'!H125),2),MAX('Calc base'!C$12,ROUND('Calc base'!C$13*AT124,2))))</f>
        <v>0</v>
      </c>
      <c r="K125">
        <f>IF(AU124&lt;=0,0,IF(ROUND(AU124*(1+'Calc base'!I125),2)-MAX('Calc base'!D$12,ROUND('Calc base'!D$13*AU124,2))&lt;1,ROUND(AU124*(1+'Calc base'!I125),2),MAX('Calc base'!D$12,ROUND('Calc base'!D$13*AU124,2))))</f>
        <v>0</v>
      </c>
      <c r="L125">
        <f>IF(AV124&lt;=0,0,IF(ROUND(AV124*(1+'Calc base'!J125),2)-MAX('Calc base'!E$12,ROUND('Calc base'!E$13*AV124,2))&lt;1,ROUND(AV124*(1+'Calc base'!J125),2),MAX('Calc base'!E$12,ROUND('Calc base'!E$13*AV124,2))))</f>
        <v>0</v>
      </c>
      <c r="M125">
        <f>IF(AW124&lt;=0,0,IF(ROUND(AW124*(1+'Calc base'!K125),2)-MAX('Calc base'!F$12,ROUND('Calc base'!F$13*AW124,2))&lt;1,ROUND(AW124*(1+'Calc base'!K125),2),MAX('Calc base'!F$12,ROUND('Calc base'!F$13*AW124,2))))</f>
        <v>0</v>
      </c>
      <c r="N125">
        <f>IF(AX124&lt;=0,0,IF(ROUND(AX124*(1+'Calc base'!L125),2)-MAX('Calc base'!G$12,ROUND('Calc base'!G$13*AX124,2))&lt;1,ROUND(AX124*(1+'Calc base'!L125),2),MAX('Calc base'!G$12,ROUND('Calc base'!G$13*AX124,2))))</f>
        <v>0</v>
      </c>
      <c r="O125">
        <f>IF(AY124&lt;=0,0,IF(ROUND(AY124*(1+'Calc base'!M125),2)-MAX('Calc base'!H$12,ROUND('Calc base'!H$13*AY124,2))&lt;1,ROUND(AY124*(1+'Calc base'!M125),2),MAX('Calc base'!H$12,ROUND('Calc base'!H$13*AY124,2))))</f>
        <v>0</v>
      </c>
      <c r="P125">
        <f>IF(AZ124&lt;=0,0,IF(ROUND(AZ124*(1+'Calc base'!N125),2)-MAX('Calc base'!I$12,ROUND('Calc base'!I$13*AZ124,2))&lt;1,ROUND(AZ124*(1+'Calc base'!N125),2),MAX('Calc base'!I$12,ROUND('Calc base'!I$13*AZ124,2))))</f>
        <v>0</v>
      </c>
      <c r="Q125">
        <f>IF(BA124&lt;=0,0,IF(ROUND(BA124*(1+'Calc base'!O125),2)-MAX('Calc base'!J$12,ROUND('Calc base'!J$13*BA124,2))&lt;1,ROUND(BA124*(1+'Calc base'!O125),2),MAX('Calc base'!J$12,ROUND('Calc base'!J$13*BA124,2))))</f>
        <v>0</v>
      </c>
      <c r="R125">
        <f>IF(BB124&lt;=0,0,IF(ROUND(BB124*(1+'Calc base'!P125),2)-MAX('Calc base'!K$12,ROUND('Calc base'!K$13*BB124,2))&lt;1,ROUND(BB124*(1+'Calc base'!P125),2),MAX('Calc base'!K$12,ROUND('Calc base'!K$13*BB124,2))))</f>
        <v>0</v>
      </c>
      <c r="S125">
        <f>IF(BC124&lt;=0,0,IF(ROUND(BC124*(1+'Calc base'!Q125),2)-MAX('Calc base'!L$12,ROUND('Calc base'!L$13*BC124,2))&lt;1,ROUND(BC124*(1+'Calc base'!Q125),2),MAX('Calc base'!L$12,ROUND('Calc base'!L$13*BC124,2))))</f>
        <v>0</v>
      </c>
      <c r="T125">
        <f>IF(BD124&lt;=0,0,IF(ROUND(BD124*(1+'Calc base'!R125),2)-MAX('Calc base'!M$12,ROUND('Calc base'!M$13*BD124,2))&lt;1,ROUND(BD124*(1+'Calc base'!R125),2),MAX('Calc base'!M$12,ROUND('Calc base'!M$13*BD124,2))))</f>
        <v>0</v>
      </c>
      <c r="U125">
        <f>IF(BE124&lt;=0,0,IF(ROUND(BE124*(1+'Calc base'!S125),2)-MAX('Calc base'!N$12,ROUND('Calc base'!N$13*BE124,2))&lt;1,ROUND(BE124*(1+'Calc base'!S125),2),MAX('Calc base'!N$12,ROUND('Calc base'!N$13*BE124,2))))</f>
        <v>0</v>
      </c>
      <c r="V125">
        <f>MAX(0,ROUND(AT124*(1+'Calc base'!H125),2)-J125-'Calc base'!T125)</f>
        <v>0</v>
      </c>
      <c r="W125">
        <f>MAX(0,ROUND(AU124*(1+'Calc base'!I125),2)-K125-'Calc base'!U125)</f>
        <v>0</v>
      </c>
      <c r="X125">
        <f>MAX(0,ROUND(AV124*(1+'Calc base'!J125),2)-L125-'Calc base'!V125)</f>
        <v>0</v>
      </c>
      <c r="Y125">
        <f>MAX(0,ROUND(AW124*(1+'Calc base'!K125),2)-M125-'Calc base'!W125)</f>
        <v>0</v>
      </c>
      <c r="Z125">
        <f>MAX(0,ROUND(AX124*(1+'Calc base'!L125),2)-N125-'Calc base'!X125)</f>
        <v>0</v>
      </c>
      <c r="AA125">
        <f>MAX(0,ROUND(AY124*(1+'Calc base'!M125),2)-O125-'Calc base'!Y125)</f>
        <v>0</v>
      </c>
      <c r="AB125">
        <f>MAX(0,ROUND(AZ124*(1+'Calc base'!N125),2)-P125-'Calc base'!Z125)</f>
        <v>0</v>
      </c>
      <c r="AC125">
        <f>MAX(0,ROUND(BA124*(1+'Calc base'!O125),2)-Q125-'Calc base'!AA125)</f>
        <v>0</v>
      </c>
      <c r="AD125">
        <f>MAX(0,ROUND(BB124*(1+'Calc base'!P125),2)-R125-'Calc base'!AB125)</f>
        <v>0</v>
      </c>
      <c r="AE125">
        <f>MAX(0,ROUND(BC124*(1+'Calc base'!Q125),2)-S125-'Calc base'!AC125)</f>
        <v>0</v>
      </c>
      <c r="AF125">
        <f>MAX(0,ROUND(BD124*(1+'Calc base'!R125),2)-T125-'Calc base'!AD125)</f>
        <v>0</v>
      </c>
      <c r="AG125">
        <f>MAX(0,ROUND(BE124*(1+'Calc base'!S125),2)-U125-'Calc base'!AE125)</f>
        <v>0</v>
      </c>
      <c r="AH125">
        <f>IF('Calc base'!C$14=0,0,MIN(V125,MAX(0,$E125-SUMIFS($V125:$AG125,'Calc base'!$C$17:$N$17,"&lt;"&amp;'Calc base'!C$17,'Calc base'!$C$14:$N$14,1))))</f>
        <v>0</v>
      </c>
      <c r="AI125">
        <f>IF('Calc base'!D$14=0,0,MIN(W125,MAX(0,$E125-SUMIFS($V125:$AG125,'Calc base'!$C$17:$N$17,"&lt;"&amp;'Calc base'!D$17,'Calc base'!$C$14:$N$14,1))))</f>
        <v>0</v>
      </c>
      <c r="AJ125">
        <f>IF('Calc base'!E$14=0,0,MIN(X125,MAX(0,$E125-SUMIFS($V125:$AG125,'Calc base'!$C$17:$N$17,"&lt;"&amp;'Calc base'!E$17,'Calc base'!$C$14:$N$14,1))))</f>
        <v>0</v>
      </c>
      <c r="AK125">
        <f>IF('Calc base'!F$14=0,0,MIN(Y125,MAX(0,$E125-SUMIFS($V125:$AG125,'Calc base'!$C$17:$N$17,"&lt;"&amp;'Calc base'!F$17,'Calc base'!$C$14:$N$14,1))))</f>
        <v>0</v>
      </c>
      <c r="AL125">
        <f>IF('Calc base'!G$14=0,0,MIN(Z125,MAX(0,$E125-SUMIFS($V125:$AG125,'Calc base'!$C$17:$N$17,"&lt;"&amp;'Calc base'!G$17,'Calc base'!$C$14:$N$14,1))))</f>
        <v>0</v>
      </c>
      <c r="AM125">
        <f>IF('Calc base'!H$14=0,0,MIN(AA125,MAX(0,$E125-SUMIFS($V125:$AG125,'Calc base'!$C$17:$N$17,"&lt;"&amp;'Calc base'!H$17,'Calc base'!$C$14:$N$14,1))))</f>
        <v>0</v>
      </c>
      <c r="AN125">
        <f>IF('Calc base'!I$14=0,0,MIN(AB125,MAX(0,$E125-SUMIFS($V125:$AG125,'Calc base'!$C$17:$N$17,"&lt;"&amp;'Calc base'!I$17,'Calc base'!$C$14:$N$14,1))))</f>
        <v>0</v>
      </c>
      <c r="AO125">
        <f>IF('Calc base'!J$14=0,0,MIN(AC125,MAX(0,$E125-SUMIFS($V125:$AG125,'Calc base'!$C$17:$N$17,"&lt;"&amp;'Calc base'!J$17,'Calc base'!$C$14:$N$14,1))))</f>
        <v>0</v>
      </c>
      <c r="AP125">
        <f>IF('Calc base'!K$14=0,0,MIN(AD125,MAX(0,$E125-SUMIFS($V125:$AG125,'Calc base'!$C$17:$N$17,"&lt;"&amp;'Calc base'!K$17,'Calc base'!$C$14:$N$14,1))))</f>
        <v>0</v>
      </c>
      <c r="AQ125">
        <f>IF('Calc base'!L$14=0,0,MIN(AE125,MAX(0,$E125-SUMIFS($V125:$AG125,'Calc base'!$C$17:$N$17,"&lt;"&amp;'Calc base'!L$17,'Calc base'!$C$14:$N$14,1))))</f>
        <v>0</v>
      </c>
      <c r="AR125">
        <f>IF('Calc base'!M$14=0,0,MIN(AF125,MAX(0,$E125-SUMIFS($V125:$AG125,'Calc base'!$C$17:$N$17,"&lt;"&amp;'Calc base'!M$17,'Calc base'!$C$14:$N$14,1))))</f>
        <v>0</v>
      </c>
      <c r="AS125">
        <f>IF('Calc base'!N$14=0,0,MIN(AG125,MAX(0,$E125-SUMIFS($V125:$AG125,'Calc base'!$C$17:$N$17,"&lt;"&amp;'Calc base'!N$17,'Calc base'!$C$14:$N$14,1))))</f>
        <v>0</v>
      </c>
      <c r="AT125">
        <f>V125-AH125</f>
        <v>0</v>
      </c>
      <c r="AU125">
        <f>W125-AI125</f>
        <v>0</v>
      </c>
      <c r="AV125">
        <f>X125-AJ125</f>
        <v>0</v>
      </c>
      <c r="AW125">
        <f>Y125-AK125</f>
        <v>0</v>
      </c>
      <c r="AX125">
        <f>Z125-AL125</f>
        <v>0</v>
      </c>
      <c r="AY125">
        <f>AA125-AM125</f>
        <v>0</v>
      </c>
      <c r="AZ125">
        <f>AB125-AN125</f>
        <v>0</v>
      </c>
      <c r="BA125">
        <f>AC125-AO125</f>
        <v>0</v>
      </c>
      <c r="BB125">
        <f>AD125-AP125</f>
        <v>0</v>
      </c>
      <c r="BC125">
        <f>AE125-AQ125</f>
        <v>0</v>
      </c>
      <c r="BD125">
        <f>AF125-AR125</f>
        <v>0</v>
      </c>
      <c r="BE125">
        <f>AG125-AS125</f>
        <v>0</v>
      </c>
    </row>
    <row r="126">
      <c r="A126" t="n">
        <v>96</v>
      </c>
      <c r="B126">
        <f>SUMPRODUCT(ROUND($AT125:$BE125*(1+'Calc base'!$H126:$S126),2))</f>
        <v>0</v>
      </c>
      <c r="C126">
        <f>SUM(J126:U126)</f>
        <v>0</v>
      </c>
      <c r="D126">
        <f>SUM(V126:AG126)</f>
        <v>0</v>
      </c>
      <c r="E126">
        <f>MAX(0,IF(Impostazioni!$B$7="No",'Calc base'!$C126-$C$31,'Calc base'!$C126-C126)+'Calc base'!$G126+'Calc base'!$F126-(B126-C126-D126))</f>
        <v>900</v>
      </c>
      <c r="F126">
        <f>SUM(AH126:AS126)</f>
        <v>0</v>
      </c>
      <c r="G126">
        <f>SUM(AT126:BE126)</f>
        <v>0</v>
      </c>
      <c r="H126">
        <f>B126-G125</f>
        <v>0</v>
      </c>
      <c r="I126">
        <f>B126-G126</f>
        <v>0</v>
      </c>
      <c r="J126">
        <f>IF(AT125&lt;=0,0,IF(ROUND(AT125*(1+'Calc base'!H126),2)-MAX('Calc base'!C$12,ROUND('Calc base'!C$13*AT125,2))&lt;1,ROUND(AT125*(1+'Calc base'!H126),2),MAX('Calc base'!C$12,ROUND('Calc base'!C$13*AT125,2))))</f>
        <v>0</v>
      </c>
      <c r="K126">
        <f>IF(AU125&lt;=0,0,IF(ROUND(AU125*(1+'Calc base'!I126),2)-MAX('Calc base'!D$12,ROUND('Calc base'!D$13*AU125,2))&lt;1,ROUND(AU125*(1+'Calc base'!I126),2),MAX('Calc base'!D$12,ROUND('Calc base'!D$13*AU125,2))))</f>
        <v>0</v>
      </c>
      <c r="L126">
        <f>IF(AV125&lt;=0,0,IF(ROUND(AV125*(1+'Calc base'!J126),2)-MAX('Calc base'!E$12,ROUND('Calc base'!E$13*AV125,2))&lt;1,ROUND(AV125*(1+'Calc base'!J126),2),MAX('Calc base'!E$12,ROUND('Calc base'!E$13*AV125,2))))</f>
        <v>0</v>
      </c>
      <c r="M126">
        <f>IF(AW125&lt;=0,0,IF(ROUND(AW125*(1+'Calc base'!K126),2)-MAX('Calc base'!F$12,ROUND('Calc base'!F$13*AW125,2))&lt;1,ROUND(AW125*(1+'Calc base'!K126),2),MAX('Calc base'!F$12,ROUND('Calc base'!F$13*AW125,2))))</f>
        <v>0</v>
      </c>
      <c r="N126">
        <f>IF(AX125&lt;=0,0,IF(ROUND(AX125*(1+'Calc base'!L126),2)-MAX('Calc base'!G$12,ROUND('Calc base'!G$13*AX125,2))&lt;1,ROUND(AX125*(1+'Calc base'!L126),2),MAX('Calc base'!G$12,ROUND('Calc base'!G$13*AX125,2))))</f>
        <v>0</v>
      </c>
      <c r="O126">
        <f>IF(AY125&lt;=0,0,IF(ROUND(AY125*(1+'Calc base'!M126),2)-MAX('Calc base'!H$12,ROUND('Calc base'!H$13*AY125,2))&lt;1,ROUND(AY125*(1+'Calc base'!M126),2),MAX('Calc base'!H$12,ROUND('Calc base'!H$13*AY125,2))))</f>
        <v>0</v>
      </c>
      <c r="P126">
        <f>IF(AZ125&lt;=0,0,IF(ROUND(AZ125*(1+'Calc base'!N126),2)-MAX('Calc base'!I$12,ROUND('Calc base'!I$13*AZ125,2))&lt;1,ROUND(AZ125*(1+'Calc base'!N126),2),MAX('Calc base'!I$12,ROUND('Calc base'!I$13*AZ125,2))))</f>
        <v>0</v>
      </c>
      <c r="Q126">
        <f>IF(BA125&lt;=0,0,IF(ROUND(BA125*(1+'Calc base'!O126),2)-MAX('Calc base'!J$12,ROUND('Calc base'!J$13*BA125,2))&lt;1,ROUND(BA125*(1+'Calc base'!O126),2),MAX('Calc base'!J$12,ROUND('Calc base'!J$13*BA125,2))))</f>
        <v>0</v>
      </c>
      <c r="R126">
        <f>IF(BB125&lt;=0,0,IF(ROUND(BB125*(1+'Calc base'!P126),2)-MAX('Calc base'!K$12,ROUND('Calc base'!K$13*BB125,2))&lt;1,ROUND(BB125*(1+'Calc base'!P126),2),MAX('Calc base'!K$12,ROUND('Calc base'!K$13*BB125,2))))</f>
        <v>0</v>
      </c>
      <c r="S126">
        <f>IF(BC125&lt;=0,0,IF(ROUND(BC125*(1+'Calc base'!Q126),2)-MAX('Calc base'!L$12,ROUND('Calc base'!L$13*BC125,2))&lt;1,ROUND(BC125*(1+'Calc base'!Q126),2),MAX('Calc base'!L$12,ROUND('Calc base'!L$13*BC125,2))))</f>
        <v>0</v>
      </c>
      <c r="T126">
        <f>IF(BD125&lt;=0,0,IF(ROUND(BD125*(1+'Calc base'!R126),2)-MAX('Calc base'!M$12,ROUND('Calc base'!M$13*BD125,2))&lt;1,ROUND(BD125*(1+'Calc base'!R126),2),MAX('Calc base'!M$12,ROUND('Calc base'!M$13*BD125,2))))</f>
        <v>0</v>
      </c>
      <c r="U126">
        <f>IF(BE125&lt;=0,0,IF(ROUND(BE125*(1+'Calc base'!S126),2)-MAX('Calc base'!N$12,ROUND('Calc base'!N$13*BE125,2))&lt;1,ROUND(BE125*(1+'Calc base'!S126),2),MAX('Calc base'!N$12,ROUND('Calc base'!N$13*BE125,2))))</f>
        <v>0</v>
      </c>
      <c r="V126">
        <f>MAX(0,ROUND(AT125*(1+'Calc base'!H126),2)-J126-'Calc base'!T126)</f>
        <v>0</v>
      </c>
      <c r="W126">
        <f>MAX(0,ROUND(AU125*(1+'Calc base'!I126),2)-K126-'Calc base'!U126)</f>
        <v>0</v>
      </c>
      <c r="X126">
        <f>MAX(0,ROUND(AV125*(1+'Calc base'!J126),2)-L126-'Calc base'!V126)</f>
        <v>0</v>
      </c>
      <c r="Y126">
        <f>MAX(0,ROUND(AW125*(1+'Calc base'!K126),2)-M126-'Calc base'!W126)</f>
        <v>0</v>
      </c>
      <c r="Z126">
        <f>MAX(0,ROUND(AX125*(1+'Calc base'!L126),2)-N126-'Calc base'!X126)</f>
        <v>0</v>
      </c>
      <c r="AA126">
        <f>MAX(0,ROUND(AY125*(1+'Calc base'!M126),2)-O126-'Calc base'!Y126)</f>
        <v>0</v>
      </c>
      <c r="AB126">
        <f>MAX(0,ROUND(AZ125*(1+'Calc base'!N126),2)-P126-'Calc base'!Z126)</f>
        <v>0</v>
      </c>
      <c r="AC126">
        <f>MAX(0,ROUND(BA125*(1+'Calc base'!O126),2)-Q126-'Calc base'!AA126)</f>
        <v>0</v>
      </c>
      <c r="AD126">
        <f>MAX(0,ROUND(BB125*(1+'Calc base'!P126),2)-R126-'Calc base'!AB126)</f>
        <v>0</v>
      </c>
      <c r="AE126">
        <f>MAX(0,ROUND(BC125*(1+'Calc base'!Q126),2)-S126-'Calc base'!AC126)</f>
        <v>0</v>
      </c>
      <c r="AF126">
        <f>MAX(0,ROUND(BD125*(1+'Calc base'!R126),2)-T126-'Calc base'!AD126)</f>
        <v>0</v>
      </c>
      <c r="AG126">
        <f>MAX(0,ROUND(BE125*(1+'Calc base'!S126),2)-U126-'Calc base'!AE126)</f>
        <v>0</v>
      </c>
      <c r="AH126">
        <f>IF('Calc base'!C$14=0,0,MIN(V126,MAX(0,$E126-SUMIFS($V126:$AG126,'Calc base'!$C$17:$N$17,"&lt;"&amp;'Calc base'!C$17,'Calc base'!$C$14:$N$14,1))))</f>
        <v>0</v>
      </c>
      <c r="AI126">
        <f>IF('Calc base'!D$14=0,0,MIN(W126,MAX(0,$E126-SUMIFS($V126:$AG126,'Calc base'!$C$17:$N$17,"&lt;"&amp;'Calc base'!D$17,'Calc base'!$C$14:$N$14,1))))</f>
        <v>0</v>
      </c>
      <c r="AJ126">
        <f>IF('Calc base'!E$14=0,0,MIN(X126,MAX(0,$E126-SUMIFS($V126:$AG126,'Calc base'!$C$17:$N$17,"&lt;"&amp;'Calc base'!E$17,'Calc base'!$C$14:$N$14,1))))</f>
        <v>0</v>
      </c>
      <c r="AK126">
        <f>IF('Calc base'!F$14=0,0,MIN(Y126,MAX(0,$E126-SUMIFS($V126:$AG126,'Calc base'!$C$17:$N$17,"&lt;"&amp;'Calc base'!F$17,'Calc base'!$C$14:$N$14,1))))</f>
        <v>0</v>
      </c>
      <c r="AL126">
        <f>IF('Calc base'!G$14=0,0,MIN(Z126,MAX(0,$E126-SUMIFS($V126:$AG126,'Calc base'!$C$17:$N$17,"&lt;"&amp;'Calc base'!G$17,'Calc base'!$C$14:$N$14,1))))</f>
        <v>0</v>
      </c>
      <c r="AM126">
        <f>IF('Calc base'!H$14=0,0,MIN(AA126,MAX(0,$E126-SUMIFS($V126:$AG126,'Calc base'!$C$17:$N$17,"&lt;"&amp;'Calc base'!H$17,'Calc base'!$C$14:$N$14,1))))</f>
        <v>0</v>
      </c>
      <c r="AN126">
        <f>IF('Calc base'!I$14=0,0,MIN(AB126,MAX(0,$E126-SUMIFS($V126:$AG126,'Calc base'!$C$17:$N$17,"&lt;"&amp;'Calc base'!I$17,'Calc base'!$C$14:$N$14,1))))</f>
        <v>0</v>
      </c>
      <c r="AO126">
        <f>IF('Calc base'!J$14=0,0,MIN(AC126,MAX(0,$E126-SUMIFS($V126:$AG126,'Calc base'!$C$17:$N$17,"&lt;"&amp;'Calc base'!J$17,'Calc base'!$C$14:$N$14,1))))</f>
        <v>0</v>
      </c>
      <c r="AP126">
        <f>IF('Calc base'!K$14=0,0,MIN(AD126,MAX(0,$E126-SUMIFS($V126:$AG126,'Calc base'!$C$17:$N$17,"&lt;"&amp;'Calc base'!K$17,'Calc base'!$C$14:$N$14,1))))</f>
        <v>0</v>
      </c>
      <c r="AQ126">
        <f>IF('Calc base'!L$14=0,0,MIN(AE126,MAX(0,$E126-SUMIFS($V126:$AG126,'Calc base'!$C$17:$N$17,"&lt;"&amp;'Calc base'!L$17,'Calc base'!$C$14:$N$14,1))))</f>
        <v>0</v>
      </c>
      <c r="AR126">
        <f>IF('Calc base'!M$14=0,0,MIN(AF126,MAX(0,$E126-SUMIFS($V126:$AG126,'Calc base'!$C$17:$N$17,"&lt;"&amp;'Calc base'!M$17,'Calc base'!$C$14:$N$14,1))))</f>
        <v>0</v>
      </c>
      <c r="AS126">
        <f>IF('Calc base'!N$14=0,0,MIN(AG126,MAX(0,$E126-SUMIFS($V126:$AG126,'Calc base'!$C$17:$N$17,"&lt;"&amp;'Calc base'!N$17,'Calc base'!$C$14:$N$14,1))))</f>
        <v>0</v>
      </c>
      <c r="AT126">
        <f>V126-AH126</f>
        <v>0</v>
      </c>
      <c r="AU126">
        <f>W126-AI126</f>
        <v>0</v>
      </c>
      <c r="AV126">
        <f>X126-AJ126</f>
        <v>0</v>
      </c>
      <c r="AW126">
        <f>Y126-AK126</f>
        <v>0</v>
      </c>
      <c r="AX126">
        <f>Z126-AL126</f>
        <v>0</v>
      </c>
      <c r="AY126">
        <f>AA126-AM126</f>
        <v>0</v>
      </c>
      <c r="AZ126">
        <f>AB126-AN126</f>
        <v>0</v>
      </c>
      <c r="BA126">
        <f>AC126-AO126</f>
        <v>0</v>
      </c>
      <c r="BB126">
        <f>AD126-AP126</f>
        <v>0</v>
      </c>
      <c r="BC126">
        <f>AE126-AQ126</f>
        <v>0</v>
      </c>
      <c r="BD126">
        <f>AF126-AR126</f>
        <v>0</v>
      </c>
      <c r="BE126">
        <f>AG126-AS126</f>
        <v>0</v>
      </c>
    </row>
    <row r="127">
      <c r="A127" t="n">
        <v>97</v>
      </c>
      <c r="B127">
        <f>SUMPRODUCT(ROUND($AT126:$BE126*(1+'Calc base'!$H127:$S127),2))</f>
        <v>0</v>
      </c>
      <c r="C127">
        <f>SUM(J127:U127)</f>
        <v>0</v>
      </c>
      <c r="D127">
        <f>SUM(V127:AG127)</f>
        <v>0</v>
      </c>
      <c r="E127">
        <f>MAX(0,IF(Impostazioni!$B$7="No",'Calc base'!$C127-$C$31,'Calc base'!$C127-C127)+'Calc base'!$G127+'Calc base'!$F127-(B127-C127-D127))</f>
        <v>900</v>
      </c>
      <c r="F127">
        <f>SUM(AH127:AS127)</f>
        <v>0</v>
      </c>
      <c r="G127">
        <f>SUM(AT127:BE127)</f>
        <v>0</v>
      </c>
      <c r="H127">
        <f>B127-G126</f>
        <v>0</v>
      </c>
      <c r="I127">
        <f>B127-G127</f>
        <v>0</v>
      </c>
      <c r="J127">
        <f>IF(AT126&lt;=0,0,IF(ROUND(AT126*(1+'Calc base'!H127),2)-MAX('Calc base'!C$12,ROUND('Calc base'!C$13*AT126,2))&lt;1,ROUND(AT126*(1+'Calc base'!H127),2),MAX('Calc base'!C$12,ROUND('Calc base'!C$13*AT126,2))))</f>
        <v>0</v>
      </c>
      <c r="K127">
        <f>IF(AU126&lt;=0,0,IF(ROUND(AU126*(1+'Calc base'!I127),2)-MAX('Calc base'!D$12,ROUND('Calc base'!D$13*AU126,2))&lt;1,ROUND(AU126*(1+'Calc base'!I127),2),MAX('Calc base'!D$12,ROUND('Calc base'!D$13*AU126,2))))</f>
        <v>0</v>
      </c>
      <c r="L127">
        <f>IF(AV126&lt;=0,0,IF(ROUND(AV126*(1+'Calc base'!J127),2)-MAX('Calc base'!E$12,ROUND('Calc base'!E$13*AV126,2))&lt;1,ROUND(AV126*(1+'Calc base'!J127),2),MAX('Calc base'!E$12,ROUND('Calc base'!E$13*AV126,2))))</f>
        <v>0</v>
      </c>
      <c r="M127">
        <f>IF(AW126&lt;=0,0,IF(ROUND(AW126*(1+'Calc base'!K127),2)-MAX('Calc base'!F$12,ROUND('Calc base'!F$13*AW126,2))&lt;1,ROUND(AW126*(1+'Calc base'!K127),2),MAX('Calc base'!F$12,ROUND('Calc base'!F$13*AW126,2))))</f>
        <v>0</v>
      </c>
      <c r="N127">
        <f>IF(AX126&lt;=0,0,IF(ROUND(AX126*(1+'Calc base'!L127),2)-MAX('Calc base'!G$12,ROUND('Calc base'!G$13*AX126,2))&lt;1,ROUND(AX126*(1+'Calc base'!L127),2),MAX('Calc base'!G$12,ROUND('Calc base'!G$13*AX126,2))))</f>
        <v>0</v>
      </c>
      <c r="O127">
        <f>IF(AY126&lt;=0,0,IF(ROUND(AY126*(1+'Calc base'!M127),2)-MAX('Calc base'!H$12,ROUND('Calc base'!H$13*AY126,2))&lt;1,ROUND(AY126*(1+'Calc base'!M127),2),MAX('Calc base'!H$12,ROUND('Calc base'!H$13*AY126,2))))</f>
        <v>0</v>
      </c>
      <c r="P127">
        <f>IF(AZ126&lt;=0,0,IF(ROUND(AZ126*(1+'Calc base'!N127),2)-MAX('Calc base'!I$12,ROUND('Calc base'!I$13*AZ126,2))&lt;1,ROUND(AZ126*(1+'Calc base'!N127),2),MAX('Calc base'!I$12,ROUND('Calc base'!I$13*AZ126,2))))</f>
        <v>0</v>
      </c>
      <c r="Q127">
        <f>IF(BA126&lt;=0,0,IF(ROUND(BA126*(1+'Calc base'!O127),2)-MAX('Calc base'!J$12,ROUND('Calc base'!J$13*BA126,2))&lt;1,ROUND(BA126*(1+'Calc base'!O127),2),MAX('Calc base'!J$12,ROUND('Calc base'!J$13*BA126,2))))</f>
        <v>0</v>
      </c>
      <c r="R127">
        <f>IF(BB126&lt;=0,0,IF(ROUND(BB126*(1+'Calc base'!P127),2)-MAX('Calc base'!K$12,ROUND('Calc base'!K$13*BB126,2))&lt;1,ROUND(BB126*(1+'Calc base'!P127),2),MAX('Calc base'!K$12,ROUND('Calc base'!K$13*BB126,2))))</f>
        <v>0</v>
      </c>
      <c r="S127">
        <f>IF(BC126&lt;=0,0,IF(ROUND(BC126*(1+'Calc base'!Q127),2)-MAX('Calc base'!L$12,ROUND('Calc base'!L$13*BC126,2))&lt;1,ROUND(BC126*(1+'Calc base'!Q127),2),MAX('Calc base'!L$12,ROUND('Calc base'!L$13*BC126,2))))</f>
        <v>0</v>
      </c>
      <c r="T127">
        <f>IF(BD126&lt;=0,0,IF(ROUND(BD126*(1+'Calc base'!R127),2)-MAX('Calc base'!M$12,ROUND('Calc base'!M$13*BD126,2))&lt;1,ROUND(BD126*(1+'Calc base'!R127),2),MAX('Calc base'!M$12,ROUND('Calc base'!M$13*BD126,2))))</f>
        <v>0</v>
      </c>
      <c r="U127">
        <f>IF(BE126&lt;=0,0,IF(ROUND(BE126*(1+'Calc base'!S127),2)-MAX('Calc base'!N$12,ROUND('Calc base'!N$13*BE126,2))&lt;1,ROUND(BE126*(1+'Calc base'!S127),2),MAX('Calc base'!N$12,ROUND('Calc base'!N$13*BE126,2))))</f>
        <v>0</v>
      </c>
      <c r="V127">
        <f>MAX(0,ROUND(AT126*(1+'Calc base'!H127),2)-J127-'Calc base'!T127)</f>
        <v>0</v>
      </c>
      <c r="W127">
        <f>MAX(0,ROUND(AU126*(1+'Calc base'!I127),2)-K127-'Calc base'!U127)</f>
        <v>0</v>
      </c>
      <c r="X127">
        <f>MAX(0,ROUND(AV126*(1+'Calc base'!J127),2)-L127-'Calc base'!V127)</f>
        <v>0</v>
      </c>
      <c r="Y127">
        <f>MAX(0,ROUND(AW126*(1+'Calc base'!K127),2)-M127-'Calc base'!W127)</f>
        <v>0</v>
      </c>
      <c r="Z127">
        <f>MAX(0,ROUND(AX126*(1+'Calc base'!L127),2)-N127-'Calc base'!X127)</f>
        <v>0</v>
      </c>
      <c r="AA127">
        <f>MAX(0,ROUND(AY126*(1+'Calc base'!M127),2)-O127-'Calc base'!Y127)</f>
        <v>0</v>
      </c>
      <c r="AB127">
        <f>MAX(0,ROUND(AZ126*(1+'Calc base'!N127),2)-P127-'Calc base'!Z127)</f>
        <v>0</v>
      </c>
      <c r="AC127">
        <f>MAX(0,ROUND(BA126*(1+'Calc base'!O127),2)-Q127-'Calc base'!AA127)</f>
        <v>0</v>
      </c>
      <c r="AD127">
        <f>MAX(0,ROUND(BB126*(1+'Calc base'!P127),2)-R127-'Calc base'!AB127)</f>
        <v>0</v>
      </c>
      <c r="AE127">
        <f>MAX(0,ROUND(BC126*(1+'Calc base'!Q127),2)-S127-'Calc base'!AC127)</f>
        <v>0</v>
      </c>
      <c r="AF127">
        <f>MAX(0,ROUND(BD126*(1+'Calc base'!R127),2)-T127-'Calc base'!AD127)</f>
        <v>0</v>
      </c>
      <c r="AG127">
        <f>MAX(0,ROUND(BE126*(1+'Calc base'!S127),2)-U127-'Calc base'!AE127)</f>
        <v>0</v>
      </c>
      <c r="AH127">
        <f>IF('Calc base'!C$14=0,0,MIN(V127,MAX(0,$E127-SUMIFS($V127:$AG127,'Calc base'!$C$17:$N$17,"&lt;"&amp;'Calc base'!C$17,'Calc base'!$C$14:$N$14,1))))</f>
        <v>0</v>
      </c>
      <c r="AI127">
        <f>IF('Calc base'!D$14=0,0,MIN(W127,MAX(0,$E127-SUMIFS($V127:$AG127,'Calc base'!$C$17:$N$17,"&lt;"&amp;'Calc base'!D$17,'Calc base'!$C$14:$N$14,1))))</f>
        <v>0</v>
      </c>
      <c r="AJ127">
        <f>IF('Calc base'!E$14=0,0,MIN(X127,MAX(0,$E127-SUMIFS($V127:$AG127,'Calc base'!$C$17:$N$17,"&lt;"&amp;'Calc base'!E$17,'Calc base'!$C$14:$N$14,1))))</f>
        <v>0</v>
      </c>
      <c r="AK127">
        <f>IF('Calc base'!F$14=0,0,MIN(Y127,MAX(0,$E127-SUMIFS($V127:$AG127,'Calc base'!$C$17:$N$17,"&lt;"&amp;'Calc base'!F$17,'Calc base'!$C$14:$N$14,1))))</f>
        <v>0</v>
      </c>
      <c r="AL127">
        <f>IF('Calc base'!G$14=0,0,MIN(Z127,MAX(0,$E127-SUMIFS($V127:$AG127,'Calc base'!$C$17:$N$17,"&lt;"&amp;'Calc base'!G$17,'Calc base'!$C$14:$N$14,1))))</f>
        <v>0</v>
      </c>
      <c r="AM127">
        <f>IF('Calc base'!H$14=0,0,MIN(AA127,MAX(0,$E127-SUMIFS($V127:$AG127,'Calc base'!$C$17:$N$17,"&lt;"&amp;'Calc base'!H$17,'Calc base'!$C$14:$N$14,1))))</f>
        <v>0</v>
      </c>
      <c r="AN127">
        <f>IF('Calc base'!I$14=0,0,MIN(AB127,MAX(0,$E127-SUMIFS($V127:$AG127,'Calc base'!$C$17:$N$17,"&lt;"&amp;'Calc base'!I$17,'Calc base'!$C$14:$N$14,1))))</f>
        <v>0</v>
      </c>
      <c r="AO127">
        <f>IF('Calc base'!J$14=0,0,MIN(AC127,MAX(0,$E127-SUMIFS($V127:$AG127,'Calc base'!$C$17:$N$17,"&lt;"&amp;'Calc base'!J$17,'Calc base'!$C$14:$N$14,1))))</f>
        <v>0</v>
      </c>
      <c r="AP127">
        <f>IF('Calc base'!K$14=0,0,MIN(AD127,MAX(0,$E127-SUMIFS($V127:$AG127,'Calc base'!$C$17:$N$17,"&lt;"&amp;'Calc base'!K$17,'Calc base'!$C$14:$N$14,1))))</f>
        <v>0</v>
      </c>
      <c r="AQ127">
        <f>IF('Calc base'!L$14=0,0,MIN(AE127,MAX(0,$E127-SUMIFS($V127:$AG127,'Calc base'!$C$17:$N$17,"&lt;"&amp;'Calc base'!L$17,'Calc base'!$C$14:$N$14,1))))</f>
        <v>0</v>
      </c>
      <c r="AR127">
        <f>IF('Calc base'!M$14=0,0,MIN(AF127,MAX(0,$E127-SUMIFS($V127:$AG127,'Calc base'!$C$17:$N$17,"&lt;"&amp;'Calc base'!M$17,'Calc base'!$C$14:$N$14,1))))</f>
        <v>0</v>
      </c>
      <c r="AS127">
        <f>IF('Calc base'!N$14=0,0,MIN(AG127,MAX(0,$E127-SUMIFS($V127:$AG127,'Calc base'!$C$17:$N$17,"&lt;"&amp;'Calc base'!N$17,'Calc base'!$C$14:$N$14,1))))</f>
        <v>0</v>
      </c>
      <c r="AT127">
        <f>V127-AH127</f>
        <v>0</v>
      </c>
      <c r="AU127">
        <f>W127-AI127</f>
        <v>0</v>
      </c>
      <c r="AV127">
        <f>X127-AJ127</f>
        <v>0</v>
      </c>
      <c r="AW127">
        <f>Y127-AK127</f>
        <v>0</v>
      </c>
      <c r="AX127">
        <f>Z127-AL127</f>
        <v>0</v>
      </c>
      <c r="AY127">
        <f>AA127-AM127</f>
        <v>0</v>
      </c>
      <c r="AZ127">
        <f>AB127-AN127</f>
        <v>0</v>
      </c>
      <c r="BA127">
        <f>AC127-AO127</f>
        <v>0</v>
      </c>
      <c r="BB127">
        <f>AD127-AP127</f>
        <v>0</v>
      </c>
      <c r="BC127">
        <f>AE127-AQ127</f>
        <v>0</v>
      </c>
      <c r="BD127">
        <f>AF127-AR127</f>
        <v>0</v>
      </c>
      <c r="BE127">
        <f>AG127-AS127</f>
        <v>0</v>
      </c>
    </row>
    <row r="128">
      <c r="A128" t="n">
        <v>98</v>
      </c>
      <c r="B128">
        <f>SUMPRODUCT(ROUND($AT127:$BE127*(1+'Calc base'!$H128:$S128),2))</f>
        <v>0</v>
      </c>
      <c r="C128">
        <f>SUM(J128:U128)</f>
        <v>0</v>
      </c>
      <c r="D128">
        <f>SUM(V128:AG128)</f>
        <v>0</v>
      </c>
      <c r="E128">
        <f>MAX(0,IF(Impostazioni!$B$7="No",'Calc base'!$C128-$C$31,'Calc base'!$C128-C128)+'Calc base'!$G128+'Calc base'!$F128-(B128-C128-D128))</f>
        <v>900</v>
      </c>
      <c r="F128">
        <f>SUM(AH128:AS128)</f>
        <v>0</v>
      </c>
      <c r="G128">
        <f>SUM(AT128:BE128)</f>
        <v>0</v>
      </c>
      <c r="H128">
        <f>B128-G127</f>
        <v>0</v>
      </c>
      <c r="I128">
        <f>B128-G128</f>
        <v>0</v>
      </c>
      <c r="J128">
        <f>IF(AT127&lt;=0,0,IF(ROUND(AT127*(1+'Calc base'!H128),2)-MAX('Calc base'!C$12,ROUND('Calc base'!C$13*AT127,2))&lt;1,ROUND(AT127*(1+'Calc base'!H128),2),MAX('Calc base'!C$12,ROUND('Calc base'!C$13*AT127,2))))</f>
        <v>0</v>
      </c>
      <c r="K128">
        <f>IF(AU127&lt;=0,0,IF(ROUND(AU127*(1+'Calc base'!I128),2)-MAX('Calc base'!D$12,ROUND('Calc base'!D$13*AU127,2))&lt;1,ROUND(AU127*(1+'Calc base'!I128),2),MAX('Calc base'!D$12,ROUND('Calc base'!D$13*AU127,2))))</f>
        <v>0</v>
      </c>
      <c r="L128">
        <f>IF(AV127&lt;=0,0,IF(ROUND(AV127*(1+'Calc base'!J128),2)-MAX('Calc base'!E$12,ROUND('Calc base'!E$13*AV127,2))&lt;1,ROUND(AV127*(1+'Calc base'!J128),2),MAX('Calc base'!E$12,ROUND('Calc base'!E$13*AV127,2))))</f>
        <v>0</v>
      </c>
      <c r="M128">
        <f>IF(AW127&lt;=0,0,IF(ROUND(AW127*(1+'Calc base'!K128),2)-MAX('Calc base'!F$12,ROUND('Calc base'!F$13*AW127,2))&lt;1,ROUND(AW127*(1+'Calc base'!K128),2),MAX('Calc base'!F$12,ROUND('Calc base'!F$13*AW127,2))))</f>
        <v>0</v>
      </c>
      <c r="N128">
        <f>IF(AX127&lt;=0,0,IF(ROUND(AX127*(1+'Calc base'!L128),2)-MAX('Calc base'!G$12,ROUND('Calc base'!G$13*AX127,2))&lt;1,ROUND(AX127*(1+'Calc base'!L128),2),MAX('Calc base'!G$12,ROUND('Calc base'!G$13*AX127,2))))</f>
        <v>0</v>
      </c>
      <c r="O128">
        <f>IF(AY127&lt;=0,0,IF(ROUND(AY127*(1+'Calc base'!M128),2)-MAX('Calc base'!H$12,ROUND('Calc base'!H$13*AY127,2))&lt;1,ROUND(AY127*(1+'Calc base'!M128),2),MAX('Calc base'!H$12,ROUND('Calc base'!H$13*AY127,2))))</f>
        <v>0</v>
      </c>
      <c r="P128">
        <f>IF(AZ127&lt;=0,0,IF(ROUND(AZ127*(1+'Calc base'!N128),2)-MAX('Calc base'!I$12,ROUND('Calc base'!I$13*AZ127,2))&lt;1,ROUND(AZ127*(1+'Calc base'!N128),2),MAX('Calc base'!I$12,ROUND('Calc base'!I$13*AZ127,2))))</f>
        <v>0</v>
      </c>
      <c r="Q128">
        <f>IF(BA127&lt;=0,0,IF(ROUND(BA127*(1+'Calc base'!O128),2)-MAX('Calc base'!J$12,ROUND('Calc base'!J$13*BA127,2))&lt;1,ROUND(BA127*(1+'Calc base'!O128),2),MAX('Calc base'!J$12,ROUND('Calc base'!J$13*BA127,2))))</f>
        <v>0</v>
      </c>
      <c r="R128">
        <f>IF(BB127&lt;=0,0,IF(ROUND(BB127*(1+'Calc base'!P128),2)-MAX('Calc base'!K$12,ROUND('Calc base'!K$13*BB127,2))&lt;1,ROUND(BB127*(1+'Calc base'!P128),2),MAX('Calc base'!K$12,ROUND('Calc base'!K$13*BB127,2))))</f>
        <v>0</v>
      </c>
      <c r="S128">
        <f>IF(BC127&lt;=0,0,IF(ROUND(BC127*(1+'Calc base'!Q128),2)-MAX('Calc base'!L$12,ROUND('Calc base'!L$13*BC127,2))&lt;1,ROUND(BC127*(1+'Calc base'!Q128),2),MAX('Calc base'!L$12,ROUND('Calc base'!L$13*BC127,2))))</f>
        <v>0</v>
      </c>
      <c r="T128">
        <f>IF(BD127&lt;=0,0,IF(ROUND(BD127*(1+'Calc base'!R128),2)-MAX('Calc base'!M$12,ROUND('Calc base'!M$13*BD127,2))&lt;1,ROUND(BD127*(1+'Calc base'!R128),2),MAX('Calc base'!M$12,ROUND('Calc base'!M$13*BD127,2))))</f>
        <v>0</v>
      </c>
      <c r="U128">
        <f>IF(BE127&lt;=0,0,IF(ROUND(BE127*(1+'Calc base'!S128),2)-MAX('Calc base'!N$12,ROUND('Calc base'!N$13*BE127,2))&lt;1,ROUND(BE127*(1+'Calc base'!S128),2),MAX('Calc base'!N$12,ROUND('Calc base'!N$13*BE127,2))))</f>
        <v>0</v>
      </c>
      <c r="V128">
        <f>MAX(0,ROUND(AT127*(1+'Calc base'!H128),2)-J128-'Calc base'!T128)</f>
        <v>0</v>
      </c>
      <c r="W128">
        <f>MAX(0,ROUND(AU127*(1+'Calc base'!I128),2)-K128-'Calc base'!U128)</f>
        <v>0</v>
      </c>
      <c r="X128">
        <f>MAX(0,ROUND(AV127*(1+'Calc base'!J128),2)-L128-'Calc base'!V128)</f>
        <v>0</v>
      </c>
      <c r="Y128">
        <f>MAX(0,ROUND(AW127*(1+'Calc base'!K128),2)-M128-'Calc base'!W128)</f>
        <v>0</v>
      </c>
      <c r="Z128">
        <f>MAX(0,ROUND(AX127*(1+'Calc base'!L128),2)-N128-'Calc base'!X128)</f>
        <v>0</v>
      </c>
      <c r="AA128">
        <f>MAX(0,ROUND(AY127*(1+'Calc base'!M128),2)-O128-'Calc base'!Y128)</f>
        <v>0</v>
      </c>
      <c r="AB128">
        <f>MAX(0,ROUND(AZ127*(1+'Calc base'!N128),2)-P128-'Calc base'!Z128)</f>
        <v>0</v>
      </c>
      <c r="AC128">
        <f>MAX(0,ROUND(BA127*(1+'Calc base'!O128),2)-Q128-'Calc base'!AA128)</f>
        <v>0</v>
      </c>
      <c r="AD128">
        <f>MAX(0,ROUND(BB127*(1+'Calc base'!P128),2)-R128-'Calc base'!AB128)</f>
        <v>0</v>
      </c>
      <c r="AE128">
        <f>MAX(0,ROUND(BC127*(1+'Calc base'!Q128),2)-S128-'Calc base'!AC128)</f>
        <v>0</v>
      </c>
      <c r="AF128">
        <f>MAX(0,ROUND(BD127*(1+'Calc base'!R128),2)-T128-'Calc base'!AD128)</f>
        <v>0</v>
      </c>
      <c r="AG128">
        <f>MAX(0,ROUND(BE127*(1+'Calc base'!S128),2)-U128-'Calc base'!AE128)</f>
        <v>0</v>
      </c>
      <c r="AH128">
        <f>IF('Calc base'!C$14=0,0,MIN(V128,MAX(0,$E128-SUMIFS($V128:$AG128,'Calc base'!$C$17:$N$17,"&lt;"&amp;'Calc base'!C$17,'Calc base'!$C$14:$N$14,1))))</f>
        <v>0</v>
      </c>
      <c r="AI128">
        <f>IF('Calc base'!D$14=0,0,MIN(W128,MAX(0,$E128-SUMIFS($V128:$AG128,'Calc base'!$C$17:$N$17,"&lt;"&amp;'Calc base'!D$17,'Calc base'!$C$14:$N$14,1))))</f>
        <v>0</v>
      </c>
      <c r="AJ128">
        <f>IF('Calc base'!E$14=0,0,MIN(X128,MAX(0,$E128-SUMIFS($V128:$AG128,'Calc base'!$C$17:$N$17,"&lt;"&amp;'Calc base'!E$17,'Calc base'!$C$14:$N$14,1))))</f>
        <v>0</v>
      </c>
      <c r="AK128">
        <f>IF('Calc base'!F$14=0,0,MIN(Y128,MAX(0,$E128-SUMIFS($V128:$AG128,'Calc base'!$C$17:$N$17,"&lt;"&amp;'Calc base'!F$17,'Calc base'!$C$14:$N$14,1))))</f>
        <v>0</v>
      </c>
      <c r="AL128">
        <f>IF('Calc base'!G$14=0,0,MIN(Z128,MAX(0,$E128-SUMIFS($V128:$AG128,'Calc base'!$C$17:$N$17,"&lt;"&amp;'Calc base'!G$17,'Calc base'!$C$14:$N$14,1))))</f>
        <v>0</v>
      </c>
      <c r="AM128">
        <f>IF('Calc base'!H$14=0,0,MIN(AA128,MAX(0,$E128-SUMIFS($V128:$AG128,'Calc base'!$C$17:$N$17,"&lt;"&amp;'Calc base'!H$17,'Calc base'!$C$14:$N$14,1))))</f>
        <v>0</v>
      </c>
      <c r="AN128">
        <f>IF('Calc base'!I$14=0,0,MIN(AB128,MAX(0,$E128-SUMIFS($V128:$AG128,'Calc base'!$C$17:$N$17,"&lt;"&amp;'Calc base'!I$17,'Calc base'!$C$14:$N$14,1))))</f>
        <v>0</v>
      </c>
      <c r="AO128">
        <f>IF('Calc base'!J$14=0,0,MIN(AC128,MAX(0,$E128-SUMIFS($V128:$AG128,'Calc base'!$C$17:$N$17,"&lt;"&amp;'Calc base'!J$17,'Calc base'!$C$14:$N$14,1))))</f>
        <v>0</v>
      </c>
      <c r="AP128">
        <f>IF('Calc base'!K$14=0,0,MIN(AD128,MAX(0,$E128-SUMIFS($V128:$AG128,'Calc base'!$C$17:$N$17,"&lt;"&amp;'Calc base'!K$17,'Calc base'!$C$14:$N$14,1))))</f>
        <v>0</v>
      </c>
      <c r="AQ128">
        <f>IF('Calc base'!L$14=0,0,MIN(AE128,MAX(0,$E128-SUMIFS($V128:$AG128,'Calc base'!$C$17:$N$17,"&lt;"&amp;'Calc base'!L$17,'Calc base'!$C$14:$N$14,1))))</f>
        <v>0</v>
      </c>
      <c r="AR128">
        <f>IF('Calc base'!M$14=0,0,MIN(AF128,MAX(0,$E128-SUMIFS($V128:$AG128,'Calc base'!$C$17:$N$17,"&lt;"&amp;'Calc base'!M$17,'Calc base'!$C$14:$N$14,1))))</f>
        <v>0</v>
      </c>
      <c r="AS128">
        <f>IF('Calc base'!N$14=0,0,MIN(AG128,MAX(0,$E128-SUMIFS($V128:$AG128,'Calc base'!$C$17:$N$17,"&lt;"&amp;'Calc base'!N$17,'Calc base'!$C$14:$N$14,1))))</f>
        <v>0</v>
      </c>
      <c r="AT128">
        <f>V128-AH128</f>
        <v>0</v>
      </c>
      <c r="AU128">
        <f>W128-AI128</f>
        <v>0</v>
      </c>
      <c r="AV128">
        <f>X128-AJ128</f>
        <v>0</v>
      </c>
      <c r="AW128">
        <f>Y128-AK128</f>
        <v>0</v>
      </c>
      <c r="AX128">
        <f>Z128-AL128</f>
        <v>0</v>
      </c>
      <c r="AY128">
        <f>AA128-AM128</f>
        <v>0</v>
      </c>
      <c r="AZ128">
        <f>AB128-AN128</f>
        <v>0</v>
      </c>
      <c r="BA128">
        <f>AC128-AO128</f>
        <v>0</v>
      </c>
      <c r="BB128">
        <f>AD128-AP128</f>
        <v>0</v>
      </c>
      <c r="BC128">
        <f>AE128-AQ128</f>
        <v>0</v>
      </c>
      <c r="BD128">
        <f>AF128-AR128</f>
        <v>0</v>
      </c>
      <c r="BE128">
        <f>AG128-AS128</f>
        <v>0</v>
      </c>
    </row>
    <row r="129">
      <c r="A129" t="n">
        <v>99</v>
      </c>
      <c r="B129">
        <f>SUMPRODUCT(ROUND($AT128:$BE128*(1+'Calc base'!$H129:$S129),2))</f>
        <v>0</v>
      </c>
      <c r="C129">
        <f>SUM(J129:U129)</f>
        <v>0</v>
      </c>
      <c r="D129">
        <f>SUM(V129:AG129)</f>
        <v>0</v>
      </c>
      <c r="E129">
        <f>MAX(0,IF(Impostazioni!$B$7="No",'Calc base'!$C129-$C$31,'Calc base'!$C129-C129)+'Calc base'!$G129+'Calc base'!$F129-(B129-C129-D129))</f>
        <v>900</v>
      </c>
      <c r="F129">
        <f>SUM(AH129:AS129)</f>
        <v>0</v>
      </c>
      <c r="G129">
        <f>SUM(AT129:BE129)</f>
        <v>0</v>
      </c>
      <c r="H129">
        <f>B129-G128</f>
        <v>0</v>
      </c>
      <c r="I129">
        <f>B129-G129</f>
        <v>0</v>
      </c>
      <c r="J129">
        <f>IF(AT128&lt;=0,0,IF(ROUND(AT128*(1+'Calc base'!H129),2)-MAX('Calc base'!C$12,ROUND('Calc base'!C$13*AT128,2))&lt;1,ROUND(AT128*(1+'Calc base'!H129),2),MAX('Calc base'!C$12,ROUND('Calc base'!C$13*AT128,2))))</f>
        <v>0</v>
      </c>
      <c r="K129">
        <f>IF(AU128&lt;=0,0,IF(ROUND(AU128*(1+'Calc base'!I129),2)-MAX('Calc base'!D$12,ROUND('Calc base'!D$13*AU128,2))&lt;1,ROUND(AU128*(1+'Calc base'!I129),2),MAX('Calc base'!D$12,ROUND('Calc base'!D$13*AU128,2))))</f>
        <v>0</v>
      </c>
      <c r="L129">
        <f>IF(AV128&lt;=0,0,IF(ROUND(AV128*(1+'Calc base'!J129),2)-MAX('Calc base'!E$12,ROUND('Calc base'!E$13*AV128,2))&lt;1,ROUND(AV128*(1+'Calc base'!J129),2),MAX('Calc base'!E$12,ROUND('Calc base'!E$13*AV128,2))))</f>
        <v>0</v>
      </c>
      <c r="M129">
        <f>IF(AW128&lt;=0,0,IF(ROUND(AW128*(1+'Calc base'!K129),2)-MAX('Calc base'!F$12,ROUND('Calc base'!F$13*AW128,2))&lt;1,ROUND(AW128*(1+'Calc base'!K129),2),MAX('Calc base'!F$12,ROUND('Calc base'!F$13*AW128,2))))</f>
        <v>0</v>
      </c>
      <c r="N129">
        <f>IF(AX128&lt;=0,0,IF(ROUND(AX128*(1+'Calc base'!L129),2)-MAX('Calc base'!G$12,ROUND('Calc base'!G$13*AX128,2))&lt;1,ROUND(AX128*(1+'Calc base'!L129),2),MAX('Calc base'!G$12,ROUND('Calc base'!G$13*AX128,2))))</f>
        <v>0</v>
      </c>
      <c r="O129">
        <f>IF(AY128&lt;=0,0,IF(ROUND(AY128*(1+'Calc base'!M129),2)-MAX('Calc base'!H$12,ROUND('Calc base'!H$13*AY128,2))&lt;1,ROUND(AY128*(1+'Calc base'!M129),2),MAX('Calc base'!H$12,ROUND('Calc base'!H$13*AY128,2))))</f>
        <v>0</v>
      </c>
      <c r="P129">
        <f>IF(AZ128&lt;=0,0,IF(ROUND(AZ128*(1+'Calc base'!N129),2)-MAX('Calc base'!I$12,ROUND('Calc base'!I$13*AZ128,2))&lt;1,ROUND(AZ128*(1+'Calc base'!N129),2),MAX('Calc base'!I$12,ROUND('Calc base'!I$13*AZ128,2))))</f>
        <v>0</v>
      </c>
      <c r="Q129">
        <f>IF(BA128&lt;=0,0,IF(ROUND(BA128*(1+'Calc base'!O129),2)-MAX('Calc base'!J$12,ROUND('Calc base'!J$13*BA128,2))&lt;1,ROUND(BA128*(1+'Calc base'!O129),2),MAX('Calc base'!J$12,ROUND('Calc base'!J$13*BA128,2))))</f>
        <v>0</v>
      </c>
      <c r="R129">
        <f>IF(BB128&lt;=0,0,IF(ROUND(BB128*(1+'Calc base'!P129),2)-MAX('Calc base'!K$12,ROUND('Calc base'!K$13*BB128,2))&lt;1,ROUND(BB128*(1+'Calc base'!P129),2),MAX('Calc base'!K$12,ROUND('Calc base'!K$13*BB128,2))))</f>
        <v>0</v>
      </c>
      <c r="S129">
        <f>IF(BC128&lt;=0,0,IF(ROUND(BC128*(1+'Calc base'!Q129),2)-MAX('Calc base'!L$12,ROUND('Calc base'!L$13*BC128,2))&lt;1,ROUND(BC128*(1+'Calc base'!Q129),2),MAX('Calc base'!L$12,ROUND('Calc base'!L$13*BC128,2))))</f>
        <v>0</v>
      </c>
      <c r="T129">
        <f>IF(BD128&lt;=0,0,IF(ROUND(BD128*(1+'Calc base'!R129),2)-MAX('Calc base'!M$12,ROUND('Calc base'!M$13*BD128,2))&lt;1,ROUND(BD128*(1+'Calc base'!R129),2),MAX('Calc base'!M$12,ROUND('Calc base'!M$13*BD128,2))))</f>
        <v>0</v>
      </c>
      <c r="U129">
        <f>IF(BE128&lt;=0,0,IF(ROUND(BE128*(1+'Calc base'!S129),2)-MAX('Calc base'!N$12,ROUND('Calc base'!N$13*BE128,2))&lt;1,ROUND(BE128*(1+'Calc base'!S129),2),MAX('Calc base'!N$12,ROUND('Calc base'!N$13*BE128,2))))</f>
        <v>0</v>
      </c>
      <c r="V129">
        <f>MAX(0,ROUND(AT128*(1+'Calc base'!H129),2)-J129-'Calc base'!T129)</f>
        <v>0</v>
      </c>
      <c r="W129">
        <f>MAX(0,ROUND(AU128*(1+'Calc base'!I129),2)-K129-'Calc base'!U129)</f>
        <v>0</v>
      </c>
      <c r="X129">
        <f>MAX(0,ROUND(AV128*(1+'Calc base'!J129),2)-L129-'Calc base'!V129)</f>
        <v>0</v>
      </c>
      <c r="Y129">
        <f>MAX(0,ROUND(AW128*(1+'Calc base'!K129),2)-M129-'Calc base'!W129)</f>
        <v>0</v>
      </c>
      <c r="Z129">
        <f>MAX(0,ROUND(AX128*(1+'Calc base'!L129),2)-N129-'Calc base'!X129)</f>
        <v>0</v>
      </c>
      <c r="AA129">
        <f>MAX(0,ROUND(AY128*(1+'Calc base'!M129),2)-O129-'Calc base'!Y129)</f>
        <v>0</v>
      </c>
      <c r="AB129">
        <f>MAX(0,ROUND(AZ128*(1+'Calc base'!N129),2)-P129-'Calc base'!Z129)</f>
        <v>0</v>
      </c>
      <c r="AC129">
        <f>MAX(0,ROUND(BA128*(1+'Calc base'!O129),2)-Q129-'Calc base'!AA129)</f>
        <v>0</v>
      </c>
      <c r="AD129">
        <f>MAX(0,ROUND(BB128*(1+'Calc base'!P129),2)-R129-'Calc base'!AB129)</f>
        <v>0</v>
      </c>
      <c r="AE129">
        <f>MAX(0,ROUND(BC128*(1+'Calc base'!Q129),2)-S129-'Calc base'!AC129)</f>
        <v>0</v>
      </c>
      <c r="AF129">
        <f>MAX(0,ROUND(BD128*(1+'Calc base'!R129),2)-T129-'Calc base'!AD129)</f>
        <v>0</v>
      </c>
      <c r="AG129">
        <f>MAX(0,ROUND(BE128*(1+'Calc base'!S129),2)-U129-'Calc base'!AE129)</f>
        <v>0</v>
      </c>
      <c r="AH129">
        <f>IF('Calc base'!C$14=0,0,MIN(V129,MAX(0,$E129-SUMIFS($V129:$AG129,'Calc base'!$C$17:$N$17,"&lt;"&amp;'Calc base'!C$17,'Calc base'!$C$14:$N$14,1))))</f>
        <v>0</v>
      </c>
      <c r="AI129">
        <f>IF('Calc base'!D$14=0,0,MIN(W129,MAX(0,$E129-SUMIFS($V129:$AG129,'Calc base'!$C$17:$N$17,"&lt;"&amp;'Calc base'!D$17,'Calc base'!$C$14:$N$14,1))))</f>
        <v>0</v>
      </c>
      <c r="AJ129">
        <f>IF('Calc base'!E$14=0,0,MIN(X129,MAX(0,$E129-SUMIFS($V129:$AG129,'Calc base'!$C$17:$N$17,"&lt;"&amp;'Calc base'!E$17,'Calc base'!$C$14:$N$14,1))))</f>
        <v>0</v>
      </c>
      <c r="AK129">
        <f>IF('Calc base'!F$14=0,0,MIN(Y129,MAX(0,$E129-SUMIFS($V129:$AG129,'Calc base'!$C$17:$N$17,"&lt;"&amp;'Calc base'!F$17,'Calc base'!$C$14:$N$14,1))))</f>
        <v>0</v>
      </c>
      <c r="AL129">
        <f>IF('Calc base'!G$14=0,0,MIN(Z129,MAX(0,$E129-SUMIFS($V129:$AG129,'Calc base'!$C$17:$N$17,"&lt;"&amp;'Calc base'!G$17,'Calc base'!$C$14:$N$14,1))))</f>
        <v>0</v>
      </c>
      <c r="AM129">
        <f>IF('Calc base'!H$14=0,0,MIN(AA129,MAX(0,$E129-SUMIFS($V129:$AG129,'Calc base'!$C$17:$N$17,"&lt;"&amp;'Calc base'!H$17,'Calc base'!$C$14:$N$14,1))))</f>
        <v>0</v>
      </c>
      <c r="AN129">
        <f>IF('Calc base'!I$14=0,0,MIN(AB129,MAX(0,$E129-SUMIFS($V129:$AG129,'Calc base'!$C$17:$N$17,"&lt;"&amp;'Calc base'!I$17,'Calc base'!$C$14:$N$14,1))))</f>
        <v>0</v>
      </c>
      <c r="AO129">
        <f>IF('Calc base'!J$14=0,0,MIN(AC129,MAX(0,$E129-SUMIFS($V129:$AG129,'Calc base'!$C$17:$N$17,"&lt;"&amp;'Calc base'!J$17,'Calc base'!$C$14:$N$14,1))))</f>
        <v>0</v>
      </c>
      <c r="AP129">
        <f>IF('Calc base'!K$14=0,0,MIN(AD129,MAX(0,$E129-SUMIFS($V129:$AG129,'Calc base'!$C$17:$N$17,"&lt;"&amp;'Calc base'!K$17,'Calc base'!$C$14:$N$14,1))))</f>
        <v>0</v>
      </c>
      <c r="AQ129">
        <f>IF('Calc base'!L$14=0,0,MIN(AE129,MAX(0,$E129-SUMIFS($V129:$AG129,'Calc base'!$C$17:$N$17,"&lt;"&amp;'Calc base'!L$17,'Calc base'!$C$14:$N$14,1))))</f>
        <v>0</v>
      </c>
      <c r="AR129">
        <f>IF('Calc base'!M$14=0,0,MIN(AF129,MAX(0,$E129-SUMIFS($V129:$AG129,'Calc base'!$C$17:$N$17,"&lt;"&amp;'Calc base'!M$17,'Calc base'!$C$14:$N$14,1))))</f>
        <v>0</v>
      </c>
      <c r="AS129">
        <f>IF('Calc base'!N$14=0,0,MIN(AG129,MAX(0,$E129-SUMIFS($V129:$AG129,'Calc base'!$C$17:$N$17,"&lt;"&amp;'Calc base'!N$17,'Calc base'!$C$14:$N$14,1))))</f>
        <v>0</v>
      </c>
      <c r="AT129">
        <f>V129-AH129</f>
        <v>0</v>
      </c>
      <c r="AU129">
        <f>W129-AI129</f>
        <v>0</v>
      </c>
      <c r="AV129">
        <f>X129-AJ129</f>
        <v>0</v>
      </c>
      <c r="AW129">
        <f>Y129-AK129</f>
        <v>0</v>
      </c>
      <c r="AX129">
        <f>Z129-AL129</f>
        <v>0</v>
      </c>
      <c r="AY129">
        <f>AA129-AM129</f>
        <v>0</v>
      </c>
      <c r="AZ129">
        <f>AB129-AN129</f>
        <v>0</v>
      </c>
      <c r="BA129">
        <f>AC129-AO129</f>
        <v>0</v>
      </c>
      <c r="BB129">
        <f>AD129-AP129</f>
        <v>0</v>
      </c>
      <c r="BC129">
        <f>AE129-AQ129</f>
        <v>0</v>
      </c>
      <c r="BD129">
        <f>AF129-AR129</f>
        <v>0</v>
      </c>
      <c r="BE129">
        <f>AG129-AS129</f>
        <v>0</v>
      </c>
    </row>
    <row r="130">
      <c r="A130" t="n">
        <v>100</v>
      </c>
      <c r="B130">
        <f>SUMPRODUCT(ROUND($AT129:$BE129*(1+'Calc base'!$H130:$S130),2))</f>
        <v>0</v>
      </c>
      <c r="C130">
        <f>SUM(J130:U130)</f>
        <v>0</v>
      </c>
      <c r="D130">
        <f>SUM(V130:AG130)</f>
        <v>0</v>
      </c>
      <c r="E130">
        <f>MAX(0,IF(Impostazioni!$B$7="No",'Calc base'!$C130-$C$31,'Calc base'!$C130-C130)+'Calc base'!$G130+'Calc base'!$F130-(B130-C130-D130))</f>
        <v>900</v>
      </c>
      <c r="F130">
        <f>SUM(AH130:AS130)</f>
        <v>0</v>
      </c>
      <c r="G130">
        <f>SUM(AT130:BE130)</f>
        <v>0</v>
      </c>
      <c r="H130">
        <f>B130-G129</f>
        <v>0</v>
      </c>
      <c r="I130">
        <f>B130-G130</f>
        <v>0</v>
      </c>
      <c r="J130">
        <f>IF(AT129&lt;=0,0,IF(ROUND(AT129*(1+'Calc base'!H130),2)-MAX('Calc base'!C$12,ROUND('Calc base'!C$13*AT129,2))&lt;1,ROUND(AT129*(1+'Calc base'!H130),2),MAX('Calc base'!C$12,ROUND('Calc base'!C$13*AT129,2))))</f>
        <v>0</v>
      </c>
      <c r="K130">
        <f>IF(AU129&lt;=0,0,IF(ROUND(AU129*(1+'Calc base'!I130),2)-MAX('Calc base'!D$12,ROUND('Calc base'!D$13*AU129,2))&lt;1,ROUND(AU129*(1+'Calc base'!I130),2),MAX('Calc base'!D$12,ROUND('Calc base'!D$13*AU129,2))))</f>
        <v>0</v>
      </c>
      <c r="L130">
        <f>IF(AV129&lt;=0,0,IF(ROUND(AV129*(1+'Calc base'!J130),2)-MAX('Calc base'!E$12,ROUND('Calc base'!E$13*AV129,2))&lt;1,ROUND(AV129*(1+'Calc base'!J130),2),MAX('Calc base'!E$12,ROUND('Calc base'!E$13*AV129,2))))</f>
        <v>0</v>
      </c>
      <c r="M130">
        <f>IF(AW129&lt;=0,0,IF(ROUND(AW129*(1+'Calc base'!K130),2)-MAX('Calc base'!F$12,ROUND('Calc base'!F$13*AW129,2))&lt;1,ROUND(AW129*(1+'Calc base'!K130),2),MAX('Calc base'!F$12,ROUND('Calc base'!F$13*AW129,2))))</f>
        <v>0</v>
      </c>
      <c r="N130">
        <f>IF(AX129&lt;=0,0,IF(ROUND(AX129*(1+'Calc base'!L130),2)-MAX('Calc base'!G$12,ROUND('Calc base'!G$13*AX129,2))&lt;1,ROUND(AX129*(1+'Calc base'!L130),2),MAX('Calc base'!G$12,ROUND('Calc base'!G$13*AX129,2))))</f>
        <v>0</v>
      </c>
      <c r="O130">
        <f>IF(AY129&lt;=0,0,IF(ROUND(AY129*(1+'Calc base'!M130),2)-MAX('Calc base'!H$12,ROUND('Calc base'!H$13*AY129,2))&lt;1,ROUND(AY129*(1+'Calc base'!M130),2),MAX('Calc base'!H$12,ROUND('Calc base'!H$13*AY129,2))))</f>
        <v>0</v>
      </c>
      <c r="P130">
        <f>IF(AZ129&lt;=0,0,IF(ROUND(AZ129*(1+'Calc base'!N130),2)-MAX('Calc base'!I$12,ROUND('Calc base'!I$13*AZ129,2))&lt;1,ROUND(AZ129*(1+'Calc base'!N130),2),MAX('Calc base'!I$12,ROUND('Calc base'!I$13*AZ129,2))))</f>
        <v>0</v>
      </c>
      <c r="Q130">
        <f>IF(BA129&lt;=0,0,IF(ROUND(BA129*(1+'Calc base'!O130),2)-MAX('Calc base'!J$12,ROUND('Calc base'!J$13*BA129,2))&lt;1,ROUND(BA129*(1+'Calc base'!O130),2),MAX('Calc base'!J$12,ROUND('Calc base'!J$13*BA129,2))))</f>
        <v>0</v>
      </c>
      <c r="R130">
        <f>IF(BB129&lt;=0,0,IF(ROUND(BB129*(1+'Calc base'!P130),2)-MAX('Calc base'!K$12,ROUND('Calc base'!K$13*BB129,2))&lt;1,ROUND(BB129*(1+'Calc base'!P130),2),MAX('Calc base'!K$12,ROUND('Calc base'!K$13*BB129,2))))</f>
        <v>0</v>
      </c>
      <c r="S130">
        <f>IF(BC129&lt;=0,0,IF(ROUND(BC129*(1+'Calc base'!Q130),2)-MAX('Calc base'!L$12,ROUND('Calc base'!L$13*BC129,2))&lt;1,ROUND(BC129*(1+'Calc base'!Q130),2),MAX('Calc base'!L$12,ROUND('Calc base'!L$13*BC129,2))))</f>
        <v>0</v>
      </c>
      <c r="T130">
        <f>IF(BD129&lt;=0,0,IF(ROUND(BD129*(1+'Calc base'!R130),2)-MAX('Calc base'!M$12,ROUND('Calc base'!M$13*BD129,2))&lt;1,ROUND(BD129*(1+'Calc base'!R130),2),MAX('Calc base'!M$12,ROUND('Calc base'!M$13*BD129,2))))</f>
        <v>0</v>
      </c>
      <c r="U130">
        <f>IF(BE129&lt;=0,0,IF(ROUND(BE129*(1+'Calc base'!S130),2)-MAX('Calc base'!N$12,ROUND('Calc base'!N$13*BE129,2))&lt;1,ROUND(BE129*(1+'Calc base'!S130),2),MAX('Calc base'!N$12,ROUND('Calc base'!N$13*BE129,2))))</f>
        <v>0</v>
      </c>
      <c r="V130">
        <f>MAX(0,ROUND(AT129*(1+'Calc base'!H130),2)-J130-'Calc base'!T130)</f>
        <v>0</v>
      </c>
      <c r="W130">
        <f>MAX(0,ROUND(AU129*(1+'Calc base'!I130),2)-K130-'Calc base'!U130)</f>
        <v>0</v>
      </c>
      <c r="X130">
        <f>MAX(0,ROUND(AV129*(1+'Calc base'!J130),2)-L130-'Calc base'!V130)</f>
        <v>0</v>
      </c>
      <c r="Y130">
        <f>MAX(0,ROUND(AW129*(1+'Calc base'!K130),2)-M130-'Calc base'!W130)</f>
        <v>0</v>
      </c>
      <c r="Z130">
        <f>MAX(0,ROUND(AX129*(1+'Calc base'!L130),2)-N130-'Calc base'!X130)</f>
        <v>0</v>
      </c>
      <c r="AA130">
        <f>MAX(0,ROUND(AY129*(1+'Calc base'!M130),2)-O130-'Calc base'!Y130)</f>
        <v>0</v>
      </c>
      <c r="AB130">
        <f>MAX(0,ROUND(AZ129*(1+'Calc base'!N130),2)-P130-'Calc base'!Z130)</f>
        <v>0</v>
      </c>
      <c r="AC130">
        <f>MAX(0,ROUND(BA129*(1+'Calc base'!O130),2)-Q130-'Calc base'!AA130)</f>
        <v>0</v>
      </c>
      <c r="AD130">
        <f>MAX(0,ROUND(BB129*(1+'Calc base'!P130),2)-R130-'Calc base'!AB130)</f>
        <v>0</v>
      </c>
      <c r="AE130">
        <f>MAX(0,ROUND(BC129*(1+'Calc base'!Q130),2)-S130-'Calc base'!AC130)</f>
        <v>0</v>
      </c>
      <c r="AF130">
        <f>MAX(0,ROUND(BD129*(1+'Calc base'!R130),2)-T130-'Calc base'!AD130)</f>
        <v>0</v>
      </c>
      <c r="AG130">
        <f>MAX(0,ROUND(BE129*(1+'Calc base'!S130),2)-U130-'Calc base'!AE130)</f>
        <v>0</v>
      </c>
      <c r="AH130">
        <f>IF('Calc base'!C$14=0,0,MIN(V130,MAX(0,$E130-SUMIFS($V130:$AG130,'Calc base'!$C$17:$N$17,"&lt;"&amp;'Calc base'!C$17,'Calc base'!$C$14:$N$14,1))))</f>
        <v>0</v>
      </c>
      <c r="AI130">
        <f>IF('Calc base'!D$14=0,0,MIN(W130,MAX(0,$E130-SUMIFS($V130:$AG130,'Calc base'!$C$17:$N$17,"&lt;"&amp;'Calc base'!D$17,'Calc base'!$C$14:$N$14,1))))</f>
        <v>0</v>
      </c>
      <c r="AJ130">
        <f>IF('Calc base'!E$14=0,0,MIN(X130,MAX(0,$E130-SUMIFS($V130:$AG130,'Calc base'!$C$17:$N$17,"&lt;"&amp;'Calc base'!E$17,'Calc base'!$C$14:$N$14,1))))</f>
        <v>0</v>
      </c>
      <c r="AK130">
        <f>IF('Calc base'!F$14=0,0,MIN(Y130,MAX(0,$E130-SUMIFS($V130:$AG130,'Calc base'!$C$17:$N$17,"&lt;"&amp;'Calc base'!F$17,'Calc base'!$C$14:$N$14,1))))</f>
        <v>0</v>
      </c>
      <c r="AL130">
        <f>IF('Calc base'!G$14=0,0,MIN(Z130,MAX(0,$E130-SUMIFS($V130:$AG130,'Calc base'!$C$17:$N$17,"&lt;"&amp;'Calc base'!G$17,'Calc base'!$C$14:$N$14,1))))</f>
        <v>0</v>
      </c>
      <c r="AM130">
        <f>IF('Calc base'!H$14=0,0,MIN(AA130,MAX(0,$E130-SUMIFS($V130:$AG130,'Calc base'!$C$17:$N$17,"&lt;"&amp;'Calc base'!H$17,'Calc base'!$C$14:$N$14,1))))</f>
        <v>0</v>
      </c>
      <c r="AN130">
        <f>IF('Calc base'!I$14=0,0,MIN(AB130,MAX(0,$E130-SUMIFS($V130:$AG130,'Calc base'!$C$17:$N$17,"&lt;"&amp;'Calc base'!I$17,'Calc base'!$C$14:$N$14,1))))</f>
        <v>0</v>
      </c>
      <c r="AO130">
        <f>IF('Calc base'!J$14=0,0,MIN(AC130,MAX(0,$E130-SUMIFS($V130:$AG130,'Calc base'!$C$17:$N$17,"&lt;"&amp;'Calc base'!J$17,'Calc base'!$C$14:$N$14,1))))</f>
        <v>0</v>
      </c>
      <c r="AP130">
        <f>IF('Calc base'!K$14=0,0,MIN(AD130,MAX(0,$E130-SUMIFS($V130:$AG130,'Calc base'!$C$17:$N$17,"&lt;"&amp;'Calc base'!K$17,'Calc base'!$C$14:$N$14,1))))</f>
        <v>0</v>
      </c>
      <c r="AQ130">
        <f>IF('Calc base'!L$14=0,0,MIN(AE130,MAX(0,$E130-SUMIFS($V130:$AG130,'Calc base'!$C$17:$N$17,"&lt;"&amp;'Calc base'!L$17,'Calc base'!$C$14:$N$14,1))))</f>
        <v>0</v>
      </c>
      <c r="AR130">
        <f>IF('Calc base'!M$14=0,0,MIN(AF130,MAX(0,$E130-SUMIFS($V130:$AG130,'Calc base'!$C$17:$N$17,"&lt;"&amp;'Calc base'!M$17,'Calc base'!$C$14:$N$14,1))))</f>
        <v>0</v>
      </c>
      <c r="AS130">
        <f>IF('Calc base'!N$14=0,0,MIN(AG130,MAX(0,$E130-SUMIFS($V130:$AG130,'Calc base'!$C$17:$N$17,"&lt;"&amp;'Calc base'!N$17,'Calc base'!$C$14:$N$14,1))))</f>
        <v>0</v>
      </c>
      <c r="AT130">
        <f>V130-AH130</f>
        <v>0</v>
      </c>
      <c r="AU130">
        <f>W130-AI130</f>
        <v>0</v>
      </c>
      <c r="AV130">
        <f>X130-AJ130</f>
        <v>0</v>
      </c>
      <c r="AW130">
        <f>Y130-AK130</f>
        <v>0</v>
      </c>
      <c r="AX130">
        <f>Z130-AL130</f>
        <v>0</v>
      </c>
      <c r="AY130">
        <f>AA130-AM130</f>
        <v>0</v>
      </c>
      <c r="AZ130">
        <f>AB130-AN130</f>
        <v>0</v>
      </c>
      <c r="BA130">
        <f>AC130-AO130</f>
        <v>0</v>
      </c>
      <c r="BB130">
        <f>AD130-AP130</f>
        <v>0</v>
      </c>
      <c r="BC130">
        <f>AE130-AQ130</f>
        <v>0</v>
      </c>
      <c r="BD130">
        <f>AF130-AR130</f>
        <v>0</v>
      </c>
      <c r="BE130">
        <f>AG130-AS130</f>
        <v>0</v>
      </c>
    </row>
    <row r="131">
      <c r="A131" t="n">
        <v>101</v>
      </c>
      <c r="B131">
        <f>SUMPRODUCT(ROUND($AT130:$BE130*(1+'Calc base'!$H131:$S131),2))</f>
        <v>0</v>
      </c>
      <c r="C131">
        <f>SUM(J131:U131)</f>
        <v>0</v>
      </c>
      <c r="D131">
        <f>SUM(V131:AG131)</f>
        <v>0</v>
      </c>
      <c r="E131">
        <f>MAX(0,IF(Impostazioni!$B$7="No",'Calc base'!$C131-$C$31,'Calc base'!$C131-C131)+'Calc base'!$G131+'Calc base'!$F131-(B131-C131-D131))</f>
        <v>900</v>
      </c>
      <c r="F131">
        <f>SUM(AH131:AS131)</f>
        <v>0</v>
      </c>
      <c r="G131">
        <f>SUM(AT131:BE131)</f>
        <v>0</v>
      </c>
      <c r="H131">
        <f>B131-G130</f>
        <v>0</v>
      </c>
      <c r="I131">
        <f>B131-G131</f>
        <v>0</v>
      </c>
      <c r="J131">
        <f>IF(AT130&lt;=0,0,IF(ROUND(AT130*(1+'Calc base'!H131),2)-MAX('Calc base'!C$12,ROUND('Calc base'!C$13*AT130,2))&lt;1,ROUND(AT130*(1+'Calc base'!H131),2),MAX('Calc base'!C$12,ROUND('Calc base'!C$13*AT130,2))))</f>
        <v>0</v>
      </c>
      <c r="K131">
        <f>IF(AU130&lt;=0,0,IF(ROUND(AU130*(1+'Calc base'!I131),2)-MAX('Calc base'!D$12,ROUND('Calc base'!D$13*AU130,2))&lt;1,ROUND(AU130*(1+'Calc base'!I131),2),MAX('Calc base'!D$12,ROUND('Calc base'!D$13*AU130,2))))</f>
        <v>0</v>
      </c>
      <c r="L131">
        <f>IF(AV130&lt;=0,0,IF(ROUND(AV130*(1+'Calc base'!J131),2)-MAX('Calc base'!E$12,ROUND('Calc base'!E$13*AV130,2))&lt;1,ROUND(AV130*(1+'Calc base'!J131),2),MAX('Calc base'!E$12,ROUND('Calc base'!E$13*AV130,2))))</f>
        <v>0</v>
      </c>
      <c r="M131">
        <f>IF(AW130&lt;=0,0,IF(ROUND(AW130*(1+'Calc base'!K131),2)-MAX('Calc base'!F$12,ROUND('Calc base'!F$13*AW130,2))&lt;1,ROUND(AW130*(1+'Calc base'!K131),2),MAX('Calc base'!F$12,ROUND('Calc base'!F$13*AW130,2))))</f>
        <v>0</v>
      </c>
      <c r="N131">
        <f>IF(AX130&lt;=0,0,IF(ROUND(AX130*(1+'Calc base'!L131),2)-MAX('Calc base'!G$12,ROUND('Calc base'!G$13*AX130,2))&lt;1,ROUND(AX130*(1+'Calc base'!L131),2),MAX('Calc base'!G$12,ROUND('Calc base'!G$13*AX130,2))))</f>
        <v>0</v>
      </c>
      <c r="O131">
        <f>IF(AY130&lt;=0,0,IF(ROUND(AY130*(1+'Calc base'!M131),2)-MAX('Calc base'!H$12,ROUND('Calc base'!H$13*AY130,2))&lt;1,ROUND(AY130*(1+'Calc base'!M131),2),MAX('Calc base'!H$12,ROUND('Calc base'!H$13*AY130,2))))</f>
        <v>0</v>
      </c>
      <c r="P131">
        <f>IF(AZ130&lt;=0,0,IF(ROUND(AZ130*(1+'Calc base'!N131),2)-MAX('Calc base'!I$12,ROUND('Calc base'!I$13*AZ130,2))&lt;1,ROUND(AZ130*(1+'Calc base'!N131),2),MAX('Calc base'!I$12,ROUND('Calc base'!I$13*AZ130,2))))</f>
        <v>0</v>
      </c>
      <c r="Q131">
        <f>IF(BA130&lt;=0,0,IF(ROUND(BA130*(1+'Calc base'!O131),2)-MAX('Calc base'!J$12,ROUND('Calc base'!J$13*BA130,2))&lt;1,ROUND(BA130*(1+'Calc base'!O131),2),MAX('Calc base'!J$12,ROUND('Calc base'!J$13*BA130,2))))</f>
        <v>0</v>
      </c>
      <c r="R131">
        <f>IF(BB130&lt;=0,0,IF(ROUND(BB130*(1+'Calc base'!P131),2)-MAX('Calc base'!K$12,ROUND('Calc base'!K$13*BB130,2))&lt;1,ROUND(BB130*(1+'Calc base'!P131),2),MAX('Calc base'!K$12,ROUND('Calc base'!K$13*BB130,2))))</f>
        <v>0</v>
      </c>
      <c r="S131">
        <f>IF(BC130&lt;=0,0,IF(ROUND(BC130*(1+'Calc base'!Q131),2)-MAX('Calc base'!L$12,ROUND('Calc base'!L$13*BC130,2))&lt;1,ROUND(BC130*(1+'Calc base'!Q131),2),MAX('Calc base'!L$12,ROUND('Calc base'!L$13*BC130,2))))</f>
        <v>0</v>
      </c>
      <c r="T131">
        <f>IF(BD130&lt;=0,0,IF(ROUND(BD130*(1+'Calc base'!R131),2)-MAX('Calc base'!M$12,ROUND('Calc base'!M$13*BD130,2))&lt;1,ROUND(BD130*(1+'Calc base'!R131),2),MAX('Calc base'!M$12,ROUND('Calc base'!M$13*BD130,2))))</f>
        <v>0</v>
      </c>
      <c r="U131">
        <f>IF(BE130&lt;=0,0,IF(ROUND(BE130*(1+'Calc base'!S131),2)-MAX('Calc base'!N$12,ROUND('Calc base'!N$13*BE130,2))&lt;1,ROUND(BE130*(1+'Calc base'!S131),2),MAX('Calc base'!N$12,ROUND('Calc base'!N$13*BE130,2))))</f>
        <v>0</v>
      </c>
      <c r="V131">
        <f>MAX(0,ROUND(AT130*(1+'Calc base'!H131),2)-J131-'Calc base'!T131)</f>
        <v>0</v>
      </c>
      <c r="W131">
        <f>MAX(0,ROUND(AU130*(1+'Calc base'!I131),2)-K131-'Calc base'!U131)</f>
        <v>0</v>
      </c>
      <c r="X131">
        <f>MAX(0,ROUND(AV130*(1+'Calc base'!J131),2)-L131-'Calc base'!V131)</f>
        <v>0</v>
      </c>
      <c r="Y131">
        <f>MAX(0,ROUND(AW130*(1+'Calc base'!K131),2)-M131-'Calc base'!W131)</f>
        <v>0</v>
      </c>
      <c r="Z131">
        <f>MAX(0,ROUND(AX130*(1+'Calc base'!L131),2)-N131-'Calc base'!X131)</f>
        <v>0</v>
      </c>
      <c r="AA131">
        <f>MAX(0,ROUND(AY130*(1+'Calc base'!M131),2)-O131-'Calc base'!Y131)</f>
        <v>0</v>
      </c>
      <c r="AB131">
        <f>MAX(0,ROUND(AZ130*(1+'Calc base'!N131),2)-P131-'Calc base'!Z131)</f>
        <v>0</v>
      </c>
      <c r="AC131">
        <f>MAX(0,ROUND(BA130*(1+'Calc base'!O131),2)-Q131-'Calc base'!AA131)</f>
        <v>0</v>
      </c>
      <c r="AD131">
        <f>MAX(0,ROUND(BB130*(1+'Calc base'!P131),2)-R131-'Calc base'!AB131)</f>
        <v>0</v>
      </c>
      <c r="AE131">
        <f>MAX(0,ROUND(BC130*(1+'Calc base'!Q131),2)-S131-'Calc base'!AC131)</f>
        <v>0</v>
      </c>
      <c r="AF131">
        <f>MAX(0,ROUND(BD130*(1+'Calc base'!R131),2)-T131-'Calc base'!AD131)</f>
        <v>0</v>
      </c>
      <c r="AG131">
        <f>MAX(0,ROUND(BE130*(1+'Calc base'!S131),2)-U131-'Calc base'!AE131)</f>
        <v>0</v>
      </c>
      <c r="AH131">
        <f>IF('Calc base'!C$14=0,0,MIN(V131,MAX(0,$E131-SUMIFS($V131:$AG131,'Calc base'!$C$17:$N$17,"&lt;"&amp;'Calc base'!C$17,'Calc base'!$C$14:$N$14,1))))</f>
        <v>0</v>
      </c>
      <c r="AI131">
        <f>IF('Calc base'!D$14=0,0,MIN(W131,MAX(0,$E131-SUMIFS($V131:$AG131,'Calc base'!$C$17:$N$17,"&lt;"&amp;'Calc base'!D$17,'Calc base'!$C$14:$N$14,1))))</f>
        <v>0</v>
      </c>
      <c r="AJ131">
        <f>IF('Calc base'!E$14=0,0,MIN(X131,MAX(0,$E131-SUMIFS($V131:$AG131,'Calc base'!$C$17:$N$17,"&lt;"&amp;'Calc base'!E$17,'Calc base'!$C$14:$N$14,1))))</f>
        <v>0</v>
      </c>
      <c r="AK131">
        <f>IF('Calc base'!F$14=0,0,MIN(Y131,MAX(0,$E131-SUMIFS($V131:$AG131,'Calc base'!$C$17:$N$17,"&lt;"&amp;'Calc base'!F$17,'Calc base'!$C$14:$N$14,1))))</f>
        <v>0</v>
      </c>
      <c r="AL131">
        <f>IF('Calc base'!G$14=0,0,MIN(Z131,MAX(0,$E131-SUMIFS($V131:$AG131,'Calc base'!$C$17:$N$17,"&lt;"&amp;'Calc base'!G$17,'Calc base'!$C$14:$N$14,1))))</f>
        <v>0</v>
      </c>
      <c r="AM131">
        <f>IF('Calc base'!H$14=0,0,MIN(AA131,MAX(0,$E131-SUMIFS($V131:$AG131,'Calc base'!$C$17:$N$17,"&lt;"&amp;'Calc base'!H$17,'Calc base'!$C$14:$N$14,1))))</f>
        <v>0</v>
      </c>
      <c r="AN131">
        <f>IF('Calc base'!I$14=0,0,MIN(AB131,MAX(0,$E131-SUMIFS($V131:$AG131,'Calc base'!$C$17:$N$17,"&lt;"&amp;'Calc base'!I$17,'Calc base'!$C$14:$N$14,1))))</f>
        <v>0</v>
      </c>
      <c r="AO131">
        <f>IF('Calc base'!J$14=0,0,MIN(AC131,MAX(0,$E131-SUMIFS($V131:$AG131,'Calc base'!$C$17:$N$17,"&lt;"&amp;'Calc base'!J$17,'Calc base'!$C$14:$N$14,1))))</f>
        <v>0</v>
      </c>
      <c r="AP131">
        <f>IF('Calc base'!K$14=0,0,MIN(AD131,MAX(0,$E131-SUMIFS($V131:$AG131,'Calc base'!$C$17:$N$17,"&lt;"&amp;'Calc base'!K$17,'Calc base'!$C$14:$N$14,1))))</f>
        <v>0</v>
      </c>
      <c r="AQ131">
        <f>IF('Calc base'!L$14=0,0,MIN(AE131,MAX(0,$E131-SUMIFS($V131:$AG131,'Calc base'!$C$17:$N$17,"&lt;"&amp;'Calc base'!L$17,'Calc base'!$C$14:$N$14,1))))</f>
        <v>0</v>
      </c>
      <c r="AR131">
        <f>IF('Calc base'!M$14=0,0,MIN(AF131,MAX(0,$E131-SUMIFS($V131:$AG131,'Calc base'!$C$17:$N$17,"&lt;"&amp;'Calc base'!M$17,'Calc base'!$C$14:$N$14,1))))</f>
        <v>0</v>
      </c>
      <c r="AS131">
        <f>IF('Calc base'!N$14=0,0,MIN(AG131,MAX(0,$E131-SUMIFS($V131:$AG131,'Calc base'!$C$17:$N$17,"&lt;"&amp;'Calc base'!N$17,'Calc base'!$C$14:$N$14,1))))</f>
        <v>0</v>
      </c>
      <c r="AT131">
        <f>V131-AH131</f>
        <v>0</v>
      </c>
      <c r="AU131">
        <f>W131-AI131</f>
        <v>0</v>
      </c>
      <c r="AV131">
        <f>X131-AJ131</f>
        <v>0</v>
      </c>
      <c r="AW131">
        <f>Y131-AK131</f>
        <v>0</v>
      </c>
      <c r="AX131">
        <f>Z131-AL131</f>
        <v>0</v>
      </c>
      <c r="AY131">
        <f>AA131-AM131</f>
        <v>0</v>
      </c>
      <c r="AZ131">
        <f>AB131-AN131</f>
        <v>0</v>
      </c>
      <c r="BA131">
        <f>AC131-AO131</f>
        <v>0</v>
      </c>
      <c r="BB131">
        <f>AD131-AP131</f>
        <v>0</v>
      </c>
      <c r="BC131">
        <f>AE131-AQ131</f>
        <v>0</v>
      </c>
      <c r="BD131">
        <f>AF131-AR131</f>
        <v>0</v>
      </c>
      <c r="BE131">
        <f>AG131-AS131</f>
        <v>0</v>
      </c>
    </row>
    <row r="132">
      <c r="A132" t="n">
        <v>102</v>
      </c>
      <c r="B132">
        <f>SUMPRODUCT(ROUND($AT131:$BE131*(1+'Calc base'!$H132:$S132),2))</f>
        <v>0</v>
      </c>
      <c r="C132">
        <f>SUM(J132:U132)</f>
        <v>0</v>
      </c>
      <c r="D132">
        <f>SUM(V132:AG132)</f>
        <v>0</v>
      </c>
      <c r="E132">
        <f>MAX(0,IF(Impostazioni!$B$7="No",'Calc base'!$C132-$C$31,'Calc base'!$C132-C132)+'Calc base'!$G132+'Calc base'!$F132-(B132-C132-D132))</f>
        <v>900</v>
      </c>
      <c r="F132">
        <f>SUM(AH132:AS132)</f>
        <v>0</v>
      </c>
      <c r="G132">
        <f>SUM(AT132:BE132)</f>
        <v>0</v>
      </c>
      <c r="H132">
        <f>B132-G131</f>
        <v>0</v>
      </c>
      <c r="I132">
        <f>B132-G132</f>
        <v>0</v>
      </c>
      <c r="J132">
        <f>IF(AT131&lt;=0,0,IF(ROUND(AT131*(1+'Calc base'!H132),2)-MAX('Calc base'!C$12,ROUND('Calc base'!C$13*AT131,2))&lt;1,ROUND(AT131*(1+'Calc base'!H132),2),MAX('Calc base'!C$12,ROUND('Calc base'!C$13*AT131,2))))</f>
        <v>0</v>
      </c>
      <c r="K132">
        <f>IF(AU131&lt;=0,0,IF(ROUND(AU131*(1+'Calc base'!I132),2)-MAX('Calc base'!D$12,ROUND('Calc base'!D$13*AU131,2))&lt;1,ROUND(AU131*(1+'Calc base'!I132),2),MAX('Calc base'!D$12,ROUND('Calc base'!D$13*AU131,2))))</f>
        <v>0</v>
      </c>
      <c r="L132">
        <f>IF(AV131&lt;=0,0,IF(ROUND(AV131*(1+'Calc base'!J132),2)-MAX('Calc base'!E$12,ROUND('Calc base'!E$13*AV131,2))&lt;1,ROUND(AV131*(1+'Calc base'!J132),2),MAX('Calc base'!E$12,ROUND('Calc base'!E$13*AV131,2))))</f>
        <v>0</v>
      </c>
      <c r="M132">
        <f>IF(AW131&lt;=0,0,IF(ROUND(AW131*(1+'Calc base'!K132),2)-MAX('Calc base'!F$12,ROUND('Calc base'!F$13*AW131,2))&lt;1,ROUND(AW131*(1+'Calc base'!K132),2),MAX('Calc base'!F$12,ROUND('Calc base'!F$13*AW131,2))))</f>
        <v>0</v>
      </c>
      <c r="N132">
        <f>IF(AX131&lt;=0,0,IF(ROUND(AX131*(1+'Calc base'!L132),2)-MAX('Calc base'!G$12,ROUND('Calc base'!G$13*AX131,2))&lt;1,ROUND(AX131*(1+'Calc base'!L132),2),MAX('Calc base'!G$12,ROUND('Calc base'!G$13*AX131,2))))</f>
        <v>0</v>
      </c>
      <c r="O132">
        <f>IF(AY131&lt;=0,0,IF(ROUND(AY131*(1+'Calc base'!M132),2)-MAX('Calc base'!H$12,ROUND('Calc base'!H$13*AY131,2))&lt;1,ROUND(AY131*(1+'Calc base'!M132),2),MAX('Calc base'!H$12,ROUND('Calc base'!H$13*AY131,2))))</f>
        <v>0</v>
      </c>
      <c r="P132">
        <f>IF(AZ131&lt;=0,0,IF(ROUND(AZ131*(1+'Calc base'!N132),2)-MAX('Calc base'!I$12,ROUND('Calc base'!I$13*AZ131,2))&lt;1,ROUND(AZ131*(1+'Calc base'!N132),2),MAX('Calc base'!I$12,ROUND('Calc base'!I$13*AZ131,2))))</f>
        <v>0</v>
      </c>
      <c r="Q132">
        <f>IF(BA131&lt;=0,0,IF(ROUND(BA131*(1+'Calc base'!O132),2)-MAX('Calc base'!J$12,ROUND('Calc base'!J$13*BA131,2))&lt;1,ROUND(BA131*(1+'Calc base'!O132),2),MAX('Calc base'!J$12,ROUND('Calc base'!J$13*BA131,2))))</f>
        <v>0</v>
      </c>
      <c r="R132">
        <f>IF(BB131&lt;=0,0,IF(ROUND(BB131*(1+'Calc base'!P132),2)-MAX('Calc base'!K$12,ROUND('Calc base'!K$13*BB131,2))&lt;1,ROUND(BB131*(1+'Calc base'!P132),2),MAX('Calc base'!K$12,ROUND('Calc base'!K$13*BB131,2))))</f>
        <v>0</v>
      </c>
      <c r="S132">
        <f>IF(BC131&lt;=0,0,IF(ROUND(BC131*(1+'Calc base'!Q132),2)-MAX('Calc base'!L$12,ROUND('Calc base'!L$13*BC131,2))&lt;1,ROUND(BC131*(1+'Calc base'!Q132),2),MAX('Calc base'!L$12,ROUND('Calc base'!L$13*BC131,2))))</f>
        <v>0</v>
      </c>
      <c r="T132">
        <f>IF(BD131&lt;=0,0,IF(ROUND(BD131*(1+'Calc base'!R132),2)-MAX('Calc base'!M$12,ROUND('Calc base'!M$13*BD131,2))&lt;1,ROUND(BD131*(1+'Calc base'!R132),2),MAX('Calc base'!M$12,ROUND('Calc base'!M$13*BD131,2))))</f>
        <v>0</v>
      </c>
      <c r="U132">
        <f>IF(BE131&lt;=0,0,IF(ROUND(BE131*(1+'Calc base'!S132),2)-MAX('Calc base'!N$12,ROUND('Calc base'!N$13*BE131,2))&lt;1,ROUND(BE131*(1+'Calc base'!S132),2),MAX('Calc base'!N$12,ROUND('Calc base'!N$13*BE131,2))))</f>
        <v>0</v>
      </c>
      <c r="V132">
        <f>MAX(0,ROUND(AT131*(1+'Calc base'!H132),2)-J132-'Calc base'!T132)</f>
        <v>0</v>
      </c>
      <c r="W132">
        <f>MAX(0,ROUND(AU131*(1+'Calc base'!I132),2)-K132-'Calc base'!U132)</f>
        <v>0</v>
      </c>
      <c r="X132">
        <f>MAX(0,ROUND(AV131*(1+'Calc base'!J132),2)-L132-'Calc base'!V132)</f>
        <v>0</v>
      </c>
      <c r="Y132">
        <f>MAX(0,ROUND(AW131*(1+'Calc base'!K132),2)-M132-'Calc base'!W132)</f>
        <v>0</v>
      </c>
      <c r="Z132">
        <f>MAX(0,ROUND(AX131*(1+'Calc base'!L132),2)-N132-'Calc base'!X132)</f>
        <v>0</v>
      </c>
      <c r="AA132">
        <f>MAX(0,ROUND(AY131*(1+'Calc base'!M132),2)-O132-'Calc base'!Y132)</f>
        <v>0</v>
      </c>
      <c r="AB132">
        <f>MAX(0,ROUND(AZ131*(1+'Calc base'!N132),2)-P132-'Calc base'!Z132)</f>
        <v>0</v>
      </c>
      <c r="AC132">
        <f>MAX(0,ROUND(BA131*(1+'Calc base'!O132),2)-Q132-'Calc base'!AA132)</f>
        <v>0</v>
      </c>
      <c r="AD132">
        <f>MAX(0,ROUND(BB131*(1+'Calc base'!P132),2)-R132-'Calc base'!AB132)</f>
        <v>0</v>
      </c>
      <c r="AE132">
        <f>MAX(0,ROUND(BC131*(1+'Calc base'!Q132),2)-S132-'Calc base'!AC132)</f>
        <v>0</v>
      </c>
      <c r="AF132">
        <f>MAX(0,ROUND(BD131*(1+'Calc base'!R132),2)-T132-'Calc base'!AD132)</f>
        <v>0</v>
      </c>
      <c r="AG132">
        <f>MAX(0,ROUND(BE131*(1+'Calc base'!S132),2)-U132-'Calc base'!AE132)</f>
        <v>0</v>
      </c>
      <c r="AH132">
        <f>IF('Calc base'!C$14=0,0,MIN(V132,MAX(0,$E132-SUMIFS($V132:$AG132,'Calc base'!$C$17:$N$17,"&lt;"&amp;'Calc base'!C$17,'Calc base'!$C$14:$N$14,1))))</f>
        <v>0</v>
      </c>
      <c r="AI132">
        <f>IF('Calc base'!D$14=0,0,MIN(W132,MAX(0,$E132-SUMIFS($V132:$AG132,'Calc base'!$C$17:$N$17,"&lt;"&amp;'Calc base'!D$17,'Calc base'!$C$14:$N$14,1))))</f>
        <v>0</v>
      </c>
      <c r="AJ132">
        <f>IF('Calc base'!E$14=0,0,MIN(X132,MAX(0,$E132-SUMIFS($V132:$AG132,'Calc base'!$C$17:$N$17,"&lt;"&amp;'Calc base'!E$17,'Calc base'!$C$14:$N$14,1))))</f>
        <v>0</v>
      </c>
      <c r="AK132">
        <f>IF('Calc base'!F$14=0,0,MIN(Y132,MAX(0,$E132-SUMIFS($V132:$AG132,'Calc base'!$C$17:$N$17,"&lt;"&amp;'Calc base'!F$17,'Calc base'!$C$14:$N$14,1))))</f>
        <v>0</v>
      </c>
      <c r="AL132">
        <f>IF('Calc base'!G$14=0,0,MIN(Z132,MAX(0,$E132-SUMIFS($V132:$AG132,'Calc base'!$C$17:$N$17,"&lt;"&amp;'Calc base'!G$17,'Calc base'!$C$14:$N$14,1))))</f>
        <v>0</v>
      </c>
      <c r="AM132">
        <f>IF('Calc base'!H$14=0,0,MIN(AA132,MAX(0,$E132-SUMIFS($V132:$AG132,'Calc base'!$C$17:$N$17,"&lt;"&amp;'Calc base'!H$17,'Calc base'!$C$14:$N$14,1))))</f>
        <v>0</v>
      </c>
      <c r="AN132">
        <f>IF('Calc base'!I$14=0,0,MIN(AB132,MAX(0,$E132-SUMIFS($V132:$AG132,'Calc base'!$C$17:$N$17,"&lt;"&amp;'Calc base'!I$17,'Calc base'!$C$14:$N$14,1))))</f>
        <v>0</v>
      </c>
      <c r="AO132">
        <f>IF('Calc base'!J$14=0,0,MIN(AC132,MAX(0,$E132-SUMIFS($V132:$AG132,'Calc base'!$C$17:$N$17,"&lt;"&amp;'Calc base'!J$17,'Calc base'!$C$14:$N$14,1))))</f>
        <v>0</v>
      </c>
      <c r="AP132">
        <f>IF('Calc base'!K$14=0,0,MIN(AD132,MAX(0,$E132-SUMIFS($V132:$AG132,'Calc base'!$C$17:$N$17,"&lt;"&amp;'Calc base'!K$17,'Calc base'!$C$14:$N$14,1))))</f>
        <v>0</v>
      </c>
      <c r="AQ132">
        <f>IF('Calc base'!L$14=0,0,MIN(AE132,MAX(0,$E132-SUMIFS($V132:$AG132,'Calc base'!$C$17:$N$17,"&lt;"&amp;'Calc base'!L$17,'Calc base'!$C$14:$N$14,1))))</f>
        <v>0</v>
      </c>
      <c r="AR132">
        <f>IF('Calc base'!M$14=0,0,MIN(AF132,MAX(0,$E132-SUMIFS($V132:$AG132,'Calc base'!$C$17:$N$17,"&lt;"&amp;'Calc base'!M$17,'Calc base'!$C$14:$N$14,1))))</f>
        <v>0</v>
      </c>
      <c r="AS132">
        <f>IF('Calc base'!N$14=0,0,MIN(AG132,MAX(0,$E132-SUMIFS($V132:$AG132,'Calc base'!$C$17:$N$17,"&lt;"&amp;'Calc base'!N$17,'Calc base'!$C$14:$N$14,1))))</f>
        <v>0</v>
      </c>
      <c r="AT132">
        <f>V132-AH132</f>
        <v>0</v>
      </c>
      <c r="AU132">
        <f>W132-AI132</f>
        <v>0</v>
      </c>
      <c r="AV132">
        <f>X132-AJ132</f>
        <v>0</v>
      </c>
      <c r="AW132">
        <f>Y132-AK132</f>
        <v>0</v>
      </c>
      <c r="AX132">
        <f>Z132-AL132</f>
        <v>0</v>
      </c>
      <c r="AY132">
        <f>AA132-AM132</f>
        <v>0</v>
      </c>
      <c r="AZ132">
        <f>AB132-AN132</f>
        <v>0</v>
      </c>
      <c r="BA132">
        <f>AC132-AO132</f>
        <v>0</v>
      </c>
      <c r="BB132">
        <f>AD132-AP132</f>
        <v>0</v>
      </c>
      <c r="BC132">
        <f>AE132-AQ132</f>
        <v>0</v>
      </c>
      <c r="BD132">
        <f>AF132-AR132</f>
        <v>0</v>
      </c>
      <c r="BE132">
        <f>AG132-AS132</f>
        <v>0</v>
      </c>
    </row>
    <row r="133">
      <c r="A133" t="n">
        <v>103</v>
      </c>
      <c r="B133">
        <f>SUMPRODUCT(ROUND($AT132:$BE132*(1+'Calc base'!$H133:$S133),2))</f>
        <v>0</v>
      </c>
      <c r="C133">
        <f>SUM(J133:U133)</f>
        <v>0</v>
      </c>
      <c r="D133">
        <f>SUM(V133:AG133)</f>
        <v>0</v>
      </c>
      <c r="E133">
        <f>MAX(0,IF(Impostazioni!$B$7="No",'Calc base'!$C133-$C$31,'Calc base'!$C133-C133)+'Calc base'!$G133+'Calc base'!$F133-(B133-C133-D133))</f>
        <v>900</v>
      </c>
      <c r="F133">
        <f>SUM(AH133:AS133)</f>
        <v>0</v>
      </c>
      <c r="G133">
        <f>SUM(AT133:BE133)</f>
        <v>0</v>
      </c>
      <c r="H133">
        <f>B133-G132</f>
        <v>0</v>
      </c>
      <c r="I133">
        <f>B133-G133</f>
        <v>0</v>
      </c>
      <c r="J133">
        <f>IF(AT132&lt;=0,0,IF(ROUND(AT132*(1+'Calc base'!H133),2)-MAX('Calc base'!C$12,ROUND('Calc base'!C$13*AT132,2))&lt;1,ROUND(AT132*(1+'Calc base'!H133),2),MAX('Calc base'!C$12,ROUND('Calc base'!C$13*AT132,2))))</f>
        <v>0</v>
      </c>
      <c r="K133">
        <f>IF(AU132&lt;=0,0,IF(ROUND(AU132*(1+'Calc base'!I133),2)-MAX('Calc base'!D$12,ROUND('Calc base'!D$13*AU132,2))&lt;1,ROUND(AU132*(1+'Calc base'!I133),2),MAX('Calc base'!D$12,ROUND('Calc base'!D$13*AU132,2))))</f>
        <v>0</v>
      </c>
      <c r="L133">
        <f>IF(AV132&lt;=0,0,IF(ROUND(AV132*(1+'Calc base'!J133),2)-MAX('Calc base'!E$12,ROUND('Calc base'!E$13*AV132,2))&lt;1,ROUND(AV132*(1+'Calc base'!J133),2),MAX('Calc base'!E$12,ROUND('Calc base'!E$13*AV132,2))))</f>
        <v>0</v>
      </c>
      <c r="M133">
        <f>IF(AW132&lt;=0,0,IF(ROUND(AW132*(1+'Calc base'!K133),2)-MAX('Calc base'!F$12,ROUND('Calc base'!F$13*AW132,2))&lt;1,ROUND(AW132*(1+'Calc base'!K133),2),MAX('Calc base'!F$12,ROUND('Calc base'!F$13*AW132,2))))</f>
        <v>0</v>
      </c>
      <c r="N133">
        <f>IF(AX132&lt;=0,0,IF(ROUND(AX132*(1+'Calc base'!L133),2)-MAX('Calc base'!G$12,ROUND('Calc base'!G$13*AX132,2))&lt;1,ROUND(AX132*(1+'Calc base'!L133),2),MAX('Calc base'!G$12,ROUND('Calc base'!G$13*AX132,2))))</f>
        <v>0</v>
      </c>
      <c r="O133">
        <f>IF(AY132&lt;=0,0,IF(ROUND(AY132*(1+'Calc base'!M133),2)-MAX('Calc base'!H$12,ROUND('Calc base'!H$13*AY132,2))&lt;1,ROUND(AY132*(1+'Calc base'!M133),2),MAX('Calc base'!H$12,ROUND('Calc base'!H$13*AY132,2))))</f>
        <v>0</v>
      </c>
      <c r="P133">
        <f>IF(AZ132&lt;=0,0,IF(ROUND(AZ132*(1+'Calc base'!N133),2)-MAX('Calc base'!I$12,ROUND('Calc base'!I$13*AZ132,2))&lt;1,ROUND(AZ132*(1+'Calc base'!N133),2),MAX('Calc base'!I$12,ROUND('Calc base'!I$13*AZ132,2))))</f>
        <v>0</v>
      </c>
      <c r="Q133">
        <f>IF(BA132&lt;=0,0,IF(ROUND(BA132*(1+'Calc base'!O133),2)-MAX('Calc base'!J$12,ROUND('Calc base'!J$13*BA132,2))&lt;1,ROUND(BA132*(1+'Calc base'!O133),2),MAX('Calc base'!J$12,ROUND('Calc base'!J$13*BA132,2))))</f>
        <v>0</v>
      </c>
      <c r="R133">
        <f>IF(BB132&lt;=0,0,IF(ROUND(BB132*(1+'Calc base'!P133),2)-MAX('Calc base'!K$12,ROUND('Calc base'!K$13*BB132,2))&lt;1,ROUND(BB132*(1+'Calc base'!P133),2),MAX('Calc base'!K$12,ROUND('Calc base'!K$13*BB132,2))))</f>
        <v>0</v>
      </c>
      <c r="S133">
        <f>IF(BC132&lt;=0,0,IF(ROUND(BC132*(1+'Calc base'!Q133),2)-MAX('Calc base'!L$12,ROUND('Calc base'!L$13*BC132,2))&lt;1,ROUND(BC132*(1+'Calc base'!Q133),2),MAX('Calc base'!L$12,ROUND('Calc base'!L$13*BC132,2))))</f>
        <v>0</v>
      </c>
      <c r="T133">
        <f>IF(BD132&lt;=0,0,IF(ROUND(BD132*(1+'Calc base'!R133),2)-MAX('Calc base'!M$12,ROUND('Calc base'!M$13*BD132,2))&lt;1,ROUND(BD132*(1+'Calc base'!R133),2),MAX('Calc base'!M$12,ROUND('Calc base'!M$13*BD132,2))))</f>
        <v>0</v>
      </c>
      <c r="U133">
        <f>IF(BE132&lt;=0,0,IF(ROUND(BE132*(1+'Calc base'!S133),2)-MAX('Calc base'!N$12,ROUND('Calc base'!N$13*BE132,2))&lt;1,ROUND(BE132*(1+'Calc base'!S133),2),MAX('Calc base'!N$12,ROUND('Calc base'!N$13*BE132,2))))</f>
        <v>0</v>
      </c>
      <c r="V133">
        <f>MAX(0,ROUND(AT132*(1+'Calc base'!H133),2)-J133-'Calc base'!T133)</f>
        <v>0</v>
      </c>
      <c r="W133">
        <f>MAX(0,ROUND(AU132*(1+'Calc base'!I133),2)-K133-'Calc base'!U133)</f>
        <v>0</v>
      </c>
      <c r="X133">
        <f>MAX(0,ROUND(AV132*(1+'Calc base'!J133),2)-L133-'Calc base'!V133)</f>
        <v>0</v>
      </c>
      <c r="Y133">
        <f>MAX(0,ROUND(AW132*(1+'Calc base'!K133),2)-M133-'Calc base'!W133)</f>
        <v>0</v>
      </c>
      <c r="Z133">
        <f>MAX(0,ROUND(AX132*(1+'Calc base'!L133),2)-N133-'Calc base'!X133)</f>
        <v>0</v>
      </c>
      <c r="AA133">
        <f>MAX(0,ROUND(AY132*(1+'Calc base'!M133),2)-O133-'Calc base'!Y133)</f>
        <v>0</v>
      </c>
      <c r="AB133">
        <f>MAX(0,ROUND(AZ132*(1+'Calc base'!N133),2)-P133-'Calc base'!Z133)</f>
        <v>0</v>
      </c>
      <c r="AC133">
        <f>MAX(0,ROUND(BA132*(1+'Calc base'!O133),2)-Q133-'Calc base'!AA133)</f>
        <v>0</v>
      </c>
      <c r="AD133">
        <f>MAX(0,ROUND(BB132*(1+'Calc base'!P133),2)-R133-'Calc base'!AB133)</f>
        <v>0</v>
      </c>
      <c r="AE133">
        <f>MAX(0,ROUND(BC132*(1+'Calc base'!Q133),2)-S133-'Calc base'!AC133)</f>
        <v>0</v>
      </c>
      <c r="AF133">
        <f>MAX(0,ROUND(BD132*(1+'Calc base'!R133),2)-T133-'Calc base'!AD133)</f>
        <v>0</v>
      </c>
      <c r="AG133">
        <f>MAX(0,ROUND(BE132*(1+'Calc base'!S133),2)-U133-'Calc base'!AE133)</f>
        <v>0</v>
      </c>
      <c r="AH133">
        <f>IF('Calc base'!C$14=0,0,MIN(V133,MAX(0,$E133-SUMIFS($V133:$AG133,'Calc base'!$C$17:$N$17,"&lt;"&amp;'Calc base'!C$17,'Calc base'!$C$14:$N$14,1))))</f>
        <v>0</v>
      </c>
      <c r="AI133">
        <f>IF('Calc base'!D$14=0,0,MIN(W133,MAX(0,$E133-SUMIFS($V133:$AG133,'Calc base'!$C$17:$N$17,"&lt;"&amp;'Calc base'!D$17,'Calc base'!$C$14:$N$14,1))))</f>
        <v>0</v>
      </c>
      <c r="AJ133">
        <f>IF('Calc base'!E$14=0,0,MIN(X133,MAX(0,$E133-SUMIFS($V133:$AG133,'Calc base'!$C$17:$N$17,"&lt;"&amp;'Calc base'!E$17,'Calc base'!$C$14:$N$14,1))))</f>
        <v>0</v>
      </c>
      <c r="AK133">
        <f>IF('Calc base'!F$14=0,0,MIN(Y133,MAX(0,$E133-SUMIFS($V133:$AG133,'Calc base'!$C$17:$N$17,"&lt;"&amp;'Calc base'!F$17,'Calc base'!$C$14:$N$14,1))))</f>
        <v>0</v>
      </c>
      <c r="AL133">
        <f>IF('Calc base'!G$14=0,0,MIN(Z133,MAX(0,$E133-SUMIFS($V133:$AG133,'Calc base'!$C$17:$N$17,"&lt;"&amp;'Calc base'!G$17,'Calc base'!$C$14:$N$14,1))))</f>
        <v>0</v>
      </c>
      <c r="AM133">
        <f>IF('Calc base'!H$14=0,0,MIN(AA133,MAX(0,$E133-SUMIFS($V133:$AG133,'Calc base'!$C$17:$N$17,"&lt;"&amp;'Calc base'!H$17,'Calc base'!$C$14:$N$14,1))))</f>
        <v>0</v>
      </c>
      <c r="AN133">
        <f>IF('Calc base'!I$14=0,0,MIN(AB133,MAX(0,$E133-SUMIFS($V133:$AG133,'Calc base'!$C$17:$N$17,"&lt;"&amp;'Calc base'!I$17,'Calc base'!$C$14:$N$14,1))))</f>
        <v>0</v>
      </c>
      <c r="AO133">
        <f>IF('Calc base'!J$14=0,0,MIN(AC133,MAX(0,$E133-SUMIFS($V133:$AG133,'Calc base'!$C$17:$N$17,"&lt;"&amp;'Calc base'!J$17,'Calc base'!$C$14:$N$14,1))))</f>
        <v>0</v>
      </c>
      <c r="AP133">
        <f>IF('Calc base'!K$14=0,0,MIN(AD133,MAX(0,$E133-SUMIFS($V133:$AG133,'Calc base'!$C$17:$N$17,"&lt;"&amp;'Calc base'!K$17,'Calc base'!$C$14:$N$14,1))))</f>
        <v>0</v>
      </c>
      <c r="AQ133">
        <f>IF('Calc base'!L$14=0,0,MIN(AE133,MAX(0,$E133-SUMIFS($V133:$AG133,'Calc base'!$C$17:$N$17,"&lt;"&amp;'Calc base'!L$17,'Calc base'!$C$14:$N$14,1))))</f>
        <v>0</v>
      </c>
      <c r="AR133">
        <f>IF('Calc base'!M$14=0,0,MIN(AF133,MAX(0,$E133-SUMIFS($V133:$AG133,'Calc base'!$C$17:$N$17,"&lt;"&amp;'Calc base'!M$17,'Calc base'!$C$14:$N$14,1))))</f>
        <v>0</v>
      </c>
      <c r="AS133">
        <f>IF('Calc base'!N$14=0,0,MIN(AG133,MAX(0,$E133-SUMIFS($V133:$AG133,'Calc base'!$C$17:$N$17,"&lt;"&amp;'Calc base'!N$17,'Calc base'!$C$14:$N$14,1))))</f>
        <v>0</v>
      </c>
      <c r="AT133">
        <f>V133-AH133</f>
        <v>0</v>
      </c>
      <c r="AU133">
        <f>W133-AI133</f>
        <v>0</v>
      </c>
      <c r="AV133">
        <f>X133-AJ133</f>
        <v>0</v>
      </c>
      <c r="AW133">
        <f>Y133-AK133</f>
        <v>0</v>
      </c>
      <c r="AX133">
        <f>Z133-AL133</f>
        <v>0</v>
      </c>
      <c r="AY133">
        <f>AA133-AM133</f>
        <v>0</v>
      </c>
      <c r="AZ133">
        <f>AB133-AN133</f>
        <v>0</v>
      </c>
      <c r="BA133">
        <f>AC133-AO133</f>
        <v>0</v>
      </c>
      <c r="BB133">
        <f>AD133-AP133</f>
        <v>0</v>
      </c>
      <c r="BC133">
        <f>AE133-AQ133</f>
        <v>0</v>
      </c>
      <c r="BD133">
        <f>AF133-AR133</f>
        <v>0</v>
      </c>
      <c r="BE133">
        <f>AG133-AS133</f>
        <v>0</v>
      </c>
    </row>
    <row r="134">
      <c r="A134" t="n">
        <v>104</v>
      </c>
      <c r="B134">
        <f>SUMPRODUCT(ROUND($AT133:$BE133*(1+'Calc base'!$H134:$S134),2))</f>
        <v>0</v>
      </c>
      <c r="C134">
        <f>SUM(J134:U134)</f>
        <v>0</v>
      </c>
      <c r="D134">
        <f>SUM(V134:AG134)</f>
        <v>0</v>
      </c>
      <c r="E134">
        <f>MAX(0,IF(Impostazioni!$B$7="No",'Calc base'!$C134-$C$31,'Calc base'!$C134-C134)+'Calc base'!$G134+'Calc base'!$F134-(B134-C134-D134))</f>
        <v>900</v>
      </c>
      <c r="F134">
        <f>SUM(AH134:AS134)</f>
        <v>0</v>
      </c>
      <c r="G134">
        <f>SUM(AT134:BE134)</f>
        <v>0</v>
      </c>
      <c r="H134">
        <f>B134-G133</f>
        <v>0</v>
      </c>
      <c r="I134">
        <f>B134-G134</f>
        <v>0</v>
      </c>
      <c r="J134">
        <f>IF(AT133&lt;=0,0,IF(ROUND(AT133*(1+'Calc base'!H134),2)-MAX('Calc base'!C$12,ROUND('Calc base'!C$13*AT133,2))&lt;1,ROUND(AT133*(1+'Calc base'!H134),2),MAX('Calc base'!C$12,ROUND('Calc base'!C$13*AT133,2))))</f>
        <v>0</v>
      </c>
      <c r="K134">
        <f>IF(AU133&lt;=0,0,IF(ROUND(AU133*(1+'Calc base'!I134),2)-MAX('Calc base'!D$12,ROUND('Calc base'!D$13*AU133,2))&lt;1,ROUND(AU133*(1+'Calc base'!I134),2),MAX('Calc base'!D$12,ROUND('Calc base'!D$13*AU133,2))))</f>
        <v>0</v>
      </c>
      <c r="L134">
        <f>IF(AV133&lt;=0,0,IF(ROUND(AV133*(1+'Calc base'!J134),2)-MAX('Calc base'!E$12,ROUND('Calc base'!E$13*AV133,2))&lt;1,ROUND(AV133*(1+'Calc base'!J134),2),MAX('Calc base'!E$12,ROUND('Calc base'!E$13*AV133,2))))</f>
        <v>0</v>
      </c>
      <c r="M134">
        <f>IF(AW133&lt;=0,0,IF(ROUND(AW133*(1+'Calc base'!K134),2)-MAX('Calc base'!F$12,ROUND('Calc base'!F$13*AW133,2))&lt;1,ROUND(AW133*(1+'Calc base'!K134),2),MAX('Calc base'!F$12,ROUND('Calc base'!F$13*AW133,2))))</f>
        <v>0</v>
      </c>
      <c r="N134">
        <f>IF(AX133&lt;=0,0,IF(ROUND(AX133*(1+'Calc base'!L134),2)-MAX('Calc base'!G$12,ROUND('Calc base'!G$13*AX133,2))&lt;1,ROUND(AX133*(1+'Calc base'!L134),2),MAX('Calc base'!G$12,ROUND('Calc base'!G$13*AX133,2))))</f>
        <v>0</v>
      </c>
      <c r="O134">
        <f>IF(AY133&lt;=0,0,IF(ROUND(AY133*(1+'Calc base'!M134),2)-MAX('Calc base'!H$12,ROUND('Calc base'!H$13*AY133,2))&lt;1,ROUND(AY133*(1+'Calc base'!M134),2),MAX('Calc base'!H$12,ROUND('Calc base'!H$13*AY133,2))))</f>
        <v>0</v>
      </c>
      <c r="P134">
        <f>IF(AZ133&lt;=0,0,IF(ROUND(AZ133*(1+'Calc base'!N134),2)-MAX('Calc base'!I$12,ROUND('Calc base'!I$13*AZ133,2))&lt;1,ROUND(AZ133*(1+'Calc base'!N134),2),MAX('Calc base'!I$12,ROUND('Calc base'!I$13*AZ133,2))))</f>
        <v>0</v>
      </c>
      <c r="Q134">
        <f>IF(BA133&lt;=0,0,IF(ROUND(BA133*(1+'Calc base'!O134),2)-MAX('Calc base'!J$12,ROUND('Calc base'!J$13*BA133,2))&lt;1,ROUND(BA133*(1+'Calc base'!O134),2),MAX('Calc base'!J$12,ROUND('Calc base'!J$13*BA133,2))))</f>
        <v>0</v>
      </c>
      <c r="R134">
        <f>IF(BB133&lt;=0,0,IF(ROUND(BB133*(1+'Calc base'!P134),2)-MAX('Calc base'!K$12,ROUND('Calc base'!K$13*BB133,2))&lt;1,ROUND(BB133*(1+'Calc base'!P134),2),MAX('Calc base'!K$12,ROUND('Calc base'!K$13*BB133,2))))</f>
        <v>0</v>
      </c>
      <c r="S134">
        <f>IF(BC133&lt;=0,0,IF(ROUND(BC133*(1+'Calc base'!Q134),2)-MAX('Calc base'!L$12,ROUND('Calc base'!L$13*BC133,2))&lt;1,ROUND(BC133*(1+'Calc base'!Q134),2),MAX('Calc base'!L$12,ROUND('Calc base'!L$13*BC133,2))))</f>
        <v>0</v>
      </c>
      <c r="T134">
        <f>IF(BD133&lt;=0,0,IF(ROUND(BD133*(1+'Calc base'!R134),2)-MAX('Calc base'!M$12,ROUND('Calc base'!M$13*BD133,2))&lt;1,ROUND(BD133*(1+'Calc base'!R134),2),MAX('Calc base'!M$12,ROUND('Calc base'!M$13*BD133,2))))</f>
        <v>0</v>
      </c>
      <c r="U134">
        <f>IF(BE133&lt;=0,0,IF(ROUND(BE133*(1+'Calc base'!S134),2)-MAX('Calc base'!N$12,ROUND('Calc base'!N$13*BE133,2))&lt;1,ROUND(BE133*(1+'Calc base'!S134),2),MAX('Calc base'!N$12,ROUND('Calc base'!N$13*BE133,2))))</f>
        <v>0</v>
      </c>
      <c r="V134">
        <f>MAX(0,ROUND(AT133*(1+'Calc base'!H134),2)-J134-'Calc base'!T134)</f>
        <v>0</v>
      </c>
      <c r="W134">
        <f>MAX(0,ROUND(AU133*(1+'Calc base'!I134),2)-K134-'Calc base'!U134)</f>
        <v>0</v>
      </c>
      <c r="X134">
        <f>MAX(0,ROUND(AV133*(1+'Calc base'!J134),2)-L134-'Calc base'!V134)</f>
        <v>0</v>
      </c>
      <c r="Y134">
        <f>MAX(0,ROUND(AW133*(1+'Calc base'!K134),2)-M134-'Calc base'!W134)</f>
        <v>0</v>
      </c>
      <c r="Z134">
        <f>MAX(0,ROUND(AX133*(1+'Calc base'!L134),2)-N134-'Calc base'!X134)</f>
        <v>0</v>
      </c>
      <c r="AA134">
        <f>MAX(0,ROUND(AY133*(1+'Calc base'!M134),2)-O134-'Calc base'!Y134)</f>
        <v>0</v>
      </c>
      <c r="AB134">
        <f>MAX(0,ROUND(AZ133*(1+'Calc base'!N134),2)-P134-'Calc base'!Z134)</f>
        <v>0</v>
      </c>
      <c r="AC134">
        <f>MAX(0,ROUND(BA133*(1+'Calc base'!O134),2)-Q134-'Calc base'!AA134)</f>
        <v>0</v>
      </c>
      <c r="AD134">
        <f>MAX(0,ROUND(BB133*(1+'Calc base'!P134),2)-R134-'Calc base'!AB134)</f>
        <v>0</v>
      </c>
      <c r="AE134">
        <f>MAX(0,ROUND(BC133*(1+'Calc base'!Q134),2)-S134-'Calc base'!AC134)</f>
        <v>0</v>
      </c>
      <c r="AF134">
        <f>MAX(0,ROUND(BD133*(1+'Calc base'!R134),2)-T134-'Calc base'!AD134)</f>
        <v>0</v>
      </c>
      <c r="AG134">
        <f>MAX(0,ROUND(BE133*(1+'Calc base'!S134),2)-U134-'Calc base'!AE134)</f>
        <v>0</v>
      </c>
      <c r="AH134">
        <f>IF('Calc base'!C$14=0,0,MIN(V134,MAX(0,$E134-SUMIFS($V134:$AG134,'Calc base'!$C$17:$N$17,"&lt;"&amp;'Calc base'!C$17,'Calc base'!$C$14:$N$14,1))))</f>
        <v>0</v>
      </c>
      <c r="AI134">
        <f>IF('Calc base'!D$14=0,0,MIN(W134,MAX(0,$E134-SUMIFS($V134:$AG134,'Calc base'!$C$17:$N$17,"&lt;"&amp;'Calc base'!D$17,'Calc base'!$C$14:$N$14,1))))</f>
        <v>0</v>
      </c>
      <c r="AJ134">
        <f>IF('Calc base'!E$14=0,0,MIN(X134,MAX(0,$E134-SUMIFS($V134:$AG134,'Calc base'!$C$17:$N$17,"&lt;"&amp;'Calc base'!E$17,'Calc base'!$C$14:$N$14,1))))</f>
        <v>0</v>
      </c>
      <c r="AK134">
        <f>IF('Calc base'!F$14=0,0,MIN(Y134,MAX(0,$E134-SUMIFS($V134:$AG134,'Calc base'!$C$17:$N$17,"&lt;"&amp;'Calc base'!F$17,'Calc base'!$C$14:$N$14,1))))</f>
        <v>0</v>
      </c>
      <c r="AL134">
        <f>IF('Calc base'!G$14=0,0,MIN(Z134,MAX(0,$E134-SUMIFS($V134:$AG134,'Calc base'!$C$17:$N$17,"&lt;"&amp;'Calc base'!G$17,'Calc base'!$C$14:$N$14,1))))</f>
        <v>0</v>
      </c>
      <c r="AM134">
        <f>IF('Calc base'!H$14=0,0,MIN(AA134,MAX(0,$E134-SUMIFS($V134:$AG134,'Calc base'!$C$17:$N$17,"&lt;"&amp;'Calc base'!H$17,'Calc base'!$C$14:$N$14,1))))</f>
        <v>0</v>
      </c>
      <c r="AN134">
        <f>IF('Calc base'!I$14=0,0,MIN(AB134,MAX(0,$E134-SUMIFS($V134:$AG134,'Calc base'!$C$17:$N$17,"&lt;"&amp;'Calc base'!I$17,'Calc base'!$C$14:$N$14,1))))</f>
        <v>0</v>
      </c>
      <c r="AO134">
        <f>IF('Calc base'!J$14=0,0,MIN(AC134,MAX(0,$E134-SUMIFS($V134:$AG134,'Calc base'!$C$17:$N$17,"&lt;"&amp;'Calc base'!J$17,'Calc base'!$C$14:$N$14,1))))</f>
        <v>0</v>
      </c>
      <c r="AP134">
        <f>IF('Calc base'!K$14=0,0,MIN(AD134,MAX(0,$E134-SUMIFS($V134:$AG134,'Calc base'!$C$17:$N$17,"&lt;"&amp;'Calc base'!K$17,'Calc base'!$C$14:$N$14,1))))</f>
        <v>0</v>
      </c>
      <c r="AQ134">
        <f>IF('Calc base'!L$14=0,0,MIN(AE134,MAX(0,$E134-SUMIFS($V134:$AG134,'Calc base'!$C$17:$N$17,"&lt;"&amp;'Calc base'!L$17,'Calc base'!$C$14:$N$14,1))))</f>
        <v>0</v>
      </c>
      <c r="AR134">
        <f>IF('Calc base'!M$14=0,0,MIN(AF134,MAX(0,$E134-SUMIFS($V134:$AG134,'Calc base'!$C$17:$N$17,"&lt;"&amp;'Calc base'!M$17,'Calc base'!$C$14:$N$14,1))))</f>
        <v>0</v>
      </c>
      <c r="AS134">
        <f>IF('Calc base'!N$14=0,0,MIN(AG134,MAX(0,$E134-SUMIFS($V134:$AG134,'Calc base'!$C$17:$N$17,"&lt;"&amp;'Calc base'!N$17,'Calc base'!$C$14:$N$14,1))))</f>
        <v>0</v>
      </c>
      <c r="AT134">
        <f>V134-AH134</f>
        <v>0</v>
      </c>
      <c r="AU134">
        <f>W134-AI134</f>
        <v>0</v>
      </c>
      <c r="AV134">
        <f>X134-AJ134</f>
        <v>0</v>
      </c>
      <c r="AW134">
        <f>Y134-AK134</f>
        <v>0</v>
      </c>
      <c r="AX134">
        <f>Z134-AL134</f>
        <v>0</v>
      </c>
      <c r="AY134">
        <f>AA134-AM134</f>
        <v>0</v>
      </c>
      <c r="AZ134">
        <f>AB134-AN134</f>
        <v>0</v>
      </c>
      <c r="BA134">
        <f>AC134-AO134</f>
        <v>0</v>
      </c>
      <c r="BB134">
        <f>AD134-AP134</f>
        <v>0</v>
      </c>
      <c r="BC134">
        <f>AE134-AQ134</f>
        <v>0</v>
      </c>
      <c r="BD134">
        <f>AF134-AR134</f>
        <v>0</v>
      </c>
      <c r="BE134">
        <f>AG134-AS134</f>
        <v>0</v>
      </c>
    </row>
    <row r="135">
      <c r="A135" t="n">
        <v>105</v>
      </c>
      <c r="B135">
        <f>SUMPRODUCT(ROUND($AT134:$BE134*(1+'Calc base'!$H135:$S135),2))</f>
        <v>0</v>
      </c>
      <c r="C135">
        <f>SUM(J135:U135)</f>
        <v>0</v>
      </c>
      <c r="D135">
        <f>SUM(V135:AG135)</f>
        <v>0</v>
      </c>
      <c r="E135">
        <f>MAX(0,IF(Impostazioni!$B$7="No",'Calc base'!$C135-$C$31,'Calc base'!$C135-C135)+'Calc base'!$G135+'Calc base'!$F135-(B135-C135-D135))</f>
        <v>900</v>
      </c>
      <c r="F135">
        <f>SUM(AH135:AS135)</f>
        <v>0</v>
      </c>
      <c r="G135">
        <f>SUM(AT135:BE135)</f>
        <v>0</v>
      </c>
      <c r="H135">
        <f>B135-G134</f>
        <v>0</v>
      </c>
      <c r="I135">
        <f>B135-G135</f>
        <v>0</v>
      </c>
      <c r="J135">
        <f>IF(AT134&lt;=0,0,IF(ROUND(AT134*(1+'Calc base'!H135),2)-MAX('Calc base'!C$12,ROUND('Calc base'!C$13*AT134,2))&lt;1,ROUND(AT134*(1+'Calc base'!H135),2),MAX('Calc base'!C$12,ROUND('Calc base'!C$13*AT134,2))))</f>
        <v>0</v>
      </c>
      <c r="K135">
        <f>IF(AU134&lt;=0,0,IF(ROUND(AU134*(1+'Calc base'!I135),2)-MAX('Calc base'!D$12,ROUND('Calc base'!D$13*AU134,2))&lt;1,ROUND(AU134*(1+'Calc base'!I135),2),MAX('Calc base'!D$12,ROUND('Calc base'!D$13*AU134,2))))</f>
        <v>0</v>
      </c>
      <c r="L135">
        <f>IF(AV134&lt;=0,0,IF(ROUND(AV134*(1+'Calc base'!J135),2)-MAX('Calc base'!E$12,ROUND('Calc base'!E$13*AV134,2))&lt;1,ROUND(AV134*(1+'Calc base'!J135),2),MAX('Calc base'!E$12,ROUND('Calc base'!E$13*AV134,2))))</f>
        <v>0</v>
      </c>
      <c r="M135">
        <f>IF(AW134&lt;=0,0,IF(ROUND(AW134*(1+'Calc base'!K135),2)-MAX('Calc base'!F$12,ROUND('Calc base'!F$13*AW134,2))&lt;1,ROUND(AW134*(1+'Calc base'!K135),2),MAX('Calc base'!F$12,ROUND('Calc base'!F$13*AW134,2))))</f>
        <v>0</v>
      </c>
      <c r="N135">
        <f>IF(AX134&lt;=0,0,IF(ROUND(AX134*(1+'Calc base'!L135),2)-MAX('Calc base'!G$12,ROUND('Calc base'!G$13*AX134,2))&lt;1,ROUND(AX134*(1+'Calc base'!L135),2),MAX('Calc base'!G$12,ROUND('Calc base'!G$13*AX134,2))))</f>
        <v>0</v>
      </c>
      <c r="O135">
        <f>IF(AY134&lt;=0,0,IF(ROUND(AY134*(1+'Calc base'!M135),2)-MAX('Calc base'!H$12,ROUND('Calc base'!H$13*AY134,2))&lt;1,ROUND(AY134*(1+'Calc base'!M135),2),MAX('Calc base'!H$12,ROUND('Calc base'!H$13*AY134,2))))</f>
        <v>0</v>
      </c>
      <c r="P135">
        <f>IF(AZ134&lt;=0,0,IF(ROUND(AZ134*(1+'Calc base'!N135),2)-MAX('Calc base'!I$12,ROUND('Calc base'!I$13*AZ134,2))&lt;1,ROUND(AZ134*(1+'Calc base'!N135),2),MAX('Calc base'!I$12,ROUND('Calc base'!I$13*AZ134,2))))</f>
        <v>0</v>
      </c>
      <c r="Q135">
        <f>IF(BA134&lt;=0,0,IF(ROUND(BA134*(1+'Calc base'!O135),2)-MAX('Calc base'!J$12,ROUND('Calc base'!J$13*BA134,2))&lt;1,ROUND(BA134*(1+'Calc base'!O135),2),MAX('Calc base'!J$12,ROUND('Calc base'!J$13*BA134,2))))</f>
        <v>0</v>
      </c>
      <c r="R135">
        <f>IF(BB134&lt;=0,0,IF(ROUND(BB134*(1+'Calc base'!P135),2)-MAX('Calc base'!K$12,ROUND('Calc base'!K$13*BB134,2))&lt;1,ROUND(BB134*(1+'Calc base'!P135),2),MAX('Calc base'!K$12,ROUND('Calc base'!K$13*BB134,2))))</f>
        <v>0</v>
      </c>
      <c r="S135">
        <f>IF(BC134&lt;=0,0,IF(ROUND(BC134*(1+'Calc base'!Q135),2)-MAX('Calc base'!L$12,ROUND('Calc base'!L$13*BC134,2))&lt;1,ROUND(BC134*(1+'Calc base'!Q135),2),MAX('Calc base'!L$12,ROUND('Calc base'!L$13*BC134,2))))</f>
        <v>0</v>
      </c>
      <c r="T135">
        <f>IF(BD134&lt;=0,0,IF(ROUND(BD134*(1+'Calc base'!R135),2)-MAX('Calc base'!M$12,ROUND('Calc base'!M$13*BD134,2))&lt;1,ROUND(BD134*(1+'Calc base'!R135),2),MAX('Calc base'!M$12,ROUND('Calc base'!M$13*BD134,2))))</f>
        <v>0</v>
      </c>
      <c r="U135">
        <f>IF(BE134&lt;=0,0,IF(ROUND(BE134*(1+'Calc base'!S135),2)-MAX('Calc base'!N$12,ROUND('Calc base'!N$13*BE134,2))&lt;1,ROUND(BE134*(1+'Calc base'!S135),2),MAX('Calc base'!N$12,ROUND('Calc base'!N$13*BE134,2))))</f>
        <v>0</v>
      </c>
      <c r="V135">
        <f>MAX(0,ROUND(AT134*(1+'Calc base'!H135),2)-J135-'Calc base'!T135)</f>
        <v>0</v>
      </c>
      <c r="W135">
        <f>MAX(0,ROUND(AU134*(1+'Calc base'!I135),2)-K135-'Calc base'!U135)</f>
        <v>0</v>
      </c>
      <c r="X135">
        <f>MAX(0,ROUND(AV134*(1+'Calc base'!J135),2)-L135-'Calc base'!V135)</f>
        <v>0</v>
      </c>
      <c r="Y135">
        <f>MAX(0,ROUND(AW134*(1+'Calc base'!K135),2)-M135-'Calc base'!W135)</f>
        <v>0</v>
      </c>
      <c r="Z135">
        <f>MAX(0,ROUND(AX134*(1+'Calc base'!L135),2)-N135-'Calc base'!X135)</f>
        <v>0</v>
      </c>
      <c r="AA135">
        <f>MAX(0,ROUND(AY134*(1+'Calc base'!M135),2)-O135-'Calc base'!Y135)</f>
        <v>0</v>
      </c>
      <c r="AB135">
        <f>MAX(0,ROUND(AZ134*(1+'Calc base'!N135),2)-P135-'Calc base'!Z135)</f>
        <v>0</v>
      </c>
      <c r="AC135">
        <f>MAX(0,ROUND(BA134*(1+'Calc base'!O135),2)-Q135-'Calc base'!AA135)</f>
        <v>0</v>
      </c>
      <c r="AD135">
        <f>MAX(0,ROUND(BB134*(1+'Calc base'!P135),2)-R135-'Calc base'!AB135)</f>
        <v>0</v>
      </c>
      <c r="AE135">
        <f>MAX(0,ROUND(BC134*(1+'Calc base'!Q135),2)-S135-'Calc base'!AC135)</f>
        <v>0</v>
      </c>
      <c r="AF135">
        <f>MAX(0,ROUND(BD134*(1+'Calc base'!R135),2)-T135-'Calc base'!AD135)</f>
        <v>0</v>
      </c>
      <c r="AG135">
        <f>MAX(0,ROUND(BE134*(1+'Calc base'!S135),2)-U135-'Calc base'!AE135)</f>
        <v>0</v>
      </c>
      <c r="AH135">
        <f>IF('Calc base'!C$14=0,0,MIN(V135,MAX(0,$E135-SUMIFS($V135:$AG135,'Calc base'!$C$17:$N$17,"&lt;"&amp;'Calc base'!C$17,'Calc base'!$C$14:$N$14,1))))</f>
        <v>0</v>
      </c>
      <c r="AI135">
        <f>IF('Calc base'!D$14=0,0,MIN(W135,MAX(0,$E135-SUMIFS($V135:$AG135,'Calc base'!$C$17:$N$17,"&lt;"&amp;'Calc base'!D$17,'Calc base'!$C$14:$N$14,1))))</f>
        <v>0</v>
      </c>
      <c r="AJ135">
        <f>IF('Calc base'!E$14=0,0,MIN(X135,MAX(0,$E135-SUMIFS($V135:$AG135,'Calc base'!$C$17:$N$17,"&lt;"&amp;'Calc base'!E$17,'Calc base'!$C$14:$N$14,1))))</f>
        <v>0</v>
      </c>
      <c r="AK135">
        <f>IF('Calc base'!F$14=0,0,MIN(Y135,MAX(0,$E135-SUMIFS($V135:$AG135,'Calc base'!$C$17:$N$17,"&lt;"&amp;'Calc base'!F$17,'Calc base'!$C$14:$N$14,1))))</f>
        <v>0</v>
      </c>
      <c r="AL135">
        <f>IF('Calc base'!G$14=0,0,MIN(Z135,MAX(0,$E135-SUMIFS($V135:$AG135,'Calc base'!$C$17:$N$17,"&lt;"&amp;'Calc base'!G$17,'Calc base'!$C$14:$N$14,1))))</f>
        <v>0</v>
      </c>
      <c r="AM135">
        <f>IF('Calc base'!H$14=0,0,MIN(AA135,MAX(0,$E135-SUMIFS($V135:$AG135,'Calc base'!$C$17:$N$17,"&lt;"&amp;'Calc base'!H$17,'Calc base'!$C$14:$N$14,1))))</f>
        <v>0</v>
      </c>
      <c r="AN135">
        <f>IF('Calc base'!I$14=0,0,MIN(AB135,MAX(0,$E135-SUMIFS($V135:$AG135,'Calc base'!$C$17:$N$17,"&lt;"&amp;'Calc base'!I$17,'Calc base'!$C$14:$N$14,1))))</f>
        <v>0</v>
      </c>
      <c r="AO135">
        <f>IF('Calc base'!J$14=0,0,MIN(AC135,MAX(0,$E135-SUMIFS($V135:$AG135,'Calc base'!$C$17:$N$17,"&lt;"&amp;'Calc base'!J$17,'Calc base'!$C$14:$N$14,1))))</f>
        <v>0</v>
      </c>
      <c r="AP135">
        <f>IF('Calc base'!K$14=0,0,MIN(AD135,MAX(0,$E135-SUMIFS($V135:$AG135,'Calc base'!$C$17:$N$17,"&lt;"&amp;'Calc base'!K$17,'Calc base'!$C$14:$N$14,1))))</f>
        <v>0</v>
      </c>
      <c r="AQ135">
        <f>IF('Calc base'!L$14=0,0,MIN(AE135,MAX(0,$E135-SUMIFS($V135:$AG135,'Calc base'!$C$17:$N$17,"&lt;"&amp;'Calc base'!L$17,'Calc base'!$C$14:$N$14,1))))</f>
        <v>0</v>
      </c>
      <c r="AR135">
        <f>IF('Calc base'!M$14=0,0,MIN(AF135,MAX(0,$E135-SUMIFS($V135:$AG135,'Calc base'!$C$17:$N$17,"&lt;"&amp;'Calc base'!M$17,'Calc base'!$C$14:$N$14,1))))</f>
        <v>0</v>
      </c>
      <c r="AS135">
        <f>IF('Calc base'!N$14=0,0,MIN(AG135,MAX(0,$E135-SUMIFS($V135:$AG135,'Calc base'!$C$17:$N$17,"&lt;"&amp;'Calc base'!N$17,'Calc base'!$C$14:$N$14,1))))</f>
        <v>0</v>
      </c>
      <c r="AT135">
        <f>V135-AH135</f>
        <v>0</v>
      </c>
      <c r="AU135">
        <f>W135-AI135</f>
        <v>0</v>
      </c>
      <c r="AV135">
        <f>X135-AJ135</f>
        <v>0</v>
      </c>
      <c r="AW135">
        <f>Y135-AK135</f>
        <v>0</v>
      </c>
      <c r="AX135">
        <f>Z135-AL135</f>
        <v>0</v>
      </c>
      <c r="AY135">
        <f>AA135-AM135</f>
        <v>0</v>
      </c>
      <c r="AZ135">
        <f>AB135-AN135</f>
        <v>0</v>
      </c>
      <c r="BA135">
        <f>AC135-AO135</f>
        <v>0</v>
      </c>
      <c r="BB135">
        <f>AD135-AP135</f>
        <v>0</v>
      </c>
      <c r="BC135">
        <f>AE135-AQ135</f>
        <v>0</v>
      </c>
      <c r="BD135">
        <f>AF135-AR135</f>
        <v>0</v>
      </c>
      <c r="BE135">
        <f>AG135-AS135</f>
        <v>0</v>
      </c>
    </row>
    <row r="136">
      <c r="A136" t="n">
        <v>106</v>
      </c>
      <c r="B136">
        <f>SUMPRODUCT(ROUND($AT135:$BE135*(1+'Calc base'!$H136:$S136),2))</f>
        <v>0</v>
      </c>
      <c r="C136">
        <f>SUM(J136:U136)</f>
        <v>0</v>
      </c>
      <c r="D136">
        <f>SUM(V136:AG136)</f>
        <v>0</v>
      </c>
      <c r="E136">
        <f>MAX(0,IF(Impostazioni!$B$7="No",'Calc base'!$C136-$C$31,'Calc base'!$C136-C136)+'Calc base'!$G136+'Calc base'!$F136-(B136-C136-D136))</f>
        <v>900</v>
      </c>
      <c r="F136">
        <f>SUM(AH136:AS136)</f>
        <v>0</v>
      </c>
      <c r="G136">
        <f>SUM(AT136:BE136)</f>
        <v>0</v>
      </c>
      <c r="H136">
        <f>B136-G135</f>
        <v>0</v>
      </c>
      <c r="I136">
        <f>B136-G136</f>
        <v>0</v>
      </c>
      <c r="J136">
        <f>IF(AT135&lt;=0,0,IF(ROUND(AT135*(1+'Calc base'!H136),2)-MAX('Calc base'!C$12,ROUND('Calc base'!C$13*AT135,2))&lt;1,ROUND(AT135*(1+'Calc base'!H136),2),MAX('Calc base'!C$12,ROUND('Calc base'!C$13*AT135,2))))</f>
        <v>0</v>
      </c>
      <c r="K136">
        <f>IF(AU135&lt;=0,0,IF(ROUND(AU135*(1+'Calc base'!I136),2)-MAX('Calc base'!D$12,ROUND('Calc base'!D$13*AU135,2))&lt;1,ROUND(AU135*(1+'Calc base'!I136),2),MAX('Calc base'!D$12,ROUND('Calc base'!D$13*AU135,2))))</f>
        <v>0</v>
      </c>
      <c r="L136">
        <f>IF(AV135&lt;=0,0,IF(ROUND(AV135*(1+'Calc base'!J136),2)-MAX('Calc base'!E$12,ROUND('Calc base'!E$13*AV135,2))&lt;1,ROUND(AV135*(1+'Calc base'!J136),2),MAX('Calc base'!E$12,ROUND('Calc base'!E$13*AV135,2))))</f>
        <v>0</v>
      </c>
      <c r="M136">
        <f>IF(AW135&lt;=0,0,IF(ROUND(AW135*(1+'Calc base'!K136),2)-MAX('Calc base'!F$12,ROUND('Calc base'!F$13*AW135,2))&lt;1,ROUND(AW135*(1+'Calc base'!K136),2),MAX('Calc base'!F$12,ROUND('Calc base'!F$13*AW135,2))))</f>
        <v>0</v>
      </c>
      <c r="N136">
        <f>IF(AX135&lt;=0,0,IF(ROUND(AX135*(1+'Calc base'!L136),2)-MAX('Calc base'!G$12,ROUND('Calc base'!G$13*AX135,2))&lt;1,ROUND(AX135*(1+'Calc base'!L136),2),MAX('Calc base'!G$12,ROUND('Calc base'!G$13*AX135,2))))</f>
        <v>0</v>
      </c>
      <c r="O136">
        <f>IF(AY135&lt;=0,0,IF(ROUND(AY135*(1+'Calc base'!M136),2)-MAX('Calc base'!H$12,ROUND('Calc base'!H$13*AY135,2))&lt;1,ROUND(AY135*(1+'Calc base'!M136),2),MAX('Calc base'!H$12,ROUND('Calc base'!H$13*AY135,2))))</f>
        <v>0</v>
      </c>
      <c r="P136">
        <f>IF(AZ135&lt;=0,0,IF(ROUND(AZ135*(1+'Calc base'!N136),2)-MAX('Calc base'!I$12,ROUND('Calc base'!I$13*AZ135,2))&lt;1,ROUND(AZ135*(1+'Calc base'!N136),2),MAX('Calc base'!I$12,ROUND('Calc base'!I$13*AZ135,2))))</f>
        <v>0</v>
      </c>
      <c r="Q136">
        <f>IF(BA135&lt;=0,0,IF(ROUND(BA135*(1+'Calc base'!O136),2)-MAX('Calc base'!J$12,ROUND('Calc base'!J$13*BA135,2))&lt;1,ROUND(BA135*(1+'Calc base'!O136),2),MAX('Calc base'!J$12,ROUND('Calc base'!J$13*BA135,2))))</f>
        <v>0</v>
      </c>
      <c r="R136">
        <f>IF(BB135&lt;=0,0,IF(ROUND(BB135*(1+'Calc base'!P136),2)-MAX('Calc base'!K$12,ROUND('Calc base'!K$13*BB135,2))&lt;1,ROUND(BB135*(1+'Calc base'!P136),2),MAX('Calc base'!K$12,ROUND('Calc base'!K$13*BB135,2))))</f>
        <v>0</v>
      </c>
      <c r="S136">
        <f>IF(BC135&lt;=0,0,IF(ROUND(BC135*(1+'Calc base'!Q136),2)-MAX('Calc base'!L$12,ROUND('Calc base'!L$13*BC135,2))&lt;1,ROUND(BC135*(1+'Calc base'!Q136),2),MAX('Calc base'!L$12,ROUND('Calc base'!L$13*BC135,2))))</f>
        <v>0</v>
      </c>
      <c r="T136">
        <f>IF(BD135&lt;=0,0,IF(ROUND(BD135*(1+'Calc base'!R136),2)-MAX('Calc base'!M$12,ROUND('Calc base'!M$13*BD135,2))&lt;1,ROUND(BD135*(1+'Calc base'!R136),2),MAX('Calc base'!M$12,ROUND('Calc base'!M$13*BD135,2))))</f>
        <v>0</v>
      </c>
      <c r="U136">
        <f>IF(BE135&lt;=0,0,IF(ROUND(BE135*(1+'Calc base'!S136),2)-MAX('Calc base'!N$12,ROUND('Calc base'!N$13*BE135,2))&lt;1,ROUND(BE135*(1+'Calc base'!S136),2),MAX('Calc base'!N$12,ROUND('Calc base'!N$13*BE135,2))))</f>
        <v>0</v>
      </c>
      <c r="V136">
        <f>MAX(0,ROUND(AT135*(1+'Calc base'!H136),2)-J136-'Calc base'!T136)</f>
        <v>0</v>
      </c>
      <c r="W136">
        <f>MAX(0,ROUND(AU135*(1+'Calc base'!I136),2)-K136-'Calc base'!U136)</f>
        <v>0</v>
      </c>
      <c r="X136">
        <f>MAX(0,ROUND(AV135*(1+'Calc base'!J136),2)-L136-'Calc base'!V136)</f>
        <v>0</v>
      </c>
      <c r="Y136">
        <f>MAX(0,ROUND(AW135*(1+'Calc base'!K136),2)-M136-'Calc base'!W136)</f>
        <v>0</v>
      </c>
      <c r="Z136">
        <f>MAX(0,ROUND(AX135*(1+'Calc base'!L136),2)-N136-'Calc base'!X136)</f>
        <v>0</v>
      </c>
      <c r="AA136">
        <f>MAX(0,ROUND(AY135*(1+'Calc base'!M136),2)-O136-'Calc base'!Y136)</f>
        <v>0</v>
      </c>
      <c r="AB136">
        <f>MAX(0,ROUND(AZ135*(1+'Calc base'!N136),2)-P136-'Calc base'!Z136)</f>
        <v>0</v>
      </c>
      <c r="AC136">
        <f>MAX(0,ROUND(BA135*(1+'Calc base'!O136),2)-Q136-'Calc base'!AA136)</f>
        <v>0</v>
      </c>
      <c r="AD136">
        <f>MAX(0,ROUND(BB135*(1+'Calc base'!P136),2)-R136-'Calc base'!AB136)</f>
        <v>0</v>
      </c>
      <c r="AE136">
        <f>MAX(0,ROUND(BC135*(1+'Calc base'!Q136),2)-S136-'Calc base'!AC136)</f>
        <v>0</v>
      </c>
      <c r="AF136">
        <f>MAX(0,ROUND(BD135*(1+'Calc base'!R136),2)-T136-'Calc base'!AD136)</f>
        <v>0</v>
      </c>
      <c r="AG136">
        <f>MAX(0,ROUND(BE135*(1+'Calc base'!S136),2)-U136-'Calc base'!AE136)</f>
        <v>0</v>
      </c>
      <c r="AH136">
        <f>IF('Calc base'!C$14=0,0,MIN(V136,MAX(0,$E136-SUMIFS($V136:$AG136,'Calc base'!$C$17:$N$17,"&lt;"&amp;'Calc base'!C$17,'Calc base'!$C$14:$N$14,1))))</f>
        <v>0</v>
      </c>
      <c r="AI136">
        <f>IF('Calc base'!D$14=0,0,MIN(W136,MAX(0,$E136-SUMIFS($V136:$AG136,'Calc base'!$C$17:$N$17,"&lt;"&amp;'Calc base'!D$17,'Calc base'!$C$14:$N$14,1))))</f>
        <v>0</v>
      </c>
      <c r="AJ136">
        <f>IF('Calc base'!E$14=0,0,MIN(X136,MAX(0,$E136-SUMIFS($V136:$AG136,'Calc base'!$C$17:$N$17,"&lt;"&amp;'Calc base'!E$17,'Calc base'!$C$14:$N$14,1))))</f>
        <v>0</v>
      </c>
      <c r="AK136">
        <f>IF('Calc base'!F$14=0,0,MIN(Y136,MAX(0,$E136-SUMIFS($V136:$AG136,'Calc base'!$C$17:$N$17,"&lt;"&amp;'Calc base'!F$17,'Calc base'!$C$14:$N$14,1))))</f>
        <v>0</v>
      </c>
      <c r="AL136">
        <f>IF('Calc base'!G$14=0,0,MIN(Z136,MAX(0,$E136-SUMIFS($V136:$AG136,'Calc base'!$C$17:$N$17,"&lt;"&amp;'Calc base'!G$17,'Calc base'!$C$14:$N$14,1))))</f>
        <v>0</v>
      </c>
      <c r="AM136">
        <f>IF('Calc base'!H$14=0,0,MIN(AA136,MAX(0,$E136-SUMIFS($V136:$AG136,'Calc base'!$C$17:$N$17,"&lt;"&amp;'Calc base'!H$17,'Calc base'!$C$14:$N$14,1))))</f>
        <v>0</v>
      </c>
      <c r="AN136">
        <f>IF('Calc base'!I$14=0,0,MIN(AB136,MAX(0,$E136-SUMIFS($V136:$AG136,'Calc base'!$C$17:$N$17,"&lt;"&amp;'Calc base'!I$17,'Calc base'!$C$14:$N$14,1))))</f>
        <v>0</v>
      </c>
      <c r="AO136">
        <f>IF('Calc base'!J$14=0,0,MIN(AC136,MAX(0,$E136-SUMIFS($V136:$AG136,'Calc base'!$C$17:$N$17,"&lt;"&amp;'Calc base'!J$17,'Calc base'!$C$14:$N$14,1))))</f>
        <v>0</v>
      </c>
      <c r="AP136">
        <f>IF('Calc base'!K$14=0,0,MIN(AD136,MAX(0,$E136-SUMIFS($V136:$AG136,'Calc base'!$C$17:$N$17,"&lt;"&amp;'Calc base'!K$17,'Calc base'!$C$14:$N$14,1))))</f>
        <v>0</v>
      </c>
      <c r="AQ136">
        <f>IF('Calc base'!L$14=0,0,MIN(AE136,MAX(0,$E136-SUMIFS($V136:$AG136,'Calc base'!$C$17:$N$17,"&lt;"&amp;'Calc base'!L$17,'Calc base'!$C$14:$N$14,1))))</f>
        <v>0</v>
      </c>
      <c r="AR136">
        <f>IF('Calc base'!M$14=0,0,MIN(AF136,MAX(0,$E136-SUMIFS($V136:$AG136,'Calc base'!$C$17:$N$17,"&lt;"&amp;'Calc base'!M$17,'Calc base'!$C$14:$N$14,1))))</f>
        <v>0</v>
      </c>
      <c r="AS136">
        <f>IF('Calc base'!N$14=0,0,MIN(AG136,MAX(0,$E136-SUMIFS($V136:$AG136,'Calc base'!$C$17:$N$17,"&lt;"&amp;'Calc base'!N$17,'Calc base'!$C$14:$N$14,1))))</f>
        <v>0</v>
      </c>
      <c r="AT136">
        <f>V136-AH136</f>
        <v>0</v>
      </c>
      <c r="AU136">
        <f>W136-AI136</f>
        <v>0</v>
      </c>
      <c r="AV136">
        <f>X136-AJ136</f>
        <v>0</v>
      </c>
      <c r="AW136">
        <f>Y136-AK136</f>
        <v>0</v>
      </c>
      <c r="AX136">
        <f>Z136-AL136</f>
        <v>0</v>
      </c>
      <c r="AY136">
        <f>AA136-AM136</f>
        <v>0</v>
      </c>
      <c r="AZ136">
        <f>AB136-AN136</f>
        <v>0</v>
      </c>
      <c r="BA136">
        <f>AC136-AO136</f>
        <v>0</v>
      </c>
      <c r="BB136">
        <f>AD136-AP136</f>
        <v>0</v>
      </c>
      <c r="BC136">
        <f>AE136-AQ136</f>
        <v>0</v>
      </c>
      <c r="BD136">
        <f>AF136-AR136</f>
        <v>0</v>
      </c>
      <c r="BE136">
        <f>AG136-AS136</f>
        <v>0</v>
      </c>
    </row>
    <row r="137">
      <c r="A137" t="n">
        <v>107</v>
      </c>
      <c r="B137">
        <f>SUMPRODUCT(ROUND($AT136:$BE136*(1+'Calc base'!$H137:$S137),2))</f>
        <v>0</v>
      </c>
      <c r="C137">
        <f>SUM(J137:U137)</f>
        <v>0</v>
      </c>
      <c r="D137">
        <f>SUM(V137:AG137)</f>
        <v>0</v>
      </c>
      <c r="E137">
        <f>MAX(0,IF(Impostazioni!$B$7="No",'Calc base'!$C137-$C$31,'Calc base'!$C137-C137)+'Calc base'!$G137+'Calc base'!$F137-(B137-C137-D137))</f>
        <v>900</v>
      </c>
      <c r="F137">
        <f>SUM(AH137:AS137)</f>
        <v>0</v>
      </c>
      <c r="G137">
        <f>SUM(AT137:BE137)</f>
        <v>0</v>
      </c>
      <c r="H137">
        <f>B137-G136</f>
        <v>0</v>
      </c>
      <c r="I137">
        <f>B137-G137</f>
        <v>0</v>
      </c>
      <c r="J137">
        <f>IF(AT136&lt;=0,0,IF(ROUND(AT136*(1+'Calc base'!H137),2)-MAX('Calc base'!C$12,ROUND('Calc base'!C$13*AT136,2))&lt;1,ROUND(AT136*(1+'Calc base'!H137),2),MAX('Calc base'!C$12,ROUND('Calc base'!C$13*AT136,2))))</f>
        <v>0</v>
      </c>
      <c r="K137">
        <f>IF(AU136&lt;=0,0,IF(ROUND(AU136*(1+'Calc base'!I137),2)-MAX('Calc base'!D$12,ROUND('Calc base'!D$13*AU136,2))&lt;1,ROUND(AU136*(1+'Calc base'!I137),2),MAX('Calc base'!D$12,ROUND('Calc base'!D$13*AU136,2))))</f>
        <v>0</v>
      </c>
      <c r="L137">
        <f>IF(AV136&lt;=0,0,IF(ROUND(AV136*(1+'Calc base'!J137),2)-MAX('Calc base'!E$12,ROUND('Calc base'!E$13*AV136,2))&lt;1,ROUND(AV136*(1+'Calc base'!J137),2),MAX('Calc base'!E$12,ROUND('Calc base'!E$13*AV136,2))))</f>
        <v>0</v>
      </c>
      <c r="M137">
        <f>IF(AW136&lt;=0,0,IF(ROUND(AW136*(1+'Calc base'!K137),2)-MAX('Calc base'!F$12,ROUND('Calc base'!F$13*AW136,2))&lt;1,ROUND(AW136*(1+'Calc base'!K137),2),MAX('Calc base'!F$12,ROUND('Calc base'!F$13*AW136,2))))</f>
        <v>0</v>
      </c>
      <c r="N137">
        <f>IF(AX136&lt;=0,0,IF(ROUND(AX136*(1+'Calc base'!L137),2)-MAX('Calc base'!G$12,ROUND('Calc base'!G$13*AX136,2))&lt;1,ROUND(AX136*(1+'Calc base'!L137),2),MAX('Calc base'!G$12,ROUND('Calc base'!G$13*AX136,2))))</f>
        <v>0</v>
      </c>
      <c r="O137">
        <f>IF(AY136&lt;=0,0,IF(ROUND(AY136*(1+'Calc base'!M137),2)-MAX('Calc base'!H$12,ROUND('Calc base'!H$13*AY136,2))&lt;1,ROUND(AY136*(1+'Calc base'!M137),2),MAX('Calc base'!H$12,ROUND('Calc base'!H$13*AY136,2))))</f>
        <v>0</v>
      </c>
      <c r="P137">
        <f>IF(AZ136&lt;=0,0,IF(ROUND(AZ136*(1+'Calc base'!N137),2)-MAX('Calc base'!I$12,ROUND('Calc base'!I$13*AZ136,2))&lt;1,ROUND(AZ136*(1+'Calc base'!N137),2),MAX('Calc base'!I$12,ROUND('Calc base'!I$13*AZ136,2))))</f>
        <v>0</v>
      </c>
      <c r="Q137">
        <f>IF(BA136&lt;=0,0,IF(ROUND(BA136*(1+'Calc base'!O137),2)-MAX('Calc base'!J$12,ROUND('Calc base'!J$13*BA136,2))&lt;1,ROUND(BA136*(1+'Calc base'!O137),2),MAX('Calc base'!J$12,ROUND('Calc base'!J$13*BA136,2))))</f>
        <v>0</v>
      </c>
      <c r="R137">
        <f>IF(BB136&lt;=0,0,IF(ROUND(BB136*(1+'Calc base'!P137),2)-MAX('Calc base'!K$12,ROUND('Calc base'!K$13*BB136,2))&lt;1,ROUND(BB136*(1+'Calc base'!P137),2),MAX('Calc base'!K$12,ROUND('Calc base'!K$13*BB136,2))))</f>
        <v>0</v>
      </c>
      <c r="S137">
        <f>IF(BC136&lt;=0,0,IF(ROUND(BC136*(1+'Calc base'!Q137),2)-MAX('Calc base'!L$12,ROUND('Calc base'!L$13*BC136,2))&lt;1,ROUND(BC136*(1+'Calc base'!Q137),2),MAX('Calc base'!L$12,ROUND('Calc base'!L$13*BC136,2))))</f>
        <v>0</v>
      </c>
      <c r="T137">
        <f>IF(BD136&lt;=0,0,IF(ROUND(BD136*(1+'Calc base'!R137),2)-MAX('Calc base'!M$12,ROUND('Calc base'!M$13*BD136,2))&lt;1,ROUND(BD136*(1+'Calc base'!R137),2),MAX('Calc base'!M$12,ROUND('Calc base'!M$13*BD136,2))))</f>
        <v>0</v>
      </c>
      <c r="U137">
        <f>IF(BE136&lt;=0,0,IF(ROUND(BE136*(1+'Calc base'!S137),2)-MAX('Calc base'!N$12,ROUND('Calc base'!N$13*BE136,2))&lt;1,ROUND(BE136*(1+'Calc base'!S137),2),MAX('Calc base'!N$12,ROUND('Calc base'!N$13*BE136,2))))</f>
        <v>0</v>
      </c>
      <c r="V137">
        <f>MAX(0,ROUND(AT136*(1+'Calc base'!H137),2)-J137-'Calc base'!T137)</f>
        <v>0</v>
      </c>
      <c r="W137">
        <f>MAX(0,ROUND(AU136*(1+'Calc base'!I137),2)-K137-'Calc base'!U137)</f>
        <v>0</v>
      </c>
      <c r="X137">
        <f>MAX(0,ROUND(AV136*(1+'Calc base'!J137),2)-L137-'Calc base'!V137)</f>
        <v>0</v>
      </c>
      <c r="Y137">
        <f>MAX(0,ROUND(AW136*(1+'Calc base'!K137),2)-M137-'Calc base'!W137)</f>
        <v>0</v>
      </c>
      <c r="Z137">
        <f>MAX(0,ROUND(AX136*(1+'Calc base'!L137),2)-N137-'Calc base'!X137)</f>
        <v>0</v>
      </c>
      <c r="AA137">
        <f>MAX(0,ROUND(AY136*(1+'Calc base'!M137),2)-O137-'Calc base'!Y137)</f>
        <v>0</v>
      </c>
      <c r="AB137">
        <f>MAX(0,ROUND(AZ136*(1+'Calc base'!N137),2)-P137-'Calc base'!Z137)</f>
        <v>0</v>
      </c>
      <c r="AC137">
        <f>MAX(0,ROUND(BA136*(1+'Calc base'!O137),2)-Q137-'Calc base'!AA137)</f>
        <v>0</v>
      </c>
      <c r="AD137">
        <f>MAX(0,ROUND(BB136*(1+'Calc base'!P137),2)-R137-'Calc base'!AB137)</f>
        <v>0</v>
      </c>
      <c r="AE137">
        <f>MAX(0,ROUND(BC136*(1+'Calc base'!Q137),2)-S137-'Calc base'!AC137)</f>
        <v>0</v>
      </c>
      <c r="AF137">
        <f>MAX(0,ROUND(BD136*(1+'Calc base'!R137),2)-T137-'Calc base'!AD137)</f>
        <v>0</v>
      </c>
      <c r="AG137">
        <f>MAX(0,ROUND(BE136*(1+'Calc base'!S137),2)-U137-'Calc base'!AE137)</f>
        <v>0</v>
      </c>
      <c r="AH137">
        <f>IF('Calc base'!C$14=0,0,MIN(V137,MAX(0,$E137-SUMIFS($V137:$AG137,'Calc base'!$C$17:$N$17,"&lt;"&amp;'Calc base'!C$17,'Calc base'!$C$14:$N$14,1))))</f>
        <v>0</v>
      </c>
      <c r="AI137">
        <f>IF('Calc base'!D$14=0,0,MIN(W137,MAX(0,$E137-SUMIFS($V137:$AG137,'Calc base'!$C$17:$N$17,"&lt;"&amp;'Calc base'!D$17,'Calc base'!$C$14:$N$14,1))))</f>
        <v>0</v>
      </c>
      <c r="AJ137">
        <f>IF('Calc base'!E$14=0,0,MIN(X137,MAX(0,$E137-SUMIFS($V137:$AG137,'Calc base'!$C$17:$N$17,"&lt;"&amp;'Calc base'!E$17,'Calc base'!$C$14:$N$14,1))))</f>
        <v>0</v>
      </c>
      <c r="AK137">
        <f>IF('Calc base'!F$14=0,0,MIN(Y137,MAX(0,$E137-SUMIFS($V137:$AG137,'Calc base'!$C$17:$N$17,"&lt;"&amp;'Calc base'!F$17,'Calc base'!$C$14:$N$14,1))))</f>
        <v>0</v>
      </c>
      <c r="AL137">
        <f>IF('Calc base'!G$14=0,0,MIN(Z137,MAX(0,$E137-SUMIFS($V137:$AG137,'Calc base'!$C$17:$N$17,"&lt;"&amp;'Calc base'!G$17,'Calc base'!$C$14:$N$14,1))))</f>
        <v>0</v>
      </c>
      <c r="AM137">
        <f>IF('Calc base'!H$14=0,0,MIN(AA137,MAX(0,$E137-SUMIFS($V137:$AG137,'Calc base'!$C$17:$N$17,"&lt;"&amp;'Calc base'!H$17,'Calc base'!$C$14:$N$14,1))))</f>
        <v>0</v>
      </c>
      <c r="AN137">
        <f>IF('Calc base'!I$14=0,0,MIN(AB137,MAX(0,$E137-SUMIFS($V137:$AG137,'Calc base'!$C$17:$N$17,"&lt;"&amp;'Calc base'!I$17,'Calc base'!$C$14:$N$14,1))))</f>
        <v>0</v>
      </c>
      <c r="AO137">
        <f>IF('Calc base'!J$14=0,0,MIN(AC137,MAX(0,$E137-SUMIFS($V137:$AG137,'Calc base'!$C$17:$N$17,"&lt;"&amp;'Calc base'!J$17,'Calc base'!$C$14:$N$14,1))))</f>
        <v>0</v>
      </c>
      <c r="AP137">
        <f>IF('Calc base'!K$14=0,0,MIN(AD137,MAX(0,$E137-SUMIFS($V137:$AG137,'Calc base'!$C$17:$N$17,"&lt;"&amp;'Calc base'!K$17,'Calc base'!$C$14:$N$14,1))))</f>
        <v>0</v>
      </c>
      <c r="AQ137">
        <f>IF('Calc base'!L$14=0,0,MIN(AE137,MAX(0,$E137-SUMIFS($V137:$AG137,'Calc base'!$C$17:$N$17,"&lt;"&amp;'Calc base'!L$17,'Calc base'!$C$14:$N$14,1))))</f>
        <v>0</v>
      </c>
      <c r="AR137">
        <f>IF('Calc base'!M$14=0,0,MIN(AF137,MAX(0,$E137-SUMIFS($V137:$AG137,'Calc base'!$C$17:$N$17,"&lt;"&amp;'Calc base'!M$17,'Calc base'!$C$14:$N$14,1))))</f>
        <v>0</v>
      </c>
      <c r="AS137">
        <f>IF('Calc base'!N$14=0,0,MIN(AG137,MAX(0,$E137-SUMIFS($V137:$AG137,'Calc base'!$C$17:$N$17,"&lt;"&amp;'Calc base'!N$17,'Calc base'!$C$14:$N$14,1))))</f>
        <v>0</v>
      </c>
      <c r="AT137">
        <f>V137-AH137</f>
        <v>0</v>
      </c>
      <c r="AU137">
        <f>W137-AI137</f>
        <v>0</v>
      </c>
      <c r="AV137">
        <f>X137-AJ137</f>
        <v>0</v>
      </c>
      <c r="AW137">
        <f>Y137-AK137</f>
        <v>0</v>
      </c>
      <c r="AX137">
        <f>Z137-AL137</f>
        <v>0</v>
      </c>
      <c r="AY137">
        <f>AA137-AM137</f>
        <v>0</v>
      </c>
      <c r="AZ137">
        <f>AB137-AN137</f>
        <v>0</v>
      </c>
      <c r="BA137">
        <f>AC137-AO137</f>
        <v>0</v>
      </c>
      <c r="BB137">
        <f>AD137-AP137</f>
        <v>0</v>
      </c>
      <c r="BC137">
        <f>AE137-AQ137</f>
        <v>0</v>
      </c>
      <c r="BD137">
        <f>AF137-AR137</f>
        <v>0</v>
      </c>
      <c r="BE137">
        <f>AG137-AS137</f>
        <v>0</v>
      </c>
    </row>
    <row r="138">
      <c r="A138" t="n">
        <v>108</v>
      </c>
      <c r="B138">
        <f>SUMPRODUCT(ROUND($AT137:$BE137*(1+'Calc base'!$H138:$S138),2))</f>
        <v>0</v>
      </c>
      <c r="C138">
        <f>SUM(J138:U138)</f>
        <v>0</v>
      </c>
      <c r="D138">
        <f>SUM(V138:AG138)</f>
        <v>0</v>
      </c>
      <c r="E138">
        <f>MAX(0,IF(Impostazioni!$B$7="No",'Calc base'!$C138-$C$31,'Calc base'!$C138-C138)+'Calc base'!$G138+'Calc base'!$F138-(B138-C138-D138))</f>
        <v>900</v>
      </c>
      <c r="F138">
        <f>SUM(AH138:AS138)</f>
        <v>0</v>
      </c>
      <c r="G138">
        <f>SUM(AT138:BE138)</f>
        <v>0</v>
      </c>
      <c r="H138">
        <f>B138-G137</f>
        <v>0</v>
      </c>
      <c r="I138">
        <f>B138-G138</f>
        <v>0</v>
      </c>
      <c r="J138">
        <f>IF(AT137&lt;=0,0,IF(ROUND(AT137*(1+'Calc base'!H138),2)-MAX('Calc base'!C$12,ROUND('Calc base'!C$13*AT137,2))&lt;1,ROUND(AT137*(1+'Calc base'!H138),2),MAX('Calc base'!C$12,ROUND('Calc base'!C$13*AT137,2))))</f>
        <v>0</v>
      </c>
      <c r="K138">
        <f>IF(AU137&lt;=0,0,IF(ROUND(AU137*(1+'Calc base'!I138),2)-MAX('Calc base'!D$12,ROUND('Calc base'!D$13*AU137,2))&lt;1,ROUND(AU137*(1+'Calc base'!I138),2),MAX('Calc base'!D$12,ROUND('Calc base'!D$13*AU137,2))))</f>
        <v>0</v>
      </c>
      <c r="L138">
        <f>IF(AV137&lt;=0,0,IF(ROUND(AV137*(1+'Calc base'!J138),2)-MAX('Calc base'!E$12,ROUND('Calc base'!E$13*AV137,2))&lt;1,ROUND(AV137*(1+'Calc base'!J138),2),MAX('Calc base'!E$12,ROUND('Calc base'!E$13*AV137,2))))</f>
        <v>0</v>
      </c>
      <c r="M138">
        <f>IF(AW137&lt;=0,0,IF(ROUND(AW137*(1+'Calc base'!K138),2)-MAX('Calc base'!F$12,ROUND('Calc base'!F$13*AW137,2))&lt;1,ROUND(AW137*(1+'Calc base'!K138),2),MAX('Calc base'!F$12,ROUND('Calc base'!F$13*AW137,2))))</f>
        <v>0</v>
      </c>
      <c r="N138">
        <f>IF(AX137&lt;=0,0,IF(ROUND(AX137*(1+'Calc base'!L138),2)-MAX('Calc base'!G$12,ROUND('Calc base'!G$13*AX137,2))&lt;1,ROUND(AX137*(1+'Calc base'!L138),2),MAX('Calc base'!G$12,ROUND('Calc base'!G$13*AX137,2))))</f>
        <v>0</v>
      </c>
      <c r="O138">
        <f>IF(AY137&lt;=0,0,IF(ROUND(AY137*(1+'Calc base'!M138),2)-MAX('Calc base'!H$12,ROUND('Calc base'!H$13*AY137,2))&lt;1,ROUND(AY137*(1+'Calc base'!M138),2),MAX('Calc base'!H$12,ROUND('Calc base'!H$13*AY137,2))))</f>
        <v>0</v>
      </c>
      <c r="P138">
        <f>IF(AZ137&lt;=0,0,IF(ROUND(AZ137*(1+'Calc base'!N138),2)-MAX('Calc base'!I$12,ROUND('Calc base'!I$13*AZ137,2))&lt;1,ROUND(AZ137*(1+'Calc base'!N138),2),MAX('Calc base'!I$12,ROUND('Calc base'!I$13*AZ137,2))))</f>
        <v>0</v>
      </c>
      <c r="Q138">
        <f>IF(BA137&lt;=0,0,IF(ROUND(BA137*(1+'Calc base'!O138),2)-MAX('Calc base'!J$12,ROUND('Calc base'!J$13*BA137,2))&lt;1,ROUND(BA137*(1+'Calc base'!O138),2),MAX('Calc base'!J$12,ROUND('Calc base'!J$13*BA137,2))))</f>
        <v>0</v>
      </c>
      <c r="R138">
        <f>IF(BB137&lt;=0,0,IF(ROUND(BB137*(1+'Calc base'!P138),2)-MAX('Calc base'!K$12,ROUND('Calc base'!K$13*BB137,2))&lt;1,ROUND(BB137*(1+'Calc base'!P138),2),MAX('Calc base'!K$12,ROUND('Calc base'!K$13*BB137,2))))</f>
        <v>0</v>
      </c>
      <c r="S138">
        <f>IF(BC137&lt;=0,0,IF(ROUND(BC137*(1+'Calc base'!Q138),2)-MAX('Calc base'!L$12,ROUND('Calc base'!L$13*BC137,2))&lt;1,ROUND(BC137*(1+'Calc base'!Q138),2),MAX('Calc base'!L$12,ROUND('Calc base'!L$13*BC137,2))))</f>
        <v>0</v>
      </c>
      <c r="T138">
        <f>IF(BD137&lt;=0,0,IF(ROUND(BD137*(1+'Calc base'!R138),2)-MAX('Calc base'!M$12,ROUND('Calc base'!M$13*BD137,2))&lt;1,ROUND(BD137*(1+'Calc base'!R138),2),MAX('Calc base'!M$12,ROUND('Calc base'!M$13*BD137,2))))</f>
        <v>0</v>
      </c>
      <c r="U138">
        <f>IF(BE137&lt;=0,0,IF(ROUND(BE137*(1+'Calc base'!S138),2)-MAX('Calc base'!N$12,ROUND('Calc base'!N$13*BE137,2))&lt;1,ROUND(BE137*(1+'Calc base'!S138),2),MAX('Calc base'!N$12,ROUND('Calc base'!N$13*BE137,2))))</f>
        <v>0</v>
      </c>
      <c r="V138">
        <f>MAX(0,ROUND(AT137*(1+'Calc base'!H138),2)-J138-'Calc base'!T138)</f>
        <v>0</v>
      </c>
      <c r="W138">
        <f>MAX(0,ROUND(AU137*(1+'Calc base'!I138),2)-K138-'Calc base'!U138)</f>
        <v>0</v>
      </c>
      <c r="X138">
        <f>MAX(0,ROUND(AV137*(1+'Calc base'!J138),2)-L138-'Calc base'!V138)</f>
        <v>0</v>
      </c>
      <c r="Y138">
        <f>MAX(0,ROUND(AW137*(1+'Calc base'!K138),2)-M138-'Calc base'!W138)</f>
        <v>0</v>
      </c>
      <c r="Z138">
        <f>MAX(0,ROUND(AX137*(1+'Calc base'!L138),2)-N138-'Calc base'!X138)</f>
        <v>0</v>
      </c>
      <c r="AA138">
        <f>MAX(0,ROUND(AY137*(1+'Calc base'!M138),2)-O138-'Calc base'!Y138)</f>
        <v>0</v>
      </c>
      <c r="AB138">
        <f>MAX(0,ROUND(AZ137*(1+'Calc base'!N138),2)-P138-'Calc base'!Z138)</f>
        <v>0</v>
      </c>
      <c r="AC138">
        <f>MAX(0,ROUND(BA137*(1+'Calc base'!O138),2)-Q138-'Calc base'!AA138)</f>
        <v>0</v>
      </c>
      <c r="AD138">
        <f>MAX(0,ROUND(BB137*(1+'Calc base'!P138),2)-R138-'Calc base'!AB138)</f>
        <v>0</v>
      </c>
      <c r="AE138">
        <f>MAX(0,ROUND(BC137*(1+'Calc base'!Q138),2)-S138-'Calc base'!AC138)</f>
        <v>0</v>
      </c>
      <c r="AF138">
        <f>MAX(0,ROUND(BD137*(1+'Calc base'!R138),2)-T138-'Calc base'!AD138)</f>
        <v>0</v>
      </c>
      <c r="AG138">
        <f>MAX(0,ROUND(BE137*(1+'Calc base'!S138),2)-U138-'Calc base'!AE138)</f>
        <v>0</v>
      </c>
      <c r="AH138">
        <f>IF('Calc base'!C$14=0,0,MIN(V138,MAX(0,$E138-SUMIFS($V138:$AG138,'Calc base'!$C$17:$N$17,"&lt;"&amp;'Calc base'!C$17,'Calc base'!$C$14:$N$14,1))))</f>
        <v>0</v>
      </c>
      <c r="AI138">
        <f>IF('Calc base'!D$14=0,0,MIN(W138,MAX(0,$E138-SUMIFS($V138:$AG138,'Calc base'!$C$17:$N$17,"&lt;"&amp;'Calc base'!D$17,'Calc base'!$C$14:$N$14,1))))</f>
        <v>0</v>
      </c>
      <c r="AJ138">
        <f>IF('Calc base'!E$14=0,0,MIN(X138,MAX(0,$E138-SUMIFS($V138:$AG138,'Calc base'!$C$17:$N$17,"&lt;"&amp;'Calc base'!E$17,'Calc base'!$C$14:$N$14,1))))</f>
        <v>0</v>
      </c>
      <c r="AK138">
        <f>IF('Calc base'!F$14=0,0,MIN(Y138,MAX(0,$E138-SUMIFS($V138:$AG138,'Calc base'!$C$17:$N$17,"&lt;"&amp;'Calc base'!F$17,'Calc base'!$C$14:$N$14,1))))</f>
        <v>0</v>
      </c>
      <c r="AL138">
        <f>IF('Calc base'!G$14=0,0,MIN(Z138,MAX(0,$E138-SUMIFS($V138:$AG138,'Calc base'!$C$17:$N$17,"&lt;"&amp;'Calc base'!G$17,'Calc base'!$C$14:$N$14,1))))</f>
        <v>0</v>
      </c>
      <c r="AM138">
        <f>IF('Calc base'!H$14=0,0,MIN(AA138,MAX(0,$E138-SUMIFS($V138:$AG138,'Calc base'!$C$17:$N$17,"&lt;"&amp;'Calc base'!H$17,'Calc base'!$C$14:$N$14,1))))</f>
        <v>0</v>
      </c>
      <c r="AN138">
        <f>IF('Calc base'!I$14=0,0,MIN(AB138,MAX(0,$E138-SUMIFS($V138:$AG138,'Calc base'!$C$17:$N$17,"&lt;"&amp;'Calc base'!I$17,'Calc base'!$C$14:$N$14,1))))</f>
        <v>0</v>
      </c>
      <c r="AO138">
        <f>IF('Calc base'!J$14=0,0,MIN(AC138,MAX(0,$E138-SUMIFS($V138:$AG138,'Calc base'!$C$17:$N$17,"&lt;"&amp;'Calc base'!J$17,'Calc base'!$C$14:$N$14,1))))</f>
        <v>0</v>
      </c>
      <c r="AP138">
        <f>IF('Calc base'!K$14=0,0,MIN(AD138,MAX(0,$E138-SUMIFS($V138:$AG138,'Calc base'!$C$17:$N$17,"&lt;"&amp;'Calc base'!K$17,'Calc base'!$C$14:$N$14,1))))</f>
        <v>0</v>
      </c>
      <c r="AQ138">
        <f>IF('Calc base'!L$14=0,0,MIN(AE138,MAX(0,$E138-SUMIFS($V138:$AG138,'Calc base'!$C$17:$N$17,"&lt;"&amp;'Calc base'!L$17,'Calc base'!$C$14:$N$14,1))))</f>
        <v>0</v>
      </c>
      <c r="AR138">
        <f>IF('Calc base'!M$14=0,0,MIN(AF138,MAX(0,$E138-SUMIFS($V138:$AG138,'Calc base'!$C$17:$N$17,"&lt;"&amp;'Calc base'!M$17,'Calc base'!$C$14:$N$14,1))))</f>
        <v>0</v>
      </c>
      <c r="AS138">
        <f>IF('Calc base'!N$14=0,0,MIN(AG138,MAX(0,$E138-SUMIFS($V138:$AG138,'Calc base'!$C$17:$N$17,"&lt;"&amp;'Calc base'!N$17,'Calc base'!$C$14:$N$14,1))))</f>
        <v>0</v>
      </c>
      <c r="AT138">
        <f>V138-AH138</f>
        <v>0</v>
      </c>
      <c r="AU138">
        <f>W138-AI138</f>
        <v>0</v>
      </c>
      <c r="AV138">
        <f>X138-AJ138</f>
        <v>0</v>
      </c>
      <c r="AW138">
        <f>Y138-AK138</f>
        <v>0</v>
      </c>
      <c r="AX138">
        <f>Z138-AL138</f>
        <v>0</v>
      </c>
      <c r="AY138">
        <f>AA138-AM138</f>
        <v>0</v>
      </c>
      <c r="AZ138">
        <f>AB138-AN138</f>
        <v>0</v>
      </c>
      <c r="BA138">
        <f>AC138-AO138</f>
        <v>0</v>
      </c>
      <c r="BB138">
        <f>AD138-AP138</f>
        <v>0</v>
      </c>
      <c r="BC138">
        <f>AE138-AQ138</f>
        <v>0</v>
      </c>
      <c r="BD138">
        <f>AF138-AR138</f>
        <v>0</v>
      </c>
      <c r="BE138">
        <f>AG138-AS138</f>
        <v>0</v>
      </c>
    </row>
    <row r="139">
      <c r="A139" t="n">
        <v>109</v>
      </c>
      <c r="B139">
        <f>SUMPRODUCT(ROUND($AT138:$BE138*(1+'Calc base'!$H139:$S139),2))</f>
        <v>0</v>
      </c>
      <c r="C139">
        <f>SUM(J139:U139)</f>
        <v>0</v>
      </c>
      <c r="D139">
        <f>SUM(V139:AG139)</f>
        <v>0</v>
      </c>
      <c r="E139">
        <f>MAX(0,IF(Impostazioni!$B$7="No",'Calc base'!$C139-$C$31,'Calc base'!$C139-C139)+'Calc base'!$G139+'Calc base'!$F139-(B139-C139-D139))</f>
        <v>900</v>
      </c>
      <c r="F139">
        <f>SUM(AH139:AS139)</f>
        <v>0</v>
      </c>
      <c r="G139">
        <f>SUM(AT139:BE139)</f>
        <v>0</v>
      </c>
      <c r="H139">
        <f>B139-G138</f>
        <v>0</v>
      </c>
      <c r="I139">
        <f>B139-G139</f>
        <v>0</v>
      </c>
      <c r="J139">
        <f>IF(AT138&lt;=0,0,IF(ROUND(AT138*(1+'Calc base'!H139),2)-MAX('Calc base'!C$12,ROUND('Calc base'!C$13*AT138,2))&lt;1,ROUND(AT138*(1+'Calc base'!H139),2),MAX('Calc base'!C$12,ROUND('Calc base'!C$13*AT138,2))))</f>
        <v>0</v>
      </c>
      <c r="K139">
        <f>IF(AU138&lt;=0,0,IF(ROUND(AU138*(1+'Calc base'!I139),2)-MAX('Calc base'!D$12,ROUND('Calc base'!D$13*AU138,2))&lt;1,ROUND(AU138*(1+'Calc base'!I139),2),MAX('Calc base'!D$12,ROUND('Calc base'!D$13*AU138,2))))</f>
        <v>0</v>
      </c>
      <c r="L139">
        <f>IF(AV138&lt;=0,0,IF(ROUND(AV138*(1+'Calc base'!J139),2)-MAX('Calc base'!E$12,ROUND('Calc base'!E$13*AV138,2))&lt;1,ROUND(AV138*(1+'Calc base'!J139),2),MAX('Calc base'!E$12,ROUND('Calc base'!E$13*AV138,2))))</f>
        <v>0</v>
      </c>
      <c r="M139">
        <f>IF(AW138&lt;=0,0,IF(ROUND(AW138*(1+'Calc base'!K139),2)-MAX('Calc base'!F$12,ROUND('Calc base'!F$13*AW138,2))&lt;1,ROUND(AW138*(1+'Calc base'!K139),2),MAX('Calc base'!F$12,ROUND('Calc base'!F$13*AW138,2))))</f>
        <v>0</v>
      </c>
      <c r="N139">
        <f>IF(AX138&lt;=0,0,IF(ROUND(AX138*(1+'Calc base'!L139),2)-MAX('Calc base'!G$12,ROUND('Calc base'!G$13*AX138,2))&lt;1,ROUND(AX138*(1+'Calc base'!L139),2),MAX('Calc base'!G$12,ROUND('Calc base'!G$13*AX138,2))))</f>
        <v>0</v>
      </c>
      <c r="O139">
        <f>IF(AY138&lt;=0,0,IF(ROUND(AY138*(1+'Calc base'!M139),2)-MAX('Calc base'!H$12,ROUND('Calc base'!H$13*AY138,2))&lt;1,ROUND(AY138*(1+'Calc base'!M139),2),MAX('Calc base'!H$12,ROUND('Calc base'!H$13*AY138,2))))</f>
        <v>0</v>
      </c>
      <c r="P139">
        <f>IF(AZ138&lt;=0,0,IF(ROUND(AZ138*(1+'Calc base'!N139),2)-MAX('Calc base'!I$12,ROUND('Calc base'!I$13*AZ138,2))&lt;1,ROUND(AZ138*(1+'Calc base'!N139),2),MAX('Calc base'!I$12,ROUND('Calc base'!I$13*AZ138,2))))</f>
        <v>0</v>
      </c>
      <c r="Q139">
        <f>IF(BA138&lt;=0,0,IF(ROUND(BA138*(1+'Calc base'!O139),2)-MAX('Calc base'!J$12,ROUND('Calc base'!J$13*BA138,2))&lt;1,ROUND(BA138*(1+'Calc base'!O139),2),MAX('Calc base'!J$12,ROUND('Calc base'!J$13*BA138,2))))</f>
        <v>0</v>
      </c>
      <c r="R139">
        <f>IF(BB138&lt;=0,0,IF(ROUND(BB138*(1+'Calc base'!P139),2)-MAX('Calc base'!K$12,ROUND('Calc base'!K$13*BB138,2))&lt;1,ROUND(BB138*(1+'Calc base'!P139),2),MAX('Calc base'!K$12,ROUND('Calc base'!K$13*BB138,2))))</f>
        <v>0</v>
      </c>
      <c r="S139">
        <f>IF(BC138&lt;=0,0,IF(ROUND(BC138*(1+'Calc base'!Q139),2)-MAX('Calc base'!L$12,ROUND('Calc base'!L$13*BC138,2))&lt;1,ROUND(BC138*(1+'Calc base'!Q139),2),MAX('Calc base'!L$12,ROUND('Calc base'!L$13*BC138,2))))</f>
        <v>0</v>
      </c>
      <c r="T139">
        <f>IF(BD138&lt;=0,0,IF(ROUND(BD138*(1+'Calc base'!R139),2)-MAX('Calc base'!M$12,ROUND('Calc base'!M$13*BD138,2))&lt;1,ROUND(BD138*(1+'Calc base'!R139),2),MAX('Calc base'!M$12,ROUND('Calc base'!M$13*BD138,2))))</f>
        <v>0</v>
      </c>
      <c r="U139">
        <f>IF(BE138&lt;=0,0,IF(ROUND(BE138*(1+'Calc base'!S139),2)-MAX('Calc base'!N$12,ROUND('Calc base'!N$13*BE138,2))&lt;1,ROUND(BE138*(1+'Calc base'!S139),2),MAX('Calc base'!N$12,ROUND('Calc base'!N$13*BE138,2))))</f>
        <v>0</v>
      </c>
      <c r="V139">
        <f>MAX(0,ROUND(AT138*(1+'Calc base'!H139),2)-J139-'Calc base'!T139)</f>
        <v>0</v>
      </c>
      <c r="W139">
        <f>MAX(0,ROUND(AU138*(1+'Calc base'!I139),2)-K139-'Calc base'!U139)</f>
        <v>0</v>
      </c>
      <c r="X139">
        <f>MAX(0,ROUND(AV138*(1+'Calc base'!J139),2)-L139-'Calc base'!V139)</f>
        <v>0</v>
      </c>
      <c r="Y139">
        <f>MAX(0,ROUND(AW138*(1+'Calc base'!K139),2)-M139-'Calc base'!W139)</f>
        <v>0</v>
      </c>
      <c r="Z139">
        <f>MAX(0,ROUND(AX138*(1+'Calc base'!L139),2)-N139-'Calc base'!X139)</f>
        <v>0</v>
      </c>
      <c r="AA139">
        <f>MAX(0,ROUND(AY138*(1+'Calc base'!M139),2)-O139-'Calc base'!Y139)</f>
        <v>0</v>
      </c>
      <c r="AB139">
        <f>MAX(0,ROUND(AZ138*(1+'Calc base'!N139),2)-P139-'Calc base'!Z139)</f>
        <v>0</v>
      </c>
      <c r="AC139">
        <f>MAX(0,ROUND(BA138*(1+'Calc base'!O139),2)-Q139-'Calc base'!AA139)</f>
        <v>0</v>
      </c>
      <c r="AD139">
        <f>MAX(0,ROUND(BB138*(1+'Calc base'!P139),2)-R139-'Calc base'!AB139)</f>
        <v>0</v>
      </c>
      <c r="AE139">
        <f>MAX(0,ROUND(BC138*(1+'Calc base'!Q139),2)-S139-'Calc base'!AC139)</f>
        <v>0</v>
      </c>
      <c r="AF139">
        <f>MAX(0,ROUND(BD138*(1+'Calc base'!R139),2)-T139-'Calc base'!AD139)</f>
        <v>0</v>
      </c>
      <c r="AG139">
        <f>MAX(0,ROUND(BE138*(1+'Calc base'!S139),2)-U139-'Calc base'!AE139)</f>
        <v>0</v>
      </c>
      <c r="AH139">
        <f>IF('Calc base'!C$14=0,0,MIN(V139,MAX(0,$E139-SUMIFS($V139:$AG139,'Calc base'!$C$17:$N$17,"&lt;"&amp;'Calc base'!C$17,'Calc base'!$C$14:$N$14,1))))</f>
        <v>0</v>
      </c>
      <c r="AI139">
        <f>IF('Calc base'!D$14=0,0,MIN(W139,MAX(0,$E139-SUMIFS($V139:$AG139,'Calc base'!$C$17:$N$17,"&lt;"&amp;'Calc base'!D$17,'Calc base'!$C$14:$N$14,1))))</f>
        <v>0</v>
      </c>
      <c r="AJ139">
        <f>IF('Calc base'!E$14=0,0,MIN(X139,MAX(0,$E139-SUMIFS($V139:$AG139,'Calc base'!$C$17:$N$17,"&lt;"&amp;'Calc base'!E$17,'Calc base'!$C$14:$N$14,1))))</f>
        <v>0</v>
      </c>
      <c r="AK139">
        <f>IF('Calc base'!F$14=0,0,MIN(Y139,MAX(0,$E139-SUMIFS($V139:$AG139,'Calc base'!$C$17:$N$17,"&lt;"&amp;'Calc base'!F$17,'Calc base'!$C$14:$N$14,1))))</f>
        <v>0</v>
      </c>
      <c r="AL139">
        <f>IF('Calc base'!G$14=0,0,MIN(Z139,MAX(0,$E139-SUMIFS($V139:$AG139,'Calc base'!$C$17:$N$17,"&lt;"&amp;'Calc base'!G$17,'Calc base'!$C$14:$N$14,1))))</f>
        <v>0</v>
      </c>
      <c r="AM139">
        <f>IF('Calc base'!H$14=0,0,MIN(AA139,MAX(0,$E139-SUMIFS($V139:$AG139,'Calc base'!$C$17:$N$17,"&lt;"&amp;'Calc base'!H$17,'Calc base'!$C$14:$N$14,1))))</f>
        <v>0</v>
      </c>
      <c r="AN139">
        <f>IF('Calc base'!I$14=0,0,MIN(AB139,MAX(0,$E139-SUMIFS($V139:$AG139,'Calc base'!$C$17:$N$17,"&lt;"&amp;'Calc base'!I$17,'Calc base'!$C$14:$N$14,1))))</f>
        <v>0</v>
      </c>
      <c r="AO139">
        <f>IF('Calc base'!J$14=0,0,MIN(AC139,MAX(0,$E139-SUMIFS($V139:$AG139,'Calc base'!$C$17:$N$17,"&lt;"&amp;'Calc base'!J$17,'Calc base'!$C$14:$N$14,1))))</f>
        <v>0</v>
      </c>
      <c r="AP139">
        <f>IF('Calc base'!K$14=0,0,MIN(AD139,MAX(0,$E139-SUMIFS($V139:$AG139,'Calc base'!$C$17:$N$17,"&lt;"&amp;'Calc base'!K$17,'Calc base'!$C$14:$N$14,1))))</f>
        <v>0</v>
      </c>
      <c r="AQ139">
        <f>IF('Calc base'!L$14=0,0,MIN(AE139,MAX(0,$E139-SUMIFS($V139:$AG139,'Calc base'!$C$17:$N$17,"&lt;"&amp;'Calc base'!L$17,'Calc base'!$C$14:$N$14,1))))</f>
        <v>0</v>
      </c>
      <c r="AR139">
        <f>IF('Calc base'!M$14=0,0,MIN(AF139,MAX(0,$E139-SUMIFS($V139:$AG139,'Calc base'!$C$17:$N$17,"&lt;"&amp;'Calc base'!M$17,'Calc base'!$C$14:$N$14,1))))</f>
        <v>0</v>
      </c>
      <c r="AS139">
        <f>IF('Calc base'!N$14=0,0,MIN(AG139,MAX(0,$E139-SUMIFS($V139:$AG139,'Calc base'!$C$17:$N$17,"&lt;"&amp;'Calc base'!N$17,'Calc base'!$C$14:$N$14,1))))</f>
        <v>0</v>
      </c>
      <c r="AT139">
        <f>V139-AH139</f>
        <v>0</v>
      </c>
      <c r="AU139">
        <f>W139-AI139</f>
        <v>0</v>
      </c>
      <c r="AV139">
        <f>X139-AJ139</f>
        <v>0</v>
      </c>
      <c r="AW139">
        <f>Y139-AK139</f>
        <v>0</v>
      </c>
      <c r="AX139">
        <f>Z139-AL139</f>
        <v>0</v>
      </c>
      <c r="AY139">
        <f>AA139-AM139</f>
        <v>0</v>
      </c>
      <c r="AZ139">
        <f>AB139-AN139</f>
        <v>0</v>
      </c>
      <c r="BA139">
        <f>AC139-AO139</f>
        <v>0</v>
      </c>
      <c r="BB139">
        <f>AD139-AP139</f>
        <v>0</v>
      </c>
      <c r="BC139">
        <f>AE139-AQ139</f>
        <v>0</v>
      </c>
      <c r="BD139">
        <f>AF139-AR139</f>
        <v>0</v>
      </c>
      <c r="BE139">
        <f>AG139-AS139</f>
        <v>0</v>
      </c>
    </row>
    <row r="140">
      <c r="A140" t="n">
        <v>110</v>
      </c>
      <c r="B140">
        <f>SUMPRODUCT(ROUND($AT139:$BE139*(1+'Calc base'!$H140:$S140),2))</f>
        <v>0</v>
      </c>
      <c r="C140">
        <f>SUM(J140:U140)</f>
        <v>0</v>
      </c>
      <c r="D140">
        <f>SUM(V140:AG140)</f>
        <v>0</v>
      </c>
      <c r="E140">
        <f>MAX(0,IF(Impostazioni!$B$7="No",'Calc base'!$C140-$C$31,'Calc base'!$C140-C140)+'Calc base'!$G140+'Calc base'!$F140-(B140-C140-D140))</f>
        <v>900</v>
      </c>
      <c r="F140">
        <f>SUM(AH140:AS140)</f>
        <v>0</v>
      </c>
      <c r="G140">
        <f>SUM(AT140:BE140)</f>
        <v>0</v>
      </c>
      <c r="H140">
        <f>B140-G139</f>
        <v>0</v>
      </c>
      <c r="I140">
        <f>B140-G140</f>
        <v>0</v>
      </c>
      <c r="J140">
        <f>IF(AT139&lt;=0,0,IF(ROUND(AT139*(1+'Calc base'!H140),2)-MAX('Calc base'!C$12,ROUND('Calc base'!C$13*AT139,2))&lt;1,ROUND(AT139*(1+'Calc base'!H140),2),MAX('Calc base'!C$12,ROUND('Calc base'!C$13*AT139,2))))</f>
        <v>0</v>
      </c>
      <c r="K140">
        <f>IF(AU139&lt;=0,0,IF(ROUND(AU139*(1+'Calc base'!I140),2)-MAX('Calc base'!D$12,ROUND('Calc base'!D$13*AU139,2))&lt;1,ROUND(AU139*(1+'Calc base'!I140),2),MAX('Calc base'!D$12,ROUND('Calc base'!D$13*AU139,2))))</f>
        <v>0</v>
      </c>
      <c r="L140">
        <f>IF(AV139&lt;=0,0,IF(ROUND(AV139*(1+'Calc base'!J140),2)-MAX('Calc base'!E$12,ROUND('Calc base'!E$13*AV139,2))&lt;1,ROUND(AV139*(1+'Calc base'!J140),2),MAX('Calc base'!E$12,ROUND('Calc base'!E$13*AV139,2))))</f>
        <v>0</v>
      </c>
      <c r="M140">
        <f>IF(AW139&lt;=0,0,IF(ROUND(AW139*(1+'Calc base'!K140),2)-MAX('Calc base'!F$12,ROUND('Calc base'!F$13*AW139,2))&lt;1,ROUND(AW139*(1+'Calc base'!K140),2),MAX('Calc base'!F$12,ROUND('Calc base'!F$13*AW139,2))))</f>
        <v>0</v>
      </c>
      <c r="N140">
        <f>IF(AX139&lt;=0,0,IF(ROUND(AX139*(1+'Calc base'!L140),2)-MAX('Calc base'!G$12,ROUND('Calc base'!G$13*AX139,2))&lt;1,ROUND(AX139*(1+'Calc base'!L140),2),MAX('Calc base'!G$12,ROUND('Calc base'!G$13*AX139,2))))</f>
        <v>0</v>
      </c>
      <c r="O140">
        <f>IF(AY139&lt;=0,0,IF(ROUND(AY139*(1+'Calc base'!M140),2)-MAX('Calc base'!H$12,ROUND('Calc base'!H$13*AY139,2))&lt;1,ROUND(AY139*(1+'Calc base'!M140),2),MAX('Calc base'!H$12,ROUND('Calc base'!H$13*AY139,2))))</f>
        <v>0</v>
      </c>
      <c r="P140">
        <f>IF(AZ139&lt;=0,0,IF(ROUND(AZ139*(1+'Calc base'!N140),2)-MAX('Calc base'!I$12,ROUND('Calc base'!I$13*AZ139,2))&lt;1,ROUND(AZ139*(1+'Calc base'!N140),2),MAX('Calc base'!I$12,ROUND('Calc base'!I$13*AZ139,2))))</f>
        <v>0</v>
      </c>
      <c r="Q140">
        <f>IF(BA139&lt;=0,0,IF(ROUND(BA139*(1+'Calc base'!O140),2)-MAX('Calc base'!J$12,ROUND('Calc base'!J$13*BA139,2))&lt;1,ROUND(BA139*(1+'Calc base'!O140),2),MAX('Calc base'!J$12,ROUND('Calc base'!J$13*BA139,2))))</f>
        <v>0</v>
      </c>
      <c r="R140">
        <f>IF(BB139&lt;=0,0,IF(ROUND(BB139*(1+'Calc base'!P140),2)-MAX('Calc base'!K$12,ROUND('Calc base'!K$13*BB139,2))&lt;1,ROUND(BB139*(1+'Calc base'!P140),2),MAX('Calc base'!K$12,ROUND('Calc base'!K$13*BB139,2))))</f>
        <v>0</v>
      </c>
      <c r="S140">
        <f>IF(BC139&lt;=0,0,IF(ROUND(BC139*(1+'Calc base'!Q140),2)-MAX('Calc base'!L$12,ROUND('Calc base'!L$13*BC139,2))&lt;1,ROUND(BC139*(1+'Calc base'!Q140),2),MAX('Calc base'!L$12,ROUND('Calc base'!L$13*BC139,2))))</f>
        <v>0</v>
      </c>
      <c r="T140">
        <f>IF(BD139&lt;=0,0,IF(ROUND(BD139*(1+'Calc base'!R140),2)-MAX('Calc base'!M$12,ROUND('Calc base'!M$13*BD139,2))&lt;1,ROUND(BD139*(1+'Calc base'!R140),2),MAX('Calc base'!M$12,ROUND('Calc base'!M$13*BD139,2))))</f>
        <v>0</v>
      </c>
      <c r="U140">
        <f>IF(BE139&lt;=0,0,IF(ROUND(BE139*(1+'Calc base'!S140),2)-MAX('Calc base'!N$12,ROUND('Calc base'!N$13*BE139,2))&lt;1,ROUND(BE139*(1+'Calc base'!S140),2),MAX('Calc base'!N$12,ROUND('Calc base'!N$13*BE139,2))))</f>
        <v>0</v>
      </c>
      <c r="V140">
        <f>MAX(0,ROUND(AT139*(1+'Calc base'!H140),2)-J140-'Calc base'!T140)</f>
        <v>0</v>
      </c>
      <c r="W140">
        <f>MAX(0,ROUND(AU139*(1+'Calc base'!I140),2)-K140-'Calc base'!U140)</f>
        <v>0</v>
      </c>
      <c r="X140">
        <f>MAX(0,ROUND(AV139*(1+'Calc base'!J140),2)-L140-'Calc base'!V140)</f>
        <v>0</v>
      </c>
      <c r="Y140">
        <f>MAX(0,ROUND(AW139*(1+'Calc base'!K140),2)-M140-'Calc base'!W140)</f>
        <v>0</v>
      </c>
      <c r="Z140">
        <f>MAX(0,ROUND(AX139*(1+'Calc base'!L140),2)-N140-'Calc base'!X140)</f>
        <v>0</v>
      </c>
      <c r="AA140">
        <f>MAX(0,ROUND(AY139*(1+'Calc base'!M140),2)-O140-'Calc base'!Y140)</f>
        <v>0</v>
      </c>
      <c r="AB140">
        <f>MAX(0,ROUND(AZ139*(1+'Calc base'!N140),2)-P140-'Calc base'!Z140)</f>
        <v>0</v>
      </c>
      <c r="AC140">
        <f>MAX(0,ROUND(BA139*(1+'Calc base'!O140),2)-Q140-'Calc base'!AA140)</f>
        <v>0</v>
      </c>
      <c r="AD140">
        <f>MAX(0,ROUND(BB139*(1+'Calc base'!P140),2)-R140-'Calc base'!AB140)</f>
        <v>0</v>
      </c>
      <c r="AE140">
        <f>MAX(0,ROUND(BC139*(1+'Calc base'!Q140),2)-S140-'Calc base'!AC140)</f>
        <v>0</v>
      </c>
      <c r="AF140">
        <f>MAX(0,ROUND(BD139*(1+'Calc base'!R140),2)-T140-'Calc base'!AD140)</f>
        <v>0</v>
      </c>
      <c r="AG140">
        <f>MAX(0,ROUND(BE139*(1+'Calc base'!S140),2)-U140-'Calc base'!AE140)</f>
        <v>0</v>
      </c>
      <c r="AH140">
        <f>IF('Calc base'!C$14=0,0,MIN(V140,MAX(0,$E140-SUMIFS($V140:$AG140,'Calc base'!$C$17:$N$17,"&lt;"&amp;'Calc base'!C$17,'Calc base'!$C$14:$N$14,1))))</f>
        <v>0</v>
      </c>
      <c r="AI140">
        <f>IF('Calc base'!D$14=0,0,MIN(W140,MAX(0,$E140-SUMIFS($V140:$AG140,'Calc base'!$C$17:$N$17,"&lt;"&amp;'Calc base'!D$17,'Calc base'!$C$14:$N$14,1))))</f>
        <v>0</v>
      </c>
      <c r="AJ140">
        <f>IF('Calc base'!E$14=0,0,MIN(X140,MAX(0,$E140-SUMIFS($V140:$AG140,'Calc base'!$C$17:$N$17,"&lt;"&amp;'Calc base'!E$17,'Calc base'!$C$14:$N$14,1))))</f>
        <v>0</v>
      </c>
      <c r="AK140">
        <f>IF('Calc base'!F$14=0,0,MIN(Y140,MAX(0,$E140-SUMIFS($V140:$AG140,'Calc base'!$C$17:$N$17,"&lt;"&amp;'Calc base'!F$17,'Calc base'!$C$14:$N$14,1))))</f>
        <v>0</v>
      </c>
      <c r="AL140">
        <f>IF('Calc base'!G$14=0,0,MIN(Z140,MAX(0,$E140-SUMIFS($V140:$AG140,'Calc base'!$C$17:$N$17,"&lt;"&amp;'Calc base'!G$17,'Calc base'!$C$14:$N$14,1))))</f>
        <v>0</v>
      </c>
      <c r="AM140">
        <f>IF('Calc base'!H$14=0,0,MIN(AA140,MAX(0,$E140-SUMIFS($V140:$AG140,'Calc base'!$C$17:$N$17,"&lt;"&amp;'Calc base'!H$17,'Calc base'!$C$14:$N$14,1))))</f>
        <v>0</v>
      </c>
      <c r="AN140">
        <f>IF('Calc base'!I$14=0,0,MIN(AB140,MAX(0,$E140-SUMIFS($V140:$AG140,'Calc base'!$C$17:$N$17,"&lt;"&amp;'Calc base'!I$17,'Calc base'!$C$14:$N$14,1))))</f>
        <v>0</v>
      </c>
      <c r="AO140">
        <f>IF('Calc base'!J$14=0,0,MIN(AC140,MAX(0,$E140-SUMIFS($V140:$AG140,'Calc base'!$C$17:$N$17,"&lt;"&amp;'Calc base'!J$17,'Calc base'!$C$14:$N$14,1))))</f>
        <v>0</v>
      </c>
      <c r="AP140">
        <f>IF('Calc base'!K$14=0,0,MIN(AD140,MAX(0,$E140-SUMIFS($V140:$AG140,'Calc base'!$C$17:$N$17,"&lt;"&amp;'Calc base'!K$17,'Calc base'!$C$14:$N$14,1))))</f>
        <v>0</v>
      </c>
      <c r="AQ140">
        <f>IF('Calc base'!L$14=0,0,MIN(AE140,MAX(0,$E140-SUMIFS($V140:$AG140,'Calc base'!$C$17:$N$17,"&lt;"&amp;'Calc base'!L$17,'Calc base'!$C$14:$N$14,1))))</f>
        <v>0</v>
      </c>
      <c r="AR140">
        <f>IF('Calc base'!M$14=0,0,MIN(AF140,MAX(0,$E140-SUMIFS($V140:$AG140,'Calc base'!$C$17:$N$17,"&lt;"&amp;'Calc base'!M$17,'Calc base'!$C$14:$N$14,1))))</f>
        <v>0</v>
      </c>
      <c r="AS140">
        <f>IF('Calc base'!N$14=0,0,MIN(AG140,MAX(0,$E140-SUMIFS($V140:$AG140,'Calc base'!$C$17:$N$17,"&lt;"&amp;'Calc base'!N$17,'Calc base'!$C$14:$N$14,1))))</f>
        <v>0</v>
      </c>
      <c r="AT140">
        <f>V140-AH140</f>
        <v>0</v>
      </c>
      <c r="AU140">
        <f>W140-AI140</f>
        <v>0</v>
      </c>
      <c r="AV140">
        <f>X140-AJ140</f>
        <v>0</v>
      </c>
      <c r="AW140">
        <f>Y140-AK140</f>
        <v>0</v>
      </c>
      <c r="AX140">
        <f>Z140-AL140</f>
        <v>0</v>
      </c>
      <c r="AY140">
        <f>AA140-AM140</f>
        <v>0</v>
      </c>
      <c r="AZ140">
        <f>AB140-AN140</f>
        <v>0</v>
      </c>
      <c r="BA140">
        <f>AC140-AO140</f>
        <v>0</v>
      </c>
      <c r="BB140">
        <f>AD140-AP140</f>
        <v>0</v>
      </c>
      <c r="BC140">
        <f>AE140-AQ140</f>
        <v>0</v>
      </c>
      <c r="BD140">
        <f>AF140-AR140</f>
        <v>0</v>
      </c>
      <c r="BE140">
        <f>AG140-AS140</f>
        <v>0</v>
      </c>
    </row>
    <row r="141">
      <c r="A141" t="n">
        <v>111</v>
      </c>
      <c r="B141">
        <f>SUMPRODUCT(ROUND($AT140:$BE140*(1+'Calc base'!$H141:$S141),2))</f>
        <v>0</v>
      </c>
      <c r="C141">
        <f>SUM(J141:U141)</f>
        <v>0</v>
      </c>
      <c r="D141">
        <f>SUM(V141:AG141)</f>
        <v>0</v>
      </c>
      <c r="E141">
        <f>MAX(0,IF(Impostazioni!$B$7="No",'Calc base'!$C141-$C$31,'Calc base'!$C141-C141)+'Calc base'!$G141+'Calc base'!$F141-(B141-C141-D141))</f>
        <v>900</v>
      </c>
      <c r="F141">
        <f>SUM(AH141:AS141)</f>
        <v>0</v>
      </c>
      <c r="G141">
        <f>SUM(AT141:BE141)</f>
        <v>0</v>
      </c>
      <c r="H141">
        <f>B141-G140</f>
        <v>0</v>
      </c>
      <c r="I141">
        <f>B141-G141</f>
        <v>0</v>
      </c>
      <c r="J141">
        <f>IF(AT140&lt;=0,0,IF(ROUND(AT140*(1+'Calc base'!H141),2)-MAX('Calc base'!C$12,ROUND('Calc base'!C$13*AT140,2))&lt;1,ROUND(AT140*(1+'Calc base'!H141),2),MAX('Calc base'!C$12,ROUND('Calc base'!C$13*AT140,2))))</f>
        <v>0</v>
      </c>
      <c r="K141">
        <f>IF(AU140&lt;=0,0,IF(ROUND(AU140*(1+'Calc base'!I141),2)-MAX('Calc base'!D$12,ROUND('Calc base'!D$13*AU140,2))&lt;1,ROUND(AU140*(1+'Calc base'!I141),2),MAX('Calc base'!D$12,ROUND('Calc base'!D$13*AU140,2))))</f>
        <v>0</v>
      </c>
      <c r="L141">
        <f>IF(AV140&lt;=0,0,IF(ROUND(AV140*(1+'Calc base'!J141),2)-MAX('Calc base'!E$12,ROUND('Calc base'!E$13*AV140,2))&lt;1,ROUND(AV140*(1+'Calc base'!J141),2),MAX('Calc base'!E$12,ROUND('Calc base'!E$13*AV140,2))))</f>
        <v>0</v>
      </c>
      <c r="M141">
        <f>IF(AW140&lt;=0,0,IF(ROUND(AW140*(1+'Calc base'!K141),2)-MAX('Calc base'!F$12,ROUND('Calc base'!F$13*AW140,2))&lt;1,ROUND(AW140*(1+'Calc base'!K141),2),MAX('Calc base'!F$12,ROUND('Calc base'!F$13*AW140,2))))</f>
        <v>0</v>
      </c>
      <c r="N141">
        <f>IF(AX140&lt;=0,0,IF(ROUND(AX140*(1+'Calc base'!L141),2)-MAX('Calc base'!G$12,ROUND('Calc base'!G$13*AX140,2))&lt;1,ROUND(AX140*(1+'Calc base'!L141),2),MAX('Calc base'!G$12,ROUND('Calc base'!G$13*AX140,2))))</f>
        <v>0</v>
      </c>
      <c r="O141">
        <f>IF(AY140&lt;=0,0,IF(ROUND(AY140*(1+'Calc base'!M141),2)-MAX('Calc base'!H$12,ROUND('Calc base'!H$13*AY140,2))&lt;1,ROUND(AY140*(1+'Calc base'!M141),2),MAX('Calc base'!H$12,ROUND('Calc base'!H$13*AY140,2))))</f>
        <v>0</v>
      </c>
      <c r="P141">
        <f>IF(AZ140&lt;=0,0,IF(ROUND(AZ140*(1+'Calc base'!N141),2)-MAX('Calc base'!I$12,ROUND('Calc base'!I$13*AZ140,2))&lt;1,ROUND(AZ140*(1+'Calc base'!N141),2),MAX('Calc base'!I$12,ROUND('Calc base'!I$13*AZ140,2))))</f>
        <v>0</v>
      </c>
      <c r="Q141">
        <f>IF(BA140&lt;=0,0,IF(ROUND(BA140*(1+'Calc base'!O141),2)-MAX('Calc base'!J$12,ROUND('Calc base'!J$13*BA140,2))&lt;1,ROUND(BA140*(1+'Calc base'!O141),2),MAX('Calc base'!J$12,ROUND('Calc base'!J$13*BA140,2))))</f>
        <v>0</v>
      </c>
      <c r="R141">
        <f>IF(BB140&lt;=0,0,IF(ROUND(BB140*(1+'Calc base'!P141),2)-MAX('Calc base'!K$12,ROUND('Calc base'!K$13*BB140,2))&lt;1,ROUND(BB140*(1+'Calc base'!P141),2),MAX('Calc base'!K$12,ROUND('Calc base'!K$13*BB140,2))))</f>
        <v>0</v>
      </c>
      <c r="S141">
        <f>IF(BC140&lt;=0,0,IF(ROUND(BC140*(1+'Calc base'!Q141),2)-MAX('Calc base'!L$12,ROUND('Calc base'!L$13*BC140,2))&lt;1,ROUND(BC140*(1+'Calc base'!Q141),2),MAX('Calc base'!L$12,ROUND('Calc base'!L$13*BC140,2))))</f>
        <v>0</v>
      </c>
      <c r="T141">
        <f>IF(BD140&lt;=0,0,IF(ROUND(BD140*(1+'Calc base'!R141),2)-MAX('Calc base'!M$12,ROUND('Calc base'!M$13*BD140,2))&lt;1,ROUND(BD140*(1+'Calc base'!R141),2),MAX('Calc base'!M$12,ROUND('Calc base'!M$13*BD140,2))))</f>
        <v>0</v>
      </c>
      <c r="U141">
        <f>IF(BE140&lt;=0,0,IF(ROUND(BE140*(1+'Calc base'!S141),2)-MAX('Calc base'!N$12,ROUND('Calc base'!N$13*BE140,2))&lt;1,ROUND(BE140*(1+'Calc base'!S141),2),MAX('Calc base'!N$12,ROUND('Calc base'!N$13*BE140,2))))</f>
        <v>0</v>
      </c>
      <c r="V141">
        <f>MAX(0,ROUND(AT140*(1+'Calc base'!H141),2)-J141-'Calc base'!T141)</f>
        <v>0</v>
      </c>
      <c r="W141">
        <f>MAX(0,ROUND(AU140*(1+'Calc base'!I141),2)-K141-'Calc base'!U141)</f>
        <v>0</v>
      </c>
      <c r="X141">
        <f>MAX(0,ROUND(AV140*(1+'Calc base'!J141),2)-L141-'Calc base'!V141)</f>
        <v>0</v>
      </c>
      <c r="Y141">
        <f>MAX(0,ROUND(AW140*(1+'Calc base'!K141),2)-M141-'Calc base'!W141)</f>
        <v>0</v>
      </c>
      <c r="Z141">
        <f>MAX(0,ROUND(AX140*(1+'Calc base'!L141),2)-N141-'Calc base'!X141)</f>
        <v>0</v>
      </c>
      <c r="AA141">
        <f>MAX(0,ROUND(AY140*(1+'Calc base'!M141),2)-O141-'Calc base'!Y141)</f>
        <v>0</v>
      </c>
      <c r="AB141">
        <f>MAX(0,ROUND(AZ140*(1+'Calc base'!N141),2)-P141-'Calc base'!Z141)</f>
        <v>0</v>
      </c>
      <c r="AC141">
        <f>MAX(0,ROUND(BA140*(1+'Calc base'!O141),2)-Q141-'Calc base'!AA141)</f>
        <v>0</v>
      </c>
      <c r="AD141">
        <f>MAX(0,ROUND(BB140*(1+'Calc base'!P141),2)-R141-'Calc base'!AB141)</f>
        <v>0</v>
      </c>
      <c r="AE141">
        <f>MAX(0,ROUND(BC140*(1+'Calc base'!Q141),2)-S141-'Calc base'!AC141)</f>
        <v>0</v>
      </c>
      <c r="AF141">
        <f>MAX(0,ROUND(BD140*(1+'Calc base'!R141),2)-T141-'Calc base'!AD141)</f>
        <v>0</v>
      </c>
      <c r="AG141">
        <f>MAX(0,ROUND(BE140*(1+'Calc base'!S141),2)-U141-'Calc base'!AE141)</f>
        <v>0</v>
      </c>
      <c r="AH141">
        <f>IF('Calc base'!C$14=0,0,MIN(V141,MAX(0,$E141-SUMIFS($V141:$AG141,'Calc base'!$C$17:$N$17,"&lt;"&amp;'Calc base'!C$17,'Calc base'!$C$14:$N$14,1))))</f>
        <v>0</v>
      </c>
      <c r="AI141">
        <f>IF('Calc base'!D$14=0,0,MIN(W141,MAX(0,$E141-SUMIFS($V141:$AG141,'Calc base'!$C$17:$N$17,"&lt;"&amp;'Calc base'!D$17,'Calc base'!$C$14:$N$14,1))))</f>
        <v>0</v>
      </c>
      <c r="AJ141">
        <f>IF('Calc base'!E$14=0,0,MIN(X141,MAX(0,$E141-SUMIFS($V141:$AG141,'Calc base'!$C$17:$N$17,"&lt;"&amp;'Calc base'!E$17,'Calc base'!$C$14:$N$14,1))))</f>
        <v>0</v>
      </c>
      <c r="AK141">
        <f>IF('Calc base'!F$14=0,0,MIN(Y141,MAX(0,$E141-SUMIFS($V141:$AG141,'Calc base'!$C$17:$N$17,"&lt;"&amp;'Calc base'!F$17,'Calc base'!$C$14:$N$14,1))))</f>
        <v>0</v>
      </c>
      <c r="AL141">
        <f>IF('Calc base'!G$14=0,0,MIN(Z141,MAX(0,$E141-SUMIFS($V141:$AG141,'Calc base'!$C$17:$N$17,"&lt;"&amp;'Calc base'!G$17,'Calc base'!$C$14:$N$14,1))))</f>
        <v>0</v>
      </c>
      <c r="AM141">
        <f>IF('Calc base'!H$14=0,0,MIN(AA141,MAX(0,$E141-SUMIFS($V141:$AG141,'Calc base'!$C$17:$N$17,"&lt;"&amp;'Calc base'!H$17,'Calc base'!$C$14:$N$14,1))))</f>
        <v>0</v>
      </c>
      <c r="AN141">
        <f>IF('Calc base'!I$14=0,0,MIN(AB141,MAX(0,$E141-SUMIFS($V141:$AG141,'Calc base'!$C$17:$N$17,"&lt;"&amp;'Calc base'!I$17,'Calc base'!$C$14:$N$14,1))))</f>
        <v>0</v>
      </c>
      <c r="AO141">
        <f>IF('Calc base'!J$14=0,0,MIN(AC141,MAX(0,$E141-SUMIFS($V141:$AG141,'Calc base'!$C$17:$N$17,"&lt;"&amp;'Calc base'!J$17,'Calc base'!$C$14:$N$14,1))))</f>
        <v>0</v>
      </c>
      <c r="AP141">
        <f>IF('Calc base'!K$14=0,0,MIN(AD141,MAX(0,$E141-SUMIFS($V141:$AG141,'Calc base'!$C$17:$N$17,"&lt;"&amp;'Calc base'!K$17,'Calc base'!$C$14:$N$14,1))))</f>
        <v>0</v>
      </c>
      <c r="AQ141">
        <f>IF('Calc base'!L$14=0,0,MIN(AE141,MAX(0,$E141-SUMIFS($V141:$AG141,'Calc base'!$C$17:$N$17,"&lt;"&amp;'Calc base'!L$17,'Calc base'!$C$14:$N$14,1))))</f>
        <v>0</v>
      </c>
      <c r="AR141">
        <f>IF('Calc base'!M$14=0,0,MIN(AF141,MAX(0,$E141-SUMIFS($V141:$AG141,'Calc base'!$C$17:$N$17,"&lt;"&amp;'Calc base'!M$17,'Calc base'!$C$14:$N$14,1))))</f>
        <v>0</v>
      </c>
      <c r="AS141">
        <f>IF('Calc base'!N$14=0,0,MIN(AG141,MAX(0,$E141-SUMIFS($V141:$AG141,'Calc base'!$C$17:$N$17,"&lt;"&amp;'Calc base'!N$17,'Calc base'!$C$14:$N$14,1))))</f>
        <v>0</v>
      </c>
      <c r="AT141">
        <f>V141-AH141</f>
        <v>0</v>
      </c>
      <c r="AU141">
        <f>W141-AI141</f>
        <v>0</v>
      </c>
      <c r="AV141">
        <f>X141-AJ141</f>
        <v>0</v>
      </c>
      <c r="AW141">
        <f>Y141-AK141</f>
        <v>0</v>
      </c>
      <c r="AX141">
        <f>Z141-AL141</f>
        <v>0</v>
      </c>
      <c r="AY141">
        <f>AA141-AM141</f>
        <v>0</v>
      </c>
      <c r="AZ141">
        <f>AB141-AN141</f>
        <v>0</v>
      </c>
      <c r="BA141">
        <f>AC141-AO141</f>
        <v>0</v>
      </c>
      <c r="BB141">
        <f>AD141-AP141</f>
        <v>0</v>
      </c>
      <c r="BC141">
        <f>AE141-AQ141</f>
        <v>0</v>
      </c>
      <c r="BD141">
        <f>AF141-AR141</f>
        <v>0</v>
      </c>
      <c r="BE141">
        <f>AG141-AS141</f>
        <v>0</v>
      </c>
    </row>
    <row r="142">
      <c r="A142" t="n">
        <v>112</v>
      </c>
      <c r="B142">
        <f>SUMPRODUCT(ROUND($AT141:$BE141*(1+'Calc base'!$H142:$S142),2))</f>
        <v>0</v>
      </c>
      <c r="C142">
        <f>SUM(J142:U142)</f>
        <v>0</v>
      </c>
      <c r="D142">
        <f>SUM(V142:AG142)</f>
        <v>0</v>
      </c>
      <c r="E142">
        <f>MAX(0,IF(Impostazioni!$B$7="No",'Calc base'!$C142-$C$31,'Calc base'!$C142-C142)+'Calc base'!$G142+'Calc base'!$F142-(B142-C142-D142))</f>
        <v>900</v>
      </c>
      <c r="F142">
        <f>SUM(AH142:AS142)</f>
        <v>0</v>
      </c>
      <c r="G142">
        <f>SUM(AT142:BE142)</f>
        <v>0</v>
      </c>
      <c r="H142">
        <f>B142-G141</f>
        <v>0</v>
      </c>
      <c r="I142">
        <f>B142-G142</f>
        <v>0</v>
      </c>
      <c r="J142">
        <f>IF(AT141&lt;=0,0,IF(ROUND(AT141*(1+'Calc base'!H142),2)-MAX('Calc base'!C$12,ROUND('Calc base'!C$13*AT141,2))&lt;1,ROUND(AT141*(1+'Calc base'!H142),2),MAX('Calc base'!C$12,ROUND('Calc base'!C$13*AT141,2))))</f>
        <v>0</v>
      </c>
      <c r="K142">
        <f>IF(AU141&lt;=0,0,IF(ROUND(AU141*(1+'Calc base'!I142),2)-MAX('Calc base'!D$12,ROUND('Calc base'!D$13*AU141,2))&lt;1,ROUND(AU141*(1+'Calc base'!I142),2),MAX('Calc base'!D$12,ROUND('Calc base'!D$13*AU141,2))))</f>
        <v>0</v>
      </c>
      <c r="L142">
        <f>IF(AV141&lt;=0,0,IF(ROUND(AV141*(1+'Calc base'!J142),2)-MAX('Calc base'!E$12,ROUND('Calc base'!E$13*AV141,2))&lt;1,ROUND(AV141*(1+'Calc base'!J142),2),MAX('Calc base'!E$12,ROUND('Calc base'!E$13*AV141,2))))</f>
        <v>0</v>
      </c>
      <c r="M142">
        <f>IF(AW141&lt;=0,0,IF(ROUND(AW141*(1+'Calc base'!K142),2)-MAX('Calc base'!F$12,ROUND('Calc base'!F$13*AW141,2))&lt;1,ROUND(AW141*(1+'Calc base'!K142),2),MAX('Calc base'!F$12,ROUND('Calc base'!F$13*AW141,2))))</f>
        <v>0</v>
      </c>
      <c r="N142">
        <f>IF(AX141&lt;=0,0,IF(ROUND(AX141*(1+'Calc base'!L142),2)-MAX('Calc base'!G$12,ROUND('Calc base'!G$13*AX141,2))&lt;1,ROUND(AX141*(1+'Calc base'!L142),2),MAX('Calc base'!G$12,ROUND('Calc base'!G$13*AX141,2))))</f>
        <v>0</v>
      </c>
      <c r="O142">
        <f>IF(AY141&lt;=0,0,IF(ROUND(AY141*(1+'Calc base'!M142),2)-MAX('Calc base'!H$12,ROUND('Calc base'!H$13*AY141,2))&lt;1,ROUND(AY141*(1+'Calc base'!M142),2),MAX('Calc base'!H$12,ROUND('Calc base'!H$13*AY141,2))))</f>
        <v>0</v>
      </c>
      <c r="P142">
        <f>IF(AZ141&lt;=0,0,IF(ROUND(AZ141*(1+'Calc base'!N142),2)-MAX('Calc base'!I$12,ROUND('Calc base'!I$13*AZ141,2))&lt;1,ROUND(AZ141*(1+'Calc base'!N142),2),MAX('Calc base'!I$12,ROUND('Calc base'!I$13*AZ141,2))))</f>
        <v>0</v>
      </c>
      <c r="Q142">
        <f>IF(BA141&lt;=0,0,IF(ROUND(BA141*(1+'Calc base'!O142),2)-MAX('Calc base'!J$12,ROUND('Calc base'!J$13*BA141,2))&lt;1,ROUND(BA141*(1+'Calc base'!O142),2),MAX('Calc base'!J$12,ROUND('Calc base'!J$13*BA141,2))))</f>
        <v>0</v>
      </c>
      <c r="R142">
        <f>IF(BB141&lt;=0,0,IF(ROUND(BB141*(1+'Calc base'!P142),2)-MAX('Calc base'!K$12,ROUND('Calc base'!K$13*BB141,2))&lt;1,ROUND(BB141*(1+'Calc base'!P142),2),MAX('Calc base'!K$12,ROUND('Calc base'!K$13*BB141,2))))</f>
        <v>0</v>
      </c>
      <c r="S142">
        <f>IF(BC141&lt;=0,0,IF(ROUND(BC141*(1+'Calc base'!Q142),2)-MAX('Calc base'!L$12,ROUND('Calc base'!L$13*BC141,2))&lt;1,ROUND(BC141*(1+'Calc base'!Q142),2),MAX('Calc base'!L$12,ROUND('Calc base'!L$13*BC141,2))))</f>
        <v>0</v>
      </c>
      <c r="T142">
        <f>IF(BD141&lt;=0,0,IF(ROUND(BD141*(1+'Calc base'!R142),2)-MAX('Calc base'!M$12,ROUND('Calc base'!M$13*BD141,2))&lt;1,ROUND(BD141*(1+'Calc base'!R142),2),MAX('Calc base'!M$12,ROUND('Calc base'!M$13*BD141,2))))</f>
        <v>0</v>
      </c>
      <c r="U142">
        <f>IF(BE141&lt;=0,0,IF(ROUND(BE141*(1+'Calc base'!S142),2)-MAX('Calc base'!N$12,ROUND('Calc base'!N$13*BE141,2))&lt;1,ROUND(BE141*(1+'Calc base'!S142),2),MAX('Calc base'!N$12,ROUND('Calc base'!N$13*BE141,2))))</f>
        <v>0</v>
      </c>
      <c r="V142">
        <f>MAX(0,ROUND(AT141*(1+'Calc base'!H142),2)-J142-'Calc base'!T142)</f>
        <v>0</v>
      </c>
      <c r="W142">
        <f>MAX(0,ROUND(AU141*(1+'Calc base'!I142),2)-K142-'Calc base'!U142)</f>
        <v>0</v>
      </c>
      <c r="X142">
        <f>MAX(0,ROUND(AV141*(1+'Calc base'!J142),2)-L142-'Calc base'!V142)</f>
        <v>0</v>
      </c>
      <c r="Y142">
        <f>MAX(0,ROUND(AW141*(1+'Calc base'!K142),2)-M142-'Calc base'!W142)</f>
        <v>0</v>
      </c>
      <c r="Z142">
        <f>MAX(0,ROUND(AX141*(1+'Calc base'!L142),2)-N142-'Calc base'!X142)</f>
        <v>0</v>
      </c>
      <c r="AA142">
        <f>MAX(0,ROUND(AY141*(1+'Calc base'!M142),2)-O142-'Calc base'!Y142)</f>
        <v>0</v>
      </c>
      <c r="AB142">
        <f>MAX(0,ROUND(AZ141*(1+'Calc base'!N142),2)-P142-'Calc base'!Z142)</f>
        <v>0</v>
      </c>
      <c r="AC142">
        <f>MAX(0,ROUND(BA141*(1+'Calc base'!O142),2)-Q142-'Calc base'!AA142)</f>
        <v>0</v>
      </c>
      <c r="AD142">
        <f>MAX(0,ROUND(BB141*(1+'Calc base'!P142),2)-R142-'Calc base'!AB142)</f>
        <v>0</v>
      </c>
      <c r="AE142">
        <f>MAX(0,ROUND(BC141*(1+'Calc base'!Q142),2)-S142-'Calc base'!AC142)</f>
        <v>0</v>
      </c>
      <c r="AF142">
        <f>MAX(0,ROUND(BD141*(1+'Calc base'!R142),2)-T142-'Calc base'!AD142)</f>
        <v>0</v>
      </c>
      <c r="AG142">
        <f>MAX(0,ROUND(BE141*(1+'Calc base'!S142),2)-U142-'Calc base'!AE142)</f>
        <v>0</v>
      </c>
      <c r="AH142">
        <f>IF('Calc base'!C$14=0,0,MIN(V142,MAX(0,$E142-SUMIFS($V142:$AG142,'Calc base'!$C$17:$N$17,"&lt;"&amp;'Calc base'!C$17,'Calc base'!$C$14:$N$14,1))))</f>
        <v>0</v>
      </c>
      <c r="AI142">
        <f>IF('Calc base'!D$14=0,0,MIN(W142,MAX(0,$E142-SUMIFS($V142:$AG142,'Calc base'!$C$17:$N$17,"&lt;"&amp;'Calc base'!D$17,'Calc base'!$C$14:$N$14,1))))</f>
        <v>0</v>
      </c>
      <c r="AJ142">
        <f>IF('Calc base'!E$14=0,0,MIN(X142,MAX(0,$E142-SUMIFS($V142:$AG142,'Calc base'!$C$17:$N$17,"&lt;"&amp;'Calc base'!E$17,'Calc base'!$C$14:$N$14,1))))</f>
        <v>0</v>
      </c>
      <c r="AK142">
        <f>IF('Calc base'!F$14=0,0,MIN(Y142,MAX(0,$E142-SUMIFS($V142:$AG142,'Calc base'!$C$17:$N$17,"&lt;"&amp;'Calc base'!F$17,'Calc base'!$C$14:$N$14,1))))</f>
        <v>0</v>
      </c>
      <c r="AL142">
        <f>IF('Calc base'!G$14=0,0,MIN(Z142,MAX(0,$E142-SUMIFS($V142:$AG142,'Calc base'!$C$17:$N$17,"&lt;"&amp;'Calc base'!G$17,'Calc base'!$C$14:$N$14,1))))</f>
        <v>0</v>
      </c>
      <c r="AM142">
        <f>IF('Calc base'!H$14=0,0,MIN(AA142,MAX(0,$E142-SUMIFS($V142:$AG142,'Calc base'!$C$17:$N$17,"&lt;"&amp;'Calc base'!H$17,'Calc base'!$C$14:$N$14,1))))</f>
        <v>0</v>
      </c>
      <c r="AN142">
        <f>IF('Calc base'!I$14=0,0,MIN(AB142,MAX(0,$E142-SUMIFS($V142:$AG142,'Calc base'!$C$17:$N$17,"&lt;"&amp;'Calc base'!I$17,'Calc base'!$C$14:$N$14,1))))</f>
        <v>0</v>
      </c>
      <c r="AO142">
        <f>IF('Calc base'!J$14=0,0,MIN(AC142,MAX(0,$E142-SUMIFS($V142:$AG142,'Calc base'!$C$17:$N$17,"&lt;"&amp;'Calc base'!J$17,'Calc base'!$C$14:$N$14,1))))</f>
        <v>0</v>
      </c>
      <c r="AP142">
        <f>IF('Calc base'!K$14=0,0,MIN(AD142,MAX(0,$E142-SUMIFS($V142:$AG142,'Calc base'!$C$17:$N$17,"&lt;"&amp;'Calc base'!K$17,'Calc base'!$C$14:$N$14,1))))</f>
        <v>0</v>
      </c>
      <c r="AQ142">
        <f>IF('Calc base'!L$14=0,0,MIN(AE142,MAX(0,$E142-SUMIFS($V142:$AG142,'Calc base'!$C$17:$N$17,"&lt;"&amp;'Calc base'!L$17,'Calc base'!$C$14:$N$14,1))))</f>
        <v>0</v>
      </c>
      <c r="AR142">
        <f>IF('Calc base'!M$14=0,0,MIN(AF142,MAX(0,$E142-SUMIFS($V142:$AG142,'Calc base'!$C$17:$N$17,"&lt;"&amp;'Calc base'!M$17,'Calc base'!$C$14:$N$14,1))))</f>
        <v>0</v>
      </c>
      <c r="AS142">
        <f>IF('Calc base'!N$14=0,0,MIN(AG142,MAX(0,$E142-SUMIFS($V142:$AG142,'Calc base'!$C$17:$N$17,"&lt;"&amp;'Calc base'!N$17,'Calc base'!$C$14:$N$14,1))))</f>
        <v>0</v>
      </c>
      <c r="AT142">
        <f>V142-AH142</f>
        <v>0</v>
      </c>
      <c r="AU142">
        <f>W142-AI142</f>
        <v>0</v>
      </c>
      <c r="AV142">
        <f>X142-AJ142</f>
        <v>0</v>
      </c>
      <c r="AW142">
        <f>Y142-AK142</f>
        <v>0</v>
      </c>
      <c r="AX142">
        <f>Z142-AL142</f>
        <v>0</v>
      </c>
      <c r="AY142">
        <f>AA142-AM142</f>
        <v>0</v>
      </c>
      <c r="AZ142">
        <f>AB142-AN142</f>
        <v>0</v>
      </c>
      <c r="BA142">
        <f>AC142-AO142</f>
        <v>0</v>
      </c>
      <c r="BB142">
        <f>AD142-AP142</f>
        <v>0</v>
      </c>
      <c r="BC142">
        <f>AE142-AQ142</f>
        <v>0</v>
      </c>
      <c r="BD142">
        <f>AF142-AR142</f>
        <v>0</v>
      </c>
      <c r="BE142">
        <f>AG142-AS142</f>
        <v>0</v>
      </c>
    </row>
    <row r="143">
      <c r="A143" t="n">
        <v>113</v>
      </c>
      <c r="B143">
        <f>SUMPRODUCT(ROUND($AT142:$BE142*(1+'Calc base'!$H143:$S143),2))</f>
        <v>0</v>
      </c>
      <c r="C143">
        <f>SUM(J143:U143)</f>
        <v>0</v>
      </c>
      <c r="D143">
        <f>SUM(V143:AG143)</f>
        <v>0</v>
      </c>
      <c r="E143">
        <f>MAX(0,IF(Impostazioni!$B$7="No",'Calc base'!$C143-$C$31,'Calc base'!$C143-C143)+'Calc base'!$G143+'Calc base'!$F143-(B143-C143-D143))</f>
        <v>900</v>
      </c>
      <c r="F143">
        <f>SUM(AH143:AS143)</f>
        <v>0</v>
      </c>
      <c r="G143">
        <f>SUM(AT143:BE143)</f>
        <v>0</v>
      </c>
      <c r="H143">
        <f>B143-G142</f>
        <v>0</v>
      </c>
      <c r="I143">
        <f>B143-G143</f>
        <v>0</v>
      </c>
      <c r="J143">
        <f>IF(AT142&lt;=0,0,IF(ROUND(AT142*(1+'Calc base'!H143),2)-MAX('Calc base'!C$12,ROUND('Calc base'!C$13*AT142,2))&lt;1,ROUND(AT142*(1+'Calc base'!H143),2),MAX('Calc base'!C$12,ROUND('Calc base'!C$13*AT142,2))))</f>
        <v>0</v>
      </c>
      <c r="K143">
        <f>IF(AU142&lt;=0,0,IF(ROUND(AU142*(1+'Calc base'!I143),2)-MAX('Calc base'!D$12,ROUND('Calc base'!D$13*AU142,2))&lt;1,ROUND(AU142*(1+'Calc base'!I143),2),MAX('Calc base'!D$12,ROUND('Calc base'!D$13*AU142,2))))</f>
        <v>0</v>
      </c>
      <c r="L143">
        <f>IF(AV142&lt;=0,0,IF(ROUND(AV142*(1+'Calc base'!J143),2)-MAX('Calc base'!E$12,ROUND('Calc base'!E$13*AV142,2))&lt;1,ROUND(AV142*(1+'Calc base'!J143),2),MAX('Calc base'!E$12,ROUND('Calc base'!E$13*AV142,2))))</f>
        <v>0</v>
      </c>
      <c r="M143">
        <f>IF(AW142&lt;=0,0,IF(ROUND(AW142*(1+'Calc base'!K143),2)-MAX('Calc base'!F$12,ROUND('Calc base'!F$13*AW142,2))&lt;1,ROUND(AW142*(1+'Calc base'!K143),2),MAX('Calc base'!F$12,ROUND('Calc base'!F$13*AW142,2))))</f>
        <v>0</v>
      </c>
      <c r="N143">
        <f>IF(AX142&lt;=0,0,IF(ROUND(AX142*(1+'Calc base'!L143),2)-MAX('Calc base'!G$12,ROUND('Calc base'!G$13*AX142,2))&lt;1,ROUND(AX142*(1+'Calc base'!L143),2),MAX('Calc base'!G$12,ROUND('Calc base'!G$13*AX142,2))))</f>
        <v>0</v>
      </c>
      <c r="O143">
        <f>IF(AY142&lt;=0,0,IF(ROUND(AY142*(1+'Calc base'!M143),2)-MAX('Calc base'!H$12,ROUND('Calc base'!H$13*AY142,2))&lt;1,ROUND(AY142*(1+'Calc base'!M143),2),MAX('Calc base'!H$12,ROUND('Calc base'!H$13*AY142,2))))</f>
        <v>0</v>
      </c>
      <c r="P143">
        <f>IF(AZ142&lt;=0,0,IF(ROUND(AZ142*(1+'Calc base'!N143),2)-MAX('Calc base'!I$12,ROUND('Calc base'!I$13*AZ142,2))&lt;1,ROUND(AZ142*(1+'Calc base'!N143),2),MAX('Calc base'!I$12,ROUND('Calc base'!I$13*AZ142,2))))</f>
        <v>0</v>
      </c>
      <c r="Q143">
        <f>IF(BA142&lt;=0,0,IF(ROUND(BA142*(1+'Calc base'!O143),2)-MAX('Calc base'!J$12,ROUND('Calc base'!J$13*BA142,2))&lt;1,ROUND(BA142*(1+'Calc base'!O143),2),MAX('Calc base'!J$12,ROUND('Calc base'!J$13*BA142,2))))</f>
        <v>0</v>
      </c>
      <c r="R143">
        <f>IF(BB142&lt;=0,0,IF(ROUND(BB142*(1+'Calc base'!P143),2)-MAX('Calc base'!K$12,ROUND('Calc base'!K$13*BB142,2))&lt;1,ROUND(BB142*(1+'Calc base'!P143),2),MAX('Calc base'!K$12,ROUND('Calc base'!K$13*BB142,2))))</f>
        <v>0</v>
      </c>
      <c r="S143">
        <f>IF(BC142&lt;=0,0,IF(ROUND(BC142*(1+'Calc base'!Q143),2)-MAX('Calc base'!L$12,ROUND('Calc base'!L$13*BC142,2))&lt;1,ROUND(BC142*(1+'Calc base'!Q143),2),MAX('Calc base'!L$12,ROUND('Calc base'!L$13*BC142,2))))</f>
        <v>0</v>
      </c>
      <c r="T143">
        <f>IF(BD142&lt;=0,0,IF(ROUND(BD142*(1+'Calc base'!R143),2)-MAX('Calc base'!M$12,ROUND('Calc base'!M$13*BD142,2))&lt;1,ROUND(BD142*(1+'Calc base'!R143),2),MAX('Calc base'!M$12,ROUND('Calc base'!M$13*BD142,2))))</f>
        <v>0</v>
      </c>
      <c r="U143">
        <f>IF(BE142&lt;=0,0,IF(ROUND(BE142*(1+'Calc base'!S143),2)-MAX('Calc base'!N$12,ROUND('Calc base'!N$13*BE142,2))&lt;1,ROUND(BE142*(1+'Calc base'!S143),2),MAX('Calc base'!N$12,ROUND('Calc base'!N$13*BE142,2))))</f>
        <v>0</v>
      </c>
      <c r="V143">
        <f>MAX(0,ROUND(AT142*(1+'Calc base'!H143),2)-J143-'Calc base'!T143)</f>
        <v>0</v>
      </c>
      <c r="W143">
        <f>MAX(0,ROUND(AU142*(1+'Calc base'!I143),2)-K143-'Calc base'!U143)</f>
        <v>0</v>
      </c>
      <c r="X143">
        <f>MAX(0,ROUND(AV142*(1+'Calc base'!J143),2)-L143-'Calc base'!V143)</f>
        <v>0</v>
      </c>
      <c r="Y143">
        <f>MAX(0,ROUND(AW142*(1+'Calc base'!K143),2)-M143-'Calc base'!W143)</f>
        <v>0</v>
      </c>
      <c r="Z143">
        <f>MAX(0,ROUND(AX142*(1+'Calc base'!L143),2)-N143-'Calc base'!X143)</f>
        <v>0</v>
      </c>
      <c r="AA143">
        <f>MAX(0,ROUND(AY142*(1+'Calc base'!M143),2)-O143-'Calc base'!Y143)</f>
        <v>0</v>
      </c>
      <c r="AB143">
        <f>MAX(0,ROUND(AZ142*(1+'Calc base'!N143),2)-P143-'Calc base'!Z143)</f>
        <v>0</v>
      </c>
      <c r="AC143">
        <f>MAX(0,ROUND(BA142*(1+'Calc base'!O143),2)-Q143-'Calc base'!AA143)</f>
        <v>0</v>
      </c>
      <c r="AD143">
        <f>MAX(0,ROUND(BB142*(1+'Calc base'!P143),2)-R143-'Calc base'!AB143)</f>
        <v>0</v>
      </c>
      <c r="AE143">
        <f>MAX(0,ROUND(BC142*(1+'Calc base'!Q143),2)-S143-'Calc base'!AC143)</f>
        <v>0</v>
      </c>
      <c r="AF143">
        <f>MAX(0,ROUND(BD142*(1+'Calc base'!R143),2)-T143-'Calc base'!AD143)</f>
        <v>0</v>
      </c>
      <c r="AG143">
        <f>MAX(0,ROUND(BE142*(1+'Calc base'!S143),2)-U143-'Calc base'!AE143)</f>
        <v>0</v>
      </c>
      <c r="AH143">
        <f>IF('Calc base'!C$14=0,0,MIN(V143,MAX(0,$E143-SUMIFS($V143:$AG143,'Calc base'!$C$17:$N$17,"&lt;"&amp;'Calc base'!C$17,'Calc base'!$C$14:$N$14,1))))</f>
        <v>0</v>
      </c>
      <c r="AI143">
        <f>IF('Calc base'!D$14=0,0,MIN(W143,MAX(0,$E143-SUMIFS($V143:$AG143,'Calc base'!$C$17:$N$17,"&lt;"&amp;'Calc base'!D$17,'Calc base'!$C$14:$N$14,1))))</f>
        <v>0</v>
      </c>
      <c r="AJ143">
        <f>IF('Calc base'!E$14=0,0,MIN(X143,MAX(0,$E143-SUMIFS($V143:$AG143,'Calc base'!$C$17:$N$17,"&lt;"&amp;'Calc base'!E$17,'Calc base'!$C$14:$N$14,1))))</f>
        <v>0</v>
      </c>
      <c r="AK143">
        <f>IF('Calc base'!F$14=0,0,MIN(Y143,MAX(0,$E143-SUMIFS($V143:$AG143,'Calc base'!$C$17:$N$17,"&lt;"&amp;'Calc base'!F$17,'Calc base'!$C$14:$N$14,1))))</f>
        <v>0</v>
      </c>
      <c r="AL143">
        <f>IF('Calc base'!G$14=0,0,MIN(Z143,MAX(0,$E143-SUMIFS($V143:$AG143,'Calc base'!$C$17:$N$17,"&lt;"&amp;'Calc base'!G$17,'Calc base'!$C$14:$N$14,1))))</f>
        <v>0</v>
      </c>
      <c r="AM143">
        <f>IF('Calc base'!H$14=0,0,MIN(AA143,MAX(0,$E143-SUMIFS($V143:$AG143,'Calc base'!$C$17:$N$17,"&lt;"&amp;'Calc base'!H$17,'Calc base'!$C$14:$N$14,1))))</f>
        <v>0</v>
      </c>
      <c r="AN143">
        <f>IF('Calc base'!I$14=0,0,MIN(AB143,MAX(0,$E143-SUMIFS($V143:$AG143,'Calc base'!$C$17:$N$17,"&lt;"&amp;'Calc base'!I$17,'Calc base'!$C$14:$N$14,1))))</f>
        <v>0</v>
      </c>
      <c r="AO143">
        <f>IF('Calc base'!J$14=0,0,MIN(AC143,MAX(0,$E143-SUMIFS($V143:$AG143,'Calc base'!$C$17:$N$17,"&lt;"&amp;'Calc base'!J$17,'Calc base'!$C$14:$N$14,1))))</f>
        <v>0</v>
      </c>
      <c r="AP143">
        <f>IF('Calc base'!K$14=0,0,MIN(AD143,MAX(0,$E143-SUMIFS($V143:$AG143,'Calc base'!$C$17:$N$17,"&lt;"&amp;'Calc base'!K$17,'Calc base'!$C$14:$N$14,1))))</f>
        <v>0</v>
      </c>
      <c r="AQ143">
        <f>IF('Calc base'!L$14=0,0,MIN(AE143,MAX(0,$E143-SUMIFS($V143:$AG143,'Calc base'!$C$17:$N$17,"&lt;"&amp;'Calc base'!L$17,'Calc base'!$C$14:$N$14,1))))</f>
        <v>0</v>
      </c>
      <c r="AR143">
        <f>IF('Calc base'!M$14=0,0,MIN(AF143,MAX(0,$E143-SUMIFS($V143:$AG143,'Calc base'!$C$17:$N$17,"&lt;"&amp;'Calc base'!M$17,'Calc base'!$C$14:$N$14,1))))</f>
        <v>0</v>
      </c>
      <c r="AS143">
        <f>IF('Calc base'!N$14=0,0,MIN(AG143,MAX(0,$E143-SUMIFS($V143:$AG143,'Calc base'!$C$17:$N$17,"&lt;"&amp;'Calc base'!N$17,'Calc base'!$C$14:$N$14,1))))</f>
        <v>0</v>
      </c>
      <c r="AT143">
        <f>V143-AH143</f>
        <v>0</v>
      </c>
      <c r="AU143">
        <f>W143-AI143</f>
        <v>0</v>
      </c>
      <c r="AV143">
        <f>X143-AJ143</f>
        <v>0</v>
      </c>
      <c r="AW143">
        <f>Y143-AK143</f>
        <v>0</v>
      </c>
      <c r="AX143">
        <f>Z143-AL143</f>
        <v>0</v>
      </c>
      <c r="AY143">
        <f>AA143-AM143</f>
        <v>0</v>
      </c>
      <c r="AZ143">
        <f>AB143-AN143</f>
        <v>0</v>
      </c>
      <c r="BA143">
        <f>AC143-AO143</f>
        <v>0</v>
      </c>
      <c r="BB143">
        <f>AD143-AP143</f>
        <v>0</v>
      </c>
      <c r="BC143">
        <f>AE143-AQ143</f>
        <v>0</v>
      </c>
      <c r="BD143">
        <f>AF143-AR143</f>
        <v>0</v>
      </c>
      <c r="BE143">
        <f>AG143-AS143</f>
        <v>0</v>
      </c>
    </row>
    <row r="144">
      <c r="A144" t="n">
        <v>114</v>
      </c>
      <c r="B144">
        <f>SUMPRODUCT(ROUND($AT143:$BE143*(1+'Calc base'!$H144:$S144),2))</f>
        <v>0</v>
      </c>
      <c r="C144">
        <f>SUM(J144:U144)</f>
        <v>0</v>
      </c>
      <c r="D144">
        <f>SUM(V144:AG144)</f>
        <v>0</v>
      </c>
      <c r="E144">
        <f>MAX(0,IF(Impostazioni!$B$7="No",'Calc base'!$C144-$C$31,'Calc base'!$C144-C144)+'Calc base'!$G144+'Calc base'!$F144-(B144-C144-D144))</f>
        <v>900</v>
      </c>
      <c r="F144">
        <f>SUM(AH144:AS144)</f>
        <v>0</v>
      </c>
      <c r="G144">
        <f>SUM(AT144:BE144)</f>
        <v>0</v>
      </c>
      <c r="H144">
        <f>B144-G143</f>
        <v>0</v>
      </c>
      <c r="I144">
        <f>B144-G144</f>
        <v>0</v>
      </c>
      <c r="J144">
        <f>IF(AT143&lt;=0,0,IF(ROUND(AT143*(1+'Calc base'!H144),2)-MAX('Calc base'!C$12,ROUND('Calc base'!C$13*AT143,2))&lt;1,ROUND(AT143*(1+'Calc base'!H144),2),MAX('Calc base'!C$12,ROUND('Calc base'!C$13*AT143,2))))</f>
        <v>0</v>
      </c>
      <c r="K144">
        <f>IF(AU143&lt;=0,0,IF(ROUND(AU143*(1+'Calc base'!I144),2)-MAX('Calc base'!D$12,ROUND('Calc base'!D$13*AU143,2))&lt;1,ROUND(AU143*(1+'Calc base'!I144),2),MAX('Calc base'!D$12,ROUND('Calc base'!D$13*AU143,2))))</f>
        <v>0</v>
      </c>
      <c r="L144">
        <f>IF(AV143&lt;=0,0,IF(ROUND(AV143*(1+'Calc base'!J144),2)-MAX('Calc base'!E$12,ROUND('Calc base'!E$13*AV143,2))&lt;1,ROUND(AV143*(1+'Calc base'!J144),2),MAX('Calc base'!E$12,ROUND('Calc base'!E$13*AV143,2))))</f>
        <v>0</v>
      </c>
      <c r="M144">
        <f>IF(AW143&lt;=0,0,IF(ROUND(AW143*(1+'Calc base'!K144),2)-MAX('Calc base'!F$12,ROUND('Calc base'!F$13*AW143,2))&lt;1,ROUND(AW143*(1+'Calc base'!K144),2),MAX('Calc base'!F$12,ROUND('Calc base'!F$13*AW143,2))))</f>
        <v>0</v>
      </c>
      <c r="N144">
        <f>IF(AX143&lt;=0,0,IF(ROUND(AX143*(1+'Calc base'!L144),2)-MAX('Calc base'!G$12,ROUND('Calc base'!G$13*AX143,2))&lt;1,ROUND(AX143*(1+'Calc base'!L144),2),MAX('Calc base'!G$12,ROUND('Calc base'!G$13*AX143,2))))</f>
        <v>0</v>
      </c>
      <c r="O144">
        <f>IF(AY143&lt;=0,0,IF(ROUND(AY143*(1+'Calc base'!M144),2)-MAX('Calc base'!H$12,ROUND('Calc base'!H$13*AY143,2))&lt;1,ROUND(AY143*(1+'Calc base'!M144),2),MAX('Calc base'!H$12,ROUND('Calc base'!H$13*AY143,2))))</f>
        <v>0</v>
      </c>
      <c r="P144">
        <f>IF(AZ143&lt;=0,0,IF(ROUND(AZ143*(1+'Calc base'!N144),2)-MAX('Calc base'!I$12,ROUND('Calc base'!I$13*AZ143,2))&lt;1,ROUND(AZ143*(1+'Calc base'!N144),2),MAX('Calc base'!I$12,ROUND('Calc base'!I$13*AZ143,2))))</f>
        <v>0</v>
      </c>
      <c r="Q144">
        <f>IF(BA143&lt;=0,0,IF(ROUND(BA143*(1+'Calc base'!O144),2)-MAX('Calc base'!J$12,ROUND('Calc base'!J$13*BA143,2))&lt;1,ROUND(BA143*(1+'Calc base'!O144),2),MAX('Calc base'!J$12,ROUND('Calc base'!J$13*BA143,2))))</f>
        <v>0</v>
      </c>
      <c r="R144">
        <f>IF(BB143&lt;=0,0,IF(ROUND(BB143*(1+'Calc base'!P144),2)-MAX('Calc base'!K$12,ROUND('Calc base'!K$13*BB143,2))&lt;1,ROUND(BB143*(1+'Calc base'!P144),2),MAX('Calc base'!K$12,ROUND('Calc base'!K$13*BB143,2))))</f>
        <v>0</v>
      </c>
      <c r="S144">
        <f>IF(BC143&lt;=0,0,IF(ROUND(BC143*(1+'Calc base'!Q144),2)-MAX('Calc base'!L$12,ROUND('Calc base'!L$13*BC143,2))&lt;1,ROUND(BC143*(1+'Calc base'!Q144),2),MAX('Calc base'!L$12,ROUND('Calc base'!L$13*BC143,2))))</f>
        <v>0</v>
      </c>
      <c r="T144">
        <f>IF(BD143&lt;=0,0,IF(ROUND(BD143*(1+'Calc base'!R144),2)-MAX('Calc base'!M$12,ROUND('Calc base'!M$13*BD143,2))&lt;1,ROUND(BD143*(1+'Calc base'!R144),2),MAX('Calc base'!M$12,ROUND('Calc base'!M$13*BD143,2))))</f>
        <v>0</v>
      </c>
      <c r="U144">
        <f>IF(BE143&lt;=0,0,IF(ROUND(BE143*(1+'Calc base'!S144),2)-MAX('Calc base'!N$12,ROUND('Calc base'!N$13*BE143,2))&lt;1,ROUND(BE143*(1+'Calc base'!S144),2),MAX('Calc base'!N$12,ROUND('Calc base'!N$13*BE143,2))))</f>
        <v>0</v>
      </c>
      <c r="V144">
        <f>MAX(0,ROUND(AT143*(1+'Calc base'!H144),2)-J144-'Calc base'!T144)</f>
        <v>0</v>
      </c>
      <c r="W144">
        <f>MAX(0,ROUND(AU143*(1+'Calc base'!I144),2)-K144-'Calc base'!U144)</f>
        <v>0</v>
      </c>
      <c r="X144">
        <f>MAX(0,ROUND(AV143*(1+'Calc base'!J144),2)-L144-'Calc base'!V144)</f>
        <v>0</v>
      </c>
      <c r="Y144">
        <f>MAX(0,ROUND(AW143*(1+'Calc base'!K144),2)-M144-'Calc base'!W144)</f>
        <v>0</v>
      </c>
      <c r="Z144">
        <f>MAX(0,ROUND(AX143*(1+'Calc base'!L144),2)-N144-'Calc base'!X144)</f>
        <v>0</v>
      </c>
      <c r="AA144">
        <f>MAX(0,ROUND(AY143*(1+'Calc base'!M144),2)-O144-'Calc base'!Y144)</f>
        <v>0</v>
      </c>
      <c r="AB144">
        <f>MAX(0,ROUND(AZ143*(1+'Calc base'!N144),2)-P144-'Calc base'!Z144)</f>
        <v>0</v>
      </c>
      <c r="AC144">
        <f>MAX(0,ROUND(BA143*(1+'Calc base'!O144),2)-Q144-'Calc base'!AA144)</f>
        <v>0</v>
      </c>
      <c r="AD144">
        <f>MAX(0,ROUND(BB143*(1+'Calc base'!P144),2)-R144-'Calc base'!AB144)</f>
        <v>0</v>
      </c>
      <c r="AE144">
        <f>MAX(0,ROUND(BC143*(1+'Calc base'!Q144),2)-S144-'Calc base'!AC144)</f>
        <v>0</v>
      </c>
      <c r="AF144">
        <f>MAX(0,ROUND(BD143*(1+'Calc base'!R144),2)-T144-'Calc base'!AD144)</f>
        <v>0</v>
      </c>
      <c r="AG144">
        <f>MAX(0,ROUND(BE143*(1+'Calc base'!S144),2)-U144-'Calc base'!AE144)</f>
        <v>0</v>
      </c>
      <c r="AH144">
        <f>IF('Calc base'!C$14=0,0,MIN(V144,MAX(0,$E144-SUMIFS($V144:$AG144,'Calc base'!$C$17:$N$17,"&lt;"&amp;'Calc base'!C$17,'Calc base'!$C$14:$N$14,1))))</f>
        <v>0</v>
      </c>
      <c r="AI144">
        <f>IF('Calc base'!D$14=0,0,MIN(W144,MAX(0,$E144-SUMIFS($V144:$AG144,'Calc base'!$C$17:$N$17,"&lt;"&amp;'Calc base'!D$17,'Calc base'!$C$14:$N$14,1))))</f>
        <v>0</v>
      </c>
      <c r="AJ144">
        <f>IF('Calc base'!E$14=0,0,MIN(X144,MAX(0,$E144-SUMIFS($V144:$AG144,'Calc base'!$C$17:$N$17,"&lt;"&amp;'Calc base'!E$17,'Calc base'!$C$14:$N$14,1))))</f>
        <v>0</v>
      </c>
      <c r="AK144">
        <f>IF('Calc base'!F$14=0,0,MIN(Y144,MAX(0,$E144-SUMIFS($V144:$AG144,'Calc base'!$C$17:$N$17,"&lt;"&amp;'Calc base'!F$17,'Calc base'!$C$14:$N$14,1))))</f>
        <v>0</v>
      </c>
      <c r="AL144">
        <f>IF('Calc base'!G$14=0,0,MIN(Z144,MAX(0,$E144-SUMIFS($V144:$AG144,'Calc base'!$C$17:$N$17,"&lt;"&amp;'Calc base'!G$17,'Calc base'!$C$14:$N$14,1))))</f>
        <v>0</v>
      </c>
      <c r="AM144">
        <f>IF('Calc base'!H$14=0,0,MIN(AA144,MAX(0,$E144-SUMIFS($V144:$AG144,'Calc base'!$C$17:$N$17,"&lt;"&amp;'Calc base'!H$17,'Calc base'!$C$14:$N$14,1))))</f>
        <v>0</v>
      </c>
      <c r="AN144">
        <f>IF('Calc base'!I$14=0,0,MIN(AB144,MAX(0,$E144-SUMIFS($V144:$AG144,'Calc base'!$C$17:$N$17,"&lt;"&amp;'Calc base'!I$17,'Calc base'!$C$14:$N$14,1))))</f>
        <v>0</v>
      </c>
      <c r="AO144">
        <f>IF('Calc base'!J$14=0,0,MIN(AC144,MAX(0,$E144-SUMIFS($V144:$AG144,'Calc base'!$C$17:$N$17,"&lt;"&amp;'Calc base'!J$17,'Calc base'!$C$14:$N$14,1))))</f>
        <v>0</v>
      </c>
      <c r="AP144">
        <f>IF('Calc base'!K$14=0,0,MIN(AD144,MAX(0,$E144-SUMIFS($V144:$AG144,'Calc base'!$C$17:$N$17,"&lt;"&amp;'Calc base'!K$17,'Calc base'!$C$14:$N$14,1))))</f>
        <v>0</v>
      </c>
      <c r="AQ144">
        <f>IF('Calc base'!L$14=0,0,MIN(AE144,MAX(0,$E144-SUMIFS($V144:$AG144,'Calc base'!$C$17:$N$17,"&lt;"&amp;'Calc base'!L$17,'Calc base'!$C$14:$N$14,1))))</f>
        <v>0</v>
      </c>
      <c r="AR144">
        <f>IF('Calc base'!M$14=0,0,MIN(AF144,MAX(0,$E144-SUMIFS($V144:$AG144,'Calc base'!$C$17:$N$17,"&lt;"&amp;'Calc base'!M$17,'Calc base'!$C$14:$N$14,1))))</f>
        <v>0</v>
      </c>
      <c r="AS144">
        <f>IF('Calc base'!N$14=0,0,MIN(AG144,MAX(0,$E144-SUMIFS($V144:$AG144,'Calc base'!$C$17:$N$17,"&lt;"&amp;'Calc base'!N$17,'Calc base'!$C$14:$N$14,1))))</f>
        <v>0</v>
      </c>
      <c r="AT144">
        <f>V144-AH144</f>
        <v>0</v>
      </c>
      <c r="AU144">
        <f>W144-AI144</f>
        <v>0</v>
      </c>
      <c r="AV144">
        <f>X144-AJ144</f>
        <v>0</v>
      </c>
      <c r="AW144">
        <f>Y144-AK144</f>
        <v>0</v>
      </c>
      <c r="AX144">
        <f>Z144-AL144</f>
        <v>0</v>
      </c>
      <c r="AY144">
        <f>AA144-AM144</f>
        <v>0</v>
      </c>
      <c r="AZ144">
        <f>AB144-AN144</f>
        <v>0</v>
      </c>
      <c r="BA144">
        <f>AC144-AO144</f>
        <v>0</v>
      </c>
      <c r="BB144">
        <f>AD144-AP144</f>
        <v>0</v>
      </c>
      <c r="BC144">
        <f>AE144-AQ144</f>
        <v>0</v>
      </c>
      <c r="BD144">
        <f>AF144-AR144</f>
        <v>0</v>
      </c>
      <c r="BE144">
        <f>AG144-AS144</f>
        <v>0</v>
      </c>
    </row>
    <row r="145">
      <c r="A145" t="n">
        <v>115</v>
      </c>
      <c r="B145">
        <f>SUMPRODUCT(ROUND($AT144:$BE144*(1+'Calc base'!$H145:$S145),2))</f>
        <v>0</v>
      </c>
      <c r="C145">
        <f>SUM(J145:U145)</f>
        <v>0</v>
      </c>
      <c r="D145">
        <f>SUM(V145:AG145)</f>
        <v>0</v>
      </c>
      <c r="E145">
        <f>MAX(0,IF(Impostazioni!$B$7="No",'Calc base'!$C145-$C$31,'Calc base'!$C145-C145)+'Calc base'!$G145+'Calc base'!$F145-(B145-C145-D145))</f>
        <v>900</v>
      </c>
      <c r="F145">
        <f>SUM(AH145:AS145)</f>
        <v>0</v>
      </c>
      <c r="G145">
        <f>SUM(AT145:BE145)</f>
        <v>0</v>
      </c>
      <c r="H145">
        <f>B145-G144</f>
        <v>0</v>
      </c>
      <c r="I145">
        <f>B145-G145</f>
        <v>0</v>
      </c>
      <c r="J145">
        <f>IF(AT144&lt;=0,0,IF(ROUND(AT144*(1+'Calc base'!H145),2)-MAX('Calc base'!C$12,ROUND('Calc base'!C$13*AT144,2))&lt;1,ROUND(AT144*(1+'Calc base'!H145),2),MAX('Calc base'!C$12,ROUND('Calc base'!C$13*AT144,2))))</f>
        <v>0</v>
      </c>
      <c r="K145">
        <f>IF(AU144&lt;=0,0,IF(ROUND(AU144*(1+'Calc base'!I145),2)-MAX('Calc base'!D$12,ROUND('Calc base'!D$13*AU144,2))&lt;1,ROUND(AU144*(1+'Calc base'!I145),2),MAX('Calc base'!D$12,ROUND('Calc base'!D$13*AU144,2))))</f>
        <v>0</v>
      </c>
      <c r="L145">
        <f>IF(AV144&lt;=0,0,IF(ROUND(AV144*(1+'Calc base'!J145),2)-MAX('Calc base'!E$12,ROUND('Calc base'!E$13*AV144,2))&lt;1,ROUND(AV144*(1+'Calc base'!J145),2),MAX('Calc base'!E$12,ROUND('Calc base'!E$13*AV144,2))))</f>
        <v>0</v>
      </c>
      <c r="M145">
        <f>IF(AW144&lt;=0,0,IF(ROUND(AW144*(1+'Calc base'!K145),2)-MAX('Calc base'!F$12,ROUND('Calc base'!F$13*AW144,2))&lt;1,ROUND(AW144*(1+'Calc base'!K145),2),MAX('Calc base'!F$12,ROUND('Calc base'!F$13*AW144,2))))</f>
        <v>0</v>
      </c>
      <c r="N145">
        <f>IF(AX144&lt;=0,0,IF(ROUND(AX144*(1+'Calc base'!L145),2)-MAX('Calc base'!G$12,ROUND('Calc base'!G$13*AX144,2))&lt;1,ROUND(AX144*(1+'Calc base'!L145),2),MAX('Calc base'!G$12,ROUND('Calc base'!G$13*AX144,2))))</f>
        <v>0</v>
      </c>
      <c r="O145">
        <f>IF(AY144&lt;=0,0,IF(ROUND(AY144*(1+'Calc base'!M145),2)-MAX('Calc base'!H$12,ROUND('Calc base'!H$13*AY144,2))&lt;1,ROUND(AY144*(1+'Calc base'!M145),2),MAX('Calc base'!H$12,ROUND('Calc base'!H$13*AY144,2))))</f>
        <v>0</v>
      </c>
      <c r="P145">
        <f>IF(AZ144&lt;=0,0,IF(ROUND(AZ144*(1+'Calc base'!N145),2)-MAX('Calc base'!I$12,ROUND('Calc base'!I$13*AZ144,2))&lt;1,ROUND(AZ144*(1+'Calc base'!N145),2),MAX('Calc base'!I$12,ROUND('Calc base'!I$13*AZ144,2))))</f>
        <v>0</v>
      </c>
      <c r="Q145">
        <f>IF(BA144&lt;=0,0,IF(ROUND(BA144*(1+'Calc base'!O145),2)-MAX('Calc base'!J$12,ROUND('Calc base'!J$13*BA144,2))&lt;1,ROUND(BA144*(1+'Calc base'!O145),2),MAX('Calc base'!J$12,ROUND('Calc base'!J$13*BA144,2))))</f>
        <v>0</v>
      </c>
      <c r="R145">
        <f>IF(BB144&lt;=0,0,IF(ROUND(BB144*(1+'Calc base'!P145),2)-MAX('Calc base'!K$12,ROUND('Calc base'!K$13*BB144,2))&lt;1,ROUND(BB144*(1+'Calc base'!P145),2),MAX('Calc base'!K$12,ROUND('Calc base'!K$13*BB144,2))))</f>
        <v>0</v>
      </c>
      <c r="S145">
        <f>IF(BC144&lt;=0,0,IF(ROUND(BC144*(1+'Calc base'!Q145),2)-MAX('Calc base'!L$12,ROUND('Calc base'!L$13*BC144,2))&lt;1,ROUND(BC144*(1+'Calc base'!Q145),2),MAX('Calc base'!L$12,ROUND('Calc base'!L$13*BC144,2))))</f>
        <v>0</v>
      </c>
      <c r="T145">
        <f>IF(BD144&lt;=0,0,IF(ROUND(BD144*(1+'Calc base'!R145),2)-MAX('Calc base'!M$12,ROUND('Calc base'!M$13*BD144,2))&lt;1,ROUND(BD144*(1+'Calc base'!R145),2),MAX('Calc base'!M$12,ROUND('Calc base'!M$13*BD144,2))))</f>
        <v>0</v>
      </c>
      <c r="U145">
        <f>IF(BE144&lt;=0,0,IF(ROUND(BE144*(1+'Calc base'!S145),2)-MAX('Calc base'!N$12,ROUND('Calc base'!N$13*BE144,2))&lt;1,ROUND(BE144*(1+'Calc base'!S145),2),MAX('Calc base'!N$12,ROUND('Calc base'!N$13*BE144,2))))</f>
        <v>0</v>
      </c>
      <c r="V145">
        <f>MAX(0,ROUND(AT144*(1+'Calc base'!H145),2)-J145-'Calc base'!T145)</f>
        <v>0</v>
      </c>
      <c r="W145">
        <f>MAX(0,ROUND(AU144*(1+'Calc base'!I145),2)-K145-'Calc base'!U145)</f>
        <v>0</v>
      </c>
      <c r="X145">
        <f>MAX(0,ROUND(AV144*(1+'Calc base'!J145),2)-L145-'Calc base'!V145)</f>
        <v>0</v>
      </c>
      <c r="Y145">
        <f>MAX(0,ROUND(AW144*(1+'Calc base'!K145),2)-M145-'Calc base'!W145)</f>
        <v>0</v>
      </c>
      <c r="Z145">
        <f>MAX(0,ROUND(AX144*(1+'Calc base'!L145),2)-N145-'Calc base'!X145)</f>
        <v>0</v>
      </c>
      <c r="AA145">
        <f>MAX(0,ROUND(AY144*(1+'Calc base'!M145),2)-O145-'Calc base'!Y145)</f>
        <v>0</v>
      </c>
      <c r="AB145">
        <f>MAX(0,ROUND(AZ144*(1+'Calc base'!N145),2)-P145-'Calc base'!Z145)</f>
        <v>0</v>
      </c>
      <c r="AC145">
        <f>MAX(0,ROUND(BA144*(1+'Calc base'!O145),2)-Q145-'Calc base'!AA145)</f>
        <v>0</v>
      </c>
      <c r="AD145">
        <f>MAX(0,ROUND(BB144*(1+'Calc base'!P145),2)-R145-'Calc base'!AB145)</f>
        <v>0</v>
      </c>
      <c r="AE145">
        <f>MAX(0,ROUND(BC144*(1+'Calc base'!Q145),2)-S145-'Calc base'!AC145)</f>
        <v>0</v>
      </c>
      <c r="AF145">
        <f>MAX(0,ROUND(BD144*(1+'Calc base'!R145),2)-T145-'Calc base'!AD145)</f>
        <v>0</v>
      </c>
      <c r="AG145">
        <f>MAX(0,ROUND(BE144*(1+'Calc base'!S145),2)-U145-'Calc base'!AE145)</f>
        <v>0</v>
      </c>
      <c r="AH145">
        <f>IF('Calc base'!C$14=0,0,MIN(V145,MAX(0,$E145-SUMIFS($V145:$AG145,'Calc base'!$C$17:$N$17,"&lt;"&amp;'Calc base'!C$17,'Calc base'!$C$14:$N$14,1))))</f>
        <v>0</v>
      </c>
      <c r="AI145">
        <f>IF('Calc base'!D$14=0,0,MIN(W145,MAX(0,$E145-SUMIFS($V145:$AG145,'Calc base'!$C$17:$N$17,"&lt;"&amp;'Calc base'!D$17,'Calc base'!$C$14:$N$14,1))))</f>
        <v>0</v>
      </c>
      <c r="AJ145">
        <f>IF('Calc base'!E$14=0,0,MIN(X145,MAX(0,$E145-SUMIFS($V145:$AG145,'Calc base'!$C$17:$N$17,"&lt;"&amp;'Calc base'!E$17,'Calc base'!$C$14:$N$14,1))))</f>
        <v>0</v>
      </c>
      <c r="AK145">
        <f>IF('Calc base'!F$14=0,0,MIN(Y145,MAX(0,$E145-SUMIFS($V145:$AG145,'Calc base'!$C$17:$N$17,"&lt;"&amp;'Calc base'!F$17,'Calc base'!$C$14:$N$14,1))))</f>
        <v>0</v>
      </c>
      <c r="AL145">
        <f>IF('Calc base'!G$14=0,0,MIN(Z145,MAX(0,$E145-SUMIFS($V145:$AG145,'Calc base'!$C$17:$N$17,"&lt;"&amp;'Calc base'!G$17,'Calc base'!$C$14:$N$14,1))))</f>
        <v>0</v>
      </c>
      <c r="AM145">
        <f>IF('Calc base'!H$14=0,0,MIN(AA145,MAX(0,$E145-SUMIFS($V145:$AG145,'Calc base'!$C$17:$N$17,"&lt;"&amp;'Calc base'!H$17,'Calc base'!$C$14:$N$14,1))))</f>
        <v>0</v>
      </c>
      <c r="AN145">
        <f>IF('Calc base'!I$14=0,0,MIN(AB145,MAX(0,$E145-SUMIFS($V145:$AG145,'Calc base'!$C$17:$N$17,"&lt;"&amp;'Calc base'!I$17,'Calc base'!$C$14:$N$14,1))))</f>
        <v>0</v>
      </c>
      <c r="AO145">
        <f>IF('Calc base'!J$14=0,0,MIN(AC145,MAX(0,$E145-SUMIFS($V145:$AG145,'Calc base'!$C$17:$N$17,"&lt;"&amp;'Calc base'!J$17,'Calc base'!$C$14:$N$14,1))))</f>
        <v>0</v>
      </c>
      <c r="AP145">
        <f>IF('Calc base'!K$14=0,0,MIN(AD145,MAX(0,$E145-SUMIFS($V145:$AG145,'Calc base'!$C$17:$N$17,"&lt;"&amp;'Calc base'!K$17,'Calc base'!$C$14:$N$14,1))))</f>
        <v>0</v>
      </c>
      <c r="AQ145">
        <f>IF('Calc base'!L$14=0,0,MIN(AE145,MAX(0,$E145-SUMIFS($V145:$AG145,'Calc base'!$C$17:$N$17,"&lt;"&amp;'Calc base'!L$17,'Calc base'!$C$14:$N$14,1))))</f>
        <v>0</v>
      </c>
      <c r="AR145">
        <f>IF('Calc base'!M$14=0,0,MIN(AF145,MAX(0,$E145-SUMIFS($V145:$AG145,'Calc base'!$C$17:$N$17,"&lt;"&amp;'Calc base'!M$17,'Calc base'!$C$14:$N$14,1))))</f>
        <v>0</v>
      </c>
      <c r="AS145">
        <f>IF('Calc base'!N$14=0,0,MIN(AG145,MAX(0,$E145-SUMIFS($V145:$AG145,'Calc base'!$C$17:$N$17,"&lt;"&amp;'Calc base'!N$17,'Calc base'!$C$14:$N$14,1))))</f>
        <v>0</v>
      </c>
      <c r="AT145">
        <f>V145-AH145</f>
        <v>0</v>
      </c>
      <c r="AU145">
        <f>W145-AI145</f>
        <v>0</v>
      </c>
      <c r="AV145">
        <f>X145-AJ145</f>
        <v>0</v>
      </c>
      <c r="AW145">
        <f>Y145-AK145</f>
        <v>0</v>
      </c>
      <c r="AX145">
        <f>Z145-AL145</f>
        <v>0</v>
      </c>
      <c r="AY145">
        <f>AA145-AM145</f>
        <v>0</v>
      </c>
      <c r="AZ145">
        <f>AB145-AN145</f>
        <v>0</v>
      </c>
      <c r="BA145">
        <f>AC145-AO145</f>
        <v>0</v>
      </c>
      <c r="BB145">
        <f>AD145-AP145</f>
        <v>0</v>
      </c>
      <c r="BC145">
        <f>AE145-AQ145</f>
        <v>0</v>
      </c>
      <c r="BD145">
        <f>AF145-AR145</f>
        <v>0</v>
      </c>
      <c r="BE145">
        <f>AG145-AS145</f>
        <v>0</v>
      </c>
    </row>
    <row r="146">
      <c r="A146" t="n">
        <v>116</v>
      </c>
      <c r="B146">
        <f>SUMPRODUCT(ROUND($AT145:$BE145*(1+'Calc base'!$H146:$S146),2))</f>
        <v>0</v>
      </c>
      <c r="C146">
        <f>SUM(J146:U146)</f>
        <v>0</v>
      </c>
      <c r="D146">
        <f>SUM(V146:AG146)</f>
        <v>0</v>
      </c>
      <c r="E146">
        <f>MAX(0,IF(Impostazioni!$B$7="No",'Calc base'!$C146-$C$31,'Calc base'!$C146-C146)+'Calc base'!$G146+'Calc base'!$F146-(B146-C146-D146))</f>
        <v>900</v>
      </c>
      <c r="F146">
        <f>SUM(AH146:AS146)</f>
        <v>0</v>
      </c>
      <c r="G146">
        <f>SUM(AT146:BE146)</f>
        <v>0</v>
      </c>
      <c r="H146">
        <f>B146-G145</f>
        <v>0</v>
      </c>
      <c r="I146">
        <f>B146-G146</f>
        <v>0</v>
      </c>
      <c r="J146">
        <f>IF(AT145&lt;=0,0,IF(ROUND(AT145*(1+'Calc base'!H146),2)-MAX('Calc base'!C$12,ROUND('Calc base'!C$13*AT145,2))&lt;1,ROUND(AT145*(1+'Calc base'!H146),2),MAX('Calc base'!C$12,ROUND('Calc base'!C$13*AT145,2))))</f>
        <v>0</v>
      </c>
      <c r="K146">
        <f>IF(AU145&lt;=0,0,IF(ROUND(AU145*(1+'Calc base'!I146),2)-MAX('Calc base'!D$12,ROUND('Calc base'!D$13*AU145,2))&lt;1,ROUND(AU145*(1+'Calc base'!I146),2),MAX('Calc base'!D$12,ROUND('Calc base'!D$13*AU145,2))))</f>
        <v>0</v>
      </c>
      <c r="L146">
        <f>IF(AV145&lt;=0,0,IF(ROUND(AV145*(1+'Calc base'!J146),2)-MAX('Calc base'!E$12,ROUND('Calc base'!E$13*AV145,2))&lt;1,ROUND(AV145*(1+'Calc base'!J146),2),MAX('Calc base'!E$12,ROUND('Calc base'!E$13*AV145,2))))</f>
        <v>0</v>
      </c>
      <c r="M146">
        <f>IF(AW145&lt;=0,0,IF(ROUND(AW145*(1+'Calc base'!K146),2)-MAX('Calc base'!F$12,ROUND('Calc base'!F$13*AW145,2))&lt;1,ROUND(AW145*(1+'Calc base'!K146),2),MAX('Calc base'!F$12,ROUND('Calc base'!F$13*AW145,2))))</f>
        <v>0</v>
      </c>
      <c r="N146">
        <f>IF(AX145&lt;=0,0,IF(ROUND(AX145*(1+'Calc base'!L146),2)-MAX('Calc base'!G$12,ROUND('Calc base'!G$13*AX145,2))&lt;1,ROUND(AX145*(1+'Calc base'!L146),2),MAX('Calc base'!G$12,ROUND('Calc base'!G$13*AX145,2))))</f>
        <v>0</v>
      </c>
      <c r="O146">
        <f>IF(AY145&lt;=0,0,IF(ROUND(AY145*(1+'Calc base'!M146),2)-MAX('Calc base'!H$12,ROUND('Calc base'!H$13*AY145,2))&lt;1,ROUND(AY145*(1+'Calc base'!M146),2),MAX('Calc base'!H$12,ROUND('Calc base'!H$13*AY145,2))))</f>
        <v>0</v>
      </c>
      <c r="P146">
        <f>IF(AZ145&lt;=0,0,IF(ROUND(AZ145*(1+'Calc base'!N146),2)-MAX('Calc base'!I$12,ROUND('Calc base'!I$13*AZ145,2))&lt;1,ROUND(AZ145*(1+'Calc base'!N146),2),MAX('Calc base'!I$12,ROUND('Calc base'!I$13*AZ145,2))))</f>
        <v>0</v>
      </c>
      <c r="Q146">
        <f>IF(BA145&lt;=0,0,IF(ROUND(BA145*(1+'Calc base'!O146),2)-MAX('Calc base'!J$12,ROUND('Calc base'!J$13*BA145,2))&lt;1,ROUND(BA145*(1+'Calc base'!O146),2),MAX('Calc base'!J$12,ROUND('Calc base'!J$13*BA145,2))))</f>
        <v>0</v>
      </c>
      <c r="R146">
        <f>IF(BB145&lt;=0,0,IF(ROUND(BB145*(1+'Calc base'!P146),2)-MAX('Calc base'!K$12,ROUND('Calc base'!K$13*BB145,2))&lt;1,ROUND(BB145*(1+'Calc base'!P146),2),MAX('Calc base'!K$12,ROUND('Calc base'!K$13*BB145,2))))</f>
        <v>0</v>
      </c>
      <c r="S146">
        <f>IF(BC145&lt;=0,0,IF(ROUND(BC145*(1+'Calc base'!Q146),2)-MAX('Calc base'!L$12,ROUND('Calc base'!L$13*BC145,2))&lt;1,ROUND(BC145*(1+'Calc base'!Q146),2),MAX('Calc base'!L$12,ROUND('Calc base'!L$13*BC145,2))))</f>
        <v>0</v>
      </c>
      <c r="T146">
        <f>IF(BD145&lt;=0,0,IF(ROUND(BD145*(1+'Calc base'!R146),2)-MAX('Calc base'!M$12,ROUND('Calc base'!M$13*BD145,2))&lt;1,ROUND(BD145*(1+'Calc base'!R146),2),MAX('Calc base'!M$12,ROUND('Calc base'!M$13*BD145,2))))</f>
        <v>0</v>
      </c>
      <c r="U146">
        <f>IF(BE145&lt;=0,0,IF(ROUND(BE145*(1+'Calc base'!S146),2)-MAX('Calc base'!N$12,ROUND('Calc base'!N$13*BE145,2))&lt;1,ROUND(BE145*(1+'Calc base'!S146),2),MAX('Calc base'!N$12,ROUND('Calc base'!N$13*BE145,2))))</f>
        <v>0</v>
      </c>
      <c r="V146">
        <f>MAX(0,ROUND(AT145*(1+'Calc base'!H146),2)-J146-'Calc base'!T146)</f>
        <v>0</v>
      </c>
      <c r="W146">
        <f>MAX(0,ROUND(AU145*(1+'Calc base'!I146),2)-K146-'Calc base'!U146)</f>
        <v>0</v>
      </c>
      <c r="X146">
        <f>MAX(0,ROUND(AV145*(1+'Calc base'!J146),2)-L146-'Calc base'!V146)</f>
        <v>0</v>
      </c>
      <c r="Y146">
        <f>MAX(0,ROUND(AW145*(1+'Calc base'!K146),2)-M146-'Calc base'!W146)</f>
        <v>0</v>
      </c>
      <c r="Z146">
        <f>MAX(0,ROUND(AX145*(1+'Calc base'!L146),2)-N146-'Calc base'!X146)</f>
        <v>0</v>
      </c>
      <c r="AA146">
        <f>MAX(0,ROUND(AY145*(1+'Calc base'!M146),2)-O146-'Calc base'!Y146)</f>
        <v>0</v>
      </c>
      <c r="AB146">
        <f>MAX(0,ROUND(AZ145*(1+'Calc base'!N146),2)-P146-'Calc base'!Z146)</f>
        <v>0</v>
      </c>
      <c r="AC146">
        <f>MAX(0,ROUND(BA145*(1+'Calc base'!O146),2)-Q146-'Calc base'!AA146)</f>
        <v>0</v>
      </c>
      <c r="AD146">
        <f>MAX(0,ROUND(BB145*(1+'Calc base'!P146),2)-R146-'Calc base'!AB146)</f>
        <v>0</v>
      </c>
      <c r="AE146">
        <f>MAX(0,ROUND(BC145*(1+'Calc base'!Q146),2)-S146-'Calc base'!AC146)</f>
        <v>0</v>
      </c>
      <c r="AF146">
        <f>MAX(0,ROUND(BD145*(1+'Calc base'!R146),2)-T146-'Calc base'!AD146)</f>
        <v>0</v>
      </c>
      <c r="AG146">
        <f>MAX(0,ROUND(BE145*(1+'Calc base'!S146),2)-U146-'Calc base'!AE146)</f>
        <v>0</v>
      </c>
      <c r="AH146">
        <f>IF('Calc base'!C$14=0,0,MIN(V146,MAX(0,$E146-SUMIFS($V146:$AG146,'Calc base'!$C$17:$N$17,"&lt;"&amp;'Calc base'!C$17,'Calc base'!$C$14:$N$14,1))))</f>
        <v>0</v>
      </c>
      <c r="AI146">
        <f>IF('Calc base'!D$14=0,0,MIN(W146,MAX(0,$E146-SUMIFS($V146:$AG146,'Calc base'!$C$17:$N$17,"&lt;"&amp;'Calc base'!D$17,'Calc base'!$C$14:$N$14,1))))</f>
        <v>0</v>
      </c>
      <c r="AJ146">
        <f>IF('Calc base'!E$14=0,0,MIN(X146,MAX(0,$E146-SUMIFS($V146:$AG146,'Calc base'!$C$17:$N$17,"&lt;"&amp;'Calc base'!E$17,'Calc base'!$C$14:$N$14,1))))</f>
        <v>0</v>
      </c>
      <c r="AK146">
        <f>IF('Calc base'!F$14=0,0,MIN(Y146,MAX(0,$E146-SUMIFS($V146:$AG146,'Calc base'!$C$17:$N$17,"&lt;"&amp;'Calc base'!F$17,'Calc base'!$C$14:$N$14,1))))</f>
        <v>0</v>
      </c>
      <c r="AL146">
        <f>IF('Calc base'!G$14=0,0,MIN(Z146,MAX(0,$E146-SUMIFS($V146:$AG146,'Calc base'!$C$17:$N$17,"&lt;"&amp;'Calc base'!G$17,'Calc base'!$C$14:$N$14,1))))</f>
        <v>0</v>
      </c>
      <c r="AM146">
        <f>IF('Calc base'!H$14=0,0,MIN(AA146,MAX(0,$E146-SUMIFS($V146:$AG146,'Calc base'!$C$17:$N$17,"&lt;"&amp;'Calc base'!H$17,'Calc base'!$C$14:$N$14,1))))</f>
        <v>0</v>
      </c>
      <c r="AN146">
        <f>IF('Calc base'!I$14=0,0,MIN(AB146,MAX(0,$E146-SUMIFS($V146:$AG146,'Calc base'!$C$17:$N$17,"&lt;"&amp;'Calc base'!I$17,'Calc base'!$C$14:$N$14,1))))</f>
        <v>0</v>
      </c>
      <c r="AO146">
        <f>IF('Calc base'!J$14=0,0,MIN(AC146,MAX(0,$E146-SUMIFS($V146:$AG146,'Calc base'!$C$17:$N$17,"&lt;"&amp;'Calc base'!J$17,'Calc base'!$C$14:$N$14,1))))</f>
        <v>0</v>
      </c>
      <c r="AP146">
        <f>IF('Calc base'!K$14=0,0,MIN(AD146,MAX(0,$E146-SUMIFS($V146:$AG146,'Calc base'!$C$17:$N$17,"&lt;"&amp;'Calc base'!K$17,'Calc base'!$C$14:$N$14,1))))</f>
        <v>0</v>
      </c>
      <c r="AQ146">
        <f>IF('Calc base'!L$14=0,0,MIN(AE146,MAX(0,$E146-SUMIFS($V146:$AG146,'Calc base'!$C$17:$N$17,"&lt;"&amp;'Calc base'!L$17,'Calc base'!$C$14:$N$14,1))))</f>
        <v>0</v>
      </c>
      <c r="AR146">
        <f>IF('Calc base'!M$14=0,0,MIN(AF146,MAX(0,$E146-SUMIFS($V146:$AG146,'Calc base'!$C$17:$N$17,"&lt;"&amp;'Calc base'!M$17,'Calc base'!$C$14:$N$14,1))))</f>
        <v>0</v>
      </c>
      <c r="AS146">
        <f>IF('Calc base'!N$14=0,0,MIN(AG146,MAX(0,$E146-SUMIFS($V146:$AG146,'Calc base'!$C$17:$N$17,"&lt;"&amp;'Calc base'!N$17,'Calc base'!$C$14:$N$14,1))))</f>
        <v>0</v>
      </c>
      <c r="AT146">
        <f>V146-AH146</f>
        <v>0</v>
      </c>
      <c r="AU146">
        <f>W146-AI146</f>
        <v>0</v>
      </c>
      <c r="AV146">
        <f>X146-AJ146</f>
        <v>0</v>
      </c>
      <c r="AW146">
        <f>Y146-AK146</f>
        <v>0</v>
      </c>
      <c r="AX146">
        <f>Z146-AL146</f>
        <v>0</v>
      </c>
      <c r="AY146">
        <f>AA146-AM146</f>
        <v>0</v>
      </c>
      <c r="AZ146">
        <f>AB146-AN146</f>
        <v>0</v>
      </c>
      <c r="BA146">
        <f>AC146-AO146</f>
        <v>0</v>
      </c>
      <c r="BB146">
        <f>AD146-AP146</f>
        <v>0</v>
      </c>
      <c r="BC146">
        <f>AE146-AQ146</f>
        <v>0</v>
      </c>
      <c r="BD146">
        <f>AF146-AR146</f>
        <v>0</v>
      </c>
      <c r="BE146">
        <f>AG146-AS146</f>
        <v>0</v>
      </c>
    </row>
    <row r="147">
      <c r="A147" t="n">
        <v>117</v>
      </c>
      <c r="B147">
        <f>SUMPRODUCT(ROUND($AT146:$BE146*(1+'Calc base'!$H147:$S147),2))</f>
        <v>0</v>
      </c>
      <c r="C147">
        <f>SUM(J147:U147)</f>
        <v>0</v>
      </c>
      <c r="D147">
        <f>SUM(V147:AG147)</f>
        <v>0</v>
      </c>
      <c r="E147">
        <f>MAX(0,IF(Impostazioni!$B$7="No",'Calc base'!$C147-$C$31,'Calc base'!$C147-C147)+'Calc base'!$G147+'Calc base'!$F147-(B147-C147-D147))</f>
        <v>900</v>
      </c>
      <c r="F147">
        <f>SUM(AH147:AS147)</f>
        <v>0</v>
      </c>
      <c r="G147">
        <f>SUM(AT147:BE147)</f>
        <v>0</v>
      </c>
      <c r="H147">
        <f>B147-G146</f>
        <v>0</v>
      </c>
      <c r="I147">
        <f>B147-G147</f>
        <v>0</v>
      </c>
      <c r="J147">
        <f>IF(AT146&lt;=0,0,IF(ROUND(AT146*(1+'Calc base'!H147),2)-MAX('Calc base'!C$12,ROUND('Calc base'!C$13*AT146,2))&lt;1,ROUND(AT146*(1+'Calc base'!H147),2),MAX('Calc base'!C$12,ROUND('Calc base'!C$13*AT146,2))))</f>
        <v>0</v>
      </c>
      <c r="K147">
        <f>IF(AU146&lt;=0,0,IF(ROUND(AU146*(1+'Calc base'!I147),2)-MAX('Calc base'!D$12,ROUND('Calc base'!D$13*AU146,2))&lt;1,ROUND(AU146*(1+'Calc base'!I147),2),MAX('Calc base'!D$12,ROUND('Calc base'!D$13*AU146,2))))</f>
        <v>0</v>
      </c>
      <c r="L147">
        <f>IF(AV146&lt;=0,0,IF(ROUND(AV146*(1+'Calc base'!J147),2)-MAX('Calc base'!E$12,ROUND('Calc base'!E$13*AV146,2))&lt;1,ROUND(AV146*(1+'Calc base'!J147),2),MAX('Calc base'!E$12,ROUND('Calc base'!E$13*AV146,2))))</f>
        <v>0</v>
      </c>
      <c r="M147">
        <f>IF(AW146&lt;=0,0,IF(ROUND(AW146*(1+'Calc base'!K147),2)-MAX('Calc base'!F$12,ROUND('Calc base'!F$13*AW146,2))&lt;1,ROUND(AW146*(1+'Calc base'!K147),2),MAX('Calc base'!F$12,ROUND('Calc base'!F$13*AW146,2))))</f>
        <v>0</v>
      </c>
      <c r="N147">
        <f>IF(AX146&lt;=0,0,IF(ROUND(AX146*(1+'Calc base'!L147),2)-MAX('Calc base'!G$12,ROUND('Calc base'!G$13*AX146,2))&lt;1,ROUND(AX146*(1+'Calc base'!L147),2),MAX('Calc base'!G$12,ROUND('Calc base'!G$13*AX146,2))))</f>
        <v>0</v>
      </c>
      <c r="O147">
        <f>IF(AY146&lt;=0,0,IF(ROUND(AY146*(1+'Calc base'!M147),2)-MAX('Calc base'!H$12,ROUND('Calc base'!H$13*AY146,2))&lt;1,ROUND(AY146*(1+'Calc base'!M147),2),MAX('Calc base'!H$12,ROUND('Calc base'!H$13*AY146,2))))</f>
        <v>0</v>
      </c>
      <c r="P147">
        <f>IF(AZ146&lt;=0,0,IF(ROUND(AZ146*(1+'Calc base'!N147),2)-MAX('Calc base'!I$12,ROUND('Calc base'!I$13*AZ146,2))&lt;1,ROUND(AZ146*(1+'Calc base'!N147),2),MAX('Calc base'!I$12,ROUND('Calc base'!I$13*AZ146,2))))</f>
        <v>0</v>
      </c>
      <c r="Q147">
        <f>IF(BA146&lt;=0,0,IF(ROUND(BA146*(1+'Calc base'!O147),2)-MAX('Calc base'!J$12,ROUND('Calc base'!J$13*BA146,2))&lt;1,ROUND(BA146*(1+'Calc base'!O147),2),MAX('Calc base'!J$12,ROUND('Calc base'!J$13*BA146,2))))</f>
        <v>0</v>
      </c>
      <c r="R147">
        <f>IF(BB146&lt;=0,0,IF(ROUND(BB146*(1+'Calc base'!P147),2)-MAX('Calc base'!K$12,ROUND('Calc base'!K$13*BB146,2))&lt;1,ROUND(BB146*(1+'Calc base'!P147),2),MAX('Calc base'!K$12,ROUND('Calc base'!K$13*BB146,2))))</f>
        <v>0</v>
      </c>
      <c r="S147">
        <f>IF(BC146&lt;=0,0,IF(ROUND(BC146*(1+'Calc base'!Q147),2)-MAX('Calc base'!L$12,ROUND('Calc base'!L$13*BC146,2))&lt;1,ROUND(BC146*(1+'Calc base'!Q147),2),MAX('Calc base'!L$12,ROUND('Calc base'!L$13*BC146,2))))</f>
        <v>0</v>
      </c>
      <c r="T147">
        <f>IF(BD146&lt;=0,0,IF(ROUND(BD146*(1+'Calc base'!R147),2)-MAX('Calc base'!M$12,ROUND('Calc base'!M$13*BD146,2))&lt;1,ROUND(BD146*(1+'Calc base'!R147),2),MAX('Calc base'!M$12,ROUND('Calc base'!M$13*BD146,2))))</f>
        <v>0</v>
      </c>
      <c r="U147">
        <f>IF(BE146&lt;=0,0,IF(ROUND(BE146*(1+'Calc base'!S147),2)-MAX('Calc base'!N$12,ROUND('Calc base'!N$13*BE146,2))&lt;1,ROUND(BE146*(1+'Calc base'!S147),2),MAX('Calc base'!N$12,ROUND('Calc base'!N$13*BE146,2))))</f>
        <v>0</v>
      </c>
      <c r="V147">
        <f>MAX(0,ROUND(AT146*(1+'Calc base'!H147),2)-J147-'Calc base'!T147)</f>
        <v>0</v>
      </c>
      <c r="W147">
        <f>MAX(0,ROUND(AU146*(1+'Calc base'!I147),2)-K147-'Calc base'!U147)</f>
        <v>0</v>
      </c>
      <c r="X147">
        <f>MAX(0,ROUND(AV146*(1+'Calc base'!J147),2)-L147-'Calc base'!V147)</f>
        <v>0</v>
      </c>
      <c r="Y147">
        <f>MAX(0,ROUND(AW146*(1+'Calc base'!K147),2)-M147-'Calc base'!W147)</f>
        <v>0</v>
      </c>
      <c r="Z147">
        <f>MAX(0,ROUND(AX146*(1+'Calc base'!L147),2)-N147-'Calc base'!X147)</f>
        <v>0</v>
      </c>
      <c r="AA147">
        <f>MAX(0,ROUND(AY146*(1+'Calc base'!M147),2)-O147-'Calc base'!Y147)</f>
        <v>0</v>
      </c>
      <c r="AB147">
        <f>MAX(0,ROUND(AZ146*(1+'Calc base'!N147),2)-P147-'Calc base'!Z147)</f>
        <v>0</v>
      </c>
      <c r="AC147">
        <f>MAX(0,ROUND(BA146*(1+'Calc base'!O147),2)-Q147-'Calc base'!AA147)</f>
        <v>0</v>
      </c>
      <c r="AD147">
        <f>MAX(0,ROUND(BB146*(1+'Calc base'!P147),2)-R147-'Calc base'!AB147)</f>
        <v>0</v>
      </c>
      <c r="AE147">
        <f>MAX(0,ROUND(BC146*(1+'Calc base'!Q147),2)-S147-'Calc base'!AC147)</f>
        <v>0</v>
      </c>
      <c r="AF147">
        <f>MAX(0,ROUND(BD146*(1+'Calc base'!R147),2)-T147-'Calc base'!AD147)</f>
        <v>0</v>
      </c>
      <c r="AG147">
        <f>MAX(0,ROUND(BE146*(1+'Calc base'!S147),2)-U147-'Calc base'!AE147)</f>
        <v>0</v>
      </c>
      <c r="AH147">
        <f>IF('Calc base'!C$14=0,0,MIN(V147,MAX(0,$E147-SUMIFS($V147:$AG147,'Calc base'!$C$17:$N$17,"&lt;"&amp;'Calc base'!C$17,'Calc base'!$C$14:$N$14,1))))</f>
        <v>0</v>
      </c>
      <c r="AI147">
        <f>IF('Calc base'!D$14=0,0,MIN(W147,MAX(0,$E147-SUMIFS($V147:$AG147,'Calc base'!$C$17:$N$17,"&lt;"&amp;'Calc base'!D$17,'Calc base'!$C$14:$N$14,1))))</f>
        <v>0</v>
      </c>
      <c r="AJ147">
        <f>IF('Calc base'!E$14=0,0,MIN(X147,MAX(0,$E147-SUMIFS($V147:$AG147,'Calc base'!$C$17:$N$17,"&lt;"&amp;'Calc base'!E$17,'Calc base'!$C$14:$N$14,1))))</f>
        <v>0</v>
      </c>
      <c r="AK147">
        <f>IF('Calc base'!F$14=0,0,MIN(Y147,MAX(0,$E147-SUMIFS($V147:$AG147,'Calc base'!$C$17:$N$17,"&lt;"&amp;'Calc base'!F$17,'Calc base'!$C$14:$N$14,1))))</f>
        <v>0</v>
      </c>
      <c r="AL147">
        <f>IF('Calc base'!G$14=0,0,MIN(Z147,MAX(0,$E147-SUMIFS($V147:$AG147,'Calc base'!$C$17:$N$17,"&lt;"&amp;'Calc base'!G$17,'Calc base'!$C$14:$N$14,1))))</f>
        <v>0</v>
      </c>
      <c r="AM147">
        <f>IF('Calc base'!H$14=0,0,MIN(AA147,MAX(0,$E147-SUMIFS($V147:$AG147,'Calc base'!$C$17:$N$17,"&lt;"&amp;'Calc base'!H$17,'Calc base'!$C$14:$N$14,1))))</f>
        <v>0</v>
      </c>
      <c r="AN147">
        <f>IF('Calc base'!I$14=0,0,MIN(AB147,MAX(0,$E147-SUMIFS($V147:$AG147,'Calc base'!$C$17:$N$17,"&lt;"&amp;'Calc base'!I$17,'Calc base'!$C$14:$N$14,1))))</f>
        <v>0</v>
      </c>
      <c r="AO147">
        <f>IF('Calc base'!J$14=0,0,MIN(AC147,MAX(0,$E147-SUMIFS($V147:$AG147,'Calc base'!$C$17:$N$17,"&lt;"&amp;'Calc base'!J$17,'Calc base'!$C$14:$N$14,1))))</f>
        <v>0</v>
      </c>
      <c r="AP147">
        <f>IF('Calc base'!K$14=0,0,MIN(AD147,MAX(0,$E147-SUMIFS($V147:$AG147,'Calc base'!$C$17:$N$17,"&lt;"&amp;'Calc base'!K$17,'Calc base'!$C$14:$N$14,1))))</f>
        <v>0</v>
      </c>
      <c r="AQ147">
        <f>IF('Calc base'!L$14=0,0,MIN(AE147,MAX(0,$E147-SUMIFS($V147:$AG147,'Calc base'!$C$17:$N$17,"&lt;"&amp;'Calc base'!L$17,'Calc base'!$C$14:$N$14,1))))</f>
        <v>0</v>
      </c>
      <c r="AR147">
        <f>IF('Calc base'!M$14=0,0,MIN(AF147,MAX(0,$E147-SUMIFS($V147:$AG147,'Calc base'!$C$17:$N$17,"&lt;"&amp;'Calc base'!M$17,'Calc base'!$C$14:$N$14,1))))</f>
        <v>0</v>
      </c>
      <c r="AS147">
        <f>IF('Calc base'!N$14=0,0,MIN(AG147,MAX(0,$E147-SUMIFS($V147:$AG147,'Calc base'!$C$17:$N$17,"&lt;"&amp;'Calc base'!N$17,'Calc base'!$C$14:$N$14,1))))</f>
        <v>0</v>
      </c>
      <c r="AT147">
        <f>V147-AH147</f>
        <v>0</v>
      </c>
      <c r="AU147">
        <f>W147-AI147</f>
        <v>0</v>
      </c>
      <c r="AV147">
        <f>X147-AJ147</f>
        <v>0</v>
      </c>
      <c r="AW147">
        <f>Y147-AK147</f>
        <v>0</v>
      </c>
      <c r="AX147">
        <f>Z147-AL147</f>
        <v>0</v>
      </c>
      <c r="AY147">
        <f>AA147-AM147</f>
        <v>0</v>
      </c>
      <c r="AZ147">
        <f>AB147-AN147</f>
        <v>0</v>
      </c>
      <c r="BA147">
        <f>AC147-AO147</f>
        <v>0</v>
      </c>
      <c r="BB147">
        <f>AD147-AP147</f>
        <v>0</v>
      </c>
      <c r="BC147">
        <f>AE147-AQ147</f>
        <v>0</v>
      </c>
      <c r="BD147">
        <f>AF147-AR147</f>
        <v>0</v>
      </c>
      <c r="BE147">
        <f>AG147-AS147</f>
        <v>0</v>
      </c>
    </row>
    <row r="148">
      <c r="A148" t="n">
        <v>118</v>
      </c>
      <c r="B148">
        <f>SUMPRODUCT(ROUND($AT147:$BE147*(1+'Calc base'!$H148:$S148),2))</f>
        <v>0</v>
      </c>
      <c r="C148">
        <f>SUM(J148:U148)</f>
        <v>0</v>
      </c>
      <c r="D148">
        <f>SUM(V148:AG148)</f>
        <v>0</v>
      </c>
      <c r="E148">
        <f>MAX(0,IF(Impostazioni!$B$7="No",'Calc base'!$C148-$C$31,'Calc base'!$C148-C148)+'Calc base'!$G148+'Calc base'!$F148-(B148-C148-D148))</f>
        <v>900</v>
      </c>
      <c r="F148">
        <f>SUM(AH148:AS148)</f>
        <v>0</v>
      </c>
      <c r="G148">
        <f>SUM(AT148:BE148)</f>
        <v>0</v>
      </c>
      <c r="H148">
        <f>B148-G147</f>
        <v>0</v>
      </c>
      <c r="I148">
        <f>B148-G148</f>
        <v>0</v>
      </c>
      <c r="J148">
        <f>IF(AT147&lt;=0,0,IF(ROUND(AT147*(1+'Calc base'!H148),2)-MAX('Calc base'!C$12,ROUND('Calc base'!C$13*AT147,2))&lt;1,ROUND(AT147*(1+'Calc base'!H148),2),MAX('Calc base'!C$12,ROUND('Calc base'!C$13*AT147,2))))</f>
        <v>0</v>
      </c>
      <c r="K148">
        <f>IF(AU147&lt;=0,0,IF(ROUND(AU147*(1+'Calc base'!I148),2)-MAX('Calc base'!D$12,ROUND('Calc base'!D$13*AU147,2))&lt;1,ROUND(AU147*(1+'Calc base'!I148),2),MAX('Calc base'!D$12,ROUND('Calc base'!D$13*AU147,2))))</f>
        <v>0</v>
      </c>
      <c r="L148">
        <f>IF(AV147&lt;=0,0,IF(ROUND(AV147*(1+'Calc base'!J148),2)-MAX('Calc base'!E$12,ROUND('Calc base'!E$13*AV147,2))&lt;1,ROUND(AV147*(1+'Calc base'!J148),2),MAX('Calc base'!E$12,ROUND('Calc base'!E$13*AV147,2))))</f>
        <v>0</v>
      </c>
      <c r="M148">
        <f>IF(AW147&lt;=0,0,IF(ROUND(AW147*(1+'Calc base'!K148),2)-MAX('Calc base'!F$12,ROUND('Calc base'!F$13*AW147,2))&lt;1,ROUND(AW147*(1+'Calc base'!K148),2),MAX('Calc base'!F$12,ROUND('Calc base'!F$13*AW147,2))))</f>
        <v>0</v>
      </c>
      <c r="N148">
        <f>IF(AX147&lt;=0,0,IF(ROUND(AX147*(1+'Calc base'!L148),2)-MAX('Calc base'!G$12,ROUND('Calc base'!G$13*AX147,2))&lt;1,ROUND(AX147*(1+'Calc base'!L148),2),MAX('Calc base'!G$12,ROUND('Calc base'!G$13*AX147,2))))</f>
        <v>0</v>
      </c>
      <c r="O148">
        <f>IF(AY147&lt;=0,0,IF(ROUND(AY147*(1+'Calc base'!M148),2)-MAX('Calc base'!H$12,ROUND('Calc base'!H$13*AY147,2))&lt;1,ROUND(AY147*(1+'Calc base'!M148),2),MAX('Calc base'!H$12,ROUND('Calc base'!H$13*AY147,2))))</f>
        <v>0</v>
      </c>
      <c r="P148">
        <f>IF(AZ147&lt;=0,0,IF(ROUND(AZ147*(1+'Calc base'!N148),2)-MAX('Calc base'!I$12,ROUND('Calc base'!I$13*AZ147,2))&lt;1,ROUND(AZ147*(1+'Calc base'!N148),2),MAX('Calc base'!I$12,ROUND('Calc base'!I$13*AZ147,2))))</f>
        <v>0</v>
      </c>
      <c r="Q148">
        <f>IF(BA147&lt;=0,0,IF(ROUND(BA147*(1+'Calc base'!O148),2)-MAX('Calc base'!J$12,ROUND('Calc base'!J$13*BA147,2))&lt;1,ROUND(BA147*(1+'Calc base'!O148),2),MAX('Calc base'!J$12,ROUND('Calc base'!J$13*BA147,2))))</f>
        <v>0</v>
      </c>
      <c r="R148">
        <f>IF(BB147&lt;=0,0,IF(ROUND(BB147*(1+'Calc base'!P148),2)-MAX('Calc base'!K$12,ROUND('Calc base'!K$13*BB147,2))&lt;1,ROUND(BB147*(1+'Calc base'!P148),2),MAX('Calc base'!K$12,ROUND('Calc base'!K$13*BB147,2))))</f>
        <v>0</v>
      </c>
      <c r="S148">
        <f>IF(BC147&lt;=0,0,IF(ROUND(BC147*(1+'Calc base'!Q148),2)-MAX('Calc base'!L$12,ROUND('Calc base'!L$13*BC147,2))&lt;1,ROUND(BC147*(1+'Calc base'!Q148),2),MAX('Calc base'!L$12,ROUND('Calc base'!L$13*BC147,2))))</f>
        <v>0</v>
      </c>
      <c r="T148">
        <f>IF(BD147&lt;=0,0,IF(ROUND(BD147*(1+'Calc base'!R148),2)-MAX('Calc base'!M$12,ROUND('Calc base'!M$13*BD147,2))&lt;1,ROUND(BD147*(1+'Calc base'!R148),2),MAX('Calc base'!M$12,ROUND('Calc base'!M$13*BD147,2))))</f>
        <v>0</v>
      </c>
      <c r="U148">
        <f>IF(BE147&lt;=0,0,IF(ROUND(BE147*(1+'Calc base'!S148),2)-MAX('Calc base'!N$12,ROUND('Calc base'!N$13*BE147,2))&lt;1,ROUND(BE147*(1+'Calc base'!S148),2),MAX('Calc base'!N$12,ROUND('Calc base'!N$13*BE147,2))))</f>
        <v>0</v>
      </c>
      <c r="V148">
        <f>MAX(0,ROUND(AT147*(1+'Calc base'!H148),2)-J148-'Calc base'!T148)</f>
        <v>0</v>
      </c>
      <c r="W148">
        <f>MAX(0,ROUND(AU147*(1+'Calc base'!I148),2)-K148-'Calc base'!U148)</f>
        <v>0</v>
      </c>
      <c r="X148">
        <f>MAX(0,ROUND(AV147*(1+'Calc base'!J148),2)-L148-'Calc base'!V148)</f>
        <v>0</v>
      </c>
      <c r="Y148">
        <f>MAX(0,ROUND(AW147*(1+'Calc base'!K148),2)-M148-'Calc base'!W148)</f>
        <v>0</v>
      </c>
      <c r="Z148">
        <f>MAX(0,ROUND(AX147*(1+'Calc base'!L148),2)-N148-'Calc base'!X148)</f>
        <v>0</v>
      </c>
      <c r="AA148">
        <f>MAX(0,ROUND(AY147*(1+'Calc base'!M148),2)-O148-'Calc base'!Y148)</f>
        <v>0</v>
      </c>
      <c r="AB148">
        <f>MAX(0,ROUND(AZ147*(1+'Calc base'!N148),2)-P148-'Calc base'!Z148)</f>
        <v>0</v>
      </c>
      <c r="AC148">
        <f>MAX(0,ROUND(BA147*(1+'Calc base'!O148),2)-Q148-'Calc base'!AA148)</f>
        <v>0</v>
      </c>
      <c r="AD148">
        <f>MAX(0,ROUND(BB147*(1+'Calc base'!P148),2)-R148-'Calc base'!AB148)</f>
        <v>0</v>
      </c>
      <c r="AE148">
        <f>MAX(0,ROUND(BC147*(1+'Calc base'!Q148),2)-S148-'Calc base'!AC148)</f>
        <v>0</v>
      </c>
      <c r="AF148">
        <f>MAX(0,ROUND(BD147*(1+'Calc base'!R148),2)-T148-'Calc base'!AD148)</f>
        <v>0</v>
      </c>
      <c r="AG148">
        <f>MAX(0,ROUND(BE147*(1+'Calc base'!S148),2)-U148-'Calc base'!AE148)</f>
        <v>0</v>
      </c>
      <c r="AH148">
        <f>IF('Calc base'!C$14=0,0,MIN(V148,MAX(0,$E148-SUMIFS($V148:$AG148,'Calc base'!$C$17:$N$17,"&lt;"&amp;'Calc base'!C$17,'Calc base'!$C$14:$N$14,1))))</f>
        <v>0</v>
      </c>
      <c r="AI148">
        <f>IF('Calc base'!D$14=0,0,MIN(W148,MAX(0,$E148-SUMIFS($V148:$AG148,'Calc base'!$C$17:$N$17,"&lt;"&amp;'Calc base'!D$17,'Calc base'!$C$14:$N$14,1))))</f>
        <v>0</v>
      </c>
      <c r="AJ148">
        <f>IF('Calc base'!E$14=0,0,MIN(X148,MAX(0,$E148-SUMIFS($V148:$AG148,'Calc base'!$C$17:$N$17,"&lt;"&amp;'Calc base'!E$17,'Calc base'!$C$14:$N$14,1))))</f>
        <v>0</v>
      </c>
      <c r="AK148">
        <f>IF('Calc base'!F$14=0,0,MIN(Y148,MAX(0,$E148-SUMIFS($V148:$AG148,'Calc base'!$C$17:$N$17,"&lt;"&amp;'Calc base'!F$17,'Calc base'!$C$14:$N$14,1))))</f>
        <v>0</v>
      </c>
      <c r="AL148">
        <f>IF('Calc base'!G$14=0,0,MIN(Z148,MAX(0,$E148-SUMIFS($V148:$AG148,'Calc base'!$C$17:$N$17,"&lt;"&amp;'Calc base'!G$17,'Calc base'!$C$14:$N$14,1))))</f>
        <v>0</v>
      </c>
      <c r="AM148">
        <f>IF('Calc base'!H$14=0,0,MIN(AA148,MAX(0,$E148-SUMIFS($V148:$AG148,'Calc base'!$C$17:$N$17,"&lt;"&amp;'Calc base'!H$17,'Calc base'!$C$14:$N$14,1))))</f>
        <v>0</v>
      </c>
      <c r="AN148">
        <f>IF('Calc base'!I$14=0,0,MIN(AB148,MAX(0,$E148-SUMIFS($V148:$AG148,'Calc base'!$C$17:$N$17,"&lt;"&amp;'Calc base'!I$17,'Calc base'!$C$14:$N$14,1))))</f>
        <v>0</v>
      </c>
      <c r="AO148">
        <f>IF('Calc base'!J$14=0,0,MIN(AC148,MAX(0,$E148-SUMIFS($V148:$AG148,'Calc base'!$C$17:$N$17,"&lt;"&amp;'Calc base'!J$17,'Calc base'!$C$14:$N$14,1))))</f>
        <v>0</v>
      </c>
      <c r="AP148">
        <f>IF('Calc base'!K$14=0,0,MIN(AD148,MAX(0,$E148-SUMIFS($V148:$AG148,'Calc base'!$C$17:$N$17,"&lt;"&amp;'Calc base'!K$17,'Calc base'!$C$14:$N$14,1))))</f>
        <v>0</v>
      </c>
      <c r="AQ148">
        <f>IF('Calc base'!L$14=0,0,MIN(AE148,MAX(0,$E148-SUMIFS($V148:$AG148,'Calc base'!$C$17:$N$17,"&lt;"&amp;'Calc base'!L$17,'Calc base'!$C$14:$N$14,1))))</f>
        <v>0</v>
      </c>
      <c r="AR148">
        <f>IF('Calc base'!M$14=0,0,MIN(AF148,MAX(0,$E148-SUMIFS($V148:$AG148,'Calc base'!$C$17:$N$17,"&lt;"&amp;'Calc base'!M$17,'Calc base'!$C$14:$N$14,1))))</f>
        <v>0</v>
      </c>
      <c r="AS148">
        <f>IF('Calc base'!N$14=0,0,MIN(AG148,MAX(0,$E148-SUMIFS($V148:$AG148,'Calc base'!$C$17:$N$17,"&lt;"&amp;'Calc base'!N$17,'Calc base'!$C$14:$N$14,1))))</f>
        <v>0</v>
      </c>
      <c r="AT148">
        <f>V148-AH148</f>
        <v>0</v>
      </c>
      <c r="AU148">
        <f>W148-AI148</f>
        <v>0</v>
      </c>
      <c r="AV148">
        <f>X148-AJ148</f>
        <v>0</v>
      </c>
      <c r="AW148">
        <f>Y148-AK148</f>
        <v>0</v>
      </c>
      <c r="AX148">
        <f>Z148-AL148</f>
        <v>0</v>
      </c>
      <c r="AY148">
        <f>AA148-AM148</f>
        <v>0</v>
      </c>
      <c r="AZ148">
        <f>AB148-AN148</f>
        <v>0</v>
      </c>
      <c r="BA148">
        <f>AC148-AO148</f>
        <v>0</v>
      </c>
      <c r="BB148">
        <f>AD148-AP148</f>
        <v>0</v>
      </c>
      <c r="BC148">
        <f>AE148-AQ148</f>
        <v>0</v>
      </c>
      <c r="BD148">
        <f>AF148-AR148</f>
        <v>0</v>
      </c>
      <c r="BE148">
        <f>AG148-AS148</f>
        <v>0</v>
      </c>
    </row>
    <row r="149">
      <c r="A149" t="n">
        <v>119</v>
      </c>
      <c r="B149">
        <f>SUMPRODUCT(ROUND($AT148:$BE148*(1+'Calc base'!$H149:$S149),2))</f>
        <v>0</v>
      </c>
      <c r="C149">
        <f>SUM(J149:U149)</f>
        <v>0</v>
      </c>
      <c r="D149">
        <f>SUM(V149:AG149)</f>
        <v>0</v>
      </c>
      <c r="E149">
        <f>MAX(0,IF(Impostazioni!$B$7="No",'Calc base'!$C149-$C$31,'Calc base'!$C149-C149)+'Calc base'!$G149+'Calc base'!$F149-(B149-C149-D149))</f>
        <v>900</v>
      </c>
      <c r="F149">
        <f>SUM(AH149:AS149)</f>
        <v>0</v>
      </c>
      <c r="G149">
        <f>SUM(AT149:BE149)</f>
        <v>0</v>
      </c>
      <c r="H149">
        <f>B149-G148</f>
        <v>0</v>
      </c>
      <c r="I149">
        <f>B149-G149</f>
        <v>0</v>
      </c>
      <c r="J149">
        <f>IF(AT148&lt;=0,0,IF(ROUND(AT148*(1+'Calc base'!H149),2)-MAX('Calc base'!C$12,ROUND('Calc base'!C$13*AT148,2))&lt;1,ROUND(AT148*(1+'Calc base'!H149),2),MAX('Calc base'!C$12,ROUND('Calc base'!C$13*AT148,2))))</f>
        <v>0</v>
      </c>
      <c r="K149">
        <f>IF(AU148&lt;=0,0,IF(ROUND(AU148*(1+'Calc base'!I149),2)-MAX('Calc base'!D$12,ROUND('Calc base'!D$13*AU148,2))&lt;1,ROUND(AU148*(1+'Calc base'!I149),2),MAX('Calc base'!D$12,ROUND('Calc base'!D$13*AU148,2))))</f>
        <v>0</v>
      </c>
      <c r="L149">
        <f>IF(AV148&lt;=0,0,IF(ROUND(AV148*(1+'Calc base'!J149),2)-MAX('Calc base'!E$12,ROUND('Calc base'!E$13*AV148,2))&lt;1,ROUND(AV148*(1+'Calc base'!J149),2),MAX('Calc base'!E$12,ROUND('Calc base'!E$13*AV148,2))))</f>
        <v>0</v>
      </c>
      <c r="M149">
        <f>IF(AW148&lt;=0,0,IF(ROUND(AW148*(1+'Calc base'!K149),2)-MAX('Calc base'!F$12,ROUND('Calc base'!F$13*AW148,2))&lt;1,ROUND(AW148*(1+'Calc base'!K149),2),MAX('Calc base'!F$12,ROUND('Calc base'!F$13*AW148,2))))</f>
        <v>0</v>
      </c>
      <c r="N149">
        <f>IF(AX148&lt;=0,0,IF(ROUND(AX148*(1+'Calc base'!L149),2)-MAX('Calc base'!G$12,ROUND('Calc base'!G$13*AX148,2))&lt;1,ROUND(AX148*(1+'Calc base'!L149),2),MAX('Calc base'!G$12,ROUND('Calc base'!G$13*AX148,2))))</f>
        <v>0</v>
      </c>
      <c r="O149">
        <f>IF(AY148&lt;=0,0,IF(ROUND(AY148*(1+'Calc base'!M149),2)-MAX('Calc base'!H$12,ROUND('Calc base'!H$13*AY148,2))&lt;1,ROUND(AY148*(1+'Calc base'!M149),2),MAX('Calc base'!H$12,ROUND('Calc base'!H$13*AY148,2))))</f>
        <v>0</v>
      </c>
      <c r="P149">
        <f>IF(AZ148&lt;=0,0,IF(ROUND(AZ148*(1+'Calc base'!N149),2)-MAX('Calc base'!I$12,ROUND('Calc base'!I$13*AZ148,2))&lt;1,ROUND(AZ148*(1+'Calc base'!N149),2),MAX('Calc base'!I$12,ROUND('Calc base'!I$13*AZ148,2))))</f>
        <v>0</v>
      </c>
      <c r="Q149">
        <f>IF(BA148&lt;=0,0,IF(ROUND(BA148*(1+'Calc base'!O149),2)-MAX('Calc base'!J$12,ROUND('Calc base'!J$13*BA148,2))&lt;1,ROUND(BA148*(1+'Calc base'!O149),2),MAX('Calc base'!J$12,ROUND('Calc base'!J$13*BA148,2))))</f>
        <v>0</v>
      </c>
      <c r="R149">
        <f>IF(BB148&lt;=0,0,IF(ROUND(BB148*(1+'Calc base'!P149),2)-MAX('Calc base'!K$12,ROUND('Calc base'!K$13*BB148,2))&lt;1,ROUND(BB148*(1+'Calc base'!P149),2),MAX('Calc base'!K$12,ROUND('Calc base'!K$13*BB148,2))))</f>
        <v>0</v>
      </c>
      <c r="S149">
        <f>IF(BC148&lt;=0,0,IF(ROUND(BC148*(1+'Calc base'!Q149),2)-MAX('Calc base'!L$12,ROUND('Calc base'!L$13*BC148,2))&lt;1,ROUND(BC148*(1+'Calc base'!Q149),2),MAX('Calc base'!L$12,ROUND('Calc base'!L$13*BC148,2))))</f>
        <v>0</v>
      </c>
      <c r="T149">
        <f>IF(BD148&lt;=0,0,IF(ROUND(BD148*(1+'Calc base'!R149),2)-MAX('Calc base'!M$12,ROUND('Calc base'!M$13*BD148,2))&lt;1,ROUND(BD148*(1+'Calc base'!R149),2),MAX('Calc base'!M$12,ROUND('Calc base'!M$13*BD148,2))))</f>
        <v>0</v>
      </c>
      <c r="U149">
        <f>IF(BE148&lt;=0,0,IF(ROUND(BE148*(1+'Calc base'!S149),2)-MAX('Calc base'!N$12,ROUND('Calc base'!N$13*BE148,2))&lt;1,ROUND(BE148*(1+'Calc base'!S149),2),MAX('Calc base'!N$12,ROUND('Calc base'!N$13*BE148,2))))</f>
        <v>0</v>
      </c>
      <c r="V149">
        <f>MAX(0,ROUND(AT148*(1+'Calc base'!H149),2)-J149-'Calc base'!T149)</f>
        <v>0</v>
      </c>
      <c r="W149">
        <f>MAX(0,ROUND(AU148*(1+'Calc base'!I149),2)-K149-'Calc base'!U149)</f>
        <v>0</v>
      </c>
      <c r="X149">
        <f>MAX(0,ROUND(AV148*(1+'Calc base'!J149),2)-L149-'Calc base'!V149)</f>
        <v>0</v>
      </c>
      <c r="Y149">
        <f>MAX(0,ROUND(AW148*(1+'Calc base'!K149),2)-M149-'Calc base'!W149)</f>
        <v>0</v>
      </c>
      <c r="Z149">
        <f>MAX(0,ROUND(AX148*(1+'Calc base'!L149),2)-N149-'Calc base'!X149)</f>
        <v>0</v>
      </c>
      <c r="AA149">
        <f>MAX(0,ROUND(AY148*(1+'Calc base'!M149),2)-O149-'Calc base'!Y149)</f>
        <v>0</v>
      </c>
      <c r="AB149">
        <f>MAX(0,ROUND(AZ148*(1+'Calc base'!N149),2)-P149-'Calc base'!Z149)</f>
        <v>0</v>
      </c>
      <c r="AC149">
        <f>MAX(0,ROUND(BA148*(1+'Calc base'!O149),2)-Q149-'Calc base'!AA149)</f>
        <v>0</v>
      </c>
      <c r="AD149">
        <f>MAX(0,ROUND(BB148*(1+'Calc base'!P149),2)-R149-'Calc base'!AB149)</f>
        <v>0</v>
      </c>
      <c r="AE149">
        <f>MAX(0,ROUND(BC148*(1+'Calc base'!Q149),2)-S149-'Calc base'!AC149)</f>
        <v>0</v>
      </c>
      <c r="AF149">
        <f>MAX(0,ROUND(BD148*(1+'Calc base'!R149),2)-T149-'Calc base'!AD149)</f>
        <v>0</v>
      </c>
      <c r="AG149">
        <f>MAX(0,ROUND(BE148*(1+'Calc base'!S149),2)-U149-'Calc base'!AE149)</f>
        <v>0</v>
      </c>
      <c r="AH149">
        <f>IF('Calc base'!C$14=0,0,MIN(V149,MAX(0,$E149-SUMIFS($V149:$AG149,'Calc base'!$C$17:$N$17,"&lt;"&amp;'Calc base'!C$17,'Calc base'!$C$14:$N$14,1))))</f>
        <v>0</v>
      </c>
      <c r="AI149">
        <f>IF('Calc base'!D$14=0,0,MIN(W149,MAX(0,$E149-SUMIFS($V149:$AG149,'Calc base'!$C$17:$N$17,"&lt;"&amp;'Calc base'!D$17,'Calc base'!$C$14:$N$14,1))))</f>
        <v>0</v>
      </c>
      <c r="AJ149">
        <f>IF('Calc base'!E$14=0,0,MIN(X149,MAX(0,$E149-SUMIFS($V149:$AG149,'Calc base'!$C$17:$N$17,"&lt;"&amp;'Calc base'!E$17,'Calc base'!$C$14:$N$14,1))))</f>
        <v>0</v>
      </c>
      <c r="AK149">
        <f>IF('Calc base'!F$14=0,0,MIN(Y149,MAX(0,$E149-SUMIFS($V149:$AG149,'Calc base'!$C$17:$N$17,"&lt;"&amp;'Calc base'!F$17,'Calc base'!$C$14:$N$14,1))))</f>
        <v>0</v>
      </c>
      <c r="AL149">
        <f>IF('Calc base'!G$14=0,0,MIN(Z149,MAX(0,$E149-SUMIFS($V149:$AG149,'Calc base'!$C$17:$N$17,"&lt;"&amp;'Calc base'!G$17,'Calc base'!$C$14:$N$14,1))))</f>
        <v>0</v>
      </c>
      <c r="AM149">
        <f>IF('Calc base'!H$14=0,0,MIN(AA149,MAX(0,$E149-SUMIFS($V149:$AG149,'Calc base'!$C$17:$N$17,"&lt;"&amp;'Calc base'!H$17,'Calc base'!$C$14:$N$14,1))))</f>
        <v>0</v>
      </c>
      <c r="AN149">
        <f>IF('Calc base'!I$14=0,0,MIN(AB149,MAX(0,$E149-SUMIFS($V149:$AG149,'Calc base'!$C$17:$N$17,"&lt;"&amp;'Calc base'!I$17,'Calc base'!$C$14:$N$14,1))))</f>
        <v>0</v>
      </c>
      <c r="AO149">
        <f>IF('Calc base'!J$14=0,0,MIN(AC149,MAX(0,$E149-SUMIFS($V149:$AG149,'Calc base'!$C$17:$N$17,"&lt;"&amp;'Calc base'!J$17,'Calc base'!$C$14:$N$14,1))))</f>
        <v>0</v>
      </c>
      <c r="AP149">
        <f>IF('Calc base'!K$14=0,0,MIN(AD149,MAX(0,$E149-SUMIFS($V149:$AG149,'Calc base'!$C$17:$N$17,"&lt;"&amp;'Calc base'!K$17,'Calc base'!$C$14:$N$14,1))))</f>
        <v>0</v>
      </c>
      <c r="AQ149">
        <f>IF('Calc base'!L$14=0,0,MIN(AE149,MAX(0,$E149-SUMIFS($V149:$AG149,'Calc base'!$C$17:$N$17,"&lt;"&amp;'Calc base'!L$17,'Calc base'!$C$14:$N$14,1))))</f>
        <v>0</v>
      </c>
      <c r="AR149">
        <f>IF('Calc base'!M$14=0,0,MIN(AF149,MAX(0,$E149-SUMIFS($V149:$AG149,'Calc base'!$C$17:$N$17,"&lt;"&amp;'Calc base'!M$17,'Calc base'!$C$14:$N$14,1))))</f>
        <v>0</v>
      </c>
      <c r="AS149">
        <f>IF('Calc base'!N$14=0,0,MIN(AG149,MAX(0,$E149-SUMIFS($V149:$AG149,'Calc base'!$C$17:$N$17,"&lt;"&amp;'Calc base'!N$17,'Calc base'!$C$14:$N$14,1))))</f>
        <v>0</v>
      </c>
      <c r="AT149">
        <f>V149-AH149</f>
        <v>0</v>
      </c>
      <c r="AU149">
        <f>W149-AI149</f>
        <v>0</v>
      </c>
      <c r="AV149">
        <f>X149-AJ149</f>
        <v>0</v>
      </c>
      <c r="AW149">
        <f>Y149-AK149</f>
        <v>0</v>
      </c>
      <c r="AX149">
        <f>Z149-AL149</f>
        <v>0</v>
      </c>
      <c r="AY149">
        <f>AA149-AM149</f>
        <v>0</v>
      </c>
      <c r="AZ149">
        <f>AB149-AN149</f>
        <v>0</v>
      </c>
      <c r="BA149">
        <f>AC149-AO149</f>
        <v>0</v>
      </c>
      <c r="BB149">
        <f>AD149-AP149</f>
        <v>0</v>
      </c>
      <c r="BC149">
        <f>AE149-AQ149</f>
        <v>0</v>
      </c>
      <c r="BD149">
        <f>AF149-AR149</f>
        <v>0</v>
      </c>
      <c r="BE149">
        <f>AG149-AS149</f>
        <v>0</v>
      </c>
    </row>
    <row r="150">
      <c r="A150" t="n">
        <v>120</v>
      </c>
      <c r="B150">
        <f>SUMPRODUCT(ROUND($AT149:$BE149*(1+'Calc base'!$H150:$S150),2))</f>
        <v>0</v>
      </c>
      <c r="C150">
        <f>SUM(J150:U150)</f>
        <v>0</v>
      </c>
      <c r="D150">
        <f>SUM(V150:AG150)</f>
        <v>0</v>
      </c>
      <c r="E150">
        <f>MAX(0,IF(Impostazioni!$B$7="No",'Calc base'!$C150-$C$31,'Calc base'!$C150-C150)+'Calc base'!$G150+'Calc base'!$F150-(B150-C150-D150))</f>
        <v>900</v>
      </c>
      <c r="F150">
        <f>SUM(AH150:AS150)</f>
        <v>0</v>
      </c>
      <c r="G150">
        <f>SUM(AT150:BE150)</f>
        <v>0</v>
      </c>
      <c r="H150">
        <f>B150-G149</f>
        <v>0</v>
      </c>
      <c r="I150">
        <f>B150-G150</f>
        <v>0</v>
      </c>
      <c r="J150">
        <f>IF(AT149&lt;=0,0,IF(ROUND(AT149*(1+'Calc base'!H150),2)-MAX('Calc base'!C$12,ROUND('Calc base'!C$13*AT149,2))&lt;1,ROUND(AT149*(1+'Calc base'!H150),2),MAX('Calc base'!C$12,ROUND('Calc base'!C$13*AT149,2))))</f>
        <v>0</v>
      </c>
      <c r="K150">
        <f>IF(AU149&lt;=0,0,IF(ROUND(AU149*(1+'Calc base'!I150),2)-MAX('Calc base'!D$12,ROUND('Calc base'!D$13*AU149,2))&lt;1,ROUND(AU149*(1+'Calc base'!I150),2),MAX('Calc base'!D$12,ROUND('Calc base'!D$13*AU149,2))))</f>
        <v>0</v>
      </c>
      <c r="L150">
        <f>IF(AV149&lt;=0,0,IF(ROUND(AV149*(1+'Calc base'!J150),2)-MAX('Calc base'!E$12,ROUND('Calc base'!E$13*AV149,2))&lt;1,ROUND(AV149*(1+'Calc base'!J150),2),MAX('Calc base'!E$12,ROUND('Calc base'!E$13*AV149,2))))</f>
        <v>0</v>
      </c>
      <c r="M150">
        <f>IF(AW149&lt;=0,0,IF(ROUND(AW149*(1+'Calc base'!K150),2)-MAX('Calc base'!F$12,ROUND('Calc base'!F$13*AW149,2))&lt;1,ROUND(AW149*(1+'Calc base'!K150),2),MAX('Calc base'!F$12,ROUND('Calc base'!F$13*AW149,2))))</f>
        <v>0</v>
      </c>
      <c r="N150">
        <f>IF(AX149&lt;=0,0,IF(ROUND(AX149*(1+'Calc base'!L150),2)-MAX('Calc base'!G$12,ROUND('Calc base'!G$13*AX149,2))&lt;1,ROUND(AX149*(1+'Calc base'!L150),2),MAX('Calc base'!G$12,ROUND('Calc base'!G$13*AX149,2))))</f>
        <v>0</v>
      </c>
      <c r="O150">
        <f>IF(AY149&lt;=0,0,IF(ROUND(AY149*(1+'Calc base'!M150),2)-MAX('Calc base'!H$12,ROUND('Calc base'!H$13*AY149,2))&lt;1,ROUND(AY149*(1+'Calc base'!M150),2),MAX('Calc base'!H$12,ROUND('Calc base'!H$13*AY149,2))))</f>
        <v>0</v>
      </c>
      <c r="P150">
        <f>IF(AZ149&lt;=0,0,IF(ROUND(AZ149*(1+'Calc base'!N150),2)-MAX('Calc base'!I$12,ROUND('Calc base'!I$13*AZ149,2))&lt;1,ROUND(AZ149*(1+'Calc base'!N150),2),MAX('Calc base'!I$12,ROUND('Calc base'!I$13*AZ149,2))))</f>
        <v>0</v>
      </c>
      <c r="Q150">
        <f>IF(BA149&lt;=0,0,IF(ROUND(BA149*(1+'Calc base'!O150),2)-MAX('Calc base'!J$12,ROUND('Calc base'!J$13*BA149,2))&lt;1,ROUND(BA149*(1+'Calc base'!O150),2),MAX('Calc base'!J$12,ROUND('Calc base'!J$13*BA149,2))))</f>
        <v>0</v>
      </c>
      <c r="R150">
        <f>IF(BB149&lt;=0,0,IF(ROUND(BB149*(1+'Calc base'!P150),2)-MAX('Calc base'!K$12,ROUND('Calc base'!K$13*BB149,2))&lt;1,ROUND(BB149*(1+'Calc base'!P150),2),MAX('Calc base'!K$12,ROUND('Calc base'!K$13*BB149,2))))</f>
        <v>0</v>
      </c>
      <c r="S150">
        <f>IF(BC149&lt;=0,0,IF(ROUND(BC149*(1+'Calc base'!Q150),2)-MAX('Calc base'!L$12,ROUND('Calc base'!L$13*BC149,2))&lt;1,ROUND(BC149*(1+'Calc base'!Q150),2),MAX('Calc base'!L$12,ROUND('Calc base'!L$13*BC149,2))))</f>
        <v>0</v>
      </c>
      <c r="T150">
        <f>IF(BD149&lt;=0,0,IF(ROUND(BD149*(1+'Calc base'!R150),2)-MAX('Calc base'!M$12,ROUND('Calc base'!M$13*BD149,2))&lt;1,ROUND(BD149*(1+'Calc base'!R150),2),MAX('Calc base'!M$12,ROUND('Calc base'!M$13*BD149,2))))</f>
        <v>0</v>
      </c>
      <c r="U150">
        <f>IF(BE149&lt;=0,0,IF(ROUND(BE149*(1+'Calc base'!S150),2)-MAX('Calc base'!N$12,ROUND('Calc base'!N$13*BE149,2))&lt;1,ROUND(BE149*(1+'Calc base'!S150),2),MAX('Calc base'!N$12,ROUND('Calc base'!N$13*BE149,2))))</f>
        <v>0</v>
      </c>
      <c r="V150">
        <f>MAX(0,ROUND(AT149*(1+'Calc base'!H150),2)-J150-'Calc base'!T150)</f>
        <v>0</v>
      </c>
      <c r="W150">
        <f>MAX(0,ROUND(AU149*(1+'Calc base'!I150),2)-K150-'Calc base'!U150)</f>
        <v>0</v>
      </c>
      <c r="X150">
        <f>MAX(0,ROUND(AV149*(1+'Calc base'!J150),2)-L150-'Calc base'!V150)</f>
        <v>0</v>
      </c>
      <c r="Y150">
        <f>MAX(0,ROUND(AW149*(1+'Calc base'!K150),2)-M150-'Calc base'!W150)</f>
        <v>0</v>
      </c>
      <c r="Z150">
        <f>MAX(0,ROUND(AX149*(1+'Calc base'!L150),2)-N150-'Calc base'!X150)</f>
        <v>0</v>
      </c>
      <c r="AA150">
        <f>MAX(0,ROUND(AY149*(1+'Calc base'!M150),2)-O150-'Calc base'!Y150)</f>
        <v>0</v>
      </c>
      <c r="AB150">
        <f>MAX(0,ROUND(AZ149*(1+'Calc base'!N150),2)-P150-'Calc base'!Z150)</f>
        <v>0</v>
      </c>
      <c r="AC150">
        <f>MAX(0,ROUND(BA149*(1+'Calc base'!O150),2)-Q150-'Calc base'!AA150)</f>
        <v>0</v>
      </c>
      <c r="AD150">
        <f>MAX(0,ROUND(BB149*(1+'Calc base'!P150),2)-R150-'Calc base'!AB150)</f>
        <v>0</v>
      </c>
      <c r="AE150">
        <f>MAX(0,ROUND(BC149*(1+'Calc base'!Q150),2)-S150-'Calc base'!AC150)</f>
        <v>0</v>
      </c>
      <c r="AF150">
        <f>MAX(0,ROUND(BD149*(1+'Calc base'!R150),2)-T150-'Calc base'!AD150)</f>
        <v>0</v>
      </c>
      <c r="AG150">
        <f>MAX(0,ROUND(BE149*(1+'Calc base'!S150),2)-U150-'Calc base'!AE150)</f>
        <v>0</v>
      </c>
      <c r="AH150">
        <f>IF('Calc base'!C$14=0,0,MIN(V150,MAX(0,$E150-SUMIFS($V150:$AG150,'Calc base'!$C$17:$N$17,"&lt;"&amp;'Calc base'!C$17,'Calc base'!$C$14:$N$14,1))))</f>
        <v>0</v>
      </c>
      <c r="AI150">
        <f>IF('Calc base'!D$14=0,0,MIN(W150,MAX(0,$E150-SUMIFS($V150:$AG150,'Calc base'!$C$17:$N$17,"&lt;"&amp;'Calc base'!D$17,'Calc base'!$C$14:$N$14,1))))</f>
        <v>0</v>
      </c>
      <c r="AJ150">
        <f>IF('Calc base'!E$14=0,0,MIN(X150,MAX(0,$E150-SUMIFS($V150:$AG150,'Calc base'!$C$17:$N$17,"&lt;"&amp;'Calc base'!E$17,'Calc base'!$C$14:$N$14,1))))</f>
        <v>0</v>
      </c>
      <c r="AK150">
        <f>IF('Calc base'!F$14=0,0,MIN(Y150,MAX(0,$E150-SUMIFS($V150:$AG150,'Calc base'!$C$17:$N$17,"&lt;"&amp;'Calc base'!F$17,'Calc base'!$C$14:$N$14,1))))</f>
        <v>0</v>
      </c>
      <c r="AL150">
        <f>IF('Calc base'!G$14=0,0,MIN(Z150,MAX(0,$E150-SUMIFS($V150:$AG150,'Calc base'!$C$17:$N$17,"&lt;"&amp;'Calc base'!G$17,'Calc base'!$C$14:$N$14,1))))</f>
        <v>0</v>
      </c>
      <c r="AM150">
        <f>IF('Calc base'!H$14=0,0,MIN(AA150,MAX(0,$E150-SUMIFS($V150:$AG150,'Calc base'!$C$17:$N$17,"&lt;"&amp;'Calc base'!H$17,'Calc base'!$C$14:$N$14,1))))</f>
        <v>0</v>
      </c>
      <c r="AN150">
        <f>IF('Calc base'!I$14=0,0,MIN(AB150,MAX(0,$E150-SUMIFS($V150:$AG150,'Calc base'!$C$17:$N$17,"&lt;"&amp;'Calc base'!I$17,'Calc base'!$C$14:$N$14,1))))</f>
        <v>0</v>
      </c>
      <c r="AO150">
        <f>IF('Calc base'!J$14=0,0,MIN(AC150,MAX(0,$E150-SUMIFS($V150:$AG150,'Calc base'!$C$17:$N$17,"&lt;"&amp;'Calc base'!J$17,'Calc base'!$C$14:$N$14,1))))</f>
        <v>0</v>
      </c>
      <c r="AP150">
        <f>IF('Calc base'!K$14=0,0,MIN(AD150,MAX(0,$E150-SUMIFS($V150:$AG150,'Calc base'!$C$17:$N$17,"&lt;"&amp;'Calc base'!K$17,'Calc base'!$C$14:$N$14,1))))</f>
        <v>0</v>
      </c>
      <c r="AQ150">
        <f>IF('Calc base'!L$14=0,0,MIN(AE150,MAX(0,$E150-SUMIFS($V150:$AG150,'Calc base'!$C$17:$N$17,"&lt;"&amp;'Calc base'!L$17,'Calc base'!$C$14:$N$14,1))))</f>
        <v>0</v>
      </c>
      <c r="AR150">
        <f>IF('Calc base'!M$14=0,0,MIN(AF150,MAX(0,$E150-SUMIFS($V150:$AG150,'Calc base'!$C$17:$N$17,"&lt;"&amp;'Calc base'!M$17,'Calc base'!$C$14:$N$14,1))))</f>
        <v>0</v>
      </c>
      <c r="AS150">
        <f>IF('Calc base'!N$14=0,0,MIN(AG150,MAX(0,$E150-SUMIFS($V150:$AG150,'Calc base'!$C$17:$N$17,"&lt;"&amp;'Calc base'!N$17,'Calc base'!$C$14:$N$14,1))))</f>
        <v>0</v>
      </c>
      <c r="AT150">
        <f>V150-AH150</f>
        <v>0</v>
      </c>
      <c r="AU150">
        <f>W150-AI150</f>
        <v>0</v>
      </c>
      <c r="AV150">
        <f>X150-AJ150</f>
        <v>0</v>
      </c>
      <c r="AW150">
        <f>Y150-AK150</f>
        <v>0</v>
      </c>
      <c r="AX150">
        <f>Z150-AL150</f>
        <v>0</v>
      </c>
      <c r="AY150">
        <f>AA150-AM150</f>
        <v>0</v>
      </c>
      <c r="AZ150">
        <f>AB150-AN150</f>
        <v>0</v>
      </c>
      <c r="BA150">
        <f>AC150-AO150</f>
        <v>0</v>
      </c>
      <c r="BB150">
        <f>AD150-AP150</f>
        <v>0</v>
      </c>
      <c r="BC150">
        <f>AE150-AQ150</f>
        <v>0</v>
      </c>
      <c r="BD150">
        <f>AF150-AR150</f>
        <v>0</v>
      </c>
      <c r="BE150">
        <f>AG150-AS150</f>
        <v>0</v>
      </c>
    </row>
    <row r="151">
      <c r="A151" t="n">
        <v>121</v>
      </c>
      <c r="B151">
        <f>SUMPRODUCT(ROUND($AT150:$BE150*(1+'Calc base'!$H151:$S151),2))</f>
        <v>0</v>
      </c>
      <c r="C151">
        <f>SUM(J151:U151)</f>
        <v>0</v>
      </c>
      <c r="D151">
        <f>SUM(V151:AG151)</f>
        <v>0</v>
      </c>
      <c r="E151">
        <f>MAX(0,IF(Impostazioni!$B$7="No",'Calc base'!$C151-$C$31,'Calc base'!$C151-C151)+'Calc base'!$G151+'Calc base'!$F151-(B151-C151-D151))</f>
        <v>900</v>
      </c>
      <c r="F151">
        <f>SUM(AH151:AS151)</f>
        <v>0</v>
      </c>
      <c r="G151">
        <f>SUM(AT151:BE151)</f>
        <v>0</v>
      </c>
      <c r="H151">
        <f>B151-G150</f>
        <v>0</v>
      </c>
      <c r="I151">
        <f>B151-G151</f>
        <v>0</v>
      </c>
      <c r="J151">
        <f>IF(AT150&lt;=0,0,IF(ROUND(AT150*(1+'Calc base'!H151),2)-MAX('Calc base'!C$12,ROUND('Calc base'!C$13*AT150,2))&lt;1,ROUND(AT150*(1+'Calc base'!H151),2),MAX('Calc base'!C$12,ROUND('Calc base'!C$13*AT150,2))))</f>
        <v>0</v>
      </c>
      <c r="K151">
        <f>IF(AU150&lt;=0,0,IF(ROUND(AU150*(1+'Calc base'!I151),2)-MAX('Calc base'!D$12,ROUND('Calc base'!D$13*AU150,2))&lt;1,ROUND(AU150*(1+'Calc base'!I151),2),MAX('Calc base'!D$12,ROUND('Calc base'!D$13*AU150,2))))</f>
        <v>0</v>
      </c>
      <c r="L151">
        <f>IF(AV150&lt;=0,0,IF(ROUND(AV150*(1+'Calc base'!J151),2)-MAX('Calc base'!E$12,ROUND('Calc base'!E$13*AV150,2))&lt;1,ROUND(AV150*(1+'Calc base'!J151),2),MAX('Calc base'!E$12,ROUND('Calc base'!E$13*AV150,2))))</f>
        <v>0</v>
      </c>
      <c r="M151">
        <f>IF(AW150&lt;=0,0,IF(ROUND(AW150*(1+'Calc base'!K151),2)-MAX('Calc base'!F$12,ROUND('Calc base'!F$13*AW150,2))&lt;1,ROUND(AW150*(1+'Calc base'!K151),2),MAX('Calc base'!F$12,ROUND('Calc base'!F$13*AW150,2))))</f>
        <v>0</v>
      </c>
      <c r="N151">
        <f>IF(AX150&lt;=0,0,IF(ROUND(AX150*(1+'Calc base'!L151),2)-MAX('Calc base'!G$12,ROUND('Calc base'!G$13*AX150,2))&lt;1,ROUND(AX150*(1+'Calc base'!L151),2),MAX('Calc base'!G$12,ROUND('Calc base'!G$13*AX150,2))))</f>
        <v>0</v>
      </c>
      <c r="O151">
        <f>IF(AY150&lt;=0,0,IF(ROUND(AY150*(1+'Calc base'!M151),2)-MAX('Calc base'!H$12,ROUND('Calc base'!H$13*AY150,2))&lt;1,ROUND(AY150*(1+'Calc base'!M151),2),MAX('Calc base'!H$12,ROUND('Calc base'!H$13*AY150,2))))</f>
        <v>0</v>
      </c>
      <c r="P151">
        <f>IF(AZ150&lt;=0,0,IF(ROUND(AZ150*(1+'Calc base'!N151),2)-MAX('Calc base'!I$12,ROUND('Calc base'!I$13*AZ150,2))&lt;1,ROUND(AZ150*(1+'Calc base'!N151),2),MAX('Calc base'!I$12,ROUND('Calc base'!I$13*AZ150,2))))</f>
        <v>0</v>
      </c>
      <c r="Q151">
        <f>IF(BA150&lt;=0,0,IF(ROUND(BA150*(1+'Calc base'!O151),2)-MAX('Calc base'!J$12,ROUND('Calc base'!J$13*BA150,2))&lt;1,ROUND(BA150*(1+'Calc base'!O151),2),MAX('Calc base'!J$12,ROUND('Calc base'!J$13*BA150,2))))</f>
        <v>0</v>
      </c>
      <c r="R151">
        <f>IF(BB150&lt;=0,0,IF(ROUND(BB150*(1+'Calc base'!P151),2)-MAX('Calc base'!K$12,ROUND('Calc base'!K$13*BB150,2))&lt;1,ROUND(BB150*(1+'Calc base'!P151),2),MAX('Calc base'!K$12,ROUND('Calc base'!K$13*BB150,2))))</f>
        <v>0</v>
      </c>
      <c r="S151">
        <f>IF(BC150&lt;=0,0,IF(ROUND(BC150*(1+'Calc base'!Q151),2)-MAX('Calc base'!L$12,ROUND('Calc base'!L$13*BC150,2))&lt;1,ROUND(BC150*(1+'Calc base'!Q151),2),MAX('Calc base'!L$12,ROUND('Calc base'!L$13*BC150,2))))</f>
        <v>0</v>
      </c>
      <c r="T151">
        <f>IF(BD150&lt;=0,0,IF(ROUND(BD150*(1+'Calc base'!R151),2)-MAX('Calc base'!M$12,ROUND('Calc base'!M$13*BD150,2))&lt;1,ROUND(BD150*(1+'Calc base'!R151),2),MAX('Calc base'!M$12,ROUND('Calc base'!M$13*BD150,2))))</f>
        <v>0</v>
      </c>
      <c r="U151">
        <f>IF(BE150&lt;=0,0,IF(ROUND(BE150*(1+'Calc base'!S151),2)-MAX('Calc base'!N$12,ROUND('Calc base'!N$13*BE150,2))&lt;1,ROUND(BE150*(1+'Calc base'!S151),2),MAX('Calc base'!N$12,ROUND('Calc base'!N$13*BE150,2))))</f>
        <v>0</v>
      </c>
      <c r="V151">
        <f>MAX(0,ROUND(AT150*(1+'Calc base'!H151),2)-J151-'Calc base'!T151)</f>
        <v>0</v>
      </c>
      <c r="W151">
        <f>MAX(0,ROUND(AU150*(1+'Calc base'!I151),2)-K151-'Calc base'!U151)</f>
        <v>0</v>
      </c>
      <c r="X151">
        <f>MAX(0,ROUND(AV150*(1+'Calc base'!J151),2)-L151-'Calc base'!V151)</f>
        <v>0</v>
      </c>
      <c r="Y151">
        <f>MAX(0,ROUND(AW150*(1+'Calc base'!K151),2)-M151-'Calc base'!W151)</f>
        <v>0</v>
      </c>
      <c r="Z151">
        <f>MAX(0,ROUND(AX150*(1+'Calc base'!L151),2)-N151-'Calc base'!X151)</f>
        <v>0</v>
      </c>
      <c r="AA151">
        <f>MAX(0,ROUND(AY150*(1+'Calc base'!M151),2)-O151-'Calc base'!Y151)</f>
        <v>0</v>
      </c>
      <c r="AB151">
        <f>MAX(0,ROUND(AZ150*(1+'Calc base'!N151),2)-P151-'Calc base'!Z151)</f>
        <v>0</v>
      </c>
      <c r="AC151">
        <f>MAX(0,ROUND(BA150*(1+'Calc base'!O151),2)-Q151-'Calc base'!AA151)</f>
        <v>0</v>
      </c>
      <c r="AD151">
        <f>MAX(0,ROUND(BB150*(1+'Calc base'!P151),2)-R151-'Calc base'!AB151)</f>
        <v>0</v>
      </c>
      <c r="AE151">
        <f>MAX(0,ROUND(BC150*(1+'Calc base'!Q151),2)-S151-'Calc base'!AC151)</f>
        <v>0</v>
      </c>
      <c r="AF151">
        <f>MAX(0,ROUND(BD150*(1+'Calc base'!R151),2)-T151-'Calc base'!AD151)</f>
        <v>0</v>
      </c>
      <c r="AG151">
        <f>MAX(0,ROUND(BE150*(1+'Calc base'!S151),2)-U151-'Calc base'!AE151)</f>
        <v>0</v>
      </c>
      <c r="AH151">
        <f>IF('Calc base'!C$14=0,0,MIN(V151,MAX(0,$E151-SUMIFS($V151:$AG151,'Calc base'!$C$17:$N$17,"&lt;"&amp;'Calc base'!C$17,'Calc base'!$C$14:$N$14,1))))</f>
        <v>0</v>
      </c>
      <c r="AI151">
        <f>IF('Calc base'!D$14=0,0,MIN(W151,MAX(0,$E151-SUMIFS($V151:$AG151,'Calc base'!$C$17:$N$17,"&lt;"&amp;'Calc base'!D$17,'Calc base'!$C$14:$N$14,1))))</f>
        <v>0</v>
      </c>
      <c r="AJ151">
        <f>IF('Calc base'!E$14=0,0,MIN(X151,MAX(0,$E151-SUMIFS($V151:$AG151,'Calc base'!$C$17:$N$17,"&lt;"&amp;'Calc base'!E$17,'Calc base'!$C$14:$N$14,1))))</f>
        <v>0</v>
      </c>
      <c r="AK151">
        <f>IF('Calc base'!F$14=0,0,MIN(Y151,MAX(0,$E151-SUMIFS($V151:$AG151,'Calc base'!$C$17:$N$17,"&lt;"&amp;'Calc base'!F$17,'Calc base'!$C$14:$N$14,1))))</f>
        <v>0</v>
      </c>
      <c r="AL151">
        <f>IF('Calc base'!G$14=0,0,MIN(Z151,MAX(0,$E151-SUMIFS($V151:$AG151,'Calc base'!$C$17:$N$17,"&lt;"&amp;'Calc base'!G$17,'Calc base'!$C$14:$N$14,1))))</f>
        <v>0</v>
      </c>
      <c r="AM151">
        <f>IF('Calc base'!H$14=0,0,MIN(AA151,MAX(0,$E151-SUMIFS($V151:$AG151,'Calc base'!$C$17:$N$17,"&lt;"&amp;'Calc base'!H$17,'Calc base'!$C$14:$N$14,1))))</f>
        <v>0</v>
      </c>
      <c r="AN151">
        <f>IF('Calc base'!I$14=0,0,MIN(AB151,MAX(0,$E151-SUMIFS($V151:$AG151,'Calc base'!$C$17:$N$17,"&lt;"&amp;'Calc base'!I$17,'Calc base'!$C$14:$N$14,1))))</f>
        <v>0</v>
      </c>
      <c r="AO151">
        <f>IF('Calc base'!J$14=0,0,MIN(AC151,MAX(0,$E151-SUMIFS($V151:$AG151,'Calc base'!$C$17:$N$17,"&lt;"&amp;'Calc base'!J$17,'Calc base'!$C$14:$N$14,1))))</f>
        <v>0</v>
      </c>
      <c r="AP151">
        <f>IF('Calc base'!K$14=0,0,MIN(AD151,MAX(0,$E151-SUMIFS($V151:$AG151,'Calc base'!$C$17:$N$17,"&lt;"&amp;'Calc base'!K$17,'Calc base'!$C$14:$N$14,1))))</f>
        <v>0</v>
      </c>
      <c r="AQ151">
        <f>IF('Calc base'!L$14=0,0,MIN(AE151,MAX(0,$E151-SUMIFS($V151:$AG151,'Calc base'!$C$17:$N$17,"&lt;"&amp;'Calc base'!L$17,'Calc base'!$C$14:$N$14,1))))</f>
        <v>0</v>
      </c>
      <c r="AR151">
        <f>IF('Calc base'!M$14=0,0,MIN(AF151,MAX(0,$E151-SUMIFS($V151:$AG151,'Calc base'!$C$17:$N$17,"&lt;"&amp;'Calc base'!M$17,'Calc base'!$C$14:$N$14,1))))</f>
        <v>0</v>
      </c>
      <c r="AS151">
        <f>IF('Calc base'!N$14=0,0,MIN(AG151,MAX(0,$E151-SUMIFS($V151:$AG151,'Calc base'!$C$17:$N$17,"&lt;"&amp;'Calc base'!N$17,'Calc base'!$C$14:$N$14,1))))</f>
        <v>0</v>
      </c>
      <c r="AT151">
        <f>V151-AH151</f>
        <v>0</v>
      </c>
      <c r="AU151">
        <f>W151-AI151</f>
        <v>0</v>
      </c>
      <c r="AV151">
        <f>X151-AJ151</f>
        <v>0</v>
      </c>
      <c r="AW151">
        <f>Y151-AK151</f>
        <v>0</v>
      </c>
      <c r="AX151">
        <f>Z151-AL151</f>
        <v>0</v>
      </c>
      <c r="AY151">
        <f>AA151-AM151</f>
        <v>0</v>
      </c>
      <c r="AZ151">
        <f>AB151-AN151</f>
        <v>0</v>
      </c>
      <c r="BA151">
        <f>AC151-AO151</f>
        <v>0</v>
      </c>
      <c r="BB151">
        <f>AD151-AP151</f>
        <v>0</v>
      </c>
      <c r="BC151">
        <f>AE151-AQ151</f>
        <v>0</v>
      </c>
      <c r="BD151">
        <f>AF151-AR151</f>
        <v>0</v>
      </c>
      <c r="BE151">
        <f>AG151-AS151</f>
        <v>0</v>
      </c>
    </row>
    <row r="152">
      <c r="A152" t="n">
        <v>122</v>
      </c>
      <c r="B152">
        <f>SUMPRODUCT(ROUND($AT151:$BE151*(1+'Calc base'!$H152:$S152),2))</f>
        <v>0</v>
      </c>
      <c r="C152">
        <f>SUM(J152:U152)</f>
        <v>0</v>
      </c>
      <c r="D152">
        <f>SUM(V152:AG152)</f>
        <v>0</v>
      </c>
      <c r="E152">
        <f>MAX(0,IF(Impostazioni!$B$7="No",'Calc base'!$C152-$C$31,'Calc base'!$C152-C152)+'Calc base'!$G152+'Calc base'!$F152-(B152-C152-D152))</f>
        <v>900</v>
      </c>
      <c r="F152">
        <f>SUM(AH152:AS152)</f>
        <v>0</v>
      </c>
      <c r="G152">
        <f>SUM(AT152:BE152)</f>
        <v>0</v>
      </c>
      <c r="H152">
        <f>B152-G151</f>
        <v>0</v>
      </c>
      <c r="I152">
        <f>B152-G152</f>
        <v>0</v>
      </c>
      <c r="J152">
        <f>IF(AT151&lt;=0,0,IF(ROUND(AT151*(1+'Calc base'!H152),2)-MAX('Calc base'!C$12,ROUND('Calc base'!C$13*AT151,2))&lt;1,ROUND(AT151*(1+'Calc base'!H152),2),MAX('Calc base'!C$12,ROUND('Calc base'!C$13*AT151,2))))</f>
        <v>0</v>
      </c>
      <c r="K152">
        <f>IF(AU151&lt;=0,0,IF(ROUND(AU151*(1+'Calc base'!I152),2)-MAX('Calc base'!D$12,ROUND('Calc base'!D$13*AU151,2))&lt;1,ROUND(AU151*(1+'Calc base'!I152),2),MAX('Calc base'!D$12,ROUND('Calc base'!D$13*AU151,2))))</f>
        <v>0</v>
      </c>
      <c r="L152">
        <f>IF(AV151&lt;=0,0,IF(ROUND(AV151*(1+'Calc base'!J152),2)-MAX('Calc base'!E$12,ROUND('Calc base'!E$13*AV151,2))&lt;1,ROUND(AV151*(1+'Calc base'!J152),2),MAX('Calc base'!E$12,ROUND('Calc base'!E$13*AV151,2))))</f>
        <v>0</v>
      </c>
      <c r="M152">
        <f>IF(AW151&lt;=0,0,IF(ROUND(AW151*(1+'Calc base'!K152),2)-MAX('Calc base'!F$12,ROUND('Calc base'!F$13*AW151,2))&lt;1,ROUND(AW151*(1+'Calc base'!K152),2),MAX('Calc base'!F$12,ROUND('Calc base'!F$13*AW151,2))))</f>
        <v>0</v>
      </c>
      <c r="N152">
        <f>IF(AX151&lt;=0,0,IF(ROUND(AX151*(1+'Calc base'!L152),2)-MAX('Calc base'!G$12,ROUND('Calc base'!G$13*AX151,2))&lt;1,ROUND(AX151*(1+'Calc base'!L152),2),MAX('Calc base'!G$12,ROUND('Calc base'!G$13*AX151,2))))</f>
        <v>0</v>
      </c>
      <c r="O152">
        <f>IF(AY151&lt;=0,0,IF(ROUND(AY151*(1+'Calc base'!M152),2)-MAX('Calc base'!H$12,ROUND('Calc base'!H$13*AY151,2))&lt;1,ROUND(AY151*(1+'Calc base'!M152),2),MAX('Calc base'!H$12,ROUND('Calc base'!H$13*AY151,2))))</f>
        <v>0</v>
      </c>
      <c r="P152">
        <f>IF(AZ151&lt;=0,0,IF(ROUND(AZ151*(1+'Calc base'!N152),2)-MAX('Calc base'!I$12,ROUND('Calc base'!I$13*AZ151,2))&lt;1,ROUND(AZ151*(1+'Calc base'!N152),2),MAX('Calc base'!I$12,ROUND('Calc base'!I$13*AZ151,2))))</f>
        <v>0</v>
      </c>
      <c r="Q152">
        <f>IF(BA151&lt;=0,0,IF(ROUND(BA151*(1+'Calc base'!O152),2)-MAX('Calc base'!J$12,ROUND('Calc base'!J$13*BA151,2))&lt;1,ROUND(BA151*(1+'Calc base'!O152),2),MAX('Calc base'!J$12,ROUND('Calc base'!J$13*BA151,2))))</f>
        <v>0</v>
      </c>
      <c r="R152">
        <f>IF(BB151&lt;=0,0,IF(ROUND(BB151*(1+'Calc base'!P152),2)-MAX('Calc base'!K$12,ROUND('Calc base'!K$13*BB151,2))&lt;1,ROUND(BB151*(1+'Calc base'!P152),2),MAX('Calc base'!K$12,ROUND('Calc base'!K$13*BB151,2))))</f>
        <v>0</v>
      </c>
      <c r="S152">
        <f>IF(BC151&lt;=0,0,IF(ROUND(BC151*(1+'Calc base'!Q152),2)-MAX('Calc base'!L$12,ROUND('Calc base'!L$13*BC151,2))&lt;1,ROUND(BC151*(1+'Calc base'!Q152),2),MAX('Calc base'!L$12,ROUND('Calc base'!L$13*BC151,2))))</f>
        <v>0</v>
      </c>
      <c r="T152">
        <f>IF(BD151&lt;=0,0,IF(ROUND(BD151*(1+'Calc base'!R152),2)-MAX('Calc base'!M$12,ROUND('Calc base'!M$13*BD151,2))&lt;1,ROUND(BD151*(1+'Calc base'!R152),2),MAX('Calc base'!M$12,ROUND('Calc base'!M$13*BD151,2))))</f>
        <v>0</v>
      </c>
      <c r="U152">
        <f>IF(BE151&lt;=0,0,IF(ROUND(BE151*(1+'Calc base'!S152),2)-MAX('Calc base'!N$12,ROUND('Calc base'!N$13*BE151,2))&lt;1,ROUND(BE151*(1+'Calc base'!S152),2),MAX('Calc base'!N$12,ROUND('Calc base'!N$13*BE151,2))))</f>
        <v>0</v>
      </c>
      <c r="V152">
        <f>MAX(0,ROUND(AT151*(1+'Calc base'!H152),2)-J152-'Calc base'!T152)</f>
        <v>0</v>
      </c>
      <c r="W152">
        <f>MAX(0,ROUND(AU151*(1+'Calc base'!I152),2)-K152-'Calc base'!U152)</f>
        <v>0</v>
      </c>
      <c r="X152">
        <f>MAX(0,ROUND(AV151*(1+'Calc base'!J152),2)-L152-'Calc base'!V152)</f>
        <v>0</v>
      </c>
      <c r="Y152">
        <f>MAX(0,ROUND(AW151*(1+'Calc base'!K152),2)-M152-'Calc base'!W152)</f>
        <v>0</v>
      </c>
      <c r="Z152">
        <f>MAX(0,ROUND(AX151*(1+'Calc base'!L152),2)-N152-'Calc base'!X152)</f>
        <v>0</v>
      </c>
      <c r="AA152">
        <f>MAX(0,ROUND(AY151*(1+'Calc base'!M152),2)-O152-'Calc base'!Y152)</f>
        <v>0</v>
      </c>
      <c r="AB152">
        <f>MAX(0,ROUND(AZ151*(1+'Calc base'!N152),2)-P152-'Calc base'!Z152)</f>
        <v>0</v>
      </c>
      <c r="AC152">
        <f>MAX(0,ROUND(BA151*(1+'Calc base'!O152),2)-Q152-'Calc base'!AA152)</f>
        <v>0</v>
      </c>
      <c r="AD152">
        <f>MAX(0,ROUND(BB151*(1+'Calc base'!P152),2)-R152-'Calc base'!AB152)</f>
        <v>0</v>
      </c>
      <c r="AE152">
        <f>MAX(0,ROUND(BC151*(1+'Calc base'!Q152),2)-S152-'Calc base'!AC152)</f>
        <v>0</v>
      </c>
      <c r="AF152">
        <f>MAX(0,ROUND(BD151*(1+'Calc base'!R152),2)-T152-'Calc base'!AD152)</f>
        <v>0</v>
      </c>
      <c r="AG152">
        <f>MAX(0,ROUND(BE151*(1+'Calc base'!S152),2)-U152-'Calc base'!AE152)</f>
        <v>0</v>
      </c>
      <c r="AH152">
        <f>IF('Calc base'!C$14=0,0,MIN(V152,MAX(0,$E152-SUMIFS($V152:$AG152,'Calc base'!$C$17:$N$17,"&lt;"&amp;'Calc base'!C$17,'Calc base'!$C$14:$N$14,1))))</f>
        <v>0</v>
      </c>
      <c r="AI152">
        <f>IF('Calc base'!D$14=0,0,MIN(W152,MAX(0,$E152-SUMIFS($V152:$AG152,'Calc base'!$C$17:$N$17,"&lt;"&amp;'Calc base'!D$17,'Calc base'!$C$14:$N$14,1))))</f>
        <v>0</v>
      </c>
      <c r="AJ152">
        <f>IF('Calc base'!E$14=0,0,MIN(X152,MAX(0,$E152-SUMIFS($V152:$AG152,'Calc base'!$C$17:$N$17,"&lt;"&amp;'Calc base'!E$17,'Calc base'!$C$14:$N$14,1))))</f>
        <v>0</v>
      </c>
      <c r="AK152">
        <f>IF('Calc base'!F$14=0,0,MIN(Y152,MAX(0,$E152-SUMIFS($V152:$AG152,'Calc base'!$C$17:$N$17,"&lt;"&amp;'Calc base'!F$17,'Calc base'!$C$14:$N$14,1))))</f>
        <v>0</v>
      </c>
      <c r="AL152">
        <f>IF('Calc base'!G$14=0,0,MIN(Z152,MAX(0,$E152-SUMIFS($V152:$AG152,'Calc base'!$C$17:$N$17,"&lt;"&amp;'Calc base'!G$17,'Calc base'!$C$14:$N$14,1))))</f>
        <v>0</v>
      </c>
      <c r="AM152">
        <f>IF('Calc base'!H$14=0,0,MIN(AA152,MAX(0,$E152-SUMIFS($V152:$AG152,'Calc base'!$C$17:$N$17,"&lt;"&amp;'Calc base'!H$17,'Calc base'!$C$14:$N$14,1))))</f>
        <v>0</v>
      </c>
      <c r="AN152">
        <f>IF('Calc base'!I$14=0,0,MIN(AB152,MAX(0,$E152-SUMIFS($V152:$AG152,'Calc base'!$C$17:$N$17,"&lt;"&amp;'Calc base'!I$17,'Calc base'!$C$14:$N$14,1))))</f>
        <v>0</v>
      </c>
      <c r="AO152">
        <f>IF('Calc base'!J$14=0,0,MIN(AC152,MAX(0,$E152-SUMIFS($V152:$AG152,'Calc base'!$C$17:$N$17,"&lt;"&amp;'Calc base'!J$17,'Calc base'!$C$14:$N$14,1))))</f>
        <v>0</v>
      </c>
      <c r="AP152">
        <f>IF('Calc base'!K$14=0,0,MIN(AD152,MAX(0,$E152-SUMIFS($V152:$AG152,'Calc base'!$C$17:$N$17,"&lt;"&amp;'Calc base'!K$17,'Calc base'!$C$14:$N$14,1))))</f>
        <v>0</v>
      </c>
      <c r="AQ152">
        <f>IF('Calc base'!L$14=0,0,MIN(AE152,MAX(0,$E152-SUMIFS($V152:$AG152,'Calc base'!$C$17:$N$17,"&lt;"&amp;'Calc base'!L$17,'Calc base'!$C$14:$N$14,1))))</f>
        <v>0</v>
      </c>
      <c r="AR152">
        <f>IF('Calc base'!M$14=0,0,MIN(AF152,MAX(0,$E152-SUMIFS($V152:$AG152,'Calc base'!$C$17:$N$17,"&lt;"&amp;'Calc base'!M$17,'Calc base'!$C$14:$N$14,1))))</f>
        <v>0</v>
      </c>
      <c r="AS152">
        <f>IF('Calc base'!N$14=0,0,MIN(AG152,MAX(0,$E152-SUMIFS($V152:$AG152,'Calc base'!$C$17:$N$17,"&lt;"&amp;'Calc base'!N$17,'Calc base'!$C$14:$N$14,1))))</f>
        <v>0</v>
      </c>
      <c r="AT152">
        <f>V152-AH152</f>
        <v>0</v>
      </c>
      <c r="AU152">
        <f>W152-AI152</f>
        <v>0</v>
      </c>
      <c r="AV152">
        <f>X152-AJ152</f>
        <v>0</v>
      </c>
      <c r="AW152">
        <f>Y152-AK152</f>
        <v>0</v>
      </c>
      <c r="AX152">
        <f>Z152-AL152</f>
        <v>0</v>
      </c>
      <c r="AY152">
        <f>AA152-AM152</f>
        <v>0</v>
      </c>
      <c r="AZ152">
        <f>AB152-AN152</f>
        <v>0</v>
      </c>
      <c r="BA152">
        <f>AC152-AO152</f>
        <v>0</v>
      </c>
      <c r="BB152">
        <f>AD152-AP152</f>
        <v>0</v>
      </c>
      <c r="BC152">
        <f>AE152-AQ152</f>
        <v>0</v>
      </c>
      <c r="BD152">
        <f>AF152-AR152</f>
        <v>0</v>
      </c>
      <c r="BE152">
        <f>AG152-AS152</f>
        <v>0</v>
      </c>
    </row>
    <row r="153">
      <c r="A153" t="n">
        <v>123</v>
      </c>
      <c r="B153">
        <f>SUMPRODUCT(ROUND($AT152:$BE152*(1+'Calc base'!$H153:$S153),2))</f>
        <v>0</v>
      </c>
      <c r="C153">
        <f>SUM(J153:U153)</f>
        <v>0</v>
      </c>
      <c r="D153">
        <f>SUM(V153:AG153)</f>
        <v>0</v>
      </c>
      <c r="E153">
        <f>MAX(0,IF(Impostazioni!$B$7="No",'Calc base'!$C153-$C$31,'Calc base'!$C153-C153)+'Calc base'!$G153+'Calc base'!$F153-(B153-C153-D153))</f>
        <v>900</v>
      </c>
      <c r="F153">
        <f>SUM(AH153:AS153)</f>
        <v>0</v>
      </c>
      <c r="G153">
        <f>SUM(AT153:BE153)</f>
        <v>0</v>
      </c>
      <c r="H153">
        <f>B153-G152</f>
        <v>0</v>
      </c>
      <c r="I153">
        <f>B153-G153</f>
        <v>0</v>
      </c>
      <c r="J153">
        <f>IF(AT152&lt;=0,0,IF(ROUND(AT152*(1+'Calc base'!H153),2)-MAX('Calc base'!C$12,ROUND('Calc base'!C$13*AT152,2))&lt;1,ROUND(AT152*(1+'Calc base'!H153),2),MAX('Calc base'!C$12,ROUND('Calc base'!C$13*AT152,2))))</f>
        <v>0</v>
      </c>
      <c r="K153">
        <f>IF(AU152&lt;=0,0,IF(ROUND(AU152*(1+'Calc base'!I153),2)-MAX('Calc base'!D$12,ROUND('Calc base'!D$13*AU152,2))&lt;1,ROUND(AU152*(1+'Calc base'!I153),2),MAX('Calc base'!D$12,ROUND('Calc base'!D$13*AU152,2))))</f>
        <v>0</v>
      </c>
      <c r="L153">
        <f>IF(AV152&lt;=0,0,IF(ROUND(AV152*(1+'Calc base'!J153),2)-MAX('Calc base'!E$12,ROUND('Calc base'!E$13*AV152,2))&lt;1,ROUND(AV152*(1+'Calc base'!J153),2),MAX('Calc base'!E$12,ROUND('Calc base'!E$13*AV152,2))))</f>
        <v>0</v>
      </c>
      <c r="M153">
        <f>IF(AW152&lt;=0,0,IF(ROUND(AW152*(1+'Calc base'!K153),2)-MAX('Calc base'!F$12,ROUND('Calc base'!F$13*AW152,2))&lt;1,ROUND(AW152*(1+'Calc base'!K153),2),MAX('Calc base'!F$12,ROUND('Calc base'!F$13*AW152,2))))</f>
        <v>0</v>
      </c>
      <c r="N153">
        <f>IF(AX152&lt;=0,0,IF(ROUND(AX152*(1+'Calc base'!L153),2)-MAX('Calc base'!G$12,ROUND('Calc base'!G$13*AX152,2))&lt;1,ROUND(AX152*(1+'Calc base'!L153),2),MAX('Calc base'!G$12,ROUND('Calc base'!G$13*AX152,2))))</f>
        <v>0</v>
      </c>
      <c r="O153">
        <f>IF(AY152&lt;=0,0,IF(ROUND(AY152*(1+'Calc base'!M153),2)-MAX('Calc base'!H$12,ROUND('Calc base'!H$13*AY152,2))&lt;1,ROUND(AY152*(1+'Calc base'!M153),2),MAX('Calc base'!H$12,ROUND('Calc base'!H$13*AY152,2))))</f>
        <v>0</v>
      </c>
      <c r="P153">
        <f>IF(AZ152&lt;=0,0,IF(ROUND(AZ152*(1+'Calc base'!N153),2)-MAX('Calc base'!I$12,ROUND('Calc base'!I$13*AZ152,2))&lt;1,ROUND(AZ152*(1+'Calc base'!N153),2),MAX('Calc base'!I$12,ROUND('Calc base'!I$13*AZ152,2))))</f>
        <v>0</v>
      </c>
      <c r="Q153">
        <f>IF(BA152&lt;=0,0,IF(ROUND(BA152*(1+'Calc base'!O153),2)-MAX('Calc base'!J$12,ROUND('Calc base'!J$13*BA152,2))&lt;1,ROUND(BA152*(1+'Calc base'!O153),2),MAX('Calc base'!J$12,ROUND('Calc base'!J$13*BA152,2))))</f>
        <v>0</v>
      </c>
      <c r="R153">
        <f>IF(BB152&lt;=0,0,IF(ROUND(BB152*(1+'Calc base'!P153),2)-MAX('Calc base'!K$12,ROUND('Calc base'!K$13*BB152,2))&lt;1,ROUND(BB152*(1+'Calc base'!P153),2),MAX('Calc base'!K$12,ROUND('Calc base'!K$13*BB152,2))))</f>
        <v>0</v>
      </c>
      <c r="S153">
        <f>IF(BC152&lt;=0,0,IF(ROUND(BC152*(1+'Calc base'!Q153),2)-MAX('Calc base'!L$12,ROUND('Calc base'!L$13*BC152,2))&lt;1,ROUND(BC152*(1+'Calc base'!Q153),2),MAX('Calc base'!L$12,ROUND('Calc base'!L$13*BC152,2))))</f>
        <v>0</v>
      </c>
      <c r="T153">
        <f>IF(BD152&lt;=0,0,IF(ROUND(BD152*(1+'Calc base'!R153),2)-MAX('Calc base'!M$12,ROUND('Calc base'!M$13*BD152,2))&lt;1,ROUND(BD152*(1+'Calc base'!R153),2),MAX('Calc base'!M$12,ROUND('Calc base'!M$13*BD152,2))))</f>
        <v>0</v>
      </c>
      <c r="U153">
        <f>IF(BE152&lt;=0,0,IF(ROUND(BE152*(1+'Calc base'!S153),2)-MAX('Calc base'!N$12,ROUND('Calc base'!N$13*BE152,2))&lt;1,ROUND(BE152*(1+'Calc base'!S153),2),MAX('Calc base'!N$12,ROUND('Calc base'!N$13*BE152,2))))</f>
        <v>0</v>
      </c>
      <c r="V153">
        <f>MAX(0,ROUND(AT152*(1+'Calc base'!H153),2)-J153-'Calc base'!T153)</f>
        <v>0</v>
      </c>
      <c r="W153">
        <f>MAX(0,ROUND(AU152*(1+'Calc base'!I153),2)-K153-'Calc base'!U153)</f>
        <v>0</v>
      </c>
      <c r="X153">
        <f>MAX(0,ROUND(AV152*(1+'Calc base'!J153),2)-L153-'Calc base'!V153)</f>
        <v>0</v>
      </c>
      <c r="Y153">
        <f>MAX(0,ROUND(AW152*(1+'Calc base'!K153),2)-M153-'Calc base'!W153)</f>
        <v>0</v>
      </c>
      <c r="Z153">
        <f>MAX(0,ROUND(AX152*(1+'Calc base'!L153),2)-N153-'Calc base'!X153)</f>
        <v>0</v>
      </c>
      <c r="AA153">
        <f>MAX(0,ROUND(AY152*(1+'Calc base'!M153),2)-O153-'Calc base'!Y153)</f>
        <v>0</v>
      </c>
      <c r="AB153">
        <f>MAX(0,ROUND(AZ152*(1+'Calc base'!N153),2)-P153-'Calc base'!Z153)</f>
        <v>0</v>
      </c>
      <c r="AC153">
        <f>MAX(0,ROUND(BA152*(1+'Calc base'!O153),2)-Q153-'Calc base'!AA153)</f>
        <v>0</v>
      </c>
      <c r="AD153">
        <f>MAX(0,ROUND(BB152*(1+'Calc base'!P153),2)-R153-'Calc base'!AB153)</f>
        <v>0</v>
      </c>
      <c r="AE153">
        <f>MAX(0,ROUND(BC152*(1+'Calc base'!Q153),2)-S153-'Calc base'!AC153)</f>
        <v>0</v>
      </c>
      <c r="AF153">
        <f>MAX(0,ROUND(BD152*(1+'Calc base'!R153),2)-T153-'Calc base'!AD153)</f>
        <v>0</v>
      </c>
      <c r="AG153">
        <f>MAX(0,ROUND(BE152*(1+'Calc base'!S153),2)-U153-'Calc base'!AE153)</f>
        <v>0</v>
      </c>
      <c r="AH153">
        <f>IF('Calc base'!C$14=0,0,MIN(V153,MAX(0,$E153-SUMIFS($V153:$AG153,'Calc base'!$C$17:$N$17,"&lt;"&amp;'Calc base'!C$17,'Calc base'!$C$14:$N$14,1))))</f>
        <v>0</v>
      </c>
      <c r="AI153">
        <f>IF('Calc base'!D$14=0,0,MIN(W153,MAX(0,$E153-SUMIFS($V153:$AG153,'Calc base'!$C$17:$N$17,"&lt;"&amp;'Calc base'!D$17,'Calc base'!$C$14:$N$14,1))))</f>
        <v>0</v>
      </c>
      <c r="AJ153">
        <f>IF('Calc base'!E$14=0,0,MIN(X153,MAX(0,$E153-SUMIFS($V153:$AG153,'Calc base'!$C$17:$N$17,"&lt;"&amp;'Calc base'!E$17,'Calc base'!$C$14:$N$14,1))))</f>
        <v>0</v>
      </c>
      <c r="AK153">
        <f>IF('Calc base'!F$14=0,0,MIN(Y153,MAX(0,$E153-SUMIFS($V153:$AG153,'Calc base'!$C$17:$N$17,"&lt;"&amp;'Calc base'!F$17,'Calc base'!$C$14:$N$14,1))))</f>
        <v>0</v>
      </c>
      <c r="AL153">
        <f>IF('Calc base'!G$14=0,0,MIN(Z153,MAX(0,$E153-SUMIFS($V153:$AG153,'Calc base'!$C$17:$N$17,"&lt;"&amp;'Calc base'!G$17,'Calc base'!$C$14:$N$14,1))))</f>
        <v>0</v>
      </c>
      <c r="AM153">
        <f>IF('Calc base'!H$14=0,0,MIN(AA153,MAX(0,$E153-SUMIFS($V153:$AG153,'Calc base'!$C$17:$N$17,"&lt;"&amp;'Calc base'!H$17,'Calc base'!$C$14:$N$14,1))))</f>
        <v>0</v>
      </c>
      <c r="AN153">
        <f>IF('Calc base'!I$14=0,0,MIN(AB153,MAX(0,$E153-SUMIFS($V153:$AG153,'Calc base'!$C$17:$N$17,"&lt;"&amp;'Calc base'!I$17,'Calc base'!$C$14:$N$14,1))))</f>
        <v>0</v>
      </c>
      <c r="AO153">
        <f>IF('Calc base'!J$14=0,0,MIN(AC153,MAX(0,$E153-SUMIFS($V153:$AG153,'Calc base'!$C$17:$N$17,"&lt;"&amp;'Calc base'!J$17,'Calc base'!$C$14:$N$14,1))))</f>
        <v>0</v>
      </c>
      <c r="AP153">
        <f>IF('Calc base'!K$14=0,0,MIN(AD153,MAX(0,$E153-SUMIFS($V153:$AG153,'Calc base'!$C$17:$N$17,"&lt;"&amp;'Calc base'!K$17,'Calc base'!$C$14:$N$14,1))))</f>
        <v>0</v>
      </c>
      <c r="AQ153">
        <f>IF('Calc base'!L$14=0,0,MIN(AE153,MAX(0,$E153-SUMIFS($V153:$AG153,'Calc base'!$C$17:$N$17,"&lt;"&amp;'Calc base'!L$17,'Calc base'!$C$14:$N$14,1))))</f>
        <v>0</v>
      </c>
      <c r="AR153">
        <f>IF('Calc base'!M$14=0,0,MIN(AF153,MAX(0,$E153-SUMIFS($V153:$AG153,'Calc base'!$C$17:$N$17,"&lt;"&amp;'Calc base'!M$17,'Calc base'!$C$14:$N$14,1))))</f>
        <v>0</v>
      </c>
      <c r="AS153">
        <f>IF('Calc base'!N$14=0,0,MIN(AG153,MAX(0,$E153-SUMIFS($V153:$AG153,'Calc base'!$C$17:$N$17,"&lt;"&amp;'Calc base'!N$17,'Calc base'!$C$14:$N$14,1))))</f>
        <v>0</v>
      </c>
      <c r="AT153">
        <f>V153-AH153</f>
        <v>0</v>
      </c>
      <c r="AU153">
        <f>W153-AI153</f>
        <v>0</v>
      </c>
      <c r="AV153">
        <f>X153-AJ153</f>
        <v>0</v>
      </c>
      <c r="AW153">
        <f>Y153-AK153</f>
        <v>0</v>
      </c>
      <c r="AX153">
        <f>Z153-AL153</f>
        <v>0</v>
      </c>
      <c r="AY153">
        <f>AA153-AM153</f>
        <v>0</v>
      </c>
      <c r="AZ153">
        <f>AB153-AN153</f>
        <v>0</v>
      </c>
      <c r="BA153">
        <f>AC153-AO153</f>
        <v>0</v>
      </c>
      <c r="BB153">
        <f>AD153-AP153</f>
        <v>0</v>
      </c>
      <c r="BC153">
        <f>AE153-AQ153</f>
        <v>0</v>
      </c>
      <c r="BD153">
        <f>AF153-AR153</f>
        <v>0</v>
      </c>
      <c r="BE153">
        <f>AG153-AS153</f>
        <v>0</v>
      </c>
    </row>
    <row r="154">
      <c r="A154" t="n">
        <v>124</v>
      </c>
      <c r="B154">
        <f>SUMPRODUCT(ROUND($AT153:$BE153*(1+'Calc base'!$H154:$S154),2))</f>
        <v>0</v>
      </c>
      <c r="C154">
        <f>SUM(J154:U154)</f>
        <v>0</v>
      </c>
      <c r="D154">
        <f>SUM(V154:AG154)</f>
        <v>0</v>
      </c>
      <c r="E154">
        <f>MAX(0,IF(Impostazioni!$B$7="No",'Calc base'!$C154-$C$31,'Calc base'!$C154-C154)+'Calc base'!$G154+'Calc base'!$F154-(B154-C154-D154))</f>
        <v>900</v>
      </c>
      <c r="F154">
        <f>SUM(AH154:AS154)</f>
        <v>0</v>
      </c>
      <c r="G154">
        <f>SUM(AT154:BE154)</f>
        <v>0</v>
      </c>
      <c r="H154">
        <f>B154-G153</f>
        <v>0</v>
      </c>
      <c r="I154">
        <f>B154-G154</f>
        <v>0</v>
      </c>
      <c r="J154">
        <f>IF(AT153&lt;=0,0,IF(ROUND(AT153*(1+'Calc base'!H154),2)-MAX('Calc base'!C$12,ROUND('Calc base'!C$13*AT153,2))&lt;1,ROUND(AT153*(1+'Calc base'!H154),2),MAX('Calc base'!C$12,ROUND('Calc base'!C$13*AT153,2))))</f>
        <v>0</v>
      </c>
      <c r="K154">
        <f>IF(AU153&lt;=0,0,IF(ROUND(AU153*(1+'Calc base'!I154),2)-MAX('Calc base'!D$12,ROUND('Calc base'!D$13*AU153,2))&lt;1,ROUND(AU153*(1+'Calc base'!I154),2),MAX('Calc base'!D$12,ROUND('Calc base'!D$13*AU153,2))))</f>
        <v>0</v>
      </c>
      <c r="L154">
        <f>IF(AV153&lt;=0,0,IF(ROUND(AV153*(1+'Calc base'!J154),2)-MAX('Calc base'!E$12,ROUND('Calc base'!E$13*AV153,2))&lt;1,ROUND(AV153*(1+'Calc base'!J154),2),MAX('Calc base'!E$12,ROUND('Calc base'!E$13*AV153,2))))</f>
        <v>0</v>
      </c>
      <c r="M154">
        <f>IF(AW153&lt;=0,0,IF(ROUND(AW153*(1+'Calc base'!K154),2)-MAX('Calc base'!F$12,ROUND('Calc base'!F$13*AW153,2))&lt;1,ROUND(AW153*(1+'Calc base'!K154),2),MAX('Calc base'!F$12,ROUND('Calc base'!F$13*AW153,2))))</f>
        <v>0</v>
      </c>
      <c r="N154">
        <f>IF(AX153&lt;=0,0,IF(ROUND(AX153*(1+'Calc base'!L154),2)-MAX('Calc base'!G$12,ROUND('Calc base'!G$13*AX153,2))&lt;1,ROUND(AX153*(1+'Calc base'!L154),2),MAX('Calc base'!G$12,ROUND('Calc base'!G$13*AX153,2))))</f>
        <v>0</v>
      </c>
      <c r="O154">
        <f>IF(AY153&lt;=0,0,IF(ROUND(AY153*(1+'Calc base'!M154),2)-MAX('Calc base'!H$12,ROUND('Calc base'!H$13*AY153,2))&lt;1,ROUND(AY153*(1+'Calc base'!M154),2),MAX('Calc base'!H$12,ROUND('Calc base'!H$13*AY153,2))))</f>
        <v>0</v>
      </c>
      <c r="P154">
        <f>IF(AZ153&lt;=0,0,IF(ROUND(AZ153*(1+'Calc base'!N154),2)-MAX('Calc base'!I$12,ROUND('Calc base'!I$13*AZ153,2))&lt;1,ROUND(AZ153*(1+'Calc base'!N154),2),MAX('Calc base'!I$12,ROUND('Calc base'!I$13*AZ153,2))))</f>
        <v>0</v>
      </c>
      <c r="Q154">
        <f>IF(BA153&lt;=0,0,IF(ROUND(BA153*(1+'Calc base'!O154),2)-MAX('Calc base'!J$12,ROUND('Calc base'!J$13*BA153,2))&lt;1,ROUND(BA153*(1+'Calc base'!O154),2),MAX('Calc base'!J$12,ROUND('Calc base'!J$13*BA153,2))))</f>
        <v>0</v>
      </c>
      <c r="R154">
        <f>IF(BB153&lt;=0,0,IF(ROUND(BB153*(1+'Calc base'!P154),2)-MAX('Calc base'!K$12,ROUND('Calc base'!K$13*BB153,2))&lt;1,ROUND(BB153*(1+'Calc base'!P154),2),MAX('Calc base'!K$12,ROUND('Calc base'!K$13*BB153,2))))</f>
        <v>0</v>
      </c>
      <c r="S154">
        <f>IF(BC153&lt;=0,0,IF(ROUND(BC153*(1+'Calc base'!Q154),2)-MAX('Calc base'!L$12,ROUND('Calc base'!L$13*BC153,2))&lt;1,ROUND(BC153*(1+'Calc base'!Q154),2),MAX('Calc base'!L$12,ROUND('Calc base'!L$13*BC153,2))))</f>
        <v>0</v>
      </c>
      <c r="T154">
        <f>IF(BD153&lt;=0,0,IF(ROUND(BD153*(1+'Calc base'!R154),2)-MAX('Calc base'!M$12,ROUND('Calc base'!M$13*BD153,2))&lt;1,ROUND(BD153*(1+'Calc base'!R154),2),MAX('Calc base'!M$12,ROUND('Calc base'!M$13*BD153,2))))</f>
        <v>0</v>
      </c>
      <c r="U154">
        <f>IF(BE153&lt;=0,0,IF(ROUND(BE153*(1+'Calc base'!S154),2)-MAX('Calc base'!N$12,ROUND('Calc base'!N$13*BE153,2))&lt;1,ROUND(BE153*(1+'Calc base'!S154),2),MAX('Calc base'!N$12,ROUND('Calc base'!N$13*BE153,2))))</f>
        <v>0</v>
      </c>
      <c r="V154">
        <f>MAX(0,ROUND(AT153*(1+'Calc base'!H154),2)-J154-'Calc base'!T154)</f>
        <v>0</v>
      </c>
      <c r="W154">
        <f>MAX(0,ROUND(AU153*(1+'Calc base'!I154),2)-K154-'Calc base'!U154)</f>
        <v>0</v>
      </c>
      <c r="X154">
        <f>MAX(0,ROUND(AV153*(1+'Calc base'!J154),2)-L154-'Calc base'!V154)</f>
        <v>0</v>
      </c>
      <c r="Y154">
        <f>MAX(0,ROUND(AW153*(1+'Calc base'!K154),2)-M154-'Calc base'!W154)</f>
        <v>0</v>
      </c>
      <c r="Z154">
        <f>MAX(0,ROUND(AX153*(1+'Calc base'!L154),2)-N154-'Calc base'!X154)</f>
        <v>0</v>
      </c>
      <c r="AA154">
        <f>MAX(0,ROUND(AY153*(1+'Calc base'!M154),2)-O154-'Calc base'!Y154)</f>
        <v>0</v>
      </c>
      <c r="AB154">
        <f>MAX(0,ROUND(AZ153*(1+'Calc base'!N154),2)-P154-'Calc base'!Z154)</f>
        <v>0</v>
      </c>
      <c r="AC154">
        <f>MAX(0,ROUND(BA153*(1+'Calc base'!O154),2)-Q154-'Calc base'!AA154)</f>
        <v>0</v>
      </c>
      <c r="AD154">
        <f>MAX(0,ROUND(BB153*(1+'Calc base'!P154),2)-R154-'Calc base'!AB154)</f>
        <v>0</v>
      </c>
      <c r="AE154">
        <f>MAX(0,ROUND(BC153*(1+'Calc base'!Q154),2)-S154-'Calc base'!AC154)</f>
        <v>0</v>
      </c>
      <c r="AF154">
        <f>MAX(0,ROUND(BD153*(1+'Calc base'!R154),2)-T154-'Calc base'!AD154)</f>
        <v>0</v>
      </c>
      <c r="AG154">
        <f>MAX(0,ROUND(BE153*(1+'Calc base'!S154),2)-U154-'Calc base'!AE154)</f>
        <v>0</v>
      </c>
      <c r="AH154">
        <f>IF('Calc base'!C$14=0,0,MIN(V154,MAX(0,$E154-SUMIFS($V154:$AG154,'Calc base'!$C$17:$N$17,"&lt;"&amp;'Calc base'!C$17,'Calc base'!$C$14:$N$14,1))))</f>
        <v>0</v>
      </c>
      <c r="AI154">
        <f>IF('Calc base'!D$14=0,0,MIN(W154,MAX(0,$E154-SUMIFS($V154:$AG154,'Calc base'!$C$17:$N$17,"&lt;"&amp;'Calc base'!D$17,'Calc base'!$C$14:$N$14,1))))</f>
        <v>0</v>
      </c>
      <c r="AJ154">
        <f>IF('Calc base'!E$14=0,0,MIN(X154,MAX(0,$E154-SUMIFS($V154:$AG154,'Calc base'!$C$17:$N$17,"&lt;"&amp;'Calc base'!E$17,'Calc base'!$C$14:$N$14,1))))</f>
        <v>0</v>
      </c>
      <c r="AK154">
        <f>IF('Calc base'!F$14=0,0,MIN(Y154,MAX(0,$E154-SUMIFS($V154:$AG154,'Calc base'!$C$17:$N$17,"&lt;"&amp;'Calc base'!F$17,'Calc base'!$C$14:$N$14,1))))</f>
        <v>0</v>
      </c>
      <c r="AL154">
        <f>IF('Calc base'!G$14=0,0,MIN(Z154,MAX(0,$E154-SUMIFS($V154:$AG154,'Calc base'!$C$17:$N$17,"&lt;"&amp;'Calc base'!G$17,'Calc base'!$C$14:$N$14,1))))</f>
        <v>0</v>
      </c>
      <c r="AM154">
        <f>IF('Calc base'!H$14=0,0,MIN(AA154,MAX(0,$E154-SUMIFS($V154:$AG154,'Calc base'!$C$17:$N$17,"&lt;"&amp;'Calc base'!H$17,'Calc base'!$C$14:$N$14,1))))</f>
        <v>0</v>
      </c>
      <c r="AN154">
        <f>IF('Calc base'!I$14=0,0,MIN(AB154,MAX(0,$E154-SUMIFS($V154:$AG154,'Calc base'!$C$17:$N$17,"&lt;"&amp;'Calc base'!I$17,'Calc base'!$C$14:$N$14,1))))</f>
        <v>0</v>
      </c>
      <c r="AO154">
        <f>IF('Calc base'!J$14=0,0,MIN(AC154,MAX(0,$E154-SUMIFS($V154:$AG154,'Calc base'!$C$17:$N$17,"&lt;"&amp;'Calc base'!J$17,'Calc base'!$C$14:$N$14,1))))</f>
        <v>0</v>
      </c>
      <c r="AP154">
        <f>IF('Calc base'!K$14=0,0,MIN(AD154,MAX(0,$E154-SUMIFS($V154:$AG154,'Calc base'!$C$17:$N$17,"&lt;"&amp;'Calc base'!K$17,'Calc base'!$C$14:$N$14,1))))</f>
        <v>0</v>
      </c>
      <c r="AQ154">
        <f>IF('Calc base'!L$14=0,0,MIN(AE154,MAX(0,$E154-SUMIFS($V154:$AG154,'Calc base'!$C$17:$N$17,"&lt;"&amp;'Calc base'!L$17,'Calc base'!$C$14:$N$14,1))))</f>
        <v>0</v>
      </c>
      <c r="AR154">
        <f>IF('Calc base'!M$14=0,0,MIN(AF154,MAX(0,$E154-SUMIFS($V154:$AG154,'Calc base'!$C$17:$N$17,"&lt;"&amp;'Calc base'!M$17,'Calc base'!$C$14:$N$14,1))))</f>
        <v>0</v>
      </c>
      <c r="AS154">
        <f>IF('Calc base'!N$14=0,0,MIN(AG154,MAX(0,$E154-SUMIFS($V154:$AG154,'Calc base'!$C$17:$N$17,"&lt;"&amp;'Calc base'!N$17,'Calc base'!$C$14:$N$14,1))))</f>
        <v>0</v>
      </c>
      <c r="AT154">
        <f>V154-AH154</f>
        <v>0</v>
      </c>
      <c r="AU154">
        <f>W154-AI154</f>
        <v>0</v>
      </c>
      <c r="AV154">
        <f>X154-AJ154</f>
        <v>0</v>
      </c>
      <c r="AW154">
        <f>Y154-AK154</f>
        <v>0</v>
      </c>
      <c r="AX154">
        <f>Z154-AL154</f>
        <v>0</v>
      </c>
      <c r="AY154">
        <f>AA154-AM154</f>
        <v>0</v>
      </c>
      <c r="AZ154">
        <f>AB154-AN154</f>
        <v>0</v>
      </c>
      <c r="BA154">
        <f>AC154-AO154</f>
        <v>0</v>
      </c>
      <c r="BB154">
        <f>AD154-AP154</f>
        <v>0</v>
      </c>
      <c r="BC154">
        <f>AE154-AQ154</f>
        <v>0</v>
      </c>
      <c r="BD154">
        <f>AF154-AR154</f>
        <v>0</v>
      </c>
      <c r="BE154">
        <f>AG154-AS154</f>
        <v>0</v>
      </c>
    </row>
    <row r="155">
      <c r="A155" t="n">
        <v>125</v>
      </c>
      <c r="B155">
        <f>SUMPRODUCT(ROUND($AT154:$BE154*(1+'Calc base'!$H155:$S155),2))</f>
        <v>0</v>
      </c>
      <c r="C155">
        <f>SUM(J155:U155)</f>
        <v>0</v>
      </c>
      <c r="D155">
        <f>SUM(V155:AG155)</f>
        <v>0</v>
      </c>
      <c r="E155">
        <f>MAX(0,IF(Impostazioni!$B$7="No",'Calc base'!$C155-$C$31,'Calc base'!$C155-C155)+'Calc base'!$G155+'Calc base'!$F155-(B155-C155-D155))</f>
        <v>900</v>
      </c>
      <c r="F155">
        <f>SUM(AH155:AS155)</f>
        <v>0</v>
      </c>
      <c r="G155">
        <f>SUM(AT155:BE155)</f>
        <v>0</v>
      </c>
      <c r="H155">
        <f>B155-G154</f>
        <v>0</v>
      </c>
      <c r="I155">
        <f>B155-G155</f>
        <v>0</v>
      </c>
      <c r="J155">
        <f>IF(AT154&lt;=0,0,IF(ROUND(AT154*(1+'Calc base'!H155),2)-MAX('Calc base'!C$12,ROUND('Calc base'!C$13*AT154,2))&lt;1,ROUND(AT154*(1+'Calc base'!H155),2),MAX('Calc base'!C$12,ROUND('Calc base'!C$13*AT154,2))))</f>
        <v>0</v>
      </c>
      <c r="K155">
        <f>IF(AU154&lt;=0,0,IF(ROUND(AU154*(1+'Calc base'!I155),2)-MAX('Calc base'!D$12,ROUND('Calc base'!D$13*AU154,2))&lt;1,ROUND(AU154*(1+'Calc base'!I155),2),MAX('Calc base'!D$12,ROUND('Calc base'!D$13*AU154,2))))</f>
        <v>0</v>
      </c>
      <c r="L155">
        <f>IF(AV154&lt;=0,0,IF(ROUND(AV154*(1+'Calc base'!J155),2)-MAX('Calc base'!E$12,ROUND('Calc base'!E$13*AV154,2))&lt;1,ROUND(AV154*(1+'Calc base'!J155),2),MAX('Calc base'!E$12,ROUND('Calc base'!E$13*AV154,2))))</f>
        <v>0</v>
      </c>
      <c r="M155">
        <f>IF(AW154&lt;=0,0,IF(ROUND(AW154*(1+'Calc base'!K155),2)-MAX('Calc base'!F$12,ROUND('Calc base'!F$13*AW154,2))&lt;1,ROUND(AW154*(1+'Calc base'!K155),2),MAX('Calc base'!F$12,ROUND('Calc base'!F$13*AW154,2))))</f>
        <v>0</v>
      </c>
      <c r="N155">
        <f>IF(AX154&lt;=0,0,IF(ROUND(AX154*(1+'Calc base'!L155),2)-MAX('Calc base'!G$12,ROUND('Calc base'!G$13*AX154,2))&lt;1,ROUND(AX154*(1+'Calc base'!L155),2),MAX('Calc base'!G$12,ROUND('Calc base'!G$13*AX154,2))))</f>
        <v>0</v>
      </c>
      <c r="O155">
        <f>IF(AY154&lt;=0,0,IF(ROUND(AY154*(1+'Calc base'!M155),2)-MAX('Calc base'!H$12,ROUND('Calc base'!H$13*AY154,2))&lt;1,ROUND(AY154*(1+'Calc base'!M155),2),MAX('Calc base'!H$12,ROUND('Calc base'!H$13*AY154,2))))</f>
        <v>0</v>
      </c>
      <c r="P155">
        <f>IF(AZ154&lt;=0,0,IF(ROUND(AZ154*(1+'Calc base'!N155),2)-MAX('Calc base'!I$12,ROUND('Calc base'!I$13*AZ154,2))&lt;1,ROUND(AZ154*(1+'Calc base'!N155),2),MAX('Calc base'!I$12,ROUND('Calc base'!I$13*AZ154,2))))</f>
        <v>0</v>
      </c>
      <c r="Q155">
        <f>IF(BA154&lt;=0,0,IF(ROUND(BA154*(1+'Calc base'!O155),2)-MAX('Calc base'!J$12,ROUND('Calc base'!J$13*BA154,2))&lt;1,ROUND(BA154*(1+'Calc base'!O155),2),MAX('Calc base'!J$12,ROUND('Calc base'!J$13*BA154,2))))</f>
        <v>0</v>
      </c>
      <c r="R155">
        <f>IF(BB154&lt;=0,0,IF(ROUND(BB154*(1+'Calc base'!P155),2)-MAX('Calc base'!K$12,ROUND('Calc base'!K$13*BB154,2))&lt;1,ROUND(BB154*(1+'Calc base'!P155),2),MAX('Calc base'!K$12,ROUND('Calc base'!K$13*BB154,2))))</f>
        <v>0</v>
      </c>
      <c r="S155">
        <f>IF(BC154&lt;=0,0,IF(ROUND(BC154*(1+'Calc base'!Q155),2)-MAX('Calc base'!L$12,ROUND('Calc base'!L$13*BC154,2))&lt;1,ROUND(BC154*(1+'Calc base'!Q155),2),MAX('Calc base'!L$12,ROUND('Calc base'!L$13*BC154,2))))</f>
        <v>0</v>
      </c>
      <c r="T155">
        <f>IF(BD154&lt;=0,0,IF(ROUND(BD154*(1+'Calc base'!R155),2)-MAX('Calc base'!M$12,ROUND('Calc base'!M$13*BD154,2))&lt;1,ROUND(BD154*(1+'Calc base'!R155),2),MAX('Calc base'!M$12,ROUND('Calc base'!M$13*BD154,2))))</f>
        <v>0</v>
      </c>
      <c r="U155">
        <f>IF(BE154&lt;=0,0,IF(ROUND(BE154*(1+'Calc base'!S155),2)-MAX('Calc base'!N$12,ROUND('Calc base'!N$13*BE154,2))&lt;1,ROUND(BE154*(1+'Calc base'!S155),2),MAX('Calc base'!N$12,ROUND('Calc base'!N$13*BE154,2))))</f>
        <v>0</v>
      </c>
      <c r="V155">
        <f>MAX(0,ROUND(AT154*(1+'Calc base'!H155),2)-J155-'Calc base'!T155)</f>
        <v>0</v>
      </c>
      <c r="W155">
        <f>MAX(0,ROUND(AU154*(1+'Calc base'!I155),2)-K155-'Calc base'!U155)</f>
        <v>0</v>
      </c>
      <c r="X155">
        <f>MAX(0,ROUND(AV154*(1+'Calc base'!J155),2)-L155-'Calc base'!V155)</f>
        <v>0</v>
      </c>
      <c r="Y155">
        <f>MAX(0,ROUND(AW154*(1+'Calc base'!K155),2)-M155-'Calc base'!W155)</f>
        <v>0</v>
      </c>
      <c r="Z155">
        <f>MAX(0,ROUND(AX154*(1+'Calc base'!L155),2)-N155-'Calc base'!X155)</f>
        <v>0</v>
      </c>
      <c r="AA155">
        <f>MAX(0,ROUND(AY154*(1+'Calc base'!M155),2)-O155-'Calc base'!Y155)</f>
        <v>0</v>
      </c>
      <c r="AB155">
        <f>MAX(0,ROUND(AZ154*(1+'Calc base'!N155),2)-P155-'Calc base'!Z155)</f>
        <v>0</v>
      </c>
      <c r="AC155">
        <f>MAX(0,ROUND(BA154*(1+'Calc base'!O155),2)-Q155-'Calc base'!AA155)</f>
        <v>0</v>
      </c>
      <c r="AD155">
        <f>MAX(0,ROUND(BB154*(1+'Calc base'!P155),2)-R155-'Calc base'!AB155)</f>
        <v>0</v>
      </c>
      <c r="AE155">
        <f>MAX(0,ROUND(BC154*(1+'Calc base'!Q155),2)-S155-'Calc base'!AC155)</f>
        <v>0</v>
      </c>
      <c r="AF155">
        <f>MAX(0,ROUND(BD154*(1+'Calc base'!R155),2)-T155-'Calc base'!AD155)</f>
        <v>0</v>
      </c>
      <c r="AG155">
        <f>MAX(0,ROUND(BE154*(1+'Calc base'!S155),2)-U155-'Calc base'!AE155)</f>
        <v>0</v>
      </c>
      <c r="AH155">
        <f>IF('Calc base'!C$14=0,0,MIN(V155,MAX(0,$E155-SUMIFS($V155:$AG155,'Calc base'!$C$17:$N$17,"&lt;"&amp;'Calc base'!C$17,'Calc base'!$C$14:$N$14,1))))</f>
        <v>0</v>
      </c>
      <c r="AI155">
        <f>IF('Calc base'!D$14=0,0,MIN(W155,MAX(0,$E155-SUMIFS($V155:$AG155,'Calc base'!$C$17:$N$17,"&lt;"&amp;'Calc base'!D$17,'Calc base'!$C$14:$N$14,1))))</f>
        <v>0</v>
      </c>
      <c r="AJ155">
        <f>IF('Calc base'!E$14=0,0,MIN(X155,MAX(0,$E155-SUMIFS($V155:$AG155,'Calc base'!$C$17:$N$17,"&lt;"&amp;'Calc base'!E$17,'Calc base'!$C$14:$N$14,1))))</f>
        <v>0</v>
      </c>
      <c r="AK155">
        <f>IF('Calc base'!F$14=0,0,MIN(Y155,MAX(0,$E155-SUMIFS($V155:$AG155,'Calc base'!$C$17:$N$17,"&lt;"&amp;'Calc base'!F$17,'Calc base'!$C$14:$N$14,1))))</f>
        <v>0</v>
      </c>
      <c r="AL155">
        <f>IF('Calc base'!G$14=0,0,MIN(Z155,MAX(0,$E155-SUMIFS($V155:$AG155,'Calc base'!$C$17:$N$17,"&lt;"&amp;'Calc base'!G$17,'Calc base'!$C$14:$N$14,1))))</f>
        <v>0</v>
      </c>
      <c r="AM155">
        <f>IF('Calc base'!H$14=0,0,MIN(AA155,MAX(0,$E155-SUMIFS($V155:$AG155,'Calc base'!$C$17:$N$17,"&lt;"&amp;'Calc base'!H$17,'Calc base'!$C$14:$N$14,1))))</f>
        <v>0</v>
      </c>
      <c r="AN155">
        <f>IF('Calc base'!I$14=0,0,MIN(AB155,MAX(0,$E155-SUMIFS($V155:$AG155,'Calc base'!$C$17:$N$17,"&lt;"&amp;'Calc base'!I$17,'Calc base'!$C$14:$N$14,1))))</f>
        <v>0</v>
      </c>
      <c r="AO155">
        <f>IF('Calc base'!J$14=0,0,MIN(AC155,MAX(0,$E155-SUMIFS($V155:$AG155,'Calc base'!$C$17:$N$17,"&lt;"&amp;'Calc base'!J$17,'Calc base'!$C$14:$N$14,1))))</f>
        <v>0</v>
      </c>
      <c r="AP155">
        <f>IF('Calc base'!K$14=0,0,MIN(AD155,MAX(0,$E155-SUMIFS($V155:$AG155,'Calc base'!$C$17:$N$17,"&lt;"&amp;'Calc base'!K$17,'Calc base'!$C$14:$N$14,1))))</f>
        <v>0</v>
      </c>
      <c r="AQ155">
        <f>IF('Calc base'!L$14=0,0,MIN(AE155,MAX(0,$E155-SUMIFS($V155:$AG155,'Calc base'!$C$17:$N$17,"&lt;"&amp;'Calc base'!L$17,'Calc base'!$C$14:$N$14,1))))</f>
        <v>0</v>
      </c>
      <c r="AR155">
        <f>IF('Calc base'!M$14=0,0,MIN(AF155,MAX(0,$E155-SUMIFS($V155:$AG155,'Calc base'!$C$17:$N$17,"&lt;"&amp;'Calc base'!M$17,'Calc base'!$C$14:$N$14,1))))</f>
        <v>0</v>
      </c>
      <c r="AS155">
        <f>IF('Calc base'!N$14=0,0,MIN(AG155,MAX(0,$E155-SUMIFS($V155:$AG155,'Calc base'!$C$17:$N$17,"&lt;"&amp;'Calc base'!N$17,'Calc base'!$C$14:$N$14,1))))</f>
        <v>0</v>
      </c>
      <c r="AT155">
        <f>V155-AH155</f>
        <v>0</v>
      </c>
      <c r="AU155">
        <f>W155-AI155</f>
        <v>0</v>
      </c>
      <c r="AV155">
        <f>X155-AJ155</f>
        <v>0</v>
      </c>
      <c r="AW155">
        <f>Y155-AK155</f>
        <v>0</v>
      </c>
      <c r="AX155">
        <f>Z155-AL155</f>
        <v>0</v>
      </c>
      <c r="AY155">
        <f>AA155-AM155</f>
        <v>0</v>
      </c>
      <c r="AZ155">
        <f>AB155-AN155</f>
        <v>0</v>
      </c>
      <c r="BA155">
        <f>AC155-AO155</f>
        <v>0</v>
      </c>
      <c r="BB155">
        <f>AD155-AP155</f>
        <v>0</v>
      </c>
      <c r="BC155">
        <f>AE155-AQ155</f>
        <v>0</v>
      </c>
      <c r="BD155">
        <f>AF155-AR155</f>
        <v>0</v>
      </c>
      <c r="BE155">
        <f>AG155-AS155</f>
        <v>0</v>
      </c>
    </row>
    <row r="156">
      <c r="A156" t="n">
        <v>126</v>
      </c>
      <c r="B156">
        <f>SUMPRODUCT(ROUND($AT155:$BE155*(1+'Calc base'!$H156:$S156),2))</f>
        <v>0</v>
      </c>
      <c r="C156">
        <f>SUM(J156:U156)</f>
        <v>0</v>
      </c>
      <c r="D156">
        <f>SUM(V156:AG156)</f>
        <v>0</v>
      </c>
      <c r="E156">
        <f>MAX(0,IF(Impostazioni!$B$7="No",'Calc base'!$C156-$C$31,'Calc base'!$C156-C156)+'Calc base'!$G156+'Calc base'!$F156-(B156-C156-D156))</f>
        <v>900</v>
      </c>
      <c r="F156">
        <f>SUM(AH156:AS156)</f>
        <v>0</v>
      </c>
      <c r="G156">
        <f>SUM(AT156:BE156)</f>
        <v>0</v>
      </c>
      <c r="H156">
        <f>B156-G155</f>
        <v>0</v>
      </c>
      <c r="I156">
        <f>B156-G156</f>
        <v>0</v>
      </c>
      <c r="J156">
        <f>IF(AT155&lt;=0,0,IF(ROUND(AT155*(1+'Calc base'!H156),2)-MAX('Calc base'!C$12,ROUND('Calc base'!C$13*AT155,2))&lt;1,ROUND(AT155*(1+'Calc base'!H156),2),MAX('Calc base'!C$12,ROUND('Calc base'!C$13*AT155,2))))</f>
        <v>0</v>
      </c>
      <c r="K156">
        <f>IF(AU155&lt;=0,0,IF(ROUND(AU155*(1+'Calc base'!I156),2)-MAX('Calc base'!D$12,ROUND('Calc base'!D$13*AU155,2))&lt;1,ROUND(AU155*(1+'Calc base'!I156),2),MAX('Calc base'!D$12,ROUND('Calc base'!D$13*AU155,2))))</f>
        <v>0</v>
      </c>
      <c r="L156">
        <f>IF(AV155&lt;=0,0,IF(ROUND(AV155*(1+'Calc base'!J156),2)-MAX('Calc base'!E$12,ROUND('Calc base'!E$13*AV155,2))&lt;1,ROUND(AV155*(1+'Calc base'!J156),2),MAX('Calc base'!E$12,ROUND('Calc base'!E$13*AV155,2))))</f>
        <v>0</v>
      </c>
      <c r="M156">
        <f>IF(AW155&lt;=0,0,IF(ROUND(AW155*(1+'Calc base'!K156),2)-MAX('Calc base'!F$12,ROUND('Calc base'!F$13*AW155,2))&lt;1,ROUND(AW155*(1+'Calc base'!K156),2),MAX('Calc base'!F$12,ROUND('Calc base'!F$13*AW155,2))))</f>
        <v>0</v>
      </c>
      <c r="N156">
        <f>IF(AX155&lt;=0,0,IF(ROUND(AX155*(1+'Calc base'!L156),2)-MAX('Calc base'!G$12,ROUND('Calc base'!G$13*AX155,2))&lt;1,ROUND(AX155*(1+'Calc base'!L156),2),MAX('Calc base'!G$12,ROUND('Calc base'!G$13*AX155,2))))</f>
        <v>0</v>
      </c>
      <c r="O156">
        <f>IF(AY155&lt;=0,0,IF(ROUND(AY155*(1+'Calc base'!M156),2)-MAX('Calc base'!H$12,ROUND('Calc base'!H$13*AY155,2))&lt;1,ROUND(AY155*(1+'Calc base'!M156),2),MAX('Calc base'!H$12,ROUND('Calc base'!H$13*AY155,2))))</f>
        <v>0</v>
      </c>
      <c r="P156">
        <f>IF(AZ155&lt;=0,0,IF(ROUND(AZ155*(1+'Calc base'!N156),2)-MAX('Calc base'!I$12,ROUND('Calc base'!I$13*AZ155,2))&lt;1,ROUND(AZ155*(1+'Calc base'!N156),2),MAX('Calc base'!I$12,ROUND('Calc base'!I$13*AZ155,2))))</f>
        <v>0</v>
      </c>
      <c r="Q156">
        <f>IF(BA155&lt;=0,0,IF(ROUND(BA155*(1+'Calc base'!O156),2)-MAX('Calc base'!J$12,ROUND('Calc base'!J$13*BA155,2))&lt;1,ROUND(BA155*(1+'Calc base'!O156),2),MAX('Calc base'!J$12,ROUND('Calc base'!J$13*BA155,2))))</f>
        <v>0</v>
      </c>
      <c r="R156">
        <f>IF(BB155&lt;=0,0,IF(ROUND(BB155*(1+'Calc base'!P156),2)-MAX('Calc base'!K$12,ROUND('Calc base'!K$13*BB155,2))&lt;1,ROUND(BB155*(1+'Calc base'!P156),2),MAX('Calc base'!K$12,ROUND('Calc base'!K$13*BB155,2))))</f>
        <v>0</v>
      </c>
      <c r="S156">
        <f>IF(BC155&lt;=0,0,IF(ROUND(BC155*(1+'Calc base'!Q156),2)-MAX('Calc base'!L$12,ROUND('Calc base'!L$13*BC155,2))&lt;1,ROUND(BC155*(1+'Calc base'!Q156),2),MAX('Calc base'!L$12,ROUND('Calc base'!L$13*BC155,2))))</f>
        <v>0</v>
      </c>
      <c r="T156">
        <f>IF(BD155&lt;=0,0,IF(ROUND(BD155*(1+'Calc base'!R156),2)-MAX('Calc base'!M$12,ROUND('Calc base'!M$13*BD155,2))&lt;1,ROUND(BD155*(1+'Calc base'!R156),2),MAX('Calc base'!M$12,ROUND('Calc base'!M$13*BD155,2))))</f>
        <v>0</v>
      </c>
      <c r="U156">
        <f>IF(BE155&lt;=0,0,IF(ROUND(BE155*(1+'Calc base'!S156),2)-MAX('Calc base'!N$12,ROUND('Calc base'!N$13*BE155,2))&lt;1,ROUND(BE155*(1+'Calc base'!S156),2),MAX('Calc base'!N$12,ROUND('Calc base'!N$13*BE155,2))))</f>
        <v>0</v>
      </c>
      <c r="V156">
        <f>MAX(0,ROUND(AT155*(1+'Calc base'!H156),2)-J156-'Calc base'!T156)</f>
        <v>0</v>
      </c>
      <c r="W156">
        <f>MAX(0,ROUND(AU155*(1+'Calc base'!I156),2)-K156-'Calc base'!U156)</f>
        <v>0</v>
      </c>
      <c r="X156">
        <f>MAX(0,ROUND(AV155*(1+'Calc base'!J156),2)-L156-'Calc base'!V156)</f>
        <v>0</v>
      </c>
      <c r="Y156">
        <f>MAX(0,ROUND(AW155*(1+'Calc base'!K156),2)-M156-'Calc base'!W156)</f>
        <v>0</v>
      </c>
      <c r="Z156">
        <f>MAX(0,ROUND(AX155*(1+'Calc base'!L156),2)-N156-'Calc base'!X156)</f>
        <v>0</v>
      </c>
      <c r="AA156">
        <f>MAX(0,ROUND(AY155*(1+'Calc base'!M156),2)-O156-'Calc base'!Y156)</f>
        <v>0</v>
      </c>
      <c r="AB156">
        <f>MAX(0,ROUND(AZ155*(1+'Calc base'!N156),2)-P156-'Calc base'!Z156)</f>
        <v>0</v>
      </c>
      <c r="AC156">
        <f>MAX(0,ROUND(BA155*(1+'Calc base'!O156),2)-Q156-'Calc base'!AA156)</f>
        <v>0</v>
      </c>
      <c r="AD156">
        <f>MAX(0,ROUND(BB155*(1+'Calc base'!P156),2)-R156-'Calc base'!AB156)</f>
        <v>0</v>
      </c>
      <c r="AE156">
        <f>MAX(0,ROUND(BC155*(1+'Calc base'!Q156),2)-S156-'Calc base'!AC156)</f>
        <v>0</v>
      </c>
      <c r="AF156">
        <f>MAX(0,ROUND(BD155*(1+'Calc base'!R156),2)-T156-'Calc base'!AD156)</f>
        <v>0</v>
      </c>
      <c r="AG156">
        <f>MAX(0,ROUND(BE155*(1+'Calc base'!S156),2)-U156-'Calc base'!AE156)</f>
        <v>0</v>
      </c>
      <c r="AH156">
        <f>IF('Calc base'!C$14=0,0,MIN(V156,MAX(0,$E156-SUMIFS($V156:$AG156,'Calc base'!$C$17:$N$17,"&lt;"&amp;'Calc base'!C$17,'Calc base'!$C$14:$N$14,1))))</f>
        <v>0</v>
      </c>
      <c r="AI156">
        <f>IF('Calc base'!D$14=0,0,MIN(W156,MAX(0,$E156-SUMIFS($V156:$AG156,'Calc base'!$C$17:$N$17,"&lt;"&amp;'Calc base'!D$17,'Calc base'!$C$14:$N$14,1))))</f>
        <v>0</v>
      </c>
      <c r="AJ156">
        <f>IF('Calc base'!E$14=0,0,MIN(X156,MAX(0,$E156-SUMIFS($V156:$AG156,'Calc base'!$C$17:$N$17,"&lt;"&amp;'Calc base'!E$17,'Calc base'!$C$14:$N$14,1))))</f>
        <v>0</v>
      </c>
      <c r="AK156">
        <f>IF('Calc base'!F$14=0,0,MIN(Y156,MAX(0,$E156-SUMIFS($V156:$AG156,'Calc base'!$C$17:$N$17,"&lt;"&amp;'Calc base'!F$17,'Calc base'!$C$14:$N$14,1))))</f>
        <v>0</v>
      </c>
      <c r="AL156">
        <f>IF('Calc base'!G$14=0,0,MIN(Z156,MAX(0,$E156-SUMIFS($V156:$AG156,'Calc base'!$C$17:$N$17,"&lt;"&amp;'Calc base'!G$17,'Calc base'!$C$14:$N$14,1))))</f>
        <v>0</v>
      </c>
      <c r="AM156">
        <f>IF('Calc base'!H$14=0,0,MIN(AA156,MAX(0,$E156-SUMIFS($V156:$AG156,'Calc base'!$C$17:$N$17,"&lt;"&amp;'Calc base'!H$17,'Calc base'!$C$14:$N$14,1))))</f>
        <v>0</v>
      </c>
      <c r="AN156">
        <f>IF('Calc base'!I$14=0,0,MIN(AB156,MAX(0,$E156-SUMIFS($V156:$AG156,'Calc base'!$C$17:$N$17,"&lt;"&amp;'Calc base'!I$17,'Calc base'!$C$14:$N$14,1))))</f>
        <v>0</v>
      </c>
      <c r="AO156">
        <f>IF('Calc base'!J$14=0,0,MIN(AC156,MAX(0,$E156-SUMIFS($V156:$AG156,'Calc base'!$C$17:$N$17,"&lt;"&amp;'Calc base'!J$17,'Calc base'!$C$14:$N$14,1))))</f>
        <v>0</v>
      </c>
      <c r="AP156">
        <f>IF('Calc base'!K$14=0,0,MIN(AD156,MAX(0,$E156-SUMIFS($V156:$AG156,'Calc base'!$C$17:$N$17,"&lt;"&amp;'Calc base'!K$17,'Calc base'!$C$14:$N$14,1))))</f>
        <v>0</v>
      </c>
      <c r="AQ156">
        <f>IF('Calc base'!L$14=0,0,MIN(AE156,MAX(0,$E156-SUMIFS($V156:$AG156,'Calc base'!$C$17:$N$17,"&lt;"&amp;'Calc base'!L$17,'Calc base'!$C$14:$N$14,1))))</f>
        <v>0</v>
      </c>
      <c r="AR156">
        <f>IF('Calc base'!M$14=0,0,MIN(AF156,MAX(0,$E156-SUMIFS($V156:$AG156,'Calc base'!$C$17:$N$17,"&lt;"&amp;'Calc base'!M$17,'Calc base'!$C$14:$N$14,1))))</f>
        <v>0</v>
      </c>
      <c r="AS156">
        <f>IF('Calc base'!N$14=0,0,MIN(AG156,MAX(0,$E156-SUMIFS($V156:$AG156,'Calc base'!$C$17:$N$17,"&lt;"&amp;'Calc base'!N$17,'Calc base'!$C$14:$N$14,1))))</f>
        <v>0</v>
      </c>
      <c r="AT156">
        <f>V156-AH156</f>
        <v>0</v>
      </c>
      <c r="AU156">
        <f>W156-AI156</f>
        <v>0</v>
      </c>
      <c r="AV156">
        <f>X156-AJ156</f>
        <v>0</v>
      </c>
      <c r="AW156">
        <f>Y156-AK156</f>
        <v>0</v>
      </c>
      <c r="AX156">
        <f>Z156-AL156</f>
        <v>0</v>
      </c>
      <c r="AY156">
        <f>AA156-AM156</f>
        <v>0</v>
      </c>
      <c r="AZ156">
        <f>AB156-AN156</f>
        <v>0</v>
      </c>
      <c r="BA156">
        <f>AC156-AO156</f>
        <v>0</v>
      </c>
      <c r="BB156">
        <f>AD156-AP156</f>
        <v>0</v>
      </c>
      <c r="BC156">
        <f>AE156-AQ156</f>
        <v>0</v>
      </c>
      <c r="BD156">
        <f>AF156-AR156</f>
        <v>0</v>
      </c>
      <c r="BE156">
        <f>AG156-AS156</f>
        <v>0</v>
      </c>
    </row>
    <row r="157">
      <c r="A157" t="n">
        <v>127</v>
      </c>
      <c r="B157">
        <f>SUMPRODUCT(ROUND($AT156:$BE156*(1+'Calc base'!$H157:$S157),2))</f>
        <v>0</v>
      </c>
      <c r="C157">
        <f>SUM(J157:U157)</f>
        <v>0</v>
      </c>
      <c r="D157">
        <f>SUM(V157:AG157)</f>
        <v>0</v>
      </c>
      <c r="E157">
        <f>MAX(0,IF(Impostazioni!$B$7="No",'Calc base'!$C157-$C$31,'Calc base'!$C157-C157)+'Calc base'!$G157+'Calc base'!$F157-(B157-C157-D157))</f>
        <v>900</v>
      </c>
      <c r="F157">
        <f>SUM(AH157:AS157)</f>
        <v>0</v>
      </c>
      <c r="G157">
        <f>SUM(AT157:BE157)</f>
        <v>0</v>
      </c>
      <c r="H157">
        <f>B157-G156</f>
        <v>0</v>
      </c>
      <c r="I157">
        <f>B157-G157</f>
        <v>0</v>
      </c>
      <c r="J157">
        <f>IF(AT156&lt;=0,0,IF(ROUND(AT156*(1+'Calc base'!H157),2)-MAX('Calc base'!C$12,ROUND('Calc base'!C$13*AT156,2))&lt;1,ROUND(AT156*(1+'Calc base'!H157),2),MAX('Calc base'!C$12,ROUND('Calc base'!C$13*AT156,2))))</f>
        <v>0</v>
      </c>
      <c r="K157">
        <f>IF(AU156&lt;=0,0,IF(ROUND(AU156*(1+'Calc base'!I157),2)-MAX('Calc base'!D$12,ROUND('Calc base'!D$13*AU156,2))&lt;1,ROUND(AU156*(1+'Calc base'!I157),2),MAX('Calc base'!D$12,ROUND('Calc base'!D$13*AU156,2))))</f>
        <v>0</v>
      </c>
      <c r="L157">
        <f>IF(AV156&lt;=0,0,IF(ROUND(AV156*(1+'Calc base'!J157),2)-MAX('Calc base'!E$12,ROUND('Calc base'!E$13*AV156,2))&lt;1,ROUND(AV156*(1+'Calc base'!J157),2),MAX('Calc base'!E$12,ROUND('Calc base'!E$13*AV156,2))))</f>
        <v>0</v>
      </c>
      <c r="M157">
        <f>IF(AW156&lt;=0,0,IF(ROUND(AW156*(1+'Calc base'!K157),2)-MAX('Calc base'!F$12,ROUND('Calc base'!F$13*AW156,2))&lt;1,ROUND(AW156*(1+'Calc base'!K157),2),MAX('Calc base'!F$12,ROUND('Calc base'!F$13*AW156,2))))</f>
        <v>0</v>
      </c>
      <c r="N157">
        <f>IF(AX156&lt;=0,0,IF(ROUND(AX156*(1+'Calc base'!L157),2)-MAX('Calc base'!G$12,ROUND('Calc base'!G$13*AX156,2))&lt;1,ROUND(AX156*(1+'Calc base'!L157),2),MAX('Calc base'!G$12,ROUND('Calc base'!G$13*AX156,2))))</f>
        <v>0</v>
      </c>
      <c r="O157">
        <f>IF(AY156&lt;=0,0,IF(ROUND(AY156*(1+'Calc base'!M157),2)-MAX('Calc base'!H$12,ROUND('Calc base'!H$13*AY156,2))&lt;1,ROUND(AY156*(1+'Calc base'!M157),2),MAX('Calc base'!H$12,ROUND('Calc base'!H$13*AY156,2))))</f>
        <v>0</v>
      </c>
      <c r="P157">
        <f>IF(AZ156&lt;=0,0,IF(ROUND(AZ156*(1+'Calc base'!N157),2)-MAX('Calc base'!I$12,ROUND('Calc base'!I$13*AZ156,2))&lt;1,ROUND(AZ156*(1+'Calc base'!N157),2),MAX('Calc base'!I$12,ROUND('Calc base'!I$13*AZ156,2))))</f>
        <v>0</v>
      </c>
      <c r="Q157">
        <f>IF(BA156&lt;=0,0,IF(ROUND(BA156*(1+'Calc base'!O157),2)-MAX('Calc base'!J$12,ROUND('Calc base'!J$13*BA156,2))&lt;1,ROUND(BA156*(1+'Calc base'!O157),2),MAX('Calc base'!J$12,ROUND('Calc base'!J$13*BA156,2))))</f>
        <v>0</v>
      </c>
      <c r="R157">
        <f>IF(BB156&lt;=0,0,IF(ROUND(BB156*(1+'Calc base'!P157),2)-MAX('Calc base'!K$12,ROUND('Calc base'!K$13*BB156,2))&lt;1,ROUND(BB156*(1+'Calc base'!P157),2),MAX('Calc base'!K$12,ROUND('Calc base'!K$13*BB156,2))))</f>
        <v>0</v>
      </c>
      <c r="S157">
        <f>IF(BC156&lt;=0,0,IF(ROUND(BC156*(1+'Calc base'!Q157),2)-MAX('Calc base'!L$12,ROUND('Calc base'!L$13*BC156,2))&lt;1,ROUND(BC156*(1+'Calc base'!Q157),2),MAX('Calc base'!L$12,ROUND('Calc base'!L$13*BC156,2))))</f>
        <v>0</v>
      </c>
      <c r="T157">
        <f>IF(BD156&lt;=0,0,IF(ROUND(BD156*(1+'Calc base'!R157),2)-MAX('Calc base'!M$12,ROUND('Calc base'!M$13*BD156,2))&lt;1,ROUND(BD156*(1+'Calc base'!R157),2),MAX('Calc base'!M$12,ROUND('Calc base'!M$13*BD156,2))))</f>
        <v>0</v>
      </c>
      <c r="U157">
        <f>IF(BE156&lt;=0,0,IF(ROUND(BE156*(1+'Calc base'!S157),2)-MAX('Calc base'!N$12,ROUND('Calc base'!N$13*BE156,2))&lt;1,ROUND(BE156*(1+'Calc base'!S157),2),MAX('Calc base'!N$12,ROUND('Calc base'!N$13*BE156,2))))</f>
        <v>0</v>
      </c>
      <c r="V157">
        <f>MAX(0,ROUND(AT156*(1+'Calc base'!H157),2)-J157-'Calc base'!T157)</f>
        <v>0</v>
      </c>
      <c r="W157">
        <f>MAX(0,ROUND(AU156*(1+'Calc base'!I157),2)-K157-'Calc base'!U157)</f>
        <v>0</v>
      </c>
      <c r="X157">
        <f>MAX(0,ROUND(AV156*(1+'Calc base'!J157),2)-L157-'Calc base'!V157)</f>
        <v>0</v>
      </c>
      <c r="Y157">
        <f>MAX(0,ROUND(AW156*(1+'Calc base'!K157),2)-M157-'Calc base'!W157)</f>
        <v>0</v>
      </c>
      <c r="Z157">
        <f>MAX(0,ROUND(AX156*(1+'Calc base'!L157),2)-N157-'Calc base'!X157)</f>
        <v>0</v>
      </c>
      <c r="AA157">
        <f>MAX(0,ROUND(AY156*(1+'Calc base'!M157),2)-O157-'Calc base'!Y157)</f>
        <v>0</v>
      </c>
      <c r="AB157">
        <f>MAX(0,ROUND(AZ156*(1+'Calc base'!N157),2)-P157-'Calc base'!Z157)</f>
        <v>0</v>
      </c>
      <c r="AC157">
        <f>MAX(0,ROUND(BA156*(1+'Calc base'!O157),2)-Q157-'Calc base'!AA157)</f>
        <v>0</v>
      </c>
      <c r="AD157">
        <f>MAX(0,ROUND(BB156*(1+'Calc base'!P157),2)-R157-'Calc base'!AB157)</f>
        <v>0</v>
      </c>
      <c r="AE157">
        <f>MAX(0,ROUND(BC156*(1+'Calc base'!Q157),2)-S157-'Calc base'!AC157)</f>
        <v>0</v>
      </c>
      <c r="AF157">
        <f>MAX(0,ROUND(BD156*(1+'Calc base'!R157),2)-T157-'Calc base'!AD157)</f>
        <v>0</v>
      </c>
      <c r="AG157">
        <f>MAX(0,ROUND(BE156*(1+'Calc base'!S157),2)-U157-'Calc base'!AE157)</f>
        <v>0</v>
      </c>
      <c r="AH157">
        <f>IF('Calc base'!C$14=0,0,MIN(V157,MAX(0,$E157-SUMIFS($V157:$AG157,'Calc base'!$C$17:$N$17,"&lt;"&amp;'Calc base'!C$17,'Calc base'!$C$14:$N$14,1))))</f>
        <v>0</v>
      </c>
      <c r="AI157">
        <f>IF('Calc base'!D$14=0,0,MIN(W157,MAX(0,$E157-SUMIFS($V157:$AG157,'Calc base'!$C$17:$N$17,"&lt;"&amp;'Calc base'!D$17,'Calc base'!$C$14:$N$14,1))))</f>
        <v>0</v>
      </c>
      <c r="AJ157">
        <f>IF('Calc base'!E$14=0,0,MIN(X157,MAX(0,$E157-SUMIFS($V157:$AG157,'Calc base'!$C$17:$N$17,"&lt;"&amp;'Calc base'!E$17,'Calc base'!$C$14:$N$14,1))))</f>
        <v>0</v>
      </c>
      <c r="AK157">
        <f>IF('Calc base'!F$14=0,0,MIN(Y157,MAX(0,$E157-SUMIFS($V157:$AG157,'Calc base'!$C$17:$N$17,"&lt;"&amp;'Calc base'!F$17,'Calc base'!$C$14:$N$14,1))))</f>
        <v>0</v>
      </c>
      <c r="AL157">
        <f>IF('Calc base'!G$14=0,0,MIN(Z157,MAX(0,$E157-SUMIFS($V157:$AG157,'Calc base'!$C$17:$N$17,"&lt;"&amp;'Calc base'!G$17,'Calc base'!$C$14:$N$14,1))))</f>
        <v>0</v>
      </c>
      <c r="AM157">
        <f>IF('Calc base'!H$14=0,0,MIN(AA157,MAX(0,$E157-SUMIFS($V157:$AG157,'Calc base'!$C$17:$N$17,"&lt;"&amp;'Calc base'!H$17,'Calc base'!$C$14:$N$14,1))))</f>
        <v>0</v>
      </c>
      <c r="AN157">
        <f>IF('Calc base'!I$14=0,0,MIN(AB157,MAX(0,$E157-SUMIFS($V157:$AG157,'Calc base'!$C$17:$N$17,"&lt;"&amp;'Calc base'!I$17,'Calc base'!$C$14:$N$14,1))))</f>
        <v>0</v>
      </c>
      <c r="AO157">
        <f>IF('Calc base'!J$14=0,0,MIN(AC157,MAX(0,$E157-SUMIFS($V157:$AG157,'Calc base'!$C$17:$N$17,"&lt;"&amp;'Calc base'!J$17,'Calc base'!$C$14:$N$14,1))))</f>
        <v>0</v>
      </c>
      <c r="AP157">
        <f>IF('Calc base'!K$14=0,0,MIN(AD157,MAX(0,$E157-SUMIFS($V157:$AG157,'Calc base'!$C$17:$N$17,"&lt;"&amp;'Calc base'!K$17,'Calc base'!$C$14:$N$14,1))))</f>
        <v>0</v>
      </c>
      <c r="AQ157">
        <f>IF('Calc base'!L$14=0,0,MIN(AE157,MAX(0,$E157-SUMIFS($V157:$AG157,'Calc base'!$C$17:$N$17,"&lt;"&amp;'Calc base'!L$17,'Calc base'!$C$14:$N$14,1))))</f>
        <v>0</v>
      </c>
      <c r="AR157">
        <f>IF('Calc base'!M$14=0,0,MIN(AF157,MAX(0,$E157-SUMIFS($V157:$AG157,'Calc base'!$C$17:$N$17,"&lt;"&amp;'Calc base'!M$17,'Calc base'!$C$14:$N$14,1))))</f>
        <v>0</v>
      </c>
      <c r="AS157">
        <f>IF('Calc base'!N$14=0,0,MIN(AG157,MAX(0,$E157-SUMIFS($V157:$AG157,'Calc base'!$C$17:$N$17,"&lt;"&amp;'Calc base'!N$17,'Calc base'!$C$14:$N$14,1))))</f>
        <v>0</v>
      </c>
      <c r="AT157">
        <f>V157-AH157</f>
        <v>0</v>
      </c>
      <c r="AU157">
        <f>W157-AI157</f>
        <v>0</v>
      </c>
      <c r="AV157">
        <f>X157-AJ157</f>
        <v>0</v>
      </c>
      <c r="AW157">
        <f>Y157-AK157</f>
        <v>0</v>
      </c>
      <c r="AX157">
        <f>Z157-AL157</f>
        <v>0</v>
      </c>
      <c r="AY157">
        <f>AA157-AM157</f>
        <v>0</v>
      </c>
      <c r="AZ157">
        <f>AB157-AN157</f>
        <v>0</v>
      </c>
      <c r="BA157">
        <f>AC157-AO157</f>
        <v>0</v>
      </c>
      <c r="BB157">
        <f>AD157-AP157</f>
        <v>0</v>
      </c>
      <c r="BC157">
        <f>AE157-AQ157</f>
        <v>0</v>
      </c>
      <c r="BD157">
        <f>AF157-AR157</f>
        <v>0</v>
      </c>
      <c r="BE157">
        <f>AG157-AS157</f>
        <v>0</v>
      </c>
    </row>
    <row r="158">
      <c r="A158" t="n">
        <v>128</v>
      </c>
      <c r="B158">
        <f>SUMPRODUCT(ROUND($AT157:$BE157*(1+'Calc base'!$H158:$S158),2))</f>
        <v>0</v>
      </c>
      <c r="C158">
        <f>SUM(J158:U158)</f>
        <v>0</v>
      </c>
      <c r="D158">
        <f>SUM(V158:AG158)</f>
        <v>0</v>
      </c>
      <c r="E158">
        <f>MAX(0,IF(Impostazioni!$B$7="No",'Calc base'!$C158-$C$31,'Calc base'!$C158-C158)+'Calc base'!$G158+'Calc base'!$F158-(B158-C158-D158))</f>
        <v>900</v>
      </c>
      <c r="F158">
        <f>SUM(AH158:AS158)</f>
        <v>0</v>
      </c>
      <c r="G158">
        <f>SUM(AT158:BE158)</f>
        <v>0</v>
      </c>
      <c r="H158">
        <f>B158-G157</f>
        <v>0</v>
      </c>
      <c r="I158">
        <f>B158-G158</f>
        <v>0</v>
      </c>
      <c r="J158">
        <f>IF(AT157&lt;=0,0,IF(ROUND(AT157*(1+'Calc base'!H158),2)-MAX('Calc base'!C$12,ROUND('Calc base'!C$13*AT157,2))&lt;1,ROUND(AT157*(1+'Calc base'!H158),2),MAX('Calc base'!C$12,ROUND('Calc base'!C$13*AT157,2))))</f>
        <v>0</v>
      </c>
      <c r="K158">
        <f>IF(AU157&lt;=0,0,IF(ROUND(AU157*(1+'Calc base'!I158),2)-MAX('Calc base'!D$12,ROUND('Calc base'!D$13*AU157,2))&lt;1,ROUND(AU157*(1+'Calc base'!I158),2),MAX('Calc base'!D$12,ROUND('Calc base'!D$13*AU157,2))))</f>
        <v>0</v>
      </c>
      <c r="L158">
        <f>IF(AV157&lt;=0,0,IF(ROUND(AV157*(1+'Calc base'!J158),2)-MAX('Calc base'!E$12,ROUND('Calc base'!E$13*AV157,2))&lt;1,ROUND(AV157*(1+'Calc base'!J158),2),MAX('Calc base'!E$12,ROUND('Calc base'!E$13*AV157,2))))</f>
        <v>0</v>
      </c>
      <c r="M158">
        <f>IF(AW157&lt;=0,0,IF(ROUND(AW157*(1+'Calc base'!K158),2)-MAX('Calc base'!F$12,ROUND('Calc base'!F$13*AW157,2))&lt;1,ROUND(AW157*(1+'Calc base'!K158),2),MAX('Calc base'!F$12,ROUND('Calc base'!F$13*AW157,2))))</f>
        <v>0</v>
      </c>
      <c r="N158">
        <f>IF(AX157&lt;=0,0,IF(ROUND(AX157*(1+'Calc base'!L158),2)-MAX('Calc base'!G$12,ROUND('Calc base'!G$13*AX157,2))&lt;1,ROUND(AX157*(1+'Calc base'!L158),2),MAX('Calc base'!G$12,ROUND('Calc base'!G$13*AX157,2))))</f>
        <v>0</v>
      </c>
      <c r="O158">
        <f>IF(AY157&lt;=0,0,IF(ROUND(AY157*(1+'Calc base'!M158),2)-MAX('Calc base'!H$12,ROUND('Calc base'!H$13*AY157,2))&lt;1,ROUND(AY157*(1+'Calc base'!M158),2),MAX('Calc base'!H$12,ROUND('Calc base'!H$13*AY157,2))))</f>
        <v>0</v>
      </c>
      <c r="P158">
        <f>IF(AZ157&lt;=0,0,IF(ROUND(AZ157*(1+'Calc base'!N158),2)-MAX('Calc base'!I$12,ROUND('Calc base'!I$13*AZ157,2))&lt;1,ROUND(AZ157*(1+'Calc base'!N158),2),MAX('Calc base'!I$12,ROUND('Calc base'!I$13*AZ157,2))))</f>
        <v>0</v>
      </c>
      <c r="Q158">
        <f>IF(BA157&lt;=0,0,IF(ROUND(BA157*(1+'Calc base'!O158),2)-MAX('Calc base'!J$12,ROUND('Calc base'!J$13*BA157,2))&lt;1,ROUND(BA157*(1+'Calc base'!O158),2),MAX('Calc base'!J$12,ROUND('Calc base'!J$13*BA157,2))))</f>
        <v>0</v>
      </c>
      <c r="R158">
        <f>IF(BB157&lt;=0,0,IF(ROUND(BB157*(1+'Calc base'!P158),2)-MAX('Calc base'!K$12,ROUND('Calc base'!K$13*BB157,2))&lt;1,ROUND(BB157*(1+'Calc base'!P158),2),MAX('Calc base'!K$12,ROUND('Calc base'!K$13*BB157,2))))</f>
        <v>0</v>
      </c>
      <c r="S158">
        <f>IF(BC157&lt;=0,0,IF(ROUND(BC157*(1+'Calc base'!Q158),2)-MAX('Calc base'!L$12,ROUND('Calc base'!L$13*BC157,2))&lt;1,ROUND(BC157*(1+'Calc base'!Q158),2),MAX('Calc base'!L$12,ROUND('Calc base'!L$13*BC157,2))))</f>
        <v>0</v>
      </c>
      <c r="T158">
        <f>IF(BD157&lt;=0,0,IF(ROUND(BD157*(1+'Calc base'!R158),2)-MAX('Calc base'!M$12,ROUND('Calc base'!M$13*BD157,2))&lt;1,ROUND(BD157*(1+'Calc base'!R158),2),MAX('Calc base'!M$12,ROUND('Calc base'!M$13*BD157,2))))</f>
        <v>0</v>
      </c>
      <c r="U158">
        <f>IF(BE157&lt;=0,0,IF(ROUND(BE157*(1+'Calc base'!S158),2)-MAX('Calc base'!N$12,ROUND('Calc base'!N$13*BE157,2))&lt;1,ROUND(BE157*(1+'Calc base'!S158),2),MAX('Calc base'!N$12,ROUND('Calc base'!N$13*BE157,2))))</f>
        <v>0</v>
      </c>
      <c r="V158">
        <f>MAX(0,ROUND(AT157*(1+'Calc base'!H158),2)-J158-'Calc base'!T158)</f>
        <v>0</v>
      </c>
      <c r="W158">
        <f>MAX(0,ROUND(AU157*(1+'Calc base'!I158),2)-K158-'Calc base'!U158)</f>
        <v>0</v>
      </c>
      <c r="X158">
        <f>MAX(0,ROUND(AV157*(1+'Calc base'!J158),2)-L158-'Calc base'!V158)</f>
        <v>0</v>
      </c>
      <c r="Y158">
        <f>MAX(0,ROUND(AW157*(1+'Calc base'!K158),2)-M158-'Calc base'!W158)</f>
        <v>0</v>
      </c>
      <c r="Z158">
        <f>MAX(0,ROUND(AX157*(1+'Calc base'!L158),2)-N158-'Calc base'!X158)</f>
        <v>0</v>
      </c>
      <c r="AA158">
        <f>MAX(0,ROUND(AY157*(1+'Calc base'!M158),2)-O158-'Calc base'!Y158)</f>
        <v>0</v>
      </c>
      <c r="AB158">
        <f>MAX(0,ROUND(AZ157*(1+'Calc base'!N158),2)-P158-'Calc base'!Z158)</f>
        <v>0</v>
      </c>
      <c r="AC158">
        <f>MAX(0,ROUND(BA157*(1+'Calc base'!O158),2)-Q158-'Calc base'!AA158)</f>
        <v>0</v>
      </c>
      <c r="AD158">
        <f>MAX(0,ROUND(BB157*(1+'Calc base'!P158),2)-R158-'Calc base'!AB158)</f>
        <v>0</v>
      </c>
      <c r="AE158">
        <f>MAX(0,ROUND(BC157*(1+'Calc base'!Q158),2)-S158-'Calc base'!AC158)</f>
        <v>0</v>
      </c>
      <c r="AF158">
        <f>MAX(0,ROUND(BD157*(1+'Calc base'!R158),2)-T158-'Calc base'!AD158)</f>
        <v>0</v>
      </c>
      <c r="AG158">
        <f>MAX(0,ROUND(BE157*(1+'Calc base'!S158),2)-U158-'Calc base'!AE158)</f>
        <v>0</v>
      </c>
      <c r="AH158">
        <f>IF('Calc base'!C$14=0,0,MIN(V158,MAX(0,$E158-SUMIFS($V158:$AG158,'Calc base'!$C$17:$N$17,"&lt;"&amp;'Calc base'!C$17,'Calc base'!$C$14:$N$14,1))))</f>
        <v>0</v>
      </c>
      <c r="AI158">
        <f>IF('Calc base'!D$14=0,0,MIN(W158,MAX(0,$E158-SUMIFS($V158:$AG158,'Calc base'!$C$17:$N$17,"&lt;"&amp;'Calc base'!D$17,'Calc base'!$C$14:$N$14,1))))</f>
        <v>0</v>
      </c>
      <c r="AJ158">
        <f>IF('Calc base'!E$14=0,0,MIN(X158,MAX(0,$E158-SUMIFS($V158:$AG158,'Calc base'!$C$17:$N$17,"&lt;"&amp;'Calc base'!E$17,'Calc base'!$C$14:$N$14,1))))</f>
        <v>0</v>
      </c>
      <c r="AK158">
        <f>IF('Calc base'!F$14=0,0,MIN(Y158,MAX(0,$E158-SUMIFS($V158:$AG158,'Calc base'!$C$17:$N$17,"&lt;"&amp;'Calc base'!F$17,'Calc base'!$C$14:$N$14,1))))</f>
        <v>0</v>
      </c>
      <c r="AL158">
        <f>IF('Calc base'!G$14=0,0,MIN(Z158,MAX(0,$E158-SUMIFS($V158:$AG158,'Calc base'!$C$17:$N$17,"&lt;"&amp;'Calc base'!G$17,'Calc base'!$C$14:$N$14,1))))</f>
        <v>0</v>
      </c>
      <c r="AM158">
        <f>IF('Calc base'!H$14=0,0,MIN(AA158,MAX(0,$E158-SUMIFS($V158:$AG158,'Calc base'!$C$17:$N$17,"&lt;"&amp;'Calc base'!H$17,'Calc base'!$C$14:$N$14,1))))</f>
        <v>0</v>
      </c>
      <c r="AN158">
        <f>IF('Calc base'!I$14=0,0,MIN(AB158,MAX(0,$E158-SUMIFS($V158:$AG158,'Calc base'!$C$17:$N$17,"&lt;"&amp;'Calc base'!I$17,'Calc base'!$C$14:$N$14,1))))</f>
        <v>0</v>
      </c>
      <c r="AO158">
        <f>IF('Calc base'!J$14=0,0,MIN(AC158,MAX(0,$E158-SUMIFS($V158:$AG158,'Calc base'!$C$17:$N$17,"&lt;"&amp;'Calc base'!J$17,'Calc base'!$C$14:$N$14,1))))</f>
        <v>0</v>
      </c>
      <c r="AP158">
        <f>IF('Calc base'!K$14=0,0,MIN(AD158,MAX(0,$E158-SUMIFS($V158:$AG158,'Calc base'!$C$17:$N$17,"&lt;"&amp;'Calc base'!K$17,'Calc base'!$C$14:$N$14,1))))</f>
        <v>0</v>
      </c>
      <c r="AQ158">
        <f>IF('Calc base'!L$14=0,0,MIN(AE158,MAX(0,$E158-SUMIFS($V158:$AG158,'Calc base'!$C$17:$N$17,"&lt;"&amp;'Calc base'!L$17,'Calc base'!$C$14:$N$14,1))))</f>
        <v>0</v>
      </c>
      <c r="AR158">
        <f>IF('Calc base'!M$14=0,0,MIN(AF158,MAX(0,$E158-SUMIFS($V158:$AG158,'Calc base'!$C$17:$N$17,"&lt;"&amp;'Calc base'!M$17,'Calc base'!$C$14:$N$14,1))))</f>
        <v>0</v>
      </c>
      <c r="AS158">
        <f>IF('Calc base'!N$14=0,0,MIN(AG158,MAX(0,$E158-SUMIFS($V158:$AG158,'Calc base'!$C$17:$N$17,"&lt;"&amp;'Calc base'!N$17,'Calc base'!$C$14:$N$14,1))))</f>
        <v>0</v>
      </c>
      <c r="AT158">
        <f>V158-AH158</f>
        <v>0</v>
      </c>
      <c r="AU158">
        <f>W158-AI158</f>
        <v>0</v>
      </c>
      <c r="AV158">
        <f>X158-AJ158</f>
        <v>0</v>
      </c>
      <c r="AW158">
        <f>Y158-AK158</f>
        <v>0</v>
      </c>
      <c r="AX158">
        <f>Z158-AL158</f>
        <v>0</v>
      </c>
      <c r="AY158">
        <f>AA158-AM158</f>
        <v>0</v>
      </c>
      <c r="AZ158">
        <f>AB158-AN158</f>
        <v>0</v>
      </c>
      <c r="BA158">
        <f>AC158-AO158</f>
        <v>0</v>
      </c>
      <c r="BB158">
        <f>AD158-AP158</f>
        <v>0</v>
      </c>
      <c r="BC158">
        <f>AE158-AQ158</f>
        <v>0</v>
      </c>
      <c r="BD158">
        <f>AF158-AR158</f>
        <v>0</v>
      </c>
      <c r="BE158">
        <f>AG158-AS158</f>
        <v>0</v>
      </c>
    </row>
    <row r="159">
      <c r="A159" t="n">
        <v>129</v>
      </c>
      <c r="B159">
        <f>SUMPRODUCT(ROUND($AT158:$BE158*(1+'Calc base'!$H159:$S159),2))</f>
        <v>0</v>
      </c>
      <c r="C159">
        <f>SUM(J159:U159)</f>
        <v>0</v>
      </c>
      <c r="D159">
        <f>SUM(V159:AG159)</f>
        <v>0</v>
      </c>
      <c r="E159">
        <f>MAX(0,IF(Impostazioni!$B$7="No",'Calc base'!$C159-$C$31,'Calc base'!$C159-C159)+'Calc base'!$G159+'Calc base'!$F159-(B159-C159-D159))</f>
        <v>900</v>
      </c>
      <c r="F159">
        <f>SUM(AH159:AS159)</f>
        <v>0</v>
      </c>
      <c r="G159">
        <f>SUM(AT159:BE159)</f>
        <v>0</v>
      </c>
      <c r="H159">
        <f>B159-G158</f>
        <v>0</v>
      </c>
      <c r="I159">
        <f>B159-G159</f>
        <v>0</v>
      </c>
      <c r="J159">
        <f>IF(AT158&lt;=0,0,IF(ROUND(AT158*(1+'Calc base'!H159),2)-MAX('Calc base'!C$12,ROUND('Calc base'!C$13*AT158,2))&lt;1,ROUND(AT158*(1+'Calc base'!H159),2),MAX('Calc base'!C$12,ROUND('Calc base'!C$13*AT158,2))))</f>
        <v>0</v>
      </c>
      <c r="K159">
        <f>IF(AU158&lt;=0,0,IF(ROUND(AU158*(1+'Calc base'!I159),2)-MAX('Calc base'!D$12,ROUND('Calc base'!D$13*AU158,2))&lt;1,ROUND(AU158*(1+'Calc base'!I159),2),MAX('Calc base'!D$12,ROUND('Calc base'!D$13*AU158,2))))</f>
        <v>0</v>
      </c>
      <c r="L159">
        <f>IF(AV158&lt;=0,0,IF(ROUND(AV158*(1+'Calc base'!J159),2)-MAX('Calc base'!E$12,ROUND('Calc base'!E$13*AV158,2))&lt;1,ROUND(AV158*(1+'Calc base'!J159),2),MAX('Calc base'!E$12,ROUND('Calc base'!E$13*AV158,2))))</f>
        <v>0</v>
      </c>
      <c r="M159">
        <f>IF(AW158&lt;=0,0,IF(ROUND(AW158*(1+'Calc base'!K159),2)-MAX('Calc base'!F$12,ROUND('Calc base'!F$13*AW158,2))&lt;1,ROUND(AW158*(1+'Calc base'!K159),2),MAX('Calc base'!F$12,ROUND('Calc base'!F$13*AW158,2))))</f>
        <v>0</v>
      </c>
      <c r="N159">
        <f>IF(AX158&lt;=0,0,IF(ROUND(AX158*(1+'Calc base'!L159),2)-MAX('Calc base'!G$12,ROUND('Calc base'!G$13*AX158,2))&lt;1,ROUND(AX158*(1+'Calc base'!L159),2),MAX('Calc base'!G$12,ROUND('Calc base'!G$13*AX158,2))))</f>
        <v>0</v>
      </c>
      <c r="O159">
        <f>IF(AY158&lt;=0,0,IF(ROUND(AY158*(1+'Calc base'!M159),2)-MAX('Calc base'!H$12,ROUND('Calc base'!H$13*AY158,2))&lt;1,ROUND(AY158*(1+'Calc base'!M159),2),MAX('Calc base'!H$12,ROUND('Calc base'!H$13*AY158,2))))</f>
        <v>0</v>
      </c>
      <c r="P159">
        <f>IF(AZ158&lt;=0,0,IF(ROUND(AZ158*(1+'Calc base'!N159),2)-MAX('Calc base'!I$12,ROUND('Calc base'!I$13*AZ158,2))&lt;1,ROUND(AZ158*(1+'Calc base'!N159),2),MAX('Calc base'!I$12,ROUND('Calc base'!I$13*AZ158,2))))</f>
        <v>0</v>
      </c>
      <c r="Q159">
        <f>IF(BA158&lt;=0,0,IF(ROUND(BA158*(1+'Calc base'!O159),2)-MAX('Calc base'!J$12,ROUND('Calc base'!J$13*BA158,2))&lt;1,ROUND(BA158*(1+'Calc base'!O159),2),MAX('Calc base'!J$12,ROUND('Calc base'!J$13*BA158,2))))</f>
        <v>0</v>
      </c>
      <c r="R159">
        <f>IF(BB158&lt;=0,0,IF(ROUND(BB158*(1+'Calc base'!P159),2)-MAX('Calc base'!K$12,ROUND('Calc base'!K$13*BB158,2))&lt;1,ROUND(BB158*(1+'Calc base'!P159),2),MAX('Calc base'!K$12,ROUND('Calc base'!K$13*BB158,2))))</f>
        <v>0</v>
      </c>
      <c r="S159">
        <f>IF(BC158&lt;=0,0,IF(ROUND(BC158*(1+'Calc base'!Q159),2)-MAX('Calc base'!L$12,ROUND('Calc base'!L$13*BC158,2))&lt;1,ROUND(BC158*(1+'Calc base'!Q159),2),MAX('Calc base'!L$12,ROUND('Calc base'!L$13*BC158,2))))</f>
        <v>0</v>
      </c>
      <c r="T159">
        <f>IF(BD158&lt;=0,0,IF(ROUND(BD158*(1+'Calc base'!R159),2)-MAX('Calc base'!M$12,ROUND('Calc base'!M$13*BD158,2))&lt;1,ROUND(BD158*(1+'Calc base'!R159),2),MAX('Calc base'!M$12,ROUND('Calc base'!M$13*BD158,2))))</f>
        <v>0</v>
      </c>
      <c r="U159">
        <f>IF(BE158&lt;=0,0,IF(ROUND(BE158*(1+'Calc base'!S159),2)-MAX('Calc base'!N$12,ROUND('Calc base'!N$13*BE158,2))&lt;1,ROUND(BE158*(1+'Calc base'!S159),2),MAX('Calc base'!N$12,ROUND('Calc base'!N$13*BE158,2))))</f>
        <v>0</v>
      </c>
      <c r="V159">
        <f>MAX(0,ROUND(AT158*(1+'Calc base'!H159),2)-J159-'Calc base'!T159)</f>
        <v>0</v>
      </c>
      <c r="W159">
        <f>MAX(0,ROUND(AU158*(1+'Calc base'!I159),2)-K159-'Calc base'!U159)</f>
        <v>0</v>
      </c>
      <c r="X159">
        <f>MAX(0,ROUND(AV158*(1+'Calc base'!J159),2)-L159-'Calc base'!V159)</f>
        <v>0</v>
      </c>
      <c r="Y159">
        <f>MAX(0,ROUND(AW158*(1+'Calc base'!K159),2)-M159-'Calc base'!W159)</f>
        <v>0</v>
      </c>
      <c r="Z159">
        <f>MAX(0,ROUND(AX158*(1+'Calc base'!L159),2)-N159-'Calc base'!X159)</f>
        <v>0</v>
      </c>
      <c r="AA159">
        <f>MAX(0,ROUND(AY158*(1+'Calc base'!M159),2)-O159-'Calc base'!Y159)</f>
        <v>0</v>
      </c>
      <c r="AB159">
        <f>MAX(0,ROUND(AZ158*(1+'Calc base'!N159),2)-P159-'Calc base'!Z159)</f>
        <v>0</v>
      </c>
      <c r="AC159">
        <f>MAX(0,ROUND(BA158*(1+'Calc base'!O159),2)-Q159-'Calc base'!AA159)</f>
        <v>0</v>
      </c>
      <c r="AD159">
        <f>MAX(0,ROUND(BB158*(1+'Calc base'!P159),2)-R159-'Calc base'!AB159)</f>
        <v>0</v>
      </c>
      <c r="AE159">
        <f>MAX(0,ROUND(BC158*(1+'Calc base'!Q159),2)-S159-'Calc base'!AC159)</f>
        <v>0</v>
      </c>
      <c r="AF159">
        <f>MAX(0,ROUND(BD158*(1+'Calc base'!R159),2)-T159-'Calc base'!AD159)</f>
        <v>0</v>
      </c>
      <c r="AG159">
        <f>MAX(0,ROUND(BE158*(1+'Calc base'!S159),2)-U159-'Calc base'!AE159)</f>
        <v>0</v>
      </c>
      <c r="AH159">
        <f>IF('Calc base'!C$14=0,0,MIN(V159,MAX(0,$E159-SUMIFS($V159:$AG159,'Calc base'!$C$17:$N$17,"&lt;"&amp;'Calc base'!C$17,'Calc base'!$C$14:$N$14,1))))</f>
        <v>0</v>
      </c>
      <c r="AI159">
        <f>IF('Calc base'!D$14=0,0,MIN(W159,MAX(0,$E159-SUMIFS($V159:$AG159,'Calc base'!$C$17:$N$17,"&lt;"&amp;'Calc base'!D$17,'Calc base'!$C$14:$N$14,1))))</f>
        <v>0</v>
      </c>
      <c r="AJ159">
        <f>IF('Calc base'!E$14=0,0,MIN(X159,MAX(0,$E159-SUMIFS($V159:$AG159,'Calc base'!$C$17:$N$17,"&lt;"&amp;'Calc base'!E$17,'Calc base'!$C$14:$N$14,1))))</f>
        <v>0</v>
      </c>
      <c r="AK159">
        <f>IF('Calc base'!F$14=0,0,MIN(Y159,MAX(0,$E159-SUMIFS($V159:$AG159,'Calc base'!$C$17:$N$17,"&lt;"&amp;'Calc base'!F$17,'Calc base'!$C$14:$N$14,1))))</f>
        <v>0</v>
      </c>
      <c r="AL159">
        <f>IF('Calc base'!G$14=0,0,MIN(Z159,MAX(0,$E159-SUMIFS($V159:$AG159,'Calc base'!$C$17:$N$17,"&lt;"&amp;'Calc base'!G$17,'Calc base'!$C$14:$N$14,1))))</f>
        <v>0</v>
      </c>
      <c r="AM159">
        <f>IF('Calc base'!H$14=0,0,MIN(AA159,MAX(0,$E159-SUMIFS($V159:$AG159,'Calc base'!$C$17:$N$17,"&lt;"&amp;'Calc base'!H$17,'Calc base'!$C$14:$N$14,1))))</f>
        <v>0</v>
      </c>
      <c r="AN159">
        <f>IF('Calc base'!I$14=0,0,MIN(AB159,MAX(0,$E159-SUMIFS($V159:$AG159,'Calc base'!$C$17:$N$17,"&lt;"&amp;'Calc base'!I$17,'Calc base'!$C$14:$N$14,1))))</f>
        <v>0</v>
      </c>
      <c r="AO159">
        <f>IF('Calc base'!J$14=0,0,MIN(AC159,MAX(0,$E159-SUMIFS($V159:$AG159,'Calc base'!$C$17:$N$17,"&lt;"&amp;'Calc base'!J$17,'Calc base'!$C$14:$N$14,1))))</f>
        <v>0</v>
      </c>
      <c r="AP159">
        <f>IF('Calc base'!K$14=0,0,MIN(AD159,MAX(0,$E159-SUMIFS($V159:$AG159,'Calc base'!$C$17:$N$17,"&lt;"&amp;'Calc base'!K$17,'Calc base'!$C$14:$N$14,1))))</f>
        <v>0</v>
      </c>
      <c r="AQ159">
        <f>IF('Calc base'!L$14=0,0,MIN(AE159,MAX(0,$E159-SUMIFS($V159:$AG159,'Calc base'!$C$17:$N$17,"&lt;"&amp;'Calc base'!L$17,'Calc base'!$C$14:$N$14,1))))</f>
        <v>0</v>
      </c>
      <c r="AR159">
        <f>IF('Calc base'!M$14=0,0,MIN(AF159,MAX(0,$E159-SUMIFS($V159:$AG159,'Calc base'!$C$17:$N$17,"&lt;"&amp;'Calc base'!M$17,'Calc base'!$C$14:$N$14,1))))</f>
        <v>0</v>
      </c>
      <c r="AS159">
        <f>IF('Calc base'!N$14=0,0,MIN(AG159,MAX(0,$E159-SUMIFS($V159:$AG159,'Calc base'!$C$17:$N$17,"&lt;"&amp;'Calc base'!N$17,'Calc base'!$C$14:$N$14,1))))</f>
        <v>0</v>
      </c>
      <c r="AT159">
        <f>V159-AH159</f>
        <v>0</v>
      </c>
      <c r="AU159">
        <f>W159-AI159</f>
        <v>0</v>
      </c>
      <c r="AV159">
        <f>X159-AJ159</f>
        <v>0</v>
      </c>
      <c r="AW159">
        <f>Y159-AK159</f>
        <v>0</v>
      </c>
      <c r="AX159">
        <f>Z159-AL159</f>
        <v>0</v>
      </c>
      <c r="AY159">
        <f>AA159-AM159</f>
        <v>0</v>
      </c>
      <c r="AZ159">
        <f>AB159-AN159</f>
        <v>0</v>
      </c>
      <c r="BA159">
        <f>AC159-AO159</f>
        <v>0</v>
      </c>
      <c r="BB159">
        <f>AD159-AP159</f>
        <v>0</v>
      </c>
      <c r="BC159">
        <f>AE159-AQ159</f>
        <v>0</v>
      </c>
      <c r="BD159">
        <f>AF159-AR159</f>
        <v>0</v>
      </c>
      <c r="BE159">
        <f>AG159-AS159</f>
        <v>0</v>
      </c>
    </row>
    <row r="160">
      <c r="A160" t="n">
        <v>130</v>
      </c>
      <c r="B160">
        <f>SUMPRODUCT(ROUND($AT159:$BE159*(1+'Calc base'!$H160:$S160),2))</f>
        <v>0</v>
      </c>
      <c r="C160">
        <f>SUM(J160:U160)</f>
        <v>0</v>
      </c>
      <c r="D160">
        <f>SUM(V160:AG160)</f>
        <v>0</v>
      </c>
      <c r="E160">
        <f>MAX(0,IF(Impostazioni!$B$7="No",'Calc base'!$C160-$C$31,'Calc base'!$C160-C160)+'Calc base'!$G160+'Calc base'!$F160-(B160-C160-D160))</f>
        <v>900</v>
      </c>
      <c r="F160">
        <f>SUM(AH160:AS160)</f>
        <v>0</v>
      </c>
      <c r="G160">
        <f>SUM(AT160:BE160)</f>
        <v>0</v>
      </c>
      <c r="H160">
        <f>B160-G159</f>
        <v>0</v>
      </c>
      <c r="I160">
        <f>B160-G160</f>
        <v>0</v>
      </c>
      <c r="J160">
        <f>IF(AT159&lt;=0,0,IF(ROUND(AT159*(1+'Calc base'!H160),2)-MAX('Calc base'!C$12,ROUND('Calc base'!C$13*AT159,2))&lt;1,ROUND(AT159*(1+'Calc base'!H160),2),MAX('Calc base'!C$12,ROUND('Calc base'!C$13*AT159,2))))</f>
        <v>0</v>
      </c>
      <c r="K160">
        <f>IF(AU159&lt;=0,0,IF(ROUND(AU159*(1+'Calc base'!I160),2)-MAX('Calc base'!D$12,ROUND('Calc base'!D$13*AU159,2))&lt;1,ROUND(AU159*(1+'Calc base'!I160),2),MAX('Calc base'!D$12,ROUND('Calc base'!D$13*AU159,2))))</f>
        <v>0</v>
      </c>
      <c r="L160">
        <f>IF(AV159&lt;=0,0,IF(ROUND(AV159*(1+'Calc base'!J160),2)-MAX('Calc base'!E$12,ROUND('Calc base'!E$13*AV159,2))&lt;1,ROUND(AV159*(1+'Calc base'!J160),2),MAX('Calc base'!E$12,ROUND('Calc base'!E$13*AV159,2))))</f>
        <v>0</v>
      </c>
      <c r="M160">
        <f>IF(AW159&lt;=0,0,IF(ROUND(AW159*(1+'Calc base'!K160),2)-MAX('Calc base'!F$12,ROUND('Calc base'!F$13*AW159,2))&lt;1,ROUND(AW159*(1+'Calc base'!K160),2),MAX('Calc base'!F$12,ROUND('Calc base'!F$13*AW159,2))))</f>
        <v>0</v>
      </c>
      <c r="N160">
        <f>IF(AX159&lt;=0,0,IF(ROUND(AX159*(1+'Calc base'!L160),2)-MAX('Calc base'!G$12,ROUND('Calc base'!G$13*AX159,2))&lt;1,ROUND(AX159*(1+'Calc base'!L160),2),MAX('Calc base'!G$12,ROUND('Calc base'!G$13*AX159,2))))</f>
        <v>0</v>
      </c>
      <c r="O160">
        <f>IF(AY159&lt;=0,0,IF(ROUND(AY159*(1+'Calc base'!M160),2)-MAX('Calc base'!H$12,ROUND('Calc base'!H$13*AY159,2))&lt;1,ROUND(AY159*(1+'Calc base'!M160),2),MAX('Calc base'!H$12,ROUND('Calc base'!H$13*AY159,2))))</f>
        <v>0</v>
      </c>
      <c r="P160">
        <f>IF(AZ159&lt;=0,0,IF(ROUND(AZ159*(1+'Calc base'!N160),2)-MAX('Calc base'!I$12,ROUND('Calc base'!I$13*AZ159,2))&lt;1,ROUND(AZ159*(1+'Calc base'!N160),2),MAX('Calc base'!I$12,ROUND('Calc base'!I$13*AZ159,2))))</f>
        <v>0</v>
      </c>
      <c r="Q160">
        <f>IF(BA159&lt;=0,0,IF(ROUND(BA159*(1+'Calc base'!O160),2)-MAX('Calc base'!J$12,ROUND('Calc base'!J$13*BA159,2))&lt;1,ROUND(BA159*(1+'Calc base'!O160),2),MAX('Calc base'!J$12,ROUND('Calc base'!J$13*BA159,2))))</f>
        <v>0</v>
      </c>
      <c r="R160">
        <f>IF(BB159&lt;=0,0,IF(ROUND(BB159*(1+'Calc base'!P160),2)-MAX('Calc base'!K$12,ROUND('Calc base'!K$13*BB159,2))&lt;1,ROUND(BB159*(1+'Calc base'!P160),2),MAX('Calc base'!K$12,ROUND('Calc base'!K$13*BB159,2))))</f>
        <v>0</v>
      </c>
      <c r="S160">
        <f>IF(BC159&lt;=0,0,IF(ROUND(BC159*(1+'Calc base'!Q160),2)-MAX('Calc base'!L$12,ROUND('Calc base'!L$13*BC159,2))&lt;1,ROUND(BC159*(1+'Calc base'!Q160),2),MAX('Calc base'!L$12,ROUND('Calc base'!L$13*BC159,2))))</f>
        <v>0</v>
      </c>
      <c r="T160">
        <f>IF(BD159&lt;=0,0,IF(ROUND(BD159*(1+'Calc base'!R160),2)-MAX('Calc base'!M$12,ROUND('Calc base'!M$13*BD159,2))&lt;1,ROUND(BD159*(1+'Calc base'!R160),2),MAX('Calc base'!M$12,ROUND('Calc base'!M$13*BD159,2))))</f>
        <v>0</v>
      </c>
      <c r="U160">
        <f>IF(BE159&lt;=0,0,IF(ROUND(BE159*(1+'Calc base'!S160),2)-MAX('Calc base'!N$12,ROUND('Calc base'!N$13*BE159,2))&lt;1,ROUND(BE159*(1+'Calc base'!S160),2),MAX('Calc base'!N$12,ROUND('Calc base'!N$13*BE159,2))))</f>
        <v>0</v>
      </c>
      <c r="V160">
        <f>MAX(0,ROUND(AT159*(1+'Calc base'!H160),2)-J160-'Calc base'!T160)</f>
        <v>0</v>
      </c>
      <c r="W160">
        <f>MAX(0,ROUND(AU159*(1+'Calc base'!I160),2)-K160-'Calc base'!U160)</f>
        <v>0</v>
      </c>
      <c r="X160">
        <f>MAX(0,ROUND(AV159*(1+'Calc base'!J160),2)-L160-'Calc base'!V160)</f>
        <v>0</v>
      </c>
      <c r="Y160">
        <f>MAX(0,ROUND(AW159*(1+'Calc base'!K160),2)-M160-'Calc base'!W160)</f>
        <v>0</v>
      </c>
      <c r="Z160">
        <f>MAX(0,ROUND(AX159*(1+'Calc base'!L160),2)-N160-'Calc base'!X160)</f>
        <v>0</v>
      </c>
      <c r="AA160">
        <f>MAX(0,ROUND(AY159*(1+'Calc base'!M160),2)-O160-'Calc base'!Y160)</f>
        <v>0</v>
      </c>
      <c r="AB160">
        <f>MAX(0,ROUND(AZ159*(1+'Calc base'!N160),2)-P160-'Calc base'!Z160)</f>
        <v>0</v>
      </c>
      <c r="AC160">
        <f>MAX(0,ROUND(BA159*(1+'Calc base'!O160),2)-Q160-'Calc base'!AA160)</f>
        <v>0</v>
      </c>
      <c r="AD160">
        <f>MAX(0,ROUND(BB159*(1+'Calc base'!P160),2)-R160-'Calc base'!AB160)</f>
        <v>0</v>
      </c>
      <c r="AE160">
        <f>MAX(0,ROUND(BC159*(1+'Calc base'!Q160),2)-S160-'Calc base'!AC160)</f>
        <v>0</v>
      </c>
      <c r="AF160">
        <f>MAX(0,ROUND(BD159*(1+'Calc base'!R160),2)-T160-'Calc base'!AD160)</f>
        <v>0</v>
      </c>
      <c r="AG160">
        <f>MAX(0,ROUND(BE159*(1+'Calc base'!S160),2)-U160-'Calc base'!AE160)</f>
        <v>0</v>
      </c>
      <c r="AH160">
        <f>IF('Calc base'!C$14=0,0,MIN(V160,MAX(0,$E160-SUMIFS($V160:$AG160,'Calc base'!$C$17:$N$17,"&lt;"&amp;'Calc base'!C$17,'Calc base'!$C$14:$N$14,1))))</f>
        <v>0</v>
      </c>
      <c r="AI160">
        <f>IF('Calc base'!D$14=0,0,MIN(W160,MAX(0,$E160-SUMIFS($V160:$AG160,'Calc base'!$C$17:$N$17,"&lt;"&amp;'Calc base'!D$17,'Calc base'!$C$14:$N$14,1))))</f>
        <v>0</v>
      </c>
      <c r="AJ160">
        <f>IF('Calc base'!E$14=0,0,MIN(X160,MAX(0,$E160-SUMIFS($V160:$AG160,'Calc base'!$C$17:$N$17,"&lt;"&amp;'Calc base'!E$17,'Calc base'!$C$14:$N$14,1))))</f>
        <v>0</v>
      </c>
      <c r="AK160">
        <f>IF('Calc base'!F$14=0,0,MIN(Y160,MAX(0,$E160-SUMIFS($V160:$AG160,'Calc base'!$C$17:$N$17,"&lt;"&amp;'Calc base'!F$17,'Calc base'!$C$14:$N$14,1))))</f>
        <v>0</v>
      </c>
      <c r="AL160">
        <f>IF('Calc base'!G$14=0,0,MIN(Z160,MAX(0,$E160-SUMIFS($V160:$AG160,'Calc base'!$C$17:$N$17,"&lt;"&amp;'Calc base'!G$17,'Calc base'!$C$14:$N$14,1))))</f>
        <v>0</v>
      </c>
      <c r="AM160">
        <f>IF('Calc base'!H$14=0,0,MIN(AA160,MAX(0,$E160-SUMIFS($V160:$AG160,'Calc base'!$C$17:$N$17,"&lt;"&amp;'Calc base'!H$17,'Calc base'!$C$14:$N$14,1))))</f>
        <v>0</v>
      </c>
      <c r="AN160">
        <f>IF('Calc base'!I$14=0,0,MIN(AB160,MAX(0,$E160-SUMIFS($V160:$AG160,'Calc base'!$C$17:$N$17,"&lt;"&amp;'Calc base'!I$17,'Calc base'!$C$14:$N$14,1))))</f>
        <v>0</v>
      </c>
      <c r="AO160">
        <f>IF('Calc base'!J$14=0,0,MIN(AC160,MAX(0,$E160-SUMIFS($V160:$AG160,'Calc base'!$C$17:$N$17,"&lt;"&amp;'Calc base'!J$17,'Calc base'!$C$14:$N$14,1))))</f>
        <v>0</v>
      </c>
      <c r="AP160">
        <f>IF('Calc base'!K$14=0,0,MIN(AD160,MAX(0,$E160-SUMIFS($V160:$AG160,'Calc base'!$C$17:$N$17,"&lt;"&amp;'Calc base'!K$17,'Calc base'!$C$14:$N$14,1))))</f>
        <v>0</v>
      </c>
      <c r="AQ160">
        <f>IF('Calc base'!L$14=0,0,MIN(AE160,MAX(0,$E160-SUMIFS($V160:$AG160,'Calc base'!$C$17:$N$17,"&lt;"&amp;'Calc base'!L$17,'Calc base'!$C$14:$N$14,1))))</f>
        <v>0</v>
      </c>
      <c r="AR160">
        <f>IF('Calc base'!M$14=0,0,MIN(AF160,MAX(0,$E160-SUMIFS($V160:$AG160,'Calc base'!$C$17:$N$17,"&lt;"&amp;'Calc base'!M$17,'Calc base'!$C$14:$N$14,1))))</f>
        <v>0</v>
      </c>
      <c r="AS160">
        <f>IF('Calc base'!N$14=0,0,MIN(AG160,MAX(0,$E160-SUMIFS($V160:$AG160,'Calc base'!$C$17:$N$17,"&lt;"&amp;'Calc base'!N$17,'Calc base'!$C$14:$N$14,1))))</f>
        <v>0</v>
      </c>
      <c r="AT160">
        <f>V160-AH160</f>
        <v>0</v>
      </c>
      <c r="AU160">
        <f>W160-AI160</f>
        <v>0</v>
      </c>
      <c r="AV160">
        <f>X160-AJ160</f>
        <v>0</v>
      </c>
      <c r="AW160">
        <f>Y160-AK160</f>
        <v>0</v>
      </c>
      <c r="AX160">
        <f>Z160-AL160</f>
        <v>0</v>
      </c>
      <c r="AY160">
        <f>AA160-AM160</f>
        <v>0</v>
      </c>
      <c r="AZ160">
        <f>AB160-AN160</f>
        <v>0</v>
      </c>
      <c r="BA160">
        <f>AC160-AO160</f>
        <v>0</v>
      </c>
      <c r="BB160">
        <f>AD160-AP160</f>
        <v>0</v>
      </c>
      <c r="BC160">
        <f>AE160-AQ160</f>
        <v>0</v>
      </c>
      <c r="BD160">
        <f>AF160-AR160</f>
        <v>0</v>
      </c>
      <c r="BE160">
        <f>AG160-AS160</f>
        <v>0</v>
      </c>
    </row>
    <row r="161">
      <c r="A161" t="n">
        <v>131</v>
      </c>
      <c r="B161">
        <f>SUMPRODUCT(ROUND($AT160:$BE160*(1+'Calc base'!$H161:$S161),2))</f>
        <v>0</v>
      </c>
      <c r="C161">
        <f>SUM(J161:U161)</f>
        <v>0</v>
      </c>
      <c r="D161">
        <f>SUM(V161:AG161)</f>
        <v>0</v>
      </c>
      <c r="E161">
        <f>MAX(0,IF(Impostazioni!$B$7="No",'Calc base'!$C161-$C$31,'Calc base'!$C161-C161)+'Calc base'!$G161+'Calc base'!$F161-(B161-C161-D161))</f>
        <v>900</v>
      </c>
      <c r="F161">
        <f>SUM(AH161:AS161)</f>
        <v>0</v>
      </c>
      <c r="G161">
        <f>SUM(AT161:BE161)</f>
        <v>0</v>
      </c>
      <c r="H161">
        <f>B161-G160</f>
        <v>0</v>
      </c>
      <c r="I161">
        <f>B161-G161</f>
        <v>0</v>
      </c>
      <c r="J161">
        <f>IF(AT160&lt;=0,0,IF(ROUND(AT160*(1+'Calc base'!H161),2)-MAX('Calc base'!C$12,ROUND('Calc base'!C$13*AT160,2))&lt;1,ROUND(AT160*(1+'Calc base'!H161),2),MAX('Calc base'!C$12,ROUND('Calc base'!C$13*AT160,2))))</f>
        <v>0</v>
      </c>
      <c r="K161">
        <f>IF(AU160&lt;=0,0,IF(ROUND(AU160*(1+'Calc base'!I161),2)-MAX('Calc base'!D$12,ROUND('Calc base'!D$13*AU160,2))&lt;1,ROUND(AU160*(1+'Calc base'!I161),2),MAX('Calc base'!D$12,ROUND('Calc base'!D$13*AU160,2))))</f>
        <v>0</v>
      </c>
      <c r="L161">
        <f>IF(AV160&lt;=0,0,IF(ROUND(AV160*(1+'Calc base'!J161),2)-MAX('Calc base'!E$12,ROUND('Calc base'!E$13*AV160,2))&lt;1,ROUND(AV160*(1+'Calc base'!J161),2),MAX('Calc base'!E$12,ROUND('Calc base'!E$13*AV160,2))))</f>
        <v>0</v>
      </c>
      <c r="M161">
        <f>IF(AW160&lt;=0,0,IF(ROUND(AW160*(1+'Calc base'!K161),2)-MAX('Calc base'!F$12,ROUND('Calc base'!F$13*AW160,2))&lt;1,ROUND(AW160*(1+'Calc base'!K161),2),MAX('Calc base'!F$12,ROUND('Calc base'!F$13*AW160,2))))</f>
        <v>0</v>
      </c>
      <c r="N161">
        <f>IF(AX160&lt;=0,0,IF(ROUND(AX160*(1+'Calc base'!L161),2)-MAX('Calc base'!G$12,ROUND('Calc base'!G$13*AX160,2))&lt;1,ROUND(AX160*(1+'Calc base'!L161),2),MAX('Calc base'!G$12,ROUND('Calc base'!G$13*AX160,2))))</f>
        <v>0</v>
      </c>
      <c r="O161">
        <f>IF(AY160&lt;=0,0,IF(ROUND(AY160*(1+'Calc base'!M161),2)-MAX('Calc base'!H$12,ROUND('Calc base'!H$13*AY160,2))&lt;1,ROUND(AY160*(1+'Calc base'!M161),2),MAX('Calc base'!H$12,ROUND('Calc base'!H$13*AY160,2))))</f>
        <v>0</v>
      </c>
      <c r="P161">
        <f>IF(AZ160&lt;=0,0,IF(ROUND(AZ160*(1+'Calc base'!N161),2)-MAX('Calc base'!I$12,ROUND('Calc base'!I$13*AZ160,2))&lt;1,ROUND(AZ160*(1+'Calc base'!N161),2),MAX('Calc base'!I$12,ROUND('Calc base'!I$13*AZ160,2))))</f>
        <v>0</v>
      </c>
      <c r="Q161">
        <f>IF(BA160&lt;=0,0,IF(ROUND(BA160*(1+'Calc base'!O161),2)-MAX('Calc base'!J$12,ROUND('Calc base'!J$13*BA160,2))&lt;1,ROUND(BA160*(1+'Calc base'!O161),2),MAX('Calc base'!J$12,ROUND('Calc base'!J$13*BA160,2))))</f>
        <v>0</v>
      </c>
      <c r="R161">
        <f>IF(BB160&lt;=0,0,IF(ROUND(BB160*(1+'Calc base'!P161),2)-MAX('Calc base'!K$12,ROUND('Calc base'!K$13*BB160,2))&lt;1,ROUND(BB160*(1+'Calc base'!P161),2),MAX('Calc base'!K$12,ROUND('Calc base'!K$13*BB160,2))))</f>
        <v>0</v>
      </c>
      <c r="S161">
        <f>IF(BC160&lt;=0,0,IF(ROUND(BC160*(1+'Calc base'!Q161),2)-MAX('Calc base'!L$12,ROUND('Calc base'!L$13*BC160,2))&lt;1,ROUND(BC160*(1+'Calc base'!Q161),2),MAX('Calc base'!L$12,ROUND('Calc base'!L$13*BC160,2))))</f>
        <v>0</v>
      </c>
      <c r="T161">
        <f>IF(BD160&lt;=0,0,IF(ROUND(BD160*(1+'Calc base'!R161),2)-MAX('Calc base'!M$12,ROUND('Calc base'!M$13*BD160,2))&lt;1,ROUND(BD160*(1+'Calc base'!R161),2),MAX('Calc base'!M$12,ROUND('Calc base'!M$13*BD160,2))))</f>
        <v>0</v>
      </c>
      <c r="U161">
        <f>IF(BE160&lt;=0,0,IF(ROUND(BE160*(1+'Calc base'!S161),2)-MAX('Calc base'!N$12,ROUND('Calc base'!N$13*BE160,2))&lt;1,ROUND(BE160*(1+'Calc base'!S161),2),MAX('Calc base'!N$12,ROUND('Calc base'!N$13*BE160,2))))</f>
        <v>0</v>
      </c>
      <c r="V161">
        <f>MAX(0,ROUND(AT160*(1+'Calc base'!H161),2)-J161-'Calc base'!T161)</f>
        <v>0</v>
      </c>
      <c r="W161">
        <f>MAX(0,ROUND(AU160*(1+'Calc base'!I161),2)-K161-'Calc base'!U161)</f>
        <v>0</v>
      </c>
      <c r="X161">
        <f>MAX(0,ROUND(AV160*(1+'Calc base'!J161),2)-L161-'Calc base'!V161)</f>
        <v>0</v>
      </c>
      <c r="Y161">
        <f>MAX(0,ROUND(AW160*(1+'Calc base'!K161),2)-M161-'Calc base'!W161)</f>
        <v>0</v>
      </c>
      <c r="Z161">
        <f>MAX(0,ROUND(AX160*(1+'Calc base'!L161),2)-N161-'Calc base'!X161)</f>
        <v>0</v>
      </c>
      <c r="AA161">
        <f>MAX(0,ROUND(AY160*(1+'Calc base'!M161),2)-O161-'Calc base'!Y161)</f>
        <v>0</v>
      </c>
      <c r="AB161">
        <f>MAX(0,ROUND(AZ160*(1+'Calc base'!N161),2)-P161-'Calc base'!Z161)</f>
        <v>0</v>
      </c>
      <c r="AC161">
        <f>MAX(0,ROUND(BA160*(1+'Calc base'!O161),2)-Q161-'Calc base'!AA161)</f>
        <v>0</v>
      </c>
      <c r="AD161">
        <f>MAX(0,ROUND(BB160*(1+'Calc base'!P161),2)-R161-'Calc base'!AB161)</f>
        <v>0</v>
      </c>
      <c r="AE161">
        <f>MAX(0,ROUND(BC160*(1+'Calc base'!Q161),2)-S161-'Calc base'!AC161)</f>
        <v>0</v>
      </c>
      <c r="AF161">
        <f>MAX(0,ROUND(BD160*(1+'Calc base'!R161),2)-T161-'Calc base'!AD161)</f>
        <v>0</v>
      </c>
      <c r="AG161">
        <f>MAX(0,ROUND(BE160*(1+'Calc base'!S161),2)-U161-'Calc base'!AE161)</f>
        <v>0</v>
      </c>
      <c r="AH161">
        <f>IF('Calc base'!C$14=0,0,MIN(V161,MAX(0,$E161-SUMIFS($V161:$AG161,'Calc base'!$C$17:$N$17,"&lt;"&amp;'Calc base'!C$17,'Calc base'!$C$14:$N$14,1))))</f>
        <v>0</v>
      </c>
      <c r="AI161">
        <f>IF('Calc base'!D$14=0,0,MIN(W161,MAX(0,$E161-SUMIFS($V161:$AG161,'Calc base'!$C$17:$N$17,"&lt;"&amp;'Calc base'!D$17,'Calc base'!$C$14:$N$14,1))))</f>
        <v>0</v>
      </c>
      <c r="AJ161">
        <f>IF('Calc base'!E$14=0,0,MIN(X161,MAX(0,$E161-SUMIFS($V161:$AG161,'Calc base'!$C$17:$N$17,"&lt;"&amp;'Calc base'!E$17,'Calc base'!$C$14:$N$14,1))))</f>
        <v>0</v>
      </c>
      <c r="AK161">
        <f>IF('Calc base'!F$14=0,0,MIN(Y161,MAX(0,$E161-SUMIFS($V161:$AG161,'Calc base'!$C$17:$N$17,"&lt;"&amp;'Calc base'!F$17,'Calc base'!$C$14:$N$14,1))))</f>
        <v>0</v>
      </c>
      <c r="AL161">
        <f>IF('Calc base'!G$14=0,0,MIN(Z161,MAX(0,$E161-SUMIFS($V161:$AG161,'Calc base'!$C$17:$N$17,"&lt;"&amp;'Calc base'!G$17,'Calc base'!$C$14:$N$14,1))))</f>
        <v>0</v>
      </c>
      <c r="AM161">
        <f>IF('Calc base'!H$14=0,0,MIN(AA161,MAX(0,$E161-SUMIFS($V161:$AG161,'Calc base'!$C$17:$N$17,"&lt;"&amp;'Calc base'!H$17,'Calc base'!$C$14:$N$14,1))))</f>
        <v>0</v>
      </c>
      <c r="AN161">
        <f>IF('Calc base'!I$14=0,0,MIN(AB161,MAX(0,$E161-SUMIFS($V161:$AG161,'Calc base'!$C$17:$N$17,"&lt;"&amp;'Calc base'!I$17,'Calc base'!$C$14:$N$14,1))))</f>
        <v>0</v>
      </c>
      <c r="AO161">
        <f>IF('Calc base'!J$14=0,0,MIN(AC161,MAX(0,$E161-SUMIFS($V161:$AG161,'Calc base'!$C$17:$N$17,"&lt;"&amp;'Calc base'!J$17,'Calc base'!$C$14:$N$14,1))))</f>
        <v>0</v>
      </c>
      <c r="AP161">
        <f>IF('Calc base'!K$14=0,0,MIN(AD161,MAX(0,$E161-SUMIFS($V161:$AG161,'Calc base'!$C$17:$N$17,"&lt;"&amp;'Calc base'!K$17,'Calc base'!$C$14:$N$14,1))))</f>
        <v>0</v>
      </c>
      <c r="AQ161">
        <f>IF('Calc base'!L$14=0,0,MIN(AE161,MAX(0,$E161-SUMIFS($V161:$AG161,'Calc base'!$C$17:$N$17,"&lt;"&amp;'Calc base'!L$17,'Calc base'!$C$14:$N$14,1))))</f>
        <v>0</v>
      </c>
      <c r="AR161">
        <f>IF('Calc base'!M$14=0,0,MIN(AF161,MAX(0,$E161-SUMIFS($V161:$AG161,'Calc base'!$C$17:$N$17,"&lt;"&amp;'Calc base'!M$17,'Calc base'!$C$14:$N$14,1))))</f>
        <v>0</v>
      </c>
      <c r="AS161">
        <f>IF('Calc base'!N$14=0,0,MIN(AG161,MAX(0,$E161-SUMIFS($V161:$AG161,'Calc base'!$C$17:$N$17,"&lt;"&amp;'Calc base'!N$17,'Calc base'!$C$14:$N$14,1))))</f>
        <v>0</v>
      </c>
      <c r="AT161">
        <f>V161-AH161</f>
        <v>0</v>
      </c>
      <c r="AU161">
        <f>W161-AI161</f>
        <v>0</v>
      </c>
      <c r="AV161">
        <f>X161-AJ161</f>
        <v>0</v>
      </c>
      <c r="AW161">
        <f>Y161-AK161</f>
        <v>0</v>
      </c>
      <c r="AX161">
        <f>Z161-AL161</f>
        <v>0</v>
      </c>
      <c r="AY161">
        <f>AA161-AM161</f>
        <v>0</v>
      </c>
      <c r="AZ161">
        <f>AB161-AN161</f>
        <v>0</v>
      </c>
      <c r="BA161">
        <f>AC161-AO161</f>
        <v>0</v>
      </c>
      <c r="BB161">
        <f>AD161-AP161</f>
        <v>0</v>
      </c>
      <c r="BC161">
        <f>AE161-AQ161</f>
        <v>0</v>
      </c>
      <c r="BD161">
        <f>AF161-AR161</f>
        <v>0</v>
      </c>
      <c r="BE161">
        <f>AG161-AS161</f>
        <v>0</v>
      </c>
    </row>
    <row r="162">
      <c r="A162" t="n">
        <v>132</v>
      </c>
      <c r="B162">
        <f>SUMPRODUCT(ROUND($AT161:$BE161*(1+'Calc base'!$H162:$S162),2))</f>
        <v>0</v>
      </c>
      <c r="C162">
        <f>SUM(J162:U162)</f>
        <v>0</v>
      </c>
      <c r="D162">
        <f>SUM(V162:AG162)</f>
        <v>0</v>
      </c>
      <c r="E162">
        <f>MAX(0,IF(Impostazioni!$B$7="No",'Calc base'!$C162-$C$31,'Calc base'!$C162-C162)+'Calc base'!$G162+'Calc base'!$F162-(B162-C162-D162))</f>
        <v>900</v>
      </c>
      <c r="F162">
        <f>SUM(AH162:AS162)</f>
        <v>0</v>
      </c>
      <c r="G162">
        <f>SUM(AT162:BE162)</f>
        <v>0</v>
      </c>
      <c r="H162">
        <f>B162-G161</f>
        <v>0</v>
      </c>
      <c r="I162">
        <f>B162-G162</f>
        <v>0</v>
      </c>
      <c r="J162">
        <f>IF(AT161&lt;=0,0,IF(ROUND(AT161*(1+'Calc base'!H162),2)-MAX('Calc base'!C$12,ROUND('Calc base'!C$13*AT161,2))&lt;1,ROUND(AT161*(1+'Calc base'!H162),2),MAX('Calc base'!C$12,ROUND('Calc base'!C$13*AT161,2))))</f>
        <v>0</v>
      </c>
      <c r="K162">
        <f>IF(AU161&lt;=0,0,IF(ROUND(AU161*(1+'Calc base'!I162),2)-MAX('Calc base'!D$12,ROUND('Calc base'!D$13*AU161,2))&lt;1,ROUND(AU161*(1+'Calc base'!I162),2),MAX('Calc base'!D$12,ROUND('Calc base'!D$13*AU161,2))))</f>
        <v>0</v>
      </c>
      <c r="L162">
        <f>IF(AV161&lt;=0,0,IF(ROUND(AV161*(1+'Calc base'!J162),2)-MAX('Calc base'!E$12,ROUND('Calc base'!E$13*AV161,2))&lt;1,ROUND(AV161*(1+'Calc base'!J162),2),MAX('Calc base'!E$12,ROUND('Calc base'!E$13*AV161,2))))</f>
        <v>0</v>
      </c>
      <c r="M162">
        <f>IF(AW161&lt;=0,0,IF(ROUND(AW161*(1+'Calc base'!K162),2)-MAX('Calc base'!F$12,ROUND('Calc base'!F$13*AW161,2))&lt;1,ROUND(AW161*(1+'Calc base'!K162),2),MAX('Calc base'!F$12,ROUND('Calc base'!F$13*AW161,2))))</f>
        <v>0</v>
      </c>
      <c r="N162">
        <f>IF(AX161&lt;=0,0,IF(ROUND(AX161*(1+'Calc base'!L162),2)-MAX('Calc base'!G$12,ROUND('Calc base'!G$13*AX161,2))&lt;1,ROUND(AX161*(1+'Calc base'!L162),2),MAX('Calc base'!G$12,ROUND('Calc base'!G$13*AX161,2))))</f>
        <v>0</v>
      </c>
      <c r="O162">
        <f>IF(AY161&lt;=0,0,IF(ROUND(AY161*(1+'Calc base'!M162),2)-MAX('Calc base'!H$12,ROUND('Calc base'!H$13*AY161,2))&lt;1,ROUND(AY161*(1+'Calc base'!M162),2),MAX('Calc base'!H$12,ROUND('Calc base'!H$13*AY161,2))))</f>
        <v>0</v>
      </c>
      <c r="P162">
        <f>IF(AZ161&lt;=0,0,IF(ROUND(AZ161*(1+'Calc base'!N162),2)-MAX('Calc base'!I$12,ROUND('Calc base'!I$13*AZ161,2))&lt;1,ROUND(AZ161*(1+'Calc base'!N162),2),MAX('Calc base'!I$12,ROUND('Calc base'!I$13*AZ161,2))))</f>
        <v>0</v>
      </c>
      <c r="Q162">
        <f>IF(BA161&lt;=0,0,IF(ROUND(BA161*(1+'Calc base'!O162),2)-MAX('Calc base'!J$12,ROUND('Calc base'!J$13*BA161,2))&lt;1,ROUND(BA161*(1+'Calc base'!O162),2),MAX('Calc base'!J$12,ROUND('Calc base'!J$13*BA161,2))))</f>
        <v>0</v>
      </c>
      <c r="R162">
        <f>IF(BB161&lt;=0,0,IF(ROUND(BB161*(1+'Calc base'!P162),2)-MAX('Calc base'!K$12,ROUND('Calc base'!K$13*BB161,2))&lt;1,ROUND(BB161*(1+'Calc base'!P162),2),MAX('Calc base'!K$12,ROUND('Calc base'!K$13*BB161,2))))</f>
        <v>0</v>
      </c>
      <c r="S162">
        <f>IF(BC161&lt;=0,0,IF(ROUND(BC161*(1+'Calc base'!Q162),2)-MAX('Calc base'!L$12,ROUND('Calc base'!L$13*BC161,2))&lt;1,ROUND(BC161*(1+'Calc base'!Q162),2),MAX('Calc base'!L$12,ROUND('Calc base'!L$13*BC161,2))))</f>
        <v>0</v>
      </c>
      <c r="T162">
        <f>IF(BD161&lt;=0,0,IF(ROUND(BD161*(1+'Calc base'!R162),2)-MAX('Calc base'!M$12,ROUND('Calc base'!M$13*BD161,2))&lt;1,ROUND(BD161*(1+'Calc base'!R162),2),MAX('Calc base'!M$12,ROUND('Calc base'!M$13*BD161,2))))</f>
        <v>0</v>
      </c>
      <c r="U162">
        <f>IF(BE161&lt;=0,0,IF(ROUND(BE161*(1+'Calc base'!S162),2)-MAX('Calc base'!N$12,ROUND('Calc base'!N$13*BE161,2))&lt;1,ROUND(BE161*(1+'Calc base'!S162),2),MAX('Calc base'!N$12,ROUND('Calc base'!N$13*BE161,2))))</f>
        <v>0</v>
      </c>
      <c r="V162">
        <f>MAX(0,ROUND(AT161*(1+'Calc base'!H162),2)-J162-'Calc base'!T162)</f>
        <v>0</v>
      </c>
      <c r="W162">
        <f>MAX(0,ROUND(AU161*(1+'Calc base'!I162),2)-K162-'Calc base'!U162)</f>
        <v>0</v>
      </c>
      <c r="X162">
        <f>MAX(0,ROUND(AV161*(1+'Calc base'!J162),2)-L162-'Calc base'!V162)</f>
        <v>0</v>
      </c>
      <c r="Y162">
        <f>MAX(0,ROUND(AW161*(1+'Calc base'!K162),2)-M162-'Calc base'!W162)</f>
        <v>0</v>
      </c>
      <c r="Z162">
        <f>MAX(0,ROUND(AX161*(1+'Calc base'!L162),2)-N162-'Calc base'!X162)</f>
        <v>0</v>
      </c>
      <c r="AA162">
        <f>MAX(0,ROUND(AY161*(1+'Calc base'!M162),2)-O162-'Calc base'!Y162)</f>
        <v>0</v>
      </c>
      <c r="AB162">
        <f>MAX(0,ROUND(AZ161*(1+'Calc base'!N162),2)-P162-'Calc base'!Z162)</f>
        <v>0</v>
      </c>
      <c r="AC162">
        <f>MAX(0,ROUND(BA161*(1+'Calc base'!O162),2)-Q162-'Calc base'!AA162)</f>
        <v>0</v>
      </c>
      <c r="AD162">
        <f>MAX(0,ROUND(BB161*(1+'Calc base'!P162),2)-R162-'Calc base'!AB162)</f>
        <v>0</v>
      </c>
      <c r="AE162">
        <f>MAX(0,ROUND(BC161*(1+'Calc base'!Q162),2)-S162-'Calc base'!AC162)</f>
        <v>0</v>
      </c>
      <c r="AF162">
        <f>MAX(0,ROUND(BD161*(1+'Calc base'!R162),2)-T162-'Calc base'!AD162)</f>
        <v>0</v>
      </c>
      <c r="AG162">
        <f>MAX(0,ROUND(BE161*(1+'Calc base'!S162),2)-U162-'Calc base'!AE162)</f>
        <v>0</v>
      </c>
      <c r="AH162">
        <f>IF('Calc base'!C$14=0,0,MIN(V162,MAX(0,$E162-SUMIFS($V162:$AG162,'Calc base'!$C$17:$N$17,"&lt;"&amp;'Calc base'!C$17,'Calc base'!$C$14:$N$14,1))))</f>
        <v>0</v>
      </c>
      <c r="AI162">
        <f>IF('Calc base'!D$14=0,0,MIN(W162,MAX(0,$E162-SUMIFS($V162:$AG162,'Calc base'!$C$17:$N$17,"&lt;"&amp;'Calc base'!D$17,'Calc base'!$C$14:$N$14,1))))</f>
        <v>0</v>
      </c>
      <c r="AJ162">
        <f>IF('Calc base'!E$14=0,0,MIN(X162,MAX(0,$E162-SUMIFS($V162:$AG162,'Calc base'!$C$17:$N$17,"&lt;"&amp;'Calc base'!E$17,'Calc base'!$C$14:$N$14,1))))</f>
        <v>0</v>
      </c>
      <c r="AK162">
        <f>IF('Calc base'!F$14=0,0,MIN(Y162,MAX(0,$E162-SUMIFS($V162:$AG162,'Calc base'!$C$17:$N$17,"&lt;"&amp;'Calc base'!F$17,'Calc base'!$C$14:$N$14,1))))</f>
        <v>0</v>
      </c>
      <c r="AL162">
        <f>IF('Calc base'!G$14=0,0,MIN(Z162,MAX(0,$E162-SUMIFS($V162:$AG162,'Calc base'!$C$17:$N$17,"&lt;"&amp;'Calc base'!G$17,'Calc base'!$C$14:$N$14,1))))</f>
        <v>0</v>
      </c>
      <c r="AM162">
        <f>IF('Calc base'!H$14=0,0,MIN(AA162,MAX(0,$E162-SUMIFS($V162:$AG162,'Calc base'!$C$17:$N$17,"&lt;"&amp;'Calc base'!H$17,'Calc base'!$C$14:$N$14,1))))</f>
        <v>0</v>
      </c>
      <c r="AN162">
        <f>IF('Calc base'!I$14=0,0,MIN(AB162,MAX(0,$E162-SUMIFS($V162:$AG162,'Calc base'!$C$17:$N$17,"&lt;"&amp;'Calc base'!I$17,'Calc base'!$C$14:$N$14,1))))</f>
        <v>0</v>
      </c>
      <c r="AO162">
        <f>IF('Calc base'!J$14=0,0,MIN(AC162,MAX(0,$E162-SUMIFS($V162:$AG162,'Calc base'!$C$17:$N$17,"&lt;"&amp;'Calc base'!J$17,'Calc base'!$C$14:$N$14,1))))</f>
        <v>0</v>
      </c>
      <c r="AP162">
        <f>IF('Calc base'!K$14=0,0,MIN(AD162,MAX(0,$E162-SUMIFS($V162:$AG162,'Calc base'!$C$17:$N$17,"&lt;"&amp;'Calc base'!K$17,'Calc base'!$C$14:$N$14,1))))</f>
        <v>0</v>
      </c>
      <c r="AQ162">
        <f>IF('Calc base'!L$14=0,0,MIN(AE162,MAX(0,$E162-SUMIFS($V162:$AG162,'Calc base'!$C$17:$N$17,"&lt;"&amp;'Calc base'!L$17,'Calc base'!$C$14:$N$14,1))))</f>
        <v>0</v>
      </c>
      <c r="AR162">
        <f>IF('Calc base'!M$14=0,0,MIN(AF162,MAX(0,$E162-SUMIFS($V162:$AG162,'Calc base'!$C$17:$N$17,"&lt;"&amp;'Calc base'!M$17,'Calc base'!$C$14:$N$14,1))))</f>
        <v>0</v>
      </c>
      <c r="AS162">
        <f>IF('Calc base'!N$14=0,0,MIN(AG162,MAX(0,$E162-SUMIFS($V162:$AG162,'Calc base'!$C$17:$N$17,"&lt;"&amp;'Calc base'!N$17,'Calc base'!$C$14:$N$14,1))))</f>
        <v>0</v>
      </c>
      <c r="AT162">
        <f>V162-AH162</f>
        <v>0</v>
      </c>
      <c r="AU162">
        <f>W162-AI162</f>
        <v>0</v>
      </c>
      <c r="AV162">
        <f>X162-AJ162</f>
        <v>0</v>
      </c>
      <c r="AW162">
        <f>Y162-AK162</f>
        <v>0</v>
      </c>
      <c r="AX162">
        <f>Z162-AL162</f>
        <v>0</v>
      </c>
      <c r="AY162">
        <f>AA162-AM162</f>
        <v>0</v>
      </c>
      <c r="AZ162">
        <f>AB162-AN162</f>
        <v>0</v>
      </c>
      <c r="BA162">
        <f>AC162-AO162</f>
        <v>0</v>
      </c>
      <c r="BB162">
        <f>AD162-AP162</f>
        <v>0</v>
      </c>
      <c r="BC162">
        <f>AE162-AQ162</f>
        <v>0</v>
      </c>
      <c r="BD162">
        <f>AF162-AR162</f>
        <v>0</v>
      </c>
      <c r="BE162">
        <f>AG162-AS162</f>
        <v>0</v>
      </c>
    </row>
    <row r="163">
      <c r="A163" t="n">
        <v>133</v>
      </c>
      <c r="B163">
        <f>SUMPRODUCT(ROUND($AT162:$BE162*(1+'Calc base'!$H163:$S163),2))</f>
        <v>0</v>
      </c>
      <c r="C163">
        <f>SUM(J163:U163)</f>
        <v>0</v>
      </c>
      <c r="D163">
        <f>SUM(V163:AG163)</f>
        <v>0</v>
      </c>
      <c r="E163">
        <f>MAX(0,IF(Impostazioni!$B$7="No",'Calc base'!$C163-$C$31,'Calc base'!$C163-C163)+'Calc base'!$G163+'Calc base'!$F163-(B163-C163-D163))</f>
        <v>900</v>
      </c>
      <c r="F163">
        <f>SUM(AH163:AS163)</f>
        <v>0</v>
      </c>
      <c r="G163">
        <f>SUM(AT163:BE163)</f>
        <v>0</v>
      </c>
      <c r="H163">
        <f>B163-G162</f>
        <v>0</v>
      </c>
      <c r="I163">
        <f>B163-G163</f>
        <v>0</v>
      </c>
      <c r="J163">
        <f>IF(AT162&lt;=0,0,IF(ROUND(AT162*(1+'Calc base'!H163),2)-MAX('Calc base'!C$12,ROUND('Calc base'!C$13*AT162,2))&lt;1,ROUND(AT162*(1+'Calc base'!H163),2),MAX('Calc base'!C$12,ROUND('Calc base'!C$13*AT162,2))))</f>
        <v>0</v>
      </c>
      <c r="K163">
        <f>IF(AU162&lt;=0,0,IF(ROUND(AU162*(1+'Calc base'!I163),2)-MAX('Calc base'!D$12,ROUND('Calc base'!D$13*AU162,2))&lt;1,ROUND(AU162*(1+'Calc base'!I163),2),MAX('Calc base'!D$12,ROUND('Calc base'!D$13*AU162,2))))</f>
        <v>0</v>
      </c>
      <c r="L163">
        <f>IF(AV162&lt;=0,0,IF(ROUND(AV162*(1+'Calc base'!J163),2)-MAX('Calc base'!E$12,ROUND('Calc base'!E$13*AV162,2))&lt;1,ROUND(AV162*(1+'Calc base'!J163),2),MAX('Calc base'!E$12,ROUND('Calc base'!E$13*AV162,2))))</f>
        <v>0</v>
      </c>
      <c r="M163">
        <f>IF(AW162&lt;=0,0,IF(ROUND(AW162*(1+'Calc base'!K163),2)-MAX('Calc base'!F$12,ROUND('Calc base'!F$13*AW162,2))&lt;1,ROUND(AW162*(1+'Calc base'!K163),2),MAX('Calc base'!F$12,ROUND('Calc base'!F$13*AW162,2))))</f>
        <v>0</v>
      </c>
      <c r="N163">
        <f>IF(AX162&lt;=0,0,IF(ROUND(AX162*(1+'Calc base'!L163),2)-MAX('Calc base'!G$12,ROUND('Calc base'!G$13*AX162,2))&lt;1,ROUND(AX162*(1+'Calc base'!L163),2),MAX('Calc base'!G$12,ROUND('Calc base'!G$13*AX162,2))))</f>
        <v>0</v>
      </c>
      <c r="O163">
        <f>IF(AY162&lt;=0,0,IF(ROUND(AY162*(1+'Calc base'!M163),2)-MAX('Calc base'!H$12,ROUND('Calc base'!H$13*AY162,2))&lt;1,ROUND(AY162*(1+'Calc base'!M163),2),MAX('Calc base'!H$12,ROUND('Calc base'!H$13*AY162,2))))</f>
        <v>0</v>
      </c>
      <c r="P163">
        <f>IF(AZ162&lt;=0,0,IF(ROUND(AZ162*(1+'Calc base'!N163),2)-MAX('Calc base'!I$12,ROUND('Calc base'!I$13*AZ162,2))&lt;1,ROUND(AZ162*(1+'Calc base'!N163),2),MAX('Calc base'!I$12,ROUND('Calc base'!I$13*AZ162,2))))</f>
        <v>0</v>
      </c>
      <c r="Q163">
        <f>IF(BA162&lt;=0,0,IF(ROUND(BA162*(1+'Calc base'!O163),2)-MAX('Calc base'!J$12,ROUND('Calc base'!J$13*BA162,2))&lt;1,ROUND(BA162*(1+'Calc base'!O163),2),MAX('Calc base'!J$12,ROUND('Calc base'!J$13*BA162,2))))</f>
        <v>0</v>
      </c>
      <c r="R163">
        <f>IF(BB162&lt;=0,0,IF(ROUND(BB162*(1+'Calc base'!P163),2)-MAX('Calc base'!K$12,ROUND('Calc base'!K$13*BB162,2))&lt;1,ROUND(BB162*(1+'Calc base'!P163),2),MAX('Calc base'!K$12,ROUND('Calc base'!K$13*BB162,2))))</f>
        <v>0</v>
      </c>
      <c r="S163">
        <f>IF(BC162&lt;=0,0,IF(ROUND(BC162*(1+'Calc base'!Q163),2)-MAX('Calc base'!L$12,ROUND('Calc base'!L$13*BC162,2))&lt;1,ROUND(BC162*(1+'Calc base'!Q163),2),MAX('Calc base'!L$12,ROUND('Calc base'!L$13*BC162,2))))</f>
        <v>0</v>
      </c>
      <c r="T163">
        <f>IF(BD162&lt;=0,0,IF(ROUND(BD162*(1+'Calc base'!R163),2)-MAX('Calc base'!M$12,ROUND('Calc base'!M$13*BD162,2))&lt;1,ROUND(BD162*(1+'Calc base'!R163),2),MAX('Calc base'!M$12,ROUND('Calc base'!M$13*BD162,2))))</f>
        <v>0</v>
      </c>
      <c r="U163">
        <f>IF(BE162&lt;=0,0,IF(ROUND(BE162*(1+'Calc base'!S163),2)-MAX('Calc base'!N$12,ROUND('Calc base'!N$13*BE162,2))&lt;1,ROUND(BE162*(1+'Calc base'!S163),2),MAX('Calc base'!N$12,ROUND('Calc base'!N$13*BE162,2))))</f>
        <v>0</v>
      </c>
      <c r="V163">
        <f>MAX(0,ROUND(AT162*(1+'Calc base'!H163),2)-J163-'Calc base'!T163)</f>
        <v>0</v>
      </c>
      <c r="W163">
        <f>MAX(0,ROUND(AU162*(1+'Calc base'!I163),2)-K163-'Calc base'!U163)</f>
        <v>0</v>
      </c>
      <c r="X163">
        <f>MAX(0,ROUND(AV162*(1+'Calc base'!J163),2)-L163-'Calc base'!V163)</f>
        <v>0</v>
      </c>
      <c r="Y163">
        <f>MAX(0,ROUND(AW162*(1+'Calc base'!K163),2)-M163-'Calc base'!W163)</f>
        <v>0</v>
      </c>
      <c r="Z163">
        <f>MAX(0,ROUND(AX162*(1+'Calc base'!L163),2)-N163-'Calc base'!X163)</f>
        <v>0</v>
      </c>
      <c r="AA163">
        <f>MAX(0,ROUND(AY162*(1+'Calc base'!M163),2)-O163-'Calc base'!Y163)</f>
        <v>0</v>
      </c>
      <c r="AB163">
        <f>MAX(0,ROUND(AZ162*(1+'Calc base'!N163),2)-P163-'Calc base'!Z163)</f>
        <v>0</v>
      </c>
      <c r="AC163">
        <f>MAX(0,ROUND(BA162*(1+'Calc base'!O163),2)-Q163-'Calc base'!AA163)</f>
        <v>0</v>
      </c>
      <c r="AD163">
        <f>MAX(0,ROUND(BB162*(1+'Calc base'!P163),2)-R163-'Calc base'!AB163)</f>
        <v>0</v>
      </c>
      <c r="AE163">
        <f>MAX(0,ROUND(BC162*(1+'Calc base'!Q163),2)-S163-'Calc base'!AC163)</f>
        <v>0</v>
      </c>
      <c r="AF163">
        <f>MAX(0,ROUND(BD162*(1+'Calc base'!R163),2)-T163-'Calc base'!AD163)</f>
        <v>0</v>
      </c>
      <c r="AG163">
        <f>MAX(0,ROUND(BE162*(1+'Calc base'!S163),2)-U163-'Calc base'!AE163)</f>
        <v>0</v>
      </c>
      <c r="AH163">
        <f>IF('Calc base'!C$14=0,0,MIN(V163,MAX(0,$E163-SUMIFS($V163:$AG163,'Calc base'!$C$17:$N$17,"&lt;"&amp;'Calc base'!C$17,'Calc base'!$C$14:$N$14,1))))</f>
        <v>0</v>
      </c>
      <c r="AI163">
        <f>IF('Calc base'!D$14=0,0,MIN(W163,MAX(0,$E163-SUMIFS($V163:$AG163,'Calc base'!$C$17:$N$17,"&lt;"&amp;'Calc base'!D$17,'Calc base'!$C$14:$N$14,1))))</f>
        <v>0</v>
      </c>
      <c r="AJ163">
        <f>IF('Calc base'!E$14=0,0,MIN(X163,MAX(0,$E163-SUMIFS($V163:$AG163,'Calc base'!$C$17:$N$17,"&lt;"&amp;'Calc base'!E$17,'Calc base'!$C$14:$N$14,1))))</f>
        <v>0</v>
      </c>
      <c r="AK163">
        <f>IF('Calc base'!F$14=0,0,MIN(Y163,MAX(0,$E163-SUMIFS($V163:$AG163,'Calc base'!$C$17:$N$17,"&lt;"&amp;'Calc base'!F$17,'Calc base'!$C$14:$N$14,1))))</f>
        <v>0</v>
      </c>
      <c r="AL163">
        <f>IF('Calc base'!G$14=0,0,MIN(Z163,MAX(0,$E163-SUMIFS($V163:$AG163,'Calc base'!$C$17:$N$17,"&lt;"&amp;'Calc base'!G$17,'Calc base'!$C$14:$N$14,1))))</f>
        <v>0</v>
      </c>
      <c r="AM163">
        <f>IF('Calc base'!H$14=0,0,MIN(AA163,MAX(0,$E163-SUMIFS($V163:$AG163,'Calc base'!$C$17:$N$17,"&lt;"&amp;'Calc base'!H$17,'Calc base'!$C$14:$N$14,1))))</f>
        <v>0</v>
      </c>
      <c r="AN163">
        <f>IF('Calc base'!I$14=0,0,MIN(AB163,MAX(0,$E163-SUMIFS($V163:$AG163,'Calc base'!$C$17:$N$17,"&lt;"&amp;'Calc base'!I$17,'Calc base'!$C$14:$N$14,1))))</f>
        <v>0</v>
      </c>
      <c r="AO163">
        <f>IF('Calc base'!J$14=0,0,MIN(AC163,MAX(0,$E163-SUMIFS($V163:$AG163,'Calc base'!$C$17:$N$17,"&lt;"&amp;'Calc base'!J$17,'Calc base'!$C$14:$N$14,1))))</f>
        <v>0</v>
      </c>
      <c r="AP163">
        <f>IF('Calc base'!K$14=0,0,MIN(AD163,MAX(0,$E163-SUMIFS($V163:$AG163,'Calc base'!$C$17:$N$17,"&lt;"&amp;'Calc base'!K$17,'Calc base'!$C$14:$N$14,1))))</f>
        <v>0</v>
      </c>
      <c r="AQ163">
        <f>IF('Calc base'!L$14=0,0,MIN(AE163,MAX(0,$E163-SUMIFS($V163:$AG163,'Calc base'!$C$17:$N$17,"&lt;"&amp;'Calc base'!L$17,'Calc base'!$C$14:$N$14,1))))</f>
        <v>0</v>
      </c>
      <c r="AR163">
        <f>IF('Calc base'!M$14=0,0,MIN(AF163,MAX(0,$E163-SUMIFS($V163:$AG163,'Calc base'!$C$17:$N$17,"&lt;"&amp;'Calc base'!M$17,'Calc base'!$C$14:$N$14,1))))</f>
        <v>0</v>
      </c>
      <c r="AS163">
        <f>IF('Calc base'!N$14=0,0,MIN(AG163,MAX(0,$E163-SUMIFS($V163:$AG163,'Calc base'!$C$17:$N$17,"&lt;"&amp;'Calc base'!N$17,'Calc base'!$C$14:$N$14,1))))</f>
        <v>0</v>
      </c>
      <c r="AT163">
        <f>V163-AH163</f>
        <v>0</v>
      </c>
      <c r="AU163">
        <f>W163-AI163</f>
        <v>0</v>
      </c>
      <c r="AV163">
        <f>X163-AJ163</f>
        <v>0</v>
      </c>
      <c r="AW163">
        <f>Y163-AK163</f>
        <v>0</v>
      </c>
      <c r="AX163">
        <f>Z163-AL163</f>
        <v>0</v>
      </c>
      <c r="AY163">
        <f>AA163-AM163</f>
        <v>0</v>
      </c>
      <c r="AZ163">
        <f>AB163-AN163</f>
        <v>0</v>
      </c>
      <c r="BA163">
        <f>AC163-AO163</f>
        <v>0</v>
      </c>
      <c r="BB163">
        <f>AD163-AP163</f>
        <v>0</v>
      </c>
      <c r="BC163">
        <f>AE163-AQ163</f>
        <v>0</v>
      </c>
      <c r="BD163">
        <f>AF163-AR163</f>
        <v>0</v>
      </c>
      <c r="BE163">
        <f>AG163-AS163</f>
        <v>0</v>
      </c>
    </row>
    <row r="164">
      <c r="A164" t="n">
        <v>134</v>
      </c>
      <c r="B164">
        <f>SUMPRODUCT(ROUND($AT163:$BE163*(1+'Calc base'!$H164:$S164),2))</f>
        <v>0</v>
      </c>
      <c r="C164">
        <f>SUM(J164:U164)</f>
        <v>0</v>
      </c>
      <c r="D164">
        <f>SUM(V164:AG164)</f>
        <v>0</v>
      </c>
      <c r="E164">
        <f>MAX(0,IF(Impostazioni!$B$7="No",'Calc base'!$C164-$C$31,'Calc base'!$C164-C164)+'Calc base'!$G164+'Calc base'!$F164-(B164-C164-D164))</f>
        <v>900</v>
      </c>
      <c r="F164">
        <f>SUM(AH164:AS164)</f>
        <v>0</v>
      </c>
      <c r="G164">
        <f>SUM(AT164:BE164)</f>
        <v>0</v>
      </c>
      <c r="H164">
        <f>B164-G163</f>
        <v>0</v>
      </c>
      <c r="I164">
        <f>B164-G164</f>
        <v>0</v>
      </c>
      <c r="J164">
        <f>IF(AT163&lt;=0,0,IF(ROUND(AT163*(1+'Calc base'!H164),2)-MAX('Calc base'!C$12,ROUND('Calc base'!C$13*AT163,2))&lt;1,ROUND(AT163*(1+'Calc base'!H164),2),MAX('Calc base'!C$12,ROUND('Calc base'!C$13*AT163,2))))</f>
        <v>0</v>
      </c>
      <c r="K164">
        <f>IF(AU163&lt;=0,0,IF(ROUND(AU163*(1+'Calc base'!I164),2)-MAX('Calc base'!D$12,ROUND('Calc base'!D$13*AU163,2))&lt;1,ROUND(AU163*(1+'Calc base'!I164),2),MAX('Calc base'!D$12,ROUND('Calc base'!D$13*AU163,2))))</f>
        <v>0</v>
      </c>
      <c r="L164">
        <f>IF(AV163&lt;=0,0,IF(ROUND(AV163*(1+'Calc base'!J164),2)-MAX('Calc base'!E$12,ROUND('Calc base'!E$13*AV163,2))&lt;1,ROUND(AV163*(1+'Calc base'!J164),2),MAX('Calc base'!E$12,ROUND('Calc base'!E$13*AV163,2))))</f>
        <v>0</v>
      </c>
      <c r="M164">
        <f>IF(AW163&lt;=0,0,IF(ROUND(AW163*(1+'Calc base'!K164),2)-MAX('Calc base'!F$12,ROUND('Calc base'!F$13*AW163,2))&lt;1,ROUND(AW163*(1+'Calc base'!K164),2),MAX('Calc base'!F$12,ROUND('Calc base'!F$13*AW163,2))))</f>
        <v>0</v>
      </c>
      <c r="N164">
        <f>IF(AX163&lt;=0,0,IF(ROUND(AX163*(1+'Calc base'!L164),2)-MAX('Calc base'!G$12,ROUND('Calc base'!G$13*AX163,2))&lt;1,ROUND(AX163*(1+'Calc base'!L164),2),MAX('Calc base'!G$12,ROUND('Calc base'!G$13*AX163,2))))</f>
        <v>0</v>
      </c>
      <c r="O164">
        <f>IF(AY163&lt;=0,0,IF(ROUND(AY163*(1+'Calc base'!M164),2)-MAX('Calc base'!H$12,ROUND('Calc base'!H$13*AY163,2))&lt;1,ROUND(AY163*(1+'Calc base'!M164),2),MAX('Calc base'!H$12,ROUND('Calc base'!H$13*AY163,2))))</f>
        <v>0</v>
      </c>
      <c r="P164">
        <f>IF(AZ163&lt;=0,0,IF(ROUND(AZ163*(1+'Calc base'!N164),2)-MAX('Calc base'!I$12,ROUND('Calc base'!I$13*AZ163,2))&lt;1,ROUND(AZ163*(1+'Calc base'!N164),2),MAX('Calc base'!I$12,ROUND('Calc base'!I$13*AZ163,2))))</f>
        <v>0</v>
      </c>
      <c r="Q164">
        <f>IF(BA163&lt;=0,0,IF(ROUND(BA163*(1+'Calc base'!O164),2)-MAX('Calc base'!J$12,ROUND('Calc base'!J$13*BA163,2))&lt;1,ROUND(BA163*(1+'Calc base'!O164),2),MAX('Calc base'!J$12,ROUND('Calc base'!J$13*BA163,2))))</f>
        <v>0</v>
      </c>
      <c r="R164">
        <f>IF(BB163&lt;=0,0,IF(ROUND(BB163*(1+'Calc base'!P164),2)-MAX('Calc base'!K$12,ROUND('Calc base'!K$13*BB163,2))&lt;1,ROUND(BB163*(1+'Calc base'!P164),2),MAX('Calc base'!K$12,ROUND('Calc base'!K$13*BB163,2))))</f>
        <v>0</v>
      </c>
      <c r="S164">
        <f>IF(BC163&lt;=0,0,IF(ROUND(BC163*(1+'Calc base'!Q164),2)-MAX('Calc base'!L$12,ROUND('Calc base'!L$13*BC163,2))&lt;1,ROUND(BC163*(1+'Calc base'!Q164),2),MAX('Calc base'!L$12,ROUND('Calc base'!L$13*BC163,2))))</f>
        <v>0</v>
      </c>
      <c r="T164">
        <f>IF(BD163&lt;=0,0,IF(ROUND(BD163*(1+'Calc base'!R164),2)-MAX('Calc base'!M$12,ROUND('Calc base'!M$13*BD163,2))&lt;1,ROUND(BD163*(1+'Calc base'!R164),2),MAX('Calc base'!M$12,ROUND('Calc base'!M$13*BD163,2))))</f>
        <v>0</v>
      </c>
      <c r="U164">
        <f>IF(BE163&lt;=0,0,IF(ROUND(BE163*(1+'Calc base'!S164),2)-MAX('Calc base'!N$12,ROUND('Calc base'!N$13*BE163,2))&lt;1,ROUND(BE163*(1+'Calc base'!S164),2),MAX('Calc base'!N$12,ROUND('Calc base'!N$13*BE163,2))))</f>
        <v>0</v>
      </c>
      <c r="V164">
        <f>MAX(0,ROUND(AT163*(1+'Calc base'!H164),2)-J164-'Calc base'!T164)</f>
        <v>0</v>
      </c>
      <c r="W164">
        <f>MAX(0,ROUND(AU163*(1+'Calc base'!I164),2)-K164-'Calc base'!U164)</f>
        <v>0</v>
      </c>
      <c r="X164">
        <f>MAX(0,ROUND(AV163*(1+'Calc base'!J164),2)-L164-'Calc base'!V164)</f>
        <v>0</v>
      </c>
      <c r="Y164">
        <f>MAX(0,ROUND(AW163*(1+'Calc base'!K164),2)-M164-'Calc base'!W164)</f>
        <v>0</v>
      </c>
      <c r="Z164">
        <f>MAX(0,ROUND(AX163*(1+'Calc base'!L164),2)-N164-'Calc base'!X164)</f>
        <v>0</v>
      </c>
      <c r="AA164">
        <f>MAX(0,ROUND(AY163*(1+'Calc base'!M164),2)-O164-'Calc base'!Y164)</f>
        <v>0</v>
      </c>
      <c r="AB164">
        <f>MAX(0,ROUND(AZ163*(1+'Calc base'!N164),2)-P164-'Calc base'!Z164)</f>
        <v>0</v>
      </c>
      <c r="AC164">
        <f>MAX(0,ROUND(BA163*(1+'Calc base'!O164),2)-Q164-'Calc base'!AA164)</f>
        <v>0</v>
      </c>
      <c r="AD164">
        <f>MAX(0,ROUND(BB163*(1+'Calc base'!P164),2)-R164-'Calc base'!AB164)</f>
        <v>0</v>
      </c>
      <c r="AE164">
        <f>MAX(0,ROUND(BC163*(1+'Calc base'!Q164),2)-S164-'Calc base'!AC164)</f>
        <v>0</v>
      </c>
      <c r="AF164">
        <f>MAX(0,ROUND(BD163*(1+'Calc base'!R164),2)-T164-'Calc base'!AD164)</f>
        <v>0</v>
      </c>
      <c r="AG164">
        <f>MAX(0,ROUND(BE163*(1+'Calc base'!S164),2)-U164-'Calc base'!AE164)</f>
        <v>0</v>
      </c>
      <c r="AH164">
        <f>IF('Calc base'!C$14=0,0,MIN(V164,MAX(0,$E164-SUMIFS($V164:$AG164,'Calc base'!$C$17:$N$17,"&lt;"&amp;'Calc base'!C$17,'Calc base'!$C$14:$N$14,1))))</f>
        <v>0</v>
      </c>
      <c r="AI164">
        <f>IF('Calc base'!D$14=0,0,MIN(W164,MAX(0,$E164-SUMIFS($V164:$AG164,'Calc base'!$C$17:$N$17,"&lt;"&amp;'Calc base'!D$17,'Calc base'!$C$14:$N$14,1))))</f>
        <v>0</v>
      </c>
      <c r="AJ164">
        <f>IF('Calc base'!E$14=0,0,MIN(X164,MAX(0,$E164-SUMIFS($V164:$AG164,'Calc base'!$C$17:$N$17,"&lt;"&amp;'Calc base'!E$17,'Calc base'!$C$14:$N$14,1))))</f>
        <v>0</v>
      </c>
      <c r="AK164">
        <f>IF('Calc base'!F$14=0,0,MIN(Y164,MAX(0,$E164-SUMIFS($V164:$AG164,'Calc base'!$C$17:$N$17,"&lt;"&amp;'Calc base'!F$17,'Calc base'!$C$14:$N$14,1))))</f>
        <v>0</v>
      </c>
      <c r="AL164">
        <f>IF('Calc base'!G$14=0,0,MIN(Z164,MAX(0,$E164-SUMIFS($V164:$AG164,'Calc base'!$C$17:$N$17,"&lt;"&amp;'Calc base'!G$17,'Calc base'!$C$14:$N$14,1))))</f>
        <v>0</v>
      </c>
      <c r="AM164">
        <f>IF('Calc base'!H$14=0,0,MIN(AA164,MAX(0,$E164-SUMIFS($V164:$AG164,'Calc base'!$C$17:$N$17,"&lt;"&amp;'Calc base'!H$17,'Calc base'!$C$14:$N$14,1))))</f>
        <v>0</v>
      </c>
      <c r="AN164">
        <f>IF('Calc base'!I$14=0,0,MIN(AB164,MAX(0,$E164-SUMIFS($V164:$AG164,'Calc base'!$C$17:$N$17,"&lt;"&amp;'Calc base'!I$17,'Calc base'!$C$14:$N$14,1))))</f>
        <v>0</v>
      </c>
      <c r="AO164">
        <f>IF('Calc base'!J$14=0,0,MIN(AC164,MAX(0,$E164-SUMIFS($V164:$AG164,'Calc base'!$C$17:$N$17,"&lt;"&amp;'Calc base'!J$17,'Calc base'!$C$14:$N$14,1))))</f>
        <v>0</v>
      </c>
      <c r="AP164">
        <f>IF('Calc base'!K$14=0,0,MIN(AD164,MAX(0,$E164-SUMIFS($V164:$AG164,'Calc base'!$C$17:$N$17,"&lt;"&amp;'Calc base'!K$17,'Calc base'!$C$14:$N$14,1))))</f>
        <v>0</v>
      </c>
      <c r="AQ164">
        <f>IF('Calc base'!L$14=0,0,MIN(AE164,MAX(0,$E164-SUMIFS($V164:$AG164,'Calc base'!$C$17:$N$17,"&lt;"&amp;'Calc base'!L$17,'Calc base'!$C$14:$N$14,1))))</f>
        <v>0</v>
      </c>
      <c r="AR164">
        <f>IF('Calc base'!M$14=0,0,MIN(AF164,MAX(0,$E164-SUMIFS($V164:$AG164,'Calc base'!$C$17:$N$17,"&lt;"&amp;'Calc base'!M$17,'Calc base'!$C$14:$N$14,1))))</f>
        <v>0</v>
      </c>
      <c r="AS164">
        <f>IF('Calc base'!N$14=0,0,MIN(AG164,MAX(0,$E164-SUMIFS($V164:$AG164,'Calc base'!$C$17:$N$17,"&lt;"&amp;'Calc base'!N$17,'Calc base'!$C$14:$N$14,1))))</f>
        <v>0</v>
      </c>
      <c r="AT164">
        <f>V164-AH164</f>
        <v>0</v>
      </c>
      <c r="AU164">
        <f>W164-AI164</f>
        <v>0</v>
      </c>
      <c r="AV164">
        <f>X164-AJ164</f>
        <v>0</v>
      </c>
      <c r="AW164">
        <f>Y164-AK164</f>
        <v>0</v>
      </c>
      <c r="AX164">
        <f>Z164-AL164</f>
        <v>0</v>
      </c>
      <c r="AY164">
        <f>AA164-AM164</f>
        <v>0</v>
      </c>
      <c r="AZ164">
        <f>AB164-AN164</f>
        <v>0</v>
      </c>
      <c r="BA164">
        <f>AC164-AO164</f>
        <v>0</v>
      </c>
      <c r="BB164">
        <f>AD164-AP164</f>
        <v>0</v>
      </c>
      <c r="BC164">
        <f>AE164-AQ164</f>
        <v>0</v>
      </c>
      <c r="BD164">
        <f>AF164-AR164</f>
        <v>0</v>
      </c>
      <c r="BE164">
        <f>AG164-AS164</f>
        <v>0</v>
      </c>
    </row>
    <row r="165">
      <c r="A165" t="n">
        <v>135</v>
      </c>
      <c r="B165">
        <f>SUMPRODUCT(ROUND($AT164:$BE164*(1+'Calc base'!$H165:$S165),2))</f>
        <v>0</v>
      </c>
      <c r="C165">
        <f>SUM(J165:U165)</f>
        <v>0</v>
      </c>
      <c r="D165">
        <f>SUM(V165:AG165)</f>
        <v>0</v>
      </c>
      <c r="E165">
        <f>MAX(0,IF(Impostazioni!$B$7="No",'Calc base'!$C165-$C$31,'Calc base'!$C165-C165)+'Calc base'!$G165+'Calc base'!$F165-(B165-C165-D165))</f>
        <v>900</v>
      </c>
      <c r="F165">
        <f>SUM(AH165:AS165)</f>
        <v>0</v>
      </c>
      <c r="G165">
        <f>SUM(AT165:BE165)</f>
        <v>0</v>
      </c>
      <c r="H165">
        <f>B165-G164</f>
        <v>0</v>
      </c>
      <c r="I165">
        <f>B165-G165</f>
        <v>0</v>
      </c>
      <c r="J165">
        <f>IF(AT164&lt;=0,0,IF(ROUND(AT164*(1+'Calc base'!H165),2)-MAX('Calc base'!C$12,ROUND('Calc base'!C$13*AT164,2))&lt;1,ROUND(AT164*(1+'Calc base'!H165),2),MAX('Calc base'!C$12,ROUND('Calc base'!C$13*AT164,2))))</f>
        <v>0</v>
      </c>
      <c r="K165">
        <f>IF(AU164&lt;=0,0,IF(ROUND(AU164*(1+'Calc base'!I165),2)-MAX('Calc base'!D$12,ROUND('Calc base'!D$13*AU164,2))&lt;1,ROUND(AU164*(1+'Calc base'!I165),2),MAX('Calc base'!D$12,ROUND('Calc base'!D$13*AU164,2))))</f>
        <v>0</v>
      </c>
      <c r="L165">
        <f>IF(AV164&lt;=0,0,IF(ROUND(AV164*(1+'Calc base'!J165),2)-MAX('Calc base'!E$12,ROUND('Calc base'!E$13*AV164,2))&lt;1,ROUND(AV164*(1+'Calc base'!J165),2),MAX('Calc base'!E$12,ROUND('Calc base'!E$13*AV164,2))))</f>
        <v>0</v>
      </c>
      <c r="M165">
        <f>IF(AW164&lt;=0,0,IF(ROUND(AW164*(1+'Calc base'!K165),2)-MAX('Calc base'!F$12,ROUND('Calc base'!F$13*AW164,2))&lt;1,ROUND(AW164*(1+'Calc base'!K165),2),MAX('Calc base'!F$12,ROUND('Calc base'!F$13*AW164,2))))</f>
        <v>0</v>
      </c>
      <c r="N165">
        <f>IF(AX164&lt;=0,0,IF(ROUND(AX164*(1+'Calc base'!L165),2)-MAX('Calc base'!G$12,ROUND('Calc base'!G$13*AX164,2))&lt;1,ROUND(AX164*(1+'Calc base'!L165),2),MAX('Calc base'!G$12,ROUND('Calc base'!G$13*AX164,2))))</f>
        <v>0</v>
      </c>
      <c r="O165">
        <f>IF(AY164&lt;=0,0,IF(ROUND(AY164*(1+'Calc base'!M165),2)-MAX('Calc base'!H$12,ROUND('Calc base'!H$13*AY164,2))&lt;1,ROUND(AY164*(1+'Calc base'!M165),2),MAX('Calc base'!H$12,ROUND('Calc base'!H$13*AY164,2))))</f>
        <v>0</v>
      </c>
      <c r="P165">
        <f>IF(AZ164&lt;=0,0,IF(ROUND(AZ164*(1+'Calc base'!N165),2)-MAX('Calc base'!I$12,ROUND('Calc base'!I$13*AZ164,2))&lt;1,ROUND(AZ164*(1+'Calc base'!N165),2),MAX('Calc base'!I$12,ROUND('Calc base'!I$13*AZ164,2))))</f>
        <v>0</v>
      </c>
      <c r="Q165">
        <f>IF(BA164&lt;=0,0,IF(ROUND(BA164*(1+'Calc base'!O165),2)-MAX('Calc base'!J$12,ROUND('Calc base'!J$13*BA164,2))&lt;1,ROUND(BA164*(1+'Calc base'!O165),2),MAX('Calc base'!J$12,ROUND('Calc base'!J$13*BA164,2))))</f>
        <v>0</v>
      </c>
      <c r="R165">
        <f>IF(BB164&lt;=0,0,IF(ROUND(BB164*(1+'Calc base'!P165),2)-MAX('Calc base'!K$12,ROUND('Calc base'!K$13*BB164,2))&lt;1,ROUND(BB164*(1+'Calc base'!P165),2),MAX('Calc base'!K$12,ROUND('Calc base'!K$13*BB164,2))))</f>
        <v>0</v>
      </c>
      <c r="S165">
        <f>IF(BC164&lt;=0,0,IF(ROUND(BC164*(1+'Calc base'!Q165),2)-MAX('Calc base'!L$12,ROUND('Calc base'!L$13*BC164,2))&lt;1,ROUND(BC164*(1+'Calc base'!Q165),2),MAX('Calc base'!L$12,ROUND('Calc base'!L$13*BC164,2))))</f>
        <v>0</v>
      </c>
      <c r="T165">
        <f>IF(BD164&lt;=0,0,IF(ROUND(BD164*(1+'Calc base'!R165),2)-MAX('Calc base'!M$12,ROUND('Calc base'!M$13*BD164,2))&lt;1,ROUND(BD164*(1+'Calc base'!R165),2),MAX('Calc base'!M$12,ROUND('Calc base'!M$13*BD164,2))))</f>
        <v>0</v>
      </c>
      <c r="U165">
        <f>IF(BE164&lt;=0,0,IF(ROUND(BE164*(1+'Calc base'!S165),2)-MAX('Calc base'!N$12,ROUND('Calc base'!N$13*BE164,2))&lt;1,ROUND(BE164*(1+'Calc base'!S165),2),MAX('Calc base'!N$12,ROUND('Calc base'!N$13*BE164,2))))</f>
        <v>0</v>
      </c>
      <c r="V165">
        <f>MAX(0,ROUND(AT164*(1+'Calc base'!H165),2)-J165-'Calc base'!T165)</f>
        <v>0</v>
      </c>
      <c r="W165">
        <f>MAX(0,ROUND(AU164*(1+'Calc base'!I165),2)-K165-'Calc base'!U165)</f>
        <v>0</v>
      </c>
      <c r="X165">
        <f>MAX(0,ROUND(AV164*(1+'Calc base'!J165),2)-L165-'Calc base'!V165)</f>
        <v>0</v>
      </c>
      <c r="Y165">
        <f>MAX(0,ROUND(AW164*(1+'Calc base'!K165),2)-M165-'Calc base'!W165)</f>
        <v>0</v>
      </c>
      <c r="Z165">
        <f>MAX(0,ROUND(AX164*(1+'Calc base'!L165),2)-N165-'Calc base'!X165)</f>
        <v>0</v>
      </c>
      <c r="AA165">
        <f>MAX(0,ROUND(AY164*(1+'Calc base'!M165),2)-O165-'Calc base'!Y165)</f>
        <v>0</v>
      </c>
      <c r="AB165">
        <f>MAX(0,ROUND(AZ164*(1+'Calc base'!N165),2)-P165-'Calc base'!Z165)</f>
        <v>0</v>
      </c>
      <c r="AC165">
        <f>MAX(0,ROUND(BA164*(1+'Calc base'!O165),2)-Q165-'Calc base'!AA165)</f>
        <v>0</v>
      </c>
      <c r="AD165">
        <f>MAX(0,ROUND(BB164*(1+'Calc base'!P165),2)-R165-'Calc base'!AB165)</f>
        <v>0</v>
      </c>
      <c r="AE165">
        <f>MAX(0,ROUND(BC164*(1+'Calc base'!Q165),2)-S165-'Calc base'!AC165)</f>
        <v>0</v>
      </c>
      <c r="AF165">
        <f>MAX(0,ROUND(BD164*(1+'Calc base'!R165),2)-T165-'Calc base'!AD165)</f>
        <v>0</v>
      </c>
      <c r="AG165">
        <f>MAX(0,ROUND(BE164*(1+'Calc base'!S165),2)-U165-'Calc base'!AE165)</f>
        <v>0</v>
      </c>
      <c r="AH165">
        <f>IF('Calc base'!C$14=0,0,MIN(V165,MAX(0,$E165-SUMIFS($V165:$AG165,'Calc base'!$C$17:$N$17,"&lt;"&amp;'Calc base'!C$17,'Calc base'!$C$14:$N$14,1))))</f>
        <v>0</v>
      </c>
      <c r="AI165">
        <f>IF('Calc base'!D$14=0,0,MIN(W165,MAX(0,$E165-SUMIFS($V165:$AG165,'Calc base'!$C$17:$N$17,"&lt;"&amp;'Calc base'!D$17,'Calc base'!$C$14:$N$14,1))))</f>
        <v>0</v>
      </c>
      <c r="AJ165">
        <f>IF('Calc base'!E$14=0,0,MIN(X165,MAX(0,$E165-SUMIFS($V165:$AG165,'Calc base'!$C$17:$N$17,"&lt;"&amp;'Calc base'!E$17,'Calc base'!$C$14:$N$14,1))))</f>
        <v>0</v>
      </c>
      <c r="AK165">
        <f>IF('Calc base'!F$14=0,0,MIN(Y165,MAX(0,$E165-SUMIFS($V165:$AG165,'Calc base'!$C$17:$N$17,"&lt;"&amp;'Calc base'!F$17,'Calc base'!$C$14:$N$14,1))))</f>
        <v>0</v>
      </c>
      <c r="AL165">
        <f>IF('Calc base'!G$14=0,0,MIN(Z165,MAX(0,$E165-SUMIFS($V165:$AG165,'Calc base'!$C$17:$N$17,"&lt;"&amp;'Calc base'!G$17,'Calc base'!$C$14:$N$14,1))))</f>
        <v>0</v>
      </c>
      <c r="AM165">
        <f>IF('Calc base'!H$14=0,0,MIN(AA165,MAX(0,$E165-SUMIFS($V165:$AG165,'Calc base'!$C$17:$N$17,"&lt;"&amp;'Calc base'!H$17,'Calc base'!$C$14:$N$14,1))))</f>
        <v>0</v>
      </c>
      <c r="AN165">
        <f>IF('Calc base'!I$14=0,0,MIN(AB165,MAX(0,$E165-SUMIFS($V165:$AG165,'Calc base'!$C$17:$N$17,"&lt;"&amp;'Calc base'!I$17,'Calc base'!$C$14:$N$14,1))))</f>
        <v>0</v>
      </c>
      <c r="AO165">
        <f>IF('Calc base'!J$14=0,0,MIN(AC165,MAX(0,$E165-SUMIFS($V165:$AG165,'Calc base'!$C$17:$N$17,"&lt;"&amp;'Calc base'!J$17,'Calc base'!$C$14:$N$14,1))))</f>
        <v>0</v>
      </c>
      <c r="AP165">
        <f>IF('Calc base'!K$14=0,0,MIN(AD165,MAX(0,$E165-SUMIFS($V165:$AG165,'Calc base'!$C$17:$N$17,"&lt;"&amp;'Calc base'!K$17,'Calc base'!$C$14:$N$14,1))))</f>
        <v>0</v>
      </c>
      <c r="AQ165">
        <f>IF('Calc base'!L$14=0,0,MIN(AE165,MAX(0,$E165-SUMIFS($V165:$AG165,'Calc base'!$C$17:$N$17,"&lt;"&amp;'Calc base'!L$17,'Calc base'!$C$14:$N$14,1))))</f>
        <v>0</v>
      </c>
      <c r="AR165">
        <f>IF('Calc base'!M$14=0,0,MIN(AF165,MAX(0,$E165-SUMIFS($V165:$AG165,'Calc base'!$C$17:$N$17,"&lt;"&amp;'Calc base'!M$17,'Calc base'!$C$14:$N$14,1))))</f>
        <v>0</v>
      </c>
      <c r="AS165">
        <f>IF('Calc base'!N$14=0,0,MIN(AG165,MAX(0,$E165-SUMIFS($V165:$AG165,'Calc base'!$C$17:$N$17,"&lt;"&amp;'Calc base'!N$17,'Calc base'!$C$14:$N$14,1))))</f>
        <v>0</v>
      </c>
      <c r="AT165">
        <f>V165-AH165</f>
        <v>0</v>
      </c>
      <c r="AU165">
        <f>W165-AI165</f>
        <v>0</v>
      </c>
      <c r="AV165">
        <f>X165-AJ165</f>
        <v>0</v>
      </c>
      <c r="AW165">
        <f>Y165-AK165</f>
        <v>0</v>
      </c>
      <c r="AX165">
        <f>Z165-AL165</f>
        <v>0</v>
      </c>
      <c r="AY165">
        <f>AA165-AM165</f>
        <v>0</v>
      </c>
      <c r="AZ165">
        <f>AB165-AN165</f>
        <v>0</v>
      </c>
      <c r="BA165">
        <f>AC165-AO165</f>
        <v>0</v>
      </c>
      <c r="BB165">
        <f>AD165-AP165</f>
        <v>0</v>
      </c>
      <c r="BC165">
        <f>AE165-AQ165</f>
        <v>0</v>
      </c>
      <c r="BD165">
        <f>AF165-AR165</f>
        <v>0</v>
      </c>
      <c r="BE165">
        <f>AG165-AS165</f>
        <v>0</v>
      </c>
    </row>
    <row r="166">
      <c r="A166" t="n">
        <v>136</v>
      </c>
      <c r="B166">
        <f>SUMPRODUCT(ROUND($AT165:$BE165*(1+'Calc base'!$H166:$S166),2))</f>
        <v>0</v>
      </c>
      <c r="C166">
        <f>SUM(J166:U166)</f>
        <v>0</v>
      </c>
      <c r="D166">
        <f>SUM(V166:AG166)</f>
        <v>0</v>
      </c>
      <c r="E166">
        <f>MAX(0,IF(Impostazioni!$B$7="No",'Calc base'!$C166-$C$31,'Calc base'!$C166-C166)+'Calc base'!$G166+'Calc base'!$F166-(B166-C166-D166))</f>
        <v>900</v>
      </c>
      <c r="F166">
        <f>SUM(AH166:AS166)</f>
        <v>0</v>
      </c>
      <c r="G166">
        <f>SUM(AT166:BE166)</f>
        <v>0</v>
      </c>
      <c r="H166">
        <f>B166-G165</f>
        <v>0</v>
      </c>
      <c r="I166">
        <f>B166-G166</f>
        <v>0</v>
      </c>
      <c r="J166">
        <f>IF(AT165&lt;=0,0,IF(ROUND(AT165*(1+'Calc base'!H166),2)-MAX('Calc base'!C$12,ROUND('Calc base'!C$13*AT165,2))&lt;1,ROUND(AT165*(1+'Calc base'!H166),2),MAX('Calc base'!C$12,ROUND('Calc base'!C$13*AT165,2))))</f>
        <v>0</v>
      </c>
      <c r="K166">
        <f>IF(AU165&lt;=0,0,IF(ROUND(AU165*(1+'Calc base'!I166),2)-MAX('Calc base'!D$12,ROUND('Calc base'!D$13*AU165,2))&lt;1,ROUND(AU165*(1+'Calc base'!I166),2),MAX('Calc base'!D$12,ROUND('Calc base'!D$13*AU165,2))))</f>
        <v>0</v>
      </c>
      <c r="L166">
        <f>IF(AV165&lt;=0,0,IF(ROUND(AV165*(1+'Calc base'!J166),2)-MAX('Calc base'!E$12,ROUND('Calc base'!E$13*AV165,2))&lt;1,ROUND(AV165*(1+'Calc base'!J166),2),MAX('Calc base'!E$12,ROUND('Calc base'!E$13*AV165,2))))</f>
        <v>0</v>
      </c>
      <c r="M166">
        <f>IF(AW165&lt;=0,0,IF(ROUND(AW165*(1+'Calc base'!K166),2)-MAX('Calc base'!F$12,ROUND('Calc base'!F$13*AW165,2))&lt;1,ROUND(AW165*(1+'Calc base'!K166),2),MAX('Calc base'!F$12,ROUND('Calc base'!F$13*AW165,2))))</f>
        <v>0</v>
      </c>
      <c r="N166">
        <f>IF(AX165&lt;=0,0,IF(ROUND(AX165*(1+'Calc base'!L166),2)-MAX('Calc base'!G$12,ROUND('Calc base'!G$13*AX165,2))&lt;1,ROUND(AX165*(1+'Calc base'!L166),2),MAX('Calc base'!G$12,ROUND('Calc base'!G$13*AX165,2))))</f>
        <v>0</v>
      </c>
      <c r="O166">
        <f>IF(AY165&lt;=0,0,IF(ROUND(AY165*(1+'Calc base'!M166),2)-MAX('Calc base'!H$12,ROUND('Calc base'!H$13*AY165,2))&lt;1,ROUND(AY165*(1+'Calc base'!M166),2),MAX('Calc base'!H$12,ROUND('Calc base'!H$13*AY165,2))))</f>
        <v>0</v>
      </c>
      <c r="P166">
        <f>IF(AZ165&lt;=0,0,IF(ROUND(AZ165*(1+'Calc base'!N166),2)-MAX('Calc base'!I$12,ROUND('Calc base'!I$13*AZ165,2))&lt;1,ROUND(AZ165*(1+'Calc base'!N166),2),MAX('Calc base'!I$12,ROUND('Calc base'!I$13*AZ165,2))))</f>
        <v>0</v>
      </c>
      <c r="Q166">
        <f>IF(BA165&lt;=0,0,IF(ROUND(BA165*(1+'Calc base'!O166),2)-MAX('Calc base'!J$12,ROUND('Calc base'!J$13*BA165,2))&lt;1,ROUND(BA165*(1+'Calc base'!O166),2),MAX('Calc base'!J$12,ROUND('Calc base'!J$13*BA165,2))))</f>
        <v>0</v>
      </c>
      <c r="R166">
        <f>IF(BB165&lt;=0,0,IF(ROUND(BB165*(1+'Calc base'!P166),2)-MAX('Calc base'!K$12,ROUND('Calc base'!K$13*BB165,2))&lt;1,ROUND(BB165*(1+'Calc base'!P166),2),MAX('Calc base'!K$12,ROUND('Calc base'!K$13*BB165,2))))</f>
        <v>0</v>
      </c>
      <c r="S166">
        <f>IF(BC165&lt;=0,0,IF(ROUND(BC165*(1+'Calc base'!Q166),2)-MAX('Calc base'!L$12,ROUND('Calc base'!L$13*BC165,2))&lt;1,ROUND(BC165*(1+'Calc base'!Q166),2),MAX('Calc base'!L$12,ROUND('Calc base'!L$13*BC165,2))))</f>
        <v>0</v>
      </c>
      <c r="T166">
        <f>IF(BD165&lt;=0,0,IF(ROUND(BD165*(1+'Calc base'!R166),2)-MAX('Calc base'!M$12,ROUND('Calc base'!M$13*BD165,2))&lt;1,ROUND(BD165*(1+'Calc base'!R166),2),MAX('Calc base'!M$12,ROUND('Calc base'!M$13*BD165,2))))</f>
        <v>0</v>
      </c>
      <c r="U166">
        <f>IF(BE165&lt;=0,0,IF(ROUND(BE165*(1+'Calc base'!S166),2)-MAX('Calc base'!N$12,ROUND('Calc base'!N$13*BE165,2))&lt;1,ROUND(BE165*(1+'Calc base'!S166),2),MAX('Calc base'!N$12,ROUND('Calc base'!N$13*BE165,2))))</f>
        <v>0</v>
      </c>
      <c r="V166">
        <f>MAX(0,ROUND(AT165*(1+'Calc base'!H166),2)-J166-'Calc base'!T166)</f>
        <v>0</v>
      </c>
      <c r="W166">
        <f>MAX(0,ROUND(AU165*(1+'Calc base'!I166),2)-K166-'Calc base'!U166)</f>
        <v>0</v>
      </c>
      <c r="X166">
        <f>MAX(0,ROUND(AV165*(1+'Calc base'!J166),2)-L166-'Calc base'!V166)</f>
        <v>0</v>
      </c>
      <c r="Y166">
        <f>MAX(0,ROUND(AW165*(1+'Calc base'!K166),2)-M166-'Calc base'!W166)</f>
        <v>0</v>
      </c>
      <c r="Z166">
        <f>MAX(0,ROUND(AX165*(1+'Calc base'!L166),2)-N166-'Calc base'!X166)</f>
        <v>0</v>
      </c>
      <c r="AA166">
        <f>MAX(0,ROUND(AY165*(1+'Calc base'!M166),2)-O166-'Calc base'!Y166)</f>
        <v>0</v>
      </c>
      <c r="AB166">
        <f>MAX(0,ROUND(AZ165*(1+'Calc base'!N166),2)-P166-'Calc base'!Z166)</f>
        <v>0</v>
      </c>
      <c r="AC166">
        <f>MAX(0,ROUND(BA165*(1+'Calc base'!O166),2)-Q166-'Calc base'!AA166)</f>
        <v>0</v>
      </c>
      <c r="AD166">
        <f>MAX(0,ROUND(BB165*(1+'Calc base'!P166),2)-R166-'Calc base'!AB166)</f>
        <v>0</v>
      </c>
      <c r="AE166">
        <f>MAX(0,ROUND(BC165*(1+'Calc base'!Q166),2)-S166-'Calc base'!AC166)</f>
        <v>0</v>
      </c>
      <c r="AF166">
        <f>MAX(0,ROUND(BD165*(1+'Calc base'!R166),2)-T166-'Calc base'!AD166)</f>
        <v>0</v>
      </c>
      <c r="AG166">
        <f>MAX(0,ROUND(BE165*(1+'Calc base'!S166),2)-U166-'Calc base'!AE166)</f>
        <v>0</v>
      </c>
      <c r="AH166">
        <f>IF('Calc base'!C$14=0,0,MIN(V166,MAX(0,$E166-SUMIFS($V166:$AG166,'Calc base'!$C$17:$N$17,"&lt;"&amp;'Calc base'!C$17,'Calc base'!$C$14:$N$14,1))))</f>
        <v>0</v>
      </c>
      <c r="AI166">
        <f>IF('Calc base'!D$14=0,0,MIN(W166,MAX(0,$E166-SUMIFS($V166:$AG166,'Calc base'!$C$17:$N$17,"&lt;"&amp;'Calc base'!D$17,'Calc base'!$C$14:$N$14,1))))</f>
        <v>0</v>
      </c>
      <c r="AJ166">
        <f>IF('Calc base'!E$14=0,0,MIN(X166,MAX(0,$E166-SUMIFS($V166:$AG166,'Calc base'!$C$17:$N$17,"&lt;"&amp;'Calc base'!E$17,'Calc base'!$C$14:$N$14,1))))</f>
        <v>0</v>
      </c>
      <c r="AK166">
        <f>IF('Calc base'!F$14=0,0,MIN(Y166,MAX(0,$E166-SUMIFS($V166:$AG166,'Calc base'!$C$17:$N$17,"&lt;"&amp;'Calc base'!F$17,'Calc base'!$C$14:$N$14,1))))</f>
        <v>0</v>
      </c>
      <c r="AL166">
        <f>IF('Calc base'!G$14=0,0,MIN(Z166,MAX(0,$E166-SUMIFS($V166:$AG166,'Calc base'!$C$17:$N$17,"&lt;"&amp;'Calc base'!G$17,'Calc base'!$C$14:$N$14,1))))</f>
        <v>0</v>
      </c>
      <c r="AM166">
        <f>IF('Calc base'!H$14=0,0,MIN(AA166,MAX(0,$E166-SUMIFS($V166:$AG166,'Calc base'!$C$17:$N$17,"&lt;"&amp;'Calc base'!H$17,'Calc base'!$C$14:$N$14,1))))</f>
        <v>0</v>
      </c>
      <c r="AN166">
        <f>IF('Calc base'!I$14=0,0,MIN(AB166,MAX(0,$E166-SUMIFS($V166:$AG166,'Calc base'!$C$17:$N$17,"&lt;"&amp;'Calc base'!I$17,'Calc base'!$C$14:$N$14,1))))</f>
        <v>0</v>
      </c>
      <c r="AO166">
        <f>IF('Calc base'!J$14=0,0,MIN(AC166,MAX(0,$E166-SUMIFS($V166:$AG166,'Calc base'!$C$17:$N$17,"&lt;"&amp;'Calc base'!J$17,'Calc base'!$C$14:$N$14,1))))</f>
        <v>0</v>
      </c>
      <c r="AP166">
        <f>IF('Calc base'!K$14=0,0,MIN(AD166,MAX(0,$E166-SUMIFS($V166:$AG166,'Calc base'!$C$17:$N$17,"&lt;"&amp;'Calc base'!K$17,'Calc base'!$C$14:$N$14,1))))</f>
        <v>0</v>
      </c>
      <c r="AQ166">
        <f>IF('Calc base'!L$14=0,0,MIN(AE166,MAX(0,$E166-SUMIFS($V166:$AG166,'Calc base'!$C$17:$N$17,"&lt;"&amp;'Calc base'!L$17,'Calc base'!$C$14:$N$14,1))))</f>
        <v>0</v>
      </c>
      <c r="AR166">
        <f>IF('Calc base'!M$14=0,0,MIN(AF166,MAX(0,$E166-SUMIFS($V166:$AG166,'Calc base'!$C$17:$N$17,"&lt;"&amp;'Calc base'!M$17,'Calc base'!$C$14:$N$14,1))))</f>
        <v>0</v>
      </c>
      <c r="AS166">
        <f>IF('Calc base'!N$14=0,0,MIN(AG166,MAX(0,$E166-SUMIFS($V166:$AG166,'Calc base'!$C$17:$N$17,"&lt;"&amp;'Calc base'!N$17,'Calc base'!$C$14:$N$14,1))))</f>
        <v>0</v>
      </c>
      <c r="AT166">
        <f>V166-AH166</f>
        <v>0</v>
      </c>
      <c r="AU166">
        <f>W166-AI166</f>
        <v>0</v>
      </c>
      <c r="AV166">
        <f>X166-AJ166</f>
        <v>0</v>
      </c>
      <c r="AW166">
        <f>Y166-AK166</f>
        <v>0</v>
      </c>
      <c r="AX166">
        <f>Z166-AL166</f>
        <v>0</v>
      </c>
      <c r="AY166">
        <f>AA166-AM166</f>
        <v>0</v>
      </c>
      <c r="AZ166">
        <f>AB166-AN166</f>
        <v>0</v>
      </c>
      <c r="BA166">
        <f>AC166-AO166</f>
        <v>0</v>
      </c>
      <c r="BB166">
        <f>AD166-AP166</f>
        <v>0</v>
      </c>
      <c r="BC166">
        <f>AE166-AQ166</f>
        <v>0</v>
      </c>
      <c r="BD166">
        <f>AF166-AR166</f>
        <v>0</v>
      </c>
      <c r="BE166">
        <f>AG166-AS166</f>
        <v>0</v>
      </c>
    </row>
    <row r="167">
      <c r="A167" t="n">
        <v>137</v>
      </c>
      <c r="B167">
        <f>SUMPRODUCT(ROUND($AT166:$BE166*(1+'Calc base'!$H167:$S167),2))</f>
        <v>0</v>
      </c>
      <c r="C167">
        <f>SUM(J167:U167)</f>
        <v>0</v>
      </c>
      <c r="D167">
        <f>SUM(V167:AG167)</f>
        <v>0</v>
      </c>
      <c r="E167">
        <f>MAX(0,IF(Impostazioni!$B$7="No",'Calc base'!$C167-$C$31,'Calc base'!$C167-C167)+'Calc base'!$G167+'Calc base'!$F167-(B167-C167-D167))</f>
        <v>900</v>
      </c>
      <c r="F167">
        <f>SUM(AH167:AS167)</f>
        <v>0</v>
      </c>
      <c r="G167">
        <f>SUM(AT167:BE167)</f>
        <v>0</v>
      </c>
      <c r="H167">
        <f>B167-G166</f>
        <v>0</v>
      </c>
      <c r="I167">
        <f>B167-G167</f>
        <v>0</v>
      </c>
      <c r="J167">
        <f>IF(AT166&lt;=0,0,IF(ROUND(AT166*(1+'Calc base'!H167),2)-MAX('Calc base'!C$12,ROUND('Calc base'!C$13*AT166,2))&lt;1,ROUND(AT166*(1+'Calc base'!H167),2),MAX('Calc base'!C$12,ROUND('Calc base'!C$13*AT166,2))))</f>
        <v>0</v>
      </c>
      <c r="K167">
        <f>IF(AU166&lt;=0,0,IF(ROUND(AU166*(1+'Calc base'!I167),2)-MAX('Calc base'!D$12,ROUND('Calc base'!D$13*AU166,2))&lt;1,ROUND(AU166*(1+'Calc base'!I167),2),MAX('Calc base'!D$12,ROUND('Calc base'!D$13*AU166,2))))</f>
        <v>0</v>
      </c>
      <c r="L167">
        <f>IF(AV166&lt;=0,0,IF(ROUND(AV166*(1+'Calc base'!J167),2)-MAX('Calc base'!E$12,ROUND('Calc base'!E$13*AV166,2))&lt;1,ROUND(AV166*(1+'Calc base'!J167),2),MAX('Calc base'!E$12,ROUND('Calc base'!E$13*AV166,2))))</f>
        <v>0</v>
      </c>
      <c r="M167">
        <f>IF(AW166&lt;=0,0,IF(ROUND(AW166*(1+'Calc base'!K167),2)-MAX('Calc base'!F$12,ROUND('Calc base'!F$13*AW166,2))&lt;1,ROUND(AW166*(1+'Calc base'!K167),2),MAX('Calc base'!F$12,ROUND('Calc base'!F$13*AW166,2))))</f>
        <v>0</v>
      </c>
      <c r="N167">
        <f>IF(AX166&lt;=0,0,IF(ROUND(AX166*(1+'Calc base'!L167),2)-MAX('Calc base'!G$12,ROUND('Calc base'!G$13*AX166,2))&lt;1,ROUND(AX166*(1+'Calc base'!L167),2),MAX('Calc base'!G$12,ROUND('Calc base'!G$13*AX166,2))))</f>
        <v>0</v>
      </c>
      <c r="O167">
        <f>IF(AY166&lt;=0,0,IF(ROUND(AY166*(1+'Calc base'!M167),2)-MAX('Calc base'!H$12,ROUND('Calc base'!H$13*AY166,2))&lt;1,ROUND(AY166*(1+'Calc base'!M167),2),MAX('Calc base'!H$12,ROUND('Calc base'!H$13*AY166,2))))</f>
        <v>0</v>
      </c>
      <c r="P167">
        <f>IF(AZ166&lt;=0,0,IF(ROUND(AZ166*(1+'Calc base'!N167),2)-MAX('Calc base'!I$12,ROUND('Calc base'!I$13*AZ166,2))&lt;1,ROUND(AZ166*(1+'Calc base'!N167),2),MAX('Calc base'!I$12,ROUND('Calc base'!I$13*AZ166,2))))</f>
        <v>0</v>
      </c>
      <c r="Q167">
        <f>IF(BA166&lt;=0,0,IF(ROUND(BA166*(1+'Calc base'!O167),2)-MAX('Calc base'!J$12,ROUND('Calc base'!J$13*BA166,2))&lt;1,ROUND(BA166*(1+'Calc base'!O167),2),MAX('Calc base'!J$12,ROUND('Calc base'!J$13*BA166,2))))</f>
        <v>0</v>
      </c>
      <c r="R167">
        <f>IF(BB166&lt;=0,0,IF(ROUND(BB166*(1+'Calc base'!P167),2)-MAX('Calc base'!K$12,ROUND('Calc base'!K$13*BB166,2))&lt;1,ROUND(BB166*(1+'Calc base'!P167),2),MAX('Calc base'!K$12,ROUND('Calc base'!K$13*BB166,2))))</f>
        <v>0</v>
      </c>
      <c r="S167">
        <f>IF(BC166&lt;=0,0,IF(ROUND(BC166*(1+'Calc base'!Q167),2)-MAX('Calc base'!L$12,ROUND('Calc base'!L$13*BC166,2))&lt;1,ROUND(BC166*(1+'Calc base'!Q167),2),MAX('Calc base'!L$12,ROUND('Calc base'!L$13*BC166,2))))</f>
        <v>0</v>
      </c>
      <c r="T167">
        <f>IF(BD166&lt;=0,0,IF(ROUND(BD166*(1+'Calc base'!R167),2)-MAX('Calc base'!M$12,ROUND('Calc base'!M$13*BD166,2))&lt;1,ROUND(BD166*(1+'Calc base'!R167),2),MAX('Calc base'!M$12,ROUND('Calc base'!M$13*BD166,2))))</f>
        <v>0</v>
      </c>
      <c r="U167">
        <f>IF(BE166&lt;=0,0,IF(ROUND(BE166*(1+'Calc base'!S167),2)-MAX('Calc base'!N$12,ROUND('Calc base'!N$13*BE166,2))&lt;1,ROUND(BE166*(1+'Calc base'!S167),2),MAX('Calc base'!N$12,ROUND('Calc base'!N$13*BE166,2))))</f>
        <v>0</v>
      </c>
      <c r="V167">
        <f>MAX(0,ROUND(AT166*(1+'Calc base'!H167),2)-J167-'Calc base'!T167)</f>
        <v>0</v>
      </c>
      <c r="W167">
        <f>MAX(0,ROUND(AU166*(1+'Calc base'!I167),2)-K167-'Calc base'!U167)</f>
        <v>0</v>
      </c>
      <c r="X167">
        <f>MAX(0,ROUND(AV166*(1+'Calc base'!J167),2)-L167-'Calc base'!V167)</f>
        <v>0</v>
      </c>
      <c r="Y167">
        <f>MAX(0,ROUND(AW166*(1+'Calc base'!K167),2)-M167-'Calc base'!W167)</f>
        <v>0</v>
      </c>
      <c r="Z167">
        <f>MAX(0,ROUND(AX166*(1+'Calc base'!L167),2)-N167-'Calc base'!X167)</f>
        <v>0</v>
      </c>
      <c r="AA167">
        <f>MAX(0,ROUND(AY166*(1+'Calc base'!M167),2)-O167-'Calc base'!Y167)</f>
        <v>0</v>
      </c>
      <c r="AB167">
        <f>MAX(0,ROUND(AZ166*(1+'Calc base'!N167),2)-P167-'Calc base'!Z167)</f>
        <v>0</v>
      </c>
      <c r="AC167">
        <f>MAX(0,ROUND(BA166*(1+'Calc base'!O167),2)-Q167-'Calc base'!AA167)</f>
        <v>0</v>
      </c>
      <c r="AD167">
        <f>MAX(0,ROUND(BB166*(1+'Calc base'!P167),2)-R167-'Calc base'!AB167)</f>
        <v>0</v>
      </c>
      <c r="AE167">
        <f>MAX(0,ROUND(BC166*(1+'Calc base'!Q167),2)-S167-'Calc base'!AC167)</f>
        <v>0</v>
      </c>
      <c r="AF167">
        <f>MAX(0,ROUND(BD166*(1+'Calc base'!R167),2)-T167-'Calc base'!AD167)</f>
        <v>0</v>
      </c>
      <c r="AG167">
        <f>MAX(0,ROUND(BE166*(1+'Calc base'!S167),2)-U167-'Calc base'!AE167)</f>
        <v>0</v>
      </c>
      <c r="AH167">
        <f>IF('Calc base'!C$14=0,0,MIN(V167,MAX(0,$E167-SUMIFS($V167:$AG167,'Calc base'!$C$17:$N$17,"&lt;"&amp;'Calc base'!C$17,'Calc base'!$C$14:$N$14,1))))</f>
        <v>0</v>
      </c>
      <c r="AI167">
        <f>IF('Calc base'!D$14=0,0,MIN(W167,MAX(0,$E167-SUMIFS($V167:$AG167,'Calc base'!$C$17:$N$17,"&lt;"&amp;'Calc base'!D$17,'Calc base'!$C$14:$N$14,1))))</f>
        <v>0</v>
      </c>
      <c r="AJ167">
        <f>IF('Calc base'!E$14=0,0,MIN(X167,MAX(0,$E167-SUMIFS($V167:$AG167,'Calc base'!$C$17:$N$17,"&lt;"&amp;'Calc base'!E$17,'Calc base'!$C$14:$N$14,1))))</f>
        <v>0</v>
      </c>
      <c r="AK167">
        <f>IF('Calc base'!F$14=0,0,MIN(Y167,MAX(0,$E167-SUMIFS($V167:$AG167,'Calc base'!$C$17:$N$17,"&lt;"&amp;'Calc base'!F$17,'Calc base'!$C$14:$N$14,1))))</f>
        <v>0</v>
      </c>
      <c r="AL167">
        <f>IF('Calc base'!G$14=0,0,MIN(Z167,MAX(0,$E167-SUMIFS($V167:$AG167,'Calc base'!$C$17:$N$17,"&lt;"&amp;'Calc base'!G$17,'Calc base'!$C$14:$N$14,1))))</f>
        <v>0</v>
      </c>
      <c r="AM167">
        <f>IF('Calc base'!H$14=0,0,MIN(AA167,MAX(0,$E167-SUMIFS($V167:$AG167,'Calc base'!$C$17:$N$17,"&lt;"&amp;'Calc base'!H$17,'Calc base'!$C$14:$N$14,1))))</f>
        <v>0</v>
      </c>
      <c r="AN167">
        <f>IF('Calc base'!I$14=0,0,MIN(AB167,MAX(0,$E167-SUMIFS($V167:$AG167,'Calc base'!$C$17:$N$17,"&lt;"&amp;'Calc base'!I$17,'Calc base'!$C$14:$N$14,1))))</f>
        <v>0</v>
      </c>
      <c r="AO167">
        <f>IF('Calc base'!J$14=0,0,MIN(AC167,MAX(0,$E167-SUMIFS($V167:$AG167,'Calc base'!$C$17:$N$17,"&lt;"&amp;'Calc base'!J$17,'Calc base'!$C$14:$N$14,1))))</f>
        <v>0</v>
      </c>
      <c r="AP167">
        <f>IF('Calc base'!K$14=0,0,MIN(AD167,MAX(0,$E167-SUMIFS($V167:$AG167,'Calc base'!$C$17:$N$17,"&lt;"&amp;'Calc base'!K$17,'Calc base'!$C$14:$N$14,1))))</f>
        <v>0</v>
      </c>
      <c r="AQ167">
        <f>IF('Calc base'!L$14=0,0,MIN(AE167,MAX(0,$E167-SUMIFS($V167:$AG167,'Calc base'!$C$17:$N$17,"&lt;"&amp;'Calc base'!L$17,'Calc base'!$C$14:$N$14,1))))</f>
        <v>0</v>
      </c>
      <c r="AR167">
        <f>IF('Calc base'!M$14=0,0,MIN(AF167,MAX(0,$E167-SUMIFS($V167:$AG167,'Calc base'!$C$17:$N$17,"&lt;"&amp;'Calc base'!M$17,'Calc base'!$C$14:$N$14,1))))</f>
        <v>0</v>
      </c>
      <c r="AS167">
        <f>IF('Calc base'!N$14=0,0,MIN(AG167,MAX(0,$E167-SUMIFS($V167:$AG167,'Calc base'!$C$17:$N$17,"&lt;"&amp;'Calc base'!N$17,'Calc base'!$C$14:$N$14,1))))</f>
        <v>0</v>
      </c>
      <c r="AT167">
        <f>V167-AH167</f>
        <v>0</v>
      </c>
      <c r="AU167">
        <f>W167-AI167</f>
        <v>0</v>
      </c>
      <c r="AV167">
        <f>X167-AJ167</f>
        <v>0</v>
      </c>
      <c r="AW167">
        <f>Y167-AK167</f>
        <v>0</v>
      </c>
      <c r="AX167">
        <f>Z167-AL167</f>
        <v>0</v>
      </c>
      <c r="AY167">
        <f>AA167-AM167</f>
        <v>0</v>
      </c>
      <c r="AZ167">
        <f>AB167-AN167</f>
        <v>0</v>
      </c>
      <c r="BA167">
        <f>AC167-AO167</f>
        <v>0</v>
      </c>
      <c r="BB167">
        <f>AD167-AP167</f>
        <v>0</v>
      </c>
      <c r="BC167">
        <f>AE167-AQ167</f>
        <v>0</v>
      </c>
      <c r="BD167">
        <f>AF167-AR167</f>
        <v>0</v>
      </c>
      <c r="BE167">
        <f>AG167-AS167</f>
        <v>0</v>
      </c>
    </row>
    <row r="168">
      <c r="A168" t="n">
        <v>138</v>
      </c>
      <c r="B168">
        <f>SUMPRODUCT(ROUND($AT167:$BE167*(1+'Calc base'!$H168:$S168),2))</f>
        <v>0</v>
      </c>
      <c r="C168">
        <f>SUM(J168:U168)</f>
        <v>0</v>
      </c>
      <c r="D168">
        <f>SUM(V168:AG168)</f>
        <v>0</v>
      </c>
      <c r="E168">
        <f>MAX(0,IF(Impostazioni!$B$7="No",'Calc base'!$C168-$C$31,'Calc base'!$C168-C168)+'Calc base'!$G168+'Calc base'!$F168-(B168-C168-D168))</f>
        <v>900</v>
      </c>
      <c r="F168">
        <f>SUM(AH168:AS168)</f>
        <v>0</v>
      </c>
      <c r="G168">
        <f>SUM(AT168:BE168)</f>
        <v>0</v>
      </c>
      <c r="H168">
        <f>B168-G167</f>
        <v>0</v>
      </c>
      <c r="I168">
        <f>B168-G168</f>
        <v>0</v>
      </c>
      <c r="J168">
        <f>IF(AT167&lt;=0,0,IF(ROUND(AT167*(1+'Calc base'!H168),2)-MAX('Calc base'!C$12,ROUND('Calc base'!C$13*AT167,2))&lt;1,ROUND(AT167*(1+'Calc base'!H168),2),MAX('Calc base'!C$12,ROUND('Calc base'!C$13*AT167,2))))</f>
        <v>0</v>
      </c>
      <c r="K168">
        <f>IF(AU167&lt;=0,0,IF(ROUND(AU167*(1+'Calc base'!I168),2)-MAX('Calc base'!D$12,ROUND('Calc base'!D$13*AU167,2))&lt;1,ROUND(AU167*(1+'Calc base'!I168),2),MAX('Calc base'!D$12,ROUND('Calc base'!D$13*AU167,2))))</f>
        <v>0</v>
      </c>
      <c r="L168">
        <f>IF(AV167&lt;=0,0,IF(ROUND(AV167*(1+'Calc base'!J168),2)-MAX('Calc base'!E$12,ROUND('Calc base'!E$13*AV167,2))&lt;1,ROUND(AV167*(1+'Calc base'!J168),2),MAX('Calc base'!E$12,ROUND('Calc base'!E$13*AV167,2))))</f>
        <v>0</v>
      </c>
      <c r="M168">
        <f>IF(AW167&lt;=0,0,IF(ROUND(AW167*(1+'Calc base'!K168),2)-MAX('Calc base'!F$12,ROUND('Calc base'!F$13*AW167,2))&lt;1,ROUND(AW167*(1+'Calc base'!K168),2),MAX('Calc base'!F$12,ROUND('Calc base'!F$13*AW167,2))))</f>
        <v>0</v>
      </c>
      <c r="N168">
        <f>IF(AX167&lt;=0,0,IF(ROUND(AX167*(1+'Calc base'!L168),2)-MAX('Calc base'!G$12,ROUND('Calc base'!G$13*AX167,2))&lt;1,ROUND(AX167*(1+'Calc base'!L168),2),MAX('Calc base'!G$12,ROUND('Calc base'!G$13*AX167,2))))</f>
        <v>0</v>
      </c>
      <c r="O168">
        <f>IF(AY167&lt;=0,0,IF(ROUND(AY167*(1+'Calc base'!M168),2)-MAX('Calc base'!H$12,ROUND('Calc base'!H$13*AY167,2))&lt;1,ROUND(AY167*(1+'Calc base'!M168),2),MAX('Calc base'!H$12,ROUND('Calc base'!H$13*AY167,2))))</f>
        <v>0</v>
      </c>
      <c r="P168">
        <f>IF(AZ167&lt;=0,0,IF(ROUND(AZ167*(1+'Calc base'!N168),2)-MAX('Calc base'!I$12,ROUND('Calc base'!I$13*AZ167,2))&lt;1,ROUND(AZ167*(1+'Calc base'!N168),2),MAX('Calc base'!I$12,ROUND('Calc base'!I$13*AZ167,2))))</f>
        <v>0</v>
      </c>
      <c r="Q168">
        <f>IF(BA167&lt;=0,0,IF(ROUND(BA167*(1+'Calc base'!O168),2)-MAX('Calc base'!J$12,ROUND('Calc base'!J$13*BA167,2))&lt;1,ROUND(BA167*(1+'Calc base'!O168),2),MAX('Calc base'!J$12,ROUND('Calc base'!J$13*BA167,2))))</f>
        <v>0</v>
      </c>
      <c r="R168">
        <f>IF(BB167&lt;=0,0,IF(ROUND(BB167*(1+'Calc base'!P168),2)-MAX('Calc base'!K$12,ROUND('Calc base'!K$13*BB167,2))&lt;1,ROUND(BB167*(1+'Calc base'!P168),2),MAX('Calc base'!K$12,ROUND('Calc base'!K$13*BB167,2))))</f>
        <v>0</v>
      </c>
      <c r="S168">
        <f>IF(BC167&lt;=0,0,IF(ROUND(BC167*(1+'Calc base'!Q168),2)-MAX('Calc base'!L$12,ROUND('Calc base'!L$13*BC167,2))&lt;1,ROUND(BC167*(1+'Calc base'!Q168),2),MAX('Calc base'!L$12,ROUND('Calc base'!L$13*BC167,2))))</f>
        <v>0</v>
      </c>
      <c r="T168">
        <f>IF(BD167&lt;=0,0,IF(ROUND(BD167*(1+'Calc base'!R168),2)-MAX('Calc base'!M$12,ROUND('Calc base'!M$13*BD167,2))&lt;1,ROUND(BD167*(1+'Calc base'!R168),2),MAX('Calc base'!M$12,ROUND('Calc base'!M$13*BD167,2))))</f>
        <v>0</v>
      </c>
      <c r="U168">
        <f>IF(BE167&lt;=0,0,IF(ROUND(BE167*(1+'Calc base'!S168),2)-MAX('Calc base'!N$12,ROUND('Calc base'!N$13*BE167,2))&lt;1,ROUND(BE167*(1+'Calc base'!S168),2),MAX('Calc base'!N$12,ROUND('Calc base'!N$13*BE167,2))))</f>
        <v>0</v>
      </c>
      <c r="V168">
        <f>MAX(0,ROUND(AT167*(1+'Calc base'!H168),2)-J168-'Calc base'!T168)</f>
        <v>0</v>
      </c>
      <c r="W168">
        <f>MAX(0,ROUND(AU167*(1+'Calc base'!I168),2)-K168-'Calc base'!U168)</f>
        <v>0</v>
      </c>
      <c r="X168">
        <f>MAX(0,ROUND(AV167*(1+'Calc base'!J168),2)-L168-'Calc base'!V168)</f>
        <v>0</v>
      </c>
      <c r="Y168">
        <f>MAX(0,ROUND(AW167*(1+'Calc base'!K168),2)-M168-'Calc base'!W168)</f>
        <v>0</v>
      </c>
      <c r="Z168">
        <f>MAX(0,ROUND(AX167*(1+'Calc base'!L168),2)-N168-'Calc base'!X168)</f>
        <v>0</v>
      </c>
      <c r="AA168">
        <f>MAX(0,ROUND(AY167*(1+'Calc base'!M168),2)-O168-'Calc base'!Y168)</f>
        <v>0</v>
      </c>
      <c r="AB168">
        <f>MAX(0,ROUND(AZ167*(1+'Calc base'!N168),2)-P168-'Calc base'!Z168)</f>
        <v>0</v>
      </c>
      <c r="AC168">
        <f>MAX(0,ROUND(BA167*(1+'Calc base'!O168),2)-Q168-'Calc base'!AA168)</f>
        <v>0</v>
      </c>
      <c r="AD168">
        <f>MAX(0,ROUND(BB167*(1+'Calc base'!P168),2)-R168-'Calc base'!AB168)</f>
        <v>0</v>
      </c>
      <c r="AE168">
        <f>MAX(0,ROUND(BC167*(1+'Calc base'!Q168),2)-S168-'Calc base'!AC168)</f>
        <v>0</v>
      </c>
      <c r="AF168">
        <f>MAX(0,ROUND(BD167*(1+'Calc base'!R168),2)-T168-'Calc base'!AD168)</f>
        <v>0</v>
      </c>
      <c r="AG168">
        <f>MAX(0,ROUND(BE167*(1+'Calc base'!S168),2)-U168-'Calc base'!AE168)</f>
        <v>0</v>
      </c>
      <c r="AH168">
        <f>IF('Calc base'!C$14=0,0,MIN(V168,MAX(0,$E168-SUMIFS($V168:$AG168,'Calc base'!$C$17:$N$17,"&lt;"&amp;'Calc base'!C$17,'Calc base'!$C$14:$N$14,1))))</f>
        <v>0</v>
      </c>
      <c r="AI168">
        <f>IF('Calc base'!D$14=0,0,MIN(W168,MAX(0,$E168-SUMIFS($V168:$AG168,'Calc base'!$C$17:$N$17,"&lt;"&amp;'Calc base'!D$17,'Calc base'!$C$14:$N$14,1))))</f>
        <v>0</v>
      </c>
      <c r="AJ168">
        <f>IF('Calc base'!E$14=0,0,MIN(X168,MAX(0,$E168-SUMIFS($V168:$AG168,'Calc base'!$C$17:$N$17,"&lt;"&amp;'Calc base'!E$17,'Calc base'!$C$14:$N$14,1))))</f>
        <v>0</v>
      </c>
      <c r="AK168">
        <f>IF('Calc base'!F$14=0,0,MIN(Y168,MAX(0,$E168-SUMIFS($V168:$AG168,'Calc base'!$C$17:$N$17,"&lt;"&amp;'Calc base'!F$17,'Calc base'!$C$14:$N$14,1))))</f>
        <v>0</v>
      </c>
      <c r="AL168">
        <f>IF('Calc base'!G$14=0,0,MIN(Z168,MAX(0,$E168-SUMIFS($V168:$AG168,'Calc base'!$C$17:$N$17,"&lt;"&amp;'Calc base'!G$17,'Calc base'!$C$14:$N$14,1))))</f>
        <v>0</v>
      </c>
      <c r="AM168">
        <f>IF('Calc base'!H$14=0,0,MIN(AA168,MAX(0,$E168-SUMIFS($V168:$AG168,'Calc base'!$C$17:$N$17,"&lt;"&amp;'Calc base'!H$17,'Calc base'!$C$14:$N$14,1))))</f>
        <v>0</v>
      </c>
      <c r="AN168">
        <f>IF('Calc base'!I$14=0,0,MIN(AB168,MAX(0,$E168-SUMIFS($V168:$AG168,'Calc base'!$C$17:$N$17,"&lt;"&amp;'Calc base'!I$17,'Calc base'!$C$14:$N$14,1))))</f>
        <v>0</v>
      </c>
      <c r="AO168">
        <f>IF('Calc base'!J$14=0,0,MIN(AC168,MAX(0,$E168-SUMIFS($V168:$AG168,'Calc base'!$C$17:$N$17,"&lt;"&amp;'Calc base'!J$17,'Calc base'!$C$14:$N$14,1))))</f>
        <v>0</v>
      </c>
      <c r="AP168">
        <f>IF('Calc base'!K$14=0,0,MIN(AD168,MAX(0,$E168-SUMIFS($V168:$AG168,'Calc base'!$C$17:$N$17,"&lt;"&amp;'Calc base'!K$17,'Calc base'!$C$14:$N$14,1))))</f>
        <v>0</v>
      </c>
      <c r="AQ168">
        <f>IF('Calc base'!L$14=0,0,MIN(AE168,MAX(0,$E168-SUMIFS($V168:$AG168,'Calc base'!$C$17:$N$17,"&lt;"&amp;'Calc base'!L$17,'Calc base'!$C$14:$N$14,1))))</f>
        <v>0</v>
      </c>
      <c r="AR168">
        <f>IF('Calc base'!M$14=0,0,MIN(AF168,MAX(0,$E168-SUMIFS($V168:$AG168,'Calc base'!$C$17:$N$17,"&lt;"&amp;'Calc base'!M$17,'Calc base'!$C$14:$N$14,1))))</f>
        <v>0</v>
      </c>
      <c r="AS168">
        <f>IF('Calc base'!N$14=0,0,MIN(AG168,MAX(0,$E168-SUMIFS($V168:$AG168,'Calc base'!$C$17:$N$17,"&lt;"&amp;'Calc base'!N$17,'Calc base'!$C$14:$N$14,1))))</f>
        <v>0</v>
      </c>
      <c r="AT168">
        <f>V168-AH168</f>
        <v>0</v>
      </c>
      <c r="AU168">
        <f>W168-AI168</f>
        <v>0</v>
      </c>
      <c r="AV168">
        <f>X168-AJ168</f>
        <v>0</v>
      </c>
      <c r="AW168">
        <f>Y168-AK168</f>
        <v>0</v>
      </c>
      <c r="AX168">
        <f>Z168-AL168</f>
        <v>0</v>
      </c>
      <c r="AY168">
        <f>AA168-AM168</f>
        <v>0</v>
      </c>
      <c r="AZ168">
        <f>AB168-AN168</f>
        <v>0</v>
      </c>
      <c r="BA168">
        <f>AC168-AO168</f>
        <v>0</v>
      </c>
      <c r="BB168">
        <f>AD168-AP168</f>
        <v>0</v>
      </c>
      <c r="BC168">
        <f>AE168-AQ168</f>
        <v>0</v>
      </c>
      <c r="BD168">
        <f>AF168-AR168</f>
        <v>0</v>
      </c>
      <c r="BE168">
        <f>AG168-AS168</f>
        <v>0</v>
      </c>
    </row>
    <row r="169">
      <c r="A169" t="n">
        <v>139</v>
      </c>
      <c r="B169">
        <f>SUMPRODUCT(ROUND($AT168:$BE168*(1+'Calc base'!$H169:$S169),2))</f>
        <v>0</v>
      </c>
      <c r="C169">
        <f>SUM(J169:U169)</f>
        <v>0</v>
      </c>
      <c r="D169">
        <f>SUM(V169:AG169)</f>
        <v>0</v>
      </c>
      <c r="E169">
        <f>MAX(0,IF(Impostazioni!$B$7="No",'Calc base'!$C169-$C$31,'Calc base'!$C169-C169)+'Calc base'!$G169+'Calc base'!$F169-(B169-C169-D169))</f>
        <v>900</v>
      </c>
      <c r="F169">
        <f>SUM(AH169:AS169)</f>
        <v>0</v>
      </c>
      <c r="G169">
        <f>SUM(AT169:BE169)</f>
        <v>0</v>
      </c>
      <c r="H169">
        <f>B169-G168</f>
        <v>0</v>
      </c>
      <c r="I169">
        <f>B169-G169</f>
        <v>0</v>
      </c>
      <c r="J169">
        <f>IF(AT168&lt;=0,0,IF(ROUND(AT168*(1+'Calc base'!H169),2)-MAX('Calc base'!C$12,ROUND('Calc base'!C$13*AT168,2))&lt;1,ROUND(AT168*(1+'Calc base'!H169),2),MAX('Calc base'!C$12,ROUND('Calc base'!C$13*AT168,2))))</f>
        <v>0</v>
      </c>
      <c r="K169">
        <f>IF(AU168&lt;=0,0,IF(ROUND(AU168*(1+'Calc base'!I169),2)-MAX('Calc base'!D$12,ROUND('Calc base'!D$13*AU168,2))&lt;1,ROUND(AU168*(1+'Calc base'!I169),2),MAX('Calc base'!D$12,ROUND('Calc base'!D$13*AU168,2))))</f>
        <v>0</v>
      </c>
      <c r="L169">
        <f>IF(AV168&lt;=0,0,IF(ROUND(AV168*(1+'Calc base'!J169),2)-MAX('Calc base'!E$12,ROUND('Calc base'!E$13*AV168,2))&lt;1,ROUND(AV168*(1+'Calc base'!J169),2),MAX('Calc base'!E$12,ROUND('Calc base'!E$13*AV168,2))))</f>
        <v>0</v>
      </c>
      <c r="M169">
        <f>IF(AW168&lt;=0,0,IF(ROUND(AW168*(1+'Calc base'!K169),2)-MAX('Calc base'!F$12,ROUND('Calc base'!F$13*AW168,2))&lt;1,ROUND(AW168*(1+'Calc base'!K169),2),MAX('Calc base'!F$12,ROUND('Calc base'!F$13*AW168,2))))</f>
        <v>0</v>
      </c>
      <c r="N169">
        <f>IF(AX168&lt;=0,0,IF(ROUND(AX168*(1+'Calc base'!L169),2)-MAX('Calc base'!G$12,ROUND('Calc base'!G$13*AX168,2))&lt;1,ROUND(AX168*(1+'Calc base'!L169),2),MAX('Calc base'!G$12,ROUND('Calc base'!G$13*AX168,2))))</f>
        <v>0</v>
      </c>
      <c r="O169">
        <f>IF(AY168&lt;=0,0,IF(ROUND(AY168*(1+'Calc base'!M169),2)-MAX('Calc base'!H$12,ROUND('Calc base'!H$13*AY168,2))&lt;1,ROUND(AY168*(1+'Calc base'!M169),2),MAX('Calc base'!H$12,ROUND('Calc base'!H$13*AY168,2))))</f>
        <v>0</v>
      </c>
      <c r="P169">
        <f>IF(AZ168&lt;=0,0,IF(ROUND(AZ168*(1+'Calc base'!N169),2)-MAX('Calc base'!I$12,ROUND('Calc base'!I$13*AZ168,2))&lt;1,ROUND(AZ168*(1+'Calc base'!N169),2),MAX('Calc base'!I$12,ROUND('Calc base'!I$13*AZ168,2))))</f>
        <v>0</v>
      </c>
      <c r="Q169">
        <f>IF(BA168&lt;=0,0,IF(ROUND(BA168*(1+'Calc base'!O169),2)-MAX('Calc base'!J$12,ROUND('Calc base'!J$13*BA168,2))&lt;1,ROUND(BA168*(1+'Calc base'!O169),2),MAX('Calc base'!J$12,ROUND('Calc base'!J$13*BA168,2))))</f>
        <v>0</v>
      </c>
      <c r="R169">
        <f>IF(BB168&lt;=0,0,IF(ROUND(BB168*(1+'Calc base'!P169),2)-MAX('Calc base'!K$12,ROUND('Calc base'!K$13*BB168,2))&lt;1,ROUND(BB168*(1+'Calc base'!P169),2),MAX('Calc base'!K$12,ROUND('Calc base'!K$13*BB168,2))))</f>
        <v>0</v>
      </c>
      <c r="S169">
        <f>IF(BC168&lt;=0,0,IF(ROUND(BC168*(1+'Calc base'!Q169),2)-MAX('Calc base'!L$12,ROUND('Calc base'!L$13*BC168,2))&lt;1,ROUND(BC168*(1+'Calc base'!Q169),2),MAX('Calc base'!L$12,ROUND('Calc base'!L$13*BC168,2))))</f>
        <v>0</v>
      </c>
      <c r="T169">
        <f>IF(BD168&lt;=0,0,IF(ROUND(BD168*(1+'Calc base'!R169),2)-MAX('Calc base'!M$12,ROUND('Calc base'!M$13*BD168,2))&lt;1,ROUND(BD168*(1+'Calc base'!R169),2),MAX('Calc base'!M$12,ROUND('Calc base'!M$13*BD168,2))))</f>
        <v>0</v>
      </c>
      <c r="U169">
        <f>IF(BE168&lt;=0,0,IF(ROUND(BE168*(1+'Calc base'!S169),2)-MAX('Calc base'!N$12,ROUND('Calc base'!N$13*BE168,2))&lt;1,ROUND(BE168*(1+'Calc base'!S169),2),MAX('Calc base'!N$12,ROUND('Calc base'!N$13*BE168,2))))</f>
        <v>0</v>
      </c>
      <c r="V169">
        <f>MAX(0,ROUND(AT168*(1+'Calc base'!H169),2)-J169-'Calc base'!T169)</f>
        <v>0</v>
      </c>
      <c r="W169">
        <f>MAX(0,ROUND(AU168*(1+'Calc base'!I169),2)-K169-'Calc base'!U169)</f>
        <v>0</v>
      </c>
      <c r="X169">
        <f>MAX(0,ROUND(AV168*(1+'Calc base'!J169),2)-L169-'Calc base'!V169)</f>
        <v>0</v>
      </c>
      <c r="Y169">
        <f>MAX(0,ROUND(AW168*(1+'Calc base'!K169),2)-M169-'Calc base'!W169)</f>
        <v>0</v>
      </c>
      <c r="Z169">
        <f>MAX(0,ROUND(AX168*(1+'Calc base'!L169),2)-N169-'Calc base'!X169)</f>
        <v>0</v>
      </c>
      <c r="AA169">
        <f>MAX(0,ROUND(AY168*(1+'Calc base'!M169),2)-O169-'Calc base'!Y169)</f>
        <v>0</v>
      </c>
      <c r="AB169">
        <f>MAX(0,ROUND(AZ168*(1+'Calc base'!N169),2)-P169-'Calc base'!Z169)</f>
        <v>0</v>
      </c>
      <c r="AC169">
        <f>MAX(0,ROUND(BA168*(1+'Calc base'!O169),2)-Q169-'Calc base'!AA169)</f>
        <v>0</v>
      </c>
      <c r="AD169">
        <f>MAX(0,ROUND(BB168*(1+'Calc base'!P169),2)-R169-'Calc base'!AB169)</f>
        <v>0</v>
      </c>
      <c r="AE169">
        <f>MAX(0,ROUND(BC168*(1+'Calc base'!Q169),2)-S169-'Calc base'!AC169)</f>
        <v>0</v>
      </c>
      <c r="AF169">
        <f>MAX(0,ROUND(BD168*(1+'Calc base'!R169),2)-T169-'Calc base'!AD169)</f>
        <v>0</v>
      </c>
      <c r="AG169">
        <f>MAX(0,ROUND(BE168*(1+'Calc base'!S169),2)-U169-'Calc base'!AE169)</f>
        <v>0</v>
      </c>
      <c r="AH169">
        <f>IF('Calc base'!C$14=0,0,MIN(V169,MAX(0,$E169-SUMIFS($V169:$AG169,'Calc base'!$C$17:$N$17,"&lt;"&amp;'Calc base'!C$17,'Calc base'!$C$14:$N$14,1))))</f>
        <v>0</v>
      </c>
      <c r="AI169">
        <f>IF('Calc base'!D$14=0,0,MIN(W169,MAX(0,$E169-SUMIFS($V169:$AG169,'Calc base'!$C$17:$N$17,"&lt;"&amp;'Calc base'!D$17,'Calc base'!$C$14:$N$14,1))))</f>
        <v>0</v>
      </c>
      <c r="AJ169">
        <f>IF('Calc base'!E$14=0,0,MIN(X169,MAX(0,$E169-SUMIFS($V169:$AG169,'Calc base'!$C$17:$N$17,"&lt;"&amp;'Calc base'!E$17,'Calc base'!$C$14:$N$14,1))))</f>
        <v>0</v>
      </c>
      <c r="AK169">
        <f>IF('Calc base'!F$14=0,0,MIN(Y169,MAX(0,$E169-SUMIFS($V169:$AG169,'Calc base'!$C$17:$N$17,"&lt;"&amp;'Calc base'!F$17,'Calc base'!$C$14:$N$14,1))))</f>
        <v>0</v>
      </c>
      <c r="AL169">
        <f>IF('Calc base'!G$14=0,0,MIN(Z169,MAX(0,$E169-SUMIFS($V169:$AG169,'Calc base'!$C$17:$N$17,"&lt;"&amp;'Calc base'!G$17,'Calc base'!$C$14:$N$14,1))))</f>
        <v>0</v>
      </c>
      <c r="AM169">
        <f>IF('Calc base'!H$14=0,0,MIN(AA169,MAX(0,$E169-SUMIFS($V169:$AG169,'Calc base'!$C$17:$N$17,"&lt;"&amp;'Calc base'!H$17,'Calc base'!$C$14:$N$14,1))))</f>
        <v>0</v>
      </c>
      <c r="AN169">
        <f>IF('Calc base'!I$14=0,0,MIN(AB169,MAX(0,$E169-SUMIFS($V169:$AG169,'Calc base'!$C$17:$N$17,"&lt;"&amp;'Calc base'!I$17,'Calc base'!$C$14:$N$14,1))))</f>
        <v>0</v>
      </c>
      <c r="AO169">
        <f>IF('Calc base'!J$14=0,0,MIN(AC169,MAX(0,$E169-SUMIFS($V169:$AG169,'Calc base'!$C$17:$N$17,"&lt;"&amp;'Calc base'!J$17,'Calc base'!$C$14:$N$14,1))))</f>
        <v>0</v>
      </c>
      <c r="AP169">
        <f>IF('Calc base'!K$14=0,0,MIN(AD169,MAX(0,$E169-SUMIFS($V169:$AG169,'Calc base'!$C$17:$N$17,"&lt;"&amp;'Calc base'!K$17,'Calc base'!$C$14:$N$14,1))))</f>
        <v>0</v>
      </c>
      <c r="AQ169">
        <f>IF('Calc base'!L$14=0,0,MIN(AE169,MAX(0,$E169-SUMIFS($V169:$AG169,'Calc base'!$C$17:$N$17,"&lt;"&amp;'Calc base'!L$17,'Calc base'!$C$14:$N$14,1))))</f>
        <v>0</v>
      </c>
      <c r="AR169">
        <f>IF('Calc base'!M$14=0,0,MIN(AF169,MAX(0,$E169-SUMIFS($V169:$AG169,'Calc base'!$C$17:$N$17,"&lt;"&amp;'Calc base'!M$17,'Calc base'!$C$14:$N$14,1))))</f>
        <v>0</v>
      </c>
      <c r="AS169">
        <f>IF('Calc base'!N$14=0,0,MIN(AG169,MAX(0,$E169-SUMIFS($V169:$AG169,'Calc base'!$C$17:$N$17,"&lt;"&amp;'Calc base'!N$17,'Calc base'!$C$14:$N$14,1))))</f>
        <v>0</v>
      </c>
      <c r="AT169">
        <f>V169-AH169</f>
        <v>0</v>
      </c>
      <c r="AU169">
        <f>W169-AI169</f>
        <v>0</v>
      </c>
      <c r="AV169">
        <f>X169-AJ169</f>
        <v>0</v>
      </c>
      <c r="AW169">
        <f>Y169-AK169</f>
        <v>0</v>
      </c>
      <c r="AX169">
        <f>Z169-AL169</f>
        <v>0</v>
      </c>
      <c r="AY169">
        <f>AA169-AM169</f>
        <v>0</v>
      </c>
      <c r="AZ169">
        <f>AB169-AN169</f>
        <v>0</v>
      </c>
      <c r="BA169">
        <f>AC169-AO169</f>
        <v>0</v>
      </c>
      <c r="BB169">
        <f>AD169-AP169</f>
        <v>0</v>
      </c>
      <c r="BC169">
        <f>AE169-AQ169</f>
        <v>0</v>
      </c>
      <c r="BD169">
        <f>AF169-AR169</f>
        <v>0</v>
      </c>
      <c r="BE169">
        <f>AG169-AS169</f>
        <v>0</v>
      </c>
    </row>
    <row r="170">
      <c r="A170" t="n">
        <v>140</v>
      </c>
      <c r="B170">
        <f>SUMPRODUCT(ROUND($AT169:$BE169*(1+'Calc base'!$H170:$S170),2))</f>
        <v>0</v>
      </c>
      <c r="C170">
        <f>SUM(J170:U170)</f>
        <v>0</v>
      </c>
      <c r="D170">
        <f>SUM(V170:AG170)</f>
        <v>0</v>
      </c>
      <c r="E170">
        <f>MAX(0,IF(Impostazioni!$B$7="No",'Calc base'!$C170-$C$31,'Calc base'!$C170-C170)+'Calc base'!$G170+'Calc base'!$F170-(B170-C170-D170))</f>
        <v>900</v>
      </c>
      <c r="F170">
        <f>SUM(AH170:AS170)</f>
        <v>0</v>
      </c>
      <c r="G170">
        <f>SUM(AT170:BE170)</f>
        <v>0</v>
      </c>
      <c r="H170">
        <f>B170-G169</f>
        <v>0</v>
      </c>
      <c r="I170">
        <f>B170-G170</f>
        <v>0</v>
      </c>
      <c r="J170">
        <f>IF(AT169&lt;=0,0,IF(ROUND(AT169*(1+'Calc base'!H170),2)-MAX('Calc base'!C$12,ROUND('Calc base'!C$13*AT169,2))&lt;1,ROUND(AT169*(1+'Calc base'!H170),2),MAX('Calc base'!C$12,ROUND('Calc base'!C$13*AT169,2))))</f>
        <v>0</v>
      </c>
      <c r="K170">
        <f>IF(AU169&lt;=0,0,IF(ROUND(AU169*(1+'Calc base'!I170),2)-MAX('Calc base'!D$12,ROUND('Calc base'!D$13*AU169,2))&lt;1,ROUND(AU169*(1+'Calc base'!I170),2),MAX('Calc base'!D$12,ROUND('Calc base'!D$13*AU169,2))))</f>
        <v>0</v>
      </c>
      <c r="L170">
        <f>IF(AV169&lt;=0,0,IF(ROUND(AV169*(1+'Calc base'!J170),2)-MAX('Calc base'!E$12,ROUND('Calc base'!E$13*AV169,2))&lt;1,ROUND(AV169*(1+'Calc base'!J170),2),MAX('Calc base'!E$12,ROUND('Calc base'!E$13*AV169,2))))</f>
        <v>0</v>
      </c>
      <c r="M170">
        <f>IF(AW169&lt;=0,0,IF(ROUND(AW169*(1+'Calc base'!K170),2)-MAX('Calc base'!F$12,ROUND('Calc base'!F$13*AW169,2))&lt;1,ROUND(AW169*(1+'Calc base'!K170),2),MAX('Calc base'!F$12,ROUND('Calc base'!F$13*AW169,2))))</f>
        <v>0</v>
      </c>
      <c r="N170">
        <f>IF(AX169&lt;=0,0,IF(ROUND(AX169*(1+'Calc base'!L170),2)-MAX('Calc base'!G$12,ROUND('Calc base'!G$13*AX169,2))&lt;1,ROUND(AX169*(1+'Calc base'!L170),2),MAX('Calc base'!G$12,ROUND('Calc base'!G$13*AX169,2))))</f>
        <v>0</v>
      </c>
      <c r="O170">
        <f>IF(AY169&lt;=0,0,IF(ROUND(AY169*(1+'Calc base'!M170),2)-MAX('Calc base'!H$12,ROUND('Calc base'!H$13*AY169,2))&lt;1,ROUND(AY169*(1+'Calc base'!M170),2),MAX('Calc base'!H$12,ROUND('Calc base'!H$13*AY169,2))))</f>
        <v>0</v>
      </c>
      <c r="P170">
        <f>IF(AZ169&lt;=0,0,IF(ROUND(AZ169*(1+'Calc base'!N170),2)-MAX('Calc base'!I$12,ROUND('Calc base'!I$13*AZ169,2))&lt;1,ROUND(AZ169*(1+'Calc base'!N170),2),MAX('Calc base'!I$12,ROUND('Calc base'!I$13*AZ169,2))))</f>
        <v>0</v>
      </c>
      <c r="Q170">
        <f>IF(BA169&lt;=0,0,IF(ROUND(BA169*(1+'Calc base'!O170),2)-MAX('Calc base'!J$12,ROUND('Calc base'!J$13*BA169,2))&lt;1,ROUND(BA169*(1+'Calc base'!O170),2),MAX('Calc base'!J$12,ROUND('Calc base'!J$13*BA169,2))))</f>
        <v>0</v>
      </c>
      <c r="R170">
        <f>IF(BB169&lt;=0,0,IF(ROUND(BB169*(1+'Calc base'!P170),2)-MAX('Calc base'!K$12,ROUND('Calc base'!K$13*BB169,2))&lt;1,ROUND(BB169*(1+'Calc base'!P170),2),MAX('Calc base'!K$12,ROUND('Calc base'!K$13*BB169,2))))</f>
        <v>0</v>
      </c>
      <c r="S170">
        <f>IF(BC169&lt;=0,0,IF(ROUND(BC169*(1+'Calc base'!Q170),2)-MAX('Calc base'!L$12,ROUND('Calc base'!L$13*BC169,2))&lt;1,ROUND(BC169*(1+'Calc base'!Q170),2),MAX('Calc base'!L$12,ROUND('Calc base'!L$13*BC169,2))))</f>
        <v>0</v>
      </c>
      <c r="T170">
        <f>IF(BD169&lt;=0,0,IF(ROUND(BD169*(1+'Calc base'!R170),2)-MAX('Calc base'!M$12,ROUND('Calc base'!M$13*BD169,2))&lt;1,ROUND(BD169*(1+'Calc base'!R170),2),MAX('Calc base'!M$12,ROUND('Calc base'!M$13*BD169,2))))</f>
        <v>0</v>
      </c>
      <c r="U170">
        <f>IF(BE169&lt;=0,0,IF(ROUND(BE169*(1+'Calc base'!S170),2)-MAX('Calc base'!N$12,ROUND('Calc base'!N$13*BE169,2))&lt;1,ROUND(BE169*(1+'Calc base'!S170),2),MAX('Calc base'!N$12,ROUND('Calc base'!N$13*BE169,2))))</f>
        <v>0</v>
      </c>
      <c r="V170">
        <f>MAX(0,ROUND(AT169*(1+'Calc base'!H170),2)-J170-'Calc base'!T170)</f>
        <v>0</v>
      </c>
      <c r="W170">
        <f>MAX(0,ROUND(AU169*(1+'Calc base'!I170),2)-K170-'Calc base'!U170)</f>
        <v>0</v>
      </c>
      <c r="X170">
        <f>MAX(0,ROUND(AV169*(1+'Calc base'!J170),2)-L170-'Calc base'!V170)</f>
        <v>0</v>
      </c>
      <c r="Y170">
        <f>MAX(0,ROUND(AW169*(1+'Calc base'!K170),2)-M170-'Calc base'!W170)</f>
        <v>0</v>
      </c>
      <c r="Z170">
        <f>MAX(0,ROUND(AX169*(1+'Calc base'!L170),2)-N170-'Calc base'!X170)</f>
        <v>0</v>
      </c>
      <c r="AA170">
        <f>MAX(0,ROUND(AY169*(1+'Calc base'!M170),2)-O170-'Calc base'!Y170)</f>
        <v>0</v>
      </c>
      <c r="AB170">
        <f>MAX(0,ROUND(AZ169*(1+'Calc base'!N170),2)-P170-'Calc base'!Z170)</f>
        <v>0</v>
      </c>
      <c r="AC170">
        <f>MAX(0,ROUND(BA169*(1+'Calc base'!O170),2)-Q170-'Calc base'!AA170)</f>
        <v>0</v>
      </c>
      <c r="AD170">
        <f>MAX(0,ROUND(BB169*(1+'Calc base'!P170),2)-R170-'Calc base'!AB170)</f>
        <v>0</v>
      </c>
      <c r="AE170">
        <f>MAX(0,ROUND(BC169*(1+'Calc base'!Q170),2)-S170-'Calc base'!AC170)</f>
        <v>0</v>
      </c>
      <c r="AF170">
        <f>MAX(0,ROUND(BD169*(1+'Calc base'!R170),2)-T170-'Calc base'!AD170)</f>
        <v>0</v>
      </c>
      <c r="AG170">
        <f>MAX(0,ROUND(BE169*(1+'Calc base'!S170),2)-U170-'Calc base'!AE170)</f>
        <v>0</v>
      </c>
      <c r="AH170">
        <f>IF('Calc base'!C$14=0,0,MIN(V170,MAX(0,$E170-SUMIFS($V170:$AG170,'Calc base'!$C$17:$N$17,"&lt;"&amp;'Calc base'!C$17,'Calc base'!$C$14:$N$14,1))))</f>
        <v>0</v>
      </c>
      <c r="AI170">
        <f>IF('Calc base'!D$14=0,0,MIN(W170,MAX(0,$E170-SUMIFS($V170:$AG170,'Calc base'!$C$17:$N$17,"&lt;"&amp;'Calc base'!D$17,'Calc base'!$C$14:$N$14,1))))</f>
        <v>0</v>
      </c>
      <c r="AJ170">
        <f>IF('Calc base'!E$14=0,0,MIN(X170,MAX(0,$E170-SUMIFS($V170:$AG170,'Calc base'!$C$17:$N$17,"&lt;"&amp;'Calc base'!E$17,'Calc base'!$C$14:$N$14,1))))</f>
        <v>0</v>
      </c>
      <c r="AK170">
        <f>IF('Calc base'!F$14=0,0,MIN(Y170,MAX(0,$E170-SUMIFS($V170:$AG170,'Calc base'!$C$17:$N$17,"&lt;"&amp;'Calc base'!F$17,'Calc base'!$C$14:$N$14,1))))</f>
        <v>0</v>
      </c>
      <c r="AL170">
        <f>IF('Calc base'!G$14=0,0,MIN(Z170,MAX(0,$E170-SUMIFS($V170:$AG170,'Calc base'!$C$17:$N$17,"&lt;"&amp;'Calc base'!G$17,'Calc base'!$C$14:$N$14,1))))</f>
        <v>0</v>
      </c>
      <c r="AM170">
        <f>IF('Calc base'!H$14=0,0,MIN(AA170,MAX(0,$E170-SUMIFS($V170:$AG170,'Calc base'!$C$17:$N$17,"&lt;"&amp;'Calc base'!H$17,'Calc base'!$C$14:$N$14,1))))</f>
        <v>0</v>
      </c>
      <c r="AN170">
        <f>IF('Calc base'!I$14=0,0,MIN(AB170,MAX(0,$E170-SUMIFS($V170:$AG170,'Calc base'!$C$17:$N$17,"&lt;"&amp;'Calc base'!I$17,'Calc base'!$C$14:$N$14,1))))</f>
        <v>0</v>
      </c>
      <c r="AO170">
        <f>IF('Calc base'!J$14=0,0,MIN(AC170,MAX(0,$E170-SUMIFS($V170:$AG170,'Calc base'!$C$17:$N$17,"&lt;"&amp;'Calc base'!J$17,'Calc base'!$C$14:$N$14,1))))</f>
        <v>0</v>
      </c>
      <c r="AP170">
        <f>IF('Calc base'!K$14=0,0,MIN(AD170,MAX(0,$E170-SUMIFS($V170:$AG170,'Calc base'!$C$17:$N$17,"&lt;"&amp;'Calc base'!K$17,'Calc base'!$C$14:$N$14,1))))</f>
        <v>0</v>
      </c>
      <c r="AQ170">
        <f>IF('Calc base'!L$14=0,0,MIN(AE170,MAX(0,$E170-SUMIFS($V170:$AG170,'Calc base'!$C$17:$N$17,"&lt;"&amp;'Calc base'!L$17,'Calc base'!$C$14:$N$14,1))))</f>
        <v>0</v>
      </c>
      <c r="AR170">
        <f>IF('Calc base'!M$14=0,0,MIN(AF170,MAX(0,$E170-SUMIFS($V170:$AG170,'Calc base'!$C$17:$N$17,"&lt;"&amp;'Calc base'!M$17,'Calc base'!$C$14:$N$14,1))))</f>
        <v>0</v>
      </c>
      <c r="AS170">
        <f>IF('Calc base'!N$14=0,0,MIN(AG170,MAX(0,$E170-SUMIFS($V170:$AG170,'Calc base'!$C$17:$N$17,"&lt;"&amp;'Calc base'!N$17,'Calc base'!$C$14:$N$14,1))))</f>
        <v>0</v>
      </c>
      <c r="AT170">
        <f>V170-AH170</f>
        <v>0</v>
      </c>
      <c r="AU170">
        <f>W170-AI170</f>
        <v>0</v>
      </c>
      <c r="AV170">
        <f>X170-AJ170</f>
        <v>0</v>
      </c>
      <c r="AW170">
        <f>Y170-AK170</f>
        <v>0</v>
      </c>
      <c r="AX170">
        <f>Z170-AL170</f>
        <v>0</v>
      </c>
      <c r="AY170">
        <f>AA170-AM170</f>
        <v>0</v>
      </c>
      <c r="AZ170">
        <f>AB170-AN170</f>
        <v>0</v>
      </c>
      <c r="BA170">
        <f>AC170-AO170</f>
        <v>0</v>
      </c>
      <c r="BB170">
        <f>AD170-AP170</f>
        <v>0</v>
      </c>
      <c r="BC170">
        <f>AE170-AQ170</f>
        <v>0</v>
      </c>
      <c r="BD170">
        <f>AF170-AR170</f>
        <v>0</v>
      </c>
      <c r="BE170">
        <f>AG170-AS170</f>
        <v>0</v>
      </c>
    </row>
    <row r="171">
      <c r="A171" t="n">
        <v>141</v>
      </c>
      <c r="B171">
        <f>SUMPRODUCT(ROUND($AT170:$BE170*(1+'Calc base'!$H171:$S171),2))</f>
        <v>0</v>
      </c>
      <c r="C171">
        <f>SUM(J171:U171)</f>
        <v>0</v>
      </c>
      <c r="D171">
        <f>SUM(V171:AG171)</f>
        <v>0</v>
      </c>
      <c r="E171">
        <f>MAX(0,IF(Impostazioni!$B$7="No",'Calc base'!$C171-$C$31,'Calc base'!$C171-C171)+'Calc base'!$G171+'Calc base'!$F171-(B171-C171-D171))</f>
        <v>900</v>
      </c>
      <c r="F171">
        <f>SUM(AH171:AS171)</f>
        <v>0</v>
      </c>
      <c r="G171">
        <f>SUM(AT171:BE171)</f>
        <v>0</v>
      </c>
      <c r="H171">
        <f>B171-G170</f>
        <v>0</v>
      </c>
      <c r="I171">
        <f>B171-G171</f>
        <v>0</v>
      </c>
      <c r="J171">
        <f>IF(AT170&lt;=0,0,IF(ROUND(AT170*(1+'Calc base'!H171),2)-MAX('Calc base'!C$12,ROUND('Calc base'!C$13*AT170,2))&lt;1,ROUND(AT170*(1+'Calc base'!H171),2),MAX('Calc base'!C$12,ROUND('Calc base'!C$13*AT170,2))))</f>
        <v>0</v>
      </c>
      <c r="K171">
        <f>IF(AU170&lt;=0,0,IF(ROUND(AU170*(1+'Calc base'!I171),2)-MAX('Calc base'!D$12,ROUND('Calc base'!D$13*AU170,2))&lt;1,ROUND(AU170*(1+'Calc base'!I171),2),MAX('Calc base'!D$12,ROUND('Calc base'!D$13*AU170,2))))</f>
        <v>0</v>
      </c>
      <c r="L171">
        <f>IF(AV170&lt;=0,0,IF(ROUND(AV170*(1+'Calc base'!J171),2)-MAX('Calc base'!E$12,ROUND('Calc base'!E$13*AV170,2))&lt;1,ROUND(AV170*(1+'Calc base'!J171),2),MAX('Calc base'!E$12,ROUND('Calc base'!E$13*AV170,2))))</f>
        <v>0</v>
      </c>
      <c r="M171">
        <f>IF(AW170&lt;=0,0,IF(ROUND(AW170*(1+'Calc base'!K171),2)-MAX('Calc base'!F$12,ROUND('Calc base'!F$13*AW170,2))&lt;1,ROUND(AW170*(1+'Calc base'!K171),2),MAX('Calc base'!F$12,ROUND('Calc base'!F$13*AW170,2))))</f>
        <v>0</v>
      </c>
      <c r="N171">
        <f>IF(AX170&lt;=0,0,IF(ROUND(AX170*(1+'Calc base'!L171),2)-MAX('Calc base'!G$12,ROUND('Calc base'!G$13*AX170,2))&lt;1,ROUND(AX170*(1+'Calc base'!L171),2),MAX('Calc base'!G$12,ROUND('Calc base'!G$13*AX170,2))))</f>
        <v>0</v>
      </c>
      <c r="O171">
        <f>IF(AY170&lt;=0,0,IF(ROUND(AY170*(1+'Calc base'!M171),2)-MAX('Calc base'!H$12,ROUND('Calc base'!H$13*AY170,2))&lt;1,ROUND(AY170*(1+'Calc base'!M171),2),MAX('Calc base'!H$12,ROUND('Calc base'!H$13*AY170,2))))</f>
        <v>0</v>
      </c>
      <c r="P171">
        <f>IF(AZ170&lt;=0,0,IF(ROUND(AZ170*(1+'Calc base'!N171),2)-MAX('Calc base'!I$12,ROUND('Calc base'!I$13*AZ170,2))&lt;1,ROUND(AZ170*(1+'Calc base'!N171),2),MAX('Calc base'!I$12,ROUND('Calc base'!I$13*AZ170,2))))</f>
        <v>0</v>
      </c>
      <c r="Q171">
        <f>IF(BA170&lt;=0,0,IF(ROUND(BA170*(1+'Calc base'!O171),2)-MAX('Calc base'!J$12,ROUND('Calc base'!J$13*BA170,2))&lt;1,ROUND(BA170*(1+'Calc base'!O171),2),MAX('Calc base'!J$12,ROUND('Calc base'!J$13*BA170,2))))</f>
        <v>0</v>
      </c>
      <c r="R171">
        <f>IF(BB170&lt;=0,0,IF(ROUND(BB170*(1+'Calc base'!P171),2)-MAX('Calc base'!K$12,ROUND('Calc base'!K$13*BB170,2))&lt;1,ROUND(BB170*(1+'Calc base'!P171),2),MAX('Calc base'!K$12,ROUND('Calc base'!K$13*BB170,2))))</f>
        <v>0</v>
      </c>
      <c r="S171">
        <f>IF(BC170&lt;=0,0,IF(ROUND(BC170*(1+'Calc base'!Q171),2)-MAX('Calc base'!L$12,ROUND('Calc base'!L$13*BC170,2))&lt;1,ROUND(BC170*(1+'Calc base'!Q171),2),MAX('Calc base'!L$12,ROUND('Calc base'!L$13*BC170,2))))</f>
        <v>0</v>
      </c>
      <c r="T171">
        <f>IF(BD170&lt;=0,0,IF(ROUND(BD170*(1+'Calc base'!R171),2)-MAX('Calc base'!M$12,ROUND('Calc base'!M$13*BD170,2))&lt;1,ROUND(BD170*(1+'Calc base'!R171),2),MAX('Calc base'!M$12,ROUND('Calc base'!M$13*BD170,2))))</f>
        <v>0</v>
      </c>
      <c r="U171">
        <f>IF(BE170&lt;=0,0,IF(ROUND(BE170*(1+'Calc base'!S171),2)-MAX('Calc base'!N$12,ROUND('Calc base'!N$13*BE170,2))&lt;1,ROUND(BE170*(1+'Calc base'!S171),2),MAX('Calc base'!N$12,ROUND('Calc base'!N$13*BE170,2))))</f>
        <v>0</v>
      </c>
      <c r="V171">
        <f>MAX(0,ROUND(AT170*(1+'Calc base'!H171),2)-J171-'Calc base'!T171)</f>
        <v>0</v>
      </c>
      <c r="W171">
        <f>MAX(0,ROUND(AU170*(1+'Calc base'!I171),2)-K171-'Calc base'!U171)</f>
        <v>0</v>
      </c>
      <c r="X171">
        <f>MAX(0,ROUND(AV170*(1+'Calc base'!J171),2)-L171-'Calc base'!V171)</f>
        <v>0</v>
      </c>
      <c r="Y171">
        <f>MAX(0,ROUND(AW170*(1+'Calc base'!K171),2)-M171-'Calc base'!W171)</f>
        <v>0</v>
      </c>
      <c r="Z171">
        <f>MAX(0,ROUND(AX170*(1+'Calc base'!L171),2)-N171-'Calc base'!X171)</f>
        <v>0</v>
      </c>
      <c r="AA171">
        <f>MAX(0,ROUND(AY170*(1+'Calc base'!M171),2)-O171-'Calc base'!Y171)</f>
        <v>0</v>
      </c>
      <c r="AB171">
        <f>MAX(0,ROUND(AZ170*(1+'Calc base'!N171),2)-P171-'Calc base'!Z171)</f>
        <v>0</v>
      </c>
      <c r="AC171">
        <f>MAX(0,ROUND(BA170*(1+'Calc base'!O171),2)-Q171-'Calc base'!AA171)</f>
        <v>0</v>
      </c>
      <c r="AD171">
        <f>MAX(0,ROUND(BB170*(1+'Calc base'!P171),2)-R171-'Calc base'!AB171)</f>
        <v>0</v>
      </c>
      <c r="AE171">
        <f>MAX(0,ROUND(BC170*(1+'Calc base'!Q171),2)-S171-'Calc base'!AC171)</f>
        <v>0</v>
      </c>
      <c r="AF171">
        <f>MAX(0,ROUND(BD170*(1+'Calc base'!R171),2)-T171-'Calc base'!AD171)</f>
        <v>0</v>
      </c>
      <c r="AG171">
        <f>MAX(0,ROUND(BE170*(1+'Calc base'!S171),2)-U171-'Calc base'!AE171)</f>
        <v>0</v>
      </c>
      <c r="AH171">
        <f>IF('Calc base'!C$14=0,0,MIN(V171,MAX(0,$E171-SUMIFS($V171:$AG171,'Calc base'!$C$17:$N$17,"&lt;"&amp;'Calc base'!C$17,'Calc base'!$C$14:$N$14,1))))</f>
        <v>0</v>
      </c>
      <c r="AI171">
        <f>IF('Calc base'!D$14=0,0,MIN(W171,MAX(0,$E171-SUMIFS($V171:$AG171,'Calc base'!$C$17:$N$17,"&lt;"&amp;'Calc base'!D$17,'Calc base'!$C$14:$N$14,1))))</f>
        <v>0</v>
      </c>
      <c r="AJ171">
        <f>IF('Calc base'!E$14=0,0,MIN(X171,MAX(0,$E171-SUMIFS($V171:$AG171,'Calc base'!$C$17:$N$17,"&lt;"&amp;'Calc base'!E$17,'Calc base'!$C$14:$N$14,1))))</f>
        <v>0</v>
      </c>
      <c r="AK171">
        <f>IF('Calc base'!F$14=0,0,MIN(Y171,MAX(0,$E171-SUMIFS($V171:$AG171,'Calc base'!$C$17:$N$17,"&lt;"&amp;'Calc base'!F$17,'Calc base'!$C$14:$N$14,1))))</f>
        <v>0</v>
      </c>
      <c r="AL171">
        <f>IF('Calc base'!G$14=0,0,MIN(Z171,MAX(0,$E171-SUMIFS($V171:$AG171,'Calc base'!$C$17:$N$17,"&lt;"&amp;'Calc base'!G$17,'Calc base'!$C$14:$N$14,1))))</f>
        <v>0</v>
      </c>
      <c r="AM171">
        <f>IF('Calc base'!H$14=0,0,MIN(AA171,MAX(0,$E171-SUMIFS($V171:$AG171,'Calc base'!$C$17:$N$17,"&lt;"&amp;'Calc base'!H$17,'Calc base'!$C$14:$N$14,1))))</f>
        <v>0</v>
      </c>
      <c r="AN171">
        <f>IF('Calc base'!I$14=0,0,MIN(AB171,MAX(0,$E171-SUMIFS($V171:$AG171,'Calc base'!$C$17:$N$17,"&lt;"&amp;'Calc base'!I$17,'Calc base'!$C$14:$N$14,1))))</f>
        <v>0</v>
      </c>
      <c r="AO171">
        <f>IF('Calc base'!J$14=0,0,MIN(AC171,MAX(0,$E171-SUMIFS($V171:$AG171,'Calc base'!$C$17:$N$17,"&lt;"&amp;'Calc base'!J$17,'Calc base'!$C$14:$N$14,1))))</f>
        <v>0</v>
      </c>
      <c r="AP171">
        <f>IF('Calc base'!K$14=0,0,MIN(AD171,MAX(0,$E171-SUMIFS($V171:$AG171,'Calc base'!$C$17:$N$17,"&lt;"&amp;'Calc base'!K$17,'Calc base'!$C$14:$N$14,1))))</f>
        <v>0</v>
      </c>
      <c r="AQ171">
        <f>IF('Calc base'!L$14=0,0,MIN(AE171,MAX(0,$E171-SUMIFS($V171:$AG171,'Calc base'!$C$17:$N$17,"&lt;"&amp;'Calc base'!L$17,'Calc base'!$C$14:$N$14,1))))</f>
        <v>0</v>
      </c>
      <c r="AR171">
        <f>IF('Calc base'!M$14=0,0,MIN(AF171,MAX(0,$E171-SUMIFS($V171:$AG171,'Calc base'!$C$17:$N$17,"&lt;"&amp;'Calc base'!M$17,'Calc base'!$C$14:$N$14,1))))</f>
        <v>0</v>
      </c>
      <c r="AS171">
        <f>IF('Calc base'!N$14=0,0,MIN(AG171,MAX(0,$E171-SUMIFS($V171:$AG171,'Calc base'!$C$17:$N$17,"&lt;"&amp;'Calc base'!N$17,'Calc base'!$C$14:$N$14,1))))</f>
        <v>0</v>
      </c>
      <c r="AT171">
        <f>V171-AH171</f>
        <v>0</v>
      </c>
      <c r="AU171">
        <f>W171-AI171</f>
        <v>0</v>
      </c>
      <c r="AV171">
        <f>X171-AJ171</f>
        <v>0</v>
      </c>
      <c r="AW171">
        <f>Y171-AK171</f>
        <v>0</v>
      </c>
      <c r="AX171">
        <f>Z171-AL171</f>
        <v>0</v>
      </c>
      <c r="AY171">
        <f>AA171-AM171</f>
        <v>0</v>
      </c>
      <c r="AZ171">
        <f>AB171-AN171</f>
        <v>0</v>
      </c>
      <c r="BA171">
        <f>AC171-AO171</f>
        <v>0</v>
      </c>
      <c r="BB171">
        <f>AD171-AP171</f>
        <v>0</v>
      </c>
      <c r="BC171">
        <f>AE171-AQ171</f>
        <v>0</v>
      </c>
      <c r="BD171">
        <f>AF171-AR171</f>
        <v>0</v>
      </c>
      <c r="BE171">
        <f>AG171-AS171</f>
        <v>0</v>
      </c>
    </row>
    <row r="172">
      <c r="A172" t="n">
        <v>142</v>
      </c>
      <c r="B172">
        <f>SUMPRODUCT(ROUND($AT171:$BE171*(1+'Calc base'!$H172:$S172),2))</f>
        <v>0</v>
      </c>
      <c r="C172">
        <f>SUM(J172:U172)</f>
        <v>0</v>
      </c>
      <c r="D172">
        <f>SUM(V172:AG172)</f>
        <v>0</v>
      </c>
      <c r="E172">
        <f>MAX(0,IF(Impostazioni!$B$7="No",'Calc base'!$C172-$C$31,'Calc base'!$C172-C172)+'Calc base'!$G172+'Calc base'!$F172-(B172-C172-D172))</f>
        <v>900</v>
      </c>
      <c r="F172">
        <f>SUM(AH172:AS172)</f>
        <v>0</v>
      </c>
      <c r="G172">
        <f>SUM(AT172:BE172)</f>
        <v>0</v>
      </c>
      <c r="H172">
        <f>B172-G171</f>
        <v>0</v>
      </c>
      <c r="I172">
        <f>B172-G172</f>
        <v>0</v>
      </c>
      <c r="J172">
        <f>IF(AT171&lt;=0,0,IF(ROUND(AT171*(1+'Calc base'!H172),2)-MAX('Calc base'!C$12,ROUND('Calc base'!C$13*AT171,2))&lt;1,ROUND(AT171*(1+'Calc base'!H172),2),MAX('Calc base'!C$12,ROUND('Calc base'!C$13*AT171,2))))</f>
        <v>0</v>
      </c>
      <c r="K172">
        <f>IF(AU171&lt;=0,0,IF(ROUND(AU171*(1+'Calc base'!I172),2)-MAX('Calc base'!D$12,ROUND('Calc base'!D$13*AU171,2))&lt;1,ROUND(AU171*(1+'Calc base'!I172),2),MAX('Calc base'!D$12,ROUND('Calc base'!D$13*AU171,2))))</f>
        <v>0</v>
      </c>
      <c r="L172">
        <f>IF(AV171&lt;=0,0,IF(ROUND(AV171*(1+'Calc base'!J172),2)-MAX('Calc base'!E$12,ROUND('Calc base'!E$13*AV171,2))&lt;1,ROUND(AV171*(1+'Calc base'!J172),2),MAX('Calc base'!E$12,ROUND('Calc base'!E$13*AV171,2))))</f>
        <v>0</v>
      </c>
      <c r="M172">
        <f>IF(AW171&lt;=0,0,IF(ROUND(AW171*(1+'Calc base'!K172),2)-MAX('Calc base'!F$12,ROUND('Calc base'!F$13*AW171,2))&lt;1,ROUND(AW171*(1+'Calc base'!K172),2),MAX('Calc base'!F$12,ROUND('Calc base'!F$13*AW171,2))))</f>
        <v>0</v>
      </c>
      <c r="N172">
        <f>IF(AX171&lt;=0,0,IF(ROUND(AX171*(1+'Calc base'!L172),2)-MAX('Calc base'!G$12,ROUND('Calc base'!G$13*AX171,2))&lt;1,ROUND(AX171*(1+'Calc base'!L172),2),MAX('Calc base'!G$12,ROUND('Calc base'!G$13*AX171,2))))</f>
        <v>0</v>
      </c>
      <c r="O172">
        <f>IF(AY171&lt;=0,0,IF(ROUND(AY171*(1+'Calc base'!M172),2)-MAX('Calc base'!H$12,ROUND('Calc base'!H$13*AY171,2))&lt;1,ROUND(AY171*(1+'Calc base'!M172),2),MAX('Calc base'!H$12,ROUND('Calc base'!H$13*AY171,2))))</f>
        <v>0</v>
      </c>
      <c r="P172">
        <f>IF(AZ171&lt;=0,0,IF(ROUND(AZ171*(1+'Calc base'!N172),2)-MAX('Calc base'!I$12,ROUND('Calc base'!I$13*AZ171,2))&lt;1,ROUND(AZ171*(1+'Calc base'!N172),2),MAX('Calc base'!I$12,ROUND('Calc base'!I$13*AZ171,2))))</f>
        <v>0</v>
      </c>
      <c r="Q172">
        <f>IF(BA171&lt;=0,0,IF(ROUND(BA171*(1+'Calc base'!O172),2)-MAX('Calc base'!J$12,ROUND('Calc base'!J$13*BA171,2))&lt;1,ROUND(BA171*(1+'Calc base'!O172),2),MAX('Calc base'!J$12,ROUND('Calc base'!J$13*BA171,2))))</f>
        <v>0</v>
      </c>
      <c r="R172">
        <f>IF(BB171&lt;=0,0,IF(ROUND(BB171*(1+'Calc base'!P172),2)-MAX('Calc base'!K$12,ROUND('Calc base'!K$13*BB171,2))&lt;1,ROUND(BB171*(1+'Calc base'!P172),2),MAX('Calc base'!K$12,ROUND('Calc base'!K$13*BB171,2))))</f>
        <v>0</v>
      </c>
      <c r="S172">
        <f>IF(BC171&lt;=0,0,IF(ROUND(BC171*(1+'Calc base'!Q172),2)-MAX('Calc base'!L$12,ROUND('Calc base'!L$13*BC171,2))&lt;1,ROUND(BC171*(1+'Calc base'!Q172),2),MAX('Calc base'!L$12,ROUND('Calc base'!L$13*BC171,2))))</f>
        <v>0</v>
      </c>
      <c r="T172">
        <f>IF(BD171&lt;=0,0,IF(ROUND(BD171*(1+'Calc base'!R172),2)-MAX('Calc base'!M$12,ROUND('Calc base'!M$13*BD171,2))&lt;1,ROUND(BD171*(1+'Calc base'!R172),2),MAX('Calc base'!M$12,ROUND('Calc base'!M$13*BD171,2))))</f>
        <v>0</v>
      </c>
      <c r="U172">
        <f>IF(BE171&lt;=0,0,IF(ROUND(BE171*(1+'Calc base'!S172),2)-MAX('Calc base'!N$12,ROUND('Calc base'!N$13*BE171,2))&lt;1,ROUND(BE171*(1+'Calc base'!S172),2),MAX('Calc base'!N$12,ROUND('Calc base'!N$13*BE171,2))))</f>
        <v>0</v>
      </c>
      <c r="V172">
        <f>MAX(0,ROUND(AT171*(1+'Calc base'!H172),2)-J172-'Calc base'!T172)</f>
        <v>0</v>
      </c>
      <c r="W172">
        <f>MAX(0,ROUND(AU171*(1+'Calc base'!I172),2)-K172-'Calc base'!U172)</f>
        <v>0</v>
      </c>
      <c r="X172">
        <f>MAX(0,ROUND(AV171*(1+'Calc base'!J172),2)-L172-'Calc base'!V172)</f>
        <v>0</v>
      </c>
      <c r="Y172">
        <f>MAX(0,ROUND(AW171*(1+'Calc base'!K172),2)-M172-'Calc base'!W172)</f>
        <v>0</v>
      </c>
      <c r="Z172">
        <f>MAX(0,ROUND(AX171*(1+'Calc base'!L172),2)-N172-'Calc base'!X172)</f>
        <v>0</v>
      </c>
      <c r="AA172">
        <f>MAX(0,ROUND(AY171*(1+'Calc base'!M172),2)-O172-'Calc base'!Y172)</f>
        <v>0</v>
      </c>
      <c r="AB172">
        <f>MAX(0,ROUND(AZ171*(1+'Calc base'!N172),2)-P172-'Calc base'!Z172)</f>
        <v>0</v>
      </c>
      <c r="AC172">
        <f>MAX(0,ROUND(BA171*(1+'Calc base'!O172),2)-Q172-'Calc base'!AA172)</f>
        <v>0</v>
      </c>
      <c r="AD172">
        <f>MAX(0,ROUND(BB171*(1+'Calc base'!P172),2)-R172-'Calc base'!AB172)</f>
        <v>0</v>
      </c>
      <c r="AE172">
        <f>MAX(0,ROUND(BC171*(1+'Calc base'!Q172),2)-S172-'Calc base'!AC172)</f>
        <v>0</v>
      </c>
      <c r="AF172">
        <f>MAX(0,ROUND(BD171*(1+'Calc base'!R172),2)-T172-'Calc base'!AD172)</f>
        <v>0</v>
      </c>
      <c r="AG172">
        <f>MAX(0,ROUND(BE171*(1+'Calc base'!S172),2)-U172-'Calc base'!AE172)</f>
        <v>0</v>
      </c>
      <c r="AH172">
        <f>IF('Calc base'!C$14=0,0,MIN(V172,MAX(0,$E172-SUMIFS($V172:$AG172,'Calc base'!$C$17:$N$17,"&lt;"&amp;'Calc base'!C$17,'Calc base'!$C$14:$N$14,1))))</f>
        <v>0</v>
      </c>
      <c r="AI172">
        <f>IF('Calc base'!D$14=0,0,MIN(W172,MAX(0,$E172-SUMIFS($V172:$AG172,'Calc base'!$C$17:$N$17,"&lt;"&amp;'Calc base'!D$17,'Calc base'!$C$14:$N$14,1))))</f>
        <v>0</v>
      </c>
      <c r="AJ172">
        <f>IF('Calc base'!E$14=0,0,MIN(X172,MAX(0,$E172-SUMIFS($V172:$AG172,'Calc base'!$C$17:$N$17,"&lt;"&amp;'Calc base'!E$17,'Calc base'!$C$14:$N$14,1))))</f>
        <v>0</v>
      </c>
      <c r="AK172">
        <f>IF('Calc base'!F$14=0,0,MIN(Y172,MAX(0,$E172-SUMIFS($V172:$AG172,'Calc base'!$C$17:$N$17,"&lt;"&amp;'Calc base'!F$17,'Calc base'!$C$14:$N$14,1))))</f>
        <v>0</v>
      </c>
      <c r="AL172">
        <f>IF('Calc base'!G$14=0,0,MIN(Z172,MAX(0,$E172-SUMIFS($V172:$AG172,'Calc base'!$C$17:$N$17,"&lt;"&amp;'Calc base'!G$17,'Calc base'!$C$14:$N$14,1))))</f>
        <v>0</v>
      </c>
      <c r="AM172">
        <f>IF('Calc base'!H$14=0,0,MIN(AA172,MAX(0,$E172-SUMIFS($V172:$AG172,'Calc base'!$C$17:$N$17,"&lt;"&amp;'Calc base'!H$17,'Calc base'!$C$14:$N$14,1))))</f>
        <v>0</v>
      </c>
      <c r="AN172">
        <f>IF('Calc base'!I$14=0,0,MIN(AB172,MAX(0,$E172-SUMIFS($V172:$AG172,'Calc base'!$C$17:$N$17,"&lt;"&amp;'Calc base'!I$17,'Calc base'!$C$14:$N$14,1))))</f>
        <v>0</v>
      </c>
      <c r="AO172">
        <f>IF('Calc base'!J$14=0,0,MIN(AC172,MAX(0,$E172-SUMIFS($V172:$AG172,'Calc base'!$C$17:$N$17,"&lt;"&amp;'Calc base'!J$17,'Calc base'!$C$14:$N$14,1))))</f>
        <v>0</v>
      </c>
      <c r="AP172">
        <f>IF('Calc base'!K$14=0,0,MIN(AD172,MAX(0,$E172-SUMIFS($V172:$AG172,'Calc base'!$C$17:$N$17,"&lt;"&amp;'Calc base'!K$17,'Calc base'!$C$14:$N$14,1))))</f>
        <v>0</v>
      </c>
      <c r="AQ172">
        <f>IF('Calc base'!L$14=0,0,MIN(AE172,MAX(0,$E172-SUMIFS($V172:$AG172,'Calc base'!$C$17:$N$17,"&lt;"&amp;'Calc base'!L$17,'Calc base'!$C$14:$N$14,1))))</f>
        <v>0</v>
      </c>
      <c r="AR172">
        <f>IF('Calc base'!M$14=0,0,MIN(AF172,MAX(0,$E172-SUMIFS($V172:$AG172,'Calc base'!$C$17:$N$17,"&lt;"&amp;'Calc base'!M$17,'Calc base'!$C$14:$N$14,1))))</f>
        <v>0</v>
      </c>
      <c r="AS172">
        <f>IF('Calc base'!N$14=0,0,MIN(AG172,MAX(0,$E172-SUMIFS($V172:$AG172,'Calc base'!$C$17:$N$17,"&lt;"&amp;'Calc base'!N$17,'Calc base'!$C$14:$N$14,1))))</f>
        <v>0</v>
      </c>
      <c r="AT172">
        <f>V172-AH172</f>
        <v>0</v>
      </c>
      <c r="AU172">
        <f>W172-AI172</f>
        <v>0</v>
      </c>
      <c r="AV172">
        <f>X172-AJ172</f>
        <v>0</v>
      </c>
      <c r="AW172">
        <f>Y172-AK172</f>
        <v>0</v>
      </c>
      <c r="AX172">
        <f>Z172-AL172</f>
        <v>0</v>
      </c>
      <c r="AY172">
        <f>AA172-AM172</f>
        <v>0</v>
      </c>
      <c r="AZ172">
        <f>AB172-AN172</f>
        <v>0</v>
      </c>
      <c r="BA172">
        <f>AC172-AO172</f>
        <v>0</v>
      </c>
      <c r="BB172">
        <f>AD172-AP172</f>
        <v>0</v>
      </c>
      <c r="BC172">
        <f>AE172-AQ172</f>
        <v>0</v>
      </c>
      <c r="BD172">
        <f>AF172-AR172</f>
        <v>0</v>
      </c>
      <c r="BE172">
        <f>AG172-AS172</f>
        <v>0</v>
      </c>
    </row>
    <row r="173">
      <c r="A173" t="n">
        <v>143</v>
      </c>
      <c r="B173">
        <f>SUMPRODUCT(ROUND($AT172:$BE172*(1+'Calc base'!$H173:$S173),2))</f>
        <v>0</v>
      </c>
      <c r="C173">
        <f>SUM(J173:U173)</f>
        <v>0</v>
      </c>
      <c r="D173">
        <f>SUM(V173:AG173)</f>
        <v>0</v>
      </c>
      <c r="E173">
        <f>MAX(0,IF(Impostazioni!$B$7="No",'Calc base'!$C173-$C$31,'Calc base'!$C173-C173)+'Calc base'!$G173+'Calc base'!$F173-(B173-C173-D173))</f>
        <v>900</v>
      </c>
      <c r="F173">
        <f>SUM(AH173:AS173)</f>
        <v>0</v>
      </c>
      <c r="G173">
        <f>SUM(AT173:BE173)</f>
        <v>0</v>
      </c>
      <c r="H173">
        <f>B173-G172</f>
        <v>0</v>
      </c>
      <c r="I173">
        <f>B173-G173</f>
        <v>0</v>
      </c>
      <c r="J173">
        <f>IF(AT172&lt;=0,0,IF(ROUND(AT172*(1+'Calc base'!H173),2)-MAX('Calc base'!C$12,ROUND('Calc base'!C$13*AT172,2))&lt;1,ROUND(AT172*(1+'Calc base'!H173),2),MAX('Calc base'!C$12,ROUND('Calc base'!C$13*AT172,2))))</f>
        <v>0</v>
      </c>
      <c r="K173">
        <f>IF(AU172&lt;=0,0,IF(ROUND(AU172*(1+'Calc base'!I173),2)-MAX('Calc base'!D$12,ROUND('Calc base'!D$13*AU172,2))&lt;1,ROUND(AU172*(1+'Calc base'!I173),2),MAX('Calc base'!D$12,ROUND('Calc base'!D$13*AU172,2))))</f>
        <v>0</v>
      </c>
      <c r="L173">
        <f>IF(AV172&lt;=0,0,IF(ROUND(AV172*(1+'Calc base'!J173),2)-MAX('Calc base'!E$12,ROUND('Calc base'!E$13*AV172,2))&lt;1,ROUND(AV172*(1+'Calc base'!J173),2),MAX('Calc base'!E$12,ROUND('Calc base'!E$13*AV172,2))))</f>
        <v>0</v>
      </c>
      <c r="M173">
        <f>IF(AW172&lt;=0,0,IF(ROUND(AW172*(1+'Calc base'!K173),2)-MAX('Calc base'!F$12,ROUND('Calc base'!F$13*AW172,2))&lt;1,ROUND(AW172*(1+'Calc base'!K173),2),MAX('Calc base'!F$12,ROUND('Calc base'!F$13*AW172,2))))</f>
        <v>0</v>
      </c>
      <c r="N173">
        <f>IF(AX172&lt;=0,0,IF(ROUND(AX172*(1+'Calc base'!L173),2)-MAX('Calc base'!G$12,ROUND('Calc base'!G$13*AX172,2))&lt;1,ROUND(AX172*(1+'Calc base'!L173),2),MAX('Calc base'!G$12,ROUND('Calc base'!G$13*AX172,2))))</f>
        <v>0</v>
      </c>
      <c r="O173">
        <f>IF(AY172&lt;=0,0,IF(ROUND(AY172*(1+'Calc base'!M173),2)-MAX('Calc base'!H$12,ROUND('Calc base'!H$13*AY172,2))&lt;1,ROUND(AY172*(1+'Calc base'!M173),2),MAX('Calc base'!H$12,ROUND('Calc base'!H$13*AY172,2))))</f>
        <v>0</v>
      </c>
      <c r="P173">
        <f>IF(AZ172&lt;=0,0,IF(ROUND(AZ172*(1+'Calc base'!N173),2)-MAX('Calc base'!I$12,ROUND('Calc base'!I$13*AZ172,2))&lt;1,ROUND(AZ172*(1+'Calc base'!N173),2),MAX('Calc base'!I$12,ROUND('Calc base'!I$13*AZ172,2))))</f>
        <v>0</v>
      </c>
      <c r="Q173">
        <f>IF(BA172&lt;=0,0,IF(ROUND(BA172*(1+'Calc base'!O173),2)-MAX('Calc base'!J$12,ROUND('Calc base'!J$13*BA172,2))&lt;1,ROUND(BA172*(1+'Calc base'!O173),2),MAX('Calc base'!J$12,ROUND('Calc base'!J$13*BA172,2))))</f>
        <v>0</v>
      </c>
      <c r="R173">
        <f>IF(BB172&lt;=0,0,IF(ROUND(BB172*(1+'Calc base'!P173),2)-MAX('Calc base'!K$12,ROUND('Calc base'!K$13*BB172,2))&lt;1,ROUND(BB172*(1+'Calc base'!P173),2),MAX('Calc base'!K$12,ROUND('Calc base'!K$13*BB172,2))))</f>
        <v>0</v>
      </c>
      <c r="S173">
        <f>IF(BC172&lt;=0,0,IF(ROUND(BC172*(1+'Calc base'!Q173),2)-MAX('Calc base'!L$12,ROUND('Calc base'!L$13*BC172,2))&lt;1,ROUND(BC172*(1+'Calc base'!Q173),2),MAX('Calc base'!L$12,ROUND('Calc base'!L$13*BC172,2))))</f>
        <v>0</v>
      </c>
      <c r="T173">
        <f>IF(BD172&lt;=0,0,IF(ROUND(BD172*(1+'Calc base'!R173),2)-MAX('Calc base'!M$12,ROUND('Calc base'!M$13*BD172,2))&lt;1,ROUND(BD172*(1+'Calc base'!R173),2),MAX('Calc base'!M$12,ROUND('Calc base'!M$13*BD172,2))))</f>
        <v>0</v>
      </c>
      <c r="U173">
        <f>IF(BE172&lt;=0,0,IF(ROUND(BE172*(1+'Calc base'!S173),2)-MAX('Calc base'!N$12,ROUND('Calc base'!N$13*BE172,2))&lt;1,ROUND(BE172*(1+'Calc base'!S173),2),MAX('Calc base'!N$12,ROUND('Calc base'!N$13*BE172,2))))</f>
        <v>0</v>
      </c>
      <c r="V173">
        <f>MAX(0,ROUND(AT172*(1+'Calc base'!H173),2)-J173-'Calc base'!T173)</f>
        <v>0</v>
      </c>
      <c r="W173">
        <f>MAX(0,ROUND(AU172*(1+'Calc base'!I173),2)-K173-'Calc base'!U173)</f>
        <v>0</v>
      </c>
      <c r="X173">
        <f>MAX(0,ROUND(AV172*(1+'Calc base'!J173),2)-L173-'Calc base'!V173)</f>
        <v>0</v>
      </c>
      <c r="Y173">
        <f>MAX(0,ROUND(AW172*(1+'Calc base'!K173),2)-M173-'Calc base'!W173)</f>
        <v>0</v>
      </c>
      <c r="Z173">
        <f>MAX(0,ROUND(AX172*(1+'Calc base'!L173),2)-N173-'Calc base'!X173)</f>
        <v>0</v>
      </c>
      <c r="AA173">
        <f>MAX(0,ROUND(AY172*(1+'Calc base'!M173),2)-O173-'Calc base'!Y173)</f>
        <v>0</v>
      </c>
      <c r="AB173">
        <f>MAX(0,ROUND(AZ172*(1+'Calc base'!N173),2)-P173-'Calc base'!Z173)</f>
        <v>0</v>
      </c>
      <c r="AC173">
        <f>MAX(0,ROUND(BA172*(1+'Calc base'!O173),2)-Q173-'Calc base'!AA173)</f>
        <v>0</v>
      </c>
      <c r="AD173">
        <f>MAX(0,ROUND(BB172*(1+'Calc base'!P173),2)-R173-'Calc base'!AB173)</f>
        <v>0</v>
      </c>
      <c r="AE173">
        <f>MAX(0,ROUND(BC172*(1+'Calc base'!Q173),2)-S173-'Calc base'!AC173)</f>
        <v>0</v>
      </c>
      <c r="AF173">
        <f>MAX(0,ROUND(BD172*(1+'Calc base'!R173),2)-T173-'Calc base'!AD173)</f>
        <v>0</v>
      </c>
      <c r="AG173">
        <f>MAX(0,ROUND(BE172*(1+'Calc base'!S173),2)-U173-'Calc base'!AE173)</f>
        <v>0</v>
      </c>
      <c r="AH173">
        <f>IF('Calc base'!C$14=0,0,MIN(V173,MAX(0,$E173-SUMIFS($V173:$AG173,'Calc base'!$C$17:$N$17,"&lt;"&amp;'Calc base'!C$17,'Calc base'!$C$14:$N$14,1))))</f>
        <v>0</v>
      </c>
      <c r="AI173">
        <f>IF('Calc base'!D$14=0,0,MIN(W173,MAX(0,$E173-SUMIFS($V173:$AG173,'Calc base'!$C$17:$N$17,"&lt;"&amp;'Calc base'!D$17,'Calc base'!$C$14:$N$14,1))))</f>
        <v>0</v>
      </c>
      <c r="AJ173">
        <f>IF('Calc base'!E$14=0,0,MIN(X173,MAX(0,$E173-SUMIFS($V173:$AG173,'Calc base'!$C$17:$N$17,"&lt;"&amp;'Calc base'!E$17,'Calc base'!$C$14:$N$14,1))))</f>
        <v>0</v>
      </c>
      <c r="AK173">
        <f>IF('Calc base'!F$14=0,0,MIN(Y173,MAX(0,$E173-SUMIFS($V173:$AG173,'Calc base'!$C$17:$N$17,"&lt;"&amp;'Calc base'!F$17,'Calc base'!$C$14:$N$14,1))))</f>
        <v>0</v>
      </c>
      <c r="AL173">
        <f>IF('Calc base'!G$14=0,0,MIN(Z173,MAX(0,$E173-SUMIFS($V173:$AG173,'Calc base'!$C$17:$N$17,"&lt;"&amp;'Calc base'!G$17,'Calc base'!$C$14:$N$14,1))))</f>
        <v>0</v>
      </c>
      <c r="AM173">
        <f>IF('Calc base'!H$14=0,0,MIN(AA173,MAX(0,$E173-SUMIFS($V173:$AG173,'Calc base'!$C$17:$N$17,"&lt;"&amp;'Calc base'!H$17,'Calc base'!$C$14:$N$14,1))))</f>
        <v>0</v>
      </c>
      <c r="AN173">
        <f>IF('Calc base'!I$14=0,0,MIN(AB173,MAX(0,$E173-SUMIFS($V173:$AG173,'Calc base'!$C$17:$N$17,"&lt;"&amp;'Calc base'!I$17,'Calc base'!$C$14:$N$14,1))))</f>
        <v>0</v>
      </c>
      <c r="AO173">
        <f>IF('Calc base'!J$14=0,0,MIN(AC173,MAX(0,$E173-SUMIFS($V173:$AG173,'Calc base'!$C$17:$N$17,"&lt;"&amp;'Calc base'!J$17,'Calc base'!$C$14:$N$14,1))))</f>
        <v>0</v>
      </c>
      <c r="AP173">
        <f>IF('Calc base'!K$14=0,0,MIN(AD173,MAX(0,$E173-SUMIFS($V173:$AG173,'Calc base'!$C$17:$N$17,"&lt;"&amp;'Calc base'!K$17,'Calc base'!$C$14:$N$14,1))))</f>
        <v>0</v>
      </c>
      <c r="AQ173">
        <f>IF('Calc base'!L$14=0,0,MIN(AE173,MAX(0,$E173-SUMIFS($V173:$AG173,'Calc base'!$C$17:$N$17,"&lt;"&amp;'Calc base'!L$17,'Calc base'!$C$14:$N$14,1))))</f>
        <v>0</v>
      </c>
      <c r="AR173">
        <f>IF('Calc base'!M$14=0,0,MIN(AF173,MAX(0,$E173-SUMIFS($V173:$AG173,'Calc base'!$C$17:$N$17,"&lt;"&amp;'Calc base'!M$17,'Calc base'!$C$14:$N$14,1))))</f>
        <v>0</v>
      </c>
      <c r="AS173">
        <f>IF('Calc base'!N$14=0,0,MIN(AG173,MAX(0,$E173-SUMIFS($V173:$AG173,'Calc base'!$C$17:$N$17,"&lt;"&amp;'Calc base'!N$17,'Calc base'!$C$14:$N$14,1))))</f>
        <v>0</v>
      </c>
      <c r="AT173">
        <f>V173-AH173</f>
        <v>0</v>
      </c>
      <c r="AU173">
        <f>W173-AI173</f>
        <v>0</v>
      </c>
      <c r="AV173">
        <f>X173-AJ173</f>
        <v>0</v>
      </c>
      <c r="AW173">
        <f>Y173-AK173</f>
        <v>0</v>
      </c>
      <c r="AX173">
        <f>Z173-AL173</f>
        <v>0</v>
      </c>
      <c r="AY173">
        <f>AA173-AM173</f>
        <v>0</v>
      </c>
      <c r="AZ173">
        <f>AB173-AN173</f>
        <v>0</v>
      </c>
      <c r="BA173">
        <f>AC173-AO173</f>
        <v>0</v>
      </c>
      <c r="BB173">
        <f>AD173-AP173</f>
        <v>0</v>
      </c>
      <c r="BC173">
        <f>AE173-AQ173</f>
        <v>0</v>
      </c>
      <c r="BD173">
        <f>AF173-AR173</f>
        <v>0</v>
      </c>
      <c r="BE173">
        <f>AG173-AS173</f>
        <v>0</v>
      </c>
    </row>
    <row r="174">
      <c r="A174" t="n">
        <v>144</v>
      </c>
      <c r="B174">
        <f>SUMPRODUCT(ROUND($AT173:$BE173*(1+'Calc base'!$H174:$S174),2))</f>
        <v>0</v>
      </c>
      <c r="C174">
        <f>SUM(J174:U174)</f>
        <v>0</v>
      </c>
      <c r="D174">
        <f>SUM(V174:AG174)</f>
        <v>0</v>
      </c>
      <c r="E174">
        <f>MAX(0,IF(Impostazioni!$B$7="No",'Calc base'!$C174-$C$31,'Calc base'!$C174-C174)+'Calc base'!$G174+'Calc base'!$F174-(B174-C174-D174))</f>
        <v>900</v>
      </c>
      <c r="F174">
        <f>SUM(AH174:AS174)</f>
        <v>0</v>
      </c>
      <c r="G174">
        <f>SUM(AT174:BE174)</f>
        <v>0</v>
      </c>
      <c r="H174">
        <f>B174-G173</f>
        <v>0</v>
      </c>
      <c r="I174">
        <f>B174-G174</f>
        <v>0</v>
      </c>
      <c r="J174">
        <f>IF(AT173&lt;=0,0,IF(ROUND(AT173*(1+'Calc base'!H174),2)-MAX('Calc base'!C$12,ROUND('Calc base'!C$13*AT173,2))&lt;1,ROUND(AT173*(1+'Calc base'!H174),2),MAX('Calc base'!C$12,ROUND('Calc base'!C$13*AT173,2))))</f>
        <v>0</v>
      </c>
      <c r="K174">
        <f>IF(AU173&lt;=0,0,IF(ROUND(AU173*(1+'Calc base'!I174),2)-MAX('Calc base'!D$12,ROUND('Calc base'!D$13*AU173,2))&lt;1,ROUND(AU173*(1+'Calc base'!I174),2),MAX('Calc base'!D$12,ROUND('Calc base'!D$13*AU173,2))))</f>
        <v>0</v>
      </c>
      <c r="L174">
        <f>IF(AV173&lt;=0,0,IF(ROUND(AV173*(1+'Calc base'!J174),2)-MAX('Calc base'!E$12,ROUND('Calc base'!E$13*AV173,2))&lt;1,ROUND(AV173*(1+'Calc base'!J174),2),MAX('Calc base'!E$12,ROUND('Calc base'!E$13*AV173,2))))</f>
        <v>0</v>
      </c>
      <c r="M174">
        <f>IF(AW173&lt;=0,0,IF(ROUND(AW173*(1+'Calc base'!K174),2)-MAX('Calc base'!F$12,ROUND('Calc base'!F$13*AW173,2))&lt;1,ROUND(AW173*(1+'Calc base'!K174),2),MAX('Calc base'!F$12,ROUND('Calc base'!F$13*AW173,2))))</f>
        <v>0</v>
      </c>
      <c r="N174">
        <f>IF(AX173&lt;=0,0,IF(ROUND(AX173*(1+'Calc base'!L174),2)-MAX('Calc base'!G$12,ROUND('Calc base'!G$13*AX173,2))&lt;1,ROUND(AX173*(1+'Calc base'!L174),2),MAX('Calc base'!G$12,ROUND('Calc base'!G$13*AX173,2))))</f>
        <v>0</v>
      </c>
      <c r="O174">
        <f>IF(AY173&lt;=0,0,IF(ROUND(AY173*(1+'Calc base'!M174),2)-MAX('Calc base'!H$12,ROUND('Calc base'!H$13*AY173,2))&lt;1,ROUND(AY173*(1+'Calc base'!M174),2),MAX('Calc base'!H$12,ROUND('Calc base'!H$13*AY173,2))))</f>
        <v>0</v>
      </c>
      <c r="P174">
        <f>IF(AZ173&lt;=0,0,IF(ROUND(AZ173*(1+'Calc base'!N174),2)-MAX('Calc base'!I$12,ROUND('Calc base'!I$13*AZ173,2))&lt;1,ROUND(AZ173*(1+'Calc base'!N174),2),MAX('Calc base'!I$12,ROUND('Calc base'!I$13*AZ173,2))))</f>
        <v>0</v>
      </c>
      <c r="Q174">
        <f>IF(BA173&lt;=0,0,IF(ROUND(BA173*(1+'Calc base'!O174),2)-MAX('Calc base'!J$12,ROUND('Calc base'!J$13*BA173,2))&lt;1,ROUND(BA173*(1+'Calc base'!O174),2),MAX('Calc base'!J$12,ROUND('Calc base'!J$13*BA173,2))))</f>
        <v>0</v>
      </c>
      <c r="R174">
        <f>IF(BB173&lt;=0,0,IF(ROUND(BB173*(1+'Calc base'!P174),2)-MAX('Calc base'!K$12,ROUND('Calc base'!K$13*BB173,2))&lt;1,ROUND(BB173*(1+'Calc base'!P174),2),MAX('Calc base'!K$12,ROUND('Calc base'!K$13*BB173,2))))</f>
        <v>0</v>
      </c>
      <c r="S174">
        <f>IF(BC173&lt;=0,0,IF(ROUND(BC173*(1+'Calc base'!Q174),2)-MAX('Calc base'!L$12,ROUND('Calc base'!L$13*BC173,2))&lt;1,ROUND(BC173*(1+'Calc base'!Q174),2),MAX('Calc base'!L$12,ROUND('Calc base'!L$13*BC173,2))))</f>
        <v>0</v>
      </c>
      <c r="T174">
        <f>IF(BD173&lt;=0,0,IF(ROUND(BD173*(1+'Calc base'!R174),2)-MAX('Calc base'!M$12,ROUND('Calc base'!M$13*BD173,2))&lt;1,ROUND(BD173*(1+'Calc base'!R174),2),MAX('Calc base'!M$12,ROUND('Calc base'!M$13*BD173,2))))</f>
        <v>0</v>
      </c>
      <c r="U174">
        <f>IF(BE173&lt;=0,0,IF(ROUND(BE173*(1+'Calc base'!S174),2)-MAX('Calc base'!N$12,ROUND('Calc base'!N$13*BE173,2))&lt;1,ROUND(BE173*(1+'Calc base'!S174),2),MAX('Calc base'!N$12,ROUND('Calc base'!N$13*BE173,2))))</f>
        <v>0</v>
      </c>
      <c r="V174">
        <f>MAX(0,ROUND(AT173*(1+'Calc base'!H174),2)-J174-'Calc base'!T174)</f>
        <v>0</v>
      </c>
      <c r="W174">
        <f>MAX(0,ROUND(AU173*(1+'Calc base'!I174),2)-K174-'Calc base'!U174)</f>
        <v>0</v>
      </c>
      <c r="X174">
        <f>MAX(0,ROUND(AV173*(1+'Calc base'!J174),2)-L174-'Calc base'!V174)</f>
        <v>0</v>
      </c>
      <c r="Y174">
        <f>MAX(0,ROUND(AW173*(1+'Calc base'!K174),2)-M174-'Calc base'!W174)</f>
        <v>0</v>
      </c>
      <c r="Z174">
        <f>MAX(0,ROUND(AX173*(1+'Calc base'!L174),2)-N174-'Calc base'!X174)</f>
        <v>0</v>
      </c>
      <c r="AA174">
        <f>MAX(0,ROUND(AY173*(1+'Calc base'!M174),2)-O174-'Calc base'!Y174)</f>
        <v>0</v>
      </c>
      <c r="AB174">
        <f>MAX(0,ROUND(AZ173*(1+'Calc base'!N174),2)-P174-'Calc base'!Z174)</f>
        <v>0</v>
      </c>
      <c r="AC174">
        <f>MAX(0,ROUND(BA173*(1+'Calc base'!O174),2)-Q174-'Calc base'!AA174)</f>
        <v>0</v>
      </c>
      <c r="AD174">
        <f>MAX(0,ROUND(BB173*(1+'Calc base'!P174),2)-R174-'Calc base'!AB174)</f>
        <v>0</v>
      </c>
      <c r="AE174">
        <f>MAX(0,ROUND(BC173*(1+'Calc base'!Q174),2)-S174-'Calc base'!AC174)</f>
        <v>0</v>
      </c>
      <c r="AF174">
        <f>MAX(0,ROUND(BD173*(1+'Calc base'!R174),2)-T174-'Calc base'!AD174)</f>
        <v>0</v>
      </c>
      <c r="AG174">
        <f>MAX(0,ROUND(BE173*(1+'Calc base'!S174),2)-U174-'Calc base'!AE174)</f>
        <v>0</v>
      </c>
      <c r="AH174">
        <f>IF('Calc base'!C$14=0,0,MIN(V174,MAX(0,$E174-SUMIFS($V174:$AG174,'Calc base'!$C$17:$N$17,"&lt;"&amp;'Calc base'!C$17,'Calc base'!$C$14:$N$14,1))))</f>
        <v>0</v>
      </c>
      <c r="AI174">
        <f>IF('Calc base'!D$14=0,0,MIN(W174,MAX(0,$E174-SUMIFS($V174:$AG174,'Calc base'!$C$17:$N$17,"&lt;"&amp;'Calc base'!D$17,'Calc base'!$C$14:$N$14,1))))</f>
        <v>0</v>
      </c>
      <c r="AJ174">
        <f>IF('Calc base'!E$14=0,0,MIN(X174,MAX(0,$E174-SUMIFS($V174:$AG174,'Calc base'!$C$17:$N$17,"&lt;"&amp;'Calc base'!E$17,'Calc base'!$C$14:$N$14,1))))</f>
        <v>0</v>
      </c>
      <c r="AK174">
        <f>IF('Calc base'!F$14=0,0,MIN(Y174,MAX(0,$E174-SUMIFS($V174:$AG174,'Calc base'!$C$17:$N$17,"&lt;"&amp;'Calc base'!F$17,'Calc base'!$C$14:$N$14,1))))</f>
        <v>0</v>
      </c>
      <c r="AL174">
        <f>IF('Calc base'!G$14=0,0,MIN(Z174,MAX(0,$E174-SUMIFS($V174:$AG174,'Calc base'!$C$17:$N$17,"&lt;"&amp;'Calc base'!G$17,'Calc base'!$C$14:$N$14,1))))</f>
        <v>0</v>
      </c>
      <c r="AM174">
        <f>IF('Calc base'!H$14=0,0,MIN(AA174,MAX(0,$E174-SUMIFS($V174:$AG174,'Calc base'!$C$17:$N$17,"&lt;"&amp;'Calc base'!H$17,'Calc base'!$C$14:$N$14,1))))</f>
        <v>0</v>
      </c>
      <c r="AN174">
        <f>IF('Calc base'!I$14=0,0,MIN(AB174,MAX(0,$E174-SUMIFS($V174:$AG174,'Calc base'!$C$17:$N$17,"&lt;"&amp;'Calc base'!I$17,'Calc base'!$C$14:$N$14,1))))</f>
        <v>0</v>
      </c>
      <c r="AO174">
        <f>IF('Calc base'!J$14=0,0,MIN(AC174,MAX(0,$E174-SUMIFS($V174:$AG174,'Calc base'!$C$17:$N$17,"&lt;"&amp;'Calc base'!J$17,'Calc base'!$C$14:$N$14,1))))</f>
        <v>0</v>
      </c>
      <c r="AP174">
        <f>IF('Calc base'!K$14=0,0,MIN(AD174,MAX(0,$E174-SUMIFS($V174:$AG174,'Calc base'!$C$17:$N$17,"&lt;"&amp;'Calc base'!K$17,'Calc base'!$C$14:$N$14,1))))</f>
        <v>0</v>
      </c>
      <c r="AQ174">
        <f>IF('Calc base'!L$14=0,0,MIN(AE174,MAX(0,$E174-SUMIFS($V174:$AG174,'Calc base'!$C$17:$N$17,"&lt;"&amp;'Calc base'!L$17,'Calc base'!$C$14:$N$14,1))))</f>
        <v>0</v>
      </c>
      <c r="AR174">
        <f>IF('Calc base'!M$14=0,0,MIN(AF174,MAX(0,$E174-SUMIFS($V174:$AG174,'Calc base'!$C$17:$N$17,"&lt;"&amp;'Calc base'!M$17,'Calc base'!$C$14:$N$14,1))))</f>
        <v>0</v>
      </c>
      <c r="AS174">
        <f>IF('Calc base'!N$14=0,0,MIN(AG174,MAX(0,$E174-SUMIFS($V174:$AG174,'Calc base'!$C$17:$N$17,"&lt;"&amp;'Calc base'!N$17,'Calc base'!$C$14:$N$14,1))))</f>
        <v>0</v>
      </c>
      <c r="AT174">
        <f>V174-AH174</f>
        <v>0</v>
      </c>
      <c r="AU174">
        <f>W174-AI174</f>
        <v>0</v>
      </c>
      <c r="AV174">
        <f>X174-AJ174</f>
        <v>0</v>
      </c>
      <c r="AW174">
        <f>Y174-AK174</f>
        <v>0</v>
      </c>
      <c r="AX174">
        <f>Z174-AL174</f>
        <v>0</v>
      </c>
      <c r="AY174">
        <f>AA174-AM174</f>
        <v>0</v>
      </c>
      <c r="AZ174">
        <f>AB174-AN174</f>
        <v>0</v>
      </c>
      <c r="BA174">
        <f>AC174-AO174</f>
        <v>0</v>
      </c>
      <c r="BB174">
        <f>AD174-AP174</f>
        <v>0</v>
      </c>
      <c r="BC174">
        <f>AE174-AQ174</f>
        <v>0</v>
      </c>
      <c r="BD174">
        <f>AF174-AR174</f>
        <v>0</v>
      </c>
      <c r="BE174">
        <f>AG174-AS174</f>
        <v>0</v>
      </c>
    </row>
    <row r="175">
      <c r="A175" t="n">
        <v>145</v>
      </c>
      <c r="B175">
        <f>SUMPRODUCT(ROUND($AT174:$BE174*(1+'Calc base'!$H175:$S175),2))</f>
        <v>0</v>
      </c>
      <c r="C175">
        <f>SUM(J175:U175)</f>
        <v>0</v>
      </c>
      <c r="D175">
        <f>SUM(V175:AG175)</f>
        <v>0</v>
      </c>
      <c r="E175">
        <f>MAX(0,IF(Impostazioni!$B$7="No",'Calc base'!$C175-$C$31,'Calc base'!$C175-C175)+'Calc base'!$G175+'Calc base'!$F175-(B175-C175-D175))</f>
        <v>900</v>
      </c>
      <c r="F175">
        <f>SUM(AH175:AS175)</f>
        <v>0</v>
      </c>
      <c r="G175">
        <f>SUM(AT175:BE175)</f>
        <v>0</v>
      </c>
      <c r="H175">
        <f>B175-G174</f>
        <v>0</v>
      </c>
      <c r="I175">
        <f>B175-G175</f>
        <v>0</v>
      </c>
      <c r="J175">
        <f>IF(AT174&lt;=0,0,IF(ROUND(AT174*(1+'Calc base'!H175),2)-MAX('Calc base'!C$12,ROUND('Calc base'!C$13*AT174,2))&lt;1,ROUND(AT174*(1+'Calc base'!H175),2),MAX('Calc base'!C$12,ROUND('Calc base'!C$13*AT174,2))))</f>
        <v>0</v>
      </c>
      <c r="K175">
        <f>IF(AU174&lt;=0,0,IF(ROUND(AU174*(1+'Calc base'!I175),2)-MAX('Calc base'!D$12,ROUND('Calc base'!D$13*AU174,2))&lt;1,ROUND(AU174*(1+'Calc base'!I175),2),MAX('Calc base'!D$12,ROUND('Calc base'!D$13*AU174,2))))</f>
        <v>0</v>
      </c>
      <c r="L175">
        <f>IF(AV174&lt;=0,0,IF(ROUND(AV174*(1+'Calc base'!J175),2)-MAX('Calc base'!E$12,ROUND('Calc base'!E$13*AV174,2))&lt;1,ROUND(AV174*(1+'Calc base'!J175),2),MAX('Calc base'!E$12,ROUND('Calc base'!E$13*AV174,2))))</f>
        <v>0</v>
      </c>
      <c r="M175">
        <f>IF(AW174&lt;=0,0,IF(ROUND(AW174*(1+'Calc base'!K175),2)-MAX('Calc base'!F$12,ROUND('Calc base'!F$13*AW174,2))&lt;1,ROUND(AW174*(1+'Calc base'!K175),2),MAX('Calc base'!F$12,ROUND('Calc base'!F$13*AW174,2))))</f>
        <v>0</v>
      </c>
      <c r="N175">
        <f>IF(AX174&lt;=0,0,IF(ROUND(AX174*(1+'Calc base'!L175),2)-MAX('Calc base'!G$12,ROUND('Calc base'!G$13*AX174,2))&lt;1,ROUND(AX174*(1+'Calc base'!L175),2),MAX('Calc base'!G$12,ROUND('Calc base'!G$13*AX174,2))))</f>
        <v>0</v>
      </c>
      <c r="O175">
        <f>IF(AY174&lt;=0,0,IF(ROUND(AY174*(1+'Calc base'!M175),2)-MAX('Calc base'!H$12,ROUND('Calc base'!H$13*AY174,2))&lt;1,ROUND(AY174*(1+'Calc base'!M175),2),MAX('Calc base'!H$12,ROUND('Calc base'!H$13*AY174,2))))</f>
        <v>0</v>
      </c>
      <c r="P175">
        <f>IF(AZ174&lt;=0,0,IF(ROUND(AZ174*(1+'Calc base'!N175),2)-MAX('Calc base'!I$12,ROUND('Calc base'!I$13*AZ174,2))&lt;1,ROUND(AZ174*(1+'Calc base'!N175),2),MAX('Calc base'!I$12,ROUND('Calc base'!I$13*AZ174,2))))</f>
        <v>0</v>
      </c>
      <c r="Q175">
        <f>IF(BA174&lt;=0,0,IF(ROUND(BA174*(1+'Calc base'!O175),2)-MAX('Calc base'!J$12,ROUND('Calc base'!J$13*BA174,2))&lt;1,ROUND(BA174*(1+'Calc base'!O175),2),MAX('Calc base'!J$12,ROUND('Calc base'!J$13*BA174,2))))</f>
        <v>0</v>
      </c>
      <c r="R175">
        <f>IF(BB174&lt;=0,0,IF(ROUND(BB174*(1+'Calc base'!P175),2)-MAX('Calc base'!K$12,ROUND('Calc base'!K$13*BB174,2))&lt;1,ROUND(BB174*(1+'Calc base'!P175),2),MAX('Calc base'!K$12,ROUND('Calc base'!K$13*BB174,2))))</f>
        <v>0</v>
      </c>
      <c r="S175">
        <f>IF(BC174&lt;=0,0,IF(ROUND(BC174*(1+'Calc base'!Q175),2)-MAX('Calc base'!L$12,ROUND('Calc base'!L$13*BC174,2))&lt;1,ROUND(BC174*(1+'Calc base'!Q175),2),MAX('Calc base'!L$12,ROUND('Calc base'!L$13*BC174,2))))</f>
        <v>0</v>
      </c>
      <c r="T175">
        <f>IF(BD174&lt;=0,0,IF(ROUND(BD174*(1+'Calc base'!R175),2)-MAX('Calc base'!M$12,ROUND('Calc base'!M$13*BD174,2))&lt;1,ROUND(BD174*(1+'Calc base'!R175),2),MAX('Calc base'!M$12,ROUND('Calc base'!M$13*BD174,2))))</f>
        <v>0</v>
      </c>
      <c r="U175">
        <f>IF(BE174&lt;=0,0,IF(ROUND(BE174*(1+'Calc base'!S175),2)-MAX('Calc base'!N$12,ROUND('Calc base'!N$13*BE174,2))&lt;1,ROUND(BE174*(1+'Calc base'!S175),2),MAX('Calc base'!N$12,ROUND('Calc base'!N$13*BE174,2))))</f>
        <v>0</v>
      </c>
      <c r="V175">
        <f>MAX(0,ROUND(AT174*(1+'Calc base'!H175),2)-J175-'Calc base'!T175)</f>
        <v>0</v>
      </c>
      <c r="W175">
        <f>MAX(0,ROUND(AU174*(1+'Calc base'!I175),2)-K175-'Calc base'!U175)</f>
        <v>0</v>
      </c>
      <c r="X175">
        <f>MAX(0,ROUND(AV174*(1+'Calc base'!J175),2)-L175-'Calc base'!V175)</f>
        <v>0</v>
      </c>
      <c r="Y175">
        <f>MAX(0,ROUND(AW174*(1+'Calc base'!K175),2)-M175-'Calc base'!W175)</f>
        <v>0</v>
      </c>
      <c r="Z175">
        <f>MAX(0,ROUND(AX174*(1+'Calc base'!L175),2)-N175-'Calc base'!X175)</f>
        <v>0</v>
      </c>
      <c r="AA175">
        <f>MAX(0,ROUND(AY174*(1+'Calc base'!M175),2)-O175-'Calc base'!Y175)</f>
        <v>0</v>
      </c>
      <c r="AB175">
        <f>MAX(0,ROUND(AZ174*(1+'Calc base'!N175),2)-P175-'Calc base'!Z175)</f>
        <v>0</v>
      </c>
      <c r="AC175">
        <f>MAX(0,ROUND(BA174*(1+'Calc base'!O175),2)-Q175-'Calc base'!AA175)</f>
        <v>0</v>
      </c>
      <c r="AD175">
        <f>MAX(0,ROUND(BB174*(1+'Calc base'!P175),2)-R175-'Calc base'!AB175)</f>
        <v>0</v>
      </c>
      <c r="AE175">
        <f>MAX(0,ROUND(BC174*(1+'Calc base'!Q175),2)-S175-'Calc base'!AC175)</f>
        <v>0</v>
      </c>
      <c r="AF175">
        <f>MAX(0,ROUND(BD174*(1+'Calc base'!R175),2)-T175-'Calc base'!AD175)</f>
        <v>0</v>
      </c>
      <c r="AG175">
        <f>MAX(0,ROUND(BE174*(1+'Calc base'!S175),2)-U175-'Calc base'!AE175)</f>
        <v>0</v>
      </c>
      <c r="AH175">
        <f>IF('Calc base'!C$14=0,0,MIN(V175,MAX(0,$E175-SUMIFS($V175:$AG175,'Calc base'!$C$17:$N$17,"&lt;"&amp;'Calc base'!C$17,'Calc base'!$C$14:$N$14,1))))</f>
        <v>0</v>
      </c>
      <c r="AI175">
        <f>IF('Calc base'!D$14=0,0,MIN(W175,MAX(0,$E175-SUMIFS($V175:$AG175,'Calc base'!$C$17:$N$17,"&lt;"&amp;'Calc base'!D$17,'Calc base'!$C$14:$N$14,1))))</f>
        <v>0</v>
      </c>
      <c r="AJ175">
        <f>IF('Calc base'!E$14=0,0,MIN(X175,MAX(0,$E175-SUMIFS($V175:$AG175,'Calc base'!$C$17:$N$17,"&lt;"&amp;'Calc base'!E$17,'Calc base'!$C$14:$N$14,1))))</f>
        <v>0</v>
      </c>
      <c r="AK175">
        <f>IF('Calc base'!F$14=0,0,MIN(Y175,MAX(0,$E175-SUMIFS($V175:$AG175,'Calc base'!$C$17:$N$17,"&lt;"&amp;'Calc base'!F$17,'Calc base'!$C$14:$N$14,1))))</f>
        <v>0</v>
      </c>
      <c r="AL175">
        <f>IF('Calc base'!G$14=0,0,MIN(Z175,MAX(0,$E175-SUMIFS($V175:$AG175,'Calc base'!$C$17:$N$17,"&lt;"&amp;'Calc base'!G$17,'Calc base'!$C$14:$N$14,1))))</f>
        <v>0</v>
      </c>
      <c r="AM175">
        <f>IF('Calc base'!H$14=0,0,MIN(AA175,MAX(0,$E175-SUMIFS($V175:$AG175,'Calc base'!$C$17:$N$17,"&lt;"&amp;'Calc base'!H$17,'Calc base'!$C$14:$N$14,1))))</f>
        <v>0</v>
      </c>
      <c r="AN175">
        <f>IF('Calc base'!I$14=0,0,MIN(AB175,MAX(0,$E175-SUMIFS($V175:$AG175,'Calc base'!$C$17:$N$17,"&lt;"&amp;'Calc base'!I$17,'Calc base'!$C$14:$N$14,1))))</f>
        <v>0</v>
      </c>
      <c r="AO175">
        <f>IF('Calc base'!J$14=0,0,MIN(AC175,MAX(0,$E175-SUMIFS($V175:$AG175,'Calc base'!$C$17:$N$17,"&lt;"&amp;'Calc base'!J$17,'Calc base'!$C$14:$N$14,1))))</f>
        <v>0</v>
      </c>
      <c r="AP175">
        <f>IF('Calc base'!K$14=0,0,MIN(AD175,MAX(0,$E175-SUMIFS($V175:$AG175,'Calc base'!$C$17:$N$17,"&lt;"&amp;'Calc base'!K$17,'Calc base'!$C$14:$N$14,1))))</f>
        <v>0</v>
      </c>
      <c r="AQ175">
        <f>IF('Calc base'!L$14=0,0,MIN(AE175,MAX(0,$E175-SUMIFS($V175:$AG175,'Calc base'!$C$17:$N$17,"&lt;"&amp;'Calc base'!L$17,'Calc base'!$C$14:$N$14,1))))</f>
        <v>0</v>
      </c>
      <c r="AR175">
        <f>IF('Calc base'!M$14=0,0,MIN(AF175,MAX(0,$E175-SUMIFS($V175:$AG175,'Calc base'!$C$17:$N$17,"&lt;"&amp;'Calc base'!M$17,'Calc base'!$C$14:$N$14,1))))</f>
        <v>0</v>
      </c>
      <c r="AS175">
        <f>IF('Calc base'!N$14=0,0,MIN(AG175,MAX(0,$E175-SUMIFS($V175:$AG175,'Calc base'!$C$17:$N$17,"&lt;"&amp;'Calc base'!N$17,'Calc base'!$C$14:$N$14,1))))</f>
        <v>0</v>
      </c>
      <c r="AT175">
        <f>V175-AH175</f>
        <v>0</v>
      </c>
      <c r="AU175">
        <f>W175-AI175</f>
        <v>0</v>
      </c>
      <c r="AV175">
        <f>X175-AJ175</f>
        <v>0</v>
      </c>
      <c r="AW175">
        <f>Y175-AK175</f>
        <v>0</v>
      </c>
      <c r="AX175">
        <f>Z175-AL175</f>
        <v>0</v>
      </c>
      <c r="AY175">
        <f>AA175-AM175</f>
        <v>0</v>
      </c>
      <c r="AZ175">
        <f>AB175-AN175</f>
        <v>0</v>
      </c>
      <c r="BA175">
        <f>AC175-AO175</f>
        <v>0</v>
      </c>
      <c r="BB175">
        <f>AD175-AP175</f>
        <v>0</v>
      </c>
      <c r="BC175">
        <f>AE175-AQ175</f>
        <v>0</v>
      </c>
      <c r="BD175">
        <f>AF175-AR175</f>
        <v>0</v>
      </c>
      <c r="BE175">
        <f>AG175-AS175</f>
        <v>0</v>
      </c>
    </row>
    <row r="176">
      <c r="A176" t="n">
        <v>146</v>
      </c>
      <c r="B176">
        <f>SUMPRODUCT(ROUND($AT175:$BE175*(1+'Calc base'!$H176:$S176),2))</f>
        <v>0</v>
      </c>
      <c r="C176">
        <f>SUM(J176:U176)</f>
        <v>0</v>
      </c>
      <c r="D176">
        <f>SUM(V176:AG176)</f>
        <v>0</v>
      </c>
      <c r="E176">
        <f>MAX(0,IF(Impostazioni!$B$7="No",'Calc base'!$C176-$C$31,'Calc base'!$C176-C176)+'Calc base'!$G176+'Calc base'!$F176-(B176-C176-D176))</f>
        <v>900</v>
      </c>
      <c r="F176">
        <f>SUM(AH176:AS176)</f>
        <v>0</v>
      </c>
      <c r="G176">
        <f>SUM(AT176:BE176)</f>
        <v>0</v>
      </c>
      <c r="H176">
        <f>B176-G175</f>
        <v>0</v>
      </c>
      <c r="I176">
        <f>B176-G176</f>
        <v>0</v>
      </c>
      <c r="J176">
        <f>IF(AT175&lt;=0,0,IF(ROUND(AT175*(1+'Calc base'!H176),2)-MAX('Calc base'!C$12,ROUND('Calc base'!C$13*AT175,2))&lt;1,ROUND(AT175*(1+'Calc base'!H176),2),MAX('Calc base'!C$12,ROUND('Calc base'!C$13*AT175,2))))</f>
        <v>0</v>
      </c>
      <c r="K176">
        <f>IF(AU175&lt;=0,0,IF(ROUND(AU175*(1+'Calc base'!I176),2)-MAX('Calc base'!D$12,ROUND('Calc base'!D$13*AU175,2))&lt;1,ROUND(AU175*(1+'Calc base'!I176),2),MAX('Calc base'!D$12,ROUND('Calc base'!D$13*AU175,2))))</f>
        <v>0</v>
      </c>
      <c r="L176">
        <f>IF(AV175&lt;=0,0,IF(ROUND(AV175*(1+'Calc base'!J176),2)-MAX('Calc base'!E$12,ROUND('Calc base'!E$13*AV175,2))&lt;1,ROUND(AV175*(1+'Calc base'!J176),2),MAX('Calc base'!E$12,ROUND('Calc base'!E$13*AV175,2))))</f>
        <v>0</v>
      </c>
      <c r="M176">
        <f>IF(AW175&lt;=0,0,IF(ROUND(AW175*(1+'Calc base'!K176),2)-MAX('Calc base'!F$12,ROUND('Calc base'!F$13*AW175,2))&lt;1,ROUND(AW175*(1+'Calc base'!K176),2),MAX('Calc base'!F$12,ROUND('Calc base'!F$13*AW175,2))))</f>
        <v>0</v>
      </c>
      <c r="N176">
        <f>IF(AX175&lt;=0,0,IF(ROUND(AX175*(1+'Calc base'!L176),2)-MAX('Calc base'!G$12,ROUND('Calc base'!G$13*AX175,2))&lt;1,ROUND(AX175*(1+'Calc base'!L176),2),MAX('Calc base'!G$12,ROUND('Calc base'!G$13*AX175,2))))</f>
        <v>0</v>
      </c>
      <c r="O176">
        <f>IF(AY175&lt;=0,0,IF(ROUND(AY175*(1+'Calc base'!M176),2)-MAX('Calc base'!H$12,ROUND('Calc base'!H$13*AY175,2))&lt;1,ROUND(AY175*(1+'Calc base'!M176),2),MAX('Calc base'!H$12,ROUND('Calc base'!H$13*AY175,2))))</f>
        <v>0</v>
      </c>
      <c r="P176">
        <f>IF(AZ175&lt;=0,0,IF(ROUND(AZ175*(1+'Calc base'!N176),2)-MAX('Calc base'!I$12,ROUND('Calc base'!I$13*AZ175,2))&lt;1,ROUND(AZ175*(1+'Calc base'!N176),2),MAX('Calc base'!I$12,ROUND('Calc base'!I$13*AZ175,2))))</f>
        <v>0</v>
      </c>
      <c r="Q176">
        <f>IF(BA175&lt;=0,0,IF(ROUND(BA175*(1+'Calc base'!O176),2)-MAX('Calc base'!J$12,ROUND('Calc base'!J$13*BA175,2))&lt;1,ROUND(BA175*(1+'Calc base'!O176),2),MAX('Calc base'!J$12,ROUND('Calc base'!J$13*BA175,2))))</f>
        <v>0</v>
      </c>
      <c r="R176">
        <f>IF(BB175&lt;=0,0,IF(ROUND(BB175*(1+'Calc base'!P176),2)-MAX('Calc base'!K$12,ROUND('Calc base'!K$13*BB175,2))&lt;1,ROUND(BB175*(1+'Calc base'!P176),2),MAX('Calc base'!K$12,ROUND('Calc base'!K$13*BB175,2))))</f>
        <v>0</v>
      </c>
      <c r="S176">
        <f>IF(BC175&lt;=0,0,IF(ROUND(BC175*(1+'Calc base'!Q176),2)-MAX('Calc base'!L$12,ROUND('Calc base'!L$13*BC175,2))&lt;1,ROUND(BC175*(1+'Calc base'!Q176),2),MAX('Calc base'!L$12,ROUND('Calc base'!L$13*BC175,2))))</f>
        <v>0</v>
      </c>
      <c r="T176">
        <f>IF(BD175&lt;=0,0,IF(ROUND(BD175*(1+'Calc base'!R176),2)-MAX('Calc base'!M$12,ROUND('Calc base'!M$13*BD175,2))&lt;1,ROUND(BD175*(1+'Calc base'!R176),2),MAX('Calc base'!M$12,ROUND('Calc base'!M$13*BD175,2))))</f>
        <v>0</v>
      </c>
      <c r="U176">
        <f>IF(BE175&lt;=0,0,IF(ROUND(BE175*(1+'Calc base'!S176),2)-MAX('Calc base'!N$12,ROUND('Calc base'!N$13*BE175,2))&lt;1,ROUND(BE175*(1+'Calc base'!S176),2),MAX('Calc base'!N$12,ROUND('Calc base'!N$13*BE175,2))))</f>
        <v>0</v>
      </c>
      <c r="V176">
        <f>MAX(0,ROUND(AT175*(1+'Calc base'!H176),2)-J176-'Calc base'!T176)</f>
        <v>0</v>
      </c>
      <c r="W176">
        <f>MAX(0,ROUND(AU175*(1+'Calc base'!I176),2)-K176-'Calc base'!U176)</f>
        <v>0</v>
      </c>
      <c r="X176">
        <f>MAX(0,ROUND(AV175*(1+'Calc base'!J176),2)-L176-'Calc base'!V176)</f>
        <v>0</v>
      </c>
      <c r="Y176">
        <f>MAX(0,ROUND(AW175*(1+'Calc base'!K176),2)-M176-'Calc base'!W176)</f>
        <v>0</v>
      </c>
      <c r="Z176">
        <f>MAX(0,ROUND(AX175*(1+'Calc base'!L176),2)-N176-'Calc base'!X176)</f>
        <v>0</v>
      </c>
      <c r="AA176">
        <f>MAX(0,ROUND(AY175*(1+'Calc base'!M176),2)-O176-'Calc base'!Y176)</f>
        <v>0</v>
      </c>
      <c r="AB176">
        <f>MAX(0,ROUND(AZ175*(1+'Calc base'!N176),2)-P176-'Calc base'!Z176)</f>
        <v>0</v>
      </c>
      <c r="AC176">
        <f>MAX(0,ROUND(BA175*(1+'Calc base'!O176),2)-Q176-'Calc base'!AA176)</f>
        <v>0</v>
      </c>
      <c r="AD176">
        <f>MAX(0,ROUND(BB175*(1+'Calc base'!P176),2)-R176-'Calc base'!AB176)</f>
        <v>0</v>
      </c>
      <c r="AE176">
        <f>MAX(0,ROUND(BC175*(1+'Calc base'!Q176),2)-S176-'Calc base'!AC176)</f>
        <v>0</v>
      </c>
      <c r="AF176">
        <f>MAX(0,ROUND(BD175*(1+'Calc base'!R176),2)-T176-'Calc base'!AD176)</f>
        <v>0</v>
      </c>
      <c r="AG176">
        <f>MAX(0,ROUND(BE175*(1+'Calc base'!S176),2)-U176-'Calc base'!AE176)</f>
        <v>0</v>
      </c>
      <c r="AH176">
        <f>IF('Calc base'!C$14=0,0,MIN(V176,MAX(0,$E176-SUMIFS($V176:$AG176,'Calc base'!$C$17:$N$17,"&lt;"&amp;'Calc base'!C$17,'Calc base'!$C$14:$N$14,1))))</f>
        <v>0</v>
      </c>
      <c r="AI176">
        <f>IF('Calc base'!D$14=0,0,MIN(W176,MAX(0,$E176-SUMIFS($V176:$AG176,'Calc base'!$C$17:$N$17,"&lt;"&amp;'Calc base'!D$17,'Calc base'!$C$14:$N$14,1))))</f>
        <v>0</v>
      </c>
      <c r="AJ176">
        <f>IF('Calc base'!E$14=0,0,MIN(X176,MAX(0,$E176-SUMIFS($V176:$AG176,'Calc base'!$C$17:$N$17,"&lt;"&amp;'Calc base'!E$17,'Calc base'!$C$14:$N$14,1))))</f>
        <v>0</v>
      </c>
      <c r="AK176">
        <f>IF('Calc base'!F$14=0,0,MIN(Y176,MAX(0,$E176-SUMIFS($V176:$AG176,'Calc base'!$C$17:$N$17,"&lt;"&amp;'Calc base'!F$17,'Calc base'!$C$14:$N$14,1))))</f>
        <v>0</v>
      </c>
      <c r="AL176">
        <f>IF('Calc base'!G$14=0,0,MIN(Z176,MAX(0,$E176-SUMIFS($V176:$AG176,'Calc base'!$C$17:$N$17,"&lt;"&amp;'Calc base'!G$17,'Calc base'!$C$14:$N$14,1))))</f>
        <v>0</v>
      </c>
      <c r="AM176">
        <f>IF('Calc base'!H$14=0,0,MIN(AA176,MAX(0,$E176-SUMIFS($V176:$AG176,'Calc base'!$C$17:$N$17,"&lt;"&amp;'Calc base'!H$17,'Calc base'!$C$14:$N$14,1))))</f>
        <v>0</v>
      </c>
      <c r="AN176">
        <f>IF('Calc base'!I$14=0,0,MIN(AB176,MAX(0,$E176-SUMIFS($V176:$AG176,'Calc base'!$C$17:$N$17,"&lt;"&amp;'Calc base'!I$17,'Calc base'!$C$14:$N$14,1))))</f>
        <v>0</v>
      </c>
      <c r="AO176">
        <f>IF('Calc base'!J$14=0,0,MIN(AC176,MAX(0,$E176-SUMIFS($V176:$AG176,'Calc base'!$C$17:$N$17,"&lt;"&amp;'Calc base'!J$17,'Calc base'!$C$14:$N$14,1))))</f>
        <v>0</v>
      </c>
      <c r="AP176">
        <f>IF('Calc base'!K$14=0,0,MIN(AD176,MAX(0,$E176-SUMIFS($V176:$AG176,'Calc base'!$C$17:$N$17,"&lt;"&amp;'Calc base'!K$17,'Calc base'!$C$14:$N$14,1))))</f>
        <v>0</v>
      </c>
      <c r="AQ176">
        <f>IF('Calc base'!L$14=0,0,MIN(AE176,MAX(0,$E176-SUMIFS($V176:$AG176,'Calc base'!$C$17:$N$17,"&lt;"&amp;'Calc base'!L$17,'Calc base'!$C$14:$N$14,1))))</f>
        <v>0</v>
      </c>
      <c r="AR176">
        <f>IF('Calc base'!M$14=0,0,MIN(AF176,MAX(0,$E176-SUMIFS($V176:$AG176,'Calc base'!$C$17:$N$17,"&lt;"&amp;'Calc base'!M$17,'Calc base'!$C$14:$N$14,1))))</f>
        <v>0</v>
      </c>
      <c r="AS176">
        <f>IF('Calc base'!N$14=0,0,MIN(AG176,MAX(0,$E176-SUMIFS($V176:$AG176,'Calc base'!$C$17:$N$17,"&lt;"&amp;'Calc base'!N$17,'Calc base'!$C$14:$N$14,1))))</f>
        <v>0</v>
      </c>
      <c r="AT176">
        <f>V176-AH176</f>
        <v>0</v>
      </c>
      <c r="AU176">
        <f>W176-AI176</f>
        <v>0</v>
      </c>
      <c r="AV176">
        <f>X176-AJ176</f>
        <v>0</v>
      </c>
      <c r="AW176">
        <f>Y176-AK176</f>
        <v>0</v>
      </c>
      <c r="AX176">
        <f>Z176-AL176</f>
        <v>0</v>
      </c>
      <c r="AY176">
        <f>AA176-AM176</f>
        <v>0</v>
      </c>
      <c r="AZ176">
        <f>AB176-AN176</f>
        <v>0</v>
      </c>
      <c r="BA176">
        <f>AC176-AO176</f>
        <v>0</v>
      </c>
      <c r="BB176">
        <f>AD176-AP176</f>
        <v>0</v>
      </c>
      <c r="BC176">
        <f>AE176-AQ176</f>
        <v>0</v>
      </c>
      <c r="BD176">
        <f>AF176-AR176</f>
        <v>0</v>
      </c>
      <c r="BE176">
        <f>AG176-AS176</f>
        <v>0</v>
      </c>
    </row>
    <row r="177">
      <c r="A177" t="n">
        <v>147</v>
      </c>
      <c r="B177">
        <f>SUMPRODUCT(ROUND($AT176:$BE176*(1+'Calc base'!$H177:$S177),2))</f>
        <v>0</v>
      </c>
      <c r="C177">
        <f>SUM(J177:U177)</f>
        <v>0</v>
      </c>
      <c r="D177">
        <f>SUM(V177:AG177)</f>
        <v>0</v>
      </c>
      <c r="E177">
        <f>MAX(0,IF(Impostazioni!$B$7="No",'Calc base'!$C177-$C$31,'Calc base'!$C177-C177)+'Calc base'!$G177+'Calc base'!$F177-(B177-C177-D177))</f>
        <v>900</v>
      </c>
      <c r="F177">
        <f>SUM(AH177:AS177)</f>
        <v>0</v>
      </c>
      <c r="G177">
        <f>SUM(AT177:BE177)</f>
        <v>0</v>
      </c>
      <c r="H177">
        <f>B177-G176</f>
        <v>0</v>
      </c>
      <c r="I177">
        <f>B177-G177</f>
        <v>0</v>
      </c>
      <c r="J177">
        <f>IF(AT176&lt;=0,0,IF(ROUND(AT176*(1+'Calc base'!H177),2)-MAX('Calc base'!C$12,ROUND('Calc base'!C$13*AT176,2))&lt;1,ROUND(AT176*(1+'Calc base'!H177),2),MAX('Calc base'!C$12,ROUND('Calc base'!C$13*AT176,2))))</f>
        <v>0</v>
      </c>
      <c r="K177">
        <f>IF(AU176&lt;=0,0,IF(ROUND(AU176*(1+'Calc base'!I177),2)-MAX('Calc base'!D$12,ROUND('Calc base'!D$13*AU176,2))&lt;1,ROUND(AU176*(1+'Calc base'!I177),2),MAX('Calc base'!D$12,ROUND('Calc base'!D$13*AU176,2))))</f>
        <v>0</v>
      </c>
      <c r="L177">
        <f>IF(AV176&lt;=0,0,IF(ROUND(AV176*(1+'Calc base'!J177),2)-MAX('Calc base'!E$12,ROUND('Calc base'!E$13*AV176,2))&lt;1,ROUND(AV176*(1+'Calc base'!J177),2),MAX('Calc base'!E$12,ROUND('Calc base'!E$13*AV176,2))))</f>
        <v>0</v>
      </c>
      <c r="M177">
        <f>IF(AW176&lt;=0,0,IF(ROUND(AW176*(1+'Calc base'!K177),2)-MAX('Calc base'!F$12,ROUND('Calc base'!F$13*AW176,2))&lt;1,ROUND(AW176*(1+'Calc base'!K177),2),MAX('Calc base'!F$12,ROUND('Calc base'!F$13*AW176,2))))</f>
        <v>0</v>
      </c>
      <c r="N177">
        <f>IF(AX176&lt;=0,0,IF(ROUND(AX176*(1+'Calc base'!L177),2)-MAX('Calc base'!G$12,ROUND('Calc base'!G$13*AX176,2))&lt;1,ROUND(AX176*(1+'Calc base'!L177),2),MAX('Calc base'!G$12,ROUND('Calc base'!G$13*AX176,2))))</f>
        <v>0</v>
      </c>
      <c r="O177">
        <f>IF(AY176&lt;=0,0,IF(ROUND(AY176*(1+'Calc base'!M177),2)-MAX('Calc base'!H$12,ROUND('Calc base'!H$13*AY176,2))&lt;1,ROUND(AY176*(1+'Calc base'!M177),2),MAX('Calc base'!H$12,ROUND('Calc base'!H$13*AY176,2))))</f>
        <v>0</v>
      </c>
      <c r="P177">
        <f>IF(AZ176&lt;=0,0,IF(ROUND(AZ176*(1+'Calc base'!N177),2)-MAX('Calc base'!I$12,ROUND('Calc base'!I$13*AZ176,2))&lt;1,ROUND(AZ176*(1+'Calc base'!N177),2),MAX('Calc base'!I$12,ROUND('Calc base'!I$13*AZ176,2))))</f>
        <v>0</v>
      </c>
      <c r="Q177">
        <f>IF(BA176&lt;=0,0,IF(ROUND(BA176*(1+'Calc base'!O177),2)-MAX('Calc base'!J$12,ROUND('Calc base'!J$13*BA176,2))&lt;1,ROUND(BA176*(1+'Calc base'!O177),2),MAX('Calc base'!J$12,ROUND('Calc base'!J$13*BA176,2))))</f>
        <v>0</v>
      </c>
      <c r="R177">
        <f>IF(BB176&lt;=0,0,IF(ROUND(BB176*(1+'Calc base'!P177),2)-MAX('Calc base'!K$12,ROUND('Calc base'!K$13*BB176,2))&lt;1,ROUND(BB176*(1+'Calc base'!P177),2),MAX('Calc base'!K$12,ROUND('Calc base'!K$13*BB176,2))))</f>
        <v>0</v>
      </c>
      <c r="S177">
        <f>IF(BC176&lt;=0,0,IF(ROUND(BC176*(1+'Calc base'!Q177),2)-MAX('Calc base'!L$12,ROUND('Calc base'!L$13*BC176,2))&lt;1,ROUND(BC176*(1+'Calc base'!Q177),2),MAX('Calc base'!L$12,ROUND('Calc base'!L$13*BC176,2))))</f>
        <v>0</v>
      </c>
      <c r="T177">
        <f>IF(BD176&lt;=0,0,IF(ROUND(BD176*(1+'Calc base'!R177),2)-MAX('Calc base'!M$12,ROUND('Calc base'!M$13*BD176,2))&lt;1,ROUND(BD176*(1+'Calc base'!R177),2),MAX('Calc base'!M$12,ROUND('Calc base'!M$13*BD176,2))))</f>
        <v>0</v>
      </c>
      <c r="U177">
        <f>IF(BE176&lt;=0,0,IF(ROUND(BE176*(1+'Calc base'!S177),2)-MAX('Calc base'!N$12,ROUND('Calc base'!N$13*BE176,2))&lt;1,ROUND(BE176*(1+'Calc base'!S177),2),MAX('Calc base'!N$12,ROUND('Calc base'!N$13*BE176,2))))</f>
        <v>0</v>
      </c>
      <c r="V177">
        <f>MAX(0,ROUND(AT176*(1+'Calc base'!H177),2)-J177-'Calc base'!T177)</f>
        <v>0</v>
      </c>
      <c r="W177">
        <f>MAX(0,ROUND(AU176*(1+'Calc base'!I177),2)-K177-'Calc base'!U177)</f>
        <v>0</v>
      </c>
      <c r="X177">
        <f>MAX(0,ROUND(AV176*(1+'Calc base'!J177),2)-L177-'Calc base'!V177)</f>
        <v>0</v>
      </c>
      <c r="Y177">
        <f>MAX(0,ROUND(AW176*(1+'Calc base'!K177),2)-M177-'Calc base'!W177)</f>
        <v>0</v>
      </c>
      <c r="Z177">
        <f>MAX(0,ROUND(AX176*(1+'Calc base'!L177),2)-N177-'Calc base'!X177)</f>
        <v>0</v>
      </c>
      <c r="AA177">
        <f>MAX(0,ROUND(AY176*(1+'Calc base'!M177),2)-O177-'Calc base'!Y177)</f>
        <v>0</v>
      </c>
      <c r="AB177">
        <f>MAX(0,ROUND(AZ176*(1+'Calc base'!N177),2)-P177-'Calc base'!Z177)</f>
        <v>0</v>
      </c>
      <c r="AC177">
        <f>MAX(0,ROUND(BA176*(1+'Calc base'!O177),2)-Q177-'Calc base'!AA177)</f>
        <v>0</v>
      </c>
      <c r="AD177">
        <f>MAX(0,ROUND(BB176*(1+'Calc base'!P177),2)-R177-'Calc base'!AB177)</f>
        <v>0</v>
      </c>
      <c r="AE177">
        <f>MAX(0,ROUND(BC176*(1+'Calc base'!Q177),2)-S177-'Calc base'!AC177)</f>
        <v>0</v>
      </c>
      <c r="AF177">
        <f>MAX(0,ROUND(BD176*(1+'Calc base'!R177),2)-T177-'Calc base'!AD177)</f>
        <v>0</v>
      </c>
      <c r="AG177">
        <f>MAX(0,ROUND(BE176*(1+'Calc base'!S177),2)-U177-'Calc base'!AE177)</f>
        <v>0</v>
      </c>
      <c r="AH177">
        <f>IF('Calc base'!C$14=0,0,MIN(V177,MAX(0,$E177-SUMIFS($V177:$AG177,'Calc base'!$C$17:$N$17,"&lt;"&amp;'Calc base'!C$17,'Calc base'!$C$14:$N$14,1))))</f>
        <v>0</v>
      </c>
      <c r="AI177">
        <f>IF('Calc base'!D$14=0,0,MIN(W177,MAX(0,$E177-SUMIFS($V177:$AG177,'Calc base'!$C$17:$N$17,"&lt;"&amp;'Calc base'!D$17,'Calc base'!$C$14:$N$14,1))))</f>
        <v>0</v>
      </c>
      <c r="AJ177">
        <f>IF('Calc base'!E$14=0,0,MIN(X177,MAX(0,$E177-SUMIFS($V177:$AG177,'Calc base'!$C$17:$N$17,"&lt;"&amp;'Calc base'!E$17,'Calc base'!$C$14:$N$14,1))))</f>
        <v>0</v>
      </c>
      <c r="AK177">
        <f>IF('Calc base'!F$14=0,0,MIN(Y177,MAX(0,$E177-SUMIFS($V177:$AG177,'Calc base'!$C$17:$N$17,"&lt;"&amp;'Calc base'!F$17,'Calc base'!$C$14:$N$14,1))))</f>
        <v>0</v>
      </c>
      <c r="AL177">
        <f>IF('Calc base'!G$14=0,0,MIN(Z177,MAX(0,$E177-SUMIFS($V177:$AG177,'Calc base'!$C$17:$N$17,"&lt;"&amp;'Calc base'!G$17,'Calc base'!$C$14:$N$14,1))))</f>
        <v>0</v>
      </c>
      <c r="AM177">
        <f>IF('Calc base'!H$14=0,0,MIN(AA177,MAX(0,$E177-SUMIFS($V177:$AG177,'Calc base'!$C$17:$N$17,"&lt;"&amp;'Calc base'!H$17,'Calc base'!$C$14:$N$14,1))))</f>
        <v>0</v>
      </c>
      <c r="AN177">
        <f>IF('Calc base'!I$14=0,0,MIN(AB177,MAX(0,$E177-SUMIFS($V177:$AG177,'Calc base'!$C$17:$N$17,"&lt;"&amp;'Calc base'!I$17,'Calc base'!$C$14:$N$14,1))))</f>
        <v>0</v>
      </c>
      <c r="AO177">
        <f>IF('Calc base'!J$14=0,0,MIN(AC177,MAX(0,$E177-SUMIFS($V177:$AG177,'Calc base'!$C$17:$N$17,"&lt;"&amp;'Calc base'!J$17,'Calc base'!$C$14:$N$14,1))))</f>
        <v>0</v>
      </c>
      <c r="AP177">
        <f>IF('Calc base'!K$14=0,0,MIN(AD177,MAX(0,$E177-SUMIFS($V177:$AG177,'Calc base'!$C$17:$N$17,"&lt;"&amp;'Calc base'!K$17,'Calc base'!$C$14:$N$14,1))))</f>
        <v>0</v>
      </c>
      <c r="AQ177">
        <f>IF('Calc base'!L$14=0,0,MIN(AE177,MAX(0,$E177-SUMIFS($V177:$AG177,'Calc base'!$C$17:$N$17,"&lt;"&amp;'Calc base'!L$17,'Calc base'!$C$14:$N$14,1))))</f>
        <v>0</v>
      </c>
      <c r="AR177">
        <f>IF('Calc base'!M$14=0,0,MIN(AF177,MAX(0,$E177-SUMIFS($V177:$AG177,'Calc base'!$C$17:$N$17,"&lt;"&amp;'Calc base'!M$17,'Calc base'!$C$14:$N$14,1))))</f>
        <v>0</v>
      </c>
      <c r="AS177">
        <f>IF('Calc base'!N$14=0,0,MIN(AG177,MAX(0,$E177-SUMIFS($V177:$AG177,'Calc base'!$C$17:$N$17,"&lt;"&amp;'Calc base'!N$17,'Calc base'!$C$14:$N$14,1))))</f>
        <v>0</v>
      </c>
      <c r="AT177">
        <f>V177-AH177</f>
        <v>0</v>
      </c>
      <c r="AU177">
        <f>W177-AI177</f>
        <v>0</v>
      </c>
      <c r="AV177">
        <f>X177-AJ177</f>
        <v>0</v>
      </c>
      <c r="AW177">
        <f>Y177-AK177</f>
        <v>0</v>
      </c>
      <c r="AX177">
        <f>Z177-AL177</f>
        <v>0</v>
      </c>
      <c r="AY177">
        <f>AA177-AM177</f>
        <v>0</v>
      </c>
      <c r="AZ177">
        <f>AB177-AN177</f>
        <v>0</v>
      </c>
      <c r="BA177">
        <f>AC177-AO177</f>
        <v>0</v>
      </c>
      <c r="BB177">
        <f>AD177-AP177</f>
        <v>0</v>
      </c>
      <c r="BC177">
        <f>AE177-AQ177</f>
        <v>0</v>
      </c>
      <c r="BD177">
        <f>AF177-AR177</f>
        <v>0</v>
      </c>
      <c r="BE177">
        <f>AG177-AS177</f>
        <v>0</v>
      </c>
    </row>
    <row r="178">
      <c r="A178" t="n">
        <v>148</v>
      </c>
      <c r="B178">
        <f>SUMPRODUCT(ROUND($AT177:$BE177*(1+'Calc base'!$H178:$S178),2))</f>
        <v>0</v>
      </c>
      <c r="C178">
        <f>SUM(J178:U178)</f>
        <v>0</v>
      </c>
      <c r="D178">
        <f>SUM(V178:AG178)</f>
        <v>0</v>
      </c>
      <c r="E178">
        <f>MAX(0,IF(Impostazioni!$B$7="No",'Calc base'!$C178-$C$31,'Calc base'!$C178-C178)+'Calc base'!$G178+'Calc base'!$F178-(B178-C178-D178))</f>
        <v>900</v>
      </c>
      <c r="F178">
        <f>SUM(AH178:AS178)</f>
        <v>0</v>
      </c>
      <c r="G178">
        <f>SUM(AT178:BE178)</f>
        <v>0</v>
      </c>
      <c r="H178">
        <f>B178-G177</f>
        <v>0</v>
      </c>
      <c r="I178">
        <f>B178-G178</f>
        <v>0</v>
      </c>
      <c r="J178">
        <f>IF(AT177&lt;=0,0,IF(ROUND(AT177*(1+'Calc base'!H178),2)-MAX('Calc base'!C$12,ROUND('Calc base'!C$13*AT177,2))&lt;1,ROUND(AT177*(1+'Calc base'!H178),2),MAX('Calc base'!C$12,ROUND('Calc base'!C$13*AT177,2))))</f>
        <v>0</v>
      </c>
      <c r="K178">
        <f>IF(AU177&lt;=0,0,IF(ROUND(AU177*(1+'Calc base'!I178),2)-MAX('Calc base'!D$12,ROUND('Calc base'!D$13*AU177,2))&lt;1,ROUND(AU177*(1+'Calc base'!I178),2),MAX('Calc base'!D$12,ROUND('Calc base'!D$13*AU177,2))))</f>
        <v>0</v>
      </c>
      <c r="L178">
        <f>IF(AV177&lt;=0,0,IF(ROUND(AV177*(1+'Calc base'!J178),2)-MAX('Calc base'!E$12,ROUND('Calc base'!E$13*AV177,2))&lt;1,ROUND(AV177*(1+'Calc base'!J178),2),MAX('Calc base'!E$12,ROUND('Calc base'!E$13*AV177,2))))</f>
        <v>0</v>
      </c>
      <c r="M178">
        <f>IF(AW177&lt;=0,0,IF(ROUND(AW177*(1+'Calc base'!K178),2)-MAX('Calc base'!F$12,ROUND('Calc base'!F$13*AW177,2))&lt;1,ROUND(AW177*(1+'Calc base'!K178),2),MAX('Calc base'!F$12,ROUND('Calc base'!F$13*AW177,2))))</f>
        <v>0</v>
      </c>
      <c r="N178">
        <f>IF(AX177&lt;=0,0,IF(ROUND(AX177*(1+'Calc base'!L178),2)-MAX('Calc base'!G$12,ROUND('Calc base'!G$13*AX177,2))&lt;1,ROUND(AX177*(1+'Calc base'!L178),2),MAX('Calc base'!G$12,ROUND('Calc base'!G$13*AX177,2))))</f>
        <v>0</v>
      </c>
      <c r="O178">
        <f>IF(AY177&lt;=0,0,IF(ROUND(AY177*(1+'Calc base'!M178),2)-MAX('Calc base'!H$12,ROUND('Calc base'!H$13*AY177,2))&lt;1,ROUND(AY177*(1+'Calc base'!M178),2),MAX('Calc base'!H$12,ROUND('Calc base'!H$13*AY177,2))))</f>
        <v>0</v>
      </c>
      <c r="P178">
        <f>IF(AZ177&lt;=0,0,IF(ROUND(AZ177*(1+'Calc base'!N178),2)-MAX('Calc base'!I$12,ROUND('Calc base'!I$13*AZ177,2))&lt;1,ROUND(AZ177*(1+'Calc base'!N178),2),MAX('Calc base'!I$12,ROUND('Calc base'!I$13*AZ177,2))))</f>
        <v>0</v>
      </c>
      <c r="Q178">
        <f>IF(BA177&lt;=0,0,IF(ROUND(BA177*(1+'Calc base'!O178),2)-MAX('Calc base'!J$12,ROUND('Calc base'!J$13*BA177,2))&lt;1,ROUND(BA177*(1+'Calc base'!O178),2),MAX('Calc base'!J$12,ROUND('Calc base'!J$13*BA177,2))))</f>
        <v>0</v>
      </c>
      <c r="R178">
        <f>IF(BB177&lt;=0,0,IF(ROUND(BB177*(1+'Calc base'!P178),2)-MAX('Calc base'!K$12,ROUND('Calc base'!K$13*BB177,2))&lt;1,ROUND(BB177*(1+'Calc base'!P178),2),MAX('Calc base'!K$12,ROUND('Calc base'!K$13*BB177,2))))</f>
        <v>0</v>
      </c>
      <c r="S178">
        <f>IF(BC177&lt;=0,0,IF(ROUND(BC177*(1+'Calc base'!Q178),2)-MAX('Calc base'!L$12,ROUND('Calc base'!L$13*BC177,2))&lt;1,ROUND(BC177*(1+'Calc base'!Q178),2),MAX('Calc base'!L$12,ROUND('Calc base'!L$13*BC177,2))))</f>
        <v>0</v>
      </c>
      <c r="T178">
        <f>IF(BD177&lt;=0,0,IF(ROUND(BD177*(1+'Calc base'!R178),2)-MAX('Calc base'!M$12,ROUND('Calc base'!M$13*BD177,2))&lt;1,ROUND(BD177*(1+'Calc base'!R178),2),MAX('Calc base'!M$12,ROUND('Calc base'!M$13*BD177,2))))</f>
        <v>0</v>
      </c>
      <c r="U178">
        <f>IF(BE177&lt;=0,0,IF(ROUND(BE177*(1+'Calc base'!S178),2)-MAX('Calc base'!N$12,ROUND('Calc base'!N$13*BE177,2))&lt;1,ROUND(BE177*(1+'Calc base'!S178),2),MAX('Calc base'!N$12,ROUND('Calc base'!N$13*BE177,2))))</f>
        <v>0</v>
      </c>
      <c r="V178">
        <f>MAX(0,ROUND(AT177*(1+'Calc base'!H178),2)-J178-'Calc base'!T178)</f>
        <v>0</v>
      </c>
      <c r="W178">
        <f>MAX(0,ROUND(AU177*(1+'Calc base'!I178),2)-K178-'Calc base'!U178)</f>
        <v>0</v>
      </c>
      <c r="X178">
        <f>MAX(0,ROUND(AV177*(1+'Calc base'!J178),2)-L178-'Calc base'!V178)</f>
        <v>0</v>
      </c>
      <c r="Y178">
        <f>MAX(0,ROUND(AW177*(1+'Calc base'!K178),2)-M178-'Calc base'!W178)</f>
        <v>0</v>
      </c>
      <c r="Z178">
        <f>MAX(0,ROUND(AX177*(1+'Calc base'!L178),2)-N178-'Calc base'!X178)</f>
        <v>0</v>
      </c>
      <c r="AA178">
        <f>MAX(0,ROUND(AY177*(1+'Calc base'!M178),2)-O178-'Calc base'!Y178)</f>
        <v>0</v>
      </c>
      <c r="AB178">
        <f>MAX(0,ROUND(AZ177*(1+'Calc base'!N178),2)-P178-'Calc base'!Z178)</f>
        <v>0</v>
      </c>
      <c r="AC178">
        <f>MAX(0,ROUND(BA177*(1+'Calc base'!O178),2)-Q178-'Calc base'!AA178)</f>
        <v>0</v>
      </c>
      <c r="AD178">
        <f>MAX(0,ROUND(BB177*(1+'Calc base'!P178),2)-R178-'Calc base'!AB178)</f>
        <v>0</v>
      </c>
      <c r="AE178">
        <f>MAX(0,ROUND(BC177*(1+'Calc base'!Q178),2)-S178-'Calc base'!AC178)</f>
        <v>0</v>
      </c>
      <c r="AF178">
        <f>MAX(0,ROUND(BD177*(1+'Calc base'!R178),2)-T178-'Calc base'!AD178)</f>
        <v>0</v>
      </c>
      <c r="AG178">
        <f>MAX(0,ROUND(BE177*(1+'Calc base'!S178),2)-U178-'Calc base'!AE178)</f>
        <v>0</v>
      </c>
      <c r="AH178">
        <f>IF('Calc base'!C$14=0,0,MIN(V178,MAX(0,$E178-SUMIFS($V178:$AG178,'Calc base'!$C$17:$N$17,"&lt;"&amp;'Calc base'!C$17,'Calc base'!$C$14:$N$14,1))))</f>
        <v>0</v>
      </c>
      <c r="AI178">
        <f>IF('Calc base'!D$14=0,0,MIN(W178,MAX(0,$E178-SUMIFS($V178:$AG178,'Calc base'!$C$17:$N$17,"&lt;"&amp;'Calc base'!D$17,'Calc base'!$C$14:$N$14,1))))</f>
        <v>0</v>
      </c>
      <c r="AJ178">
        <f>IF('Calc base'!E$14=0,0,MIN(X178,MAX(0,$E178-SUMIFS($V178:$AG178,'Calc base'!$C$17:$N$17,"&lt;"&amp;'Calc base'!E$17,'Calc base'!$C$14:$N$14,1))))</f>
        <v>0</v>
      </c>
      <c r="AK178">
        <f>IF('Calc base'!F$14=0,0,MIN(Y178,MAX(0,$E178-SUMIFS($V178:$AG178,'Calc base'!$C$17:$N$17,"&lt;"&amp;'Calc base'!F$17,'Calc base'!$C$14:$N$14,1))))</f>
        <v>0</v>
      </c>
      <c r="AL178">
        <f>IF('Calc base'!G$14=0,0,MIN(Z178,MAX(0,$E178-SUMIFS($V178:$AG178,'Calc base'!$C$17:$N$17,"&lt;"&amp;'Calc base'!G$17,'Calc base'!$C$14:$N$14,1))))</f>
        <v>0</v>
      </c>
      <c r="AM178">
        <f>IF('Calc base'!H$14=0,0,MIN(AA178,MAX(0,$E178-SUMIFS($V178:$AG178,'Calc base'!$C$17:$N$17,"&lt;"&amp;'Calc base'!H$17,'Calc base'!$C$14:$N$14,1))))</f>
        <v>0</v>
      </c>
      <c r="AN178">
        <f>IF('Calc base'!I$14=0,0,MIN(AB178,MAX(0,$E178-SUMIFS($V178:$AG178,'Calc base'!$C$17:$N$17,"&lt;"&amp;'Calc base'!I$17,'Calc base'!$C$14:$N$14,1))))</f>
        <v>0</v>
      </c>
      <c r="AO178">
        <f>IF('Calc base'!J$14=0,0,MIN(AC178,MAX(0,$E178-SUMIFS($V178:$AG178,'Calc base'!$C$17:$N$17,"&lt;"&amp;'Calc base'!J$17,'Calc base'!$C$14:$N$14,1))))</f>
        <v>0</v>
      </c>
      <c r="AP178">
        <f>IF('Calc base'!K$14=0,0,MIN(AD178,MAX(0,$E178-SUMIFS($V178:$AG178,'Calc base'!$C$17:$N$17,"&lt;"&amp;'Calc base'!K$17,'Calc base'!$C$14:$N$14,1))))</f>
        <v>0</v>
      </c>
      <c r="AQ178">
        <f>IF('Calc base'!L$14=0,0,MIN(AE178,MAX(0,$E178-SUMIFS($V178:$AG178,'Calc base'!$C$17:$N$17,"&lt;"&amp;'Calc base'!L$17,'Calc base'!$C$14:$N$14,1))))</f>
        <v>0</v>
      </c>
      <c r="AR178">
        <f>IF('Calc base'!M$14=0,0,MIN(AF178,MAX(0,$E178-SUMIFS($V178:$AG178,'Calc base'!$C$17:$N$17,"&lt;"&amp;'Calc base'!M$17,'Calc base'!$C$14:$N$14,1))))</f>
        <v>0</v>
      </c>
      <c r="AS178">
        <f>IF('Calc base'!N$14=0,0,MIN(AG178,MAX(0,$E178-SUMIFS($V178:$AG178,'Calc base'!$C$17:$N$17,"&lt;"&amp;'Calc base'!N$17,'Calc base'!$C$14:$N$14,1))))</f>
        <v>0</v>
      </c>
      <c r="AT178">
        <f>V178-AH178</f>
        <v>0</v>
      </c>
      <c r="AU178">
        <f>W178-AI178</f>
        <v>0</v>
      </c>
      <c r="AV178">
        <f>X178-AJ178</f>
        <v>0</v>
      </c>
      <c r="AW178">
        <f>Y178-AK178</f>
        <v>0</v>
      </c>
      <c r="AX178">
        <f>Z178-AL178</f>
        <v>0</v>
      </c>
      <c r="AY178">
        <f>AA178-AM178</f>
        <v>0</v>
      </c>
      <c r="AZ178">
        <f>AB178-AN178</f>
        <v>0</v>
      </c>
      <c r="BA178">
        <f>AC178-AO178</f>
        <v>0</v>
      </c>
      <c r="BB178">
        <f>AD178-AP178</f>
        <v>0</v>
      </c>
      <c r="BC178">
        <f>AE178-AQ178</f>
        <v>0</v>
      </c>
      <c r="BD178">
        <f>AF178-AR178</f>
        <v>0</v>
      </c>
      <c r="BE178">
        <f>AG178-AS178</f>
        <v>0</v>
      </c>
    </row>
    <row r="179">
      <c r="A179" t="n">
        <v>149</v>
      </c>
      <c r="B179">
        <f>SUMPRODUCT(ROUND($AT178:$BE178*(1+'Calc base'!$H179:$S179),2))</f>
        <v>0</v>
      </c>
      <c r="C179">
        <f>SUM(J179:U179)</f>
        <v>0</v>
      </c>
      <c r="D179">
        <f>SUM(V179:AG179)</f>
        <v>0</v>
      </c>
      <c r="E179">
        <f>MAX(0,IF(Impostazioni!$B$7="No",'Calc base'!$C179-$C$31,'Calc base'!$C179-C179)+'Calc base'!$G179+'Calc base'!$F179-(B179-C179-D179))</f>
        <v>900</v>
      </c>
      <c r="F179">
        <f>SUM(AH179:AS179)</f>
        <v>0</v>
      </c>
      <c r="G179">
        <f>SUM(AT179:BE179)</f>
        <v>0</v>
      </c>
      <c r="H179">
        <f>B179-G178</f>
        <v>0</v>
      </c>
      <c r="I179">
        <f>B179-G179</f>
        <v>0</v>
      </c>
      <c r="J179">
        <f>IF(AT178&lt;=0,0,IF(ROUND(AT178*(1+'Calc base'!H179),2)-MAX('Calc base'!C$12,ROUND('Calc base'!C$13*AT178,2))&lt;1,ROUND(AT178*(1+'Calc base'!H179),2),MAX('Calc base'!C$12,ROUND('Calc base'!C$13*AT178,2))))</f>
        <v>0</v>
      </c>
      <c r="K179">
        <f>IF(AU178&lt;=0,0,IF(ROUND(AU178*(1+'Calc base'!I179),2)-MAX('Calc base'!D$12,ROUND('Calc base'!D$13*AU178,2))&lt;1,ROUND(AU178*(1+'Calc base'!I179),2),MAX('Calc base'!D$12,ROUND('Calc base'!D$13*AU178,2))))</f>
        <v>0</v>
      </c>
      <c r="L179">
        <f>IF(AV178&lt;=0,0,IF(ROUND(AV178*(1+'Calc base'!J179),2)-MAX('Calc base'!E$12,ROUND('Calc base'!E$13*AV178,2))&lt;1,ROUND(AV178*(1+'Calc base'!J179),2),MAX('Calc base'!E$12,ROUND('Calc base'!E$13*AV178,2))))</f>
        <v>0</v>
      </c>
      <c r="M179">
        <f>IF(AW178&lt;=0,0,IF(ROUND(AW178*(1+'Calc base'!K179),2)-MAX('Calc base'!F$12,ROUND('Calc base'!F$13*AW178,2))&lt;1,ROUND(AW178*(1+'Calc base'!K179),2),MAX('Calc base'!F$12,ROUND('Calc base'!F$13*AW178,2))))</f>
        <v>0</v>
      </c>
      <c r="N179">
        <f>IF(AX178&lt;=0,0,IF(ROUND(AX178*(1+'Calc base'!L179),2)-MAX('Calc base'!G$12,ROUND('Calc base'!G$13*AX178,2))&lt;1,ROUND(AX178*(1+'Calc base'!L179),2),MAX('Calc base'!G$12,ROUND('Calc base'!G$13*AX178,2))))</f>
        <v>0</v>
      </c>
      <c r="O179">
        <f>IF(AY178&lt;=0,0,IF(ROUND(AY178*(1+'Calc base'!M179),2)-MAX('Calc base'!H$12,ROUND('Calc base'!H$13*AY178,2))&lt;1,ROUND(AY178*(1+'Calc base'!M179),2),MAX('Calc base'!H$12,ROUND('Calc base'!H$13*AY178,2))))</f>
        <v>0</v>
      </c>
      <c r="P179">
        <f>IF(AZ178&lt;=0,0,IF(ROUND(AZ178*(1+'Calc base'!N179),2)-MAX('Calc base'!I$12,ROUND('Calc base'!I$13*AZ178,2))&lt;1,ROUND(AZ178*(1+'Calc base'!N179),2),MAX('Calc base'!I$12,ROUND('Calc base'!I$13*AZ178,2))))</f>
        <v>0</v>
      </c>
      <c r="Q179">
        <f>IF(BA178&lt;=0,0,IF(ROUND(BA178*(1+'Calc base'!O179),2)-MAX('Calc base'!J$12,ROUND('Calc base'!J$13*BA178,2))&lt;1,ROUND(BA178*(1+'Calc base'!O179),2),MAX('Calc base'!J$12,ROUND('Calc base'!J$13*BA178,2))))</f>
        <v>0</v>
      </c>
      <c r="R179">
        <f>IF(BB178&lt;=0,0,IF(ROUND(BB178*(1+'Calc base'!P179),2)-MAX('Calc base'!K$12,ROUND('Calc base'!K$13*BB178,2))&lt;1,ROUND(BB178*(1+'Calc base'!P179),2),MAX('Calc base'!K$12,ROUND('Calc base'!K$13*BB178,2))))</f>
        <v>0</v>
      </c>
      <c r="S179">
        <f>IF(BC178&lt;=0,0,IF(ROUND(BC178*(1+'Calc base'!Q179),2)-MAX('Calc base'!L$12,ROUND('Calc base'!L$13*BC178,2))&lt;1,ROUND(BC178*(1+'Calc base'!Q179),2),MAX('Calc base'!L$12,ROUND('Calc base'!L$13*BC178,2))))</f>
        <v>0</v>
      </c>
      <c r="T179">
        <f>IF(BD178&lt;=0,0,IF(ROUND(BD178*(1+'Calc base'!R179),2)-MAX('Calc base'!M$12,ROUND('Calc base'!M$13*BD178,2))&lt;1,ROUND(BD178*(1+'Calc base'!R179),2),MAX('Calc base'!M$12,ROUND('Calc base'!M$13*BD178,2))))</f>
        <v>0</v>
      </c>
      <c r="U179">
        <f>IF(BE178&lt;=0,0,IF(ROUND(BE178*(1+'Calc base'!S179),2)-MAX('Calc base'!N$12,ROUND('Calc base'!N$13*BE178,2))&lt;1,ROUND(BE178*(1+'Calc base'!S179),2),MAX('Calc base'!N$12,ROUND('Calc base'!N$13*BE178,2))))</f>
        <v>0</v>
      </c>
      <c r="V179">
        <f>MAX(0,ROUND(AT178*(1+'Calc base'!H179),2)-J179-'Calc base'!T179)</f>
        <v>0</v>
      </c>
      <c r="W179">
        <f>MAX(0,ROUND(AU178*(1+'Calc base'!I179),2)-K179-'Calc base'!U179)</f>
        <v>0</v>
      </c>
      <c r="X179">
        <f>MAX(0,ROUND(AV178*(1+'Calc base'!J179),2)-L179-'Calc base'!V179)</f>
        <v>0</v>
      </c>
      <c r="Y179">
        <f>MAX(0,ROUND(AW178*(1+'Calc base'!K179),2)-M179-'Calc base'!W179)</f>
        <v>0</v>
      </c>
      <c r="Z179">
        <f>MAX(0,ROUND(AX178*(1+'Calc base'!L179),2)-N179-'Calc base'!X179)</f>
        <v>0</v>
      </c>
      <c r="AA179">
        <f>MAX(0,ROUND(AY178*(1+'Calc base'!M179),2)-O179-'Calc base'!Y179)</f>
        <v>0</v>
      </c>
      <c r="AB179">
        <f>MAX(0,ROUND(AZ178*(1+'Calc base'!N179),2)-P179-'Calc base'!Z179)</f>
        <v>0</v>
      </c>
      <c r="AC179">
        <f>MAX(0,ROUND(BA178*(1+'Calc base'!O179),2)-Q179-'Calc base'!AA179)</f>
        <v>0</v>
      </c>
      <c r="AD179">
        <f>MAX(0,ROUND(BB178*(1+'Calc base'!P179),2)-R179-'Calc base'!AB179)</f>
        <v>0</v>
      </c>
      <c r="AE179">
        <f>MAX(0,ROUND(BC178*(1+'Calc base'!Q179),2)-S179-'Calc base'!AC179)</f>
        <v>0</v>
      </c>
      <c r="AF179">
        <f>MAX(0,ROUND(BD178*(1+'Calc base'!R179),2)-T179-'Calc base'!AD179)</f>
        <v>0</v>
      </c>
      <c r="AG179">
        <f>MAX(0,ROUND(BE178*(1+'Calc base'!S179),2)-U179-'Calc base'!AE179)</f>
        <v>0</v>
      </c>
      <c r="AH179">
        <f>IF('Calc base'!C$14=0,0,MIN(V179,MAX(0,$E179-SUMIFS($V179:$AG179,'Calc base'!$C$17:$N$17,"&lt;"&amp;'Calc base'!C$17,'Calc base'!$C$14:$N$14,1))))</f>
        <v>0</v>
      </c>
      <c r="AI179">
        <f>IF('Calc base'!D$14=0,0,MIN(W179,MAX(0,$E179-SUMIFS($V179:$AG179,'Calc base'!$C$17:$N$17,"&lt;"&amp;'Calc base'!D$17,'Calc base'!$C$14:$N$14,1))))</f>
        <v>0</v>
      </c>
      <c r="AJ179">
        <f>IF('Calc base'!E$14=0,0,MIN(X179,MAX(0,$E179-SUMIFS($V179:$AG179,'Calc base'!$C$17:$N$17,"&lt;"&amp;'Calc base'!E$17,'Calc base'!$C$14:$N$14,1))))</f>
        <v>0</v>
      </c>
      <c r="AK179">
        <f>IF('Calc base'!F$14=0,0,MIN(Y179,MAX(0,$E179-SUMIFS($V179:$AG179,'Calc base'!$C$17:$N$17,"&lt;"&amp;'Calc base'!F$17,'Calc base'!$C$14:$N$14,1))))</f>
        <v>0</v>
      </c>
      <c r="AL179">
        <f>IF('Calc base'!G$14=0,0,MIN(Z179,MAX(0,$E179-SUMIFS($V179:$AG179,'Calc base'!$C$17:$N$17,"&lt;"&amp;'Calc base'!G$17,'Calc base'!$C$14:$N$14,1))))</f>
        <v>0</v>
      </c>
      <c r="AM179">
        <f>IF('Calc base'!H$14=0,0,MIN(AA179,MAX(0,$E179-SUMIFS($V179:$AG179,'Calc base'!$C$17:$N$17,"&lt;"&amp;'Calc base'!H$17,'Calc base'!$C$14:$N$14,1))))</f>
        <v>0</v>
      </c>
      <c r="AN179">
        <f>IF('Calc base'!I$14=0,0,MIN(AB179,MAX(0,$E179-SUMIFS($V179:$AG179,'Calc base'!$C$17:$N$17,"&lt;"&amp;'Calc base'!I$17,'Calc base'!$C$14:$N$14,1))))</f>
        <v>0</v>
      </c>
      <c r="AO179">
        <f>IF('Calc base'!J$14=0,0,MIN(AC179,MAX(0,$E179-SUMIFS($V179:$AG179,'Calc base'!$C$17:$N$17,"&lt;"&amp;'Calc base'!J$17,'Calc base'!$C$14:$N$14,1))))</f>
        <v>0</v>
      </c>
      <c r="AP179">
        <f>IF('Calc base'!K$14=0,0,MIN(AD179,MAX(0,$E179-SUMIFS($V179:$AG179,'Calc base'!$C$17:$N$17,"&lt;"&amp;'Calc base'!K$17,'Calc base'!$C$14:$N$14,1))))</f>
        <v>0</v>
      </c>
      <c r="AQ179">
        <f>IF('Calc base'!L$14=0,0,MIN(AE179,MAX(0,$E179-SUMIFS($V179:$AG179,'Calc base'!$C$17:$N$17,"&lt;"&amp;'Calc base'!L$17,'Calc base'!$C$14:$N$14,1))))</f>
        <v>0</v>
      </c>
      <c r="AR179">
        <f>IF('Calc base'!M$14=0,0,MIN(AF179,MAX(0,$E179-SUMIFS($V179:$AG179,'Calc base'!$C$17:$N$17,"&lt;"&amp;'Calc base'!M$17,'Calc base'!$C$14:$N$14,1))))</f>
        <v>0</v>
      </c>
      <c r="AS179">
        <f>IF('Calc base'!N$14=0,0,MIN(AG179,MAX(0,$E179-SUMIFS($V179:$AG179,'Calc base'!$C$17:$N$17,"&lt;"&amp;'Calc base'!N$17,'Calc base'!$C$14:$N$14,1))))</f>
        <v>0</v>
      </c>
      <c r="AT179">
        <f>V179-AH179</f>
        <v>0</v>
      </c>
      <c r="AU179">
        <f>W179-AI179</f>
        <v>0</v>
      </c>
      <c r="AV179">
        <f>X179-AJ179</f>
        <v>0</v>
      </c>
      <c r="AW179">
        <f>Y179-AK179</f>
        <v>0</v>
      </c>
      <c r="AX179">
        <f>Z179-AL179</f>
        <v>0</v>
      </c>
      <c r="AY179">
        <f>AA179-AM179</f>
        <v>0</v>
      </c>
      <c r="AZ179">
        <f>AB179-AN179</f>
        <v>0</v>
      </c>
      <c r="BA179">
        <f>AC179-AO179</f>
        <v>0</v>
      </c>
      <c r="BB179">
        <f>AD179-AP179</f>
        <v>0</v>
      </c>
      <c r="BC179">
        <f>AE179-AQ179</f>
        <v>0</v>
      </c>
      <c r="BD179">
        <f>AF179-AR179</f>
        <v>0</v>
      </c>
      <c r="BE179">
        <f>AG179-AS179</f>
        <v>0</v>
      </c>
    </row>
    <row r="180">
      <c r="A180" t="n">
        <v>150</v>
      </c>
      <c r="B180">
        <f>SUMPRODUCT(ROUND($AT179:$BE179*(1+'Calc base'!$H180:$S180),2))</f>
        <v>0</v>
      </c>
      <c r="C180">
        <f>SUM(J180:U180)</f>
        <v>0</v>
      </c>
      <c r="D180">
        <f>SUM(V180:AG180)</f>
        <v>0</v>
      </c>
      <c r="E180">
        <f>MAX(0,IF(Impostazioni!$B$7="No",'Calc base'!$C180-$C$31,'Calc base'!$C180-C180)+'Calc base'!$G180+'Calc base'!$F180-(B180-C180-D180))</f>
        <v>900</v>
      </c>
      <c r="F180">
        <f>SUM(AH180:AS180)</f>
        <v>0</v>
      </c>
      <c r="G180">
        <f>SUM(AT180:BE180)</f>
        <v>0</v>
      </c>
      <c r="H180">
        <f>B180-G179</f>
        <v>0</v>
      </c>
      <c r="I180">
        <f>B180-G180</f>
        <v>0</v>
      </c>
      <c r="J180">
        <f>IF(AT179&lt;=0,0,IF(ROUND(AT179*(1+'Calc base'!H180),2)-MAX('Calc base'!C$12,ROUND('Calc base'!C$13*AT179,2))&lt;1,ROUND(AT179*(1+'Calc base'!H180),2),MAX('Calc base'!C$12,ROUND('Calc base'!C$13*AT179,2))))</f>
        <v>0</v>
      </c>
      <c r="K180">
        <f>IF(AU179&lt;=0,0,IF(ROUND(AU179*(1+'Calc base'!I180),2)-MAX('Calc base'!D$12,ROUND('Calc base'!D$13*AU179,2))&lt;1,ROUND(AU179*(1+'Calc base'!I180),2),MAX('Calc base'!D$12,ROUND('Calc base'!D$13*AU179,2))))</f>
        <v>0</v>
      </c>
      <c r="L180">
        <f>IF(AV179&lt;=0,0,IF(ROUND(AV179*(1+'Calc base'!J180),2)-MAX('Calc base'!E$12,ROUND('Calc base'!E$13*AV179,2))&lt;1,ROUND(AV179*(1+'Calc base'!J180),2),MAX('Calc base'!E$12,ROUND('Calc base'!E$13*AV179,2))))</f>
        <v>0</v>
      </c>
      <c r="M180">
        <f>IF(AW179&lt;=0,0,IF(ROUND(AW179*(1+'Calc base'!K180),2)-MAX('Calc base'!F$12,ROUND('Calc base'!F$13*AW179,2))&lt;1,ROUND(AW179*(1+'Calc base'!K180),2),MAX('Calc base'!F$12,ROUND('Calc base'!F$13*AW179,2))))</f>
        <v>0</v>
      </c>
      <c r="N180">
        <f>IF(AX179&lt;=0,0,IF(ROUND(AX179*(1+'Calc base'!L180),2)-MAX('Calc base'!G$12,ROUND('Calc base'!G$13*AX179,2))&lt;1,ROUND(AX179*(1+'Calc base'!L180),2),MAX('Calc base'!G$12,ROUND('Calc base'!G$13*AX179,2))))</f>
        <v>0</v>
      </c>
      <c r="O180">
        <f>IF(AY179&lt;=0,0,IF(ROUND(AY179*(1+'Calc base'!M180),2)-MAX('Calc base'!H$12,ROUND('Calc base'!H$13*AY179,2))&lt;1,ROUND(AY179*(1+'Calc base'!M180),2),MAX('Calc base'!H$12,ROUND('Calc base'!H$13*AY179,2))))</f>
        <v>0</v>
      </c>
      <c r="P180">
        <f>IF(AZ179&lt;=0,0,IF(ROUND(AZ179*(1+'Calc base'!N180),2)-MAX('Calc base'!I$12,ROUND('Calc base'!I$13*AZ179,2))&lt;1,ROUND(AZ179*(1+'Calc base'!N180),2),MAX('Calc base'!I$12,ROUND('Calc base'!I$13*AZ179,2))))</f>
        <v>0</v>
      </c>
      <c r="Q180">
        <f>IF(BA179&lt;=0,0,IF(ROUND(BA179*(1+'Calc base'!O180),2)-MAX('Calc base'!J$12,ROUND('Calc base'!J$13*BA179,2))&lt;1,ROUND(BA179*(1+'Calc base'!O180),2),MAX('Calc base'!J$12,ROUND('Calc base'!J$13*BA179,2))))</f>
        <v>0</v>
      </c>
      <c r="R180">
        <f>IF(BB179&lt;=0,0,IF(ROUND(BB179*(1+'Calc base'!P180),2)-MAX('Calc base'!K$12,ROUND('Calc base'!K$13*BB179,2))&lt;1,ROUND(BB179*(1+'Calc base'!P180),2),MAX('Calc base'!K$12,ROUND('Calc base'!K$13*BB179,2))))</f>
        <v>0</v>
      </c>
      <c r="S180">
        <f>IF(BC179&lt;=0,0,IF(ROUND(BC179*(1+'Calc base'!Q180),2)-MAX('Calc base'!L$12,ROUND('Calc base'!L$13*BC179,2))&lt;1,ROUND(BC179*(1+'Calc base'!Q180),2),MAX('Calc base'!L$12,ROUND('Calc base'!L$13*BC179,2))))</f>
        <v>0</v>
      </c>
      <c r="T180">
        <f>IF(BD179&lt;=0,0,IF(ROUND(BD179*(1+'Calc base'!R180),2)-MAX('Calc base'!M$12,ROUND('Calc base'!M$13*BD179,2))&lt;1,ROUND(BD179*(1+'Calc base'!R180),2),MAX('Calc base'!M$12,ROUND('Calc base'!M$13*BD179,2))))</f>
        <v>0</v>
      </c>
      <c r="U180">
        <f>IF(BE179&lt;=0,0,IF(ROUND(BE179*(1+'Calc base'!S180),2)-MAX('Calc base'!N$12,ROUND('Calc base'!N$13*BE179,2))&lt;1,ROUND(BE179*(1+'Calc base'!S180),2),MAX('Calc base'!N$12,ROUND('Calc base'!N$13*BE179,2))))</f>
        <v>0</v>
      </c>
      <c r="V180">
        <f>MAX(0,ROUND(AT179*(1+'Calc base'!H180),2)-J180-'Calc base'!T180)</f>
        <v>0</v>
      </c>
      <c r="W180">
        <f>MAX(0,ROUND(AU179*(1+'Calc base'!I180),2)-K180-'Calc base'!U180)</f>
        <v>0</v>
      </c>
      <c r="X180">
        <f>MAX(0,ROUND(AV179*(1+'Calc base'!J180),2)-L180-'Calc base'!V180)</f>
        <v>0</v>
      </c>
      <c r="Y180">
        <f>MAX(0,ROUND(AW179*(1+'Calc base'!K180),2)-M180-'Calc base'!W180)</f>
        <v>0</v>
      </c>
      <c r="Z180">
        <f>MAX(0,ROUND(AX179*(1+'Calc base'!L180),2)-N180-'Calc base'!X180)</f>
        <v>0</v>
      </c>
      <c r="AA180">
        <f>MAX(0,ROUND(AY179*(1+'Calc base'!M180),2)-O180-'Calc base'!Y180)</f>
        <v>0</v>
      </c>
      <c r="AB180">
        <f>MAX(0,ROUND(AZ179*(1+'Calc base'!N180),2)-P180-'Calc base'!Z180)</f>
        <v>0</v>
      </c>
      <c r="AC180">
        <f>MAX(0,ROUND(BA179*(1+'Calc base'!O180),2)-Q180-'Calc base'!AA180)</f>
        <v>0</v>
      </c>
      <c r="AD180">
        <f>MAX(0,ROUND(BB179*(1+'Calc base'!P180),2)-R180-'Calc base'!AB180)</f>
        <v>0</v>
      </c>
      <c r="AE180">
        <f>MAX(0,ROUND(BC179*(1+'Calc base'!Q180),2)-S180-'Calc base'!AC180)</f>
        <v>0</v>
      </c>
      <c r="AF180">
        <f>MAX(0,ROUND(BD179*(1+'Calc base'!R180),2)-T180-'Calc base'!AD180)</f>
        <v>0</v>
      </c>
      <c r="AG180">
        <f>MAX(0,ROUND(BE179*(1+'Calc base'!S180),2)-U180-'Calc base'!AE180)</f>
        <v>0</v>
      </c>
      <c r="AH180">
        <f>IF('Calc base'!C$14=0,0,MIN(V180,MAX(0,$E180-SUMIFS($V180:$AG180,'Calc base'!$C$17:$N$17,"&lt;"&amp;'Calc base'!C$17,'Calc base'!$C$14:$N$14,1))))</f>
        <v>0</v>
      </c>
      <c r="AI180">
        <f>IF('Calc base'!D$14=0,0,MIN(W180,MAX(0,$E180-SUMIFS($V180:$AG180,'Calc base'!$C$17:$N$17,"&lt;"&amp;'Calc base'!D$17,'Calc base'!$C$14:$N$14,1))))</f>
        <v>0</v>
      </c>
      <c r="AJ180">
        <f>IF('Calc base'!E$14=0,0,MIN(X180,MAX(0,$E180-SUMIFS($V180:$AG180,'Calc base'!$C$17:$N$17,"&lt;"&amp;'Calc base'!E$17,'Calc base'!$C$14:$N$14,1))))</f>
        <v>0</v>
      </c>
      <c r="AK180">
        <f>IF('Calc base'!F$14=0,0,MIN(Y180,MAX(0,$E180-SUMIFS($V180:$AG180,'Calc base'!$C$17:$N$17,"&lt;"&amp;'Calc base'!F$17,'Calc base'!$C$14:$N$14,1))))</f>
        <v>0</v>
      </c>
      <c r="AL180">
        <f>IF('Calc base'!G$14=0,0,MIN(Z180,MAX(0,$E180-SUMIFS($V180:$AG180,'Calc base'!$C$17:$N$17,"&lt;"&amp;'Calc base'!G$17,'Calc base'!$C$14:$N$14,1))))</f>
        <v>0</v>
      </c>
      <c r="AM180">
        <f>IF('Calc base'!H$14=0,0,MIN(AA180,MAX(0,$E180-SUMIFS($V180:$AG180,'Calc base'!$C$17:$N$17,"&lt;"&amp;'Calc base'!H$17,'Calc base'!$C$14:$N$14,1))))</f>
        <v>0</v>
      </c>
      <c r="AN180">
        <f>IF('Calc base'!I$14=0,0,MIN(AB180,MAX(0,$E180-SUMIFS($V180:$AG180,'Calc base'!$C$17:$N$17,"&lt;"&amp;'Calc base'!I$17,'Calc base'!$C$14:$N$14,1))))</f>
        <v>0</v>
      </c>
      <c r="AO180">
        <f>IF('Calc base'!J$14=0,0,MIN(AC180,MAX(0,$E180-SUMIFS($V180:$AG180,'Calc base'!$C$17:$N$17,"&lt;"&amp;'Calc base'!J$17,'Calc base'!$C$14:$N$14,1))))</f>
        <v>0</v>
      </c>
      <c r="AP180">
        <f>IF('Calc base'!K$14=0,0,MIN(AD180,MAX(0,$E180-SUMIFS($V180:$AG180,'Calc base'!$C$17:$N$17,"&lt;"&amp;'Calc base'!K$17,'Calc base'!$C$14:$N$14,1))))</f>
        <v>0</v>
      </c>
      <c r="AQ180">
        <f>IF('Calc base'!L$14=0,0,MIN(AE180,MAX(0,$E180-SUMIFS($V180:$AG180,'Calc base'!$C$17:$N$17,"&lt;"&amp;'Calc base'!L$17,'Calc base'!$C$14:$N$14,1))))</f>
        <v>0</v>
      </c>
      <c r="AR180">
        <f>IF('Calc base'!M$14=0,0,MIN(AF180,MAX(0,$E180-SUMIFS($V180:$AG180,'Calc base'!$C$17:$N$17,"&lt;"&amp;'Calc base'!M$17,'Calc base'!$C$14:$N$14,1))))</f>
        <v>0</v>
      </c>
      <c r="AS180">
        <f>IF('Calc base'!N$14=0,0,MIN(AG180,MAX(0,$E180-SUMIFS($V180:$AG180,'Calc base'!$C$17:$N$17,"&lt;"&amp;'Calc base'!N$17,'Calc base'!$C$14:$N$14,1))))</f>
        <v>0</v>
      </c>
      <c r="AT180">
        <f>V180-AH180</f>
        <v>0</v>
      </c>
      <c r="AU180">
        <f>W180-AI180</f>
        <v>0</v>
      </c>
      <c r="AV180">
        <f>X180-AJ180</f>
        <v>0</v>
      </c>
      <c r="AW180">
        <f>Y180-AK180</f>
        <v>0</v>
      </c>
      <c r="AX180">
        <f>Z180-AL180</f>
        <v>0</v>
      </c>
      <c r="AY180">
        <f>AA180-AM180</f>
        <v>0</v>
      </c>
      <c r="AZ180">
        <f>AB180-AN180</f>
        <v>0</v>
      </c>
      <c r="BA180">
        <f>AC180-AO180</f>
        <v>0</v>
      </c>
      <c r="BB180">
        <f>AD180-AP180</f>
        <v>0</v>
      </c>
      <c r="BC180">
        <f>AE180-AQ180</f>
        <v>0</v>
      </c>
      <c r="BD180">
        <f>AF180-AR180</f>
        <v>0</v>
      </c>
      <c r="BE180">
        <f>AG180-AS180</f>
        <v>0</v>
      </c>
    </row>
    <row r="181">
      <c r="A181" t="n">
        <v>151</v>
      </c>
      <c r="B181">
        <f>SUMPRODUCT(ROUND($AT180:$BE180*(1+'Calc base'!$H181:$S181),2))</f>
        <v>0</v>
      </c>
      <c r="C181">
        <f>SUM(J181:U181)</f>
        <v>0</v>
      </c>
      <c r="D181">
        <f>SUM(V181:AG181)</f>
        <v>0</v>
      </c>
      <c r="E181">
        <f>MAX(0,IF(Impostazioni!$B$7="No",'Calc base'!$C181-$C$31,'Calc base'!$C181-C181)+'Calc base'!$G181+'Calc base'!$F181-(B181-C181-D181))</f>
        <v>900</v>
      </c>
      <c r="F181">
        <f>SUM(AH181:AS181)</f>
        <v>0</v>
      </c>
      <c r="G181">
        <f>SUM(AT181:BE181)</f>
        <v>0</v>
      </c>
      <c r="H181">
        <f>B181-G180</f>
        <v>0</v>
      </c>
      <c r="I181">
        <f>B181-G181</f>
        <v>0</v>
      </c>
      <c r="J181">
        <f>IF(AT180&lt;=0,0,IF(ROUND(AT180*(1+'Calc base'!H181),2)-MAX('Calc base'!C$12,ROUND('Calc base'!C$13*AT180,2))&lt;1,ROUND(AT180*(1+'Calc base'!H181),2),MAX('Calc base'!C$12,ROUND('Calc base'!C$13*AT180,2))))</f>
        <v>0</v>
      </c>
      <c r="K181">
        <f>IF(AU180&lt;=0,0,IF(ROUND(AU180*(1+'Calc base'!I181),2)-MAX('Calc base'!D$12,ROUND('Calc base'!D$13*AU180,2))&lt;1,ROUND(AU180*(1+'Calc base'!I181),2),MAX('Calc base'!D$12,ROUND('Calc base'!D$13*AU180,2))))</f>
        <v>0</v>
      </c>
      <c r="L181">
        <f>IF(AV180&lt;=0,0,IF(ROUND(AV180*(1+'Calc base'!J181),2)-MAX('Calc base'!E$12,ROUND('Calc base'!E$13*AV180,2))&lt;1,ROUND(AV180*(1+'Calc base'!J181),2),MAX('Calc base'!E$12,ROUND('Calc base'!E$13*AV180,2))))</f>
        <v>0</v>
      </c>
      <c r="M181">
        <f>IF(AW180&lt;=0,0,IF(ROUND(AW180*(1+'Calc base'!K181),2)-MAX('Calc base'!F$12,ROUND('Calc base'!F$13*AW180,2))&lt;1,ROUND(AW180*(1+'Calc base'!K181),2),MAX('Calc base'!F$12,ROUND('Calc base'!F$13*AW180,2))))</f>
        <v>0</v>
      </c>
      <c r="N181">
        <f>IF(AX180&lt;=0,0,IF(ROUND(AX180*(1+'Calc base'!L181),2)-MAX('Calc base'!G$12,ROUND('Calc base'!G$13*AX180,2))&lt;1,ROUND(AX180*(1+'Calc base'!L181),2),MAX('Calc base'!G$12,ROUND('Calc base'!G$13*AX180,2))))</f>
        <v>0</v>
      </c>
      <c r="O181">
        <f>IF(AY180&lt;=0,0,IF(ROUND(AY180*(1+'Calc base'!M181),2)-MAX('Calc base'!H$12,ROUND('Calc base'!H$13*AY180,2))&lt;1,ROUND(AY180*(1+'Calc base'!M181),2),MAX('Calc base'!H$12,ROUND('Calc base'!H$13*AY180,2))))</f>
        <v>0</v>
      </c>
      <c r="P181">
        <f>IF(AZ180&lt;=0,0,IF(ROUND(AZ180*(1+'Calc base'!N181),2)-MAX('Calc base'!I$12,ROUND('Calc base'!I$13*AZ180,2))&lt;1,ROUND(AZ180*(1+'Calc base'!N181),2),MAX('Calc base'!I$12,ROUND('Calc base'!I$13*AZ180,2))))</f>
        <v>0</v>
      </c>
      <c r="Q181">
        <f>IF(BA180&lt;=0,0,IF(ROUND(BA180*(1+'Calc base'!O181),2)-MAX('Calc base'!J$12,ROUND('Calc base'!J$13*BA180,2))&lt;1,ROUND(BA180*(1+'Calc base'!O181),2),MAX('Calc base'!J$12,ROUND('Calc base'!J$13*BA180,2))))</f>
        <v>0</v>
      </c>
      <c r="R181">
        <f>IF(BB180&lt;=0,0,IF(ROUND(BB180*(1+'Calc base'!P181),2)-MAX('Calc base'!K$12,ROUND('Calc base'!K$13*BB180,2))&lt;1,ROUND(BB180*(1+'Calc base'!P181),2),MAX('Calc base'!K$12,ROUND('Calc base'!K$13*BB180,2))))</f>
        <v>0</v>
      </c>
      <c r="S181">
        <f>IF(BC180&lt;=0,0,IF(ROUND(BC180*(1+'Calc base'!Q181),2)-MAX('Calc base'!L$12,ROUND('Calc base'!L$13*BC180,2))&lt;1,ROUND(BC180*(1+'Calc base'!Q181),2),MAX('Calc base'!L$12,ROUND('Calc base'!L$13*BC180,2))))</f>
        <v>0</v>
      </c>
      <c r="T181">
        <f>IF(BD180&lt;=0,0,IF(ROUND(BD180*(1+'Calc base'!R181),2)-MAX('Calc base'!M$12,ROUND('Calc base'!M$13*BD180,2))&lt;1,ROUND(BD180*(1+'Calc base'!R181),2),MAX('Calc base'!M$12,ROUND('Calc base'!M$13*BD180,2))))</f>
        <v>0</v>
      </c>
      <c r="U181">
        <f>IF(BE180&lt;=0,0,IF(ROUND(BE180*(1+'Calc base'!S181),2)-MAX('Calc base'!N$12,ROUND('Calc base'!N$13*BE180,2))&lt;1,ROUND(BE180*(1+'Calc base'!S181),2),MAX('Calc base'!N$12,ROUND('Calc base'!N$13*BE180,2))))</f>
        <v>0</v>
      </c>
      <c r="V181">
        <f>MAX(0,ROUND(AT180*(1+'Calc base'!H181),2)-J181-'Calc base'!T181)</f>
        <v>0</v>
      </c>
      <c r="W181">
        <f>MAX(0,ROUND(AU180*(1+'Calc base'!I181),2)-K181-'Calc base'!U181)</f>
        <v>0</v>
      </c>
      <c r="X181">
        <f>MAX(0,ROUND(AV180*(1+'Calc base'!J181),2)-L181-'Calc base'!V181)</f>
        <v>0</v>
      </c>
      <c r="Y181">
        <f>MAX(0,ROUND(AW180*(1+'Calc base'!K181),2)-M181-'Calc base'!W181)</f>
        <v>0</v>
      </c>
      <c r="Z181">
        <f>MAX(0,ROUND(AX180*(1+'Calc base'!L181),2)-N181-'Calc base'!X181)</f>
        <v>0</v>
      </c>
      <c r="AA181">
        <f>MAX(0,ROUND(AY180*(1+'Calc base'!M181),2)-O181-'Calc base'!Y181)</f>
        <v>0</v>
      </c>
      <c r="AB181">
        <f>MAX(0,ROUND(AZ180*(1+'Calc base'!N181),2)-P181-'Calc base'!Z181)</f>
        <v>0</v>
      </c>
      <c r="AC181">
        <f>MAX(0,ROUND(BA180*(1+'Calc base'!O181),2)-Q181-'Calc base'!AA181)</f>
        <v>0</v>
      </c>
      <c r="AD181">
        <f>MAX(0,ROUND(BB180*(1+'Calc base'!P181),2)-R181-'Calc base'!AB181)</f>
        <v>0</v>
      </c>
      <c r="AE181">
        <f>MAX(0,ROUND(BC180*(1+'Calc base'!Q181),2)-S181-'Calc base'!AC181)</f>
        <v>0</v>
      </c>
      <c r="AF181">
        <f>MAX(0,ROUND(BD180*(1+'Calc base'!R181),2)-T181-'Calc base'!AD181)</f>
        <v>0</v>
      </c>
      <c r="AG181">
        <f>MAX(0,ROUND(BE180*(1+'Calc base'!S181),2)-U181-'Calc base'!AE181)</f>
        <v>0</v>
      </c>
      <c r="AH181">
        <f>IF('Calc base'!C$14=0,0,MIN(V181,MAX(0,$E181-SUMIFS($V181:$AG181,'Calc base'!$C$17:$N$17,"&lt;"&amp;'Calc base'!C$17,'Calc base'!$C$14:$N$14,1))))</f>
        <v>0</v>
      </c>
      <c r="AI181">
        <f>IF('Calc base'!D$14=0,0,MIN(W181,MAX(0,$E181-SUMIFS($V181:$AG181,'Calc base'!$C$17:$N$17,"&lt;"&amp;'Calc base'!D$17,'Calc base'!$C$14:$N$14,1))))</f>
        <v>0</v>
      </c>
      <c r="AJ181">
        <f>IF('Calc base'!E$14=0,0,MIN(X181,MAX(0,$E181-SUMIFS($V181:$AG181,'Calc base'!$C$17:$N$17,"&lt;"&amp;'Calc base'!E$17,'Calc base'!$C$14:$N$14,1))))</f>
        <v>0</v>
      </c>
      <c r="AK181">
        <f>IF('Calc base'!F$14=0,0,MIN(Y181,MAX(0,$E181-SUMIFS($V181:$AG181,'Calc base'!$C$17:$N$17,"&lt;"&amp;'Calc base'!F$17,'Calc base'!$C$14:$N$14,1))))</f>
        <v>0</v>
      </c>
      <c r="AL181">
        <f>IF('Calc base'!G$14=0,0,MIN(Z181,MAX(0,$E181-SUMIFS($V181:$AG181,'Calc base'!$C$17:$N$17,"&lt;"&amp;'Calc base'!G$17,'Calc base'!$C$14:$N$14,1))))</f>
        <v>0</v>
      </c>
      <c r="AM181">
        <f>IF('Calc base'!H$14=0,0,MIN(AA181,MAX(0,$E181-SUMIFS($V181:$AG181,'Calc base'!$C$17:$N$17,"&lt;"&amp;'Calc base'!H$17,'Calc base'!$C$14:$N$14,1))))</f>
        <v>0</v>
      </c>
      <c r="AN181">
        <f>IF('Calc base'!I$14=0,0,MIN(AB181,MAX(0,$E181-SUMIFS($V181:$AG181,'Calc base'!$C$17:$N$17,"&lt;"&amp;'Calc base'!I$17,'Calc base'!$C$14:$N$14,1))))</f>
        <v>0</v>
      </c>
      <c r="AO181">
        <f>IF('Calc base'!J$14=0,0,MIN(AC181,MAX(0,$E181-SUMIFS($V181:$AG181,'Calc base'!$C$17:$N$17,"&lt;"&amp;'Calc base'!J$17,'Calc base'!$C$14:$N$14,1))))</f>
        <v>0</v>
      </c>
      <c r="AP181">
        <f>IF('Calc base'!K$14=0,0,MIN(AD181,MAX(0,$E181-SUMIFS($V181:$AG181,'Calc base'!$C$17:$N$17,"&lt;"&amp;'Calc base'!K$17,'Calc base'!$C$14:$N$14,1))))</f>
        <v>0</v>
      </c>
      <c r="AQ181">
        <f>IF('Calc base'!L$14=0,0,MIN(AE181,MAX(0,$E181-SUMIFS($V181:$AG181,'Calc base'!$C$17:$N$17,"&lt;"&amp;'Calc base'!L$17,'Calc base'!$C$14:$N$14,1))))</f>
        <v>0</v>
      </c>
      <c r="AR181">
        <f>IF('Calc base'!M$14=0,0,MIN(AF181,MAX(0,$E181-SUMIFS($V181:$AG181,'Calc base'!$C$17:$N$17,"&lt;"&amp;'Calc base'!M$17,'Calc base'!$C$14:$N$14,1))))</f>
        <v>0</v>
      </c>
      <c r="AS181">
        <f>IF('Calc base'!N$14=0,0,MIN(AG181,MAX(0,$E181-SUMIFS($V181:$AG181,'Calc base'!$C$17:$N$17,"&lt;"&amp;'Calc base'!N$17,'Calc base'!$C$14:$N$14,1))))</f>
        <v>0</v>
      </c>
      <c r="AT181">
        <f>V181-AH181</f>
        <v>0</v>
      </c>
      <c r="AU181">
        <f>W181-AI181</f>
        <v>0</v>
      </c>
      <c r="AV181">
        <f>X181-AJ181</f>
        <v>0</v>
      </c>
      <c r="AW181">
        <f>Y181-AK181</f>
        <v>0</v>
      </c>
      <c r="AX181">
        <f>Z181-AL181</f>
        <v>0</v>
      </c>
      <c r="AY181">
        <f>AA181-AM181</f>
        <v>0</v>
      </c>
      <c r="AZ181">
        <f>AB181-AN181</f>
        <v>0</v>
      </c>
      <c r="BA181">
        <f>AC181-AO181</f>
        <v>0</v>
      </c>
      <c r="BB181">
        <f>AD181-AP181</f>
        <v>0</v>
      </c>
      <c r="BC181">
        <f>AE181-AQ181</f>
        <v>0</v>
      </c>
      <c r="BD181">
        <f>AF181-AR181</f>
        <v>0</v>
      </c>
      <c r="BE181">
        <f>AG181-AS181</f>
        <v>0</v>
      </c>
    </row>
    <row r="182">
      <c r="A182" t="n">
        <v>152</v>
      </c>
      <c r="B182">
        <f>SUMPRODUCT(ROUND($AT181:$BE181*(1+'Calc base'!$H182:$S182),2))</f>
        <v>0</v>
      </c>
      <c r="C182">
        <f>SUM(J182:U182)</f>
        <v>0</v>
      </c>
      <c r="D182">
        <f>SUM(V182:AG182)</f>
        <v>0</v>
      </c>
      <c r="E182">
        <f>MAX(0,IF(Impostazioni!$B$7="No",'Calc base'!$C182-$C$31,'Calc base'!$C182-C182)+'Calc base'!$G182+'Calc base'!$F182-(B182-C182-D182))</f>
        <v>900</v>
      </c>
      <c r="F182">
        <f>SUM(AH182:AS182)</f>
        <v>0</v>
      </c>
      <c r="G182">
        <f>SUM(AT182:BE182)</f>
        <v>0</v>
      </c>
      <c r="H182">
        <f>B182-G181</f>
        <v>0</v>
      </c>
      <c r="I182">
        <f>B182-G182</f>
        <v>0</v>
      </c>
      <c r="J182">
        <f>IF(AT181&lt;=0,0,IF(ROUND(AT181*(1+'Calc base'!H182),2)-MAX('Calc base'!C$12,ROUND('Calc base'!C$13*AT181,2))&lt;1,ROUND(AT181*(1+'Calc base'!H182),2),MAX('Calc base'!C$12,ROUND('Calc base'!C$13*AT181,2))))</f>
        <v>0</v>
      </c>
      <c r="K182">
        <f>IF(AU181&lt;=0,0,IF(ROUND(AU181*(1+'Calc base'!I182),2)-MAX('Calc base'!D$12,ROUND('Calc base'!D$13*AU181,2))&lt;1,ROUND(AU181*(1+'Calc base'!I182),2),MAX('Calc base'!D$12,ROUND('Calc base'!D$13*AU181,2))))</f>
        <v>0</v>
      </c>
      <c r="L182">
        <f>IF(AV181&lt;=0,0,IF(ROUND(AV181*(1+'Calc base'!J182),2)-MAX('Calc base'!E$12,ROUND('Calc base'!E$13*AV181,2))&lt;1,ROUND(AV181*(1+'Calc base'!J182),2),MAX('Calc base'!E$12,ROUND('Calc base'!E$13*AV181,2))))</f>
        <v>0</v>
      </c>
      <c r="M182">
        <f>IF(AW181&lt;=0,0,IF(ROUND(AW181*(1+'Calc base'!K182),2)-MAX('Calc base'!F$12,ROUND('Calc base'!F$13*AW181,2))&lt;1,ROUND(AW181*(1+'Calc base'!K182),2),MAX('Calc base'!F$12,ROUND('Calc base'!F$13*AW181,2))))</f>
        <v>0</v>
      </c>
      <c r="N182">
        <f>IF(AX181&lt;=0,0,IF(ROUND(AX181*(1+'Calc base'!L182),2)-MAX('Calc base'!G$12,ROUND('Calc base'!G$13*AX181,2))&lt;1,ROUND(AX181*(1+'Calc base'!L182),2),MAX('Calc base'!G$12,ROUND('Calc base'!G$13*AX181,2))))</f>
        <v>0</v>
      </c>
      <c r="O182">
        <f>IF(AY181&lt;=0,0,IF(ROUND(AY181*(1+'Calc base'!M182),2)-MAX('Calc base'!H$12,ROUND('Calc base'!H$13*AY181,2))&lt;1,ROUND(AY181*(1+'Calc base'!M182),2),MAX('Calc base'!H$12,ROUND('Calc base'!H$13*AY181,2))))</f>
        <v>0</v>
      </c>
      <c r="P182">
        <f>IF(AZ181&lt;=0,0,IF(ROUND(AZ181*(1+'Calc base'!N182),2)-MAX('Calc base'!I$12,ROUND('Calc base'!I$13*AZ181,2))&lt;1,ROUND(AZ181*(1+'Calc base'!N182),2),MAX('Calc base'!I$12,ROUND('Calc base'!I$13*AZ181,2))))</f>
        <v>0</v>
      </c>
      <c r="Q182">
        <f>IF(BA181&lt;=0,0,IF(ROUND(BA181*(1+'Calc base'!O182),2)-MAX('Calc base'!J$12,ROUND('Calc base'!J$13*BA181,2))&lt;1,ROUND(BA181*(1+'Calc base'!O182),2),MAX('Calc base'!J$12,ROUND('Calc base'!J$13*BA181,2))))</f>
        <v>0</v>
      </c>
      <c r="R182">
        <f>IF(BB181&lt;=0,0,IF(ROUND(BB181*(1+'Calc base'!P182),2)-MAX('Calc base'!K$12,ROUND('Calc base'!K$13*BB181,2))&lt;1,ROUND(BB181*(1+'Calc base'!P182),2),MAX('Calc base'!K$12,ROUND('Calc base'!K$13*BB181,2))))</f>
        <v>0</v>
      </c>
      <c r="S182">
        <f>IF(BC181&lt;=0,0,IF(ROUND(BC181*(1+'Calc base'!Q182),2)-MAX('Calc base'!L$12,ROUND('Calc base'!L$13*BC181,2))&lt;1,ROUND(BC181*(1+'Calc base'!Q182),2),MAX('Calc base'!L$12,ROUND('Calc base'!L$13*BC181,2))))</f>
        <v>0</v>
      </c>
      <c r="T182">
        <f>IF(BD181&lt;=0,0,IF(ROUND(BD181*(1+'Calc base'!R182),2)-MAX('Calc base'!M$12,ROUND('Calc base'!M$13*BD181,2))&lt;1,ROUND(BD181*(1+'Calc base'!R182),2),MAX('Calc base'!M$12,ROUND('Calc base'!M$13*BD181,2))))</f>
        <v>0</v>
      </c>
      <c r="U182">
        <f>IF(BE181&lt;=0,0,IF(ROUND(BE181*(1+'Calc base'!S182),2)-MAX('Calc base'!N$12,ROUND('Calc base'!N$13*BE181,2))&lt;1,ROUND(BE181*(1+'Calc base'!S182),2),MAX('Calc base'!N$12,ROUND('Calc base'!N$13*BE181,2))))</f>
        <v>0</v>
      </c>
      <c r="V182">
        <f>MAX(0,ROUND(AT181*(1+'Calc base'!H182),2)-J182-'Calc base'!T182)</f>
        <v>0</v>
      </c>
      <c r="W182">
        <f>MAX(0,ROUND(AU181*(1+'Calc base'!I182),2)-K182-'Calc base'!U182)</f>
        <v>0</v>
      </c>
      <c r="X182">
        <f>MAX(0,ROUND(AV181*(1+'Calc base'!J182),2)-L182-'Calc base'!V182)</f>
        <v>0</v>
      </c>
      <c r="Y182">
        <f>MAX(0,ROUND(AW181*(1+'Calc base'!K182),2)-M182-'Calc base'!W182)</f>
        <v>0</v>
      </c>
      <c r="Z182">
        <f>MAX(0,ROUND(AX181*(1+'Calc base'!L182),2)-N182-'Calc base'!X182)</f>
        <v>0</v>
      </c>
      <c r="AA182">
        <f>MAX(0,ROUND(AY181*(1+'Calc base'!M182),2)-O182-'Calc base'!Y182)</f>
        <v>0</v>
      </c>
      <c r="AB182">
        <f>MAX(0,ROUND(AZ181*(1+'Calc base'!N182),2)-P182-'Calc base'!Z182)</f>
        <v>0</v>
      </c>
      <c r="AC182">
        <f>MAX(0,ROUND(BA181*(1+'Calc base'!O182),2)-Q182-'Calc base'!AA182)</f>
        <v>0</v>
      </c>
      <c r="AD182">
        <f>MAX(0,ROUND(BB181*(1+'Calc base'!P182),2)-R182-'Calc base'!AB182)</f>
        <v>0</v>
      </c>
      <c r="AE182">
        <f>MAX(0,ROUND(BC181*(1+'Calc base'!Q182),2)-S182-'Calc base'!AC182)</f>
        <v>0</v>
      </c>
      <c r="AF182">
        <f>MAX(0,ROUND(BD181*(1+'Calc base'!R182),2)-T182-'Calc base'!AD182)</f>
        <v>0</v>
      </c>
      <c r="AG182">
        <f>MAX(0,ROUND(BE181*(1+'Calc base'!S182),2)-U182-'Calc base'!AE182)</f>
        <v>0</v>
      </c>
      <c r="AH182">
        <f>IF('Calc base'!C$14=0,0,MIN(V182,MAX(0,$E182-SUMIFS($V182:$AG182,'Calc base'!$C$17:$N$17,"&lt;"&amp;'Calc base'!C$17,'Calc base'!$C$14:$N$14,1))))</f>
        <v>0</v>
      </c>
      <c r="AI182">
        <f>IF('Calc base'!D$14=0,0,MIN(W182,MAX(0,$E182-SUMIFS($V182:$AG182,'Calc base'!$C$17:$N$17,"&lt;"&amp;'Calc base'!D$17,'Calc base'!$C$14:$N$14,1))))</f>
        <v>0</v>
      </c>
      <c r="AJ182">
        <f>IF('Calc base'!E$14=0,0,MIN(X182,MAX(0,$E182-SUMIFS($V182:$AG182,'Calc base'!$C$17:$N$17,"&lt;"&amp;'Calc base'!E$17,'Calc base'!$C$14:$N$14,1))))</f>
        <v>0</v>
      </c>
      <c r="AK182">
        <f>IF('Calc base'!F$14=0,0,MIN(Y182,MAX(0,$E182-SUMIFS($V182:$AG182,'Calc base'!$C$17:$N$17,"&lt;"&amp;'Calc base'!F$17,'Calc base'!$C$14:$N$14,1))))</f>
        <v>0</v>
      </c>
      <c r="AL182">
        <f>IF('Calc base'!G$14=0,0,MIN(Z182,MAX(0,$E182-SUMIFS($V182:$AG182,'Calc base'!$C$17:$N$17,"&lt;"&amp;'Calc base'!G$17,'Calc base'!$C$14:$N$14,1))))</f>
        <v>0</v>
      </c>
      <c r="AM182">
        <f>IF('Calc base'!H$14=0,0,MIN(AA182,MAX(0,$E182-SUMIFS($V182:$AG182,'Calc base'!$C$17:$N$17,"&lt;"&amp;'Calc base'!H$17,'Calc base'!$C$14:$N$14,1))))</f>
        <v>0</v>
      </c>
      <c r="AN182">
        <f>IF('Calc base'!I$14=0,0,MIN(AB182,MAX(0,$E182-SUMIFS($V182:$AG182,'Calc base'!$C$17:$N$17,"&lt;"&amp;'Calc base'!I$17,'Calc base'!$C$14:$N$14,1))))</f>
        <v>0</v>
      </c>
      <c r="AO182">
        <f>IF('Calc base'!J$14=0,0,MIN(AC182,MAX(0,$E182-SUMIFS($V182:$AG182,'Calc base'!$C$17:$N$17,"&lt;"&amp;'Calc base'!J$17,'Calc base'!$C$14:$N$14,1))))</f>
        <v>0</v>
      </c>
      <c r="AP182">
        <f>IF('Calc base'!K$14=0,0,MIN(AD182,MAX(0,$E182-SUMIFS($V182:$AG182,'Calc base'!$C$17:$N$17,"&lt;"&amp;'Calc base'!K$17,'Calc base'!$C$14:$N$14,1))))</f>
        <v>0</v>
      </c>
      <c r="AQ182">
        <f>IF('Calc base'!L$14=0,0,MIN(AE182,MAX(0,$E182-SUMIFS($V182:$AG182,'Calc base'!$C$17:$N$17,"&lt;"&amp;'Calc base'!L$17,'Calc base'!$C$14:$N$14,1))))</f>
        <v>0</v>
      </c>
      <c r="AR182">
        <f>IF('Calc base'!M$14=0,0,MIN(AF182,MAX(0,$E182-SUMIFS($V182:$AG182,'Calc base'!$C$17:$N$17,"&lt;"&amp;'Calc base'!M$17,'Calc base'!$C$14:$N$14,1))))</f>
        <v>0</v>
      </c>
      <c r="AS182">
        <f>IF('Calc base'!N$14=0,0,MIN(AG182,MAX(0,$E182-SUMIFS($V182:$AG182,'Calc base'!$C$17:$N$17,"&lt;"&amp;'Calc base'!N$17,'Calc base'!$C$14:$N$14,1))))</f>
        <v>0</v>
      </c>
      <c r="AT182">
        <f>V182-AH182</f>
        <v>0</v>
      </c>
      <c r="AU182">
        <f>W182-AI182</f>
        <v>0</v>
      </c>
      <c r="AV182">
        <f>X182-AJ182</f>
        <v>0</v>
      </c>
      <c r="AW182">
        <f>Y182-AK182</f>
        <v>0</v>
      </c>
      <c r="AX182">
        <f>Z182-AL182</f>
        <v>0</v>
      </c>
      <c r="AY182">
        <f>AA182-AM182</f>
        <v>0</v>
      </c>
      <c r="AZ182">
        <f>AB182-AN182</f>
        <v>0</v>
      </c>
      <c r="BA182">
        <f>AC182-AO182</f>
        <v>0</v>
      </c>
      <c r="BB182">
        <f>AD182-AP182</f>
        <v>0</v>
      </c>
      <c r="BC182">
        <f>AE182-AQ182</f>
        <v>0</v>
      </c>
      <c r="BD182">
        <f>AF182-AR182</f>
        <v>0</v>
      </c>
      <c r="BE182">
        <f>AG182-AS182</f>
        <v>0</v>
      </c>
    </row>
    <row r="183">
      <c r="A183" t="n">
        <v>153</v>
      </c>
      <c r="B183">
        <f>SUMPRODUCT(ROUND($AT182:$BE182*(1+'Calc base'!$H183:$S183),2))</f>
        <v>0</v>
      </c>
      <c r="C183">
        <f>SUM(J183:U183)</f>
        <v>0</v>
      </c>
      <c r="D183">
        <f>SUM(V183:AG183)</f>
        <v>0</v>
      </c>
      <c r="E183">
        <f>MAX(0,IF(Impostazioni!$B$7="No",'Calc base'!$C183-$C$31,'Calc base'!$C183-C183)+'Calc base'!$G183+'Calc base'!$F183-(B183-C183-D183))</f>
        <v>900</v>
      </c>
      <c r="F183">
        <f>SUM(AH183:AS183)</f>
        <v>0</v>
      </c>
      <c r="G183">
        <f>SUM(AT183:BE183)</f>
        <v>0</v>
      </c>
      <c r="H183">
        <f>B183-G182</f>
        <v>0</v>
      </c>
      <c r="I183">
        <f>B183-G183</f>
        <v>0</v>
      </c>
      <c r="J183">
        <f>IF(AT182&lt;=0,0,IF(ROUND(AT182*(1+'Calc base'!H183),2)-MAX('Calc base'!C$12,ROUND('Calc base'!C$13*AT182,2))&lt;1,ROUND(AT182*(1+'Calc base'!H183),2),MAX('Calc base'!C$12,ROUND('Calc base'!C$13*AT182,2))))</f>
        <v>0</v>
      </c>
      <c r="K183">
        <f>IF(AU182&lt;=0,0,IF(ROUND(AU182*(1+'Calc base'!I183),2)-MAX('Calc base'!D$12,ROUND('Calc base'!D$13*AU182,2))&lt;1,ROUND(AU182*(1+'Calc base'!I183),2),MAX('Calc base'!D$12,ROUND('Calc base'!D$13*AU182,2))))</f>
        <v>0</v>
      </c>
      <c r="L183">
        <f>IF(AV182&lt;=0,0,IF(ROUND(AV182*(1+'Calc base'!J183),2)-MAX('Calc base'!E$12,ROUND('Calc base'!E$13*AV182,2))&lt;1,ROUND(AV182*(1+'Calc base'!J183),2),MAX('Calc base'!E$12,ROUND('Calc base'!E$13*AV182,2))))</f>
        <v>0</v>
      </c>
      <c r="M183">
        <f>IF(AW182&lt;=0,0,IF(ROUND(AW182*(1+'Calc base'!K183),2)-MAX('Calc base'!F$12,ROUND('Calc base'!F$13*AW182,2))&lt;1,ROUND(AW182*(1+'Calc base'!K183),2),MAX('Calc base'!F$12,ROUND('Calc base'!F$13*AW182,2))))</f>
        <v>0</v>
      </c>
      <c r="N183">
        <f>IF(AX182&lt;=0,0,IF(ROUND(AX182*(1+'Calc base'!L183),2)-MAX('Calc base'!G$12,ROUND('Calc base'!G$13*AX182,2))&lt;1,ROUND(AX182*(1+'Calc base'!L183),2),MAX('Calc base'!G$12,ROUND('Calc base'!G$13*AX182,2))))</f>
        <v>0</v>
      </c>
      <c r="O183">
        <f>IF(AY182&lt;=0,0,IF(ROUND(AY182*(1+'Calc base'!M183),2)-MAX('Calc base'!H$12,ROUND('Calc base'!H$13*AY182,2))&lt;1,ROUND(AY182*(1+'Calc base'!M183),2),MAX('Calc base'!H$12,ROUND('Calc base'!H$13*AY182,2))))</f>
        <v>0</v>
      </c>
      <c r="P183">
        <f>IF(AZ182&lt;=0,0,IF(ROUND(AZ182*(1+'Calc base'!N183),2)-MAX('Calc base'!I$12,ROUND('Calc base'!I$13*AZ182,2))&lt;1,ROUND(AZ182*(1+'Calc base'!N183),2),MAX('Calc base'!I$12,ROUND('Calc base'!I$13*AZ182,2))))</f>
        <v>0</v>
      </c>
      <c r="Q183">
        <f>IF(BA182&lt;=0,0,IF(ROUND(BA182*(1+'Calc base'!O183),2)-MAX('Calc base'!J$12,ROUND('Calc base'!J$13*BA182,2))&lt;1,ROUND(BA182*(1+'Calc base'!O183),2),MAX('Calc base'!J$12,ROUND('Calc base'!J$13*BA182,2))))</f>
        <v>0</v>
      </c>
      <c r="R183">
        <f>IF(BB182&lt;=0,0,IF(ROUND(BB182*(1+'Calc base'!P183),2)-MAX('Calc base'!K$12,ROUND('Calc base'!K$13*BB182,2))&lt;1,ROUND(BB182*(1+'Calc base'!P183),2),MAX('Calc base'!K$12,ROUND('Calc base'!K$13*BB182,2))))</f>
        <v>0</v>
      </c>
      <c r="S183">
        <f>IF(BC182&lt;=0,0,IF(ROUND(BC182*(1+'Calc base'!Q183),2)-MAX('Calc base'!L$12,ROUND('Calc base'!L$13*BC182,2))&lt;1,ROUND(BC182*(1+'Calc base'!Q183),2),MAX('Calc base'!L$12,ROUND('Calc base'!L$13*BC182,2))))</f>
        <v>0</v>
      </c>
      <c r="T183">
        <f>IF(BD182&lt;=0,0,IF(ROUND(BD182*(1+'Calc base'!R183),2)-MAX('Calc base'!M$12,ROUND('Calc base'!M$13*BD182,2))&lt;1,ROUND(BD182*(1+'Calc base'!R183),2),MAX('Calc base'!M$12,ROUND('Calc base'!M$13*BD182,2))))</f>
        <v>0</v>
      </c>
      <c r="U183">
        <f>IF(BE182&lt;=0,0,IF(ROUND(BE182*(1+'Calc base'!S183),2)-MAX('Calc base'!N$12,ROUND('Calc base'!N$13*BE182,2))&lt;1,ROUND(BE182*(1+'Calc base'!S183),2),MAX('Calc base'!N$12,ROUND('Calc base'!N$13*BE182,2))))</f>
        <v>0</v>
      </c>
      <c r="V183">
        <f>MAX(0,ROUND(AT182*(1+'Calc base'!H183),2)-J183-'Calc base'!T183)</f>
        <v>0</v>
      </c>
      <c r="W183">
        <f>MAX(0,ROUND(AU182*(1+'Calc base'!I183),2)-K183-'Calc base'!U183)</f>
        <v>0</v>
      </c>
      <c r="X183">
        <f>MAX(0,ROUND(AV182*(1+'Calc base'!J183),2)-L183-'Calc base'!V183)</f>
        <v>0</v>
      </c>
      <c r="Y183">
        <f>MAX(0,ROUND(AW182*(1+'Calc base'!K183),2)-M183-'Calc base'!W183)</f>
        <v>0</v>
      </c>
      <c r="Z183">
        <f>MAX(0,ROUND(AX182*(1+'Calc base'!L183),2)-N183-'Calc base'!X183)</f>
        <v>0</v>
      </c>
      <c r="AA183">
        <f>MAX(0,ROUND(AY182*(1+'Calc base'!M183),2)-O183-'Calc base'!Y183)</f>
        <v>0</v>
      </c>
      <c r="AB183">
        <f>MAX(0,ROUND(AZ182*(1+'Calc base'!N183),2)-P183-'Calc base'!Z183)</f>
        <v>0</v>
      </c>
      <c r="AC183">
        <f>MAX(0,ROUND(BA182*(1+'Calc base'!O183),2)-Q183-'Calc base'!AA183)</f>
        <v>0</v>
      </c>
      <c r="AD183">
        <f>MAX(0,ROUND(BB182*(1+'Calc base'!P183),2)-R183-'Calc base'!AB183)</f>
        <v>0</v>
      </c>
      <c r="AE183">
        <f>MAX(0,ROUND(BC182*(1+'Calc base'!Q183),2)-S183-'Calc base'!AC183)</f>
        <v>0</v>
      </c>
      <c r="AF183">
        <f>MAX(0,ROUND(BD182*(1+'Calc base'!R183),2)-T183-'Calc base'!AD183)</f>
        <v>0</v>
      </c>
      <c r="AG183">
        <f>MAX(0,ROUND(BE182*(1+'Calc base'!S183),2)-U183-'Calc base'!AE183)</f>
        <v>0</v>
      </c>
      <c r="AH183">
        <f>IF('Calc base'!C$14=0,0,MIN(V183,MAX(0,$E183-SUMIFS($V183:$AG183,'Calc base'!$C$17:$N$17,"&lt;"&amp;'Calc base'!C$17,'Calc base'!$C$14:$N$14,1))))</f>
        <v>0</v>
      </c>
      <c r="AI183">
        <f>IF('Calc base'!D$14=0,0,MIN(W183,MAX(0,$E183-SUMIFS($V183:$AG183,'Calc base'!$C$17:$N$17,"&lt;"&amp;'Calc base'!D$17,'Calc base'!$C$14:$N$14,1))))</f>
        <v>0</v>
      </c>
      <c r="AJ183">
        <f>IF('Calc base'!E$14=0,0,MIN(X183,MAX(0,$E183-SUMIFS($V183:$AG183,'Calc base'!$C$17:$N$17,"&lt;"&amp;'Calc base'!E$17,'Calc base'!$C$14:$N$14,1))))</f>
        <v>0</v>
      </c>
      <c r="AK183">
        <f>IF('Calc base'!F$14=0,0,MIN(Y183,MAX(0,$E183-SUMIFS($V183:$AG183,'Calc base'!$C$17:$N$17,"&lt;"&amp;'Calc base'!F$17,'Calc base'!$C$14:$N$14,1))))</f>
        <v>0</v>
      </c>
      <c r="AL183">
        <f>IF('Calc base'!G$14=0,0,MIN(Z183,MAX(0,$E183-SUMIFS($V183:$AG183,'Calc base'!$C$17:$N$17,"&lt;"&amp;'Calc base'!G$17,'Calc base'!$C$14:$N$14,1))))</f>
        <v>0</v>
      </c>
      <c r="AM183">
        <f>IF('Calc base'!H$14=0,0,MIN(AA183,MAX(0,$E183-SUMIFS($V183:$AG183,'Calc base'!$C$17:$N$17,"&lt;"&amp;'Calc base'!H$17,'Calc base'!$C$14:$N$14,1))))</f>
        <v>0</v>
      </c>
      <c r="AN183">
        <f>IF('Calc base'!I$14=0,0,MIN(AB183,MAX(0,$E183-SUMIFS($V183:$AG183,'Calc base'!$C$17:$N$17,"&lt;"&amp;'Calc base'!I$17,'Calc base'!$C$14:$N$14,1))))</f>
        <v>0</v>
      </c>
      <c r="AO183">
        <f>IF('Calc base'!J$14=0,0,MIN(AC183,MAX(0,$E183-SUMIFS($V183:$AG183,'Calc base'!$C$17:$N$17,"&lt;"&amp;'Calc base'!J$17,'Calc base'!$C$14:$N$14,1))))</f>
        <v>0</v>
      </c>
      <c r="AP183">
        <f>IF('Calc base'!K$14=0,0,MIN(AD183,MAX(0,$E183-SUMIFS($V183:$AG183,'Calc base'!$C$17:$N$17,"&lt;"&amp;'Calc base'!K$17,'Calc base'!$C$14:$N$14,1))))</f>
        <v>0</v>
      </c>
      <c r="AQ183">
        <f>IF('Calc base'!L$14=0,0,MIN(AE183,MAX(0,$E183-SUMIFS($V183:$AG183,'Calc base'!$C$17:$N$17,"&lt;"&amp;'Calc base'!L$17,'Calc base'!$C$14:$N$14,1))))</f>
        <v>0</v>
      </c>
      <c r="AR183">
        <f>IF('Calc base'!M$14=0,0,MIN(AF183,MAX(0,$E183-SUMIFS($V183:$AG183,'Calc base'!$C$17:$N$17,"&lt;"&amp;'Calc base'!M$17,'Calc base'!$C$14:$N$14,1))))</f>
        <v>0</v>
      </c>
      <c r="AS183">
        <f>IF('Calc base'!N$14=0,0,MIN(AG183,MAX(0,$E183-SUMIFS($V183:$AG183,'Calc base'!$C$17:$N$17,"&lt;"&amp;'Calc base'!N$17,'Calc base'!$C$14:$N$14,1))))</f>
        <v>0</v>
      </c>
      <c r="AT183">
        <f>V183-AH183</f>
        <v>0</v>
      </c>
      <c r="AU183">
        <f>W183-AI183</f>
        <v>0</v>
      </c>
      <c r="AV183">
        <f>X183-AJ183</f>
        <v>0</v>
      </c>
      <c r="AW183">
        <f>Y183-AK183</f>
        <v>0</v>
      </c>
      <c r="AX183">
        <f>Z183-AL183</f>
        <v>0</v>
      </c>
      <c r="AY183">
        <f>AA183-AM183</f>
        <v>0</v>
      </c>
      <c r="AZ183">
        <f>AB183-AN183</f>
        <v>0</v>
      </c>
      <c r="BA183">
        <f>AC183-AO183</f>
        <v>0</v>
      </c>
      <c r="BB183">
        <f>AD183-AP183</f>
        <v>0</v>
      </c>
      <c r="BC183">
        <f>AE183-AQ183</f>
        <v>0</v>
      </c>
      <c r="BD183">
        <f>AF183-AR183</f>
        <v>0</v>
      </c>
      <c r="BE183">
        <f>AG183-AS183</f>
        <v>0</v>
      </c>
    </row>
    <row r="184">
      <c r="A184" t="n">
        <v>154</v>
      </c>
      <c r="B184">
        <f>SUMPRODUCT(ROUND($AT183:$BE183*(1+'Calc base'!$H184:$S184),2))</f>
        <v>0</v>
      </c>
      <c r="C184">
        <f>SUM(J184:U184)</f>
        <v>0</v>
      </c>
      <c r="D184">
        <f>SUM(V184:AG184)</f>
        <v>0</v>
      </c>
      <c r="E184">
        <f>MAX(0,IF(Impostazioni!$B$7="No",'Calc base'!$C184-$C$31,'Calc base'!$C184-C184)+'Calc base'!$G184+'Calc base'!$F184-(B184-C184-D184))</f>
        <v>900</v>
      </c>
      <c r="F184">
        <f>SUM(AH184:AS184)</f>
        <v>0</v>
      </c>
      <c r="G184">
        <f>SUM(AT184:BE184)</f>
        <v>0</v>
      </c>
      <c r="H184">
        <f>B184-G183</f>
        <v>0</v>
      </c>
      <c r="I184">
        <f>B184-G184</f>
        <v>0</v>
      </c>
      <c r="J184">
        <f>IF(AT183&lt;=0,0,IF(ROUND(AT183*(1+'Calc base'!H184),2)-MAX('Calc base'!C$12,ROUND('Calc base'!C$13*AT183,2))&lt;1,ROUND(AT183*(1+'Calc base'!H184),2),MAX('Calc base'!C$12,ROUND('Calc base'!C$13*AT183,2))))</f>
        <v>0</v>
      </c>
      <c r="K184">
        <f>IF(AU183&lt;=0,0,IF(ROUND(AU183*(1+'Calc base'!I184),2)-MAX('Calc base'!D$12,ROUND('Calc base'!D$13*AU183,2))&lt;1,ROUND(AU183*(1+'Calc base'!I184),2),MAX('Calc base'!D$12,ROUND('Calc base'!D$13*AU183,2))))</f>
        <v>0</v>
      </c>
      <c r="L184">
        <f>IF(AV183&lt;=0,0,IF(ROUND(AV183*(1+'Calc base'!J184),2)-MAX('Calc base'!E$12,ROUND('Calc base'!E$13*AV183,2))&lt;1,ROUND(AV183*(1+'Calc base'!J184),2),MAX('Calc base'!E$12,ROUND('Calc base'!E$13*AV183,2))))</f>
        <v>0</v>
      </c>
      <c r="M184">
        <f>IF(AW183&lt;=0,0,IF(ROUND(AW183*(1+'Calc base'!K184),2)-MAX('Calc base'!F$12,ROUND('Calc base'!F$13*AW183,2))&lt;1,ROUND(AW183*(1+'Calc base'!K184),2),MAX('Calc base'!F$12,ROUND('Calc base'!F$13*AW183,2))))</f>
        <v>0</v>
      </c>
      <c r="N184">
        <f>IF(AX183&lt;=0,0,IF(ROUND(AX183*(1+'Calc base'!L184),2)-MAX('Calc base'!G$12,ROUND('Calc base'!G$13*AX183,2))&lt;1,ROUND(AX183*(1+'Calc base'!L184),2),MAX('Calc base'!G$12,ROUND('Calc base'!G$13*AX183,2))))</f>
        <v>0</v>
      </c>
      <c r="O184">
        <f>IF(AY183&lt;=0,0,IF(ROUND(AY183*(1+'Calc base'!M184),2)-MAX('Calc base'!H$12,ROUND('Calc base'!H$13*AY183,2))&lt;1,ROUND(AY183*(1+'Calc base'!M184),2),MAX('Calc base'!H$12,ROUND('Calc base'!H$13*AY183,2))))</f>
        <v>0</v>
      </c>
      <c r="P184">
        <f>IF(AZ183&lt;=0,0,IF(ROUND(AZ183*(1+'Calc base'!N184),2)-MAX('Calc base'!I$12,ROUND('Calc base'!I$13*AZ183,2))&lt;1,ROUND(AZ183*(1+'Calc base'!N184),2),MAX('Calc base'!I$12,ROUND('Calc base'!I$13*AZ183,2))))</f>
        <v>0</v>
      </c>
      <c r="Q184">
        <f>IF(BA183&lt;=0,0,IF(ROUND(BA183*(1+'Calc base'!O184),2)-MAX('Calc base'!J$12,ROUND('Calc base'!J$13*BA183,2))&lt;1,ROUND(BA183*(1+'Calc base'!O184),2),MAX('Calc base'!J$12,ROUND('Calc base'!J$13*BA183,2))))</f>
        <v>0</v>
      </c>
      <c r="R184">
        <f>IF(BB183&lt;=0,0,IF(ROUND(BB183*(1+'Calc base'!P184),2)-MAX('Calc base'!K$12,ROUND('Calc base'!K$13*BB183,2))&lt;1,ROUND(BB183*(1+'Calc base'!P184),2),MAX('Calc base'!K$12,ROUND('Calc base'!K$13*BB183,2))))</f>
        <v>0</v>
      </c>
      <c r="S184">
        <f>IF(BC183&lt;=0,0,IF(ROUND(BC183*(1+'Calc base'!Q184),2)-MAX('Calc base'!L$12,ROUND('Calc base'!L$13*BC183,2))&lt;1,ROUND(BC183*(1+'Calc base'!Q184),2),MAX('Calc base'!L$12,ROUND('Calc base'!L$13*BC183,2))))</f>
        <v>0</v>
      </c>
      <c r="T184">
        <f>IF(BD183&lt;=0,0,IF(ROUND(BD183*(1+'Calc base'!R184),2)-MAX('Calc base'!M$12,ROUND('Calc base'!M$13*BD183,2))&lt;1,ROUND(BD183*(1+'Calc base'!R184),2),MAX('Calc base'!M$12,ROUND('Calc base'!M$13*BD183,2))))</f>
        <v>0</v>
      </c>
      <c r="U184">
        <f>IF(BE183&lt;=0,0,IF(ROUND(BE183*(1+'Calc base'!S184),2)-MAX('Calc base'!N$12,ROUND('Calc base'!N$13*BE183,2))&lt;1,ROUND(BE183*(1+'Calc base'!S184),2),MAX('Calc base'!N$12,ROUND('Calc base'!N$13*BE183,2))))</f>
        <v>0</v>
      </c>
      <c r="V184">
        <f>MAX(0,ROUND(AT183*(1+'Calc base'!H184),2)-J184-'Calc base'!T184)</f>
        <v>0</v>
      </c>
      <c r="W184">
        <f>MAX(0,ROUND(AU183*(1+'Calc base'!I184),2)-K184-'Calc base'!U184)</f>
        <v>0</v>
      </c>
      <c r="X184">
        <f>MAX(0,ROUND(AV183*(1+'Calc base'!J184),2)-L184-'Calc base'!V184)</f>
        <v>0</v>
      </c>
      <c r="Y184">
        <f>MAX(0,ROUND(AW183*(1+'Calc base'!K184),2)-M184-'Calc base'!W184)</f>
        <v>0</v>
      </c>
      <c r="Z184">
        <f>MAX(0,ROUND(AX183*(1+'Calc base'!L184),2)-N184-'Calc base'!X184)</f>
        <v>0</v>
      </c>
      <c r="AA184">
        <f>MAX(0,ROUND(AY183*(1+'Calc base'!M184),2)-O184-'Calc base'!Y184)</f>
        <v>0</v>
      </c>
      <c r="AB184">
        <f>MAX(0,ROUND(AZ183*(1+'Calc base'!N184),2)-P184-'Calc base'!Z184)</f>
        <v>0</v>
      </c>
      <c r="AC184">
        <f>MAX(0,ROUND(BA183*(1+'Calc base'!O184),2)-Q184-'Calc base'!AA184)</f>
        <v>0</v>
      </c>
      <c r="AD184">
        <f>MAX(0,ROUND(BB183*(1+'Calc base'!P184),2)-R184-'Calc base'!AB184)</f>
        <v>0</v>
      </c>
      <c r="AE184">
        <f>MAX(0,ROUND(BC183*(1+'Calc base'!Q184),2)-S184-'Calc base'!AC184)</f>
        <v>0</v>
      </c>
      <c r="AF184">
        <f>MAX(0,ROUND(BD183*(1+'Calc base'!R184),2)-T184-'Calc base'!AD184)</f>
        <v>0</v>
      </c>
      <c r="AG184">
        <f>MAX(0,ROUND(BE183*(1+'Calc base'!S184),2)-U184-'Calc base'!AE184)</f>
        <v>0</v>
      </c>
      <c r="AH184">
        <f>IF('Calc base'!C$14=0,0,MIN(V184,MAX(0,$E184-SUMIFS($V184:$AG184,'Calc base'!$C$17:$N$17,"&lt;"&amp;'Calc base'!C$17,'Calc base'!$C$14:$N$14,1))))</f>
        <v>0</v>
      </c>
      <c r="AI184">
        <f>IF('Calc base'!D$14=0,0,MIN(W184,MAX(0,$E184-SUMIFS($V184:$AG184,'Calc base'!$C$17:$N$17,"&lt;"&amp;'Calc base'!D$17,'Calc base'!$C$14:$N$14,1))))</f>
        <v>0</v>
      </c>
      <c r="AJ184">
        <f>IF('Calc base'!E$14=0,0,MIN(X184,MAX(0,$E184-SUMIFS($V184:$AG184,'Calc base'!$C$17:$N$17,"&lt;"&amp;'Calc base'!E$17,'Calc base'!$C$14:$N$14,1))))</f>
        <v>0</v>
      </c>
      <c r="AK184">
        <f>IF('Calc base'!F$14=0,0,MIN(Y184,MAX(0,$E184-SUMIFS($V184:$AG184,'Calc base'!$C$17:$N$17,"&lt;"&amp;'Calc base'!F$17,'Calc base'!$C$14:$N$14,1))))</f>
        <v>0</v>
      </c>
      <c r="AL184">
        <f>IF('Calc base'!G$14=0,0,MIN(Z184,MAX(0,$E184-SUMIFS($V184:$AG184,'Calc base'!$C$17:$N$17,"&lt;"&amp;'Calc base'!G$17,'Calc base'!$C$14:$N$14,1))))</f>
        <v>0</v>
      </c>
      <c r="AM184">
        <f>IF('Calc base'!H$14=0,0,MIN(AA184,MAX(0,$E184-SUMIFS($V184:$AG184,'Calc base'!$C$17:$N$17,"&lt;"&amp;'Calc base'!H$17,'Calc base'!$C$14:$N$14,1))))</f>
        <v>0</v>
      </c>
      <c r="AN184">
        <f>IF('Calc base'!I$14=0,0,MIN(AB184,MAX(0,$E184-SUMIFS($V184:$AG184,'Calc base'!$C$17:$N$17,"&lt;"&amp;'Calc base'!I$17,'Calc base'!$C$14:$N$14,1))))</f>
        <v>0</v>
      </c>
      <c r="AO184">
        <f>IF('Calc base'!J$14=0,0,MIN(AC184,MAX(0,$E184-SUMIFS($V184:$AG184,'Calc base'!$C$17:$N$17,"&lt;"&amp;'Calc base'!J$17,'Calc base'!$C$14:$N$14,1))))</f>
        <v>0</v>
      </c>
      <c r="AP184">
        <f>IF('Calc base'!K$14=0,0,MIN(AD184,MAX(0,$E184-SUMIFS($V184:$AG184,'Calc base'!$C$17:$N$17,"&lt;"&amp;'Calc base'!K$17,'Calc base'!$C$14:$N$14,1))))</f>
        <v>0</v>
      </c>
      <c r="AQ184">
        <f>IF('Calc base'!L$14=0,0,MIN(AE184,MAX(0,$E184-SUMIFS($V184:$AG184,'Calc base'!$C$17:$N$17,"&lt;"&amp;'Calc base'!L$17,'Calc base'!$C$14:$N$14,1))))</f>
        <v>0</v>
      </c>
      <c r="AR184">
        <f>IF('Calc base'!M$14=0,0,MIN(AF184,MAX(0,$E184-SUMIFS($V184:$AG184,'Calc base'!$C$17:$N$17,"&lt;"&amp;'Calc base'!M$17,'Calc base'!$C$14:$N$14,1))))</f>
        <v>0</v>
      </c>
      <c r="AS184">
        <f>IF('Calc base'!N$14=0,0,MIN(AG184,MAX(0,$E184-SUMIFS($V184:$AG184,'Calc base'!$C$17:$N$17,"&lt;"&amp;'Calc base'!N$17,'Calc base'!$C$14:$N$14,1))))</f>
        <v>0</v>
      </c>
      <c r="AT184">
        <f>V184-AH184</f>
        <v>0</v>
      </c>
      <c r="AU184">
        <f>W184-AI184</f>
        <v>0</v>
      </c>
      <c r="AV184">
        <f>X184-AJ184</f>
        <v>0</v>
      </c>
      <c r="AW184">
        <f>Y184-AK184</f>
        <v>0</v>
      </c>
      <c r="AX184">
        <f>Z184-AL184</f>
        <v>0</v>
      </c>
      <c r="AY184">
        <f>AA184-AM184</f>
        <v>0</v>
      </c>
      <c r="AZ184">
        <f>AB184-AN184</f>
        <v>0</v>
      </c>
      <c r="BA184">
        <f>AC184-AO184</f>
        <v>0</v>
      </c>
      <c r="BB184">
        <f>AD184-AP184</f>
        <v>0</v>
      </c>
      <c r="BC184">
        <f>AE184-AQ184</f>
        <v>0</v>
      </c>
      <c r="BD184">
        <f>AF184-AR184</f>
        <v>0</v>
      </c>
      <c r="BE184">
        <f>AG184-AS184</f>
        <v>0</v>
      </c>
    </row>
    <row r="185">
      <c r="A185" t="n">
        <v>155</v>
      </c>
      <c r="B185">
        <f>SUMPRODUCT(ROUND($AT184:$BE184*(1+'Calc base'!$H185:$S185),2))</f>
        <v>0</v>
      </c>
      <c r="C185">
        <f>SUM(J185:U185)</f>
        <v>0</v>
      </c>
      <c r="D185">
        <f>SUM(V185:AG185)</f>
        <v>0</v>
      </c>
      <c r="E185">
        <f>MAX(0,IF(Impostazioni!$B$7="No",'Calc base'!$C185-$C$31,'Calc base'!$C185-C185)+'Calc base'!$G185+'Calc base'!$F185-(B185-C185-D185))</f>
        <v>900</v>
      </c>
      <c r="F185">
        <f>SUM(AH185:AS185)</f>
        <v>0</v>
      </c>
      <c r="G185">
        <f>SUM(AT185:BE185)</f>
        <v>0</v>
      </c>
      <c r="H185">
        <f>B185-G184</f>
        <v>0</v>
      </c>
      <c r="I185">
        <f>B185-G185</f>
        <v>0</v>
      </c>
      <c r="J185">
        <f>IF(AT184&lt;=0,0,IF(ROUND(AT184*(1+'Calc base'!H185),2)-MAX('Calc base'!C$12,ROUND('Calc base'!C$13*AT184,2))&lt;1,ROUND(AT184*(1+'Calc base'!H185),2),MAX('Calc base'!C$12,ROUND('Calc base'!C$13*AT184,2))))</f>
        <v>0</v>
      </c>
      <c r="K185">
        <f>IF(AU184&lt;=0,0,IF(ROUND(AU184*(1+'Calc base'!I185),2)-MAX('Calc base'!D$12,ROUND('Calc base'!D$13*AU184,2))&lt;1,ROUND(AU184*(1+'Calc base'!I185),2),MAX('Calc base'!D$12,ROUND('Calc base'!D$13*AU184,2))))</f>
        <v>0</v>
      </c>
      <c r="L185">
        <f>IF(AV184&lt;=0,0,IF(ROUND(AV184*(1+'Calc base'!J185),2)-MAX('Calc base'!E$12,ROUND('Calc base'!E$13*AV184,2))&lt;1,ROUND(AV184*(1+'Calc base'!J185),2),MAX('Calc base'!E$12,ROUND('Calc base'!E$13*AV184,2))))</f>
        <v>0</v>
      </c>
      <c r="M185">
        <f>IF(AW184&lt;=0,0,IF(ROUND(AW184*(1+'Calc base'!K185),2)-MAX('Calc base'!F$12,ROUND('Calc base'!F$13*AW184,2))&lt;1,ROUND(AW184*(1+'Calc base'!K185),2),MAX('Calc base'!F$12,ROUND('Calc base'!F$13*AW184,2))))</f>
        <v>0</v>
      </c>
      <c r="N185">
        <f>IF(AX184&lt;=0,0,IF(ROUND(AX184*(1+'Calc base'!L185),2)-MAX('Calc base'!G$12,ROUND('Calc base'!G$13*AX184,2))&lt;1,ROUND(AX184*(1+'Calc base'!L185),2),MAX('Calc base'!G$12,ROUND('Calc base'!G$13*AX184,2))))</f>
        <v>0</v>
      </c>
      <c r="O185">
        <f>IF(AY184&lt;=0,0,IF(ROUND(AY184*(1+'Calc base'!M185),2)-MAX('Calc base'!H$12,ROUND('Calc base'!H$13*AY184,2))&lt;1,ROUND(AY184*(1+'Calc base'!M185),2),MAX('Calc base'!H$12,ROUND('Calc base'!H$13*AY184,2))))</f>
        <v>0</v>
      </c>
      <c r="P185">
        <f>IF(AZ184&lt;=0,0,IF(ROUND(AZ184*(1+'Calc base'!N185),2)-MAX('Calc base'!I$12,ROUND('Calc base'!I$13*AZ184,2))&lt;1,ROUND(AZ184*(1+'Calc base'!N185),2),MAX('Calc base'!I$12,ROUND('Calc base'!I$13*AZ184,2))))</f>
        <v>0</v>
      </c>
      <c r="Q185">
        <f>IF(BA184&lt;=0,0,IF(ROUND(BA184*(1+'Calc base'!O185),2)-MAX('Calc base'!J$12,ROUND('Calc base'!J$13*BA184,2))&lt;1,ROUND(BA184*(1+'Calc base'!O185),2),MAX('Calc base'!J$12,ROUND('Calc base'!J$13*BA184,2))))</f>
        <v>0</v>
      </c>
      <c r="R185">
        <f>IF(BB184&lt;=0,0,IF(ROUND(BB184*(1+'Calc base'!P185),2)-MAX('Calc base'!K$12,ROUND('Calc base'!K$13*BB184,2))&lt;1,ROUND(BB184*(1+'Calc base'!P185),2),MAX('Calc base'!K$12,ROUND('Calc base'!K$13*BB184,2))))</f>
        <v>0</v>
      </c>
      <c r="S185">
        <f>IF(BC184&lt;=0,0,IF(ROUND(BC184*(1+'Calc base'!Q185),2)-MAX('Calc base'!L$12,ROUND('Calc base'!L$13*BC184,2))&lt;1,ROUND(BC184*(1+'Calc base'!Q185),2),MAX('Calc base'!L$12,ROUND('Calc base'!L$13*BC184,2))))</f>
        <v>0</v>
      </c>
      <c r="T185">
        <f>IF(BD184&lt;=0,0,IF(ROUND(BD184*(1+'Calc base'!R185),2)-MAX('Calc base'!M$12,ROUND('Calc base'!M$13*BD184,2))&lt;1,ROUND(BD184*(1+'Calc base'!R185),2),MAX('Calc base'!M$12,ROUND('Calc base'!M$13*BD184,2))))</f>
        <v>0</v>
      </c>
      <c r="U185">
        <f>IF(BE184&lt;=0,0,IF(ROUND(BE184*(1+'Calc base'!S185),2)-MAX('Calc base'!N$12,ROUND('Calc base'!N$13*BE184,2))&lt;1,ROUND(BE184*(1+'Calc base'!S185),2),MAX('Calc base'!N$12,ROUND('Calc base'!N$13*BE184,2))))</f>
        <v>0</v>
      </c>
      <c r="V185">
        <f>MAX(0,ROUND(AT184*(1+'Calc base'!H185),2)-J185-'Calc base'!T185)</f>
        <v>0</v>
      </c>
      <c r="W185">
        <f>MAX(0,ROUND(AU184*(1+'Calc base'!I185),2)-K185-'Calc base'!U185)</f>
        <v>0</v>
      </c>
      <c r="X185">
        <f>MAX(0,ROUND(AV184*(1+'Calc base'!J185),2)-L185-'Calc base'!V185)</f>
        <v>0</v>
      </c>
      <c r="Y185">
        <f>MAX(0,ROUND(AW184*(1+'Calc base'!K185),2)-M185-'Calc base'!W185)</f>
        <v>0</v>
      </c>
      <c r="Z185">
        <f>MAX(0,ROUND(AX184*(1+'Calc base'!L185),2)-N185-'Calc base'!X185)</f>
        <v>0</v>
      </c>
      <c r="AA185">
        <f>MAX(0,ROUND(AY184*(1+'Calc base'!M185),2)-O185-'Calc base'!Y185)</f>
        <v>0</v>
      </c>
      <c r="AB185">
        <f>MAX(0,ROUND(AZ184*(1+'Calc base'!N185),2)-P185-'Calc base'!Z185)</f>
        <v>0</v>
      </c>
      <c r="AC185">
        <f>MAX(0,ROUND(BA184*(1+'Calc base'!O185),2)-Q185-'Calc base'!AA185)</f>
        <v>0</v>
      </c>
      <c r="AD185">
        <f>MAX(0,ROUND(BB184*(1+'Calc base'!P185),2)-R185-'Calc base'!AB185)</f>
        <v>0</v>
      </c>
      <c r="AE185">
        <f>MAX(0,ROUND(BC184*(1+'Calc base'!Q185),2)-S185-'Calc base'!AC185)</f>
        <v>0</v>
      </c>
      <c r="AF185">
        <f>MAX(0,ROUND(BD184*(1+'Calc base'!R185),2)-T185-'Calc base'!AD185)</f>
        <v>0</v>
      </c>
      <c r="AG185">
        <f>MAX(0,ROUND(BE184*(1+'Calc base'!S185),2)-U185-'Calc base'!AE185)</f>
        <v>0</v>
      </c>
      <c r="AH185">
        <f>IF('Calc base'!C$14=0,0,MIN(V185,MAX(0,$E185-SUMIFS($V185:$AG185,'Calc base'!$C$17:$N$17,"&lt;"&amp;'Calc base'!C$17,'Calc base'!$C$14:$N$14,1))))</f>
        <v>0</v>
      </c>
      <c r="AI185">
        <f>IF('Calc base'!D$14=0,0,MIN(W185,MAX(0,$E185-SUMIFS($V185:$AG185,'Calc base'!$C$17:$N$17,"&lt;"&amp;'Calc base'!D$17,'Calc base'!$C$14:$N$14,1))))</f>
        <v>0</v>
      </c>
      <c r="AJ185">
        <f>IF('Calc base'!E$14=0,0,MIN(X185,MAX(0,$E185-SUMIFS($V185:$AG185,'Calc base'!$C$17:$N$17,"&lt;"&amp;'Calc base'!E$17,'Calc base'!$C$14:$N$14,1))))</f>
        <v>0</v>
      </c>
      <c r="AK185">
        <f>IF('Calc base'!F$14=0,0,MIN(Y185,MAX(0,$E185-SUMIFS($V185:$AG185,'Calc base'!$C$17:$N$17,"&lt;"&amp;'Calc base'!F$17,'Calc base'!$C$14:$N$14,1))))</f>
        <v>0</v>
      </c>
      <c r="AL185">
        <f>IF('Calc base'!G$14=0,0,MIN(Z185,MAX(0,$E185-SUMIFS($V185:$AG185,'Calc base'!$C$17:$N$17,"&lt;"&amp;'Calc base'!G$17,'Calc base'!$C$14:$N$14,1))))</f>
        <v>0</v>
      </c>
      <c r="AM185">
        <f>IF('Calc base'!H$14=0,0,MIN(AA185,MAX(0,$E185-SUMIFS($V185:$AG185,'Calc base'!$C$17:$N$17,"&lt;"&amp;'Calc base'!H$17,'Calc base'!$C$14:$N$14,1))))</f>
        <v>0</v>
      </c>
      <c r="AN185">
        <f>IF('Calc base'!I$14=0,0,MIN(AB185,MAX(0,$E185-SUMIFS($V185:$AG185,'Calc base'!$C$17:$N$17,"&lt;"&amp;'Calc base'!I$17,'Calc base'!$C$14:$N$14,1))))</f>
        <v>0</v>
      </c>
      <c r="AO185">
        <f>IF('Calc base'!J$14=0,0,MIN(AC185,MAX(0,$E185-SUMIFS($V185:$AG185,'Calc base'!$C$17:$N$17,"&lt;"&amp;'Calc base'!J$17,'Calc base'!$C$14:$N$14,1))))</f>
        <v>0</v>
      </c>
      <c r="AP185">
        <f>IF('Calc base'!K$14=0,0,MIN(AD185,MAX(0,$E185-SUMIFS($V185:$AG185,'Calc base'!$C$17:$N$17,"&lt;"&amp;'Calc base'!K$17,'Calc base'!$C$14:$N$14,1))))</f>
        <v>0</v>
      </c>
      <c r="AQ185">
        <f>IF('Calc base'!L$14=0,0,MIN(AE185,MAX(0,$E185-SUMIFS($V185:$AG185,'Calc base'!$C$17:$N$17,"&lt;"&amp;'Calc base'!L$17,'Calc base'!$C$14:$N$14,1))))</f>
        <v>0</v>
      </c>
      <c r="AR185">
        <f>IF('Calc base'!M$14=0,0,MIN(AF185,MAX(0,$E185-SUMIFS($V185:$AG185,'Calc base'!$C$17:$N$17,"&lt;"&amp;'Calc base'!M$17,'Calc base'!$C$14:$N$14,1))))</f>
        <v>0</v>
      </c>
      <c r="AS185">
        <f>IF('Calc base'!N$14=0,0,MIN(AG185,MAX(0,$E185-SUMIFS($V185:$AG185,'Calc base'!$C$17:$N$17,"&lt;"&amp;'Calc base'!N$17,'Calc base'!$C$14:$N$14,1))))</f>
        <v>0</v>
      </c>
      <c r="AT185">
        <f>V185-AH185</f>
        <v>0</v>
      </c>
      <c r="AU185">
        <f>W185-AI185</f>
        <v>0</v>
      </c>
      <c r="AV185">
        <f>X185-AJ185</f>
        <v>0</v>
      </c>
      <c r="AW185">
        <f>Y185-AK185</f>
        <v>0</v>
      </c>
      <c r="AX185">
        <f>Z185-AL185</f>
        <v>0</v>
      </c>
      <c r="AY185">
        <f>AA185-AM185</f>
        <v>0</v>
      </c>
      <c r="AZ185">
        <f>AB185-AN185</f>
        <v>0</v>
      </c>
      <c r="BA185">
        <f>AC185-AO185</f>
        <v>0</v>
      </c>
      <c r="BB185">
        <f>AD185-AP185</f>
        <v>0</v>
      </c>
      <c r="BC185">
        <f>AE185-AQ185</f>
        <v>0</v>
      </c>
      <c r="BD185">
        <f>AF185-AR185</f>
        <v>0</v>
      </c>
      <c r="BE185">
        <f>AG185-AS185</f>
        <v>0</v>
      </c>
    </row>
    <row r="186">
      <c r="A186" t="n">
        <v>156</v>
      </c>
      <c r="B186">
        <f>SUMPRODUCT(ROUND($AT185:$BE185*(1+'Calc base'!$H186:$S186),2))</f>
        <v>0</v>
      </c>
      <c r="C186">
        <f>SUM(J186:U186)</f>
        <v>0</v>
      </c>
      <c r="D186">
        <f>SUM(V186:AG186)</f>
        <v>0</v>
      </c>
      <c r="E186">
        <f>MAX(0,IF(Impostazioni!$B$7="No",'Calc base'!$C186-$C$31,'Calc base'!$C186-C186)+'Calc base'!$G186+'Calc base'!$F186-(B186-C186-D186))</f>
        <v>900</v>
      </c>
      <c r="F186">
        <f>SUM(AH186:AS186)</f>
        <v>0</v>
      </c>
      <c r="G186">
        <f>SUM(AT186:BE186)</f>
        <v>0</v>
      </c>
      <c r="H186">
        <f>B186-G185</f>
        <v>0</v>
      </c>
      <c r="I186">
        <f>B186-G186</f>
        <v>0</v>
      </c>
      <c r="J186">
        <f>IF(AT185&lt;=0,0,IF(ROUND(AT185*(1+'Calc base'!H186),2)-MAX('Calc base'!C$12,ROUND('Calc base'!C$13*AT185,2))&lt;1,ROUND(AT185*(1+'Calc base'!H186),2),MAX('Calc base'!C$12,ROUND('Calc base'!C$13*AT185,2))))</f>
        <v>0</v>
      </c>
      <c r="K186">
        <f>IF(AU185&lt;=0,0,IF(ROUND(AU185*(1+'Calc base'!I186),2)-MAX('Calc base'!D$12,ROUND('Calc base'!D$13*AU185,2))&lt;1,ROUND(AU185*(1+'Calc base'!I186),2),MAX('Calc base'!D$12,ROUND('Calc base'!D$13*AU185,2))))</f>
        <v>0</v>
      </c>
      <c r="L186">
        <f>IF(AV185&lt;=0,0,IF(ROUND(AV185*(1+'Calc base'!J186),2)-MAX('Calc base'!E$12,ROUND('Calc base'!E$13*AV185,2))&lt;1,ROUND(AV185*(1+'Calc base'!J186),2),MAX('Calc base'!E$12,ROUND('Calc base'!E$13*AV185,2))))</f>
        <v>0</v>
      </c>
      <c r="M186">
        <f>IF(AW185&lt;=0,0,IF(ROUND(AW185*(1+'Calc base'!K186),2)-MAX('Calc base'!F$12,ROUND('Calc base'!F$13*AW185,2))&lt;1,ROUND(AW185*(1+'Calc base'!K186),2),MAX('Calc base'!F$12,ROUND('Calc base'!F$13*AW185,2))))</f>
        <v>0</v>
      </c>
      <c r="N186">
        <f>IF(AX185&lt;=0,0,IF(ROUND(AX185*(1+'Calc base'!L186),2)-MAX('Calc base'!G$12,ROUND('Calc base'!G$13*AX185,2))&lt;1,ROUND(AX185*(1+'Calc base'!L186),2),MAX('Calc base'!G$12,ROUND('Calc base'!G$13*AX185,2))))</f>
        <v>0</v>
      </c>
      <c r="O186">
        <f>IF(AY185&lt;=0,0,IF(ROUND(AY185*(1+'Calc base'!M186),2)-MAX('Calc base'!H$12,ROUND('Calc base'!H$13*AY185,2))&lt;1,ROUND(AY185*(1+'Calc base'!M186),2),MAX('Calc base'!H$12,ROUND('Calc base'!H$13*AY185,2))))</f>
        <v>0</v>
      </c>
      <c r="P186">
        <f>IF(AZ185&lt;=0,0,IF(ROUND(AZ185*(1+'Calc base'!N186),2)-MAX('Calc base'!I$12,ROUND('Calc base'!I$13*AZ185,2))&lt;1,ROUND(AZ185*(1+'Calc base'!N186),2),MAX('Calc base'!I$12,ROUND('Calc base'!I$13*AZ185,2))))</f>
        <v>0</v>
      </c>
      <c r="Q186">
        <f>IF(BA185&lt;=0,0,IF(ROUND(BA185*(1+'Calc base'!O186),2)-MAX('Calc base'!J$12,ROUND('Calc base'!J$13*BA185,2))&lt;1,ROUND(BA185*(1+'Calc base'!O186),2),MAX('Calc base'!J$12,ROUND('Calc base'!J$13*BA185,2))))</f>
        <v>0</v>
      </c>
      <c r="R186">
        <f>IF(BB185&lt;=0,0,IF(ROUND(BB185*(1+'Calc base'!P186),2)-MAX('Calc base'!K$12,ROUND('Calc base'!K$13*BB185,2))&lt;1,ROUND(BB185*(1+'Calc base'!P186),2),MAX('Calc base'!K$12,ROUND('Calc base'!K$13*BB185,2))))</f>
        <v>0</v>
      </c>
      <c r="S186">
        <f>IF(BC185&lt;=0,0,IF(ROUND(BC185*(1+'Calc base'!Q186),2)-MAX('Calc base'!L$12,ROUND('Calc base'!L$13*BC185,2))&lt;1,ROUND(BC185*(1+'Calc base'!Q186),2),MAX('Calc base'!L$12,ROUND('Calc base'!L$13*BC185,2))))</f>
        <v>0</v>
      </c>
      <c r="T186">
        <f>IF(BD185&lt;=0,0,IF(ROUND(BD185*(1+'Calc base'!R186),2)-MAX('Calc base'!M$12,ROUND('Calc base'!M$13*BD185,2))&lt;1,ROUND(BD185*(1+'Calc base'!R186),2),MAX('Calc base'!M$12,ROUND('Calc base'!M$13*BD185,2))))</f>
        <v>0</v>
      </c>
      <c r="U186">
        <f>IF(BE185&lt;=0,0,IF(ROUND(BE185*(1+'Calc base'!S186),2)-MAX('Calc base'!N$12,ROUND('Calc base'!N$13*BE185,2))&lt;1,ROUND(BE185*(1+'Calc base'!S186),2),MAX('Calc base'!N$12,ROUND('Calc base'!N$13*BE185,2))))</f>
        <v>0</v>
      </c>
      <c r="V186">
        <f>MAX(0,ROUND(AT185*(1+'Calc base'!H186),2)-J186-'Calc base'!T186)</f>
        <v>0</v>
      </c>
      <c r="W186">
        <f>MAX(0,ROUND(AU185*(1+'Calc base'!I186),2)-K186-'Calc base'!U186)</f>
        <v>0</v>
      </c>
      <c r="X186">
        <f>MAX(0,ROUND(AV185*(1+'Calc base'!J186),2)-L186-'Calc base'!V186)</f>
        <v>0</v>
      </c>
      <c r="Y186">
        <f>MAX(0,ROUND(AW185*(1+'Calc base'!K186),2)-M186-'Calc base'!W186)</f>
        <v>0</v>
      </c>
      <c r="Z186">
        <f>MAX(0,ROUND(AX185*(1+'Calc base'!L186),2)-N186-'Calc base'!X186)</f>
        <v>0</v>
      </c>
      <c r="AA186">
        <f>MAX(0,ROUND(AY185*(1+'Calc base'!M186),2)-O186-'Calc base'!Y186)</f>
        <v>0</v>
      </c>
      <c r="AB186">
        <f>MAX(0,ROUND(AZ185*(1+'Calc base'!N186),2)-P186-'Calc base'!Z186)</f>
        <v>0</v>
      </c>
      <c r="AC186">
        <f>MAX(0,ROUND(BA185*(1+'Calc base'!O186),2)-Q186-'Calc base'!AA186)</f>
        <v>0</v>
      </c>
      <c r="AD186">
        <f>MAX(0,ROUND(BB185*(1+'Calc base'!P186),2)-R186-'Calc base'!AB186)</f>
        <v>0</v>
      </c>
      <c r="AE186">
        <f>MAX(0,ROUND(BC185*(1+'Calc base'!Q186),2)-S186-'Calc base'!AC186)</f>
        <v>0</v>
      </c>
      <c r="AF186">
        <f>MAX(0,ROUND(BD185*(1+'Calc base'!R186),2)-T186-'Calc base'!AD186)</f>
        <v>0</v>
      </c>
      <c r="AG186">
        <f>MAX(0,ROUND(BE185*(1+'Calc base'!S186),2)-U186-'Calc base'!AE186)</f>
        <v>0</v>
      </c>
      <c r="AH186">
        <f>IF('Calc base'!C$14=0,0,MIN(V186,MAX(0,$E186-SUMIFS($V186:$AG186,'Calc base'!$C$17:$N$17,"&lt;"&amp;'Calc base'!C$17,'Calc base'!$C$14:$N$14,1))))</f>
        <v>0</v>
      </c>
      <c r="AI186">
        <f>IF('Calc base'!D$14=0,0,MIN(W186,MAX(0,$E186-SUMIFS($V186:$AG186,'Calc base'!$C$17:$N$17,"&lt;"&amp;'Calc base'!D$17,'Calc base'!$C$14:$N$14,1))))</f>
        <v>0</v>
      </c>
      <c r="AJ186">
        <f>IF('Calc base'!E$14=0,0,MIN(X186,MAX(0,$E186-SUMIFS($V186:$AG186,'Calc base'!$C$17:$N$17,"&lt;"&amp;'Calc base'!E$17,'Calc base'!$C$14:$N$14,1))))</f>
        <v>0</v>
      </c>
      <c r="AK186">
        <f>IF('Calc base'!F$14=0,0,MIN(Y186,MAX(0,$E186-SUMIFS($V186:$AG186,'Calc base'!$C$17:$N$17,"&lt;"&amp;'Calc base'!F$17,'Calc base'!$C$14:$N$14,1))))</f>
        <v>0</v>
      </c>
      <c r="AL186">
        <f>IF('Calc base'!G$14=0,0,MIN(Z186,MAX(0,$E186-SUMIFS($V186:$AG186,'Calc base'!$C$17:$N$17,"&lt;"&amp;'Calc base'!G$17,'Calc base'!$C$14:$N$14,1))))</f>
        <v>0</v>
      </c>
      <c r="AM186">
        <f>IF('Calc base'!H$14=0,0,MIN(AA186,MAX(0,$E186-SUMIFS($V186:$AG186,'Calc base'!$C$17:$N$17,"&lt;"&amp;'Calc base'!H$17,'Calc base'!$C$14:$N$14,1))))</f>
        <v>0</v>
      </c>
      <c r="AN186">
        <f>IF('Calc base'!I$14=0,0,MIN(AB186,MAX(0,$E186-SUMIFS($V186:$AG186,'Calc base'!$C$17:$N$17,"&lt;"&amp;'Calc base'!I$17,'Calc base'!$C$14:$N$14,1))))</f>
        <v>0</v>
      </c>
      <c r="AO186">
        <f>IF('Calc base'!J$14=0,0,MIN(AC186,MAX(0,$E186-SUMIFS($V186:$AG186,'Calc base'!$C$17:$N$17,"&lt;"&amp;'Calc base'!J$17,'Calc base'!$C$14:$N$14,1))))</f>
        <v>0</v>
      </c>
      <c r="AP186">
        <f>IF('Calc base'!K$14=0,0,MIN(AD186,MAX(0,$E186-SUMIFS($V186:$AG186,'Calc base'!$C$17:$N$17,"&lt;"&amp;'Calc base'!K$17,'Calc base'!$C$14:$N$14,1))))</f>
        <v>0</v>
      </c>
      <c r="AQ186">
        <f>IF('Calc base'!L$14=0,0,MIN(AE186,MAX(0,$E186-SUMIFS($V186:$AG186,'Calc base'!$C$17:$N$17,"&lt;"&amp;'Calc base'!L$17,'Calc base'!$C$14:$N$14,1))))</f>
        <v>0</v>
      </c>
      <c r="AR186">
        <f>IF('Calc base'!M$14=0,0,MIN(AF186,MAX(0,$E186-SUMIFS($V186:$AG186,'Calc base'!$C$17:$N$17,"&lt;"&amp;'Calc base'!M$17,'Calc base'!$C$14:$N$14,1))))</f>
        <v>0</v>
      </c>
      <c r="AS186">
        <f>IF('Calc base'!N$14=0,0,MIN(AG186,MAX(0,$E186-SUMIFS($V186:$AG186,'Calc base'!$C$17:$N$17,"&lt;"&amp;'Calc base'!N$17,'Calc base'!$C$14:$N$14,1))))</f>
        <v>0</v>
      </c>
      <c r="AT186">
        <f>V186-AH186</f>
        <v>0</v>
      </c>
      <c r="AU186">
        <f>W186-AI186</f>
        <v>0</v>
      </c>
      <c r="AV186">
        <f>X186-AJ186</f>
        <v>0</v>
      </c>
      <c r="AW186">
        <f>Y186-AK186</f>
        <v>0</v>
      </c>
      <c r="AX186">
        <f>Z186-AL186</f>
        <v>0</v>
      </c>
      <c r="AY186">
        <f>AA186-AM186</f>
        <v>0</v>
      </c>
      <c r="AZ186">
        <f>AB186-AN186</f>
        <v>0</v>
      </c>
      <c r="BA186">
        <f>AC186-AO186</f>
        <v>0</v>
      </c>
      <c r="BB186">
        <f>AD186-AP186</f>
        <v>0</v>
      </c>
      <c r="BC186">
        <f>AE186-AQ186</f>
        <v>0</v>
      </c>
      <c r="BD186">
        <f>AF186-AR186</f>
        <v>0</v>
      </c>
      <c r="BE186">
        <f>AG186-AS186</f>
        <v>0</v>
      </c>
    </row>
    <row r="187">
      <c r="A187" t="n">
        <v>157</v>
      </c>
      <c r="B187">
        <f>SUMPRODUCT(ROUND($AT186:$BE186*(1+'Calc base'!$H187:$S187),2))</f>
        <v>0</v>
      </c>
      <c r="C187">
        <f>SUM(J187:U187)</f>
        <v>0</v>
      </c>
      <c r="D187">
        <f>SUM(V187:AG187)</f>
        <v>0</v>
      </c>
      <c r="E187">
        <f>MAX(0,IF(Impostazioni!$B$7="No",'Calc base'!$C187-$C$31,'Calc base'!$C187-C187)+'Calc base'!$G187+'Calc base'!$F187-(B187-C187-D187))</f>
        <v>900</v>
      </c>
      <c r="F187">
        <f>SUM(AH187:AS187)</f>
        <v>0</v>
      </c>
      <c r="G187">
        <f>SUM(AT187:BE187)</f>
        <v>0</v>
      </c>
      <c r="H187">
        <f>B187-G186</f>
        <v>0</v>
      </c>
      <c r="I187">
        <f>B187-G187</f>
        <v>0</v>
      </c>
      <c r="J187">
        <f>IF(AT186&lt;=0,0,IF(ROUND(AT186*(1+'Calc base'!H187),2)-MAX('Calc base'!C$12,ROUND('Calc base'!C$13*AT186,2))&lt;1,ROUND(AT186*(1+'Calc base'!H187),2),MAX('Calc base'!C$12,ROUND('Calc base'!C$13*AT186,2))))</f>
        <v>0</v>
      </c>
      <c r="K187">
        <f>IF(AU186&lt;=0,0,IF(ROUND(AU186*(1+'Calc base'!I187),2)-MAX('Calc base'!D$12,ROUND('Calc base'!D$13*AU186,2))&lt;1,ROUND(AU186*(1+'Calc base'!I187),2),MAX('Calc base'!D$12,ROUND('Calc base'!D$13*AU186,2))))</f>
        <v>0</v>
      </c>
      <c r="L187">
        <f>IF(AV186&lt;=0,0,IF(ROUND(AV186*(1+'Calc base'!J187),2)-MAX('Calc base'!E$12,ROUND('Calc base'!E$13*AV186,2))&lt;1,ROUND(AV186*(1+'Calc base'!J187),2),MAX('Calc base'!E$12,ROUND('Calc base'!E$13*AV186,2))))</f>
        <v>0</v>
      </c>
      <c r="M187">
        <f>IF(AW186&lt;=0,0,IF(ROUND(AW186*(1+'Calc base'!K187),2)-MAX('Calc base'!F$12,ROUND('Calc base'!F$13*AW186,2))&lt;1,ROUND(AW186*(1+'Calc base'!K187),2),MAX('Calc base'!F$12,ROUND('Calc base'!F$13*AW186,2))))</f>
        <v>0</v>
      </c>
      <c r="N187">
        <f>IF(AX186&lt;=0,0,IF(ROUND(AX186*(1+'Calc base'!L187),2)-MAX('Calc base'!G$12,ROUND('Calc base'!G$13*AX186,2))&lt;1,ROUND(AX186*(1+'Calc base'!L187),2),MAX('Calc base'!G$12,ROUND('Calc base'!G$13*AX186,2))))</f>
        <v>0</v>
      </c>
      <c r="O187">
        <f>IF(AY186&lt;=0,0,IF(ROUND(AY186*(1+'Calc base'!M187),2)-MAX('Calc base'!H$12,ROUND('Calc base'!H$13*AY186,2))&lt;1,ROUND(AY186*(1+'Calc base'!M187),2),MAX('Calc base'!H$12,ROUND('Calc base'!H$13*AY186,2))))</f>
        <v>0</v>
      </c>
      <c r="P187">
        <f>IF(AZ186&lt;=0,0,IF(ROUND(AZ186*(1+'Calc base'!N187),2)-MAX('Calc base'!I$12,ROUND('Calc base'!I$13*AZ186,2))&lt;1,ROUND(AZ186*(1+'Calc base'!N187),2),MAX('Calc base'!I$12,ROUND('Calc base'!I$13*AZ186,2))))</f>
        <v>0</v>
      </c>
      <c r="Q187">
        <f>IF(BA186&lt;=0,0,IF(ROUND(BA186*(1+'Calc base'!O187),2)-MAX('Calc base'!J$12,ROUND('Calc base'!J$13*BA186,2))&lt;1,ROUND(BA186*(1+'Calc base'!O187),2),MAX('Calc base'!J$12,ROUND('Calc base'!J$13*BA186,2))))</f>
        <v>0</v>
      </c>
      <c r="R187">
        <f>IF(BB186&lt;=0,0,IF(ROUND(BB186*(1+'Calc base'!P187),2)-MAX('Calc base'!K$12,ROUND('Calc base'!K$13*BB186,2))&lt;1,ROUND(BB186*(1+'Calc base'!P187),2),MAX('Calc base'!K$12,ROUND('Calc base'!K$13*BB186,2))))</f>
        <v>0</v>
      </c>
      <c r="S187">
        <f>IF(BC186&lt;=0,0,IF(ROUND(BC186*(1+'Calc base'!Q187),2)-MAX('Calc base'!L$12,ROUND('Calc base'!L$13*BC186,2))&lt;1,ROUND(BC186*(1+'Calc base'!Q187),2),MAX('Calc base'!L$12,ROUND('Calc base'!L$13*BC186,2))))</f>
        <v>0</v>
      </c>
      <c r="T187">
        <f>IF(BD186&lt;=0,0,IF(ROUND(BD186*(1+'Calc base'!R187),2)-MAX('Calc base'!M$12,ROUND('Calc base'!M$13*BD186,2))&lt;1,ROUND(BD186*(1+'Calc base'!R187),2),MAX('Calc base'!M$12,ROUND('Calc base'!M$13*BD186,2))))</f>
        <v>0</v>
      </c>
      <c r="U187">
        <f>IF(BE186&lt;=0,0,IF(ROUND(BE186*(1+'Calc base'!S187),2)-MAX('Calc base'!N$12,ROUND('Calc base'!N$13*BE186,2))&lt;1,ROUND(BE186*(1+'Calc base'!S187),2),MAX('Calc base'!N$12,ROUND('Calc base'!N$13*BE186,2))))</f>
        <v>0</v>
      </c>
      <c r="V187">
        <f>MAX(0,ROUND(AT186*(1+'Calc base'!H187),2)-J187-'Calc base'!T187)</f>
        <v>0</v>
      </c>
      <c r="W187">
        <f>MAX(0,ROUND(AU186*(1+'Calc base'!I187),2)-K187-'Calc base'!U187)</f>
        <v>0</v>
      </c>
      <c r="X187">
        <f>MAX(0,ROUND(AV186*(1+'Calc base'!J187),2)-L187-'Calc base'!V187)</f>
        <v>0</v>
      </c>
      <c r="Y187">
        <f>MAX(0,ROUND(AW186*(1+'Calc base'!K187),2)-M187-'Calc base'!W187)</f>
        <v>0</v>
      </c>
      <c r="Z187">
        <f>MAX(0,ROUND(AX186*(1+'Calc base'!L187),2)-N187-'Calc base'!X187)</f>
        <v>0</v>
      </c>
      <c r="AA187">
        <f>MAX(0,ROUND(AY186*(1+'Calc base'!M187),2)-O187-'Calc base'!Y187)</f>
        <v>0</v>
      </c>
      <c r="AB187">
        <f>MAX(0,ROUND(AZ186*(1+'Calc base'!N187),2)-P187-'Calc base'!Z187)</f>
        <v>0</v>
      </c>
      <c r="AC187">
        <f>MAX(0,ROUND(BA186*(1+'Calc base'!O187),2)-Q187-'Calc base'!AA187)</f>
        <v>0</v>
      </c>
      <c r="AD187">
        <f>MAX(0,ROUND(BB186*(1+'Calc base'!P187),2)-R187-'Calc base'!AB187)</f>
        <v>0</v>
      </c>
      <c r="AE187">
        <f>MAX(0,ROUND(BC186*(1+'Calc base'!Q187),2)-S187-'Calc base'!AC187)</f>
        <v>0</v>
      </c>
      <c r="AF187">
        <f>MAX(0,ROUND(BD186*(1+'Calc base'!R187),2)-T187-'Calc base'!AD187)</f>
        <v>0</v>
      </c>
      <c r="AG187">
        <f>MAX(0,ROUND(BE186*(1+'Calc base'!S187),2)-U187-'Calc base'!AE187)</f>
        <v>0</v>
      </c>
      <c r="AH187">
        <f>IF('Calc base'!C$14=0,0,MIN(V187,MAX(0,$E187-SUMIFS($V187:$AG187,'Calc base'!$C$17:$N$17,"&lt;"&amp;'Calc base'!C$17,'Calc base'!$C$14:$N$14,1))))</f>
        <v>0</v>
      </c>
      <c r="AI187">
        <f>IF('Calc base'!D$14=0,0,MIN(W187,MAX(0,$E187-SUMIFS($V187:$AG187,'Calc base'!$C$17:$N$17,"&lt;"&amp;'Calc base'!D$17,'Calc base'!$C$14:$N$14,1))))</f>
        <v>0</v>
      </c>
      <c r="AJ187">
        <f>IF('Calc base'!E$14=0,0,MIN(X187,MAX(0,$E187-SUMIFS($V187:$AG187,'Calc base'!$C$17:$N$17,"&lt;"&amp;'Calc base'!E$17,'Calc base'!$C$14:$N$14,1))))</f>
        <v>0</v>
      </c>
      <c r="AK187">
        <f>IF('Calc base'!F$14=0,0,MIN(Y187,MAX(0,$E187-SUMIFS($V187:$AG187,'Calc base'!$C$17:$N$17,"&lt;"&amp;'Calc base'!F$17,'Calc base'!$C$14:$N$14,1))))</f>
        <v>0</v>
      </c>
      <c r="AL187">
        <f>IF('Calc base'!G$14=0,0,MIN(Z187,MAX(0,$E187-SUMIFS($V187:$AG187,'Calc base'!$C$17:$N$17,"&lt;"&amp;'Calc base'!G$17,'Calc base'!$C$14:$N$14,1))))</f>
        <v>0</v>
      </c>
      <c r="AM187">
        <f>IF('Calc base'!H$14=0,0,MIN(AA187,MAX(0,$E187-SUMIFS($V187:$AG187,'Calc base'!$C$17:$N$17,"&lt;"&amp;'Calc base'!H$17,'Calc base'!$C$14:$N$14,1))))</f>
        <v>0</v>
      </c>
      <c r="AN187">
        <f>IF('Calc base'!I$14=0,0,MIN(AB187,MAX(0,$E187-SUMIFS($V187:$AG187,'Calc base'!$C$17:$N$17,"&lt;"&amp;'Calc base'!I$17,'Calc base'!$C$14:$N$14,1))))</f>
        <v>0</v>
      </c>
      <c r="AO187">
        <f>IF('Calc base'!J$14=0,0,MIN(AC187,MAX(0,$E187-SUMIFS($V187:$AG187,'Calc base'!$C$17:$N$17,"&lt;"&amp;'Calc base'!J$17,'Calc base'!$C$14:$N$14,1))))</f>
        <v>0</v>
      </c>
      <c r="AP187">
        <f>IF('Calc base'!K$14=0,0,MIN(AD187,MAX(0,$E187-SUMIFS($V187:$AG187,'Calc base'!$C$17:$N$17,"&lt;"&amp;'Calc base'!K$17,'Calc base'!$C$14:$N$14,1))))</f>
        <v>0</v>
      </c>
      <c r="AQ187">
        <f>IF('Calc base'!L$14=0,0,MIN(AE187,MAX(0,$E187-SUMIFS($V187:$AG187,'Calc base'!$C$17:$N$17,"&lt;"&amp;'Calc base'!L$17,'Calc base'!$C$14:$N$14,1))))</f>
        <v>0</v>
      </c>
      <c r="AR187">
        <f>IF('Calc base'!M$14=0,0,MIN(AF187,MAX(0,$E187-SUMIFS($V187:$AG187,'Calc base'!$C$17:$N$17,"&lt;"&amp;'Calc base'!M$17,'Calc base'!$C$14:$N$14,1))))</f>
        <v>0</v>
      </c>
      <c r="AS187">
        <f>IF('Calc base'!N$14=0,0,MIN(AG187,MAX(0,$E187-SUMIFS($V187:$AG187,'Calc base'!$C$17:$N$17,"&lt;"&amp;'Calc base'!N$17,'Calc base'!$C$14:$N$14,1))))</f>
        <v>0</v>
      </c>
      <c r="AT187">
        <f>V187-AH187</f>
        <v>0</v>
      </c>
      <c r="AU187">
        <f>W187-AI187</f>
        <v>0</v>
      </c>
      <c r="AV187">
        <f>X187-AJ187</f>
        <v>0</v>
      </c>
      <c r="AW187">
        <f>Y187-AK187</f>
        <v>0</v>
      </c>
      <c r="AX187">
        <f>Z187-AL187</f>
        <v>0</v>
      </c>
      <c r="AY187">
        <f>AA187-AM187</f>
        <v>0</v>
      </c>
      <c r="AZ187">
        <f>AB187-AN187</f>
        <v>0</v>
      </c>
      <c r="BA187">
        <f>AC187-AO187</f>
        <v>0</v>
      </c>
      <c r="BB187">
        <f>AD187-AP187</f>
        <v>0</v>
      </c>
      <c r="BC187">
        <f>AE187-AQ187</f>
        <v>0</v>
      </c>
      <c r="BD187">
        <f>AF187-AR187</f>
        <v>0</v>
      </c>
      <c r="BE187">
        <f>AG187-AS187</f>
        <v>0</v>
      </c>
    </row>
    <row r="188">
      <c r="A188" t="n">
        <v>158</v>
      </c>
      <c r="B188">
        <f>SUMPRODUCT(ROUND($AT187:$BE187*(1+'Calc base'!$H188:$S188),2))</f>
        <v>0</v>
      </c>
      <c r="C188">
        <f>SUM(J188:U188)</f>
        <v>0</v>
      </c>
      <c r="D188">
        <f>SUM(V188:AG188)</f>
        <v>0</v>
      </c>
      <c r="E188">
        <f>MAX(0,IF(Impostazioni!$B$7="No",'Calc base'!$C188-$C$31,'Calc base'!$C188-C188)+'Calc base'!$G188+'Calc base'!$F188-(B188-C188-D188))</f>
        <v>900</v>
      </c>
      <c r="F188">
        <f>SUM(AH188:AS188)</f>
        <v>0</v>
      </c>
      <c r="G188">
        <f>SUM(AT188:BE188)</f>
        <v>0</v>
      </c>
      <c r="H188">
        <f>B188-G187</f>
        <v>0</v>
      </c>
      <c r="I188">
        <f>B188-G188</f>
        <v>0</v>
      </c>
      <c r="J188">
        <f>IF(AT187&lt;=0,0,IF(ROUND(AT187*(1+'Calc base'!H188),2)-MAX('Calc base'!C$12,ROUND('Calc base'!C$13*AT187,2))&lt;1,ROUND(AT187*(1+'Calc base'!H188),2),MAX('Calc base'!C$12,ROUND('Calc base'!C$13*AT187,2))))</f>
        <v>0</v>
      </c>
      <c r="K188">
        <f>IF(AU187&lt;=0,0,IF(ROUND(AU187*(1+'Calc base'!I188),2)-MAX('Calc base'!D$12,ROUND('Calc base'!D$13*AU187,2))&lt;1,ROUND(AU187*(1+'Calc base'!I188),2),MAX('Calc base'!D$12,ROUND('Calc base'!D$13*AU187,2))))</f>
        <v>0</v>
      </c>
      <c r="L188">
        <f>IF(AV187&lt;=0,0,IF(ROUND(AV187*(1+'Calc base'!J188),2)-MAX('Calc base'!E$12,ROUND('Calc base'!E$13*AV187,2))&lt;1,ROUND(AV187*(1+'Calc base'!J188),2),MAX('Calc base'!E$12,ROUND('Calc base'!E$13*AV187,2))))</f>
        <v>0</v>
      </c>
      <c r="M188">
        <f>IF(AW187&lt;=0,0,IF(ROUND(AW187*(1+'Calc base'!K188),2)-MAX('Calc base'!F$12,ROUND('Calc base'!F$13*AW187,2))&lt;1,ROUND(AW187*(1+'Calc base'!K188),2),MAX('Calc base'!F$12,ROUND('Calc base'!F$13*AW187,2))))</f>
        <v>0</v>
      </c>
      <c r="N188">
        <f>IF(AX187&lt;=0,0,IF(ROUND(AX187*(1+'Calc base'!L188),2)-MAX('Calc base'!G$12,ROUND('Calc base'!G$13*AX187,2))&lt;1,ROUND(AX187*(1+'Calc base'!L188),2),MAX('Calc base'!G$12,ROUND('Calc base'!G$13*AX187,2))))</f>
        <v>0</v>
      </c>
      <c r="O188">
        <f>IF(AY187&lt;=0,0,IF(ROUND(AY187*(1+'Calc base'!M188),2)-MAX('Calc base'!H$12,ROUND('Calc base'!H$13*AY187,2))&lt;1,ROUND(AY187*(1+'Calc base'!M188),2),MAX('Calc base'!H$12,ROUND('Calc base'!H$13*AY187,2))))</f>
        <v>0</v>
      </c>
      <c r="P188">
        <f>IF(AZ187&lt;=0,0,IF(ROUND(AZ187*(1+'Calc base'!N188),2)-MAX('Calc base'!I$12,ROUND('Calc base'!I$13*AZ187,2))&lt;1,ROUND(AZ187*(1+'Calc base'!N188),2),MAX('Calc base'!I$12,ROUND('Calc base'!I$13*AZ187,2))))</f>
        <v>0</v>
      </c>
      <c r="Q188">
        <f>IF(BA187&lt;=0,0,IF(ROUND(BA187*(1+'Calc base'!O188),2)-MAX('Calc base'!J$12,ROUND('Calc base'!J$13*BA187,2))&lt;1,ROUND(BA187*(1+'Calc base'!O188),2),MAX('Calc base'!J$12,ROUND('Calc base'!J$13*BA187,2))))</f>
        <v>0</v>
      </c>
      <c r="R188">
        <f>IF(BB187&lt;=0,0,IF(ROUND(BB187*(1+'Calc base'!P188),2)-MAX('Calc base'!K$12,ROUND('Calc base'!K$13*BB187,2))&lt;1,ROUND(BB187*(1+'Calc base'!P188),2),MAX('Calc base'!K$12,ROUND('Calc base'!K$13*BB187,2))))</f>
        <v>0</v>
      </c>
      <c r="S188">
        <f>IF(BC187&lt;=0,0,IF(ROUND(BC187*(1+'Calc base'!Q188),2)-MAX('Calc base'!L$12,ROUND('Calc base'!L$13*BC187,2))&lt;1,ROUND(BC187*(1+'Calc base'!Q188),2),MAX('Calc base'!L$12,ROUND('Calc base'!L$13*BC187,2))))</f>
        <v>0</v>
      </c>
      <c r="T188">
        <f>IF(BD187&lt;=0,0,IF(ROUND(BD187*(1+'Calc base'!R188),2)-MAX('Calc base'!M$12,ROUND('Calc base'!M$13*BD187,2))&lt;1,ROUND(BD187*(1+'Calc base'!R188),2),MAX('Calc base'!M$12,ROUND('Calc base'!M$13*BD187,2))))</f>
        <v>0</v>
      </c>
      <c r="U188">
        <f>IF(BE187&lt;=0,0,IF(ROUND(BE187*(1+'Calc base'!S188),2)-MAX('Calc base'!N$12,ROUND('Calc base'!N$13*BE187,2))&lt;1,ROUND(BE187*(1+'Calc base'!S188),2),MAX('Calc base'!N$12,ROUND('Calc base'!N$13*BE187,2))))</f>
        <v>0</v>
      </c>
      <c r="V188">
        <f>MAX(0,ROUND(AT187*(1+'Calc base'!H188),2)-J188-'Calc base'!T188)</f>
        <v>0</v>
      </c>
      <c r="W188">
        <f>MAX(0,ROUND(AU187*(1+'Calc base'!I188),2)-K188-'Calc base'!U188)</f>
        <v>0</v>
      </c>
      <c r="X188">
        <f>MAX(0,ROUND(AV187*(1+'Calc base'!J188),2)-L188-'Calc base'!V188)</f>
        <v>0</v>
      </c>
      <c r="Y188">
        <f>MAX(0,ROUND(AW187*(1+'Calc base'!K188),2)-M188-'Calc base'!W188)</f>
        <v>0</v>
      </c>
      <c r="Z188">
        <f>MAX(0,ROUND(AX187*(1+'Calc base'!L188),2)-N188-'Calc base'!X188)</f>
        <v>0</v>
      </c>
      <c r="AA188">
        <f>MAX(0,ROUND(AY187*(1+'Calc base'!M188),2)-O188-'Calc base'!Y188)</f>
        <v>0</v>
      </c>
      <c r="AB188">
        <f>MAX(0,ROUND(AZ187*(1+'Calc base'!N188),2)-P188-'Calc base'!Z188)</f>
        <v>0</v>
      </c>
      <c r="AC188">
        <f>MAX(0,ROUND(BA187*(1+'Calc base'!O188),2)-Q188-'Calc base'!AA188)</f>
        <v>0</v>
      </c>
      <c r="AD188">
        <f>MAX(0,ROUND(BB187*(1+'Calc base'!P188),2)-R188-'Calc base'!AB188)</f>
        <v>0</v>
      </c>
      <c r="AE188">
        <f>MAX(0,ROUND(BC187*(1+'Calc base'!Q188),2)-S188-'Calc base'!AC188)</f>
        <v>0</v>
      </c>
      <c r="AF188">
        <f>MAX(0,ROUND(BD187*(1+'Calc base'!R188),2)-T188-'Calc base'!AD188)</f>
        <v>0</v>
      </c>
      <c r="AG188">
        <f>MAX(0,ROUND(BE187*(1+'Calc base'!S188),2)-U188-'Calc base'!AE188)</f>
        <v>0</v>
      </c>
      <c r="AH188">
        <f>IF('Calc base'!C$14=0,0,MIN(V188,MAX(0,$E188-SUMIFS($V188:$AG188,'Calc base'!$C$17:$N$17,"&lt;"&amp;'Calc base'!C$17,'Calc base'!$C$14:$N$14,1))))</f>
        <v>0</v>
      </c>
      <c r="AI188">
        <f>IF('Calc base'!D$14=0,0,MIN(W188,MAX(0,$E188-SUMIFS($V188:$AG188,'Calc base'!$C$17:$N$17,"&lt;"&amp;'Calc base'!D$17,'Calc base'!$C$14:$N$14,1))))</f>
        <v>0</v>
      </c>
      <c r="AJ188">
        <f>IF('Calc base'!E$14=0,0,MIN(X188,MAX(0,$E188-SUMIFS($V188:$AG188,'Calc base'!$C$17:$N$17,"&lt;"&amp;'Calc base'!E$17,'Calc base'!$C$14:$N$14,1))))</f>
        <v>0</v>
      </c>
      <c r="AK188">
        <f>IF('Calc base'!F$14=0,0,MIN(Y188,MAX(0,$E188-SUMIFS($V188:$AG188,'Calc base'!$C$17:$N$17,"&lt;"&amp;'Calc base'!F$17,'Calc base'!$C$14:$N$14,1))))</f>
        <v>0</v>
      </c>
      <c r="AL188">
        <f>IF('Calc base'!G$14=0,0,MIN(Z188,MAX(0,$E188-SUMIFS($V188:$AG188,'Calc base'!$C$17:$N$17,"&lt;"&amp;'Calc base'!G$17,'Calc base'!$C$14:$N$14,1))))</f>
        <v>0</v>
      </c>
      <c r="AM188">
        <f>IF('Calc base'!H$14=0,0,MIN(AA188,MAX(0,$E188-SUMIFS($V188:$AG188,'Calc base'!$C$17:$N$17,"&lt;"&amp;'Calc base'!H$17,'Calc base'!$C$14:$N$14,1))))</f>
        <v>0</v>
      </c>
      <c r="AN188">
        <f>IF('Calc base'!I$14=0,0,MIN(AB188,MAX(0,$E188-SUMIFS($V188:$AG188,'Calc base'!$C$17:$N$17,"&lt;"&amp;'Calc base'!I$17,'Calc base'!$C$14:$N$14,1))))</f>
        <v>0</v>
      </c>
      <c r="AO188">
        <f>IF('Calc base'!J$14=0,0,MIN(AC188,MAX(0,$E188-SUMIFS($V188:$AG188,'Calc base'!$C$17:$N$17,"&lt;"&amp;'Calc base'!J$17,'Calc base'!$C$14:$N$14,1))))</f>
        <v>0</v>
      </c>
      <c r="AP188">
        <f>IF('Calc base'!K$14=0,0,MIN(AD188,MAX(0,$E188-SUMIFS($V188:$AG188,'Calc base'!$C$17:$N$17,"&lt;"&amp;'Calc base'!K$17,'Calc base'!$C$14:$N$14,1))))</f>
        <v>0</v>
      </c>
      <c r="AQ188">
        <f>IF('Calc base'!L$14=0,0,MIN(AE188,MAX(0,$E188-SUMIFS($V188:$AG188,'Calc base'!$C$17:$N$17,"&lt;"&amp;'Calc base'!L$17,'Calc base'!$C$14:$N$14,1))))</f>
        <v>0</v>
      </c>
      <c r="AR188">
        <f>IF('Calc base'!M$14=0,0,MIN(AF188,MAX(0,$E188-SUMIFS($V188:$AG188,'Calc base'!$C$17:$N$17,"&lt;"&amp;'Calc base'!M$17,'Calc base'!$C$14:$N$14,1))))</f>
        <v>0</v>
      </c>
      <c r="AS188">
        <f>IF('Calc base'!N$14=0,0,MIN(AG188,MAX(0,$E188-SUMIFS($V188:$AG188,'Calc base'!$C$17:$N$17,"&lt;"&amp;'Calc base'!N$17,'Calc base'!$C$14:$N$14,1))))</f>
        <v>0</v>
      </c>
      <c r="AT188">
        <f>V188-AH188</f>
        <v>0</v>
      </c>
      <c r="AU188">
        <f>W188-AI188</f>
        <v>0</v>
      </c>
      <c r="AV188">
        <f>X188-AJ188</f>
        <v>0</v>
      </c>
      <c r="AW188">
        <f>Y188-AK188</f>
        <v>0</v>
      </c>
      <c r="AX188">
        <f>Z188-AL188</f>
        <v>0</v>
      </c>
      <c r="AY188">
        <f>AA188-AM188</f>
        <v>0</v>
      </c>
      <c r="AZ188">
        <f>AB188-AN188</f>
        <v>0</v>
      </c>
      <c r="BA188">
        <f>AC188-AO188</f>
        <v>0</v>
      </c>
      <c r="BB188">
        <f>AD188-AP188</f>
        <v>0</v>
      </c>
      <c r="BC188">
        <f>AE188-AQ188</f>
        <v>0</v>
      </c>
      <c r="BD188">
        <f>AF188-AR188</f>
        <v>0</v>
      </c>
      <c r="BE188">
        <f>AG188-AS188</f>
        <v>0</v>
      </c>
    </row>
    <row r="189">
      <c r="A189" t="n">
        <v>159</v>
      </c>
      <c r="B189">
        <f>SUMPRODUCT(ROUND($AT188:$BE188*(1+'Calc base'!$H189:$S189),2))</f>
        <v>0</v>
      </c>
      <c r="C189">
        <f>SUM(J189:U189)</f>
        <v>0</v>
      </c>
      <c r="D189">
        <f>SUM(V189:AG189)</f>
        <v>0</v>
      </c>
      <c r="E189">
        <f>MAX(0,IF(Impostazioni!$B$7="No",'Calc base'!$C189-$C$31,'Calc base'!$C189-C189)+'Calc base'!$G189+'Calc base'!$F189-(B189-C189-D189))</f>
        <v>900</v>
      </c>
      <c r="F189">
        <f>SUM(AH189:AS189)</f>
        <v>0</v>
      </c>
      <c r="G189">
        <f>SUM(AT189:BE189)</f>
        <v>0</v>
      </c>
      <c r="H189">
        <f>B189-G188</f>
        <v>0</v>
      </c>
      <c r="I189">
        <f>B189-G189</f>
        <v>0</v>
      </c>
      <c r="J189">
        <f>IF(AT188&lt;=0,0,IF(ROUND(AT188*(1+'Calc base'!H189),2)-MAX('Calc base'!C$12,ROUND('Calc base'!C$13*AT188,2))&lt;1,ROUND(AT188*(1+'Calc base'!H189),2),MAX('Calc base'!C$12,ROUND('Calc base'!C$13*AT188,2))))</f>
        <v>0</v>
      </c>
      <c r="K189">
        <f>IF(AU188&lt;=0,0,IF(ROUND(AU188*(1+'Calc base'!I189),2)-MAX('Calc base'!D$12,ROUND('Calc base'!D$13*AU188,2))&lt;1,ROUND(AU188*(1+'Calc base'!I189),2),MAX('Calc base'!D$12,ROUND('Calc base'!D$13*AU188,2))))</f>
        <v>0</v>
      </c>
      <c r="L189">
        <f>IF(AV188&lt;=0,0,IF(ROUND(AV188*(1+'Calc base'!J189),2)-MAX('Calc base'!E$12,ROUND('Calc base'!E$13*AV188,2))&lt;1,ROUND(AV188*(1+'Calc base'!J189),2),MAX('Calc base'!E$12,ROUND('Calc base'!E$13*AV188,2))))</f>
        <v>0</v>
      </c>
      <c r="M189">
        <f>IF(AW188&lt;=0,0,IF(ROUND(AW188*(1+'Calc base'!K189),2)-MAX('Calc base'!F$12,ROUND('Calc base'!F$13*AW188,2))&lt;1,ROUND(AW188*(1+'Calc base'!K189),2),MAX('Calc base'!F$12,ROUND('Calc base'!F$13*AW188,2))))</f>
        <v>0</v>
      </c>
      <c r="N189">
        <f>IF(AX188&lt;=0,0,IF(ROUND(AX188*(1+'Calc base'!L189),2)-MAX('Calc base'!G$12,ROUND('Calc base'!G$13*AX188,2))&lt;1,ROUND(AX188*(1+'Calc base'!L189),2),MAX('Calc base'!G$12,ROUND('Calc base'!G$13*AX188,2))))</f>
        <v>0</v>
      </c>
      <c r="O189">
        <f>IF(AY188&lt;=0,0,IF(ROUND(AY188*(1+'Calc base'!M189),2)-MAX('Calc base'!H$12,ROUND('Calc base'!H$13*AY188,2))&lt;1,ROUND(AY188*(1+'Calc base'!M189),2),MAX('Calc base'!H$12,ROUND('Calc base'!H$13*AY188,2))))</f>
        <v>0</v>
      </c>
      <c r="P189">
        <f>IF(AZ188&lt;=0,0,IF(ROUND(AZ188*(1+'Calc base'!N189),2)-MAX('Calc base'!I$12,ROUND('Calc base'!I$13*AZ188,2))&lt;1,ROUND(AZ188*(1+'Calc base'!N189),2),MAX('Calc base'!I$12,ROUND('Calc base'!I$13*AZ188,2))))</f>
        <v>0</v>
      </c>
      <c r="Q189">
        <f>IF(BA188&lt;=0,0,IF(ROUND(BA188*(1+'Calc base'!O189),2)-MAX('Calc base'!J$12,ROUND('Calc base'!J$13*BA188,2))&lt;1,ROUND(BA188*(1+'Calc base'!O189),2),MAX('Calc base'!J$12,ROUND('Calc base'!J$13*BA188,2))))</f>
        <v>0</v>
      </c>
      <c r="R189">
        <f>IF(BB188&lt;=0,0,IF(ROUND(BB188*(1+'Calc base'!P189),2)-MAX('Calc base'!K$12,ROUND('Calc base'!K$13*BB188,2))&lt;1,ROUND(BB188*(1+'Calc base'!P189),2),MAX('Calc base'!K$12,ROUND('Calc base'!K$13*BB188,2))))</f>
        <v>0</v>
      </c>
      <c r="S189">
        <f>IF(BC188&lt;=0,0,IF(ROUND(BC188*(1+'Calc base'!Q189),2)-MAX('Calc base'!L$12,ROUND('Calc base'!L$13*BC188,2))&lt;1,ROUND(BC188*(1+'Calc base'!Q189),2),MAX('Calc base'!L$12,ROUND('Calc base'!L$13*BC188,2))))</f>
        <v>0</v>
      </c>
      <c r="T189">
        <f>IF(BD188&lt;=0,0,IF(ROUND(BD188*(1+'Calc base'!R189),2)-MAX('Calc base'!M$12,ROUND('Calc base'!M$13*BD188,2))&lt;1,ROUND(BD188*(1+'Calc base'!R189),2),MAX('Calc base'!M$12,ROUND('Calc base'!M$13*BD188,2))))</f>
        <v>0</v>
      </c>
      <c r="U189">
        <f>IF(BE188&lt;=0,0,IF(ROUND(BE188*(1+'Calc base'!S189),2)-MAX('Calc base'!N$12,ROUND('Calc base'!N$13*BE188,2))&lt;1,ROUND(BE188*(1+'Calc base'!S189),2),MAX('Calc base'!N$12,ROUND('Calc base'!N$13*BE188,2))))</f>
        <v>0</v>
      </c>
      <c r="V189">
        <f>MAX(0,ROUND(AT188*(1+'Calc base'!H189),2)-J189-'Calc base'!T189)</f>
        <v>0</v>
      </c>
      <c r="W189">
        <f>MAX(0,ROUND(AU188*(1+'Calc base'!I189),2)-K189-'Calc base'!U189)</f>
        <v>0</v>
      </c>
      <c r="X189">
        <f>MAX(0,ROUND(AV188*(1+'Calc base'!J189),2)-L189-'Calc base'!V189)</f>
        <v>0</v>
      </c>
      <c r="Y189">
        <f>MAX(0,ROUND(AW188*(1+'Calc base'!K189),2)-M189-'Calc base'!W189)</f>
        <v>0</v>
      </c>
      <c r="Z189">
        <f>MAX(0,ROUND(AX188*(1+'Calc base'!L189),2)-N189-'Calc base'!X189)</f>
        <v>0</v>
      </c>
      <c r="AA189">
        <f>MAX(0,ROUND(AY188*(1+'Calc base'!M189),2)-O189-'Calc base'!Y189)</f>
        <v>0</v>
      </c>
      <c r="AB189">
        <f>MAX(0,ROUND(AZ188*(1+'Calc base'!N189),2)-P189-'Calc base'!Z189)</f>
        <v>0</v>
      </c>
      <c r="AC189">
        <f>MAX(0,ROUND(BA188*(1+'Calc base'!O189),2)-Q189-'Calc base'!AA189)</f>
        <v>0</v>
      </c>
      <c r="AD189">
        <f>MAX(0,ROUND(BB188*(1+'Calc base'!P189),2)-R189-'Calc base'!AB189)</f>
        <v>0</v>
      </c>
      <c r="AE189">
        <f>MAX(0,ROUND(BC188*(1+'Calc base'!Q189),2)-S189-'Calc base'!AC189)</f>
        <v>0</v>
      </c>
      <c r="AF189">
        <f>MAX(0,ROUND(BD188*(1+'Calc base'!R189),2)-T189-'Calc base'!AD189)</f>
        <v>0</v>
      </c>
      <c r="AG189">
        <f>MAX(0,ROUND(BE188*(1+'Calc base'!S189),2)-U189-'Calc base'!AE189)</f>
        <v>0</v>
      </c>
      <c r="AH189">
        <f>IF('Calc base'!C$14=0,0,MIN(V189,MAX(0,$E189-SUMIFS($V189:$AG189,'Calc base'!$C$17:$N$17,"&lt;"&amp;'Calc base'!C$17,'Calc base'!$C$14:$N$14,1))))</f>
        <v>0</v>
      </c>
      <c r="AI189">
        <f>IF('Calc base'!D$14=0,0,MIN(W189,MAX(0,$E189-SUMIFS($V189:$AG189,'Calc base'!$C$17:$N$17,"&lt;"&amp;'Calc base'!D$17,'Calc base'!$C$14:$N$14,1))))</f>
        <v>0</v>
      </c>
      <c r="AJ189">
        <f>IF('Calc base'!E$14=0,0,MIN(X189,MAX(0,$E189-SUMIFS($V189:$AG189,'Calc base'!$C$17:$N$17,"&lt;"&amp;'Calc base'!E$17,'Calc base'!$C$14:$N$14,1))))</f>
        <v>0</v>
      </c>
      <c r="AK189">
        <f>IF('Calc base'!F$14=0,0,MIN(Y189,MAX(0,$E189-SUMIFS($V189:$AG189,'Calc base'!$C$17:$N$17,"&lt;"&amp;'Calc base'!F$17,'Calc base'!$C$14:$N$14,1))))</f>
        <v>0</v>
      </c>
      <c r="AL189">
        <f>IF('Calc base'!G$14=0,0,MIN(Z189,MAX(0,$E189-SUMIFS($V189:$AG189,'Calc base'!$C$17:$N$17,"&lt;"&amp;'Calc base'!G$17,'Calc base'!$C$14:$N$14,1))))</f>
        <v>0</v>
      </c>
      <c r="AM189">
        <f>IF('Calc base'!H$14=0,0,MIN(AA189,MAX(0,$E189-SUMIFS($V189:$AG189,'Calc base'!$C$17:$N$17,"&lt;"&amp;'Calc base'!H$17,'Calc base'!$C$14:$N$14,1))))</f>
        <v>0</v>
      </c>
      <c r="AN189">
        <f>IF('Calc base'!I$14=0,0,MIN(AB189,MAX(0,$E189-SUMIFS($V189:$AG189,'Calc base'!$C$17:$N$17,"&lt;"&amp;'Calc base'!I$17,'Calc base'!$C$14:$N$14,1))))</f>
        <v>0</v>
      </c>
      <c r="AO189">
        <f>IF('Calc base'!J$14=0,0,MIN(AC189,MAX(0,$E189-SUMIFS($V189:$AG189,'Calc base'!$C$17:$N$17,"&lt;"&amp;'Calc base'!J$17,'Calc base'!$C$14:$N$14,1))))</f>
        <v>0</v>
      </c>
      <c r="AP189">
        <f>IF('Calc base'!K$14=0,0,MIN(AD189,MAX(0,$E189-SUMIFS($V189:$AG189,'Calc base'!$C$17:$N$17,"&lt;"&amp;'Calc base'!K$17,'Calc base'!$C$14:$N$14,1))))</f>
        <v>0</v>
      </c>
      <c r="AQ189">
        <f>IF('Calc base'!L$14=0,0,MIN(AE189,MAX(0,$E189-SUMIFS($V189:$AG189,'Calc base'!$C$17:$N$17,"&lt;"&amp;'Calc base'!L$17,'Calc base'!$C$14:$N$14,1))))</f>
        <v>0</v>
      </c>
      <c r="AR189">
        <f>IF('Calc base'!M$14=0,0,MIN(AF189,MAX(0,$E189-SUMIFS($V189:$AG189,'Calc base'!$C$17:$N$17,"&lt;"&amp;'Calc base'!M$17,'Calc base'!$C$14:$N$14,1))))</f>
        <v>0</v>
      </c>
      <c r="AS189">
        <f>IF('Calc base'!N$14=0,0,MIN(AG189,MAX(0,$E189-SUMIFS($V189:$AG189,'Calc base'!$C$17:$N$17,"&lt;"&amp;'Calc base'!N$17,'Calc base'!$C$14:$N$14,1))))</f>
        <v>0</v>
      </c>
      <c r="AT189">
        <f>V189-AH189</f>
        <v>0</v>
      </c>
      <c r="AU189">
        <f>W189-AI189</f>
        <v>0</v>
      </c>
      <c r="AV189">
        <f>X189-AJ189</f>
        <v>0</v>
      </c>
      <c r="AW189">
        <f>Y189-AK189</f>
        <v>0</v>
      </c>
      <c r="AX189">
        <f>Z189-AL189</f>
        <v>0</v>
      </c>
      <c r="AY189">
        <f>AA189-AM189</f>
        <v>0</v>
      </c>
      <c r="AZ189">
        <f>AB189-AN189</f>
        <v>0</v>
      </c>
      <c r="BA189">
        <f>AC189-AO189</f>
        <v>0</v>
      </c>
      <c r="BB189">
        <f>AD189-AP189</f>
        <v>0</v>
      </c>
      <c r="BC189">
        <f>AE189-AQ189</f>
        <v>0</v>
      </c>
      <c r="BD189">
        <f>AF189-AR189</f>
        <v>0</v>
      </c>
      <c r="BE189">
        <f>AG189-AS189</f>
        <v>0</v>
      </c>
    </row>
    <row r="190">
      <c r="A190" t="n">
        <v>160</v>
      </c>
      <c r="B190">
        <f>SUMPRODUCT(ROUND($AT189:$BE189*(1+'Calc base'!$H190:$S190),2))</f>
        <v>0</v>
      </c>
      <c r="C190">
        <f>SUM(J190:U190)</f>
        <v>0</v>
      </c>
      <c r="D190">
        <f>SUM(V190:AG190)</f>
        <v>0</v>
      </c>
      <c r="E190">
        <f>MAX(0,IF(Impostazioni!$B$7="No",'Calc base'!$C190-$C$31,'Calc base'!$C190-C190)+'Calc base'!$G190+'Calc base'!$F190-(B190-C190-D190))</f>
        <v>900</v>
      </c>
      <c r="F190">
        <f>SUM(AH190:AS190)</f>
        <v>0</v>
      </c>
      <c r="G190">
        <f>SUM(AT190:BE190)</f>
        <v>0</v>
      </c>
      <c r="H190">
        <f>B190-G189</f>
        <v>0</v>
      </c>
      <c r="I190">
        <f>B190-G190</f>
        <v>0</v>
      </c>
      <c r="J190">
        <f>IF(AT189&lt;=0,0,IF(ROUND(AT189*(1+'Calc base'!H190),2)-MAX('Calc base'!C$12,ROUND('Calc base'!C$13*AT189,2))&lt;1,ROUND(AT189*(1+'Calc base'!H190),2),MAX('Calc base'!C$12,ROUND('Calc base'!C$13*AT189,2))))</f>
        <v>0</v>
      </c>
      <c r="K190">
        <f>IF(AU189&lt;=0,0,IF(ROUND(AU189*(1+'Calc base'!I190),2)-MAX('Calc base'!D$12,ROUND('Calc base'!D$13*AU189,2))&lt;1,ROUND(AU189*(1+'Calc base'!I190),2),MAX('Calc base'!D$12,ROUND('Calc base'!D$13*AU189,2))))</f>
        <v>0</v>
      </c>
      <c r="L190">
        <f>IF(AV189&lt;=0,0,IF(ROUND(AV189*(1+'Calc base'!J190),2)-MAX('Calc base'!E$12,ROUND('Calc base'!E$13*AV189,2))&lt;1,ROUND(AV189*(1+'Calc base'!J190),2),MAX('Calc base'!E$12,ROUND('Calc base'!E$13*AV189,2))))</f>
        <v>0</v>
      </c>
      <c r="M190">
        <f>IF(AW189&lt;=0,0,IF(ROUND(AW189*(1+'Calc base'!K190),2)-MAX('Calc base'!F$12,ROUND('Calc base'!F$13*AW189,2))&lt;1,ROUND(AW189*(1+'Calc base'!K190),2),MAX('Calc base'!F$12,ROUND('Calc base'!F$13*AW189,2))))</f>
        <v>0</v>
      </c>
      <c r="N190">
        <f>IF(AX189&lt;=0,0,IF(ROUND(AX189*(1+'Calc base'!L190),2)-MAX('Calc base'!G$12,ROUND('Calc base'!G$13*AX189,2))&lt;1,ROUND(AX189*(1+'Calc base'!L190),2),MAX('Calc base'!G$12,ROUND('Calc base'!G$13*AX189,2))))</f>
        <v>0</v>
      </c>
      <c r="O190">
        <f>IF(AY189&lt;=0,0,IF(ROUND(AY189*(1+'Calc base'!M190),2)-MAX('Calc base'!H$12,ROUND('Calc base'!H$13*AY189,2))&lt;1,ROUND(AY189*(1+'Calc base'!M190),2),MAX('Calc base'!H$12,ROUND('Calc base'!H$13*AY189,2))))</f>
        <v>0</v>
      </c>
      <c r="P190">
        <f>IF(AZ189&lt;=0,0,IF(ROUND(AZ189*(1+'Calc base'!N190),2)-MAX('Calc base'!I$12,ROUND('Calc base'!I$13*AZ189,2))&lt;1,ROUND(AZ189*(1+'Calc base'!N190),2),MAX('Calc base'!I$12,ROUND('Calc base'!I$13*AZ189,2))))</f>
        <v>0</v>
      </c>
      <c r="Q190">
        <f>IF(BA189&lt;=0,0,IF(ROUND(BA189*(1+'Calc base'!O190),2)-MAX('Calc base'!J$12,ROUND('Calc base'!J$13*BA189,2))&lt;1,ROUND(BA189*(1+'Calc base'!O190),2),MAX('Calc base'!J$12,ROUND('Calc base'!J$13*BA189,2))))</f>
        <v>0</v>
      </c>
      <c r="R190">
        <f>IF(BB189&lt;=0,0,IF(ROUND(BB189*(1+'Calc base'!P190),2)-MAX('Calc base'!K$12,ROUND('Calc base'!K$13*BB189,2))&lt;1,ROUND(BB189*(1+'Calc base'!P190),2),MAX('Calc base'!K$12,ROUND('Calc base'!K$13*BB189,2))))</f>
        <v>0</v>
      </c>
      <c r="S190">
        <f>IF(BC189&lt;=0,0,IF(ROUND(BC189*(1+'Calc base'!Q190),2)-MAX('Calc base'!L$12,ROUND('Calc base'!L$13*BC189,2))&lt;1,ROUND(BC189*(1+'Calc base'!Q190),2),MAX('Calc base'!L$12,ROUND('Calc base'!L$13*BC189,2))))</f>
        <v>0</v>
      </c>
      <c r="T190">
        <f>IF(BD189&lt;=0,0,IF(ROUND(BD189*(1+'Calc base'!R190),2)-MAX('Calc base'!M$12,ROUND('Calc base'!M$13*BD189,2))&lt;1,ROUND(BD189*(1+'Calc base'!R190),2),MAX('Calc base'!M$12,ROUND('Calc base'!M$13*BD189,2))))</f>
        <v>0</v>
      </c>
      <c r="U190">
        <f>IF(BE189&lt;=0,0,IF(ROUND(BE189*(1+'Calc base'!S190),2)-MAX('Calc base'!N$12,ROUND('Calc base'!N$13*BE189,2))&lt;1,ROUND(BE189*(1+'Calc base'!S190),2),MAX('Calc base'!N$12,ROUND('Calc base'!N$13*BE189,2))))</f>
        <v>0</v>
      </c>
      <c r="V190">
        <f>MAX(0,ROUND(AT189*(1+'Calc base'!H190),2)-J190-'Calc base'!T190)</f>
        <v>0</v>
      </c>
      <c r="W190">
        <f>MAX(0,ROUND(AU189*(1+'Calc base'!I190),2)-K190-'Calc base'!U190)</f>
        <v>0</v>
      </c>
      <c r="X190">
        <f>MAX(0,ROUND(AV189*(1+'Calc base'!J190),2)-L190-'Calc base'!V190)</f>
        <v>0</v>
      </c>
      <c r="Y190">
        <f>MAX(0,ROUND(AW189*(1+'Calc base'!K190),2)-M190-'Calc base'!W190)</f>
        <v>0</v>
      </c>
      <c r="Z190">
        <f>MAX(0,ROUND(AX189*(1+'Calc base'!L190),2)-N190-'Calc base'!X190)</f>
        <v>0</v>
      </c>
      <c r="AA190">
        <f>MAX(0,ROUND(AY189*(1+'Calc base'!M190),2)-O190-'Calc base'!Y190)</f>
        <v>0</v>
      </c>
      <c r="AB190">
        <f>MAX(0,ROUND(AZ189*(1+'Calc base'!N190),2)-P190-'Calc base'!Z190)</f>
        <v>0</v>
      </c>
      <c r="AC190">
        <f>MAX(0,ROUND(BA189*(1+'Calc base'!O190),2)-Q190-'Calc base'!AA190)</f>
        <v>0</v>
      </c>
      <c r="AD190">
        <f>MAX(0,ROUND(BB189*(1+'Calc base'!P190),2)-R190-'Calc base'!AB190)</f>
        <v>0</v>
      </c>
      <c r="AE190">
        <f>MAX(0,ROUND(BC189*(1+'Calc base'!Q190),2)-S190-'Calc base'!AC190)</f>
        <v>0</v>
      </c>
      <c r="AF190">
        <f>MAX(0,ROUND(BD189*(1+'Calc base'!R190),2)-T190-'Calc base'!AD190)</f>
        <v>0</v>
      </c>
      <c r="AG190">
        <f>MAX(0,ROUND(BE189*(1+'Calc base'!S190),2)-U190-'Calc base'!AE190)</f>
        <v>0</v>
      </c>
      <c r="AH190">
        <f>IF('Calc base'!C$14=0,0,MIN(V190,MAX(0,$E190-SUMIFS($V190:$AG190,'Calc base'!$C$17:$N$17,"&lt;"&amp;'Calc base'!C$17,'Calc base'!$C$14:$N$14,1))))</f>
        <v>0</v>
      </c>
      <c r="AI190">
        <f>IF('Calc base'!D$14=0,0,MIN(W190,MAX(0,$E190-SUMIFS($V190:$AG190,'Calc base'!$C$17:$N$17,"&lt;"&amp;'Calc base'!D$17,'Calc base'!$C$14:$N$14,1))))</f>
        <v>0</v>
      </c>
      <c r="AJ190">
        <f>IF('Calc base'!E$14=0,0,MIN(X190,MAX(0,$E190-SUMIFS($V190:$AG190,'Calc base'!$C$17:$N$17,"&lt;"&amp;'Calc base'!E$17,'Calc base'!$C$14:$N$14,1))))</f>
        <v>0</v>
      </c>
      <c r="AK190">
        <f>IF('Calc base'!F$14=0,0,MIN(Y190,MAX(0,$E190-SUMIFS($V190:$AG190,'Calc base'!$C$17:$N$17,"&lt;"&amp;'Calc base'!F$17,'Calc base'!$C$14:$N$14,1))))</f>
        <v>0</v>
      </c>
      <c r="AL190">
        <f>IF('Calc base'!G$14=0,0,MIN(Z190,MAX(0,$E190-SUMIFS($V190:$AG190,'Calc base'!$C$17:$N$17,"&lt;"&amp;'Calc base'!G$17,'Calc base'!$C$14:$N$14,1))))</f>
        <v>0</v>
      </c>
      <c r="AM190">
        <f>IF('Calc base'!H$14=0,0,MIN(AA190,MAX(0,$E190-SUMIFS($V190:$AG190,'Calc base'!$C$17:$N$17,"&lt;"&amp;'Calc base'!H$17,'Calc base'!$C$14:$N$14,1))))</f>
        <v>0</v>
      </c>
      <c r="AN190">
        <f>IF('Calc base'!I$14=0,0,MIN(AB190,MAX(0,$E190-SUMIFS($V190:$AG190,'Calc base'!$C$17:$N$17,"&lt;"&amp;'Calc base'!I$17,'Calc base'!$C$14:$N$14,1))))</f>
        <v>0</v>
      </c>
      <c r="AO190">
        <f>IF('Calc base'!J$14=0,0,MIN(AC190,MAX(0,$E190-SUMIFS($V190:$AG190,'Calc base'!$C$17:$N$17,"&lt;"&amp;'Calc base'!J$17,'Calc base'!$C$14:$N$14,1))))</f>
        <v>0</v>
      </c>
      <c r="AP190">
        <f>IF('Calc base'!K$14=0,0,MIN(AD190,MAX(0,$E190-SUMIFS($V190:$AG190,'Calc base'!$C$17:$N$17,"&lt;"&amp;'Calc base'!K$17,'Calc base'!$C$14:$N$14,1))))</f>
        <v>0</v>
      </c>
      <c r="AQ190">
        <f>IF('Calc base'!L$14=0,0,MIN(AE190,MAX(0,$E190-SUMIFS($V190:$AG190,'Calc base'!$C$17:$N$17,"&lt;"&amp;'Calc base'!L$17,'Calc base'!$C$14:$N$14,1))))</f>
        <v>0</v>
      </c>
      <c r="AR190">
        <f>IF('Calc base'!M$14=0,0,MIN(AF190,MAX(0,$E190-SUMIFS($V190:$AG190,'Calc base'!$C$17:$N$17,"&lt;"&amp;'Calc base'!M$17,'Calc base'!$C$14:$N$14,1))))</f>
        <v>0</v>
      </c>
      <c r="AS190">
        <f>IF('Calc base'!N$14=0,0,MIN(AG190,MAX(0,$E190-SUMIFS($V190:$AG190,'Calc base'!$C$17:$N$17,"&lt;"&amp;'Calc base'!N$17,'Calc base'!$C$14:$N$14,1))))</f>
        <v>0</v>
      </c>
      <c r="AT190">
        <f>V190-AH190</f>
        <v>0</v>
      </c>
      <c r="AU190">
        <f>W190-AI190</f>
        <v>0</v>
      </c>
      <c r="AV190">
        <f>X190-AJ190</f>
        <v>0</v>
      </c>
      <c r="AW190">
        <f>Y190-AK190</f>
        <v>0</v>
      </c>
      <c r="AX190">
        <f>Z190-AL190</f>
        <v>0</v>
      </c>
      <c r="AY190">
        <f>AA190-AM190</f>
        <v>0</v>
      </c>
      <c r="AZ190">
        <f>AB190-AN190</f>
        <v>0</v>
      </c>
      <c r="BA190">
        <f>AC190-AO190</f>
        <v>0</v>
      </c>
      <c r="BB190">
        <f>AD190-AP190</f>
        <v>0</v>
      </c>
      <c r="BC190">
        <f>AE190-AQ190</f>
        <v>0</v>
      </c>
      <c r="BD190">
        <f>AF190-AR190</f>
        <v>0</v>
      </c>
      <c r="BE190">
        <f>AG190-AS190</f>
        <v>0</v>
      </c>
    </row>
    <row r="191">
      <c r="A191" t="n">
        <v>161</v>
      </c>
      <c r="B191">
        <f>SUMPRODUCT(ROUND($AT190:$BE190*(1+'Calc base'!$H191:$S191),2))</f>
        <v>0</v>
      </c>
      <c r="C191">
        <f>SUM(J191:U191)</f>
        <v>0</v>
      </c>
      <c r="D191">
        <f>SUM(V191:AG191)</f>
        <v>0</v>
      </c>
      <c r="E191">
        <f>MAX(0,IF(Impostazioni!$B$7="No",'Calc base'!$C191-$C$31,'Calc base'!$C191-C191)+'Calc base'!$G191+'Calc base'!$F191-(B191-C191-D191))</f>
        <v>900</v>
      </c>
      <c r="F191">
        <f>SUM(AH191:AS191)</f>
        <v>0</v>
      </c>
      <c r="G191">
        <f>SUM(AT191:BE191)</f>
        <v>0</v>
      </c>
      <c r="H191">
        <f>B191-G190</f>
        <v>0</v>
      </c>
      <c r="I191">
        <f>B191-G191</f>
        <v>0</v>
      </c>
      <c r="J191">
        <f>IF(AT190&lt;=0,0,IF(ROUND(AT190*(1+'Calc base'!H191),2)-MAX('Calc base'!C$12,ROUND('Calc base'!C$13*AT190,2))&lt;1,ROUND(AT190*(1+'Calc base'!H191),2),MAX('Calc base'!C$12,ROUND('Calc base'!C$13*AT190,2))))</f>
        <v>0</v>
      </c>
      <c r="K191">
        <f>IF(AU190&lt;=0,0,IF(ROUND(AU190*(1+'Calc base'!I191),2)-MAX('Calc base'!D$12,ROUND('Calc base'!D$13*AU190,2))&lt;1,ROUND(AU190*(1+'Calc base'!I191),2),MAX('Calc base'!D$12,ROUND('Calc base'!D$13*AU190,2))))</f>
        <v>0</v>
      </c>
      <c r="L191">
        <f>IF(AV190&lt;=0,0,IF(ROUND(AV190*(1+'Calc base'!J191),2)-MAX('Calc base'!E$12,ROUND('Calc base'!E$13*AV190,2))&lt;1,ROUND(AV190*(1+'Calc base'!J191),2),MAX('Calc base'!E$12,ROUND('Calc base'!E$13*AV190,2))))</f>
        <v>0</v>
      </c>
      <c r="M191">
        <f>IF(AW190&lt;=0,0,IF(ROUND(AW190*(1+'Calc base'!K191),2)-MAX('Calc base'!F$12,ROUND('Calc base'!F$13*AW190,2))&lt;1,ROUND(AW190*(1+'Calc base'!K191),2),MAX('Calc base'!F$12,ROUND('Calc base'!F$13*AW190,2))))</f>
        <v>0</v>
      </c>
      <c r="N191">
        <f>IF(AX190&lt;=0,0,IF(ROUND(AX190*(1+'Calc base'!L191),2)-MAX('Calc base'!G$12,ROUND('Calc base'!G$13*AX190,2))&lt;1,ROUND(AX190*(1+'Calc base'!L191),2),MAX('Calc base'!G$12,ROUND('Calc base'!G$13*AX190,2))))</f>
        <v>0</v>
      </c>
      <c r="O191">
        <f>IF(AY190&lt;=0,0,IF(ROUND(AY190*(1+'Calc base'!M191),2)-MAX('Calc base'!H$12,ROUND('Calc base'!H$13*AY190,2))&lt;1,ROUND(AY190*(1+'Calc base'!M191),2),MAX('Calc base'!H$12,ROUND('Calc base'!H$13*AY190,2))))</f>
        <v>0</v>
      </c>
      <c r="P191">
        <f>IF(AZ190&lt;=0,0,IF(ROUND(AZ190*(1+'Calc base'!N191),2)-MAX('Calc base'!I$12,ROUND('Calc base'!I$13*AZ190,2))&lt;1,ROUND(AZ190*(1+'Calc base'!N191),2),MAX('Calc base'!I$12,ROUND('Calc base'!I$13*AZ190,2))))</f>
        <v>0</v>
      </c>
      <c r="Q191">
        <f>IF(BA190&lt;=0,0,IF(ROUND(BA190*(1+'Calc base'!O191),2)-MAX('Calc base'!J$12,ROUND('Calc base'!J$13*BA190,2))&lt;1,ROUND(BA190*(1+'Calc base'!O191),2),MAX('Calc base'!J$12,ROUND('Calc base'!J$13*BA190,2))))</f>
        <v>0</v>
      </c>
      <c r="R191">
        <f>IF(BB190&lt;=0,0,IF(ROUND(BB190*(1+'Calc base'!P191),2)-MAX('Calc base'!K$12,ROUND('Calc base'!K$13*BB190,2))&lt;1,ROUND(BB190*(1+'Calc base'!P191),2),MAX('Calc base'!K$12,ROUND('Calc base'!K$13*BB190,2))))</f>
        <v>0</v>
      </c>
      <c r="S191">
        <f>IF(BC190&lt;=0,0,IF(ROUND(BC190*(1+'Calc base'!Q191),2)-MAX('Calc base'!L$12,ROUND('Calc base'!L$13*BC190,2))&lt;1,ROUND(BC190*(1+'Calc base'!Q191),2),MAX('Calc base'!L$12,ROUND('Calc base'!L$13*BC190,2))))</f>
        <v>0</v>
      </c>
      <c r="T191">
        <f>IF(BD190&lt;=0,0,IF(ROUND(BD190*(1+'Calc base'!R191),2)-MAX('Calc base'!M$12,ROUND('Calc base'!M$13*BD190,2))&lt;1,ROUND(BD190*(1+'Calc base'!R191),2),MAX('Calc base'!M$12,ROUND('Calc base'!M$13*BD190,2))))</f>
        <v>0</v>
      </c>
      <c r="U191">
        <f>IF(BE190&lt;=0,0,IF(ROUND(BE190*(1+'Calc base'!S191),2)-MAX('Calc base'!N$12,ROUND('Calc base'!N$13*BE190,2))&lt;1,ROUND(BE190*(1+'Calc base'!S191),2),MAX('Calc base'!N$12,ROUND('Calc base'!N$13*BE190,2))))</f>
        <v>0</v>
      </c>
      <c r="V191">
        <f>MAX(0,ROUND(AT190*(1+'Calc base'!H191),2)-J191-'Calc base'!T191)</f>
        <v>0</v>
      </c>
      <c r="W191">
        <f>MAX(0,ROUND(AU190*(1+'Calc base'!I191),2)-K191-'Calc base'!U191)</f>
        <v>0</v>
      </c>
      <c r="X191">
        <f>MAX(0,ROUND(AV190*(1+'Calc base'!J191),2)-L191-'Calc base'!V191)</f>
        <v>0</v>
      </c>
      <c r="Y191">
        <f>MAX(0,ROUND(AW190*(1+'Calc base'!K191),2)-M191-'Calc base'!W191)</f>
        <v>0</v>
      </c>
      <c r="Z191">
        <f>MAX(0,ROUND(AX190*(1+'Calc base'!L191),2)-N191-'Calc base'!X191)</f>
        <v>0</v>
      </c>
      <c r="AA191">
        <f>MAX(0,ROUND(AY190*(1+'Calc base'!M191),2)-O191-'Calc base'!Y191)</f>
        <v>0</v>
      </c>
      <c r="AB191">
        <f>MAX(0,ROUND(AZ190*(1+'Calc base'!N191),2)-P191-'Calc base'!Z191)</f>
        <v>0</v>
      </c>
      <c r="AC191">
        <f>MAX(0,ROUND(BA190*(1+'Calc base'!O191),2)-Q191-'Calc base'!AA191)</f>
        <v>0</v>
      </c>
      <c r="AD191">
        <f>MAX(0,ROUND(BB190*(1+'Calc base'!P191),2)-R191-'Calc base'!AB191)</f>
        <v>0</v>
      </c>
      <c r="AE191">
        <f>MAX(0,ROUND(BC190*(1+'Calc base'!Q191),2)-S191-'Calc base'!AC191)</f>
        <v>0</v>
      </c>
      <c r="AF191">
        <f>MAX(0,ROUND(BD190*(1+'Calc base'!R191),2)-T191-'Calc base'!AD191)</f>
        <v>0</v>
      </c>
      <c r="AG191">
        <f>MAX(0,ROUND(BE190*(1+'Calc base'!S191),2)-U191-'Calc base'!AE191)</f>
        <v>0</v>
      </c>
      <c r="AH191">
        <f>IF('Calc base'!C$14=0,0,MIN(V191,MAX(0,$E191-SUMIFS($V191:$AG191,'Calc base'!$C$17:$N$17,"&lt;"&amp;'Calc base'!C$17,'Calc base'!$C$14:$N$14,1))))</f>
        <v>0</v>
      </c>
      <c r="AI191">
        <f>IF('Calc base'!D$14=0,0,MIN(W191,MAX(0,$E191-SUMIFS($V191:$AG191,'Calc base'!$C$17:$N$17,"&lt;"&amp;'Calc base'!D$17,'Calc base'!$C$14:$N$14,1))))</f>
        <v>0</v>
      </c>
      <c r="AJ191">
        <f>IF('Calc base'!E$14=0,0,MIN(X191,MAX(0,$E191-SUMIFS($V191:$AG191,'Calc base'!$C$17:$N$17,"&lt;"&amp;'Calc base'!E$17,'Calc base'!$C$14:$N$14,1))))</f>
        <v>0</v>
      </c>
      <c r="AK191">
        <f>IF('Calc base'!F$14=0,0,MIN(Y191,MAX(0,$E191-SUMIFS($V191:$AG191,'Calc base'!$C$17:$N$17,"&lt;"&amp;'Calc base'!F$17,'Calc base'!$C$14:$N$14,1))))</f>
        <v>0</v>
      </c>
      <c r="AL191">
        <f>IF('Calc base'!G$14=0,0,MIN(Z191,MAX(0,$E191-SUMIFS($V191:$AG191,'Calc base'!$C$17:$N$17,"&lt;"&amp;'Calc base'!G$17,'Calc base'!$C$14:$N$14,1))))</f>
        <v>0</v>
      </c>
      <c r="AM191">
        <f>IF('Calc base'!H$14=0,0,MIN(AA191,MAX(0,$E191-SUMIFS($V191:$AG191,'Calc base'!$C$17:$N$17,"&lt;"&amp;'Calc base'!H$17,'Calc base'!$C$14:$N$14,1))))</f>
        <v>0</v>
      </c>
      <c r="AN191">
        <f>IF('Calc base'!I$14=0,0,MIN(AB191,MAX(0,$E191-SUMIFS($V191:$AG191,'Calc base'!$C$17:$N$17,"&lt;"&amp;'Calc base'!I$17,'Calc base'!$C$14:$N$14,1))))</f>
        <v>0</v>
      </c>
      <c r="AO191">
        <f>IF('Calc base'!J$14=0,0,MIN(AC191,MAX(0,$E191-SUMIFS($V191:$AG191,'Calc base'!$C$17:$N$17,"&lt;"&amp;'Calc base'!J$17,'Calc base'!$C$14:$N$14,1))))</f>
        <v>0</v>
      </c>
      <c r="AP191">
        <f>IF('Calc base'!K$14=0,0,MIN(AD191,MAX(0,$E191-SUMIFS($V191:$AG191,'Calc base'!$C$17:$N$17,"&lt;"&amp;'Calc base'!K$17,'Calc base'!$C$14:$N$14,1))))</f>
        <v>0</v>
      </c>
      <c r="AQ191">
        <f>IF('Calc base'!L$14=0,0,MIN(AE191,MAX(0,$E191-SUMIFS($V191:$AG191,'Calc base'!$C$17:$N$17,"&lt;"&amp;'Calc base'!L$17,'Calc base'!$C$14:$N$14,1))))</f>
        <v>0</v>
      </c>
      <c r="AR191">
        <f>IF('Calc base'!M$14=0,0,MIN(AF191,MAX(0,$E191-SUMIFS($V191:$AG191,'Calc base'!$C$17:$N$17,"&lt;"&amp;'Calc base'!M$17,'Calc base'!$C$14:$N$14,1))))</f>
        <v>0</v>
      </c>
      <c r="AS191">
        <f>IF('Calc base'!N$14=0,0,MIN(AG191,MAX(0,$E191-SUMIFS($V191:$AG191,'Calc base'!$C$17:$N$17,"&lt;"&amp;'Calc base'!N$17,'Calc base'!$C$14:$N$14,1))))</f>
        <v>0</v>
      </c>
      <c r="AT191">
        <f>V191-AH191</f>
        <v>0</v>
      </c>
      <c r="AU191">
        <f>W191-AI191</f>
        <v>0</v>
      </c>
      <c r="AV191">
        <f>X191-AJ191</f>
        <v>0</v>
      </c>
      <c r="AW191">
        <f>Y191-AK191</f>
        <v>0</v>
      </c>
      <c r="AX191">
        <f>Z191-AL191</f>
        <v>0</v>
      </c>
      <c r="AY191">
        <f>AA191-AM191</f>
        <v>0</v>
      </c>
      <c r="AZ191">
        <f>AB191-AN191</f>
        <v>0</v>
      </c>
      <c r="BA191">
        <f>AC191-AO191</f>
        <v>0</v>
      </c>
      <c r="BB191">
        <f>AD191-AP191</f>
        <v>0</v>
      </c>
      <c r="BC191">
        <f>AE191-AQ191</f>
        <v>0</v>
      </c>
      <c r="BD191">
        <f>AF191-AR191</f>
        <v>0</v>
      </c>
      <c r="BE191">
        <f>AG191-AS191</f>
        <v>0</v>
      </c>
    </row>
    <row r="192">
      <c r="A192" t="n">
        <v>162</v>
      </c>
      <c r="B192">
        <f>SUMPRODUCT(ROUND($AT191:$BE191*(1+'Calc base'!$H192:$S192),2))</f>
        <v>0</v>
      </c>
      <c r="C192">
        <f>SUM(J192:U192)</f>
        <v>0</v>
      </c>
      <c r="D192">
        <f>SUM(V192:AG192)</f>
        <v>0</v>
      </c>
      <c r="E192">
        <f>MAX(0,IF(Impostazioni!$B$7="No",'Calc base'!$C192-$C$31,'Calc base'!$C192-C192)+'Calc base'!$G192+'Calc base'!$F192-(B192-C192-D192))</f>
        <v>900</v>
      </c>
      <c r="F192">
        <f>SUM(AH192:AS192)</f>
        <v>0</v>
      </c>
      <c r="G192">
        <f>SUM(AT192:BE192)</f>
        <v>0</v>
      </c>
      <c r="H192">
        <f>B192-G191</f>
        <v>0</v>
      </c>
      <c r="I192">
        <f>B192-G192</f>
        <v>0</v>
      </c>
      <c r="J192">
        <f>IF(AT191&lt;=0,0,IF(ROUND(AT191*(1+'Calc base'!H192),2)-MAX('Calc base'!C$12,ROUND('Calc base'!C$13*AT191,2))&lt;1,ROUND(AT191*(1+'Calc base'!H192),2),MAX('Calc base'!C$12,ROUND('Calc base'!C$13*AT191,2))))</f>
        <v>0</v>
      </c>
      <c r="K192">
        <f>IF(AU191&lt;=0,0,IF(ROUND(AU191*(1+'Calc base'!I192),2)-MAX('Calc base'!D$12,ROUND('Calc base'!D$13*AU191,2))&lt;1,ROUND(AU191*(1+'Calc base'!I192),2),MAX('Calc base'!D$12,ROUND('Calc base'!D$13*AU191,2))))</f>
        <v>0</v>
      </c>
      <c r="L192">
        <f>IF(AV191&lt;=0,0,IF(ROUND(AV191*(1+'Calc base'!J192),2)-MAX('Calc base'!E$12,ROUND('Calc base'!E$13*AV191,2))&lt;1,ROUND(AV191*(1+'Calc base'!J192),2),MAX('Calc base'!E$12,ROUND('Calc base'!E$13*AV191,2))))</f>
        <v>0</v>
      </c>
      <c r="M192">
        <f>IF(AW191&lt;=0,0,IF(ROUND(AW191*(1+'Calc base'!K192),2)-MAX('Calc base'!F$12,ROUND('Calc base'!F$13*AW191,2))&lt;1,ROUND(AW191*(1+'Calc base'!K192),2),MAX('Calc base'!F$12,ROUND('Calc base'!F$13*AW191,2))))</f>
        <v>0</v>
      </c>
      <c r="N192">
        <f>IF(AX191&lt;=0,0,IF(ROUND(AX191*(1+'Calc base'!L192),2)-MAX('Calc base'!G$12,ROUND('Calc base'!G$13*AX191,2))&lt;1,ROUND(AX191*(1+'Calc base'!L192),2),MAX('Calc base'!G$12,ROUND('Calc base'!G$13*AX191,2))))</f>
        <v>0</v>
      </c>
      <c r="O192">
        <f>IF(AY191&lt;=0,0,IF(ROUND(AY191*(1+'Calc base'!M192),2)-MAX('Calc base'!H$12,ROUND('Calc base'!H$13*AY191,2))&lt;1,ROUND(AY191*(1+'Calc base'!M192),2),MAX('Calc base'!H$12,ROUND('Calc base'!H$13*AY191,2))))</f>
        <v>0</v>
      </c>
      <c r="P192">
        <f>IF(AZ191&lt;=0,0,IF(ROUND(AZ191*(1+'Calc base'!N192),2)-MAX('Calc base'!I$12,ROUND('Calc base'!I$13*AZ191,2))&lt;1,ROUND(AZ191*(1+'Calc base'!N192),2),MAX('Calc base'!I$12,ROUND('Calc base'!I$13*AZ191,2))))</f>
        <v>0</v>
      </c>
      <c r="Q192">
        <f>IF(BA191&lt;=0,0,IF(ROUND(BA191*(1+'Calc base'!O192),2)-MAX('Calc base'!J$12,ROUND('Calc base'!J$13*BA191,2))&lt;1,ROUND(BA191*(1+'Calc base'!O192),2),MAX('Calc base'!J$12,ROUND('Calc base'!J$13*BA191,2))))</f>
        <v>0</v>
      </c>
      <c r="R192">
        <f>IF(BB191&lt;=0,0,IF(ROUND(BB191*(1+'Calc base'!P192),2)-MAX('Calc base'!K$12,ROUND('Calc base'!K$13*BB191,2))&lt;1,ROUND(BB191*(1+'Calc base'!P192),2),MAX('Calc base'!K$12,ROUND('Calc base'!K$13*BB191,2))))</f>
        <v>0</v>
      </c>
      <c r="S192">
        <f>IF(BC191&lt;=0,0,IF(ROUND(BC191*(1+'Calc base'!Q192),2)-MAX('Calc base'!L$12,ROUND('Calc base'!L$13*BC191,2))&lt;1,ROUND(BC191*(1+'Calc base'!Q192),2),MAX('Calc base'!L$12,ROUND('Calc base'!L$13*BC191,2))))</f>
        <v>0</v>
      </c>
      <c r="T192">
        <f>IF(BD191&lt;=0,0,IF(ROUND(BD191*(1+'Calc base'!R192),2)-MAX('Calc base'!M$12,ROUND('Calc base'!M$13*BD191,2))&lt;1,ROUND(BD191*(1+'Calc base'!R192),2),MAX('Calc base'!M$12,ROUND('Calc base'!M$13*BD191,2))))</f>
        <v>0</v>
      </c>
      <c r="U192">
        <f>IF(BE191&lt;=0,0,IF(ROUND(BE191*(1+'Calc base'!S192),2)-MAX('Calc base'!N$12,ROUND('Calc base'!N$13*BE191,2))&lt;1,ROUND(BE191*(1+'Calc base'!S192),2),MAX('Calc base'!N$12,ROUND('Calc base'!N$13*BE191,2))))</f>
        <v>0</v>
      </c>
      <c r="V192">
        <f>MAX(0,ROUND(AT191*(1+'Calc base'!H192),2)-J192-'Calc base'!T192)</f>
        <v>0</v>
      </c>
      <c r="W192">
        <f>MAX(0,ROUND(AU191*(1+'Calc base'!I192),2)-K192-'Calc base'!U192)</f>
        <v>0</v>
      </c>
      <c r="X192">
        <f>MAX(0,ROUND(AV191*(1+'Calc base'!J192),2)-L192-'Calc base'!V192)</f>
        <v>0</v>
      </c>
      <c r="Y192">
        <f>MAX(0,ROUND(AW191*(1+'Calc base'!K192),2)-M192-'Calc base'!W192)</f>
        <v>0</v>
      </c>
      <c r="Z192">
        <f>MAX(0,ROUND(AX191*(1+'Calc base'!L192),2)-N192-'Calc base'!X192)</f>
        <v>0</v>
      </c>
      <c r="AA192">
        <f>MAX(0,ROUND(AY191*(1+'Calc base'!M192),2)-O192-'Calc base'!Y192)</f>
        <v>0</v>
      </c>
      <c r="AB192">
        <f>MAX(0,ROUND(AZ191*(1+'Calc base'!N192),2)-P192-'Calc base'!Z192)</f>
        <v>0</v>
      </c>
      <c r="AC192">
        <f>MAX(0,ROUND(BA191*(1+'Calc base'!O192),2)-Q192-'Calc base'!AA192)</f>
        <v>0</v>
      </c>
      <c r="AD192">
        <f>MAX(0,ROUND(BB191*(1+'Calc base'!P192),2)-R192-'Calc base'!AB192)</f>
        <v>0</v>
      </c>
      <c r="AE192">
        <f>MAX(0,ROUND(BC191*(1+'Calc base'!Q192),2)-S192-'Calc base'!AC192)</f>
        <v>0</v>
      </c>
      <c r="AF192">
        <f>MAX(0,ROUND(BD191*(1+'Calc base'!R192),2)-T192-'Calc base'!AD192)</f>
        <v>0</v>
      </c>
      <c r="AG192">
        <f>MAX(0,ROUND(BE191*(1+'Calc base'!S192),2)-U192-'Calc base'!AE192)</f>
        <v>0</v>
      </c>
      <c r="AH192">
        <f>IF('Calc base'!C$14=0,0,MIN(V192,MAX(0,$E192-SUMIFS($V192:$AG192,'Calc base'!$C$17:$N$17,"&lt;"&amp;'Calc base'!C$17,'Calc base'!$C$14:$N$14,1))))</f>
        <v>0</v>
      </c>
      <c r="AI192">
        <f>IF('Calc base'!D$14=0,0,MIN(W192,MAX(0,$E192-SUMIFS($V192:$AG192,'Calc base'!$C$17:$N$17,"&lt;"&amp;'Calc base'!D$17,'Calc base'!$C$14:$N$14,1))))</f>
        <v>0</v>
      </c>
      <c r="AJ192">
        <f>IF('Calc base'!E$14=0,0,MIN(X192,MAX(0,$E192-SUMIFS($V192:$AG192,'Calc base'!$C$17:$N$17,"&lt;"&amp;'Calc base'!E$17,'Calc base'!$C$14:$N$14,1))))</f>
        <v>0</v>
      </c>
      <c r="AK192">
        <f>IF('Calc base'!F$14=0,0,MIN(Y192,MAX(0,$E192-SUMIFS($V192:$AG192,'Calc base'!$C$17:$N$17,"&lt;"&amp;'Calc base'!F$17,'Calc base'!$C$14:$N$14,1))))</f>
        <v>0</v>
      </c>
      <c r="AL192">
        <f>IF('Calc base'!G$14=0,0,MIN(Z192,MAX(0,$E192-SUMIFS($V192:$AG192,'Calc base'!$C$17:$N$17,"&lt;"&amp;'Calc base'!G$17,'Calc base'!$C$14:$N$14,1))))</f>
        <v>0</v>
      </c>
      <c r="AM192">
        <f>IF('Calc base'!H$14=0,0,MIN(AA192,MAX(0,$E192-SUMIFS($V192:$AG192,'Calc base'!$C$17:$N$17,"&lt;"&amp;'Calc base'!H$17,'Calc base'!$C$14:$N$14,1))))</f>
        <v>0</v>
      </c>
      <c r="AN192">
        <f>IF('Calc base'!I$14=0,0,MIN(AB192,MAX(0,$E192-SUMIFS($V192:$AG192,'Calc base'!$C$17:$N$17,"&lt;"&amp;'Calc base'!I$17,'Calc base'!$C$14:$N$14,1))))</f>
        <v>0</v>
      </c>
      <c r="AO192">
        <f>IF('Calc base'!J$14=0,0,MIN(AC192,MAX(0,$E192-SUMIFS($V192:$AG192,'Calc base'!$C$17:$N$17,"&lt;"&amp;'Calc base'!J$17,'Calc base'!$C$14:$N$14,1))))</f>
        <v>0</v>
      </c>
      <c r="AP192">
        <f>IF('Calc base'!K$14=0,0,MIN(AD192,MAX(0,$E192-SUMIFS($V192:$AG192,'Calc base'!$C$17:$N$17,"&lt;"&amp;'Calc base'!K$17,'Calc base'!$C$14:$N$14,1))))</f>
        <v>0</v>
      </c>
      <c r="AQ192">
        <f>IF('Calc base'!L$14=0,0,MIN(AE192,MAX(0,$E192-SUMIFS($V192:$AG192,'Calc base'!$C$17:$N$17,"&lt;"&amp;'Calc base'!L$17,'Calc base'!$C$14:$N$14,1))))</f>
        <v>0</v>
      </c>
      <c r="AR192">
        <f>IF('Calc base'!M$14=0,0,MIN(AF192,MAX(0,$E192-SUMIFS($V192:$AG192,'Calc base'!$C$17:$N$17,"&lt;"&amp;'Calc base'!M$17,'Calc base'!$C$14:$N$14,1))))</f>
        <v>0</v>
      </c>
      <c r="AS192">
        <f>IF('Calc base'!N$14=0,0,MIN(AG192,MAX(0,$E192-SUMIFS($V192:$AG192,'Calc base'!$C$17:$N$17,"&lt;"&amp;'Calc base'!N$17,'Calc base'!$C$14:$N$14,1))))</f>
        <v>0</v>
      </c>
      <c r="AT192">
        <f>V192-AH192</f>
        <v>0</v>
      </c>
      <c r="AU192">
        <f>W192-AI192</f>
        <v>0</v>
      </c>
      <c r="AV192">
        <f>X192-AJ192</f>
        <v>0</v>
      </c>
      <c r="AW192">
        <f>Y192-AK192</f>
        <v>0</v>
      </c>
      <c r="AX192">
        <f>Z192-AL192</f>
        <v>0</v>
      </c>
      <c r="AY192">
        <f>AA192-AM192</f>
        <v>0</v>
      </c>
      <c r="AZ192">
        <f>AB192-AN192</f>
        <v>0</v>
      </c>
      <c r="BA192">
        <f>AC192-AO192</f>
        <v>0</v>
      </c>
      <c r="BB192">
        <f>AD192-AP192</f>
        <v>0</v>
      </c>
      <c r="BC192">
        <f>AE192-AQ192</f>
        <v>0</v>
      </c>
      <c r="BD192">
        <f>AF192-AR192</f>
        <v>0</v>
      </c>
      <c r="BE192">
        <f>AG192-AS192</f>
        <v>0</v>
      </c>
    </row>
    <row r="193">
      <c r="A193" t="n">
        <v>163</v>
      </c>
      <c r="B193">
        <f>SUMPRODUCT(ROUND($AT192:$BE192*(1+'Calc base'!$H193:$S193),2))</f>
        <v>0</v>
      </c>
      <c r="C193">
        <f>SUM(J193:U193)</f>
        <v>0</v>
      </c>
      <c r="D193">
        <f>SUM(V193:AG193)</f>
        <v>0</v>
      </c>
      <c r="E193">
        <f>MAX(0,IF(Impostazioni!$B$7="No",'Calc base'!$C193-$C$31,'Calc base'!$C193-C193)+'Calc base'!$G193+'Calc base'!$F193-(B193-C193-D193))</f>
        <v>900</v>
      </c>
      <c r="F193">
        <f>SUM(AH193:AS193)</f>
        <v>0</v>
      </c>
      <c r="G193">
        <f>SUM(AT193:BE193)</f>
        <v>0</v>
      </c>
      <c r="H193">
        <f>B193-G192</f>
        <v>0</v>
      </c>
      <c r="I193">
        <f>B193-G193</f>
        <v>0</v>
      </c>
      <c r="J193">
        <f>IF(AT192&lt;=0,0,IF(ROUND(AT192*(1+'Calc base'!H193),2)-MAX('Calc base'!C$12,ROUND('Calc base'!C$13*AT192,2))&lt;1,ROUND(AT192*(1+'Calc base'!H193),2),MAX('Calc base'!C$12,ROUND('Calc base'!C$13*AT192,2))))</f>
        <v>0</v>
      </c>
      <c r="K193">
        <f>IF(AU192&lt;=0,0,IF(ROUND(AU192*(1+'Calc base'!I193),2)-MAX('Calc base'!D$12,ROUND('Calc base'!D$13*AU192,2))&lt;1,ROUND(AU192*(1+'Calc base'!I193),2),MAX('Calc base'!D$12,ROUND('Calc base'!D$13*AU192,2))))</f>
        <v>0</v>
      </c>
      <c r="L193">
        <f>IF(AV192&lt;=0,0,IF(ROUND(AV192*(1+'Calc base'!J193),2)-MAX('Calc base'!E$12,ROUND('Calc base'!E$13*AV192,2))&lt;1,ROUND(AV192*(1+'Calc base'!J193),2),MAX('Calc base'!E$12,ROUND('Calc base'!E$13*AV192,2))))</f>
        <v>0</v>
      </c>
      <c r="M193">
        <f>IF(AW192&lt;=0,0,IF(ROUND(AW192*(1+'Calc base'!K193),2)-MAX('Calc base'!F$12,ROUND('Calc base'!F$13*AW192,2))&lt;1,ROUND(AW192*(1+'Calc base'!K193),2),MAX('Calc base'!F$12,ROUND('Calc base'!F$13*AW192,2))))</f>
        <v>0</v>
      </c>
      <c r="N193">
        <f>IF(AX192&lt;=0,0,IF(ROUND(AX192*(1+'Calc base'!L193),2)-MAX('Calc base'!G$12,ROUND('Calc base'!G$13*AX192,2))&lt;1,ROUND(AX192*(1+'Calc base'!L193),2),MAX('Calc base'!G$12,ROUND('Calc base'!G$13*AX192,2))))</f>
        <v>0</v>
      </c>
      <c r="O193">
        <f>IF(AY192&lt;=0,0,IF(ROUND(AY192*(1+'Calc base'!M193),2)-MAX('Calc base'!H$12,ROUND('Calc base'!H$13*AY192,2))&lt;1,ROUND(AY192*(1+'Calc base'!M193),2),MAX('Calc base'!H$12,ROUND('Calc base'!H$13*AY192,2))))</f>
        <v>0</v>
      </c>
      <c r="P193">
        <f>IF(AZ192&lt;=0,0,IF(ROUND(AZ192*(1+'Calc base'!N193),2)-MAX('Calc base'!I$12,ROUND('Calc base'!I$13*AZ192,2))&lt;1,ROUND(AZ192*(1+'Calc base'!N193),2),MAX('Calc base'!I$12,ROUND('Calc base'!I$13*AZ192,2))))</f>
        <v>0</v>
      </c>
      <c r="Q193">
        <f>IF(BA192&lt;=0,0,IF(ROUND(BA192*(1+'Calc base'!O193),2)-MAX('Calc base'!J$12,ROUND('Calc base'!J$13*BA192,2))&lt;1,ROUND(BA192*(1+'Calc base'!O193),2),MAX('Calc base'!J$12,ROUND('Calc base'!J$13*BA192,2))))</f>
        <v>0</v>
      </c>
      <c r="R193">
        <f>IF(BB192&lt;=0,0,IF(ROUND(BB192*(1+'Calc base'!P193),2)-MAX('Calc base'!K$12,ROUND('Calc base'!K$13*BB192,2))&lt;1,ROUND(BB192*(1+'Calc base'!P193),2),MAX('Calc base'!K$12,ROUND('Calc base'!K$13*BB192,2))))</f>
        <v>0</v>
      </c>
      <c r="S193">
        <f>IF(BC192&lt;=0,0,IF(ROUND(BC192*(1+'Calc base'!Q193),2)-MAX('Calc base'!L$12,ROUND('Calc base'!L$13*BC192,2))&lt;1,ROUND(BC192*(1+'Calc base'!Q193),2),MAX('Calc base'!L$12,ROUND('Calc base'!L$13*BC192,2))))</f>
        <v>0</v>
      </c>
      <c r="T193">
        <f>IF(BD192&lt;=0,0,IF(ROUND(BD192*(1+'Calc base'!R193),2)-MAX('Calc base'!M$12,ROUND('Calc base'!M$13*BD192,2))&lt;1,ROUND(BD192*(1+'Calc base'!R193),2),MAX('Calc base'!M$12,ROUND('Calc base'!M$13*BD192,2))))</f>
        <v>0</v>
      </c>
      <c r="U193">
        <f>IF(BE192&lt;=0,0,IF(ROUND(BE192*(1+'Calc base'!S193),2)-MAX('Calc base'!N$12,ROUND('Calc base'!N$13*BE192,2))&lt;1,ROUND(BE192*(1+'Calc base'!S193),2),MAX('Calc base'!N$12,ROUND('Calc base'!N$13*BE192,2))))</f>
        <v>0</v>
      </c>
      <c r="V193">
        <f>MAX(0,ROUND(AT192*(1+'Calc base'!H193),2)-J193-'Calc base'!T193)</f>
        <v>0</v>
      </c>
      <c r="W193">
        <f>MAX(0,ROUND(AU192*(1+'Calc base'!I193),2)-K193-'Calc base'!U193)</f>
        <v>0</v>
      </c>
      <c r="X193">
        <f>MAX(0,ROUND(AV192*(1+'Calc base'!J193),2)-L193-'Calc base'!V193)</f>
        <v>0</v>
      </c>
      <c r="Y193">
        <f>MAX(0,ROUND(AW192*(1+'Calc base'!K193),2)-M193-'Calc base'!W193)</f>
        <v>0</v>
      </c>
      <c r="Z193">
        <f>MAX(0,ROUND(AX192*(1+'Calc base'!L193),2)-N193-'Calc base'!X193)</f>
        <v>0</v>
      </c>
      <c r="AA193">
        <f>MAX(0,ROUND(AY192*(1+'Calc base'!M193),2)-O193-'Calc base'!Y193)</f>
        <v>0</v>
      </c>
      <c r="AB193">
        <f>MAX(0,ROUND(AZ192*(1+'Calc base'!N193),2)-P193-'Calc base'!Z193)</f>
        <v>0</v>
      </c>
      <c r="AC193">
        <f>MAX(0,ROUND(BA192*(1+'Calc base'!O193),2)-Q193-'Calc base'!AA193)</f>
        <v>0</v>
      </c>
      <c r="AD193">
        <f>MAX(0,ROUND(BB192*(1+'Calc base'!P193),2)-R193-'Calc base'!AB193)</f>
        <v>0</v>
      </c>
      <c r="AE193">
        <f>MAX(0,ROUND(BC192*(1+'Calc base'!Q193),2)-S193-'Calc base'!AC193)</f>
        <v>0</v>
      </c>
      <c r="AF193">
        <f>MAX(0,ROUND(BD192*(1+'Calc base'!R193),2)-T193-'Calc base'!AD193)</f>
        <v>0</v>
      </c>
      <c r="AG193">
        <f>MAX(0,ROUND(BE192*(1+'Calc base'!S193),2)-U193-'Calc base'!AE193)</f>
        <v>0</v>
      </c>
      <c r="AH193">
        <f>IF('Calc base'!C$14=0,0,MIN(V193,MAX(0,$E193-SUMIFS($V193:$AG193,'Calc base'!$C$17:$N$17,"&lt;"&amp;'Calc base'!C$17,'Calc base'!$C$14:$N$14,1))))</f>
        <v>0</v>
      </c>
      <c r="AI193">
        <f>IF('Calc base'!D$14=0,0,MIN(W193,MAX(0,$E193-SUMIFS($V193:$AG193,'Calc base'!$C$17:$N$17,"&lt;"&amp;'Calc base'!D$17,'Calc base'!$C$14:$N$14,1))))</f>
        <v>0</v>
      </c>
      <c r="AJ193">
        <f>IF('Calc base'!E$14=0,0,MIN(X193,MAX(0,$E193-SUMIFS($V193:$AG193,'Calc base'!$C$17:$N$17,"&lt;"&amp;'Calc base'!E$17,'Calc base'!$C$14:$N$14,1))))</f>
        <v>0</v>
      </c>
      <c r="AK193">
        <f>IF('Calc base'!F$14=0,0,MIN(Y193,MAX(0,$E193-SUMIFS($V193:$AG193,'Calc base'!$C$17:$N$17,"&lt;"&amp;'Calc base'!F$17,'Calc base'!$C$14:$N$14,1))))</f>
        <v>0</v>
      </c>
      <c r="AL193">
        <f>IF('Calc base'!G$14=0,0,MIN(Z193,MAX(0,$E193-SUMIFS($V193:$AG193,'Calc base'!$C$17:$N$17,"&lt;"&amp;'Calc base'!G$17,'Calc base'!$C$14:$N$14,1))))</f>
        <v>0</v>
      </c>
      <c r="AM193">
        <f>IF('Calc base'!H$14=0,0,MIN(AA193,MAX(0,$E193-SUMIFS($V193:$AG193,'Calc base'!$C$17:$N$17,"&lt;"&amp;'Calc base'!H$17,'Calc base'!$C$14:$N$14,1))))</f>
        <v>0</v>
      </c>
      <c r="AN193">
        <f>IF('Calc base'!I$14=0,0,MIN(AB193,MAX(0,$E193-SUMIFS($V193:$AG193,'Calc base'!$C$17:$N$17,"&lt;"&amp;'Calc base'!I$17,'Calc base'!$C$14:$N$14,1))))</f>
        <v>0</v>
      </c>
      <c r="AO193">
        <f>IF('Calc base'!J$14=0,0,MIN(AC193,MAX(0,$E193-SUMIFS($V193:$AG193,'Calc base'!$C$17:$N$17,"&lt;"&amp;'Calc base'!J$17,'Calc base'!$C$14:$N$14,1))))</f>
        <v>0</v>
      </c>
      <c r="AP193">
        <f>IF('Calc base'!K$14=0,0,MIN(AD193,MAX(0,$E193-SUMIFS($V193:$AG193,'Calc base'!$C$17:$N$17,"&lt;"&amp;'Calc base'!K$17,'Calc base'!$C$14:$N$14,1))))</f>
        <v>0</v>
      </c>
      <c r="AQ193">
        <f>IF('Calc base'!L$14=0,0,MIN(AE193,MAX(0,$E193-SUMIFS($V193:$AG193,'Calc base'!$C$17:$N$17,"&lt;"&amp;'Calc base'!L$17,'Calc base'!$C$14:$N$14,1))))</f>
        <v>0</v>
      </c>
      <c r="AR193">
        <f>IF('Calc base'!M$14=0,0,MIN(AF193,MAX(0,$E193-SUMIFS($V193:$AG193,'Calc base'!$C$17:$N$17,"&lt;"&amp;'Calc base'!M$17,'Calc base'!$C$14:$N$14,1))))</f>
        <v>0</v>
      </c>
      <c r="AS193">
        <f>IF('Calc base'!N$14=0,0,MIN(AG193,MAX(0,$E193-SUMIFS($V193:$AG193,'Calc base'!$C$17:$N$17,"&lt;"&amp;'Calc base'!N$17,'Calc base'!$C$14:$N$14,1))))</f>
        <v>0</v>
      </c>
      <c r="AT193">
        <f>V193-AH193</f>
        <v>0</v>
      </c>
      <c r="AU193">
        <f>W193-AI193</f>
        <v>0</v>
      </c>
      <c r="AV193">
        <f>X193-AJ193</f>
        <v>0</v>
      </c>
      <c r="AW193">
        <f>Y193-AK193</f>
        <v>0</v>
      </c>
      <c r="AX193">
        <f>Z193-AL193</f>
        <v>0</v>
      </c>
      <c r="AY193">
        <f>AA193-AM193</f>
        <v>0</v>
      </c>
      <c r="AZ193">
        <f>AB193-AN193</f>
        <v>0</v>
      </c>
      <c r="BA193">
        <f>AC193-AO193</f>
        <v>0</v>
      </c>
      <c r="BB193">
        <f>AD193-AP193</f>
        <v>0</v>
      </c>
      <c r="BC193">
        <f>AE193-AQ193</f>
        <v>0</v>
      </c>
      <c r="BD193">
        <f>AF193-AR193</f>
        <v>0</v>
      </c>
      <c r="BE193">
        <f>AG193-AS193</f>
        <v>0</v>
      </c>
    </row>
    <row r="194">
      <c r="A194" t="n">
        <v>164</v>
      </c>
      <c r="B194">
        <f>SUMPRODUCT(ROUND($AT193:$BE193*(1+'Calc base'!$H194:$S194),2))</f>
        <v>0</v>
      </c>
      <c r="C194">
        <f>SUM(J194:U194)</f>
        <v>0</v>
      </c>
      <c r="D194">
        <f>SUM(V194:AG194)</f>
        <v>0</v>
      </c>
      <c r="E194">
        <f>MAX(0,IF(Impostazioni!$B$7="No",'Calc base'!$C194-$C$31,'Calc base'!$C194-C194)+'Calc base'!$G194+'Calc base'!$F194-(B194-C194-D194))</f>
        <v>900</v>
      </c>
      <c r="F194">
        <f>SUM(AH194:AS194)</f>
        <v>0</v>
      </c>
      <c r="G194">
        <f>SUM(AT194:BE194)</f>
        <v>0</v>
      </c>
      <c r="H194">
        <f>B194-G193</f>
        <v>0</v>
      </c>
      <c r="I194">
        <f>B194-G194</f>
        <v>0</v>
      </c>
      <c r="J194">
        <f>IF(AT193&lt;=0,0,IF(ROUND(AT193*(1+'Calc base'!H194),2)-MAX('Calc base'!C$12,ROUND('Calc base'!C$13*AT193,2))&lt;1,ROUND(AT193*(1+'Calc base'!H194),2),MAX('Calc base'!C$12,ROUND('Calc base'!C$13*AT193,2))))</f>
        <v>0</v>
      </c>
      <c r="K194">
        <f>IF(AU193&lt;=0,0,IF(ROUND(AU193*(1+'Calc base'!I194),2)-MAX('Calc base'!D$12,ROUND('Calc base'!D$13*AU193,2))&lt;1,ROUND(AU193*(1+'Calc base'!I194),2),MAX('Calc base'!D$12,ROUND('Calc base'!D$13*AU193,2))))</f>
        <v>0</v>
      </c>
      <c r="L194">
        <f>IF(AV193&lt;=0,0,IF(ROUND(AV193*(1+'Calc base'!J194),2)-MAX('Calc base'!E$12,ROUND('Calc base'!E$13*AV193,2))&lt;1,ROUND(AV193*(1+'Calc base'!J194),2),MAX('Calc base'!E$12,ROUND('Calc base'!E$13*AV193,2))))</f>
        <v>0</v>
      </c>
      <c r="M194">
        <f>IF(AW193&lt;=0,0,IF(ROUND(AW193*(1+'Calc base'!K194),2)-MAX('Calc base'!F$12,ROUND('Calc base'!F$13*AW193,2))&lt;1,ROUND(AW193*(1+'Calc base'!K194),2),MAX('Calc base'!F$12,ROUND('Calc base'!F$13*AW193,2))))</f>
        <v>0</v>
      </c>
      <c r="N194">
        <f>IF(AX193&lt;=0,0,IF(ROUND(AX193*(1+'Calc base'!L194),2)-MAX('Calc base'!G$12,ROUND('Calc base'!G$13*AX193,2))&lt;1,ROUND(AX193*(1+'Calc base'!L194),2),MAX('Calc base'!G$12,ROUND('Calc base'!G$13*AX193,2))))</f>
        <v>0</v>
      </c>
      <c r="O194">
        <f>IF(AY193&lt;=0,0,IF(ROUND(AY193*(1+'Calc base'!M194),2)-MAX('Calc base'!H$12,ROUND('Calc base'!H$13*AY193,2))&lt;1,ROUND(AY193*(1+'Calc base'!M194),2),MAX('Calc base'!H$12,ROUND('Calc base'!H$13*AY193,2))))</f>
        <v>0</v>
      </c>
      <c r="P194">
        <f>IF(AZ193&lt;=0,0,IF(ROUND(AZ193*(1+'Calc base'!N194),2)-MAX('Calc base'!I$12,ROUND('Calc base'!I$13*AZ193,2))&lt;1,ROUND(AZ193*(1+'Calc base'!N194),2),MAX('Calc base'!I$12,ROUND('Calc base'!I$13*AZ193,2))))</f>
        <v>0</v>
      </c>
      <c r="Q194">
        <f>IF(BA193&lt;=0,0,IF(ROUND(BA193*(1+'Calc base'!O194),2)-MAX('Calc base'!J$12,ROUND('Calc base'!J$13*BA193,2))&lt;1,ROUND(BA193*(1+'Calc base'!O194),2),MAX('Calc base'!J$12,ROUND('Calc base'!J$13*BA193,2))))</f>
        <v>0</v>
      </c>
      <c r="R194">
        <f>IF(BB193&lt;=0,0,IF(ROUND(BB193*(1+'Calc base'!P194),2)-MAX('Calc base'!K$12,ROUND('Calc base'!K$13*BB193,2))&lt;1,ROUND(BB193*(1+'Calc base'!P194),2),MAX('Calc base'!K$12,ROUND('Calc base'!K$13*BB193,2))))</f>
        <v>0</v>
      </c>
      <c r="S194">
        <f>IF(BC193&lt;=0,0,IF(ROUND(BC193*(1+'Calc base'!Q194),2)-MAX('Calc base'!L$12,ROUND('Calc base'!L$13*BC193,2))&lt;1,ROUND(BC193*(1+'Calc base'!Q194),2),MAX('Calc base'!L$12,ROUND('Calc base'!L$13*BC193,2))))</f>
        <v>0</v>
      </c>
      <c r="T194">
        <f>IF(BD193&lt;=0,0,IF(ROUND(BD193*(1+'Calc base'!R194),2)-MAX('Calc base'!M$12,ROUND('Calc base'!M$13*BD193,2))&lt;1,ROUND(BD193*(1+'Calc base'!R194),2),MAX('Calc base'!M$12,ROUND('Calc base'!M$13*BD193,2))))</f>
        <v>0</v>
      </c>
      <c r="U194">
        <f>IF(BE193&lt;=0,0,IF(ROUND(BE193*(1+'Calc base'!S194),2)-MAX('Calc base'!N$12,ROUND('Calc base'!N$13*BE193,2))&lt;1,ROUND(BE193*(1+'Calc base'!S194),2),MAX('Calc base'!N$12,ROUND('Calc base'!N$13*BE193,2))))</f>
        <v>0</v>
      </c>
      <c r="V194">
        <f>MAX(0,ROUND(AT193*(1+'Calc base'!H194),2)-J194-'Calc base'!T194)</f>
        <v>0</v>
      </c>
      <c r="W194">
        <f>MAX(0,ROUND(AU193*(1+'Calc base'!I194),2)-K194-'Calc base'!U194)</f>
        <v>0</v>
      </c>
      <c r="X194">
        <f>MAX(0,ROUND(AV193*(1+'Calc base'!J194),2)-L194-'Calc base'!V194)</f>
        <v>0</v>
      </c>
      <c r="Y194">
        <f>MAX(0,ROUND(AW193*(1+'Calc base'!K194),2)-M194-'Calc base'!W194)</f>
        <v>0</v>
      </c>
      <c r="Z194">
        <f>MAX(0,ROUND(AX193*(1+'Calc base'!L194),2)-N194-'Calc base'!X194)</f>
        <v>0</v>
      </c>
      <c r="AA194">
        <f>MAX(0,ROUND(AY193*(1+'Calc base'!M194),2)-O194-'Calc base'!Y194)</f>
        <v>0</v>
      </c>
      <c r="AB194">
        <f>MAX(0,ROUND(AZ193*(1+'Calc base'!N194),2)-P194-'Calc base'!Z194)</f>
        <v>0</v>
      </c>
      <c r="AC194">
        <f>MAX(0,ROUND(BA193*(1+'Calc base'!O194),2)-Q194-'Calc base'!AA194)</f>
        <v>0</v>
      </c>
      <c r="AD194">
        <f>MAX(0,ROUND(BB193*(1+'Calc base'!P194),2)-R194-'Calc base'!AB194)</f>
        <v>0</v>
      </c>
      <c r="AE194">
        <f>MAX(0,ROUND(BC193*(1+'Calc base'!Q194),2)-S194-'Calc base'!AC194)</f>
        <v>0</v>
      </c>
      <c r="AF194">
        <f>MAX(0,ROUND(BD193*(1+'Calc base'!R194),2)-T194-'Calc base'!AD194)</f>
        <v>0</v>
      </c>
      <c r="AG194">
        <f>MAX(0,ROUND(BE193*(1+'Calc base'!S194),2)-U194-'Calc base'!AE194)</f>
        <v>0</v>
      </c>
      <c r="AH194">
        <f>IF('Calc base'!C$14=0,0,MIN(V194,MAX(0,$E194-SUMIFS($V194:$AG194,'Calc base'!$C$17:$N$17,"&lt;"&amp;'Calc base'!C$17,'Calc base'!$C$14:$N$14,1))))</f>
        <v>0</v>
      </c>
      <c r="AI194">
        <f>IF('Calc base'!D$14=0,0,MIN(W194,MAX(0,$E194-SUMIFS($V194:$AG194,'Calc base'!$C$17:$N$17,"&lt;"&amp;'Calc base'!D$17,'Calc base'!$C$14:$N$14,1))))</f>
        <v>0</v>
      </c>
      <c r="AJ194">
        <f>IF('Calc base'!E$14=0,0,MIN(X194,MAX(0,$E194-SUMIFS($V194:$AG194,'Calc base'!$C$17:$N$17,"&lt;"&amp;'Calc base'!E$17,'Calc base'!$C$14:$N$14,1))))</f>
        <v>0</v>
      </c>
      <c r="AK194">
        <f>IF('Calc base'!F$14=0,0,MIN(Y194,MAX(0,$E194-SUMIFS($V194:$AG194,'Calc base'!$C$17:$N$17,"&lt;"&amp;'Calc base'!F$17,'Calc base'!$C$14:$N$14,1))))</f>
        <v>0</v>
      </c>
      <c r="AL194">
        <f>IF('Calc base'!G$14=0,0,MIN(Z194,MAX(0,$E194-SUMIFS($V194:$AG194,'Calc base'!$C$17:$N$17,"&lt;"&amp;'Calc base'!G$17,'Calc base'!$C$14:$N$14,1))))</f>
        <v>0</v>
      </c>
      <c r="AM194">
        <f>IF('Calc base'!H$14=0,0,MIN(AA194,MAX(0,$E194-SUMIFS($V194:$AG194,'Calc base'!$C$17:$N$17,"&lt;"&amp;'Calc base'!H$17,'Calc base'!$C$14:$N$14,1))))</f>
        <v>0</v>
      </c>
      <c r="AN194">
        <f>IF('Calc base'!I$14=0,0,MIN(AB194,MAX(0,$E194-SUMIFS($V194:$AG194,'Calc base'!$C$17:$N$17,"&lt;"&amp;'Calc base'!I$17,'Calc base'!$C$14:$N$14,1))))</f>
        <v>0</v>
      </c>
      <c r="AO194">
        <f>IF('Calc base'!J$14=0,0,MIN(AC194,MAX(0,$E194-SUMIFS($V194:$AG194,'Calc base'!$C$17:$N$17,"&lt;"&amp;'Calc base'!J$17,'Calc base'!$C$14:$N$14,1))))</f>
        <v>0</v>
      </c>
      <c r="AP194">
        <f>IF('Calc base'!K$14=0,0,MIN(AD194,MAX(0,$E194-SUMIFS($V194:$AG194,'Calc base'!$C$17:$N$17,"&lt;"&amp;'Calc base'!K$17,'Calc base'!$C$14:$N$14,1))))</f>
        <v>0</v>
      </c>
      <c r="AQ194">
        <f>IF('Calc base'!L$14=0,0,MIN(AE194,MAX(0,$E194-SUMIFS($V194:$AG194,'Calc base'!$C$17:$N$17,"&lt;"&amp;'Calc base'!L$17,'Calc base'!$C$14:$N$14,1))))</f>
        <v>0</v>
      </c>
      <c r="AR194">
        <f>IF('Calc base'!M$14=0,0,MIN(AF194,MAX(0,$E194-SUMIFS($V194:$AG194,'Calc base'!$C$17:$N$17,"&lt;"&amp;'Calc base'!M$17,'Calc base'!$C$14:$N$14,1))))</f>
        <v>0</v>
      </c>
      <c r="AS194">
        <f>IF('Calc base'!N$14=0,0,MIN(AG194,MAX(0,$E194-SUMIFS($V194:$AG194,'Calc base'!$C$17:$N$17,"&lt;"&amp;'Calc base'!N$17,'Calc base'!$C$14:$N$14,1))))</f>
        <v>0</v>
      </c>
      <c r="AT194">
        <f>V194-AH194</f>
        <v>0</v>
      </c>
      <c r="AU194">
        <f>W194-AI194</f>
        <v>0</v>
      </c>
      <c r="AV194">
        <f>X194-AJ194</f>
        <v>0</v>
      </c>
      <c r="AW194">
        <f>Y194-AK194</f>
        <v>0</v>
      </c>
      <c r="AX194">
        <f>Z194-AL194</f>
        <v>0</v>
      </c>
      <c r="AY194">
        <f>AA194-AM194</f>
        <v>0</v>
      </c>
      <c r="AZ194">
        <f>AB194-AN194</f>
        <v>0</v>
      </c>
      <c r="BA194">
        <f>AC194-AO194</f>
        <v>0</v>
      </c>
      <c r="BB194">
        <f>AD194-AP194</f>
        <v>0</v>
      </c>
      <c r="BC194">
        <f>AE194-AQ194</f>
        <v>0</v>
      </c>
      <c r="BD194">
        <f>AF194-AR194</f>
        <v>0</v>
      </c>
      <c r="BE194">
        <f>AG194-AS194</f>
        <v>0</v>
      </c>
    </row>
    <row r="195">
      <c r="A195" t="n">
        <v>165</v>
      </c>
      <c r="B195">
        <f>SUMPRODUCT(ROUND($AT194:$BE194*(1+'Calc base'!$H195:$S195),2))</f>
        <v>0</v>
      </c>
      <c r="C195">
        <f>SUM(J195:U195)</f>
        <v>0</v>
      </c>
      <c r="D195">
        <f>SUM(V195:AG195)</f>
        <v>0</v>
      </c>
      <c r="E195">
        <f>MAX(0,IF(Impostazioni!$B$7="No",'Calc base'!$C195-$C$31,'Calc base'!$C195-C195)+'Calc base'!$G195+'Calc base'!$F195-(B195-C195-D195))</f>
        <v>900</v>
      </c>
      <c r="F195">
        <f>SUM(AH195:AS195)</f>
        <v>0</v>
      </c>
      <c r="G195">
        <f>SUM(AT195:BE195)</f>
        <v>0</v>
      </c>
      <c r="H195">
        <f>B195-G194</f>
        <v>0</v>
      </c>
      <c r="I195">
        <f>B195-G195</f>
        <v>0</v>
      </c>
      <c r="J195">
        <f>IF(AT194&lt;=0,0,IF(ROUND(AT194*(1+'Calc base'!H195),2)-MAX('Calc base'!C$12,ROUND('Calc base'!C$13*AT194,2))&lt;1,ROUND(AT194*(1+'Calc base'!H195),2),MAX('Calc base'!C$12,ROUND('Calc base'!C$13*AT194,2))))</f>
        <v>0</v>
      </c>
      <c r="K195">
        <f>IF(AU194&lt;=0,0,IF(ROUND(AU194*(1+'Calc base'!I195),2)-MAX('Calc base'!D$12,ROUND('Calc base'!D$13*AU194,2))&lt;1,ROUND(AU194*(1+'Calc base'!I195),2),MAX('Calc base'!D$12,ROUND('Calc base'!D$13*AU194,2))))</f>
        <v>0</v>
      </c>
      <c r="L195">
        <f>IF(AV194&lt;=0,0,IF(ROUND(AV194*(1+'Calc base'!J195),2)-MAX('Calc base'!E$12,ROUND('Calc base'!E$13*AV194,2))&lt;1,ROUND(AV194*(1+'Calc base'!J195),2),MAX('Calc base'!E$12,ROUND('Calc base'!E$13*AV194,2))))</f>
        <v>0</v>
      </c>
      <c r="M195">
        <f>IF(AW194&lt;=0,0,IF(ROUND(AW194*(1+'Calc base'!K195),2)-MAX('Calc base'!F$12,ROUND('Calc base'!F$13*AW194,2))&lt;1,ROUND(AW194*(1+'Calc base'!K195),2),MAX('Calc base'!F$12,ROUND('Calc base'!F$13*AW194,2))))</f>
        <v>0</v>
      </c>
      <c r="N195">
        <f>IF(AX194&lt;=0,0,IF(ROUND(AX194*(1+'Calc base'!L195),2)-MAX('Calc base'!G$12,ROUND('Calc base'!G$13*AX194,2))&lt;1,ROUND(AX194*(1+'Calc base'!L195),2),MAX('Calc base'!G$12,ROUND('Calc base'!G$13*AX194,2))))</f>
        <v>0</v>
      </c>
      <c r="O195">
        <f>IF(AY194&lt;=0,0,IF(ROUND(AY194*(1+'Calc base'!M195),2)-MAX('Calc base'!H$12,ROUND('Calc base'!H$13*AY194,2))&lt;1,ROUND(AY194*(1+'Calc base'!M195),2),MAX('Calc base'!H$12,ROUND('Calc base'!H$13*AY194,2))))</f>
        <v>0</v>
      </c>
      <c r="P195">
        <f>IF(AZ194&lt;=0,0,IF(ROUND(AZ194*(1+'Calc base'!N195),2)-MAX('Calc base'!I$12,ROUND('Calc base'!I$13*AZ194,2))&lt;1,ROUND(AZ194*(1+'Calc base'!N195),2),MAX('Calc base'!I$12,ROUND('Calc base'!I$13*AZ194,2))))</f>
        <v>0</v>
      </c>
      <c r="Q195">
        <f>IF(BA194&lt;=0,0,IF(ROUND(BA194*(1+'Calc base'!O195),2)-MAX('Calc base'!J$12,ROUND('Calc base'!J$13*BA194,2))&lt;1,ROUND(BA194*(1+'Calc base'!O195),2),MAX('Calc base'!J$12,ROUND('Calc base'!J$13*BA194,2))))</f>
        <v>0</v>
      </c>
      <c r="R195">
        <f>IF(BB194&lt;=0,0,IF(ROUND(BB194*(1+'Calc base'!P195),2)-MAX('Calc base'!K$12,ROUND('Calc base'!K$13*BB194,2))&lt;1,ROUND(BB194*(1+'Calc base'!P195),2),MAX('Calc base'!K$12,ROUND('Calc base'!K$13*BB194,2))))</f>
        <v>0</v>
      </c>
      <c r="S195">
        <f>IF(BC194&lt;=0,0,IF(ROUND(BC194*(1+'Calc base'!Q195),2)-MAX('Calc base'!L$12,ROUND('Calc base'!L$13*BC194,2))&lt;1,ROUND(BC194*(1+'Calc base'!Q195),2),MAX('Calc base'!L$12,ROUND('Calc base'!L$13*BC194,2))))</f>
        <v>0</v>
      </c>
      <c r="T195">
        <f>IF(BD194&lt;=0,0,IF(ROUND(BD194*(1+'Calc base'!R195),2)-MAX('Calc base'!M$12,ROUND('Calc base'!M$13*BD194,2))&lt;1,ROUND(BD194*(1+'Calc base'!R195),2),MAX('Calc base'!M$12,ROUND('Calc base'!M$13*BD194,2))))</f>
        <v>0</v>
      </c>
      <c r="U195">
        <f>IF(BE194&lt;=0,0,IF(ROUND(BE194*(1+'Calc base'!S195),2)-MAX('Calc base'!N$12,ROUND('Calc base'!N$13*BE194,2))&lt;1,ROUND(BE194*(1+'Calc base'!S195),2),MAX('Calc base'!N$12,ROUND('Calc base'!N$13*BE194,2))))</f>
        <v>0</v>
      </c>
      <c r="V195">
        <f>MAX(0,ROUND(AT194*(1+'Calc base'!H195),2)-J195-'Calc base'!T195)</f>
        <v>0</v>
      </c>
      <c r="W195">
        <f>MAX(0,ROUND(AU194*(1+'Calc base'!I195),2)-K195-'Calc base'!U195)</f>
        <v>0</v>
      </c>
      <c r="X195">
        <f>MAX(0,ROUND(AV194*(1+'Calc base'!J195),2)-L195-'Calc base'!V195)</f>
        <v>0</v>
      </c>
      <c r="Y195">
        <f>MAX(0,ROUND(AW194*(1+'Calc base'!K195),2)-M195-'Calc base'!W195)</f>
        <v>0</v>
      </c>
      <c r="Z195">
        <f>MAX(0,ROUND(AX194*(1+'Calc base'!L195),2)-N195-'Calc base'!X195)</f>
        <v>0</v>
      </c>
      <c r="AA195">
        <f>MAX(0,ROUND(AY194*(1+'Calc base'!M195),2)-O195-'Calc base'!Y195)</f>
        <v>0</v>
      </c>
      <c r="AB195">
        <f>MAX(0,ROUND(AZ194*(1+'Calc base'!N195),2)-P195-'Calc base'!Z195)</f>
        <v>0</v>
      </c>
      <c r="AC195">
        <f>MAX(0,ROUND(BA194*(1+'Calc base'!O195),2)-Q195-'Calc base'!AA195)</f>
        <v>0</v>
      </c>
      <c r="AD195">
        <f>MAX(0,ROUND(BB194*(1+'Calc base'!P195),2)-R195-'Calc base'!AB195)</f>
        <v>0</v>
      </c>
      <c r="AE195">
        <f>MAX(0,ROUND(BC194*(1+'Calc base'!Q195),2)-S195-'Calc base'!AC195)</f>
        <v>0</v>
      </c>
      <c r="AF195">
        <f>MAX(0,ROUND(BD194*(1+'Calc base'!R195),2)-T195-'Calc base'!AD195)</f>
        <v>0</v>
      </c>
      <c r="AG195">
        <f>MAX(0,ROUND(BE194*(1+'Calc base'!S195),2)-U195-'Calc base'!AE195)</f>
        <v>0</v>
      </c>
      <c r="AH195">
        <f>IF('Calc base'!C$14=0,0,MIN(V195,MAX(0,$E195-SUMIFS($V195:$AG195,'Calc base'!$C$17:$N$17,"&lt;"&amp;'Calc base'!C$17,'Calc base'!$C$14:$N$14,1))))</f>
        <v>0</v>
      </c>
      <c r="AI195">
        <f>IF('Calc base'!D$14=0,0,MIN(W195,MAX(0,$E195-SUMIFS($V195:$AG195,'Calc base'!$C$17:$N$17,"&lt;"&amp;'Calc base'!D$17,'Calc base'!$C$14:$N$14,1))))</f>
        <v>0</v>
      </c>
      <c r="AJ195">
        <f>IF('Calc base'!E$14=0,0,MIN(X195,MAX(0,$E195-SUMIFS($V195:$AG195,'Calc base'!$C$17:$N$17,"&lt;"&amp;'Calc base'!E$17,'Calc base'!$C$14:$N$14,1))))</f>
        <v>0</v>
      </c>
      <c r="AK195">
        <f>IF('Calc base'!F$14=0,0,MIN(Y195,MAX(0,$E195-SUMIFS($V195:$AG195,'Calc base'!$C$17:$N$17,"&lt;"&amp;'Calc base'!F$17,'Calc base'!$C$14:$N$14,1))))</f>
        <v>0</v>
      </c>
      <c r="AL195">
        <f>IF('Calc base'!G$14=0,0,MIN(Z195,MAX(0,$E195-SUMIFS($V195:$AG195,'Calc base'!$C$17:$N$17,"&lt;"&amp;'Calc base'!G$17,'Calc base'!$C$14:$N$14,1))))</f>
        <v>0</v>
      </c>
      <c r="AM195">
        <f>IF('Calc base'!H$14=0,0,MIN(AA195,MAX(0,$E195-SUMIFS($V195:$AG195,'Calc base'!$C$17:$N$17,"&lt;"&amp;'Calc base'!H$17,'Calc base'!$C$14:$N$14,1))))</f>
        <v>0</v>
      </c>
      <c r="AN195">
        <f>IF('Calc base'!I$14=0,0,MIN(AB195,MAX(0,$E195-SUMIFS($V195:$AG195,'Calc base'!$C$17:$N$17,"&lt;"&amp;'Calc base'!I$17,'Calc base'!$C$14:$N$14,1))))</f>
        <v>0</v>
      </c>
      <c r="AO195">
        <f>IF('Calc base'!J$14=0,0,MIN(AC195,MAX(0,$E195-SUMIFS($V195:$AG195,'Calc base'!$C$17:$N$17,"&lt;"&amp;'Calc base'!J$17,'Calc base'!$C$14:$N$14,1))))</f>
        <v>0</v>
      </c>
      <c r="AP195">
        <f>IF('Calc base'!K$14=0,0,MIN(AD195,MAX(0,$E195-SUMIFS($V195:$AG195,'Calc base'!$C$17:$N$17,"&lt;"&amp;'Calc base'!K$17,'Calc base'!$C$14:$N$14,1))))</f>
        <v>0</v>
      </c>
      <c r="AQ195">
        <f>IF('Calc base'!L$14=0,0,MIN(AE195,MAX(0,$E195-SUMIFS($V195:$AG195,'Calc base'!$C$17:$N$17,"&lt;"&amp;'Calc base'!L$17,'Calc base'!$C$14:$N$14,1))))</f>
        <v>0</v>
      </c>
      <c r="AR195">
        <f>IF('Calc base'!M$14=0,0,MIN(AF195,MAX(0,$E195-SUMIFS($V195:$AG195,'Calc base'!$C$17:$N$17,"&lt;"&amp;'Calc base'!M$17,'Calc base'!$C$14:$N$14,1))))</f>
        <v>0</v>
      </c>
      <c r="AS195">
        <f>IF('Calc base'!N$14=0,0,MIN(AG195,MAX(0,$E195-SUMIFS($V195:$AG195,'Calc base'!$C$17:$N$17,"&lt;"&amp;'Calc base'!N$17,'Calc base'!$C$14:$N$14,1))))</f>
        <v>0</v>
      </c>
      <c r="AT195">
        <f>V195-AH195</f>
        <v>0</v>
      </c>
      <c r="AU195">
        <f>W195-AI195</f>
        <v>0</v>
      </c>
      <c r="AV195">
        <f>X195-AJ195</f>
        <v>0</v>
      </c>
      <c r="AW195">
        <f>Y195-AK195</f>
        <v>0</v>
      </c>
      <c r="AX195">
        <f>Z195-AL195</f>
        <v>0</v>
      </c>
      <c r="AY195">
        <f>AA195-AM195</f>
        <v>0</v>
      </c>
      <c r="AZ195">
        <f>AB195-AN195</f>
        <v>0</v>
      </c>
      <c r="BA195">
        <f>AC195-AO195</f>
        <v>0</v>
      </c>
      <c r="BB195">
        <f>AD195-AP195</f>
        <v>0</v>
      </c>
      <c r="BC195">
        <f>AE195-AQ195</f>
        <v>0</v>
      </c>
      <c r="BD195">
        <f>AF195-AR195</f>
        <v>0</v>
      </c>
      <c r="BE195">
        <f>AG195-AS195</f>
        <v>0</v>
      </c>
    </row>
    <row r="196">
      <c r="A196" t="n">
        <v>166</v>
      </c>
      <c r="B196">
        <f>SUMPRODUCT(ROUND($AT195:$BE195*(1+'Calc base'!$H196:$S196),2))</f>
        <v>0</v>
      </c>
      <c r="C196">
        <f>SUM(J196:U196)</f>
        <v>0</v>
      </c>
      <c r="D196">
        <f>SUM(V196:AG196)</f>
        <v>0</v>
      </c>
      <c r="E196">
        <f>MAX(0,IF(Impostazioni!$B$7="No",'Calc base'!$C196-$C$31,'Calc base'!$C196-C196)+'Calc base'!$G196+'Calc base'!$F196-(B196-C196-D196))</f>
        <v>900</v>
      </c>
      <c r="F196">
        <f>SUM(AH196:AS196)</f>
        <v>0</v>
      </c>
      <c r="G196">
        <f>SUM(AT196:BE196)</f>
        <v>0</v>
      </c>
      <c r="H196">
        <f>B196-G195</f>
        <v>0</v>
      </c>
      <c r="I196">
        <f>B196-G196</f>
        <v>0</v>
      </c>
      <c r="J196">
        <f>IF(AT195&lt;=0,0,IF(ROUND(AT195*(1+'Calc base'!H196),2)-MAX('Calc base'!C$12,ROUND('Calc base'!C$13*AT195,2))&lt;1,ROUND(AT195*(1+'Calc base'!H196),2),MAX('Calc base'!C$12,ROUND('Calc base'!C$13*AT195,2))))</f>
        <v>0</v>
      </c>
      <c r="K196">
        <f>IF(AU195&lt;=0,0,IF(ROUND(AU195*(1+'Calc base'!I196),2)-MAX('Calc base'!D$12,ROUND('Calc base'!D$13*AU195,2))&lt;1,ROUND(AU195*(1+'Calc base'!I196),2),MAX('Calc base'!D$12,ROUND('Calc base'!D$13*AU195,2))))</f>
        <v>0</v>
      </c>
      <c r="L196">
        <f>IF(AV195&lt;=0,0,IF(ROUND(AV195*(1+'Calc base'!J196),2)-MAX('Calc base'!E$12,ROUND('Calc base'!E$13*AV195,2))&lt;1,ROUND(AV195*(1+'Calc base'!J196),2),MAX('Calc base'!E$12,ROUND('Calc base'!E$13*AV195,2))))</f>
        <v>0</v>
      </c>
      <c r="M196">
        <f>IF(AW195&lt;=0,0,IF(ROUND(AW195*(1+'Calc base'!K196),2)-MAX('Calc base'!F$12,ROUND('Calc base'!F$13*AW195,2))&lt;1,ROUND(AW195*(1+'Calc base'!K196),2),MAX('Calc base'!F$12,ROUND('Calc base'!F$13*AW195,2))))</f>
        <v>0</v>
      </c>
      <c r="N196">
        <f>IF(AX195&lt;=0,0,IF(ROUND(AX195*(1+'Calc base'!L196),2)-MAX('Calc base'!G$12,ROUND('Calc base'!G$13*AX195,2))&lt;1,ROUND(AX195*(1+'Calc base'!L196),2),MAX('Calc base'!G$12,ROUND('Calc base'!G$13*AX195,2))))</f>
        <v>0</v>
      </c>
      <c r="O196">
        <f>IF(AY195&lt;=0,0,IF(ROUND(AY195*(1+'Calc base'!M196),2)-MAX('Calc base'!H$12,ROUND('Calc base'!H$13*AY195,2))&lt;1,ROUND(AY195*(1+'Calc base'!M196),2),MAX('Calc base'!H$12,ROUND('Calc base'!H$13*AY195,2))))</f>
        <v>0</v>
      </c>
      <c r="P196">
        <f>IF(AZ195&lt;=0,0,IF(ROUND(AZ195*(1+'Calc base'!N196),2)-MAX('Calc base'!I$12,ROUND('Calc base'!I$13*AZ195,2))&lt;1,ROUND(AZ195*(1+'Calc base'!N196),2),MAX('Calc base'!I$12,ROUND('Calc base'!I$13*AZ195,2))))</f>
        <v>0</v>
      </c>
      <c r="Q196">
        <f>IF(BA195&lt;=0,0,IF(ROUND(BA195*(1+'Calc base'!O196),2)-MAX('Calc base'!J$12,ROUND('Calc base'!J$13*BA195,2))&lt;1,ROUND(BA195*(1+'Calc base'!O196),2),MAX('Calc base'!J$12,ROUND('Calc base'!J$13*BA195,2))))</f>
        <v>0</v>
      </c>
      <c r="R196">
        <f>IF(BB195&lt;=0,0,IF(ROUND(BB195*(1+'Calc base'!P196),2)-MAX('Calc base'!K$12,ROUND('Calc base'!K$13*BB195,2))&lt;1,ROUND(BB195*(1+'Calc base'!P196),2),MAX('Calc base'!K$12,ROUND('Calc base'!K$13*BB195,2))))</f>
        <v>0</v>
      </c>
      <c r="S196">
        <f>IF(BC195&lt;=0,0,IF(ROUND(BC195*(1+'Calc base'!Q196),2)-MAX('Calc base'!L$12,ROUND('Calc base'!L$13*BC195,2))&lt;1,ROUND(BC195*(1+'Calc base'!Q196),2),MAX('Calc base'!L$12,ROUND('Calc base'!L$13*BC195,2))))</f>
        <v>0</v>
      </c>
      <c r="T196">
        <f>IF(BD195&lt;=0,0,IF(ROUND(BD195*(1+'Calc base'!R196),2)-MAX('Calc base'!M$12,ROUND('Calc base'!M$13*BD195,2))&lt;1,ROUND(BD195*(1+'Calc base'!R196),2),MAX('Calc base'!M$12,ROUND('Calc base'!M$13*BD195,2))))</f>
        <v>0</v>
      </c>
      <c r="U196">
        <f>IF(BE195&lt;=0,0,IF(ROUND(BE195*(1+'Calc base'!S196),2)-MAX('Calc base'!N$12,ROUND('Calc base'!N$13*BE195,2))&lt;1,ROUND(BE195*(1+'Calc base'!S196),2),MAX('Calc base'!N$12,ROUND('Calc base'!N$13*BE195,2))))</f>
        <v>0</v>
      </c>
      <c r="V196">
        <f>MAX(0,ROUND(AT195*(1+'Calc base'!H196),2)-J196-'Calc base'!T196)</f>
        <v>0</v>
      </c>
      <c r="W196">
        <f>MAX(0,ROUND(AU195*(1+'Calc base'!I196),2)-K196-'Calc base'!U196)</f>
        <v>0</v>
      </c>
      <c r="X196">
        <f>MAX(0,ROUND(AV195*(1+'Calc base'!J196),2)-L196-'Calc base'!V196)</f>
        <v>0</v>
      </c>
      <c r="Y196">
        <f>MAX(0,ROUND(AW195*(1+'Calc base'!K196),2)-M196-'Calc base'!W196)</f>
        <v>0</v>
      </c>
      <c r="Z196">
        <f>MAX(0,ROUND(AX195*(1+'Calc base'!L196),2)-N196-'Calc base'!X196)</f>
        <v>0</v>
      </c>
      <c r="AA196">
        <f>MAX(0,ROUND(AY195*(1+'Calc base'!M196),2)-O196-'Calc base'!Y196)</f>
        <v>0</v>
      </c>
      <c r="AB196">
        <f>MAX(0,ROUND(AZ195*(1+'Calc base'!N196),2)-P196-'Calc base'!Z196)</f>
        <v>0</v>
      </c>
      <c r="AC196">
        <f>MAX(0,ROUND(BA195*(1+'Calc base'!O196),2)-Q196-'Calc base'!AA196)</f>
        <v>0</v>
      </c>
      <c r="AD196">
        <f>MAX(0,ROUND(BB195*(1+'Calc base'!P196),2)-R196-'Calc base'!AB196)</f>
        <v>0</v>
      </c>
      <c r="AE196">
        <f>MAX(0,ROUND(BC195*(1+'Calc base'!Q196),2)-S196-'Calc base'!AC196)</f>
        <v>0</v>
      </c>
      <c r="AF196">
        <f>MAX(0,ROUND(BD195*(1+'Calc base'!R196),2)-T196-'Calc base'!AD196)</f>
        <v>0</v>
      </c>
      <c r="AG196">
        <f>MAX(0,ROUND(BE195*(1+'Calc base'!S196),2)-U196-'Calc base'!AE196)</f>
        <v>0</v>
      </c>
      <c r="AH196">
        <f>IF('Calc base'!C$14=0,0,MIN(V196,MAX(0,$E196-SUMIFS($V196:$AG196,'Calc base'!$C$17:$N$17,"&lt;"&amp;'Calc base'!C$17,'Calc base'!$C$14:$N$14,1))))</f>
        <v>0</v>
      </c>
      <c r="AI196">
        <f>IF('Calc base'!D$14=0,0,MIN(W196,MAX(0,$E196-SUMIFS($V196:$AG196,'Calc base'!$C$17:$N$17,"&lt;"&amp;'Calc base'!D$17,'Calc base'!$C$14:$N$14,1))))</f>
        <v>0</v>
      </c>
      <c r="AJ196">
        <f>IF('Calc base'!E$14=0,0,MIN(X196,MAX(0,$E196-SUMIFS($V196:$AG196,'Calc base'!$C$17:$N$17,"&lt;"&amp;'Calc base'!E$17,'Calc base'!$C$14:$N$14,1))))</f>
        <v>0</v>
      </c>
      <c r="AK196">
        <f>IF('Calc base'!F$14=0,0,MIN(Y196,MAX(0,$E196-SUMIFS($V196:$AG196,'Calc base'!$C$17:$N$17,"&lt;"&amp;'Calc base'!F$17,'Calc base'!$C$14:$N$14,1))))</f>
        <v>0</v>
      </c>
      <c r="AL196">
        <f>IF('Calc base'!G$14=0,0,MIN(Z196,MAX(0,$E196-SUMIFS($V196:$AG196,'Calc base'!$C$17:$N$17,"&lt;"&amp;'Calc base'!G$17,'Calc base'!$C$14:$N$14,1))))</f>
        <v>0</v>
      </c>
      <c r="AM196">
        <f>IF('Calc base'!H$14=0,0,MIN(AA196,MAX(0,$E196-SUMIFS($V196:$AG196,'Calc base'!$C$17:$N$17,"&lt;"&amp;'Calc base'!H$17,'Calc base'!$C$14:$N$14,1))))</f>
        <v>0</v>
      </c>
      <c r="AN196">
        <f>IF('Calc base'!I$14=0,0,MIN(AB196,MAX(0,$E196-SUMIFS($V196:$AG196,'Calc base'!$C$17:$N$17,"&lt;"&amp;'Calc base'!I$17,'Calc base'!$C$14:$N$14,1))))</f>
        <v>0</v>
      </c>
      <c r="AO196">
        <f>IF('Calc base'!J$14=0,0,MIN(AC196,MAX(0,$E196-SUMIFS($V196:$AG196,'Calc base'!$C$17:$N$17,"&lt;"&amp;'Calc base'!J$17,'Calc base'!$C$14:$N$14,1))))</f>
        <v>0</v>
      </c>
      <c r="AP196">
        <f>IF('Calc base'!K$14=0,0,MIN(AD196,MAX(0,$E196-SUMIFS($V196:$AG196,'Calc base'!$C$17:$N$17,"&lt;"&amp;'Calc base'!K$17,'Calc base'!$C$14:$N$14,1))))</f>
        <v>0</v>
      </c>
      <c r="AQ196">
        <f>IF('Calc base'!L$14=0,0,MIN(AE196,MAX(0,$E196-SUMIFS($V196:$AG196,'Calc base'!$C$17:$N$17,"&lt;"&amp;'Calc base'!L$17,'Calc base'!$C$14:$N$14,1))))</f>
        <v>0</v>
      </c>
      <c r="AR196">
        <f>IF('Calc base'!M$14=0,0,MIN(AF196,MAX(0,$E196-SUMIFS($V196:$AG196,'Calc base'!$C$17:$N$17,"&lt;"&amp;'Calc base'!M$17,'Calc base'!$C$14:$N$14,1))))</f>
        <v>0</v>
      </c>
      <c r="AS196">
        <f>IF('Calc base'!N$14=0,0,MIN(AG196,MAX(0,$E196-SUMIFS($V196:$AG196,'Calc base'!$C$17:$N$17,"&lt;"&amp;'Calc base'!N$17,'Calc base'!$C$14:$N$14,1))))</f>
        <v>0</v>
      </c>
      <c r="AT196">
        <f>V196-AH196</f>
        <v>0</v>
      </c>
      <c r="AU196">
        <f>W196-AI196</f>
        <v>0</v>
      </c>
      <c r="AV196">
        <f>X196-AJ196</f>
        <v>0</v>
      </c>
      <c r="AW196">
        <f>Y196-AK196</f>
        <v>0</v>
      </c>
      <c r="AX196">
        <f>Z196-AL196</f>
        <v>0</v>
      </c>
      <c r="AY196">
        <f>AA196-AM196</f>
        <v>0</v>
      </c>
      <c r="AZ196">
        <f>AB196-AN196</f>
        <v>0</v>
      </c>
      <c r="BA196">
        <f>AC196-AO196</f>
        <v>0</v>
      </c>
      <c r="BB196">
        <f>AD196-AP196</f>
        <v>0</v>
      </c>
      <c r="BC196">
        <f>AE196-AQ196</f>
        <v>0</v>
      </c>
      <c r="BD196">
        <f>AF196-AR196</f>
        <v>0</v>
      </c>
      <c r="BE196">
        <f>AG196-AS196</f>
        <v>0</v>
      </c>
    </row>
    <row r="197">
      <c r="A197" t="n">
        <v>167</v>
      </c>
      <c r="B197">
        <f>SUMPRODUCT(ROUND($AT196:$BE196*(1+'Calc base'!$H197:$S197),2))</f>
        <v>0</v>
      </c>
      <c r="C197">
        <f>SUM(J197:U197)</f>
        <v>0</v>
      </c>
      <c r="D197">
        <f>SUM(V197:AG197)</f>
        <v>0</v>
      </c>
      <c r="E197">
        <f>MAX(0,IF(Impostazioni!$B$7="No",'Calc base'!$C197-$C$31,'Calc base'!$C197-C197)+'Calc base'!$G197+'Calc base'!$F197-(B197-C197-D197))</f>
        <v>900</v>
      </c>
      <c r="F197">
        <f>SUM(AH197:AS197)</f>
        <v>0</v>
      </c>
      <c r="G197">
        <f>SUM(AT197:BE197)</f>
        <v>0</v>
      </c>
      <c r="H197">
        <f>B197-G196</f>
        <v>0</v>
      </c>
      <c r="I197">
        <f>B197-G197</f>
        <v>0</v>
      </c>
      <c r="J197">
        <f>IF(AT196&lt;=0,0,IF(ROUND(AT196*(1+'Calc base'!H197),2)-MAX('Calc base'!C$12,ROUND('Calc base'!C$13*AT196,2))&lt;1,ROUND(AT196*(1+'Calc base'!H197),2),MAX('Calc base'!C$12,ROUND('Calc base'!C$13*AT196,2))))</f>
        <v>0</v>
      </c>
      <c r="K197">
        <f>IF(AU196&lt;=0,0,IF(ROUND(AU196*(1+'Calc base'!I197),2)-MAX('Calc base'!D$12,ROUND('Calc base'!D$13*AU196,2))&lt;1,ROUND(AU196*(1+'Calc base'!I197),2),MAX('Calc base'!D$12,ROUND('Calc base'!D$13*AU196,2))))</f>
        <v>0</v>
      </c>
      <c r="L197">
        <f>IF(AV196&lt;=0,0,IF(ROUND(AV196*(1+'Calc base'!J197),2)-MAX('Calc base'!E$12,ROUND('Calc base'!E$13*AV196,2))&lt;1,ROUND(AV196*(1+'Calc base'!J197),2),MAX('Calc base'!E$12,ROUND('Calc base'!E$13*AV196,2))))</f>
        <v>0</v>
      </c>
      <c r="M197">
        <f>IF(AW196&lt;=0,0,IF(ROUND(AW196*(1+'Calc base'!K197),2)-MAX('Calc base'!F$12,ROUND('Calc base'!F$13*AW196,2))&lt;1,ROUND(AW196*(1+'Calc base'!K197),2),MAX('Calc base'!F$12,ROUND('Calc base'!F$13*AW196,2))))</f>
        <v>0</v>
      </c>
      <c r="N197">
        <f>IF(AX196&lt;=0,0,IF(ROUND(AX196*(1+'Calc base'!L197),2)-MAX('Calc base'!G$12,ROUND('Calc base'!G$13*AX196,2))&lt;1,ROUND(AX196*(1+'Calc base'!L197),2),MAX('Calc base'!G$12,ROUND('Calc base'!G$13*AX196,2))))</f>
        <v>0</v>
      </c>
      <c r="O197">
        <f>IF(AY196&lt;=0,0,IF(ROUND(AY196*(1+'Calc base'!M197),2)-MAX('Calc base'!H$12,ROUND('Calc base'!H$13*AY196,2))&lt;1,ROUND(AY196*(1+'Calc base'!M197),2),MAX('Calc base'!H$12,ROUND('Calc base'!H$13*AY196,2))))</f>
        <v>0</v>
      </c>
      <c r="P197">
        <f>IF(AZ196&lt;=0,0,IF(ROUND(AZ196*(1+'Calc base'!N197),2)-MAX('Calc base'!I$12,ROUND('Calc base'!I$13*AZ196,2))&lt;1,ROUND(AZ196*(1+'Calc base'!N197),2),MAX('Calc base'!I$12,ROUND('Calc base'!I$13*AZ196,2))))</f>
        <v>0</v>
      </c>
      <c r="Q197">
        <f>IF(BA196&lt;=0,0,IF(ROUND(BA196*(1+'Calc base'!O197),2)-MAX('Calc base'!J$12,ROUND('Calc base'!J$13*BA196,2))&lt;1,ROUND(BA196*(1+'Calc base'!O197),2),MAX('Calc base'!J$12,ROUND('Calc base'!J$13*BA196,2))))</f>
        <v>0</v>
      </c>
      <c r="R197">
        <f>IF(BB196&lt;=0,0,IF(ROUND(BB196*(1+'Calc base'!P197),2)-MAX('Calc base'!K$12,ROUND('Calc base'!K$13*BB196,2))&lt;1,ROUND(BB196*(1+'Calc base'!P197),2),MAX('Calc base'!K$12,ROUND('Calc base'!K$13*BB196,2))))</f>
        <v>0</v>
      </c>
      <c r="S197">
        <f>IF(BC196&lt;=0,0,IF(ROUND(BC196*(1+'Calc base'!Q197),2)-MAX('Calc base'!L$12,ROUND('Calc base'!L$13*BC196,2))&lt;1,ROUND(BC196*(1+'Calc base'!Q197),2),MAX('Calc base'!L$12,ROUND('Calc base'!L$13*BC196,2))))</f>
        <v>0</v>
      </c>
      <c r="T197">
        <f>IF(BD196&lt;=0,0,IF(ROUND(BD196*(1+'Calc base'!R197),2)-MAX('Calc base'!M$12,ROUND('Calc base'!M$13*BD196,2))&lt;1,ROUND(BD196*(1+'Calc base'!R197),2),MAX('Calc base'!M$12,ROUND('Calc base'!M$13*BD196,2))))</f>
        <v>0</v>
      </c>
      <c r="U197">
        <f>IF(BE196&lt;=0,0,IF(ROUND(BE196*(1+'Calc base'!S197),2)-MAX('Calc base'!N$12,ROUND('Calc base'!N$13*BE196,2))&lt;1,ROUND(BE196*(1+'Calc base'!S197),2),MAX('Calc base'!N$12,ROUND('Calc base'!N$13*BE196,2))))</f>
        <v>0</v>
      </c>
      <c r="V197">
        <f>MAX(0,ROUND(AT196*(1+'Calc base'!H197),2)-J197-'Calc base'!T197)</f>
        <v>0</v>
      </c>
      <c r="W197">
        <f>MAX(0,ROUND(AU196*(1+'Calc base'!I197),2)-K197-'Calc base'!U197)</f>
        <v>0</v>
      </c>
      <c r="X197">
        <f>MAX(0,ROUND(AV196*(1+'Calc base'!J197),2)-L197-'Calc base'!V197)</f>
        <v>0</v>
      </c>
      <c r="Y197">
        <f>MAX(0,ROUND(AW196*(1+'Calc base'!K197),2)-M197-'Calc base'!W197)</f>
        <v>0</v>
      </c>
      <c r="Z197">
        <f>MAX(0,ROUND(AX196*(1+'Calc base'!L197),2)-N197-'Calc base'!X197)</f>
        <v>0</v>
      </c>
      <c r="AA197">
        <f>MAX(0,ROUND(AY196*(1+'Calc base'!M197),2)-O197-'Calc base'!Y197)</f>
        <v>0</v>
      </c>
      <c r="AB197">
        <f>MAX(0,ROUND(AZ196*(1+'Calc base'!N197),2)-P197-'Calc base'!Z197)</f>
        <v>0</v>
      </c>
      <c r="AC197">
        <f>MAX(0,ROUND(BA196*(1+'Calc base'!O197),2)-Q197-'Calc base'!AA197)</f>
        <v>0</v>
      </c>
      <c r="AD197">
        <f>MAX(0,ROUND(BB196*(1+'Calc base'!P197),2)-R197-'Calc base'!AB197)</f>
        <v>0</v>
      </c>
      <c r="AE197">
        <f>MAX(0,ROUND(BC196*(1+'Calc base'!Q197),2)-S197-'Calc base'!AC197)</f>
        <v>0</v>
      </c>
      <c r="AF197">
        <f>MAX(0,ROUND(BD196*(1+'Calc base'!R197),2)-T197-'Calc base'!AD197)</f>
        <v>0</v>
      </c>
      <c r="AG197">
        <f>MAX(0,ROUND(BE196*(1+'Calc base'!S197),2)-U197-'Calc base'!AE197)</f>
        <v>0</v>
      </c>
      <c r="AH197">
        <f>IF('Calc base'!C$14=0,0,MIN(V197,MAX(0,$E197-SUMIFS($V197:$AG197,'Calc base'!$C$17:$N$17,"&lt;"&amp;'Calc base'!C$17,'Calc base'!$C$14:$N$14,1))))</f>
        <v>0</v>
      </c>
      <c r="AI197">
        <f>IF('Calc base'!D$14=0,0,MIN(W197,MAX(0,$E197-SUMIFS($V197:$AG197,'Calc base'!$C$17:$N$17,"&lt;"&amp;'Calc base'!D$17,'Calc base'!$C$14:$N$14,1))))</f>
        <v>0</v>
      </c>
      <c r="AJ197">
        <f>IF('Calc base'!E$14=0,0,MIN(X197,MAX(0,$E197-SUMIFS($V197:$AG197,'Calc base'!$C$17:$N$17,"&lt;"&amp;'Calc base'!E$17,'Calc base'!$C$14:$N$14,1))))</f>
        <v>0</v>
      </c>
      <c r="AK197">
        <f>IF('Calc base'!F$14=0,0,MIN(Y197,MAX(0,$E197-SUMIFS($V197:$AG197,'Calc base'!$C$17:$N$17,"&lt;"&amp;'Calc base'!F$17,'Calc base'!$C$14:$N$14,1))))</f>
        <v>0</v>
      </c>
      <c r="AL197">
        <f>IF('Calc base'!G$14=0,0,MIN(Z197,MAX(0,$E197-SUMIFS($V197:$AG197,'Calc base'!$C$17:$N$17,"&lt;"&amp;'Calc base'!G$17,'Calc base'!$C$14:$N$14,1))))</f>
        <v>0</v>
      </c>
      <c r="AM197">
        <f>IF('Calc base'!H$14=0,0,MIN(AA197,MAX(0,$E197-SUMIFS($V197:$AG197,'Calc base'!$C$17:$N$17,"&lt;"&amp;'Calc base'!H$17,'Calc base'!$C$14:$N$14,1))))</f>
        <v>0</v>
      </c>
      <c r="AN197">
        <f>IF('Calc base'!I$14=0,0,MIN(AB197,MAX(0,$E197-SUMIFS($V197:$AG197,'Calc base'!$C$17:$N$17,"&lt;"&amp;'Calc base'!I$17,'Calc base'!$C$14:$N$14,1))))</f>
        <v>0</v>
      </c>
      <c r="AO197">
        <f>IF('Calc base'!J$14=0,0,MIN(AC197,MAX(0,$E197-SUMIFS($V197:$AG197,'Calc base'!$C$17:$N$17,"&lt;"&amp;'Calc base'!J$17,'Calc base'!$C$14:$N$14,1))))</f>
        <v>0</v>
      </c>
      <c r="AP197">
        <f>IF('Calc base'!K$14=0,0,MIN(AD197,MAX(0,$E197-SUMIFS($V197:$AG197,'Calc base'!$C$17:$N$17,"&lt;"&amp;'Calc base'!K$17,'Calc base'!$C$14:$N$14,1))))</f>
        <v>0</v>
      </c>
      <c r="AQ197">
        <f>IF('Calc base'!L$14=0,0,MIN(AE197,MAX(0,$E197-SUMIFS($V197:$AG197,'Calc base'!$C$17:$N$17,"&lt;"&amp;'Calc base'!L$17,'Calc base'!$C$14:$N$14,1))))</f>
        <v>0</v>
      </c>
      <c r="AR197">
        <f>IF('Calc base'!M$14=0,0,MIN(AF197,MAX(0,$E197-SUMIFS($V197:$AG197,'Calc base'!$C$17:$N$17,"&lt;"&amp;'Calc base'!M$17,'Calc base'!$C$14:$N$14,1))))</f>
        <v>0</v>
      </c>
      <c r="AS197">
        <f>IF('Calc base'!N$14=0,0,MIN(AG197,MAX(0,$E197-SUMIFS($V197:$AG197,'Calc base'!$C$17:$N$17,"&lt;"&amp;'Calc base'!N$17,'Calc base'!$C$14:$N$14,1))))</f>
        <v>0</v>
      </c>
      <c r="AT197">
        <f>V197-AH197</f>
        <v>0</v>
      </c>
      <c r="AU197">
        <f>W197-AI197</f>
        <v>0</v>
      </c>
      <c r="AV197">
        <f>X197-AJ197</f>
        <v>0</v>
      </c>
      <c r="AW197">
        <f>Y197-AK197</f>
        <v>0</v>
      </c>
      <c r="AX197">
        <f>Z197-AL197</f>
        <v>0</v>
      </c>
      <c r="AY197">
        <f>AA197-AM197</f>
        <v>0</v>
      </c>
      <c r="AZ197">
        <f>AB197-AN197</f>
        <v>0</v>
      </c>
      <c r="BA197">
        <f>AC197-AO197</f>
        <v>0</v>
      </c>
      <c r="BB197">
        <f>AD197-AP197</f>
        <v>0</v>
      </c>
      <c r="BC197">
        <f>AE197-AQ197</f>
        <v>0</v>
      </c>
      <c r="BD197">
        <f>AF197-AR197</f>
        <v>0</v>
      </c>
      <c r="BE197">
        <f>AG197-AS197</f>
        <v>0</v>
      </c>
    </row>
    <row r="198">
      <c r="A198" t="n">
        <v>168</v>
      </c>
      <c r="B198">
        <f>SUMPRODUCT(ROUND($AT197:$BE197*(1+'Calc base'!$H198:$S198),2))</f>
        <v>0</v>
      </c>
      <c r="C198">
        <f>SUM(J198:U198)</f>
        <v>0</v>
      </c>
      <c r="D198">
        <f>SUM(V198:AG198)</f>
        <v>0</v>
      </c>
      <c r="E198">
        <f>MAX(0,IF(Impostazioni!$B$7="No",'Calc base'!$C198-$C$31,'Calc base'!$C198-C198)+'Calc base'!$G198+'Calc base'!$F198-(B198-C198-D198))</f>
        <v>900</v>
      </c>
      <c r="F198">
        <f>SUM(AH198:AS198)</f>
        <v>0</v>
      </c>
      <c r="G198">
        <f>SUM(AT198:BE198)</f>
        <v>0</v>
      </c>
      <c r="H198">
        <f>B198-G197</f>
        <v>0</v>
      </c>
      <c r="I198">
        <f>B198-G198</f>
        <v>0</v>
      </c>
      <c r="J198">
        <f>IF(AT197&lt;=0,0,IF(ROUND(AT197*(1+'Calc base'!H198),2)-MAX('Calc base'!C$12,ROUND('Calc base'!C$13*AT197,2))&lt;1,ROUND(AT197*(1+'Calc base'!H198),2),MAX('Calc base'!C$12,ROUND('Calc base'!C$13*AT197,2))))</f>
        <v>0</v>
      </c>
      <c r="K198">
        <f>IF(AU197&lt;=0,0,IF(ROUND(AU197*(1+'Calc base'!I198),2)-MAX('Calc base'!D$12,ROUND('Calc base'!D$13*AU197,2))&lt;1,ROUND(AU197*(1+'Calc base'!I198),2),MAX('Calc base'!D$12,ROUND('Calc base'!D$13*AU197,2))))</f>
        <v>0</v>
      </c>
      <c r="L198">
        <f>IF(AV197&lt;=0,0,IF(ROUND(AV197*(1+'Calc base'!J198),2)-MAX('Calc base'!E$12,ROUND('Calc base'!E$13*AV197,2))&lt;1,ROUND(AV197*(1+'Calc base'!J198),2),MAX('Calc base'!E$12,ROUND('Calc base'!E$13*AV197,2))))</f>
        <v>0</v>
      </c>
      <c r="M198">
        <f>IF(AW197&lt;=0,0,IF(ROUND(AW197*(1+'Calc base'!K198),2)-MAX('Calc base'!F$12,ROUND('Calc base'!F$13*AW197,2))&lt;1,ROUND(AW197*(1+'Calc base'!K198),2),MAX('Calc base'!F$12,ROUND('Calc base'!F$13*AW197,2))))</f>
        <v>0</v>
      </c>
      <c r="N198">
        <f>IF(AX197&lt;=0,0,IF(ROUND(AX197*(1+'Calc base'!L198),2)-MAX('Calc base'!G$12,ROUND('Calc base'!G$13*AX197,2))&lt;1,ROUND(AX197*(1+'Calc base'!L198),2),MAX('Calc base'!G$12,ROUND('Calc base'!G$13*AX197,2))))</f>
        <v>0</v>
      </c>
      <c r="O198">
        <f>IF(AY197&lt;=0,0,IF(ROUND(AY197*(1+'Calc base'!M198),2)-MAX('Calc base'!H$12,ROUND('Calc base'!H$13*AY197,2))&lt;1,ROUND(AY197*(1+'Calc base'!M198),2),MAX('Calc base'!H$12,ROUND('Calc base'!H$13*AY197,2))))</f>
        <v>0</v>
      </c>
      <c r="P198">
        <f>IF(AZ197&lt;=0,0,IF(ROUND(AZ197*(1+'Calc base'!N198),2)-MAX('Calc base'!I$12,ROUND('Calc base'!I$13*AZ197,2))&lt;1,ROUND(AZ197*(1+'Calc base'!N198),2),MAX('Calc base'!I$12,ROUND('Calc base'!I$13*AZ197,2))))</f>
        <v>0</v>
      </c>
      <c r="Q198">
        <f>IF(BA197&lt;=0,0,IF(ROUND(BA197*(1+'Calc base'!O198),2)-MAX('Calc base'!J$12,ROUND('Calc base'!J$13*BA197,2))&lt;1,ROUND(BA197*(1+'Calc base'!O198),2),MAX('Calc base'!J$12,ROUND('Calc base'!J$13*BA197,2))))</f>
        <v>0</v>
      </c>
      <c r="R198">
        <f>IF(BB197&lt;=0,0,IF(ROUND(BB197*(1+'Calc base'!P198),2)-MAX('Calc base'!K$12,ROUND('Calc base'!K$13*BB197,2))&lt;1,ROUND(BB197*(1+'Calc base'!P198),2),MAX('Calc base'!K$12,ROUND('Calc base'!K$13*BB197,2))))</f>
        <v>0</v>
      </c>
      <c r="S198">
        <f>IF(BC197&lt;=0,0,IF(ROUND(BC197*(1+'Calc base'!Q198),2)-MAX('Calc base'!L$12,ROUND('Calc base'!L$13*BC197,2))&lt;1,ROUND(BC197*(1+'Calc base'!Q198),2),MAX('Calc base'!L$12,ROUND('Calc base'!L$13*BC197,2))))</f>
        <v>0</v>
      </c>
      <c r="T198">
        <f>IF(BD197&lt;=0,0,IF(ROUND(BD197*(1+'Calc base'!R198),2)-MAX('Calc base'!M$12,ROUND('Calc base'!M$13*BD197,2))&lt;1,ROUND(BD197*(1+'Calc base'!R198),2),MAX('Calc base'!M$12,ROUND('Calc base'!M$13*BD197,2))))</f>
        <v>0</v>
      </c>
      <c r="U198">
        <f>IF(BE197&lt;=0,0,IF(ROUND(BE197*(1+'Calc base'!S198),2)-MAX('Calc base'!N$12,ROUND('Calc base'!N$13*BE197,2))&lt;1,ROUND(BE197*(1+'Calc base'!S198),2),MAX('Calc base'!N$12,ROUND('Calc base'!N$13*BE197,2))))</f>
        <v>0</v>
      </c>
      <c r="V198">
        <f>MAX(0,ROUND(AT197*(1+'Calc base'!H198),2)-J198-'Calc base'!T198)</f>
        <v>0</v>
      </c>
      <c r="W198">
        <f>MAX(0,ROUND(AU197*(1+'Calc base'!I198),2)-K198-'Calc base'!U198)</f>
        <v>0</v>
      </c>
      <c r="X198">
        <f>MAX(0,ROUND(AV197*(1+'Calc base'!J198),2)-L198-'Calc base'!V198)</f>
        <v>0</v>
      </c>
      <c r="Y198">
        <f>MAX(0,ROUND(AW197*(1+'Calc base'!K198),2)-M198-'Calc base'!W198)</f>
        <v>0</v>
      </c>
      <c r="Z198">
        <f>MAX(0,ROUND(AX197*(1+'Calc base'!L198),2)-N198-'Calc base'!X198)</f>
        <v>0</v>
      </c>
      <c r="AA198">
        <f>MAX(0,ROUND(AY197*(1+'Calc base'!M198),2)-O198-'Calc base'!Y198)</f>
        <v>0</v>
      </c>
      <c r="AB198">
        <f>MAX(0,ROUND(AZ197*(1+'Calc base'!N198),2)-P198-'Calc base'!Z198)</f>
        <v>0</v>
      </c>
      <c r="AC198">
        <f>MAX(0,ROUND(BA197*(1+'Calc base'!O198),2)-Q198-'Calc base'!AA198)</f>
        <v>0</v>
      </c>
      <c r="AD198">
        <f>MAX(0,ROUND(BB197*(1+'Calc base'!P198),2)-R198-'Calc base'!AB198)</f>
        <v>0</v>
      </c>
      <c r="AE198">
        <f>MAX(0,ROUND(BC197*(1+'Calc base'!Q198),2)-S198-'Calc base'!AC198)</f>
        <v>0</v>
      </c>
      <c r="AF198">
        <f>MAX(0,ROUND(BD197*(1+'Calc base'!R198),2)-T198-'Calc base'!AD198)</f>
        <v>0</v>
      </c>
      <c r="AG198">
        <f>MAX(0,ROUND(BE197*(1+'Calc base'!S198),2)-U198-'Calc base'!AE198)</f>
        <v>0</v>
      </c>
      <c r="AH198">
        <f>IF('Calc base'!C$14=0,0,MIN(V198,MAX(0,$E198-SUMIFS($V198:$AG198,'Calc base'!$C$17:$N$17,"&lt;"&amp;'Calc base'!C$17,'Calc base'!$C$14:$N$14,1))))</f>
        <v>0</v>
      </c>
      <c r="AI198">
        <f>IF('Calc base'!D$14=0,0,MIN(W198,MAX(0,$E198-SUMIFS($V198:$AG198,'Calc base'!$C$17:$N$17,"&lt;"&amp;'Calc base'!D$17,'Calc base'!$C$14:$N$14,1))))</f>
        <v>0</v>
      </c>
      <c r="AJ198">
        <f>IF('Calc base'!E$14=0,0,MIN(X198,MAX(0,$E198-SUMIFS($V198:$AG198,'Calc base'!$C$17:$N$17,"&lt;"&amp;'Calc base'!E$17,'Calc base'!$C$14:$N$14,1))))</f>
        <v>0</v>
      </c>
      <c r="AK198">
        <f>IF('Calc base'!F$14=0,0,MIN(Y198,MAX(0,$E198-SUMIFS($V198:$AG198,'Calc base'!$C$17:$N$17,"&lt;"&amp;'Calc base'!F$17,'Calc base'!$C$14:$N$14,1))))</f>
        <v>0</v>
      </c>
      <c r="AL198">
        <f>IF('Calc base'!G$14=0,0,MIN(Z198,MAX(0,$E198-SUMIFS($V198:$AG198,'Calc base'!$C$17:$N$17,"&lt;"&amp;'Calc base'!G$17,'Calc base'!$C$14:$N$14,1))))</f>
        <v>0</v>
      </c>
      <c r="AM198">
        <f>IF('Calc base'!H$14=0,0,MIN(AA198,MAX(0,$E198-SUMIFS($V198:$AG198,'Calc base'!$C$17:$N$17,"&lt;"&amp;'Calc base'!H$17,'Calc base'!$C$14:$N$14,1))))</f>
        <v>0</v>
      </c>
      <c r="AN198">
        <f>IF('Calc base'!I$14=0,0,MIN(AB198,MAX(0,$E198-SUMIFS($V198:$AG198,'Calc base'!$C$17:$N$17,"&lt;"&amp;'Calc base'!I$17,'Calc base'!$C$14:$N$14,1))))</f>
        <v>0</v>
      </c>
      <c r="AO198">
        <f>IF('Calc base'!J$14=0,0,MIN(AC198,MAX(0,$E198-SUMIFS($V198:$AG198,'Calc base'!$C$17:$N$17,"&lt;"&amp;'Calc base'!J$17,'Calc base'!$C$14:$N$14,1))))</f>
        <v>0</v>
      </c>
      <c r="AP198">
        <f>IF('Calc base'!K$14=0,0,MIN(AD198,MAX(0,$E198-SUMIFS($V198:$AG198,'Calc base'!$C$17:$N$17,"&lt;"&amp;'Calc base'!K$17,'Calc base'!$C$14:$N$14,1))))</f>
        <v>0</v>
      </c>
      <c r="AQ198">
        <f>IF('Calc base'!L$14=0,0,MIN(AE198,MAX(0,$E198-SUMIFS($V198:$AG198,'Calc base'!$C$17:$N$17,"&lt;"&amp;'Calc base'!L$17,'Calc base'!$C$14:$N$14,1))))</f>
        <v>0</v>
      </c>
      <c r="AR198">
        <f>IF('Calc base'!M$14=0,0,MIN(AF198,MAX(0,$E198-SUMIFS($V198:$AG198,'Calc base'!$C$17:$N$17,"&lt;"&amp;'Calc base'!M$17,'Calc base'!$C$14:$N$14,1))))</f>
        <v>0</v>
      </c>
      <c r="AS198">
        <f>IF('Calc base'!N$14=0,0,MIN(AG198,MAX(0,$E198-SUMIFS($V198:$AG198,'Calc base'!$C$17:$N$17,"&lt;"&amp;'Calc base'!N$17,'Calc base'!$C$14:$N$14,1))))</f>
        <v>0</v>
      </c>
      <c r="AT198">
        <f>V198-AH198</f>
        <v>0</v>
      </c>
      <c r="AU198">
        <f>W198-AI198</f>
        <v>0</v>
      </c>
      <c r="AV198">
        <f>X198-AJ198</f>
        <v>0</v>
      </c>
      <c r="AW198">
        <f>Y198-AK198</f>
        <v>0</v>
      </c>
      <c r="AX198">
        <f>Z198-AL198</f>
        <v>0</v>
      </c>
      <c r="AY198">
        <f>AA198-AM198</f>
        <v>0</v>
      </c>
      <c r="AZ198">
        <f>AB198-AN198</f>
        <v>0</v>
      </c>
      <c r="BA198">
        <f>AC198-AO198</f>
        <v>0</v>
      </c>
      <c r="BB198">
        <f>AD198-AP198</f>
        <v>0</v>
      </c>
      <c r="BC198">
        <f>AE198-AQ198</f>
        <v>0</v>
      </c>
      <c r="BD198">
        <f>AF198-AR198</f>
        <v>0</v>
      </c>
      <c r="BE198">
        <f>AG198-AS198</f>
        <v>0</v>
      </c>
    </row>
    <row r="199">
      <c r="A199" t="n">
        <v>169</v>
      </c>
      <c r="B199">
        <f>SUMPRODUCT(ROUND($AT198:$BE198*(1+'Calc base'!$H199:$S199),2))</f>
        <v>0</v>
      </c>
      <c r="C199">
        <f>SUM(J199:U199)</f>
        <v>0</v>
      </c>
      <c r="D199">
        <f>SUM(V199:AG199)</f>
        <v>0</v>
      </c>
      <c r="E199">
        <f>MAX(0,IF(Impostazioni!$B$7="No",'Calc base'!$C199-$C$31,'Calc base'!$C199-C199)+'Calc base'!$G199+'Calc base'!$F199-(B199-C199-D199))</f>
        <v>900</v>
      </c>
      <c r="F199">
        <f>SUM(AH199:AS199)</f>
        <v>0</v>
      </c>
      <c r="G199">
        <f>SUM(AT199:BE199)</f>
        <v>0</v>
      </c>
      <c r="H199">
        <f>B199-G198</f>
        <v>0</v>
      </c>
      <c r="I199">
        <f>B199-G199</f>
        <v>0</v>
      </c>
      <c r="J199">
        <f>IF(AT198&lt;=0,0,IF(ROUND(AT198*(1+'Calc base'!H199),2)-MAX('Calc base'!C$12,ROUND('Calc base'!C$13*AT198,2))&lt;1,ROUND(AT198*(1+'Calc base'!H199),2),MAX('Calc base'!C$12,ROUND('Calc base'!C$13*AT198,2))))</f>
        <v>0</v>
      </c>
      <c r="K199">
        <f>IF(AU198&lt;=0,0,IF(ROUND(AU198*(1+'Calc base'!I199),2)-MAX('Calc base'!D$12,ROUND('Calc base'!D$13*AU198,2))&lt;1,ROUND(AU198*(1+'Calc base'!I199),2),MAX('Calc base'!D$12,ROUND('Calc base'!D$13*AU198,2))))</f>
        <v>0</v>
      </c>
      <c r="L199">
        <f>IF(AV198&lt;=0,0,IF(ROUND(AV198*(1+'Calc base'!J199),2)-MAX('Calc base'!E$12,ROUND('Calc base'!E$13*AV198,2))&lt;1,ROUND(AV198*(1+'Calc base'!J199),2),MAX('Calc base'!E$12,ROUND('Calc base'!E$13*AV198,2))))</f>
        <v>0</v>
      </c>
      <c r="M199">
        <f>IF(AW198&lt;=0,0,IF(ROUND(AW198*(1+'Calc base'!K199),2)-MAX('Calc base'!F$12,ROUND('Calc base'!F$13*AW198,2))&lt;1,ROUND(AW198*(1+'Calc base'!K199),2),MAX('Calc base'!F$12,ROUND('Calc base'!F$13*AW198,2))))</f>
        <v>0</v>
      </c>
      <c r="N199">
        <f>IF(AX198&lt;=0,0,IF(ROUND(AX198*(1+'Calc base'!L199),2)-MAX('Calc base'!G$12,ROUND('Calc base'!G$13*AX198,2))&lt;1,ROUND(AX198*(1+'Calc base'!L199),2),MAX('Calc base'!G$12,ROUND('Calc base'!G$13*AX198,2))))</f>
        <v>0</v>
      </c>
      <c r="O199">
        <f>IF(AY198&lt;=0,0,IF(ROUND(AY198*(1+'Calc base'!M199),2)-MAX('Calc base'!H$12,ROUND('Calc base'!H$13*AY198,2))&lt;1,ROUND(AY198*(1+'Calc base'!M199),2),MAX('Calc base'!H$12,ROUND('Calc base'!H$13*AY198,2))))</f>
        <v>0</v>
      </c>
      <c r="P199">
        <f>IF(AZ198&lt;=0,0,IF(ROUND(AZ198*(1+'Calc base'!N199),2)-MAX('Calc base'!I$12,ROUND('Calc base'!I$13*AZ198,2))&lt;1,ROUND(AZ198*(1+'Calc base'!N199),2),MAX('Calc base'!I$12,ROUND('Calc base'!I$13*AZ198,2))))</f>
        <v>0</v>
      </c>
      <c r="Q199">
        <f>IF(BA198&lt;=0,0,IF(ROUND(BA198*(1+'Calc base'!O199),2)-MAX('Calc base'!J$12,ROUND('Calc base'!J$13*BA198,2))&lt;1,ROUND(BA198*(1+'Calc base'!O199),2),MAX('Calc base'!J$12,ROUND('Calc base'!J$13*BA198,2))))</f>
        <v>0</v>
      </c>
      <c r="R199">
        <f>IF(BB198&lt;=0,0,IF(ROUND(BB198*(1+'Calc base'!P199),2)-MAX('Calc base'!K$12,ROUND('Calc base'!K$13*BB198,2))&lt;1,ROUND(BB198*(1+'Calc base'!P199),2),MAX('Calc base'!K$12,ROUND('Calc base'!K$13*BB198,2))))</f>
        <v>0</v>
      </c>
      <c r="S199">
        <f>IF(BC198&lt;=0,0,IF(ROUND(BC198*(1+'Calc base'!Q199),2)-MAX('Calc base'!L$12,ROUND('Calc base'!L$13*BC198,2))&lt;1,ROUND(BC198*(1+'Calc base'!Q199),2),MAX('Calc base'!L$12,ROUND('Calc base'!L$13*BC198,2))))</f>
        <v>0</v>
      </c>
      <c r="T199">
        <f>IF(BD198&lt;=0,0,IF(ROUND(BD198*(1+'Calc base'!R199),2)-MAX('Calc base'!M$12,ROUND('Calc base'!M$13*BD198,2))&lt;1,ROUND(BD198*(1+'Calc base'!R199),2),MAX('Calc base'!M$12,ROUND('Calc base'!M$13*BD198,2))))</f>
        <v>0</v>
      </c>
      <c r="U199">
        <f>IF(BE198&lt;=0,0,IF(ROUND(BE198*(1+'Calc base'!S199),2)-MAX('Calc base'!N$12,ROUND('Calc base'!N$13*BE198,2))&lt;1,ROUND(BE198*(1+'Calc base'!S199),2),MAX('Calc base'!N$12,ROUND('Calc base'!N$13*BE198,2))))</f>
        <v>0</v>
      </c>
      <c r="V199">
        <f>MAX(0,ROUND(AT198*(1+'Calc base'!H199),2)-J199-'Calc base'!T199)</f>
        <v>0</v>
      </c>
      <c r="W199">
        <f>MAX(0,ROUND(AU198*(1+'Calc base'!I199),2)-K199-'Calc base'!U199)</f>
        <v>0</v>
      </c>
      <c r="X199">
        <f>MAX(0,ROUND(AV198*(1+'Calc base'!J199),2)-L199-'Calc base'!V199)</f>
        <v>0</v>
      </c>
      <c r="Y199">
        <f>MAX(0,ROUND(AW198*(1+'Calc base'!K199),2)-M199-'Calc base'!W199)</f>
        <v>0</v>
      </c>
      <c r="Z199">
        <f>MAX(0,ROUND(AX198*(1+'Calc base'!L199),2)-N199-'Calc base'!X199)</f>
        <v>0</v>
      </c>
      <c r="AA199">
        <f>MAX(0,ROUND(AY198*(1+'Calc base'!M199),2)-O199-'Calc base'!Y199)</f>
        <v>0</v>
      </c>
      <c r="AB199">
        <f>MAX(0,ROUND(AZ198*(1+'Calc base'!N199),2)-P199-'Calc base'!Z199)</f>
        <v>0</v>
      </c>
      <c r="AC199">
        <f>MAX(0,ROUND(BA198*(1+'Calc base'!O199),2)-Q199-'Calc base'!AA199)</f>
        <v>0</v>
      </c>
      <c r="AD199">
        <f>MAX(0,ROUND(BB198*(1+'Calc base'!P199),2)-R199-'Calc base'!AB199)</f>
        <v>0</v>
      </c>
      <c r="AE199">
        <f>MAX(0,ROUND(BC198*(1+'Calc base'!Q199),2)-S199-'Calc base'!AC199)</f>
        <v>0</v>
      </c>
      <c r="AF199">
        <f>MAX(0,ROUND(BD198*(1+'Calc base'!R199),2)-T199-'Calc base'!AD199)</f>
        <v>0</v>
      </c>
      <c r="AG199">
        <f>MAX(0,ROUND(BE198*(1+'Calc base'!S199),2)-U199-'Calc base'!AE199)</f>
        <v>0</v>
      </c>
      <c r="AH199">
        <f>IF('Calc base'!C$14=0,0,MIN(V199,MAX(0,$E199-SUMIFS($V199:$AG199,'Calc base'!$C$17:$N$17,"&lt;"&amp;'Calc base'!C$17,'Calc base'!$C$14:$N$14,1))))</f>
        <v>0</v>
      </c>
      <c r="AI199">
        <f>IF('Calc base'!D$14=0,0,MIN(W199,MAX(0,$E199-SUMIFS($V199:$AG199,'Calc base'!$C$17:$N$17,"&lt;"&amp;'Calc base'!D$17,'Calc base'!$C$14:$N$14,1))))</f>
        <v>0</v>
      </c>
      <c r="AJ199">
        <f>IF('Calc base'!E$14=0,0,MIN(X199,MAX(0,$E199-SUMIFS($V199:$AG199,'Calc base'!$C$17:$N$17,"&lt;"&amp;'Calc base'!E$17,'Calc base'!$C$14:$N$14,1))))</f>
        <v>0</v>
      </c>
      <c r="AK199">
        <f>IF('Calc base'!F$14=0,0,MIN(Y199,MAX(0,$E199-SUMIFS($V199:$AG199,'Calc base'!$C$17:$N$17,"&lt;"&amp;'Calc base'!F$17,'Calc base'!$C$14:$N$14,1))))</f>
        <v>0</v>
      </c>
      <c r="AL199">
        <f>IF('Calc base'!G$14=0,0,MIN(Z199,MAX(0,$E199-SUMIFS($V199:$AG199,'Calc base'!$C$17:$N$17,"&lt;"&amp;'Calc base'!G$17,'Calc base'!$C$14:$N$14,1))))</f>
        <v>0</v>
      </c>
      <c r="AM199">
        <f>IF('Calc base'!H$14=0,0,MIN(AA199,MAX(0,$E199-SUMIFS($V199:$AG199,'Calc base'!$C$17:$N$17,"&lt;"&amp;'Calc base'!H$17,'Calc base'!$C$14:$N$14,1))))</f>
        <v>0</v>
      </c>
      <c r="AN199">
        <f>IF('Calc base'!I$14=0,0,MIN(AB199,MAX(0,$E199-SUMIFS($V199:$AG199,'Calc base'!$C$17:$N$17,"&lt;"&amp;'Calc base'!I$17,'Calc base'!$C$14:$N$14,1))))</f>
        <v>0</v>
      </c>
      <c r="AO199">
        <f>IF('Calc base'!J$14=0,0,MIN(AC199,MAX(0,$E199-SUMIFS($V199:$AG199,'Calc base'!$C$17:$N$17,"&lt;"&amp;'Calc base'!J$17,'Calc base'!$C$14:$N$14,1))))</f>
        <v>0</v>
      </c>
      <c r="AP199">
        <f>IF('Calc base'!K$14=0,0,MIN(AD199,MAX(0,$E199-SUMIFS($V199:$AG199,'Calc base'!$C$17:$N$17,"&lt;"&amp;'Calc base'!K$17,'Calc base'!$C$14:$N$14,1))))</f>
        <v>0</v>
      </c>
      <c r="AQ199">
        <f>IF('Calc base'!L$14=0,0,MIN(AE199,MAX(0,$E199-SUMIFS($V199:$AG199,'Calc base'!$C$17:$N$17,"&lt;"&amp;'Calc base'!L$17,'Calc base'!$C$14:$N$14,1))))</f>
        <v>0</v>
      </c>
      <c r="AR199">
        <f>IF('Calc base'!M$14=0,0,MIN(AF199,MAX(0,$E199-SUMIFS($V199:$AG199,'Calc base'!$C$17:$N$17,"&lt;"&amp;'Calc base'!M$17,'Calc base'!$C$14:$N$14,1))))</f>
        <v>0</v>
      </c>
      <c r="AS199">
        <f>IF('Calc base'!N$14=0,0,MIN(AG199,MAX(0,$E199-SUMIFS($V199:$AG199,'Calc base'!$C$17:$N$17,"&lt;"&amp;'Calc base'!N$17,'Calc base'!$C$14:$N$14,1))))</f>
        <v>0</v>
      </c>
      <c r="AT199">
        <f>V199-AH199</f>
        <v>0</v>
      </c>
      <c r="AU199">
        <f>W199-AI199</f>
        <v>0</v>
      </c>
      <c r="AV199">
        <f>X199-AJ199</f>
        <v>0</v>
      </c>
      <c r="AW199">
        <f>Y199-AK199</f>
        <v>0</v>
      </c>
      <c r="AX199">
        <f>Z199-AL199</f>
        <v>0</v>
      </c>
      <c r="AY199">
        <f>AA199-AM199</f>
        <v>0</v>
      </c>
      <c r="AZ199">
        <f>AB199-AN199</f>
        <v>0</v>
      </c>
      <c r="BA199">
        <f>AC199-AO199</f>
        <v>0</v>
      </c>
      <c r="BB199">
        <f>AD199-AP199</f>
        <v>0</v>
      </c>
      <c r="BC199">
        <f>AE199-AQ199</f>
        <v>0</v>
      </c>
      <c r="BD199">
        <f>AF199-AR199</f>
        <v>0</v>
      </c>
      <c r="BE199">
        <f>AG199-AS199</f>
        <v>0</v>
      </c>
    </row>
    <row r="200">
      <c r="A200" t="n">
        <v>170</v>
      </c>
      <c r="B200">
        <f>SUMPRODUCT(ROUND($AT199:$BE199*(1+'Calc base'!$H200:$S200),2))</f>
        <v>0</v>
      </c>
      <c r="C200">
        <f>SUM(J200:U200)</f>
        <v>0</v>
      </c>
      <c r="D200">
        <f>SUM(V200:AG200)</f>
        <v>0</v>
      </c>
      <c r="E200">
        <f>MAX(0,IF(Impostazioni!$B$7="No",'Calc base'!$C200-$C$31,'Calc base'!$C200-C200)+'Calc base'!$G200+'Calc base'!$F200-(B200-C200-D200))</f>
        <v>900</v>
      </c>
      <c r="F200">
        <f>SUM(AH200:AS200)</f>
        <v>0</v>
      </c>
      <c r="G200">
        <f>SUM(AT200:BE200)</f>
        <v>0</v>
      </c>
      <c r="H200">
        <f>B200-G199</f>
        <v>0</v>
      </c>
      <c r="I200">
        <f>B200-G200</f>
        <v>0</v>
      </c>
      <c r="J200">
        <f>IF(AT199&lt;=0,0,IF(ROUND(AT199*(1+'Calc base'!H200),2)-MAX('Calc base'!C$12,ROUND('Calc base'!C$13*AT199,2))&lt;1,ROUND(AT199*(1+'Calc base'!H200),2),MAX('Calc base'!C$12,ROUND('Calc base'!C$13*AT199,2))))</f>
        <v>0</v>
      </c>
      <c r="K200">
        <f>IF(AU199&lt;=0,0,IF(ROUND(AU199*(1+'Calc base'!I200),2)-MAX('Calc base'!D$12,ROUND('Calc base'!D$13*AU199,2))&lt;1,ROUND(AU199*(1+'Calc base'!I200),2),MAX('Calc base'!D$12,ROUND('Calc base'!D$13*AU199,2))))</f>
        <v>0</v>
      </c>
      <c r="L200">
        <f>IF(AV199&lt;=0,0,IF(ROUND(AV199*(1+'Calc base'!J200),2)-MAX('Calc base'!E$12,ROUND('Calc base'!E$13*AV199,2))&lt;1,ROUND(AV199*(1+'Calc base'!J200),2),MAX('Calc base'!E$12,ROUND('Calc base'!E$13*AV199,2))))</f>
        <v>0</v>
      </c>
      <c r="M200">
        <f>IF(AW199&lt;=0,0,IF(ROUND(AW199*(1+'Calc base'!K200),2)-MAX('Calc base'!F$12,ROUND('Calc base'!F$13*AW199,2))&lt;1,ROUND(AW199*(1+'Calc base'!K200),2),MAX('Calc base'!F$12,ROUND('Calc base'!F$13*AW199,2))))</f>
        <v>0</v>
      </c>
      <c r="N200">
        <f>IF(AX199&lt;=0,0,IF(ROUND(AX199*(1+'Calc base'!L200),2)-MAX('Calc base'!G$12,ROUND('Calc base'!G$13*AX199,2))&lt;1,ROUND(AX199*(1+'Calc base'!L200),2),MAX('Calc base'!G$12,ROUND('Calc base'!G$13*AX199,2))))</f>
        <v>0</v>
      </c>
      <c r="O200">
        <f>IF(AY199&lt;=0,0,IF(ROUND(AY199*(1+'Calc base'!M200),2)-MAX('Calc base'!H$12,ROUND('Calc base'!H$13*AY199,2))&lt;1,ROUND(AY199*(1+'Calc base'!M200),2),MAX('Calc base'!H$12,ROUND('Calc base'!H$13*AY199,2))))</f>
        <v>0</v>
      </c>
      <c r="P200">
        <f>IF(AZ199&lt;=0,0,IF(ROUND(AZ199*(1+'Calc base'!N200),2)-MAX('Calc base'!I$12,ROUND('Calc base'!I$13*AZ199,2))&lt;1,ROUND(AZ199*(1+'Calc base'!N200),2),MAX('Calc base'!I$12,ROUND('Calc base'!I$13*AZ199,2))))</f>
        <v>0</v>
      </c>
      <c r="Q200">
        <f>IF(BA199&lt;=0,0,IF(ROUND(BA199*(1+'Calc base'!O200),2)-MAX('Calc base'!J$12,ROUND('Calc base'!J$13*BA199,2))&lt;1,ROUND(BA199*(1+'Calc base'!O200),2),MAX('Calc base'!J$12,ROUND('Calc base'!J$13*BA199,2))))</f>
        <v>0</v>
      </c>
      <c r="R200">
        <f>IF(BB199&lt;=0,0,IF(ROUND(BB199*(1+'Calc base'!P200),2)-MAX('Calc base'!K$12,ROUND('Calc base'!K$13*BB199,2))&lt;1,ROUND(BB199*(1+'Calc base'!P200),2),MAX('Calc base'!K$12,ROUND('Calc base'!K$13*BB199,2))))</f>
        <v>0</v>
      </c>
      <c r="S200">
        <f>IF(BC199&lt;=0,0,IF(ROUND(BC199*(1+'Calc base'!Q200),2)-MAX('Calc base'!L$12,ROUND('Calc base'!L$13*BC199,2))&lt;1,ROUND(BC199*(1+'Calc base'!Q200),2),MAX('Calc base'!L$12,ROUND('Calc base'!L$13*BC199,2))))</f>
        <v>0</v>
      </c>
      <c r="T200">
        <f>IF(BD199&lt;=0,0,IF(ROUND(BD199*(1+'Calc base'!R200),2)-MAX('Calc base'!M$12,ROUND('Calc base'!M$13*BD199,2))&lt;1,ROUND(BD199*(1+'Calc base'!R200),2),MAX('Calc base'!M$12,ROUND('Calc base'!M$13*BD199,2))))</f>
        <v>0</v>
      </c>
      <c r="U200">
        <f>IF(BE199&lt;=0,0,IF(ROUND(BE199*(1+'Calc base'!S200),2)-MAX('Calc base'!N$12,ROUND('Calc base'!N$13*BE199,2))&lt;1,ROUND(BE199*(1+'Calc base'!S200),2),MAX('Calc base'!N$12,ROUND('Calc base'!N$13*BE199,2))))</f>
        <v>0</v>
      </c>
      <c r="V200">
        <f>MAX(0,ROUND(AT199*(1+'Calc base'!H200),2)-J200-'Calc base'!T200)</f>
        <v>0</v>
      </c>
      <c r="W200">
        <f>MAX(0,ROUND(AU199*(1+'Calc base'!I200),2)-K200-'Calc base'!U200)</f>
        <v>0</v>
      </c>
      <c r="X200">
        <f>MAX(0,ROUND(AV199*(1+'Calc base'!J200),2)-L200-'Calc base'!V200)</f>
        <v>0</v>
      </c>
      <c r="Y200">
        <f>MAX(0,ROUND(AW199*(1+'Calc base'!K200),2)-M200-'Calc base'!W200)</f>
        <v>0</v>
      </c>
      <c r="Z200">
        <f>MAX(0,ROUND(AX199*(1+'Calc base'!L200),2)-N200-'Calc base'!X200)</f>
        <v>0</v>
      </c>
      <c r="AA200">
        <f>MAX(0,ROUND(AY199*(1+'Calc base'!M200),2)-O200-'Calc base'!Y200)</f>
        <v>0</v>
      </c>
      <c r="AB200">
        <f>MAX(0,ROUND(AZ199*(1+'Calc base'!N200),2)-P200-'Calc base'!Z200)</f>
        <v>0</v>
      </c>
      <c r="AC200">
        <f>MAX(0,ROUND(BA199*(1+'Calc base'!O200),2)-Q200-'Calc base'!AA200)</f>
        <v>0</v>
      </c>
      <c r="AD200">
        <f>MAX(0,ROUND(BB199*(1+'Calc base'!P200),2)-R200-'Calc base'!AB200)</f>
        <v>0</v>
      </c>
      <c r="AE200">
        <f>MAX(0,ROUND(BC199*(1+'Calc base'!Q200),2)-S200-'Calc base'!AC200)</f>
        <v>0</v>
      </c>
      <c r="AF200">
        <f>MAX(0,ROUND(BD199*(1+'Calc base'!R200),2)-T200-'Calc base'!AD200)</f>
        <v>0</v>
      </c>
      <c r="AG200">
        <f>MAX(0,ROUND(BE199*(1+'Calc base'!S200),2)-U200-'Calc base'!AE200)</f>
        <v>0</v>
      </c>
      <c r="AH200">
        <f>IF('Calc base'!C$14=0,0,MIN(V200,MAX(0,$E200-SUMIFS($V200:$AG200,'Calc base'!$C$17:$N$17,"&lt;"&amp;'Calc base'!C$17,'Calc base'!$C$14:$N$14,1))))</f>
        <v>0</v>
      </c>
      <c r="AI200">
        <f>IF('Calc base'!D$14=0,0,MIN(W200,MAX(0,$E200-SUMIFS($V200:$AG200,'Calc base'!$C$17:$N$17,"&lt;"&amp;'Calc base'!D$17,'Calc base'!$C$14:$N$14,1))))</f>
        <v>0</v>
      </c>
      <c r="AJ200">
        <f>IF('Calc base'!E$14=0,0,MIN(X200,MAX(0,$E200-SUMIFS($V200:$AG200,'Calc base'!$C$17:$N$17,"&lt;"&amp;'Calc base'!E$17,'Calc base'!$C$14:$N$14,1))))</f>
        <v>0</v>
      </c>
      <c r="AK200">
        <f>IF('Calc base'!F$14=0,0,MIN(Y200,MAX(0,$E200-SUMIFS($V200:$AG200,'Calc base'!$C$17:$N$17,"&lt;"&amp;'Calc base'!F$17,'Calc base'!$C$14:$N$14,1))))</f>
        <v>0</v>
      </c>
      <c r="AL200">
        <f>IF('Calc base'!G$14=0,0,MIN(Z200,MAX(0,$E200-SUMIFS($V200:$AG200,'Calc base'!$C$17:$N$17,"&lt;"&amp;'Calc base'!G$17,'Calc base'!$C$14:$N$14,1))))</f>
        <v>0</v>
      </c>
      <c r="AM200">
        <f>IF('Calc base'!H$14=0,0,MIN(AA200,MAX(0,$E200-SUMIFS($V200:$AG200,'Calc base'!$C$17:$N$17,"&lt;"&amp;'Calc base'!H$17,'Calc base'!$C$14:$N$14,1))))</f>
        <v>0</v>
      </c>
      <c r="AN200">
        <f>IF('Calc base'!I$14=0,0,MIN(AB200,MAX(0,$E200-SUMIFS($V200:$AG200,'Calc base'!$C$17:$N$17,"&lt;"&amp;'Calc base'!I$17,'Calc base'!$C$14:$N$14,1))))</f>
        <v>0</v>
      </c>
      <c r="AO200">
        <f>IF('Calc base'!J$14=0,0,MIN(AC200,MAX(0,$E200-SUMIFS($V200:$AG200,'Calc base'!$C$17:$N$17,"&lt;"&amp;'Calc base'!J$17,'Calc base'!$C$14:$N$14,1))))</f>
        <v>0</v>
      </c>
      <c r="AP200">
        <f>IF('Calc base'!K$14=0,0,MIN(AD200,MAX(0,$E200-SUMIFS($V200:$AG200,'Calc base'!$C$17:$N$17,"&lt;"&amp;'Calc base'!K$17,'Calc base'!$C$14:$N$14,1))))</f>
        <v>0</v>
      </c>
      <c r="AQ200">
        <f>IF('Calc base'!L$14=0,0,MIN(AE200,MAX(0,$E200-SUMIFS($V200:$AG200,'Calc base'!$C$17:$N$17,"&lt;"&amp;'Calc base'!L$17,'Calc base'!$C$14:$N$14,1))))</f>
        <v>0</v>
      </c>
      <c r="AR200">
        <f>IF('Calc base'!M$14=0,0,MIN(AF200,MAX(0,$E200-SUMIFS($V200:$AG200,'Calc base'!$C$17:$N$17,"&lt;"&amp;'Calc base'!M$17,'Calc base'!$C$14:$N$14,1))))</f>
        <v>0</v>
      </c>
      <c r="AS200">
        <f>IF('Calc base'!N$14=0,0,MIN(AG200,MAX(0,$E200-SUMIFS($V200:$AG200,'Calc base'!$C$17:$N$17,"&lt;"&amp;'Calc base'!N$17,'Calc base'!$C$14:$N$14,1))))</f>
        <v>0</v>
      </c>
      <c r="AT200">
        <f>V200-AH200</f>
        <v>0</v>
      </c>
      <c r="AU200">
        <f>W200-AI200</f>
        <v>0</v>
      </c>
      <c r="AV200">
        <f>X200-AJ200</f>
        <v>0</v>
      </c>
      <c r="AW200">
        <f>Y200-AK200</f>
        <v>0</v>
      </c>
      <c r="AX200">
        <f>Z200-AL200</f>
        <v>0</v>
      </c>
      <c r="AY200">
        <f>AA200-AM200</f>
        <v>0</v>
      </c>
      <c r="AZ200">
        <f>AB200-AN200</f>
        <v>0</v>
      </c>
      <c r="BA200">
        <f>AC200-AO200</f>
        <v>0</v>
      </c>
      <c r="BB200">
        <f>AD200-AP200</f>
        <v>0</v>
      </c>
      <c r="BC200">
        <f>AE200-AQ200</f>
        <v>0</v>
      </c>
      <c r="BD200">
        <f>AF200-AR200</f>
        <v>0</v>
      </c>
      <c r="BE200">
        <f>AG200-AS200</f>
        <v>0</v>
      </c>
    </row>
    <row r="201">
      <c r="A201" t="n">
        <v>171</v>
      </c>
      <c r="B201">
        <f>SUMPRODUCT(ROUND($AT200:$BE200*(1+'Calc base'!$H201:$S201),2))</f>
        <v>0</v>
      </c>
      <c r="C201">
        <f>SUM(J201:U201)</f>
        <v>0</v>
      </c>
      <c r="D201">
        <f>SUM(V201:AG201)</f>
        <v>0</v>
      </c>
      <c r="E201">
        <f>MAX(0,IF(Impostazioni!$B$7="No",'Calc base'!$C201-$C$31,'Calc base'!$C201-C201)+'Calc base'!$G201+'Calc base'!$F201-(B201-C201-D201))</f>
        <v>900</v>
      </c>
      <c r="F201">
        <f>SUM(AH201:AS201)</f>
        <v>0</v>
      </c>
      <c r="G201">
        <f>SUM(AT201:BE201)</f>
        <v>0</v>
      </c>
      <c r="H201">
        <f>B201-G200</f>
        <v>0</v>
      </c>
      <c r="I201">
        <f>B201-G201</f>
        <v>0</v>
      </c>
      <c r="J201">
        <f>IF(AT200&lt;=0,0,IF(ROUND(AT200*(1+'Calc base'!H201),2)-MAX('Calc base'!C$12,ROUND('Calc base'!C$13*AT200,2))&lt;1,ROUND(AT200*(1+'Calc base'!H201),2),MAX('Calc base'!C$12,ROUND('Calc base'!C$13*AT200,2))))</f>
        <v>0</v>
      </c>
      <c r="K201">
        <f>IF(AU200&lt;=0,0,IF(ROUND(AU200*(1+'Calc base'!I201),2)-MAX('Calc base'!D$12,ROUND('Calc base'!D$13*AU200,2))&lt;1,ROUND(AU200*(1+'Calc base'!I201),2),MAX('Calc base'!D$12,ROUND('Calc base'!D$13*AU200,2))))</f>
        <v>0</v>
      </c>
      <c r="L201">
        <f>IF(AV200&lt;=0,0,IF(ROUND(AV200*(1+'Calc base'!J201),2)-MAX('Calc base'!E$12,ROUND('Calc base'!E$13*AV200,2))&lt;1,ROUND(AV200*(1+'Calc base'!J201),2),MAX('Calc base'!E$12,ROUND('Calc base'!E$13*AV200,2))))</f>
        <v>0</v>
      </c>
      <c r="M201">
        <f>IF(AW200&lt;=0,0,IF(ROUND(AW200*(1+'Calc base'!K201),2)-MAX('Calc base'!F$12,ROUND('Calc base'!F$13*AW200,2))&lt;1,ROUND(AW200*(1+'Calc base'!K201),2),MAX('Calc base'!F$12,ROUND('Calc base'!F$13*AW200,2))))</f>
        <v>0</v>
      </c>
      <c r="N201">
        <f>IF(AX200&lt;=0,0,IF(ROUND(AX200*(1+'Calc base'!L201),2)-MAX('Calc base'!G$12,ROUND('Calc base'!G$13*AX200,2))&lt;1,ROUND(AX200*(1+'Calc base'!L201),2),MAX('Calc base'!G$12,ROUND('Calc base'!G$13*AX200,2))))</f>
        <v>0</v>
      </c>
      <c r="O201">
        <f>IF(AY200&lt;=0,0,IF(ROUND(AY200*(1+'Calc base'!M201),2)-MAX('Calc base'!H$12,ROUND('Calc base'!H$13*AY200,2))&lt;1,ROUND(AY200*(1+'Calc base'!M201),2),MAX('Calc base'!H$12,ROUND('Calc base'!H$13*AY200,2))))</f>
        <v>0</v>
      </c>
      <c r="P201">
        <f>IF(AZ200&lt;=0,0,IF(ROUND(AZ200*(1+'Calc base'!N201),2)-MAX('Calc base'!I$12,ROUND('Calc base'!I$13*AZ200,2))&lt;1,ROUND(AZ200*(1+'Calc base'!N201),2),MAX('Calc base'!I$12,ROUND('Calc base'!I$13*AZ200,2))))</f>
        <v>0</v>
      </c>
      <c r="Q201">
        <f>IF(BA200&lt;=0,0,IF(ROUND(BA200*(1+'Calc base'!O201),2)-MAX('Calc base'!J$12,ROUND('Calc base'!J$13*BA200,2))&lt;1,ROUND(BA200*(1+'Calc base'!O201),2),MAX('Calc base'!J$12,ROUND('Calc base'!J$13*BA200,2))))</f>
        <v>0</v>
      </c>
      <c r="R201">
        <f>IF(BB200&lt;=0,0,IF(ROUND(BB200*(1+'Calc base'!P201),2)-MAX('Calc base'!K$12,ROUND('Calc base'!K$13*BB200,2))&lt;1,ROUND(BB200*(1+'Calc base'!P201),2),MAX('Calc base'!K$12,ROUND('Calc base'!K$13*BB200,2))))</f>
        <v>0</v>
      </c>
      <c r="S201">
        <f>IF(BC200&lt;=0,0,IF(ROUND(BC200*(1+'Calc base'!Q201),2)-MAX('Calc base'!L$12,ROUND('Calc base'!L$13*BC200,2))&lt;1,ROUND(BC200*(1+'Calc base'!Q201),2),MAX('Calc base'!L$12,ROUND('Calc base'!L$13*BC200,2))))</f>
        <v>0</v>
      </c>
      <c r="T201">
        <f>IF(BD200&lt;=0,0,IF(ROUND(BD200*(1+'Calc base'!R201),2)-MAX('Calc base'!M$12,ROUND('Calc base'!M$13*BD200,2))&lt;1,ROUND(BD200*(1+'Calc base'!R201),2),MAX('Calc base'!M$12,ROUND('Calc base'!M$13*BD200,2))))</f>
        <v>0</v>
      </c>
      <c r="U201">
        <f>IF(BE200&lt;=0,0,IF(ROUND(BE200*(1+'Calc base'!S201),2)-MAX('Calc base'!N$12,ROUND('Calc base'!N$13*BE200,2))&lt;1,ROUND(BE200*(1+'Calc base'!S201),2),MAX('Calc base'!N$12,ROUND('Calc base'!N$13*BE200,2))))</f>
        <v>0</v>
      </c>
      <c r="V201">
        <f>MAX(0,ROUND(AT200*(1+'Calc base'!H201),2)-J201-'Calc base'!T201)</f>
        <v>0</v>
      </c>
      <c r="W201">
        <f>MAX(0,ROUND(AU200*(1+'Calc base'!I201),2)-K201-'Calc base'!U201)</f>
        <v>0</v>
      </c>
      <c r="X201">
        <f>MAX(0,ROUND(AV200*(1+'Calc base'!J201),2)-L201-'Calc base'!V201)</f>
        <v>0</v>
      </c>
      <c r="Y201">
        <f>MAX(0,ROUND(AW200*(1+'Calc base'!K201),2)-M201-'Calc base'!W201)</f>
        <v>0</v>
      </c>
      <c r="Z201">
        <f>MAX(0,ROUND(AX200*(1+'Calc base'!L201),2)-N201-'Calc base'!X201)</f>
        <v>0</v>
      </c>
      <c r="AA201">
        <f>MAX(0,ROUND(AY200*(1+'Calc base'!M201),2)-O201-'Calc base'!Y201)</f>
        <v>0</v>
      </c>
      <c r="AB201">
        <f>MAX(0,ROUND(AZ200*(1+'Calc base'!N201),2)-P201-'Calc base'!Z201)</f>
        <v>0</v>
      </c>
      <c r="AC201">
        <f>MAX(0,ROUND(BA200*(1+'Calc base'!O201),2)-Q201-'Calc base'!AA201)</f>
        <v>0</v>
      </c>
      <c r="AD201">
        <f>MAX(0,ROUND(BB200*(1+'Calc base'!P201),2)-R201-'Calc base'!AB201)</f>
        <v>0</v>
      </c>
      <c r="AE201">
        <f>MAX(0,ROUND(BC200*(1+'Calc base'!Q201),2)-S201-'Calc base'!AC201)</f>
        <v>0</v>
      </c>
      <c r="AF201">
        <f>MAX(0,ROUND(BD200*(1+'Calc base'!R201),2)-T201-'Calc base'!AD201)</f>
        <v>0</v>
      </c>
      <c r="AG201">
        <f>MAX(0,ROUND(BE200*(1+'Calc base'!S201),2)-U201-'Calc base'!AE201)</f>
        <v>0</v>
      </c>
      <c r="AH201">
        <f>IF('Calc base'!C$14=0,0,MIN(V201,MAX(0,$E201-SUMIFS($V201:$AG201,'Calc base'!$C$17:$N$17,"&lt;"&amp;'Calc base'!C$17,'Calc base'!$C$14:$N$14,1))))</f>
        <v>0</v>
      </c>
      <c r="AI201">
        <f>IF('Calc base'!D$14=0,0,MIN(W201,MAX(0,$E201-SUMIFS($V201:$AG201,'Calc base'!$C$17:$N$17,"&lt;"&amp;'Calc base'!D$17,'Calc base'!$C$14:$N$14,1))))</f>
        <v>0</v>
      </c>
      <c r="AJ201">
        <f>IF('Calc base'!E$14=0,0,MIN(X201,MAX(0,$E201-SUMIFS($V201:$AG201,'Calc base'!$C$17:$N$17,"&lt;"&amp;'Calc base'!E$17,'Calc base'!$C$14:$N$14,1))))</f>
        <v>0</v>
      </c>
      <c r="AK201">
        <f>IF('Calc base'!F$14=0,0,MIN(Y201,MAX(0,$E201-SUMIFS($V201:$AG201,'Calc base'!$C$17:$N$17,"&lt;"&amp;'Calc base'!F$17,'Calc base'!$C$14:$N$14,1))))</f>
        <v>0</v>
      </c>
      <c r="AL201">
        <f>IF('Calc base'!G$14=0,0,MIN(Z201,MAX(0,$E201-SUMIFS($V201:$AG201,'Calc base'!$C$17:$N$17,"&lt;"&amp;'Calc base'!G$17,'Calc base'!$C$14:$N$14,1))))</f>
        <v>0</v>
      </c>
      <c r="AM201">
        <f>IF('Calc base'!H$14=0,0,MIN(AA201,MAX(0,$E201-SUMIFS($V201:$AG201,'Calc base'!$C$17:$N$17,"&lt;"&amp;'Calc base'!H$17,'Calc base'!$C$14:$N$14,1))))</f>
        <v>0</v>
      </c>
      <c r="AN201">
        <f>IF('Calc base'!I$14=0,0,MIN(AB201,MAX(0,$E201-SUMIFS($V201:$AG201,'Calc base'!$C$17:$N$17,"&lt;"&amp;'Calc base'!I$17,'Calc base'!$C$14:$N$14,1))))</f>
        <v>0</v>
      </c>
      <c r="AO201">
        <f>IF('Calc base'!J$14=0,0,MIN(AC201,MAX(0,$E201-SUMIFS($V201:$AG201,'Calc base'!$C$17:$N$17,"&lt;"&amp;'Calc base'!J$17,'Calc base'!$C$14:$N$14,1))))</f>
        <v>0</v>
      </c>
      <c r="AP201">
        <f>IF('Calc base'!K$14=0,0,MIN(AD201,MAX(0,$E201-SUMIFS($V201:$AG201,'Calc base'!$C$17:$N$17,"&lt;"&amp;'Calc base'!K$17,'Calc base'!$C$14:$N$14,1))))</f>
        <v>0</v>
      </c>
      <c r="AQ201">
        <f>IF('Calc base'!L$14=0,0,MIN(AE201,MAX(0,$E201-SUMIFS($V201:$AG201,'Calc base'!$C$17:$N$17,"&lt;"&amp;'Calc base'!L$17,'Calc base'!$C$14:$N$14,1))))</f>
        <v>0</v>
      </c>
      <c r="AR201">
        <f>IF('Calc base'!M$14=0,0,MIN(AF201,MAX(0,$E201-SUMIFS($V201:$AG201,'Calc base'!$C$17:$N$17,"&lt;"&amp;'Calc base'!M$17,'Calc base'!$C$14:$N$14,1))))</f>
        <v>0</v>
      </c>
      <c r="AS201">
        <f>IF('Calc base'!N$14=0,0,MIN(AG201,MAX(0,$E201-SUMIFS($V201:$AG201,'Calc base'!$C$17:$N$17,"&lt;"&amp;'Calc base'!N$17,'Calc base'!$C$14:$N$14,1))))</f>
        <v>0</v>
      </c>
      <c r="AT201">
        <f>V201-AH201</f>
        <v>0</v>
      </c>
      <c r="AU201">
        <f>W201-AI201</f>
        <v>0</v>
      </c>
      <c r="AV201">
        <f>X201-AJ201</f>
        <v>0</v>
      </c>
      <c r="AW201">
        <f>Y201-AK201</f>
        <v>0</v>
      </c>
      <c r="AX201">
        <f>Z201-AL201</f>
        <v>0</v>
      </c>
      <c r="AY201">
        <f>AA201-AM201</f>
        <v>0</v>
      </c>
      <c r="AZ201">
        <f>AB201-AN201</f>
        <v>0</v>
      </c>
      <c r="BA201">
        <f>AC201-AO201</f>
        <v>0</v>
      </c>
      <c r="BB201">
        <f>AD201-AP201</f>
        <v>0</v>
      </c>
      <c r="BC201">
        <f>AE201-AQ201</f>
        <v>0</v>
      </c>
      <c r="BD201">
        <f>AF201-AR201</f>
        <v>0</v>
      </c>
      <c r="BE201">
        <f>AG201-AS201</f>
        <v>0</v>
      </c>
    </row>
    <row r="202">
      <c r="A202" t="n">
        <v>172</v>
      </c>
      <c r="B202">
        <f>SUMPRODUCT(ROUND($AT201:$BE201*(1+'Calc base'!$H202:$S202),2))</f>
        <v>0</v>
      </c>
      <c r="C202">
        <f>SUM(J202:U202)</f>
        <v>0</v>
      </c>
      <c r="D202">
        <f>SUM(V202:AG202)</f>
        <v>0</v>
      </c>
      <c r="E202">
        <f>MAX(0,IF(Impostazioni!$B$7="No",'Calc base'!$C202-$C$31,'Calc base'!$C202-C202)+'Calc base'!$G202+'Calc base'!$F202-(B202-C202-D202))</f>
        <v>900</v>
      </c>
      <c r="F202">
        <f>SUM(AH202:AS202)</f>
        <v>0</v>
      </c>
      <c r="G202">
        <f>SUM(AT202:BE202)</f>
        <v>0</v>
      </c>
      <c r="H202">
        <f>B202-G201</f>
        <v>0</v>
      </c>
      <c r="I202">
        <f>B202-G202</f>
        <v>0</v>
      </c>
      <c r="J202">
        <f>IF(AT201&lt;=0,0,IF(ROUND(AT201*(1+'Calc base'!H202),2)-MAX('Calc base'!C$12,ROUND('Calc base'!C$13*AT201,2))&lt;1,ROUND(AT201*(1+'Calc base'!H202),2),MAX('Calc base'!C$12,ROUND('Calc base'!C$13*AT201,2))))</f>
        <v>0</v>
      </c>
      <c r="K202">
        <f>IF(AU201&lt;=0,0,IF(ROUND(AU201*(1+'Calc base'!I202),2)-MAX('Calc base'!D$12,ROUND('Calc base'!D$13*AU201,2))&lt;1,ROUND(AU201*(1+'Calc base'!I202),2),MAX('Calc base'!D$12,ROUND('Calc base'!D$13*AU201,2))))</f>
        <v>0</v>
      </c>
      <c r="L202">
        <f>IF(AV201&lt;=0,0,IF(ROUND(AV201*(1+'Calc base'!J202),2)-MAX('Calc base'!E$12,ROUND('Calc base'!E$13*AV201,2))&lt;1,ROUND(AV201*(1+'Calc base'!J202),2),MAX('Calc base'!E$12,ROUND('Calc base'!E$13*AV201,2))))</f>
        <v>0</v>
      </c>
      <c r="M202">
        <f>IF(AW201&lt;=0,0,IF(ROUND(AW201*(1+'Calc base'!K202),2)-MAX('Calc base'!F$12,ROUND('Calc base'!F$13*AW201,2))&lt;1,ROUND(AW201*(1+'Calc base'!K202),2),MAX('Calc base'!F$12,ROUND('Calc base'!F$13*AW201,2))))</f>
        <v>0</v>
      </c>
      <c r="N202">
        <f>IF(AX201&lt;=0,0,IF(ROUND(AX201*(1+'Calc base'!L202),2)-MAX('Calc base'!G$12,ROUND('Calc base'!G$13*AX201,2))&lt;1,ROUND(AX201*(1+'Calc base'!L202),2),MAX('Calc base'!G$12,ROUND('Calc base'!G$13*AX201,2))))</f>
        <v>0</v>
      </c>
      <c r="O202">
        <f>IF(AY201&lt;=0,0,IF(ROUND(AY201*(1+'Calc base'!M202),2)-MAX('Calc base'!H$12,ROUND('Calc base'!H$13*AY201,2))&lt;1,ROUND(AY201*(1+'Calc base'!M202),2),MAX('Calc base'!H$12,ROUND('Calc base'!H$13*AY201,2))))</f>
        <v>0</v>
      </c>
      <c r="P202">
        <f>IF(AZ201&lt;=0,0,IF(ROUND(AZ201*(1+'Calc base'!N202),2)-MAX('Calc base'!I$12,ROUND('Calc base'!I$13*AZ201,2))&lt;1,ROUND(AZ201*(1+'Calc base'!N202),2),MAX('Calc base'!I$12,ROUND('Calc base'!I$13*AZ201,2))))</f>
        <v>0</v>
      </c>
      <c r="Q202">
        <f>IF(BA201&lt;=0,0,IF(ROUND(BA201*(1+'Calc base'!O202),2)-MAX('Calc base'!J$12,ROUND('Calc base'!J$13*BA201,2))&lt;1,ROUND(BA201*(1+'Calc base'!O202),2),MAX('Calc base'!J$12,ROUND('Calc base'!J$13*BA201,2))))</f>
        <v>0</v>
      </c>
      <c r="R202">
        <f>IF(BB201&lt;=0,0,IF(ROUND(BB201*(1+'Calc base'!P202),2)-MAX('Calc base'!K$12,ROUND('Calc base'!K$13*BB201,2))&lt;1,ROUND(BB201*(1+'Calc base'!P202),2),MAX('Calc base'!K$12,ROUND('Calc base'!K$13*BB201,2))))</f>
        <v>0</v>
      </c>
      <c r="S202">
        <f>IF(BC201&lt;=0,0,IF(ROUND(BC201*(1+'Calc base'!Q202),2)-MAX('Calc base'!L$12,ROUND('Calc base'!L$13*BC201,2))&lt;1,ROUND(BC201*(1+'Calc base'!Q202),2),MAX('Calc base'!L$12,ROUND('Calc base'!L$13*BC201,2))))</f>
        <v>0</v>
      </c>
      <c r="T202">
        <f>IF(BD201&lt;=0,0,IF(ROUND(BD201*(1+'Calc base'!R202),2)-MAX('Calc base'!M$12,ROUND('Calc base'!M$13*BD201,2))&lt;1,ROUND(BD201*(1+'Calc base'!R202),2),MAX('Calc base'!M$12,ROUND('Calc base'!M$13*BD201,2))))</f>
        <v>0</v>
      </c>
      <c r="U202">
        <f>IF(BE201&lt;=0,0,IF(ROUND(BE201*(1+'Calc base'!S202),2)-MAX('Calc base'!N$12,ROUND('Calc base'!N$13*BE201,2))&lt;1,ROUND(BE201*(1+'Calc base'!S202),2),MAX('Calc base'!N$12,ROUND('Calc base'!N$13*BE201,2))))</f>
        <v>0</v>
      </c>
      <c r="V202">
        <f>MAX(0,ROUND(AT201*(1+'Calc base'!H202),2)-J202-'Calc base'!T202)</f>
        <v>0</v>
      </c>
      <c r="W202">
        <f>MAX(0,ROUND(AU201*(1+'Calc base'!I202),2)-K202-'Calc base'!U202)</f>
        <v>0</v>
      </c>
      <c r="X202">
        <f>MAX(0,ROUND(AV201*(1+'Calc base'!J202),2)-L202-'Calc base'!V202)</f>
        <v>0</v>
      </c>
      <c r="Y202">
        <f>MAX(0,ROUND(AW201*(1+'Calc base'!K202),2)-M202-'Calc base'!W202)</f>
        <v>0</v>
      </c>
      <c r="Z202">
        <f>MAX(0,ROUND(AX201*(1+'Calc base'!L202),2)-N202-'Calc base'!X202)</f>
        <v>0</v>
      </c>
      <c r="AA202">
        <f>MAX(0,ROUND(AY201*(1+'Calc base'!M202),2)-O202-'Calc base'!Y202)</f>
        <v>0</v>
      </c>
      <c r="AB202">
        <f>MAX(0,ROUND(AZ201*(1+'Calc base'!N202),2)-P202-'Calc base'!Z202)</f>
        <v>0</v>
      </c>
      <c r="AC202">
        <f>MAX(0,ROUND(BA201*(1+'Calc base'!O202),2)-Q202-'Calc base'!AA202)</f>
        <v>0</v>
      </c>
      <c r="AD202">
        <f>MAX(0,ROUND(BB201*(1+'Calc base'!P202),2)-R202-'Calc base'!AB202)</f>
        <v>0</v>
      </c>
      <c r="AE202">
        <f>MAX(0,ROUND(BC201*(1+'Calc base'!Q202),2)-S202-'Calc base'!AC202)</f>
        <v>0</v>
      </c>
      <c r="AF202">
        <f>MAX(0,ROUND(BD201*(1+'Calc base'!R202),2)-T202-'Calc base'!AD202)</f>
        <v>0</v>
      </c>
      <c r="AG202">
        <f>MAX(0,ROUND(BE201*(1+'Calc base'!S202),2)-U202-'Calc base'!AE202)</f>
        <v>0</v>
      </c>
      <c r="AH202">
        <f>IF('Calc base'!C$14=0,0,MIN(V202,MAX(0,$E202-SUMIFS($V202:$AG202,'Calc base'!$C$17:$N$17,"&lt;"&amp;'Calc base'!C$17,'Calc base'!$C$14:$N$14,1))))</f>
        <v>0</v>
      </c>
      <c r="AI202">
        <f>IF('Calc base'!D$14=0,0,MIN(W202,MAX(0,$E202-SUMIFS($V202:$AG202,'Calc base'!$C$17:$N$17,"&lt;"&amp;'Calc base'!D$17,'Calc base'!$C$14:$N$14,1))))</f>
        <v>0</v>
      </c>
      <c r="AJ202">
        <f>IF('Calc base'!E$14=0,0,MIN(X202,MAX(0,$E202-SUMIFS($V202:$AG202,'Calc base'!$C$17:$N$17,"&lt;"&amp;'Calc base'!E$17,'Calc base'!$C$14:$N$14,1))))</f>
        <v>0</v>
      </c>
      <c r="AK202">
        <f>IF('Calc base'!F$14=0,0,MIN(Y202,MAX(0,$E202-SUMIFS($V202:$AG202,'Calc base'!$C$17:$N$17,"&lt;"&amp;'Calc base'!F$17,'Calc base'!$C$14:$N$14,1))))</f>
        <v>0</v>
      </c>
      <c r="AL202">
        <f>IF('Calc base'!G$14=0,0,MIN(Z202,MAX(0,$E202-SUMIFS($V202:$AG202,'Calc base'!$C$17:$N$17,"&lt;"&amp;'Calc base'!G$17,'Calc base'!$C$14:$N$14,1))))</f>
        <v>0</v>
      </c>
      <c r="AM202">
        <f>IF('Calc base'!H$14=0,0,MIN(AA202,MAX(0,$E202-SUMIFS($V202:$AG202,'Calc base'!$C$17:$N$17,"&lt;"&amp;'Calc base'!H$17,'Calc base'!$C$14:$N$14,1))))</f>
        <v>0</v>
      </c>
      <c r="AN202">
        <f>IF('Calc base'!I$14=0,0,MIN(AB202,MAX(0,$E202-SUMIFS($V202:$AG202,'Calc base'!$C$17:$N$17,"&lt;"&amp;'Calc base'!I$17,'Calc base'!$C$14:$N$14,1))))</f>
        <v>0</v>
      </c>
      <c r="AO202">
        <f>IF('Calc base'!J$14=0,0,MIN(AC202,MAX(0,$E202-SUMIFS($V202:$AG202,'Calc base'!$C$17:$N$17,"&lt;"&amp;'Calc base'!J$17,'Calc base'!$C$14:$N$14,1))))</f>
        <v>0</v>
      </c>
      <c r="AP202">
        <f>IF('Calc base'!K$14=0,0,MIN(AD202,MAX(0,$E202-SUMIFS($V202:$AG202,'Calc base'!$C$17:$N$17,"&lt;"&amp;'Calc base'!K$17,'Calc base'!$C$14:$N$14,1))))</f>
        <v>0</v>
      </c>
      <c r="AQ202">
        <f>IF('Calc base'!L$14=0,0,MIN(AE202,MAX(0,$E202-SUMIFS($V202:$AG202,'Calc base'!$C$17:$N$17,"&lt;"&amp;'Calc base'!L$17,'Calc base'!$C$14:$N$14,1))))</f>
        <v>0</v>
      </c>
      <c r="AR202">
        <f>IF('Calc base'!M$14=0,0,MIN(AF202,MAX(0,$E202-SUMIFS($V202:$AG202,'Calc base'!$C$17:$N$17,"&lt;"&amp;'Calc base'!M$17,'Calc base'!$C$14:$N$14,1))))</f>
        <v>0</v>
      </c>
      <c r="AS202">
        <f>IF('Calc base'!N$14=0,0,MIN(AG202,MAX(0,$E202-SUMIFS($V202:$AG202,'Calc base'!$C$17:$N$17,"&lt;"&amp;'Calc base'!N$17,'Calc base'!$C$14:$N$14,1))))</f>
        <v>0</v>
      </c>
      <c r="AT202">
        <f>V202-AH202</f>
        <v>0</v>
      </c>
      <c r="AU202">
        <f>W202-AI202</f>
        <v>0</v>
      </c>
      <c r="AV202">
        <f>X202-AJ202</f>
        <v>0</v>
      </c>
      <c r="AW202">
        <f>Y202-AK202</f>
        <v>0</v>
      </c>
      <c r="AX202">
        <f>Z202-AL202</f>
        <v>0</v>
      </c>
      <c r="AY202">
        <f>AA202-AM202</f>
        <v>0</v>
      </c>
      <c r="AZ202">
        <f>AB202-AN202</f>
        <v>0</v>
      </c>
      <c r="BA202">
        <f>AC202-AO202</f>
        <v>0</v>
      </c>
      <c r="BB202">
        <f>AD202-AP202</f>
        <v>0</v>
      </c>
      <c r="BC202">
        <f>AE202-AQ202</f>
        <v>0</v>
      </c>
      <c r="BD202">
        <f>AF202-AR202</f>
        <v>0</v>
      </c>
      <c r="BE202">
        <f>AG202-AS202</f>
        <v>0</v>
      </c>
    </row>
    <row r="203">
      <c r="A203" t="n">
        <v>173</v>
      </c>
      <c r="B203">
        <f>SUMPRODUCT(ROUND($AT202:$BE202*(1+'Calc base'!$H203:$S203),2))</f>
        <v>0</v>
      </c>
      <c r="C203">
        <f>SUM(J203:U203)</f>
        <v>0</v>
      </c>
      <c r="D203">
        <f>SUM(V203:AG203)</f>
        <v>0</v>
      </c>
      <c r="E203">
        <f>MAX(0,IF(Impostazioni!$B$7="No",'Calc base'!$C203-$C$31,'Calc base'!$C203-C203)+'Calc base'!$G203+'Calc base'!$F203-(B203-C203-D203))</f>
        <v>900</v>
      </c>
      <c r="F203">
        <f>SUM(AH203:AS203)</f>
        <v>0</v>
      </c>
      <c r="G203">
        <f>SUM(AT203:BE203)</f>
        <v>0</v>
      </c>
      <c r="H203">
        <f>B203-G202</f>
        <v>0</v>
      </c>
      <c r="I203">
        <f>B203-G203</f>
        <v>0</v>
      </c>
      <c r="J203">
        <f>IF(AT202&lt;=0,0,IF(ROUND(AT202*(1+'Calc base'!H203),2)-MAX('Calc base'!C$12,ROUND('Calc base'!C$13*AT202,2))&lt;1,ROUND(AT202*(1+'Calc base'!H203),2),MAX('Calc base'!C$12,ROUND('Calc base'!C$13*AT202,2))))</f>
        <v>0</v>
      </c>
      <c r="K203">
        <f>IF(AU202&lt;=0,0,IF(ROUND(AU202*(1+'Calc base'!I203),2)-MAX('Calc base'!D$12,ROUND('Calc base'!D$13*AU202,2))&lt;1,ROUND(AU202*(1+'Calc base'!I203),2),MAX('Calc base'!D$12,ROUND('Calc base'!D$13*AU202,2))))</f>
        <v>0</v>
      </c>
      <c r="L203">
        <f>IF(AV202&lt;=0,0,IF(ROUND(AV202*(1+'Calc base'!J203),2)-MAX('Calc base'!E$12,ROUND('Calc base'!E$13*AV202,2))&lt;1,ROUND(AV202*(1+'Calc base'!J203),2),MAX('Calc base'!E$12,ROUND('Calc base'!E$13*AV202,2))))</f>
        <v>0</v>
      </c>
      <c r="M203">
        <f>IF(AW202&lt;=0,0,IF(ROUND(AW202*(1+'Calc base'!K203),2)-MAX('Calc base'!F$12,ROUND('Calc base'!F$13*AW202,2))&lt;1,ROUND(AW202*(1+'Calc base'!K203),2),MAX('Calc base'!F$12,ROUND('Calc base'!F$13*AW202,2))))</f>
        <v>0</v>
      </c>
      <c r="N203">
        <f>IF(AX202&lt;=0,0,IF(ROUND(AX202*(1+'Calc base'!L203),2)-MAX('Calc base'!G$12,ROUND('Calc base'!G$13*AX202,2))&lt;1,ROUND(AX202*(1+'Calc base'!L203),2),MAX('Calc base'!G$12,ROUND('Calc base'!G$13*AX202,2))))</f>
        <v>0</v>
      </c>
      <c r="O203">
        <f>IF(AY202&lt;=0,0,IF(ROUND(AY202*(1+'Calc base'!M203),2)-MAX('Calc base'!H$12,ROUND('Calc base'!H$13*AY202,2))&lt;1,ROUND(AY202*(1+'Calc base'!M203),2),MAX('Calc base'!H$12,ROUND('Calc base'!H$13*AY202,2))))</f>
        <v>0</v>
      </c>
      <c r="P203">
        <f>IF(AZ202&lt;=0,0,IF(ROUND(AZ202*(1+'Calc base'!N203),2)-MAX('Calc base'!I$12,ROUND('Calc base'!I$13*AZ202,2))&lt;1,ROUND(AZ202*(1+'Calc base'!N203),2),MAX('Calc base'!I$12,ROUND('Calc base'!I$13*AZ202,2))))</f>
        <v>0</v>
      </c>
      <c r="Q203">
        <f>IF(BA202&lt;=0,0,IF(ROUND(BA202*(1+'Calc base'!O203),2)-MAX('Calc base'!J$12,ROUND('Calc base'!J$13*BA202,2))&lt;1,ROUND(BA202*(1+'Calc base'!O203),2),MAX('Calc base'!J$12,ROUND('Calc base'!J$13*BA202,2))))</f>
        <v>0</v>
      </c>
      <c r="R203">
        <f>IF(BB202&lt;=0,0,IF(ROUND(BB202*(1+'Calc base'!P203),2)-MAX('Calc base'!K$12,ROUND('Calc base'!K$13*BB202,2))&lt;1,ROUND(BB202*(1+'Calc base'!P203),2),MAX('Calc base'!K$12,ROUND('Calc base'!K$13*BB202,2))))</f>
        <v>0</v>
      </c>
      <c r="S203">
        <f>IF(BC202&lt;=0,0,IF(ROUND(BC202*(1+'Calc base'!Q203),2)-MAX('Calc base'!L$12,ROUND('Calc base'!L$13*BC202,2))&lt;1,ROUND(BC202*(1+'Calc base'!Q203),2),MAX('Calc base'!L$12,ROUND('Calc base'!L$13*BC202,2))))</f>
        <v>0</v>
      </c>
      <c r="T203">
        <f>IF(BD202&lt;=0,0,IF(ROUND(BD202*(1+'Calc base'!R203),2)-MAX('Calc base'!M$12,ROUND('Calc base'!M$13*BD202,2))&lt;1,ROUND(BD202*(1+'Calc base'!R203),2),MAX('Calc base'!M$12,ROUND('Calc base'!M$13*BD202,2))))</f>
        <v>0</v>
      </c>
      <c r="U203">
        <f>IF(BE202&lt;=0,0,IF(ROUND(BE202*(1+'Calc base'!S203),2)-MAX('Calc base'!N$12,ROUND('Calc base'!N$13*BE202,2))&lt;1,ROUND(BE202*(1+'Calc base'!S203),2),MAX('Calc base'!N$12,ROUND('Calc base'!N$13*BE202,2))))</f>
        <v>0</v>
      </c>
      <c r="V203">
        <f>MAX(0,ROUND(AT202*(1+'Calc base'!H203),2)-J203-'Calc base'!T203)</f>
        <v>0</v>
      </c>
      <c r="W203">
        <f>MAX(0,ROUND(AU202*(1+'Calc base'!I203),2)-K203-'Calc base'!U203)</f>
        <v>0</v>
      </c>
      <c r="X203">
        <f>MAX(0,ROUND(AV202*(1+'Calc base'!J203),2)-L203-'Calc base'!V203)</f>
        <v>0</v>
      </c>
      <c r="Y203">
        <f>MAX(0,ROUND(AW202*(1+'Calc base'!K203),2)-M203-'Calc base'!W203)</f>
        <v>0</v>
      </c>
      <c r="Z203">
        <f>MAX(0,ROUND(AX202*(1+'Calc base'!L203),2)-N203-'Calc base'!X203)</f>
        <v>0</v>
      </c>
      <c r="AA203">
        <f>MAX(0,ROUND(AY202*(1+'Calc base'!M203),2)-O203-'Calc base'!Y203)</f>
        <v>0</v>
      </c>
      <c r="AB203">
        <f>MAX(0,ROUND(AZ202*(1+'Calc base'!N203),2)-P203-'Calc base'!Z203)</f>
        <v>0</v>
      </c>
      <c r="AC203">
        <f>MAX(0,ROUND(BA202*(1+'Calc base'!O203),2)-Q203-'Calc base'!AA203)</f>
        <v>0</v>
      </c>
      <c r="AD203">
        <f>MAX(0,ROUND(BB202*(1+'Calc base'!P203),2)-R203-'Calc base'!AB203)</f>
        <v>0</v>
      </c>
      <c r="AE203">
        <f>MAX(0,ROUND(BC202*(1+'Calc base'!Q203),2)-S203-'Calc base'!AC203)</f>
        <v>0</v>
      </c>
      <c r="AF203">
        <f>MAX(0,ROUND(BD202*(1+'Calc base'!R203),2)-T203-'Calc base'!AD203)</f>
        <v>0</v>
      </c>
      <c r="AG203">
        <f>MAX(0,ROUND(BE202*(1+'Calc base'!S203),2)-U203-'Calc base'!AE203)</f>
        <v>0</v>
      </c>
      <c r="AH203">
        <f>IF('Calc base'!C$14=0,0,MIN(V203,MAX(0,$E203-SUMIFS($V203:$AG203,'Calc base'!$C$17:$N$17,"&lt;"&amp;'Calc base'!C$17,'Calc base'!$C$14:$N$14,1))))</f>
        <v>0</v>
      </c>
      <c r="AI203">
        <f>IF('Calc base'!D$14=0,0,MIN(W203,MAX(0,$E203-SUMIFS($V203:$AG203,'Calc base'!$C$17:$N$17,"&lt;"&amp;'Calc base'!D$17,'Calc base'!$C$14:$N$14,1))))</f>
        <v>0</v>
      </c>
      <c r="AJ203">
        <f>IF('Calc base'!E$14=0,0,MIN(X203,MAX(0,$E203-SUMIFS($V203:$AG203,'Calc base'!$C$17:$N$17,"&lt;"&amp;'Calc base'!E$17,'Calc base'!$C$14:$N$14,1))))</f>
        <v>0</v>
      </c>
      <c r="AK203">
        <f>IF('Calc base'!F$14=0,0,MIN(Y203,MAX(0,$E203-SUMIFS($V203:$AG203,'Calc base'!$C$17:$N$17,"&lt;"&amp;'Calc base'!F$17,'Calc base'!$C$14:$N$14,1))))</f>
        <v>0</v>
      </c>
      <c r="AL203">
        <f>IF('Calc base'!G$14=0,0,MIN(Z203,MAX(0,$E203-SUMIFS($V203:$AG203,'Calc base'!$C$17:$N$17,"&lt;"&amp;'Calc base'!G$17,'Calc base'!$C$14:$N$14,1))))</f>
        <v>0</v>
      </c>
      <c r="AM203">
        <f>IF('Calc base'!H$14=0,0,MIN(AA203,MAX(0,$E203-SUMIFS($V203:$AG203,'Calc base'!$C$17:$N$17,"&lt;"&amp;'Calc base'!H$17,'Calc base'!$C$14:$N$14,1))))</f>
        <v>0</v>
      </c>
      <c r="AN203">
        <f>IF('Calc base'!I$14=0,0,MIN(AB203,MAX(0,$E203-SUMIFS($V203:$AG203,'Calc base'!$C$17:$N$17,"&lt;"&amp;'Calc base'!I$17,'Calc base'!$C$14:$N$14,1))))</f>
        <v>0</v>
      </c>
      <c r="AO203">
        <f>IF('Calc base'!J$14=0,0,MIN(AC203,MAX(0,$E203-SUMIFS($V203:$AG203,'Calc base'!$C$17:$N$17,"&lt;"&amp;'Calc base'!J$17,'Calc base'!$C$14:$N$14,1))))</f>
        <v>0</v>
      </c>
      <c r="AP203">
        <f>IF('Calc base'!K$14=0,0,MIN(AD203,MAX(0,$E203-SUMIFS($V203:$AG203,'Calc base'!$C$17:$N$17,"&lt;"&amp;'Calc base'!K$17,'Calc base'!$C$14:$N$14,1))))</f>
        <v>0</v>
      </c>
      <c r="AQ203">
        <f>IF('Calc base'!L$14=0,0,MIN(AE203,MAX(0,$E203-SUMIFS($V203:$AG203,'Calc base'!$C$17:$N$17,"&lt;"&amp;'Calc base'!L$17,'Calc base'!$C$14:$N$14,1))))</f>
        <v>0</v>
      </c>
      <c r="AR203">
        <f>IF('Calc base'!M$14=0,0,MIN(AF203,MAX(0,$E203-SUMIFS($V203:$AG203,'Calc base'!$C$17:$N$17,"&lt;"&amp;'Calc base'!M$17,'Calc base'!$C$14:$N$14,1))))</f>
        <v>0</v>
      </c>
      <c r="AS203">
        <f>IF('Calc base'!N$14=0,0,MIN(AG203,MAX(0,$E203-SUMIFS($V203:$AG203,'Calc base'!$C$17:$N$17,"&lt;"&amp;'Calc base'!N$17,'Calc base'!$C$14:$N$14,1))))</f>
        <v>0</v>
      </c>
      <c r="AT203">
        <f>V203-AH203</f>
        <v>0</v>
      </c>
      <c r="AU203">
        <f>W203-AI203</f>
        <v>0</v>
      </c>
      <c r="AV203">
        <f>X203-AJ203</f>
        <v>0</v>
      </c>
      <c r="AW203">
        <f>Y203-AK203</f>
        <v>0</v>
      </c>
      <c r="AX203">
        <f>Z203-AL203</f>
        <v>0</v>
      </c>
      <c r="AY203">
        <f>AA203-AM203</f>
        <v>0</v>
      </c>
      <c r="AZ203">
        <f>AB203-AN203</f>
        <v>0</v>
      </c>
      <c r="BA203">
        <f>AC203-AO203</f>
        <v>0</v>
      </c>
      <c r="BB203">
        <f>AD203-AP203</f>
        <v>0</v>
      </c>
      <c r="BC203">
        <f>AE203-AQ203</f>
        <v>0</v>
      </c>
      <c r="BD203">
        <f>AF203-AR203</f>
        <v>0</v>
      </c>
      <c r="BE203">
        <f>AG203-AS203</f>
        <v>0</v>
      </c>
    </row>
    <row r="204">
      <c r="A204" t="n">
        <v>174</v>
      </c>
      <c r="B204">
        <f>SUMPRODUCT(ROUND($AT203:$BE203*(1+'Calc base'!$H204:$S204),2))</f>
        <v>0</v>
      </c>
      <c r="C204">
        <f>SUM(J204:U204)</f>
        <v>0</v>
      </c>
      <c r="D204">
        <f>SUM(V204:AG204)</f>
        <v>0</v>
      </c>
      <c r="E204">
        <f>MAX(0,IF(Impostazioni!$B$7="No",'Calc base'!$C204-$C$31,'Calc base'!$C204-C204)+'Calc base'!$G204+'Calc base'!$F204-(B204-C204-D204))</f>
        <v>900</v>
      </c>
      <c r="F204">
        <f>SUM(AH204:AS204)</f>
        <v>0</v>
      </c>
      <c r="G204">
        <f>SUM(AT204:BE204)</f>
        <v>0</v>
      </c>
      <c r="H204">
        <f>B204-G203</f>
        <v>0</v>
      </c>
      <c r="I204">
        <f>B204-G204</f>
        <v>0</v>
      </c>
      <c r="J204">
        <f>IF(AT203&lt;=0,0,IF(ROUND(AT203*(1+'Calc base'!H204),2)-MAX('Calc base'!C$12,ROUND('Calc base'!C$13*AT203,2))&lt;1,ROUND(AT203*(1+'Calc base'!H204),2),MAX('Calc base'!C$12,ROUND('Calc base'!C$13*AT203,2))))</f>
        <v>0</v>
      </c>
      <c r="K204">
        <f>IF(AU203&lt;=0,0,IF(ROUND(AU203*(1+'Calc base'!I204),2)-MAX('Calc base'!D$12,ROUND('Calc base'!D$13*AU203,2))&lt;1,ROUND(AU203*(1+'Calc base'!I204),2),MAX('Calc base'!D$12,ROUND('Calc base'!D$13*AU203,2))))</f>
        <v>0</v>
      </c>
      <c r="L204">
        <f>IF(AV203&lt;=0,0,IF(ROUND(AV203*(1+'Calc base'!J204),2)-MAX('Calc base'!E$12,ROUND('Calc base'!E$13*AV203,2))&lt;1,ROUND(AV203*(1+'Calc base'!J204),2),MAX('Calc base'!E$12,ROUND('Calc base'!E$13*AV203,2))))</f>
        <v>0</v>
      </c>
      <c r="M204">
        <f>IF(AW203&lt;=0,0,IF(ROUND(AW203*(1+'Calc base'!K204),2)-MAX('Calc base'!F$12,ROUND('Calc base'!F$13*AW203,2))&lt;1,ROUND(AW203*(1+'Calc base'!K204),2),MAX('Calc base'!F$12,ROUND('Calc base'!F$13*AW203,2))))</f>
        <v>0</v>
      </c>
      <c r="N204">
        <f>IF(AX203&lt;=0,0,IF(ROUND(AX203*(1+'Calc base'!L204),2)-MAX('Calc base'!G$12,ROUND('Calc base'!G$13*AX203,2))&lt;1,ROUND(AX203*(1+'Calc base'!L204),2),MAX('Calc base'!G$12,ROUND('Calc base'!G$13*AX203,2))))</f>
        <v>0</v>
      </c>
      <c r="O204">
        <f>IF(AY203&lt;=0,0,IF(ROUND(AY203*(1+'Calc base'!M204),2)-MAX('Calc base'!H$12,ROUND('Calc base'!H$13*AY203,2))&lt;1,ROUND(AY203*(1+'Calc base'!M204),2),MAX('Calc base'!H$12,ROUND('Calc base'!H$13*AY203,2))))</f>
        <v>0</v>
      </c>
      <c r="P204">
        <f>IF(AZ203&lt;=0,0,IF(ROUND(AZ203*(1+'Calc base'!N204),2)-MAX('Calc base'!I$12,ROUND('Calc base'!I$13*AZ203,2))&lt;1,ROUND(AZ203*(1+'Calc base'!N204),2),MAX('Calc base'!I$12,ROUND('Calc base'!I$13*AZ203,2))))</f>
        <v>0</v>
      </c>
      <c r="Q204">
        <f>IF(BA203&lt;=0,0,IF(ROUND(BA203*(1+'Calc base'!O204),2)-MAX('Calc base'!J$12,ROUND('Calc base'!J$13*BA203,2))&lt;1,ROUND(BA203*(1+'Calc base'!O204),2),MAX('Calc base'!J$12,ROUND('Calc base'!J$13*BA203,2))))</f>
        <v>0</v>
      </c>
      <c r="R204">
        <f>IF(BB203&lt;=0,0,IF(ROUND(BB203*(1+'Calc base'!P204),2)-MAX('Calc base'!K$12,ROUND('Calc base'!K$13*BB203,2))&lt;1,ROUND(BB203*(1+'Calc base'!P204),2),MAX('Calc base'!K$12,ROUND('Calc base'!K$13*BB203,2))))</f>
        <v>0</v>
      </c>
      <c r="S204">
        <f>IF(BC203&lt;=0,0,IF(ROUND(BC203*(1+'Calc base'!Q204),2)-MAX('Calc base'!L$12,ROUND('Calc base'!L$13*BC203,2))&lt;1,ROUND(BC203*(1+'Calc base'!Q204),2),MAX('Calc base'!L$12,ROUND('Calc base'!L$13*BC203,2))))</f>
        <v>0</v>
      </c>
      <c r="T204">
        <f>IF(BD203&lt;=0,0,IF(ROUND(BD203*(1+'Calc base'!R204),2)-MAX('Calc base'!M$12,ROUND('Calc base'!M$13*BD203,2))&lt;1,ROUND(BD203*(1+'Calc base'!R204),2),MAX('Calc base'!M$12,ROUND('Calc base'!M$13*BD203,2))))</f>
        <v>0</v>
      </c>
      <c r="U204">
        <f>IF(BE203&lt;=0,0,IF(ROUND(BE203*(1+'Calc base'!S204),2)-MAX('Calc base'!N$12,ROUND('Calc base'!N$13*BE203,2))&lt;1,ROUND(BE203*(1+'Calc base'!S204),2),MAX('Calc base'!N$12,ROUND('Calc base'!N$13*BE203,2))))</f>
        <v>0</v>
      </c>
      <c r="V204">
        <f>MAX(0,ROUND(AT203*(1+'Calc base'!H204),2)-J204-'Calc base'!T204)</f>
        <v>0</v>
      </c>
      <c r="W204">
        <f>MAX(0,ROUND(AU203*(1+'Calc base'!I204),2)-K204-'Calc base'!U204)</f>
        <v>0</v>
      </c>
      <c r="X204">
        <f>MAX(0,ROUND(AV203*(1+'Calc base'!J204),2)-L204-'Calc base'!V204)</f>
        <v>0</v>
      </c>
      <c r="Y204">
        <f>MAX(0,ROUND(AW203*(1+'Calc base'!K204),2)-M204-'Calc base'!W204)</f>
        <v>0</v>
      </c>
      <c r="Z204">
        <f>MAX(0,ROUND(AX203*(1+'Calc base'!L204),2)-N204-'Calc base'!X204)</f>
        <v>0</v>
      </c>
      <c r="AA204">
        <f>MAX(0,ROUND(AY203*(1+'Calc base'!M204),2)-O204-'Calc base'!Y204)</f>
        <v>0</v>
      </c>
      <c r="AB204">
        <f>MAX(0,ROUND(AZ203*(1+'Calc base'!N204),2)-P204-'Calc base'!Z204)</f>
        <v>0</v>
      </c>
      <c r="AC204">
        <f>MAX(0,ROUND(BA203*(1+'Calc base'!O204),2)-Q204-'Calc base'!AA204)</f>
        <v>0</v>
      </c>
      <c r="AD204">
        <f>MAX(0,ROUND(BB203*(1+'Calc base'!P204),2)-R204-'Calc base'!AB204)</f>
        <v>0</v>
      </c>
      <c r="AE204">
        <f>MAX(0,ROUND(BC203*(1+'Calc base'!Q204),2)-S204-'Calc base'!AC204)</f>
        <v>0</v>
      </c>
      <c r="AF204">
        <f>MAX(0,ROUND(BD203*(1+'Calc base'!R204),2)-T204-'Calc base'!AD204)</f>
        <v>0</v>
      </c>
      <c r="AG204">
        <f>MAX(0,ROUND(BE203*(1+'Calc base'!S204),2)-U204-'Calc base'!AE204)</f>
        <v>0</v>
      </c>
      <c r="AH204">
        <f>IF('Calc base'!C$14=0,0,MIN(V204,MAX(0,$E204-SUMIFS($V204:$AG204,'Calc base'!$C$17:$N$17,"&lt;"&amp;'Calc base'!C$17,'Calc base'!$C$14:$N$14,1))))</f>
        <v>0</v>
      </c>
      <c r="AI204">
        <f>IF('Calc base'!D$14=0,0,MIN(W204,MAX(0,$E204-SUMIFS($V204:$AG204,'Calc base'!$C$17:$N$17,"&lt;"&amp;'Calc base'!D$17,'Calc base'!$C$14:$N$14,1))))</f>
        <v>0</v>
      </c>
      <c r="AJ204">
        <f>IF('Calc base'!E$14=0,0,MIN(X204,MAX(0,$E204-SUMIFS($V204:$AG204,'Calc base'!$C$17:$N$17,"&lt;"&amp;'Calc base'!E$17,'Calc base'!$C$14:$N$14,1))))</f>
        <v>0</v>
      </c>
      <c r="AK204">
        <f>IF('Calc base'!F$14=0,0,MIN(Y204,MAX(0,$E204-SUMIFS($V204:$AG204,'Calc base'!$C$17:$N$17,"&lt;"&amp;'Calc base'!F$17,'Calc base'!$C$14:$N$14,1))))</f>
        <v>0</v>
      </c>
      <c r="AL204">
        <f>IF('Calc base'!G$14=0,0,MIN(Z204,MAX(0,$E204-SUMIFS($V204:$AG204,'Calc base'!$C$17:$N$17,"&lt;"&amp;'Calc base'!G$17,'Calc base'!$C$14:$N$14,1))))</f>
        <v>0</v>
      </c>
      <c r="AM204">
        <f>IF('Calc base'!H$14=0,0,MIN(AA204,MAX(0,$E204-SUMIFS($V204:$AG204,'Calc base'!$C$17:$N$17,"&lt;"&amp;'Calc base'!H$17,'Calc base'!$C$14:$N$14,1))))</f>
        <v>0</v>
      </c>
      <c r="AN204">
        <f>IF('Calc base'!I$14=0,0,MIN(AB204,MAX(0,$E204-SUMIFS($V204:$AG204,'Calc base'!$C$17:$N$17,"&lt;"&amp;'Calc base'!I$17,'Calc base'!$C$14:$N$14,1))))</f>
        <v>0</v>
      </c>
      <c r="AO204">
        <f>IF('Calc base'!J$14=0,0,MIN(AC204,MAX(0,$E204-SUMIFS($V204:$AG204,'Calc base'!$C$17:$N$17,"&lt;"&amp;'Calc base'!J$17,'Calc base'!$C$14:$N$14,1))))</f>
        <v>0</v>
      </c>
      <c r="AP204">
        <f>IF('Calc base'!K$14=0,0,MIN(AD204,MAX(0,$E204-SUMIFS($V204:$AG204,'Calc base'!$C$17:$N$17,"&lt;"&amp;'Calc base'!K$17,'Calc base'!$C$14:$N$14,1))))</f>
        <v>0</v>
      </c>
      <c r="AQ204">
        <f>IF('Calc base'!L$14=0,0,MIN(AE204,MAX(0,$E204-SUMIFS($V204:$AG204,'Calc base'!$C$17:$N$17,"&lt;"&amp;'Calc base'!L$17,'Calc base'!$C$14:$N$14,1))))</f>
        <v>0</v>
      </c>
      <c r="AR204">
        <f>IF('Calc base'!M$14=0,0,MIN(AF204,MAX(0,$E204-SUMIFS($V204:$AG204,'Calc base'!$C$17:$N$17,"&lt;"&amp;'Calc base'!M$17,'Calc base'!$C$14:$N$14,1))))</f>
        <v>0</v>
      </c>
      <c r="AS204">
        <f>IF('Calc base'!N$14=0,0,MIN(AG204,MAX(0,$E204-SUMIFS($V204:$AG204,'Calc base'!$C$17:$N$17,"&lt;"&amp;'Calc base'!N$17,'Calc base'!$C$14:$N$14,1))))</f>
        <v>0</v>
      </c>
      <c r="AT204">
        <f>V204-AH204</f>
        <v>0</v>
      </c>
      <c r="AU204">
        <f>W204-AI204</f>
        <v>0</v>
      </c>
      <c r="AV204">
        <f>X204-AJ204</f>
        <v>0</v>
      </c>
      <c r="AW204">
        <f>Y204-AK204</f>
        <v>0</v>
      </c>
      <c r="AX204">
        <f>Z204-AL204</f>
        <v>0</v>
      </c>
      <c r="AY204">
        <f>AA204-AM204</f>
        <v>0</v>
      </c>
      <c r="AZ204">
        <f>AB204-AN204</f>
        <v>0</v>
      </c>
      <c r="BA204">
        <f>AC204-AO204</f>
        <v>0</v>
      </c>
      <c r="BB204">
        <f>AD204-AP204</f>
        <v>0</v>
      </c>
      <c r="BC204">
        <f>AE204-AQ204</f>
        <v>0</v>
      </c>
      <c r="BD204">
        <f>AF204-AR204</f>
        <v>0</v>
      </c>
      <c r="BE204">
        <f>AG204-AS204</f>
        <v>0</v>
      </c>
    </row>
    <row r="205">
      <c r="A205" t="n">
        <v>175</v>
      </c>
      <c r="B205">
        <f>SUMPRODUCT(ROUND($AT204:$BE204*(1+'Calc base'!$H205:$S205),2))</f>
        <v>0</v>
      </c>
      <c r="C205">
        <f>SUM(J205:U205)</f>
        <v>0</v>
      </c>
      <c r="D205">
        <f>SUM(V205:AG205)</f>
        <v>0</v>
      </c>
      <c r="E205">
        <f>MAX(0,IF(Impostazioni!$B$7="No",'Calc base'!$C205-$C$31,'Calc base'!$C205-C205)+'Calc base'!$G205+'Calc base'!$F205-(B205-C205-D205))</f>
        <v>900</v>
      </c>
      <c r="F205">
        <f>SUM(AH205:AS205)</f>
        <v>0</v>
      </c>
      <c r="G205">
        <f>SUM(AT205:BE205)</f>
        <v>0</v>
      </c>
      <c r="H205">
        <f>B205-G204</f>
        <v>0</v>
      </c>
      <c r="I205">
        <f>B205-G205</f>
        <v>0</v>
      </c>
      <c r="J205">
        <f>IF(AT204&lt;=0,0,IF(ROUND(AT204*(1+'Calc base'!H205),2)-MAX('Calc base'!C$12,ROUND('Calc base'!C$13*AT204,2))&lt;1,ROUND(AT204*(1+'Calc base'!H205),2),MAX('Calc base'!C$12,ROUND('Calc base'!C$13*AT204,2))))</f>
        <v>0</v>
      </c>
      <c r="K205">
        <f>IF(AU204&lt;=0,0,IF(ROUND(AU204*(1+'Calc base'!I205),2)-MAX('Calc base'!D$12,ROUND('Calc base'!D$13*AU204,2))&lt;1,ROUND(AU204*(1+'Calc base'!I205),2),MAX('Calc base'!D$12,ROUND('Calc base'!D$13*AU204,2))))</f>
        <v>0</v>
      </c>
      <c r="L205">
        <f>IF(AV204&lt;=0,0,IF(ROUND(AV204*(1+'Calc base'!J205),2)-MAX('Calc base'!E$12,ROUND('Calc base'!E$13*AV204,2))&lt;1,ROUND(AV204*(1+'Calc base'!J205),2),MAX('Calc base'!E$12,ROUND('Calc base'!E$13*AV204,2))))</f>
        <v>0</v>
      </c>
      <c r="M205">
        <f>IF(AW204&lt;=0,0,IF(ROUND(AW204*(1+'Calc base'!K205),2)-MAX('Calc base'!F$12,ROUND('Calc base'!F$13*AW204,2))&lt;1,ROUND(AW204*(1+'Calc base'!K205),2),MAX('Calc base'!F$12,ROUND('Calc base'!F$13*AW204,2))))</f>
        <v>0</v>
      </c>
      <c r="N205">
        <f>IF(AX204&lt;=0,0,IF(ROUND(AX204*(1+'Calc base'!L205),2)-MAX('Calc base'!G$12,ROUND('Calc base'!G$13*AX204,2))&lt;1,ROUND(AX204*(1+'Calc base'!L205),2),MAX('Calc base'!G$12,ROUND('Calc base'!G$13*AX204,2))))</f>
        <v>0</v>
      </c>
      <c r="O205">
        <f>IF(AY204&lt;=0,0,IF(ROUND(AY204*(1+'Calc base'!M205),2)-MAX('Calc base'!H$12,ROUND('Calc base'!H$13*AY204,2))&lt;1,ROUND(AY204*(1+'Calc base'!M205),2),MAX('Calc base'!H$12,ROUND('Calc base'!H$13*AY204,2))))</f>
        <v>0</v>
      </c>
      <c r="P205">
        <f>IF(AZ204&lt;=0,0,IF(ROUND(AZ204*(1+'Calc base'!N205),2)-MAX('Calc base'!I$12,ROUND('Calc base'!I$13*AZ204,2))&lt;1,ROUND(AZ204*(1+'Calc base'!N205),2),MAX('Calc base'!I$12,ROUND('Calc base'!I$13*AZ204,2))))</f>
        <v>0</v>
      </c>
      <c r="Q205">
        <f>IF(BA204&lt;=0,0,IF(ROUND(BA204*(1+'Calc base'!O205),2)-MAX('Calc base'!J$12,ROUND('Calc base'!J$13*BA204,2))&lt;1,ROUND(BA204*(1+'Calc base'!O205),2),MAX('Calc base'!J$12,ROUND('Calc base'!J$13*BA204,2))))</f>
        <v>0</v>
      </c>
      <c r="R205">
        <f>IF(BB204&lt;=0,0,IF(ROUND(BB204*(1+'Calc base'!P205),2)-MAX('Calc base'!K$12,ROUND('Calc base'!K$13*BB204,2))&lt;1,ROUND(BB204*(1+'Calc base'!P205),2),MAX('Calc base'!K$12,ROUND('Calc base'!K$13*BB204,2))))</f>
        <v>0</v>
      </c>
      <c r="S205">
        <f>IF(BC204&lt;=0,0,IF(ROUND(BC204*(1+'Calc base'!Q205),2)-MAX('Calc base'!L$12,ROUND('Calc base'!L$13*BC204,2))&lt;1,ROUND(BC204*(1+'Calc base'!Q205),2),MAX('Calc base'!L$12,ROUND('Calc base'!L$13*BC204,2))))</f>
        <v>0</v>
      </c>
      <c r="T205">
        <f>IF(BD204&lt;=0,0,IF(ROUND(BD204*(1+'Calc base'!R205),2)-MAX('Calc base'!M$12,ROUND('Calc base'!M$13*BD204,2))&lt;1,ROUND(BD204*(1+'Calc base'!R205),2),MAX('Calc base'!M$12,ROUND('Calc base'!M$13*BD204,2))))</f>
        <v>0</v>
      </c>
      <c r="U205">
        <f>IF(BE204&lt;=0,0,IF(ROUND(BE204*(1+'Calc base'!S205),2)-MAX('Calc base'!N$12,ROUND('Calc base'!N$13*BE204,2))&lt;1,ROUND(BE204*(1+'Calc base'!S205),2),MAX('Calc base'!N$12,ROUND('Calc base'!N$13*BE204,2))))</f>
        <v>0</v>
      </c>
      <c r="V205">
        <f>MAX(0,ROUND(AT204*(1+'Calc base'!H205),2)-J205-'Calc base'!T205)</f>
        <v>0</v>
      </c>
      <c r="W205">
        <f>MAX(0,ROUND(AU204*(1+'Calc base'!I205),2)-K205-'Calc base'!U205)</f>
        <v>0</v>
      </c>
      <c r="X205">
        <f>MAX(0,ROUND(AV204*(1+'Calc base'!J205),2)-L205-'Calc base'!V205)</f>
        <v>0</v>
      </c>
      <c r="Y205">
        <f>MAX(0,ROUND(AW204*(1+'Calc base'!K205),2)-M205-'Calc base'!W205)</f>
        <v>0</v>
      </c>
      <c r="Z205">
        <f>MAX(0,ROUND(AX204*(1+'Calc base'!L205),2)-N205-'Calc base'!X205)</f>
        <v>0</v>
      </c>
      <c r="AA205">
        <f>MAX(0,ROUND(AY204*(1+'Calc base'!M205),2)-O205-'Calc base'!Y205)</f>
        <v>0</v>
      </c>
      <c r="AB205">
        <f>MAX(0,ROUND(AZ204*(1+'Calc base'!N205),2)-P205-'Calc base'!Z205)</f>
        <v>0</v>
      </c>
      <c r="AC205">
        <f>MAX(0,ROUND(BA204*(1+'Calc base'!O205),2)-Q205-'Calc base'!AA205)</f>
        <v>0</v>
      </c>
      <c r="AD205">
        <f>MAX(0,ROUND(BB204*(1+'Calc base'!P205),2)-R205-'Calc base'!AB205)</f>
        <v>0</v>
      </c>
      <c r="AE205">
        <f>MAX(0,ROUND(BC204*(1+'Calc base'!Q205),2)-S205-'Calc base'!AC205)</f>
        <v>0</v>
      </c>
      <c r="AF205">
        <f>MAX(0,ROUND(BD204*(1+'Calc base'!R205),2)-T205-'Calc base'!AD205)</f>
        <v>0</v>
      </c>
      <c r="AG205">
        <f>MAX(0,ROUND(BE204*(1+'Calc base'!S205),2)-U205-'Calc base'!AE205)</f>
        <v>0</v>
      </c>
      <c r="AH205">
        <f>IF('Calc base'!C$14=0,0,MIN(V205,MAX(0,$E205-SUMIFS($V205:$AG205,'Calc base'!$C$17:$N$17,"&lt;"&amp;'Calc base'!C$17,'Calc base'!$C$14:$N$14,1))))</f>
        <v>0</v>
      </c>
      <c r="AI205">
        <f>IF('Calc base'!D$14=0,0,MIN(W205,MAX(0,$E205-SUMIFS($V205:$AG205,'Calc base'!$C$17:$N$17,"&lt;"&amp;'Calc base'!D$17,'Calc base'!$C$14:$N$14,1))))</f>
        <v>0</v>
      </c>
      <c r="AJ205">
        <f>IF('Calc base'!E$14=0,0,MIN(X205,MAX(0,$E205-SUMIFS($V205:$AG205,'Calc base'!$C$17:$N$17,"&lt;"&amp;'Calc base'!E$17,'Calc base'!$C$14:$N$14,1))))</f>
        <v>0</v>
      </c>
      <c r="AK205">
        <f>IF('Calc base'!F$14=0,0,MIN(Y205,MAX(0,$E205-SUMIFS($V205:$AG205,'Calc base'!$C$17:$N$17,"&lt;"&amp;'Calc base'!F$17,'Calc base'!$C$14:$N$14,1))))</f>
        <v>0</v>
      </c>
      <c r="AL205">
        <f>IF('Calc base'!G$14=0,0,MIN(Z205,MAX(0,$E205-SUMIFS($V205:$AG205,'Calc base'!$C$17:$N$17,"&lt;"&amp;'Calc base'!G$17,'Calc base'!$C$14:$N$14,1))))</f>
        <v>0</v>
      </c>
      <c r="AM205">
        <f>IF('Calc base'!H$14=0,0,MIN(AA205,MAX(0,$E205-SUMIFS($V205:$AG205,'Calc base'!$C$17:$N$17,"&lt;"&amp;'Calc base'!H$17,'Calc base'!$C$14:$N$14,1))))</f>
        <v>0</v>
      </c>
      <c r="AN205">
        <f>IF('Calc base'!I$14=0,0,MIN(AB205,MAX(0,$E205-SUMIFS($V205:$AG205,'Calc base'!$C$17:$N$17,"&lt;"&amp;'Calc base'!I$17,'Calc base'!$C$14:$N$14,1))))</f>
        <v>0</v>
      </c>
      <c r="AO205">
        <f>IF('Calc base'!J$14=0,0,MIN(AC205,MAX(0,$E205-SUMIFS($V205:$AG205,'Calc base'!$C$17:$N$17,"&lt;"&amp;'Calc base'!J$17,'Calc base'!$C$14:$N$14,1))))</f>
        <v>0</v>
      </c>
      <c r="AP205">
        <f>IF('Calc base'!K$14=0,0,MIN(AD205,MAX(0,$E205-SUMIFS($V205:$AG205,'Calc base'!$C$17:$N$17,"&lt;"&amp;'Calc base'!K$17,'Calc base'!$C$14:$N$14,1))))</f>
        <v>0</v>
      </c>
      <c r="AQ205">
        <f>IF('Calc base'!L$14=0,0,MIN(AE205,MAX(0,$E205-SUMIFS($V205:$AG205,'Calc base'!$C$17:$N$17,"&lt;"&amp;'Calc base'!L$17,'Calc base'!$C$14:$N$14,1))))</f>
        <v>0</v>
      </c>
      <c r="AR205">
        <f>IF('Calc base'!M$14=0,0,MIN(AF205,MAX(0,$E205-SUMIFS($V205:$AG205,'Calc base'!$C$17:$N$17,"&lt;"&amp;'Calc base'!M$17,'Calc base'!$C$14:$N$14,1))))</f>
        <v>0</v>
      </c>
      <c r="AS205">
        <f>IF('Calc base'!N$14=0,0,MIN(AG205,MAX(0,$E205-SUMIFS($V205:$AG205,'Calc base'!$C$17:$N$17,"&lt;"&amp;'Calc base'!N$17,'Calc base'!$C$14:$N$14,1))))</f>
        <v>0</v>
      </c>
      <c r="AT205">
        <f>V205-AH205</f>
        <v>0</v>
      </c>
      <c r="AU205">
        <f>W205-AI205</f>
        <v>0</v>
      </c>
      <c r="AV205">
        <f>X205-AJ205</f>
        <v>0</v>
      </c>
      <c r="AW205">
        <f>Y205-AK205</f>
        <v>0</v>
      </c>
      <c r="AX205">
        <f>Z205-AL205</f>
        <v>0</v>
      </c>
      <c r="AY205">
        <f>AA205-AM205</f>
        <v>0</v>
      </c>
      <c r="AZ205">
        <f>AB205-AN205</f>
        <v>0</v>
      </c>
      <c r="BA205">
        <f>AC205-AO205</f>
        <v>0</v>
      </c>
      <c r="BB205">
        <f>AD205-AP205</f>
        <v>0</v>
      </c>
      <c r="BC205">
        <f>AE205-AQ205</f>
        <v>0</v>
      </c>
      <c r="BD205">
        <f>AF205-AR205</f>
        <v>0</v>
      </c>
      <c r="BE205">
        <f>AG205-AS205</f>
        <v>0</v>
      </c>
    </row>
    <row r="206">
      <c r="A206" t="n">
        <v>176</v>
      </c>
      <c r="B206">
        <f>SUMPRODUCT(ROUND($AT205:$BE205*(1+'Calc base'!$H206:$S206),2))</f>
        <v>0</v>
      </c>
      <c r="C206">
        <f>SUM(J206:U206)</f>
        <v>0</v>
      </c>
      <c r="D206">
        <f>SUM(V206:AG206)</f>
        <v>0</v>
      </c>
      <c r="E206">
        <f>MAX(0,IF(Impostazioni!$B$7="No",'Calc base'!$C206-$C$31,'Calc base'!$C206-C206)+'Calc base'!$G206+'Calc base'!$F206-(B206-C206-D206))</f>
        <v>900</v>
      </c>
      <c r="F206">
        <f>SUM(AH206:AS206)</f>
        <v>0</v>
      </c>
      <c r="G206">
        <f>SUM(AT206:BE206)</f>
        <v>0</v>
      </c>
      <c r="H206">
        <f>B206-G205</f>
        <v>0</v>
      </c>
      <c r="I206">
        <f>B206-G206</f>
        <v>0</v>
      </c>
      <c r="J206">
        <f>IF(AT205&lt;=0,0,IF(ROUND(AT205*(1+'Calc base'!H206),2)-MAX('Calc base'!C$12,ROUND('Calc base'!C$13*AT205,2))&lt;1,ROUND(AT205*(1+'Calc base'!H206),2),MAX('Calc base'!C$12,ROUND('Calc base'!C$13*AT205,2))))</f>
        <v>0</v>
      </c>
      <c r="K206">
        <f>IF(AU205&lt;=0,0,IF(ROUND(AU205*(1+'Calc base'!I206),2)-MAX('Calc base'!D$12,ROUND('Calc base'!D$13*AU205,2))&lt;1,ROUND(AU205*(1+'Calc base'!I206),2),MAX('Calc base'!D$12,ROUND('Calc base'!D$13*AU205,2))))</f>
        <v>0</v>
      </c>
      <c r="L206">
        <f>IF(AV205&lt;=0,0,IF(ROUND(AV205*(1+'Calc base'!J206),2)-MAX('Calc base'!E$12,ROUND('Calc base'!E$13*AV205,2))&lt;1,ROUND(AV205*(1+'Calc base'!J206),2),MAX('Calc base'!E$12,ROUND('Calc base'!E$13*AV205,2))))</f>
        <v>0</v>
      </c>
      <c r="M206">
        <f>IF(AW205&lt;=0,0,IF(ROUND(AW205*(1+'Calc base'!K206),2)-MAX('Calc base'!F$12,ROUND('Calc base'!F$13*AW205,2))&lt;1,ROUND(AW205*(1+'Calc base'!K206),2),MAX('Calc base'!F$12,ROUND('Calc base'!F$13*AW205,2))))</f>
        <v>0</v>
      </c>
      <c r="N206">
        <f>IF(AX205&lt;=0,0,IF(ROUND(AX205*(1+'Calc base'!L206),2)-MAX('Calc base'!G$12,ROUND('Calc base'!G$13*AX205,2))&lt;1,ROUND(AX205*(1+'Calc base'!L206),2),MAX('Calc base'!G$12,ROUND('Calc base'!G$13*AX205,2))))</f>
        <v>0</v>
      </c>
      <c r="O206">
        <f>IF(AY205&lt;=0,0,IF(ROUND(AY205*(1+'Calc base'!M206),2)-MAX('Calc base'!H$12,ROUND('Calc base'!H$13*AY205,2))&lt;1,ROUND(AY205*(1+'Calc base'!M206),2),MAX('Calc base'!H$12,ROUND('Calc base'!H$13*AY205,2))))</f>
        <v>0</v>
      </c>
      <c r="P206">
        <f>IF(AZ205&lt;=0,0,IF(ROUND(AZ205*(1+'Calc base'!N206),2)-MAX('Calc base'!I$12,ROUND('Calc base'!I$13*AZ205,2))&lt;1,ROUND(AZ205*(1+'Calc base'!N206),2),MAX('Calc base'!I$12,ROUND('Calc base'!I$13*AZ205,2))))</f>
        <v>0</v>
      </c>
      <c r="Q206">
        <f>IF(BA205&lt;=0,0,IF(ROUND(BA205*(1+'Calc base'!O206),2)-MAX('Calc base'!J$12,ROUND('Calc base'!J$13*BA205,2))&lt;1,ROUND(BA205*(1+'Calc base'!O206),2),MAX('Calc base'!J$12,ROUND('Calc base'!J$13*BA205,2))))</f>
        <v>0</v>
      </c>
      <c r="R206">
        <f>IF(BB205&lt;=0,0,IF(ROUND(BB205*(1+'Calc base'!P206),2)-MAX('Calc base'!K$12,ROUND('Calc base'!K$13*BB205,2))&lt;1,ROUND(BB205*(1+'Calc base'!P206),2),MAX('Calc base'!K$12,ROUND('Calc base'!K$13*BB205,2))))</f>
        <v>0</v>
      </c>
      <c r="S206">
        <f>IF(BC205&lt;=0,0,IF(ROUND(BC205*(1+'Calc base'!Q206),2)-MAX('Calc base'!L$12,ROUND('Calc base'!L$13*BC205,2))&lt;1,ROUND(BC205*(1+'Calc base'!Q206),2),MAX('Calc base'!L$12,ROUND('Calc base'!L$13*BC205,2))))</f>
        <v>0</v>
      </c>
      <c r="T206">
        <f>IF(BD205&lt;=0,0,IF(ROUND(BD205*(1+'Calc base'!R206),2)-MAX('Calc base'!M$12,ROUND('Calc base'!M$13*BD205,2))&lt;1,ROUND(BD205*(1+'Calc base'!R206),2),MAX('Calc base'!M$12,ROUND('Calc base'!M$13*BD205,2))))</f>
        <v>0</v>
      </c>
      <c r="U206">
        <f>IF(BE205&lt;=0,0,IF(ROUND(BE205*(1+'Calc base'!S206),2)-MAX('Calc base'!N$12,ROUND('Calc base'!N$13*BE205,2))&lt;1,ROUND(BE205*(1+'Calc base'!S206),2),MAX('Calc base'!N$12,ROUND('Calc base'!N$13*BE205,2))))</f>
        <v>0</v>
      </c>
      <c r="V206">
        <f>MAX(0,ROUND(AT205*(1+'Calc base'!H206),2)-J206-'Calc base'!T206)</f>
        <v>0</v>
      </c>
      <c r="W206">
        <f>MAX(0,ROUND(AU205*(1+'Calc base'!I206),2)-K206-'Calc base'!U206)</f>
        <v>0</v>
      </c>
      <c r="X206">
        <f>MAX(0,ROUND(AV205*(1+'Calc base'!J206),2)-L206-'Calc base'!V206)</f>
        <v>0</v>
      </c>
      <c r="Y206">
        <f>MAX(0,ROUND(AW205*(1+'Calc base'!K206),2)-M206-'Calc base'!W206)</f>
        <v>0</v>
      </c>
      <c r="Z206">
        <f>MAX(0,ROUND(AX205*(1+'Calc base'!L206),2)-N206-'Calc base'!X206)</f>
        <v>0</v>
      </c>
      <c r="AA206">
        <f>MAX(0,ROUND(AY205*(1+'Calc base'!M206),2)-O206-'Calc base'!Y206)</f>
        <v>0</v>
      </c>
      <c r="AB206">
        <f>MAX(0,ROUND(AZ205*(1+'Calc base'!N206),2)-P206-'Calc base'!Z206)</f>
        <v>0</v>
      </c>
      <c r="AC206">
        <f>MAX(0,ROUND(BA205*(1+'Calc base'!O206),2)-Q206-'Calc base'!AA206)</f>
        <v>0</v>
      </c>
      <c r="AD206">
        <f>MAX(0,ROUND(BB205*(1+'Calc base'!P206),2)-R206-'Calc base'!AB206)</f>
        <v>0</v>
      </c>
      <c r="AE206">
        <f>MAX(0,ROUND(BC205*(1+'Calc base'!Q206),2)-S206-'Calc base'!AC206)</f>
        <v>0</v>
      </c>
      <c r="AF206">
        <f>MAX(0,ROUND(BD205*(1+'Calc base'!R206),2)-T206-'Calc base'!AD206)</f>
        <v>0</v>
      </c>
      <c r="AG206">
        <f>MAX(0,ROUND(BE205*(1+'Calc base'!S206),2)-U206-'Calc base'!AE206)</f>
        <v>0</v>
      </c>
      <c r="AH206">
        <f>IF('Calc base'!C$14=0,0,MIN(V206,MAX(0,$E206-SUMIFS($V206:$AG206,'Calc base'!$C$17:$N$17,"&lt;"&amp;'Calc base'!C$17,'Calc base'!$C$14:$N$14,1))))</f>
        <v>0</v>
      </c>
      <c r="AI206">
        <f>IF('Calc base'!D$14=0,0,MIN(W206,MAX(0,$E206-SUMIFS($V206:$AG206,'Calc base'!$C$17:$N$17,"&lt;"&amp;'Calc base'!D$17,'Calc base'!$C$14:$N$14,1))))</f>
        <v>0</v>
      </c>
      <c r="AJ206">
        <f>IF('Calc base'!E$14=0,0,MIN(X206,MAX(0,$E206-SUMIFS($V206:$AG206,'Calc base'!$C$17:$N$17,"&lt;"&amp;'Calc base'!E$17,'Calc base'!$C$14:$N$14,1))))</f>
        <v>0</v>
      </c>
      <c r="AK206">
        <f>IF('Calc base'!F$14=0,0,MIN(Y206,MAX(0,$E206-SUMIFS($V206:$AG206,'Calc base'!$C$17:$N$17,"&lt;"&amp;'Calc base'!F$17,'Calc base'!$C$14:$N$14,1))))</f>
        <v>0</v>
      </c>
      <c r="AL206">
        <f>IF('Calc base'!G$14=0,0,MIN(Z206,MAX(0,$E206-SUMIFS($V206:$AG206,'Calc base'!$C$17:$N$17,"&lt;"&amp;'Calc base'!G$17,'Calc base'!$C$14:$N$14,1))))</f>
        <v>0</v>
      </c>
      <c r="AM206">
        <f>IF('Calc base'!H$14=0,0,MIN(AA206,MAX(0,$E206-SUMIFS($V206:$AG206,'Calc base'!$C$17:$N$17,"&lt;"&amp;'Calc base'!H$17,'Calc base'!$C$14:$N$14,1))))</f>
        <v>0</v>
      </c>
      <c r="AN206">
        <f>IF('Calc base'!I$14=0,0,MIN(AB206,MAX(0,$E206-SUMIFS($V206:$AG206,'Calc base'!$C$17:$N$17,"&lt;"&amp;'Calc base'!I$17,'Calc base'!$C$14:$N$14,1))))</f>
        <v>0</v>
      </c>
      <c r="AO206">
        <f>IF('Calc base'!J$14=0,0,MIN(AC206,MAX(0,$E206-SUMIFS($V206:$AG206,'Calc base'!$C$17:$N$17,"&lt;"&amp;'Calc base'!J$17,'Calc base'!$C$14:$N$14,1))))</f>
        <v>0</v>
      </c>
      <c r="AP206">
        <f>IF('Calc base'!K$14=0,0,MIN(AD206,MAX(0,$E206-SUMIFS($V206:$AG206,'Calc base'!$C$17:$N$17,"&lt;"&amp;'Calc base'!K$17,'Calc base'!$C$14:$N$14,1))))</f>
        <v>0</v>
      </c>
      <c r="AQ206">
        <f>IF('Calc base'!L$14=0,0,MIN(AE206,MAX(0,$E206-SUMIFS($V206:$AG206,'Calc base'!$C$17:$N$17,"&lt;"&amp;'Calc base'!L$17,'Calc base'!$C$14:$N$14,1))))</f>
        <v>0</v>
      </c>
      <c r="AR206">
        <f>IF('Calc base'!M$14=0,0,MIN(AF206,MAX(0,$E206-SUMIFS($V206:$AG206,'Calc base'!$C$17:$N$17,"&lt;"&amp;'Calc base'!M$17,'Calc base'!$C$14:$N$14,1))))</f>
        <v>0</v>
      </c>
      <c r="AS206">
        <f>IF('Calc base'!N$14=0,0,MIN(AG206,MAX(0,$E206-SUMIFS($V206:$AG206,'Calc base'!$C$17:$N$17,"&lt;"&amp;'Calc base'!N$17,'Calc base'!$C$14:$N$14,1))))</f>
        <v>0</v>
      </c>
      <c r="AT206">
        <f>V206-AH206</f>
        <v>0</v>
      </c>
      <c r="AU206">
        <f>W206-AI206</f>
        <v>0</v>
      </c>
      <c r="AV206">
        <f>X206-AJ206</f>
        <v>0</v>
      </c>
      <c r="AW206">
        <f>Y206-AK206</f>
        <v>0</v>
      </c>
      <c r="AX206">
        <f>Z206-AL206</f>
        <v>0</v>
      </c>
      <c r="AY206">
        <f>AA206-AM206</f>
        <v>0</v>
      </c>
      <c r="AZ206">
        <f>AB206-AN206</f>
        <v>0</v>
      </c>
      <c r="BA206">
        <f>AC206-AO206</f>
        <v>0</v>
      </c>
      <c r="BB206">
        <f>AD206-AP206</f>
        <v>0</v>
      </c>
      <c r="BC206">
        <f>AE206-AQ206</f>
        <v>0</v>
      </c>
      <c r="BD206">
        <f>AF206-AR206</f>
        <v>0</v>
      </c>
      <c r="BE206">
        <f>AG206-AS206</f>
        <v>0</v>
      </c>
    </row>
    <row r="207">
      <c r="A207" t="n">
        <v>177</v>
      </c>
      <c r="B207">
        <f>SUMPRODUCT(ROUND($AT206:$BE206*(1+'Calc base'!$H207:$S207),2))</f>
        <v>0</v>
      </c>
      <c r="C207">
        <f>SUM(J207:U207)</f>
        <v>0</v>
      </c>
      <c r="D207">
        <f>SUM(V207:AG207)</f>
        <v>0</v>
      </c>
      <c r="E207">
        <f>MAX(0,IF(Impostazioni!$B$7="No",'Calc base'!$C207-$C$31,'Calc base'!$C207-C207)+'Calc base'!$G207+'Calc base'!$F207-(B207-C207-D207))</f>
        <v>900</v>
      </c>
      <c r="F207">
        <f>SUM(AH207:AS207)</f>
        <v>0</v>
      </c>
      <c r="G207">
        <f>SUM(AT207:BE207)</f>
        <v>0</v>
      </c>
      <c r="H207">
        <f>B207-G206</f>
        <v>0</v>
      </c>
      <c r="I207">
        <f>B207-G207</f>
        <v>0</v>
      </c>
      <c r="J207">
        <f>IF(AT206&lt;=0,0,IF(ROUND(AT206*(1+'Calc base'!H207),2)-MAX('Calc base'!C$12,ROUND('Calc base'!C$13*AT206,2))&lt;1,ROUND(AT206*(1+'Calc base'!H207),2),MAX('Calc base'!C$12,ROUND('Calc base'!C$13*AT206,2))))</f>
        <v>0</v>
      </c>
      <c r="K207">
        <f>IF(AU206&lt;=0,0,IF(ROUND(AU206*(1+'Calc base'!I207),2)-MAX('Calc base'!D$12,ROUND('Calc base'!D$13*AU206,2))&lt;1,ROUND(AU206*(1+'Calc base'!I207),2),MAX('Calc base'!D$12,ROUND('Calc base'!D$13*AU206,2))))</f>
        <v>0</v>
      </c>
      <c r="L207">
        <f>IF(AV206&lt;=0,0,IF(ROUND(AV206*(1+'Calc base'!J207),2)-MAX('Calc base'!E$12,ROUND('Calc base'!E$13*AV206,2))&lt;1,ROUND(AV206*(1+'Calc base'!J207),2),MAX('Calc base'!E$12,ROUND('Calc base'!E$13*AV206,2))))</f>
        <v>0</v>
      </c>
      <c r="M207">
        <f>IF(AW206&lt;=0,0,IF(ROUND(AW206*(1+'Calc base'!K207),2)-MAX('Calc base'!F$12,ROUND('Calc base'!F$13*AW206,2))&lt;1,ROUND(AW206*(1+'Calc base'!K207),2),MAX('Calc base'!F$12,ROUND('Calc base'!F$13*AW206,2))))</f>
        <v>0</v>
      </c>
      <c r="N207">
        <f>IF(AX206&lt;=0,0,IF(ROUND(AX206*(1+'Calc base'!L207),2)-MAX('Calc base'!G$12,ROUND('Calc base'!G$13*AX206,2))&lt;1,ROUND(AX206*(1+'Calc base'!L207),2),MAX('Calc base'!G$12,ROUND('Calc base'!G$13*AX206,2))))</f>
        <v>0</v>
      </c>
      <c r="O207">
        <f>IF(AY206&lt;=0,0,IF(ROUND(AY206*(1+'Calc base'!M207),2)-MAX('Calc base'!H$12,ROUND('Calc base'!H$13*AY206,2))&lt;1,ROUND(AY206*(1+'Calc base'!M207),2),MAX('Calc base'!H$12,ROUND('Calc base'!H$13*AY206,2))))</f>
        <v>0</v>
      </c>
      <c r="P207">
        <f>IF(AZ206&lt;=0,0,IF(ROUND(AZ206*(1+'Calc base'!N207),2)-MAX('Calc base'!I$12,ROUND('Calc base'!I$13*AZ206,2))&lt;1,ROUND(AZ206*(1+'Calc base'!N207),2),MAX('Calc base'!I$12,ROUND('Calc base'!I$13*AZ206,2))))</f>
        <v>0</v>
      </c>
      <c r="Q207">
        <f>IF(BA206&lt;=0,0,IF(ROUND(BA206*(1+'Calc base'!O207),2)-MAX('Calc base'!J$12,ROUND('Calc base'!J$13*BA206,2))&lt;1,ROUND(BA206*(1+'Calc base'!O207),2),MAX('Calc base'!J$12,ROUND('Calc base'!J$13*BA206,2))))</f>
        <v>0</v>
      </c>
      <c r="R207">
        <f>IF(BB206&lt;=0,0,IF(ROUND(BB206*(1+'Calc base'!P207),2)-MAX('Calc base'!K$12,ROUND('Calc base'!K$13*BB206,2))&lt;1,ROUND(BB206*(1+'Calc base'!P207),2),MAX('Calc base'!K$12,ROUND('Calc base'!K$13*BB206,2))))</f>
        <v>0</v>
      </c>
      <c r="S207">
        <f>IF(BC206&lt;=0,0,IF(ROUND(BC206*(1+'Calc base'!Q207),2)-MAX('Calc base'!L$12,ROUND('Calc base'!L$13*BC206,2))&lt;1,ROUND(BC206*(1+'Calc base'!Q207),2),MAX('Calc base'!L$12,ROUND('Calc base'!L$13*BC206,2))))</f>
        <v>0</v>
      </c>
      <c r="T207">
        <f>IF(BD206&lt;=0,0,IF(ROUND(BD206*(1+'Calc base'!R207),2)-MAX('Calc base'!M$12,ROUND('Calc base'!M$13*BD206,2))&lt;1,ROUND(BD206*(1+'Calc base'!R207),2),MAX('Calc base'!M$12,ROUND('Calc base'!M$13*BD206,2))))</f>
        <v>0</v>
      </c>
      <c r="U207">
        <f>IF(BE206&lt;=0,0,IF(ROUND(BE206*(1+'Calc base'!S207),2)-MAX('Calc base'!N$12,ROUND('Calc base'!N$13*BE206,2))&lt;1,ROUND(BE206*(1+'Calc base'!S207),2),MAX('Calc base'!N$12,ROUND('Calc base'!N$13*BE206,2))))</f>
        <v>0</v>
      </c>
      <c r="V207">
        <f>MAX(0,ROUND(AT206*(1+'Calc base'!H207),2)-J207-'Calc base'!T207)</f>
        <v>0</v>
      </c>
      <c r="W207">
        <f>MAX(0,ROUND(AU206*(1+'Calc base'!I207),2)-K207-'Calc base'!U207)</f>
        <v>0</v>
      </c>
      <c r="X207">
        <f>MAX(0,ROUND(AV206*(1+'Calc base'!J207),2)-L207-'Calc base'!V207)</f>
        <v>0</v>
      </c>
      <c r="Y207">
        <f>MAX(0,ROUND(AW206*(1+'Calc base'!K207),2)-M207-'Calc base'!W207)</f>
        <v>0</v>
      </c>
      <c r="Z207">
        <f>MAX(0,ROUND(AX206*(1+'Calc base'!L207),2)-N207-'Calc base'!X207)</f>
        <v>0</v>
      </c>
      <c r="AA207">
        <f>MAX(0,ROUND(AY206*(1+'Calc base'!M207),2)-O207-'Calc base'!Y207)</f>
        <v>0</v>
      </c>
      <c r="AB207">
        <f>MAX(0,ROUND(AZ206*(1+'Calc base'!N207),2)-P207-'Calc base'!Z207)</f>
        <v>0</v>
      </c>
      <c r="AC207">
        <f>MAX(0,ROUND(BA206*(1+'Calc base'!O207),2)-Q207-'Calc base'!AA207)</f>
        <v>0</v>
      </c>
      <c r="AD207">
        <f>MAX(0,ROUND(BB206*(1+'Calc base'!P207),2)-R207-'Calc base'!AB207)</f>
        <v>0</v>
      </c>
      <c r="AE207">
        <f>MAX(0,ROUND(BC206*(1+'Calc base'!Q207),2)-S207-'Calc base'!AC207)</f>
        <v>0</v>
      </c>
      <c r="AF207">
        <f>MAX(0,ROUND(BD206*(1+'Calc base'!R207),2)-T207-'Calc base'!AD207)</f>
        <v>0</v>
      </c>
      <c r="AG207">
        <f>MAX(0,ROUND(BE206*(1+'Calc base'!S207),2)-U207-'Calc base'!AE207)</f>
        <v>0</v>
      </c>
      <c r="AH207">
        <f>IF('Calc base'!C$14=0,0,MIN(V207,MAX(0,$E207-SUMIFS($V207:$AG207,'Calc base'!$C$17:$N$17,"&lt;"&amp;'Calc base'!C$17,'Calc base'!$C$14:$N$14,1))))</f>
        <v>0</v>
      </c>
      <c r="AI207">
        <f>IF('Calc base'!D$14=0,0,MIN(W207,MAX(0,$E207-SUMIFS($V207:$AG207,'Calc base'!$C$17:$N$17,"&lt;"&amp;'Calc base'!D$17,'Calc base'!$C$14:$N$14,1))))</f>
        <v>0</v>
      </c>
      <c r="AJ207">
        <f>IF('Calc base'!E$14=0,0,MIN(X207,MAX(0,$E207-SUMIFS($V207:$AG207,'Calc base'!$C$17:$N$17,"&lt;"&amp;'Calc base'!E$17,'Calc base'!$C$14:$N$14,1))))</f>
        <v>0</v>
      </c>
      <c r="AK207">
        <f>IF('Calc base'!F$14=0,0,MIN(Y207,MAX(0,$E207-SUMIFS($V207:$AG207,'Calc base'!$C$17:$N$17,"&lt;"&amp;'Calc base'!F$17,'Calc base'!$C$14:$N$14,1))))</f>
        <v>0</v>
      </c>
      <c r="AL207">
        <f>IF('Calc base'!G$14=0,0,MIN(Z207,MAX(0,$E207-SUMIFS($V207:$AG207,'Calc base'!$C$17:$N$17,"&lt;"&amp;'Calc base'!G$17,'Calc base'!$C$14:$N$14,1))))</f>
        <v>0</v>
      </c>
      <c r="AM207">
        <f>IF('Calc base'!H$14=0,0,MIN(AA207,MAX(0,$E207-SUMIFS($V207:$AG207,'Calc base'!$C$17:$N$17,"&lt;"&amp;'Calc base'!H$17,'Calc base'!$C$14:$N$14,1))))</f>
        <v>0</v>
      </c>
      <c r="AN207">
        <f>IF('Calc base'!I$14=0,0,MIN(AB207,MAX(0,$E207-SUMIFS($V207:$AG207,'Calc base'!$C$17:$N$17,"&lt;"&amp;'Calc base'!I$17,'Calc base'!$C$14:$N$14,1))))</f>
        <v>0</v>
      </c>
      <c r="AO207">
        <f>IF('Calc base'!J$14=0,0,MIN(AC207,MAX(0,$E207-SUMIFS($V207:$AG207,'Calc base'!$C$17:$N$17,"&lt;"&amp;'Calc base'!J$17,'Calc base'!$C$14:$N$14,1))))</f>
        <v>0</v>
      </c>
      <c r="AP207">
        <f>IF('Calc base'!K$14=0,0,MIN(AD207,MAX(0,$E207-SUMIFS($V207:$AG207,'Calc base'!$C$17:$N$17,"&lt;"&amp;'Calc base'!K$17,'Calc base'!$C$14:$N$14,1))))</f>
        <v>0</v>
      </c>
      <c r="AQ207">
        <f>IF('Calc base'!L$14=0,0,MIN(AE207,MAX(0,$E207-SUMIFS($V207:$AG207,'Calc base'!$C$17:$N$17,"&lt;"&amp;'Calc base'!L$17,'Calc base'!$C$14:$N$14,1))))</f>
        <v>0</v>
      </c>
      <c r="AR207">
        <f>IF('Calc base'!M$14=0,0,MIN(AF207,MAX(0,$E207-SUMIFS($V207:$AG207,'Calc base'!$C$17:$N$17,"&lt;"&amp;'Calc base'!M$17,'Calc base'!$C$14:$N$14,1))))</f>
        <v>0</v>
      </c>
      <c r="AS207">
        <f>IF('Calc base'!N$14=0,0,MIN(AG207,MAX(0,$E207-SUMIFS($V207:$AG207,'Calc base'!$C$17:$N$17,"&lt;"&amp;'Calc base'!N$17,'Calc base'!$C$14:$N$14,1))))</f>
        <v>0</v>
      </c>
      <c r="AT207">
        <f>V207-AH207</f>
        <v>0</v>
      </c>
      <c r="AU207">
        <f>W207-AI207</f>
        <v>0</v>
      </c>
      <c r="AV207">
        <f>X207-AJ207</f>
        <v>0</v>
      </c>
      <c r="AW207">
        <f>Y207-AK207</f>
        <v>0</v>
      </c>
      <c r="AX207">
        <f>Z207-AL207</f>
        <v>0</v>
      </c>
      <c r="AY207">
        <f>AA207-AM207</f>
        <v>0</v>
      </c>
      <c r="AZ207">
        <f>AB207-AN207</f>
        <v>0</v>
      </c>
      <c r="BA207">
        <f>AC207-AO207</f>
        <v>0</v>
      </c>
      <c r="BB207">
        <f>AD207-AP207</f>
        <v>0</v>
      </c>
      <c r="BC207">
        <f>AE207-AQ207</f>
        <v>0</v>
      </c>
      <c r="BD207">
        <f>AF207-AR207</f>
        <v>0</v>
      </c>
      <c r="BE207">
        <f>AG207-AS207</f>
        <v>0</v>
      </c>
    </row>
    <row r="208">
      <c r="A208" t="n">
        <v>178</v>
      </c>
      <c r="B208">
        <f>SUMPRODUCT(ROUND($AT207:$BE207*(1+'Calc base'!$H208:$S208),2))</f>
        <v>0</v>
      </c>
      <c r="C208">
        <f>SUM(J208:U208)</f>
        <v>0</v>
      </c>
      <c r="D208">
        <f>SUM(V208:AG208)</f>
        <v>0</v>
      </c>
      <c r="E208">
        <f>MAX(0,IF(Impostazioni!$B$7="No",'Calc base'!$C208-$C$31,'Calc base'!$C208-C208)+'Calc base'!$G208+'Calc base'!$F208-(B208-C208-D208))</f>
        <v>900</v>
      </c>
      <c r="F208">
        <f>SUM(AH208:AS208)</f>
        <v>0</v>
      </c>
      <c r="G208">
        <f>SUM(AT208:BE208)</f>
        <v>0</v>
      </c>
      <c r="H208">
        <f>B208-G207</f>
        <v>0</v>
      </c>
      <c r="I208">
        <f>B208-G208</f>
        <v>0</v>
      </c>
      <c r="J208">
        <f>IF(AT207&lt;=0,0,IF(ROUND(AT207*(1+'Calc base'!H208),2)-MAX('Calc base'!C$12,ROUND('Calc base'!C$13*AT207,2))&lt;1,ROUND(AT207*(1+'Calc base'!H208),2),MAX('Calc base'!C$12,ROUND('Calc base'!C$13*AT207,2))))</f>
        <v>0</v>
      </c>
      <c r="K208">
        <f>IF(AU207&lt;=0,0,IF(ROUND(AU207*(1+'Calc base'!I208),2)-MAX('Calc base'!D$12,ROUND('Calc base'!D$13*AU207,2))&lt;1,ROUND(AU207*(1+'Calc base'!I208),2),MAX('Calc base'!D$12,ROUND('Calc base'!D$13*AU207,2))))</f>
        <v>0</v>
      </c>
      <c r="L208">
        <f>IF(AV207&lt;=0,0,IF(ROUND(AV207*(1+'Calc base'!J208),2)-MAX('Calc base'!E$12,ROUND('Calc base'!E$13*AV207,2))&lt;1,ROUND(AV207*(1+'Calc base'!J208),2),MAX('Calc base'!E$12,ROUND('Calc base'!E$13*AV207,2))))</f>
        <v>0</v>
      </c>
      <c r="M208">
        <f>IF(AW207&lt;=0,0,IF(ROUND(AW207*(1+'Calc base'!K208),2)-MAX('Calc base'!F$12,ROUND('Calc base'!F$13*AW207,2))&lt;1,ROUND(AW207*(1+'Calc base'!K208),2),MAX('Calc base'!F$12,ROUND('Calc base'!F$13*AW207,2))))</f>
        <v>0</v>
      </c>
      <c r="N208">
        <f>IF(AX207&lt;=0,0,IF(ROUND(AX207*(1+'Calc base'!L208),2)-MAX('Calc base'!G$12,ROUND('Calc base'!G$13*AX207,2))&lt;1,ROUND(AX207*(1+'Calc base'!L208),2),MAX('Calc base'!G$12,ROUND('Calc base'!G$13*AX207,2))))</f>
        <v>0</v>
      </c>
      <c r="O208">
        <f>IF(AY207&lt;=0,0,IF(ROUND(AY207*(1+'Calc base'!M208),2)-MAX('Calc base'!H$12,ROUND('Calc base'!H$13*AY207,2))&lt;1,ROUND(AY207*(1+'Calc base'!M208),2),MAX('Calc base'!H$12,ROUND('Calc base'!H$13*AY207,2))))</f>
        <v>0</v>
      </c>
      <c r="P208">
        <f>IF(AZ207&lt;=0,0,IF(ROUND(AZ207*(1+'Calc base'!N208),2)-MAX('Calc base'!I$12,ROUND('Calc base'!I$13*AZ207,2))&lt;1,ROUND(AZ207*(1+'Calc base'!N208),2),MAX('Calc base'!I$12,ROUND('Calc base'!I$13*AZ207,2))))</f>
        <v>0</v>
      </c>
      <c r="Q208">
        <f>IF(BA207&lt;=0,0,IF(ROUND(BA207*(1+'Calc base'!O208),2)-MAX('Calc base'!J$12,ROUND('Calc base'!J$13*BA207,2))&lt;1,ROUND(BA207*(1+'Calc base'!O208),2),MAX('Calc base'!J$12,ROUND('Calc base'!J$13*BA207,2))))</f>
        <v>0</v>
      </c>
      <c r="R208">
        <f>IF(BB207&lt;=0,0,IF(ROUND(BB207*(1+'Calc base'!P208),2)-MAX('Calc base'!K$12,ROUND('Calc base'!K$13*BB207,2))&lt;1,ROUND(BB207*(1+'Calc base'!P208),2),MAX('Calc base'!K$12,ROUND('Calc base'!K$13*BB207,2))))</f>
        <v>0</v>
      </c>
      <c r="S208">
        <f>IF(BC207&lt;=0,0,IF(ROUND(BC207*(1+'Calc base'!Q208),2)-MAX('Calc base'!L$12,ROUND('Calc base'!L$13*BC207,2))&lt;1,ROUND(BC207*(1+'Calc base'!Q208),2),MAX('Calc base'!L$12,ROUND('Calc base'!L$13*BC207,2))))</f>
        <v>0</v>
      </c>
      <c r="T208">
        <f>IF(BD207&lt;=0,0,IF(ROUND(BD207*(1+'Calc base'!R208),2)-MAX('Calc base'!M$12,ROUND('Calc base'!M$13*BD207,2))&lt;1,ROUND(BD207*(1+'Calc base'!R208),2),MAX('Calc base'!M$12,ROUND('Calc base'!M$13*BD207,2))))</f>
        <v>0</v>
      </c>
      <c r="U208">
        <f>IF(BE207&lt;=0,0,IF(ROUND(BE207*(1+'Calc base'!S208),2)-MAX('Calc base'!N$12,ROUND('Calc base'!N$13*BE207,2))&lt;1,ROUND(BE207*(1+'Calc base'!S208),2),MAX('Calc base'!N$12,ROUND('Calc base'!N$13*BE207,2))))</f>
        <v>0</v>
      </c>
      <c r="V208">
        <f>MAX(0,ROUND(AT207*(1+'Calc base'!H208),2)-J208-'Calc base'!T208)</f>
        <v>0</v>
      </c>
      <c r="W208">
        <f>MAX(0,ROUND(AU207*(1+'Calc base'!I208),2)-K208-'Calc base'!U208)</f>
        <v>0</v>
      </c>
      <c r="X208">
        <f>MAX(0,ROUND(AV207*(1+'Calc base'!J208),2)-L208-'Calc base'!V208)</f>
        <v>0</v>
      </c>
      <c r="Y208">
        <f>MAX(0,ROUND(AW207*(1+'Calc base'!K208),2)-M208-'Calc base'!W208)</f>
        <v>0</v>
      </c>
      <c r="Z208">
        <f>MAX(0,ROUND(AX207*(1+'Calc base'!L208),2)-N208-'Calc base'!X208)</f>
        <v>0</v>
      </c>
      <c r="AA208">
        <f>MAX(0,ROUND(AY207*(1+'Calc base'!M208),2)-O208-'Calc base'!Y208)</f>
        <v>0</v>
      </c>
      <c r="AB208">
        <f>MAX(0,ROUND(AZ207*(1+'Calc base'!N208),2)-P208-'Calc base'!Z208)</f>
        <v>0</v>
      </c>
      <c r="AC208">
        <f>MAX(0,ROUND(BA207*(1+'Calc base'!O208),2)-Q208-'Calc base'!AA208)</f>
        <v>0</v>
      </c>
      <c r="AD208">
        <f>MAX(0,ROUND(BB207*(1+'Calc base'!P208),2)-R208-'Calc base'!AB208)</f>
        <v>0</v>
      </c>
      <c r="AE208">
        <f>MAX(0,ROUND(BC207*(1+'Calc base'!Q208),2)-S208-'Calc base'!AC208)</f>
        <v>0</v>
      </c>
      <c r="AF208">
        <f>MAX(0,ROUND(BD207*(1+'Calc base'!R208),2)-T208-'Calc base'!AD208)</f>
        <v>0</v>
      </c>
      <c r="AG208">
        <f>MAX(0,ROUND(BE207*(1+'Calc base'!S208),2)-U208-'Calc base'!AE208)</f>
        <v>0</v>
      </c>
      <c r="AH208">
        <f>IF('Calc base'!C$14=0,0,MIN(V208,MAX(0,$E208-SUMIFS($V208:$AG208,'Calc base'!$C$17:$N$17,"&lt;"&amp;'Calc base'!C$17,'Calc base'!$C$14:$N$14,1))))</f>
        <v>0</v>
      </c>
      <c r="AI208">
        <f>IF('Calc base'!D$14=0,0,MIN(W208,MAX(0,$E208-SUMIFS($V208:$AG208,'Calc base'!$C$17:$N$17,"&lt;"&amp;'Calc base'!D$17,'Calc base'!$C$14:$N$14,1))))</f>
        <v>0</v>
      </c>
      <c r="AJ208">
        <f>IF('Calc base'!E$14=0,0,MIN(X208,MAX(0,$E208-SUMIFS($V208:$AG208,'Calc base'!$C$17:$N$17,"&lt;"&amp;'Calc base'!E$17,'Calc base'!$C$14:$N$14,1))))</f>
        <v>0</v>
      </c>
      <c r="AK208">
        <f>IF('Calc base'!F$14=0,0,MIN(Y208,MAX(0,$E208-SUMIFS($V208:$AG208,'Calc base'!$C$17:$N$17,"&lt;"&amp;'Calc base'!F$17,'Calc base'!$C$14:$N$14,1))))</f>
        <v>0</v>
      </c>
      <c r="AL208">
        <f>IF('Calc base'!G$14=0,0,MIN(Z208,MAX(0,$E208-SUMIFS($V208:$AG208,'Calc base'!$C$17:$N$17,"&lt;"&amp;'Calc base'!G$17,'Calc base'!$C$14:$N$14,1))))</f>
        <v>0</v>
      </c>
      <c r="AM208">
        <f>IF('Calc base'!H$14=0,0,MIN(AA208,MAX(0,$E208-SUMIFS($V208:$AG208,'Calc base'!$C$17:$N$17,"&lt;"&amp;'Calc base'!H$17,'Calc base'!$C$14:$N$14,1))))</f>
        <v>0</v>
      </c>
      <c r="AN208">
        <f>IF('Calc base'!I$14=0,0,MIN(AB208,MAX(0,$E208-SUMIFS($V208:$AG208,'Calc base'!$C$17:$N$17,"&lt;"&amp;'Calc base'!I$17,'Calc base'!$C$14:$N$14,1))))</f>
        <v>0</v>
      </c>
      <c r="AO208">
        <f>IF('Calc base'!J$14=0,0,MIN(AC208,MAX(0,$E208-SUMIFS($V208:$AG208,'Calc base'!$C$17:$N$17,"&lt;"&amp;'Calc base'!J$17,'Calc base'!$C$14:$N$14,1))))</f>
        <v>0</v>
      </c>
      <c r="AP208">
        <f>IF('Calc base'!K$14=0,0,MIN(AD208,MAX(0,$E208-SUMIFS($V208:$AG208,'Calc base'!$C$17:$N$17,"&lt;"&amp;'Calc base'!K$17,'Calc base'!$C$14:$N$14,1))))</f>
        <v>0</v>
      </c>
      <c r="AQ208">
        <f>IF('Calc base'!L$14=0,0,MIN(AE208,MAX(0,$E208-SUMIFS($V208:$AG208,'Calc base'!$C$17:$N$17,"&lt;"&amp;'Calc base'!L$17,'Calc base'!$C$14:$N$14,1))))</f>
        <v>0</v>
      </c>
      <c r="AR208">
        <f>IF('Calc base'!M$14=0,0,MIN(AF208,MAX(0,$E208-SUMIFS($V208:$AG208,'Calc base'!$C$17:$N$17,"&lt;"&amp;'Calc base'!M$17,'Calc base'!$C$14:$N$14,1))))</f>
        <v>0</v>
      </c>
      <c r="AS208">
        <f>IF('Calc base'!N$14=0,0,MIN(AG208,MAX(0,$E208-SUMIFS($V208:$AG208,'Calc base'!$C$17:$N$17,"&lt;"&amp;'Calc base'!N$17,'Calc base'!$C$14:$N$14,1))))</f>
        <v>0</v>
      </c>
      <c r="AT208">
        <f>V208-AH208</f>
        <v>0</v>
      </c>
      <c r="AU208">
        <f>W208-AI208</f>
        <v>0</v>
      </c>
      <c r="AV208">
        <f>X208-AJ208</f>
        <v>0</v>
      </c>
      <c r="AW208">
        <f>Y208-AK208</f>
        <v>0</v>
      </c>
      <c r="AX208">
        <f>Z208-AL208</f>
        <v>0</v>
      </c>
      <c r="AY208">
        <f>AA208-AM208</f>
        <v>0</v>
      </c>
      <c r="AZ208">
        <f>AB208-AN208</f>
        <v>0</v>
      </c>
      <c r="BA208">
        <f>AC208-AO208</f>
        <v>0</v>
      </c>
      <c r="BB208">
        <f>AD208-AP208</f>
        <v>0</v>
      </c>
      <c r="BC208">
        <f>AE208-AQ208</f>
        <v>0</v>
      </c>
      <c r="BD208">
        <f>AF208-AR208</f>
        <v>0</v>
      </c>
      <c r="BE208">
        <f>AG208-AS208</f>
        <v>0</v>
      </c>
    </row>
    <row r="209">
      <c r="A209" t="n">
        <v>179</v>
      </c>
      <c r="B209">
        <f>SUMPRODUCT(ROUND($AT208:$BE208*(1+'Calc base'!$H209:$S209),2))</f>
        <v>0</v>
      </c>
      <c r="C209">
        <f>SUM(J209:U209)</f>
        <v>0</v>
      </c>
      <c r="D209">
        <f>SUM(V209:AG209)</f>
        <v>0</v>
      </c>
      <c r="E209">
        <f>MAX(0,IF(Impostazioni!$B$7="No",'Calc base'!$C209-$C$31,'Calc base'!$C209-C209)+'Calc base'!$G209+'Calc base'!$F209-(B209-C209-D209))</f>
        <v>900</v>
      </c>
      <c r="F209">
        <f>SUM(AH209:AS209)</f>
        <v>0</v>
      </c>
      <c r="G209">
        <f>SUM(AT209:BE209)</f>
        <v>0</v>
      </c>
      <c r="H209">
        <f>B209-G208</f>
        <v>0</v>
      </c>
      <c r="I209">
        <f>B209-G209</f>
        <v>0</v>
      </c>
      <c r="J209">
        <f>IF(AT208&lt;=0,0,IF(ROUND(AT208*(1+'Calc base'!H209),2)-MAX('Calc base'!C$12,ROUND('Calc base'!C$13*AT208,2))&lt;1,ROUND(AT208*(1+'Calc base'!H209),2),MAX('Calc base'!C$12,ROUND('Calc base'!C$13*AT208,2))))</f>
        <v>0</v>
      </c>
      <c r="K209">
        <f>IF(AU208&lt;=0,0,IF(ROUND(AU208*(1+'Calc base'!I209),2)-MAX('Calc base'!D$12,ROUND('Calc base'!D$13*AU208,2))&lt;1,ROUND(AU208*(1+'Calc base'!I209),2),MAX('Calc base'!D$12,ROUND('Calc base'!D$13*AU208,2))))</f>
        <v>0</v>
      </c>
      <c r="L209">
        <f>IF(AV208&lt;=0,0,IF(ROUND(AV208*(1+'Calc base'!J209),2)-MAX('Calc base'!E$12,ROUND('Calc base'!E$13*AV208,2))&lt;1,ROUND(AV208*(1+'Calc base'!J209),2),MAX('Calc base'!E$12,ROUND('Calc base'!E$13*AV208,2))))</f>
        <v>0</v>
      </c>
      <c r="M209">
        <f>IF(AW208&lt;=0,0,IF(ROUND(AW208*(1+'Calc base'!K209),2)-MAX('Calc base'!F$12,ROUND('Calc base'!F$13*AW208,2))&lt;1,ROUND(AW208*(1+'Calc base'!K209),2),MAX('Calc base'!F$12,ROUND('Calc base'!F$13*AW208,2))))</f>
        <v>0</v>
      </c>
      <c r="N209">
        <f>IF(AX208&lt;=0,0,IF(ROUND(AX208*(1+'Calc base'!L209),2)-MAX('Calc base'!G$12,ROUND('Calc base'!G$13*AX208,2))&lt;1,ROUND(AX208*(1+'Calc base'!L209),2),MAX('Calc base'!G$12,ROUND('Calc base'!G$13*AX208,2))))</f>
        <v>0</v>
      </c>
      <c r="O209">
        <f>IF(AY208&lt;=0,0,IF(ROUND(AY208*(1+'Calc base'!M209),2)-MAX('Calc base'!H$12,ROUND('Calc base'!H$13*AY208,2))&lt;1,ROUND(AY208*(1+'Calc base'!M209),2),MAX('Calc base'!H$12,ROUND('Calc base'!H$13*AY208,2))))</f>
        <v>0</v>
      </c>
      <c r="P209">
        <f>IF(AZ208&lt;=0,0,IF(ROUND(AZ208*(1+'Calc base'!N209),2)-MAX('Calc base'!I$12,ROUND('Calc base'!I$13*AZ208,2))&lt;1,ROUND(AZ208*(1+'Calc base'!N209),2),MAX('Calc base'!I$12,ROUND('Calc base'!I$13*AZ208,2))))</f>
        <v>0</v>
      </c>
      <c r="Q209">
        <f>IF(BA208&lt;=0,0,IF(ROUND(BA208*(1+'Calc base'!O209),2)-MAX('Calc base'!J$12,ROUND('Calc base'!J$13*BA208,2))&lt;1,ROUND(BA208*(1+'Calc base'!O209),2),MAX('Calc base'!J$12,ROUND('Calc base'!J$13*BA208,2))))</f>
        <v>0</v>
      </c>
      <c r="R209">
        <f>IF(BB208&lt;=0,0,IF(ROUND(BB208*(1+'Calc base'!P209),2)-MAX('Calc base'!K$12,ROUND('Calc base'!K$13*BB208,2))&lt;1,ROUND(BB208*(1+'Calc base'!P209),2),MAX('Calc base'!K$12,ROUND('Calc base'!K$13*BB208,2))))</f>
        <v>0</v>
      </c>
      <c r="S209">
        <f>IF(BC208&lt;=0,0,IF(ROUND(BC208*(1+'Calc base'!Q209),2)-MAX('Calc base'!L$12,ROUND('Calc base'!L$13*BC208,2))&lt;1,ROUND(BC208*(1+'Calc base'!Q209),2),MAX('Calc base'!L$12,ROUND('Calc base'!L$13*BC208,2))))</f>
        <v>0</v>
      </c>
      <c r="T209">
        <f>IF(BD208&lt;=0,0,IF(ROUND(BD208*(1+'Calc base'!R209),2)-MAX('Calc base'!M$12,ROUND('Calc base'!M$13*BD208,2))&lt;1,ROUND(BD208*(1+'Calc base'!R209),2),MAX('Calc base'!M$12,ROUND('Calc base'!M$13*BD208,2))))</f>
        <v>0</v>
      </c>
      <c r="U209">
        <f>IF(BE208&lt;=0,0,IF(ROUND(BE208*(1+'Calc base'!S209),2)-MAX('Calc base'!N$12,ROUND('Calc base'!N$13*BE208,2))&lt;1,ROUND(BE208*(1+'Calc base'!S209),2),MAX('Calc base'!N$12,ROUND('Calc base'!N$13*BE208,2))))</f>
        <v>0</v>
      </c>
      <c r="V209">
        <f>MAX(0,ROUND(AT208*(1+'Calc base'!H209),2)-J209-'Calc base'!T209)</f>
        <v>0</v>
      </c>
      <c r="W209">
        <f>MAX(0,ROUND(AU208*(1+'Calc base'!I209),2)-K209-'Calc base'!U209)</f>
        <v>0</v>
      </c>
      <c r="X209">
        <f>MAX(0,ROUND(AV208*(1+'Calc base'!J209),2)-L209-'Calc base'!V209)</f>
        <v>0</v>
      </c>
      <c r="Y209">
        <f>MAX(0,ROUND(AW208*(1+'Calc base'!K209),2)-M209-'Calc base'!W209)</f>
        <v>0</v>
      </c>
      <c r="Z209">
        <f>MAX(0,ROUND(AX208*(1+'Calc base'!L209),2)-N209-'Calc base'!X209)</f>
        <v>0</v>
      </c>
      <c r="AA209">
        <f>MAX(0,ROUND(AY208*(1+'Calc base'!M209),2)-O209-'Calc base'!Y209)</f>
        <v>0</v>
      </c>
      <c r="AB209">
        <f>MAX(0,ROUND(AZ208*(1+'Calc base'!N209),2)-P209-'Calc base'!Z209)</f>
        <v>0</v>
      </c>
      <c r="AC209">
        <f>MAX(0,ROUND(BA208*(1+'Calc base'!O209),2)-Q209-'Calc base'!AA209)</f>
        <v>0</v>
      </c>
      <c r="AD209">
        <f>MAX(0,ROUND(BB208*(1+'Calc base'!P209),2)-R209-'Calc base'!AB209)</f>
        <v>0</v>
      </c>
      <c r="AE209">
        <f>MAX(0,ROUND(BC208*(1+'Calc base'!Q209),2)-S209-'Calc base'!AC209)</f>
        <v>0</v>
      </c>
      <c r="AF209">
        <f>MAX(0,ROUND(BD208*(1+'Calc base'!R209),2)-T209-'Calc base'!AD209)</f>
        <v>0</v>
      </c>
      <c r="AG209">
        <f>MAX(0,ROUND(BE208*(1+'Calc base'!S209),2)-U209-'Calc base'!AE209)</f>
        <v>0</v>
      </c>
      <c r="AH209">
        <f>IF('Calc base'!C$14=0,0,MIN(V209,MAX(0,$E209-SUMIFS($V209:$AG209,'Calc base'!$C$17:$N$17,"&lt;"&amp;'Calc base'!C$17,'Calc base'!$C$14:$N$14,1))))</f>
        <v>0</v>
      </c>
      <c r="AI209">
        <f>IF('Calc base'!D$14=0,0,MIN(W209,MAX(0,$E209-SUMIFS($V209:$AG209,'Calc base'!$C$17:$N$17,"&lt;"&amp;'Calc base'!D$17,'Calc base'!$C$14:$N$14,1))))</f>
        <v>0</v>
      </c>
      <c r="AJ209">
        <f>IF('Calc base'!E$14=0,0,MIN(X209,MAX(0,$E209-SUMIFS($V209:$AG209,'Calc base'!$C$17:$N$17,"&lt;"&amp;'Calc base'!E$17,'Calc base'!$C$14:$N$14,1))))</f>
        <v>0</v>
      </c>
      <c r="AK209">
        <f>IF('Calc base'!F$14=0,0,MIN(Y209,MAX(0,$E209-SUMIFS($V209:$AG209,'Calc base'!$C$17:$N$17,"&lt;"&amp;'Calc base'!F$17,'Calc base'!$C$14:$N$14,1))))</f>
        <v>0</v>
      </c>
      <c r="AL209">
        <f>IF('Calc base'!G$14=0,0,MIN(Z209,MAX(0,$E209-SUMIFS($V209:$AG209,'Calc base'!$C$17:$N$17,"&lt;"&amp;'Calc base'!G$17,'Calc base'!$C$14:$N$14,1))))</f>
        <v>0</v>
      </c>
      <c r="AM209">
        <f>IF('Calc base'!H$14=0,0,MIN(AA209,MAX(0,$E209-SUMIFS($V209:$AG209,'Calc base'!$C$17:$N$17,"&lt;"&amp;'Calc base'!H$17,'Calc base'!$C$14:$N$14,1))))</f>
        <v>0</v>
      </c>
      <c r="AN209">
        <f>IF('Calc base'!I$14=0,0,MIN(AB209,MAX(0,$E209-SUMIFS($V209:$AG209,'Calc base'!$C$17:$N$17,"&lt;"&amp;'Calc base'!I$17,'Calc base'!$C$14:$N$14,1))))</f>
        <v>0</v>
      </c>
      <c r="AO209">
        <f>IF('Calc base'!J$14=0,0,MIN(AC209,MAX(0,$E209-SUMIFS($V209:$AG209,'Calc base'!$C$17:$N$17,"&lt;"&amp;'Calc base'!J$17,'Calc base'!$C$14:$N$14,1))))</f>
        <v>0</v>
      </c>
      <c r="AP209">
        <f>IF('Calc base'!K$14=0,0,MIN(AD209,MAX(0,$E209-SUMIFS($V209:$AG209,'Calc base'!$C$17:$N$17,"&lt;"&amp;'Calc base'!K$17,'Calc base'!$C$14:$N$14,1))))</f>
        <v>0</v>
      </c>
      <c r="AQ209">
        <f>IF('Calc base'!L$14=0,0,MIN(AE209,MAX(0,$E209-SUMIFS($V209:$AG209,'Calc base'!$C$17:$N$17,"&lt;"&amp;'Calc base'!L$17,'Calc base'!$C$14:$N$14,1))))</f>
        <v>0</v>
      </c>
      <c r="AR209">
        <f>IF('Calc base'!M$14=0,0,MIN(AF209,MAX(0,$E209-SUMIFS($V209:$AG209,'Calc base'!$C$17:$N$17,"&lt;"&amp;'Calc base'!M$17,'Calc base'!$C$14:$N$14,1))))</f>
        <v>0</v>
      </c>
      <c r="AS209">
        <f>IF('Calc base'!N$14=0,0,MIN(AG209,MAX(0,$E209-SUMIFS($V209:$AG209,'Calc base'!$C$17:$N$17,"&lt;"&amp;'Calc base'!N$17,'Calc base'!$C$14:$N$14,1))))</f>
        <v>0</v>
      </c>
      <c r="AT209">
        <f>V209-AH209</f>
        <v>0</v>
      </c>
      <c r="AU209">
        <f>W209-AI209</f>
        <v>0</v>
      </c>
      <c r="AV209">
        <f>X209-AJ209</f>
        <v>0</v>
      </c>
      <c r="AW209">
        <f>Y209-AK209</f>
        <v>0</v>
      </c>
      <c r="AX209">
        <f>Z209-AL209</f>
        <v>0</v>
      </c>
      <c r="AY209">
        <f>AA209-AM209</f>
        <v>0</v>
      </c>
      <c r="AZ209">
        <f>AB209-AN209</f>
        <v>0</v>
      </c>
      <c r="BA209">
        <f>AC209-AO209</f>
        <v>0</v>
      </c>
      <c r="BB209">
        <f>AD209-AP209</f>
        <v>0</v>
      </c>
      <c r="BC209">
        <f>AE209-AQ209</f>
        <v>0</v>
      </c>
      <c r="BD209">
        <f>AF209-AR209</f>
        <v>0</v>
      </c>
      <c r="BE209">
        <f>AG209-AS209</f>
        <v>0</v>
      </c>
    </row>
    <row r="210">
      <c r="A210" t="n">
        <v>180</v>
      </c>
      <c r="B210">
        <f>SUMPRODUCT(ROUND($AT209:$BE209*(1+'Calc base'!$H210:$S210),2))</f>
        <v>0</v>
      </c>
      <c r="C210">
        <f>SUM(J210:U210)</f>
        <v>0</v>
      </c>
      <c r="D210">
        <f>SUM(V210:AG210)</f>
        <v>0</v>
      </c>
      <c r="E210">
        <f>MAX(0,IF(Impostazioni!$B$7="No",'Calc base'!$C210-$C$31,'Calc base'!$C210-C210)+'Calc base'!$G210+'Calc base'!$F210-(B210-C210-D210))</f>
        <v>900</v>
      </c>
      <c r="F210">
        <f>SUM(AH210:AS210)</f>
        <v>0</v>
      </c>
      <c r="G210">
        <f>SUM(AT210:BE210)</f>
        <v>0</v>
      </c>
      <c r="H210">
        <f>B210-G209</f>
        <v>0</v>
      </c>
      <c r="I210">
        <f>B210-G210</f>
        <v>0</v>
      </c>
      <c r="J210">
        <f>IF(AT209&lt;=0,0,IF(ROUND(AT209*(1+'Calc base'!H210),2)-MAX('Calc base'!C$12,ROUND('Calc base'!C$13*AT209,2))&lt;1,ROUND(AT209*(1+'Calc base'!H210),2),MAX('Calc base'!C$12,ROUND('Calc base'!C$13*AT209,2))))</f>
        <v>0</v>
      </c>
      <c r="K210">
        <f>IF(AU209&lt;=0,0,IF(ROUND(AU209*(1+'Calc base'!I210),2)-MAX('Calc base'!D$12,ROUND('Calc base'!D$13*AU209,2))&lt;1,ROUND(AU209*(1+'Calc base'!I210),2),MAX('Calc base'!D$12,ROUND('Calc base'!D$13*AU209,2))))</f>
        <v>0</v>
      </c>
      <c r="L210">
        <f>IF(AV209&lt;=0,0,IF(ROUND(AV209*(1+'Calc base'!J210),2)-MAX('Calc base'!E$12,ROUND('Calc base'!E$13*AV209,2))&lt;1,ROUND(AV209*(1+'Calc base'!J210),2),MAX('Calc base'!E$12,ROUND('Calc base'!E$13*AV209,2))))</f>
        <v>0</v>
      </c>
      <c r="M210">
        <f>IF(AW209&lt;=0,0,IF(ROUND(AW209*(1+'Calc base'!K210),2)-MAX('Calc base'!F$12,ROUND('Calc base'!F$13*AW209,2))&lt;1,ROUND(AW209*(1+'Calc base'!K210),2),MAX('Calc base'!F$12,ROUND('Calc base'!F$13*AW209,2))))</f>
        <v>0</v>
      </c>
      <c r="N210">
        <f>IF(AX209&lt;=0,0,IF(ROUND(AX209*(1+'Calc base'!L210),2)-MAX('Calc base'!G$12,ROUND('Calc base'!G$13*AX209,2))&lt;1,ROUND(AX209*(1+'Calc base'!L210),2),MAX('Calc base'!G$12,ROUND('Calc base'!G$13*AX209,2))))</f>
        <v>0</v>
      </c>
      <c r="O210">
        <f>IF(AY209&lt;=0,0,IF(ROUND(AY209*(1+'Calc base'!M210),2)-MAX('Calc base'!H$12,ROUND('Calc base'!H$13*AY209,2))&lt;1,ROUND(AY209*(1+'Calc base'!M210),2),MAX('Calc base'!H$12,ROUND('Calc base'!H$13*AY209,2))))</f>
        <v>0</v>
      </c>
      <c r="P210">
        <f>IF(AZ209&lt;=0,0,IF(ROUND(AZ209*(1+'Calc base'!N210),2)-MAX('Calc base'!I$12,ROUND('Calc base'!I$13*AZ209,2))&lt;1,ROUND(AZ209*(1+'Calc base'!N210),2),MAX('Calc base'!I$12,ROUND('Calc base'!I$13*AZ209,2))))</f>
        <v>0</v>
      </c>
      <c r="Q210">
        <f>IF(BA209&lt;=0,0,IF(ROUND(BA209*(1+'Calc base'!O210),2)-MAX('Calc base'!J$12,ROUND('Calc base'!J$13*BA209,2))&lt;1,ROUND(BA209*(1+'Calc base'!O210),2),MAX('Calc base'!J$12,ROUND('Calc base'!J$13*BA209,2))))</f>
        <v>0</v>
      </c>
      <c r="R210">
        <f>IF(BB209&lt;=0,0,IF(ROUND(BB209*(1+'Calc base'!P210),2)-MAX('Calc base'!K$12,ROUND('Calc base'!K$13*BB209,2))&lt;1,ROUND(BB209*(1+'Calc base'!P210),2),MAX('Calc base'!K$12,ROUND('Calc base'!K$13*BB209,2))))</f>
        <v>0</v>
      </c>
      <c r="S210">
        <f>IF(BC209&lt;=0,0,IF(ROUND(BC209*(1+'Calc base'!Q210),2)-MAX('Calc base'!L$12,ROUND('Calc base'!L$13*BC209,2))&lt;1,ROUND(BC209*(1+'Calc base'!Q210),2),MAX('Calc base'!L$12,ROUND('Calc base'!L$13*BC209,2))))</f>
        <v>0</v>
      </c>
      <c r="T210">
        <f>IF(BD209&lt;=0,0,IF(ROUND(BD209*(1+'Calc base'!R210),2)-MAX('Calc base'!M$12,ROUND('Calc base'!M$13*BD209,2))&lt;1,ROUND(BD209*(1+'Calc base'!R210),2),MAX('Calc base'!M$12,ROUND('Calc base'!M$13*BD209,2))))</f>
        <v>0</v>
      </c>
      <c r="U210">
        <f>IF(BE209&lt;=0,0,IF(ROUND(BE209*(1+'Calc base'!S210),2)-MAX('Calc base'!N$12,ROUND('Calc base'!N$13*BE209,2))&lt;1,ROUND(BE209*(1+'Calc base'!S210),2),MAX('Calc base'!N$12,ROUND('Calc base'!N$13*BE209,2))))</f>
        <v>0</v>
      </c>
      <c r="V210">
        <f>MAX(0,ROUND(AT209*(1+'Calc base'!H210),2)-J210-'Calc base'!T210)</f>
        <v>0</v>
      </c>
      <c r="W210">
        <f>MAX(0,ROUND(AU209*(1+'Calc base'!I210),2)-K210-'Calc base'!U210)</f>
        <v>0</v>
      </c>
      <c r="X210">
        <f>MAX(0,ROUND(AV209*(1+'Calc base'!J210),2)-L210-'Calc base'!V210)</f>
        <v>0</v>
      </c>
      <c r="Y210">
        <f>MAX(0,ROUND(AW209*(1+'Calc base'!K210),2)-M210-'Calc base'!W210)</f>
        <v>0</v>
      </c>
      <c r="Z210">
        <f>MAX(0,ROUND(AX209*(1+'Calc base'!L210),2)-N210-'Calc base'!X210)</f>
        <v>0</v>
      </c>
      <c r="AA210">
        <f>MAX(0,ROUND(AY209*(1+'Calc base'!M210),2)-O210-'Calc base'!Y210)</f>
        <v>0</v>
      </c>
      <c r="AB210">
        <f>MAX(0,ROUND(AZ209*(1+'Calc base'!N210),2)-P210-'Calc base'!Z210)</f>
        <v>0</v>
      </c>
      <c r="AC210">
        <f>MAX(0,ROUND(BA209*(1+'Calc base'!O210),2)-Q210-'Calc base'!AA210)</f>
        <v>0</v>
      </c>
      <c r="AD210">
        <f>MAX(0,ROUND(BB209*(1+'Calc base'!P210),2)-R210-'Calc base'!AB210)</f>
        <v>0</v>
      </c>
      <c r="AE210">
        <f>MAX(0,ROUND(BC209*(1+'Calc base'!Q210),2)-S210-'Calc base'!AC210)</f>
        <v>0</v>
      </c>
      <c r="AF210">
        <f>MAX(0,ROUND(BD209*(1+'Calc base'!R210),2)-T210-'Calc base'!AD210)</f>
        <v>0</v>
      </c>
      <c r="AG210">
        <f>MAX(0,ROUND(BE209*(1+'Calc base'!S210),2)-U210-'Calc base'!AE210)</f>
        <v>0</v>
      </c>
      <c r="AH210">
        <f>IF('Calc base'!C$14=0,0,MIN(V210,MAX(0,$E210-SUMIFS($V210:$AG210,'Calc base'!$C$17:$N$17,"&lt;"&amp;'Calc base'!C$17,'Calc base'!$C$14:$N$14,1))))</f>
        <v>0</v>
      </c>
      <c r="AI210">
        <f>IF('Calc base'!D$14=0,0,MIN(W210,MAX(0,$E210-SUMIFS($V210:$AG210,'Calc base'!$C$17:$N$17,"&lt;"&amp;'Calc base'!D$17,'Calc base'!$C$14:$N$14,1))))</f>
        <v>0</v>
      </c>
      <c r="AJ210">
        <f>IF('Calc base'!E$14=0,0,MIN(X210,MAX(0,$E210-SUMIFS($V210:$AG210,'Calc base'!$C$17:$N$17,"&lt;"&amp;'Calc base'!E$17,'Calc base'!$C$14:$N$14,1))))</f>
        <v>0</v>
      </c>
      <c r="AK210">
        <f>IF('Calc base'!F$14=0,0,MIN(Y210,MAX(0,$E210-SUMIFS($V210:$AG210,'Calc base'!$C$17:$N$17,"&lt;"&amp;'Calc base'!F$17,'Calc base'!$C$14:$N$14,1))))</f>
        <v>0</v>
      </c>
      <c r="AL210">
        <f>IF('Calc base'!G$14=0,0,MIN(Z210,MAX(0,$E210-SUMIFS($V210:$AG210,'Calc base'!$C$17:$N$17,"&lt;"&amp;'Calc base'!G$17,'Calc base'!$C$14:$N$14,1))))</f>
        <v>0</v>
      </c>
      <c r="AM210">
        <f>IF('Calc base'!H$14=0,0,MIN(AA210,MAX(0,$E210-SUMIFS($V210:$AG210,'Calc base'!$C$17:$N$17,"&lt;"&amp;'Calc base'!H$17,'Calc base'!$C$14:$N$14,1))))</f>
        <v>0</v>
      </c>
      <c r="AN210">
        <f>IF('Calc base'!I$14=0,0,MIN(AB210,MAX(0,$E210-SUMIFS($V210:$AG210,'Calc base'!$C$17:$N$17,"&lt;"&amp;'Calc base'!I$17,'Calc base'!$C$14:$N$14,1))))</f>
        <v>0</v>
      </c>
      <c r="AO210">
        <f>IF('Calc base'!J$14=0,0,MIN(AC210,MAX(0,$E210-SUMIFS($V210:$AG210,'Calc base'!$C$17:$N$17,"&lt;"&amp;'Calc base'!J$17,'Calc base'!$C$14:$N$14,1))))</f>
        <v>0</v>
      </c>
      <c r="AP210">
        <f>IF('Calc base'!K$14=0,0,MIN(AD210,MAX(0,$E210-SUMIFS($V210:$AG210,'Calc base'!$C$17:$N$17,"&lt;"&amp;'Calc base'!K$17,'Calc base'!$C$14:$N$14,1))))</f>
        <v>0</v>
      </c>
      <c r="AQ210">
        <f>IF('Calc base'!L$14=0,0,MIN(AE210,MAX(0,$E210-SUMIFS($V210:$AG210,'Calc base'!$C$17:$N$17,"&lt;"&amp;'Calc base'!L$17,'Calc base'!$C$14:$N$14,1))))</f>
        <v>0</v>
      </c>
      <c r="AR210">
        <f>IF('Calc base'!M$14=0,0,MIN(AF210,MAX(0,$E210-SUMIFS($V210:$AG210,'Calc base'!$C$17:$N$17,"&lt;"&amp;'Calc base'!M$17,'Calc base'!$C$14:$N$14,1))))</f>
        <v>0</v>
      </c>
      <c r="AS210">
        <f>IF('Calc base'!N$14=0,0,MIN(AG210,MAX(0,$E210-SUMIFS($V210:$AG210,'Calc base'!$C$17:$N$17,"&lt;"&amp;'Calc base'!N$17,'Calc base'!$C$14:$N$14,1))))</f>
        <v>0</v>
      </c>
      <c r="AT210">
        <f>V210-AH210</f>
        <v>0</v>
      </c>
      <c r="AU210">
        <f>W210-AI210</f>
        <v>0</v>
      </c>
      <c r="AV210">
        <f>X210-AJ210</f>
        <v>0</v>
      </c>
      <c r="AW210">
        <f>Y210-AK210</f>
        <v>0</v>
      </c>
      <c r="AX210">
        <f>Z210-AL210</f>
        <v>0</v>
      </c>
      <c r="AY210">
        <f>AA210-AM210</f>
        <v>0</v>
      </c>
      <c r="AZ210">
        <f>AB210-AN210</f>
        <v>0</v>
      </c>
      <c r="BA210">
        <f>AC210-AO210</f>
        <v>0</v>
      </c>
      <c r="BB210">
        <f>AD210-AP210</f>
        <v>0</v>
      </c>
      <c r="BC210">
        <f>AE210-AQ210</f>
        <v>0</v>
      </c>
      <c r="BD210">
        <f>AF210-AR210</f>
        <v>0</v>
      </c>
      <c r="BE210">
        <f>AG210-AS210</f>
        <v>0</v>
      </c>
    </row>
    <row r="211">
      <c r="A211" t="n">
        <v>181</v>
      </c>
      <c r="B211">
        <f>SUMPRODUCT(ROUND($AT210:$BE210*(1+'Calc base'!$H211:$S211),2))</f>
        <v>0</v>
      </c>
      <c r="C211">
        <f>SUM(J211:U211)</f>
        <v>0</v>
      </c>
      <c r="D211">
        <f>SUM(V211:AG211)</f>
        <v>0</v>
      </c>
      <c r="E211">
        <f>MAX(0,IF(Impostazioni!$B$7="No",'Calc base'!$C211-$C$31,'Calc base'!$C211-C211)+'Calc base'!$G211+'Calc base'!$F211-(B211-C211-D211))</f>
        <v>900</v>
      </c>
      <c r="F211">
        <f>SUM(AH211:AS211)</f>
        <v>0</v>
      </c>
      <c r="G211">
        <f>SUM(AT211:BE211)</f>
        <v>0</v>
      </c>
      <c r="H211">
        <f>B211-G210</f>
        <v>0</v>
      </c>
      <c r="I211">
        <f>B211-G211</f>
        <v>0</v>
      </c>
      <c r="J211">
        <f>IF(AT210&lt;=0,0,IF(ROUND(AT210*(1+'Calc base'!H211),2)-MAX('Calc base'!C$12,ROUND('Calc base'!C$13*AT210,2))&lt;1,ROUND(AT210*(1+'Calc base'!H211),2),MAX('Calc base'!C$12,ROUND('Calc base'!C$13*AT210,2))))</f>
        <v>0</v>
      </c>
      <c r="K211">
        <f>IF(AU210&lt;=0,0,IF(ROUND(AU210*(1+'Calc base'!I211),2)-MAX('Calc base'!D$12,ROUND('Calc base'!D$13*AU210,2))&lt;1,ROUND(AU210*(1+'Calc base'!I211),2),MAX('Calc base'!D$12,ROUND('Calc base'!D$13*AU210,2))))</f>
        <v>0</v>
      </c>
      <c r="L211">
        <f>IF(AV210&lt;=0,0,IF(ROUND(AV210*(1+'Calc base'!J211),2)-MAX('Calc base'!E$12,ROUND('Calc base'!E$13*AV210,2))&lt;1,ROUND(AV210*(1+'Calc base'!J211),2),MAX('Calc base'!E$12,ROUND('Calc base'!E$13*AV210,2))))</f>
        <v>0</v>
      </c>
      <c r="M211">
        <f>IF(AW210&lt;=0,0,IF(ROUND(AW210*(1+'Calc base'!K211),2)-MAX('Calc base'!F$12,ROUND('Calc base'!F$13*AW210,2))&lt;1,ROUND(AW210*(1+'Calc base'!K211),2),MAX('Calc base'!F$12,ROUND('Calc base'!F$13*AW210,2))))</f>
        <v>0</v>
      </c>
      <c r="N211">
        <f>IF(AX210&lt;=0,0,IF(ROUND(AX210*(1+'Calc base'!L211),2)-MAX('Calc base'!G$12,ROUND('Calc base'!G$13*AX210,2))&lt;1,ROUND(AX210*(1+'Calc base'!L211),2),MAX('Calc base'!G$12,ROUND('Calc base'!G$13*AX210,2))))</f>
        <v>0</v>
      </c>
      <c r="O211">
        <f>IF(AY210&lt;=0,0,IF(ROUND(AY210*(1+'Calc base'!M211),2)-MAX('Calc base'!H$12,ROUND('Calc base'!H$13*AY210,2))&lt;1,ROUND(AY210*(1+'Calc base'!M211),2),MAX('Calc base'!H$12,ROUND('Calc base'!H$13*AY210,2))))</f>
        <v>0</v>
      </c>
      <c r="P211">
        <f>IF(AZ210&lt;=0,0,IF(ROUND(AZ210*(1+'Calc base'!N211),2)-MAX('Calc base'!I$12,ROUND('Calc base'!I$13*AZ210,2))&lt;1,ROUND(AZ210*(1+'Calc base'!N211),2),MAX('Calc base'!I$12,ROUND('Calc base'!I$13*AZ210,2))))</f>
        <v>0</v>
      </c>
      <c r="Q211">
        <f>IF(BA210&lt;=0,0,IF(ROUND(BA210*(1+'Calc base'!O211),2)-MAX('Calc base'!J$12,ROUND('Calc base'!J$13*BA210,2))&lt;1,ROUND(BA210*(1+'Calc base'!O211),2),MAX('Calc base'!J$12,ROUND('Calc base'!J$13*BA210,2))))</f>
        <v>0</v>
      </c>
      <c r="R211">
        <f>IF(BB210&lt;=0,0,IF(ROUND(BB210*(1+'Calc base'!P211),2)-MAX('Calc base'!K$12,ROUND('Calc base'!K$13*BB210,2))&lt;1,ROUND(BB210*(1+'Calc base'!P211),2),MAX('Calc base'!K$12,ROUND('Calc base'!K$13*BB210,2))))</f>
        <v>0</v>
      </c>
      <c r="S211">
        <f>IF(BC210&lt;=0,0,IF(ROUND(BC210*(1+'Calc base'!Q211),2)-MAX('Calc base'!L$12,ROUND('Calc base'!L$13*BC210,2))&lt;1,ROUND(BC210*(1+'Calc base'!Q211),2),MAX('Calc base'!L$12,ROUND('Calc base'!L$13*BC210,2))))</f>
        <v>0</v>
      </c>
      <c r="T211">
        <f>IF(BD210&lt;=0,0,IF(ROUND(BD210*(1+'Calc base'!R211),2)-MAX('Calc base'!M$12,ROUND('Calc base'!M$13*BD210,2))&lt;1,ROUND(BD210*(1+'Calc base'!R211),2),MAX('Calc base'!M$12,ROUND('Calc base'!M$13*BD210,2))))</f>
        <v>0</v>
      </c>
      <c r="U211">
        <f>IF(BE210&lt;=0,0,IF(ROUND(BE210*(1+'Calc base'!S211),2)-MAX('Calc base'!N$12,ROUND('Calc base'!N$13*BE210,2))&lt;1,ROUND(BE210*(1+'Calc base'!S211),2),MAX('Calc base'!N$12,ROUND('Calc base'!N$13*BE210,2))))</f>
        <v>0</v>
      </c>
      <c r="V211">
        <f>MAX(0,ROUND(AT210*(1+'Calc base'!H211),2)-J211-'Calc base'!T211)</f>
        <v>0</v>
      </c>
      <c r="W211">
        <f>MAX(0,ROUND(AU210*(1+'Calc base'!I211),2)-K211-'Calc base'!U211)</f>
        <v>0</v>
      </c>
      <c r="X211">
        <f>MAX(0,ROUND(AV210*(1+'Calc base'!J211),2)-L211-'Calc base'!V211)</f>
        <v>0</v>
      </c>
      <c r="Y211">
        <f>MAX(0,ROUND(AW210*(1+'Calc base'!K211),2)-M211-'Calc base'!W211)</f>
        <v>0</v>
      </c>
      <c r="Z211">
        <f>MAX(0,ROUND(AX210*(1+'Calc base'!L211),2)-N211-'Calc base'!X211)</f>
        <v>0</v>
      </c>
      <c r="AA211">
        <f>MAX(0,ROUND(AY210*(1+'Calc base'!M211),2)-O211-'Calc base'!Y211)</f>
        <v>0</v>
      </c>
      <c r="AB211">
        <f>MAX(0,ROUND(AZ210*(1+'Calc base'!N211),2)-P211-'Calc base'!Z211)</f>
        <v>0</v>
      </c>
      <c r="AC211">
        <f>MAX(0,ROUND(BA210*(1+'Calc base'!O211),2)-Q211-'Calc base'!AA211)</f>
        <v>0</v>
      </c>
      <c r="AD211">
        <f>MAX(0,ROUND(BB210*(1+'Calc base'!P211),2)-R211-'Calc base'!AB211)</f>
        <v>0</v>
      </c>
      <c r="AE211">
        <f>MAX(0,ROUND(BC210*(1+'Calc base'!Q211),2)-S211-'Calc base'!AC211)</f>
        <v>0</v>
      </c>
      <c r="AF211">
        <f>MAX(0,ROUND(BD210*(1+'Calc base'!R211),2)-T211-'Calc base'!AD211)</f>
        <v>0</v>
      </c>
      <c r="AG211">
        <f>MAX(0,ROUND(BE210*(1+'Calc base'!S211),2)-U211-'Calc base'!AE211)</f>
        <v>0</v>
      </c>
      <c r="AH211">
        <f>IF('Calc base'!C$14=0,0,MIN(V211,MAX(0,$E211-SUMIFS($V211:$AG211,'Calc base'!$C$17:$N$17,"&lt;"&amp;'Calc base'!C$17,'Calc base'!$C$14:$N$14,1))))</f>
        <v>0</v>
      </c>
      <c r="AI211">
        <f>IF('Calc base'!D$14=0,0,MIN(W211,MAX(0,$E211-SUMIFS($V211:$AG211,'Calc base'!$C$17:$N$17,"&lt;"&amp;'Calc base'!D$17,'Calc base'!$C$14:$N$14,1))))</f>
        <v>0</v>
      </c>
      <c r="AJ211">
        <f>IF('Calc base'!E$14=0,0,MIN(X211,MAX(0,$E211-SUMIFS($V211:$AG211,'Calc base'!$C$17:$N$17,"&lt;"&amp;'Calc base'!E$17,'Calc base'!$C$14:$N$14,1))))</f>
        <v>0</v>
      </c>
      <c r="AK211">
        <f>IF('Calc base'!F$14=0,0,MIN(Y211,MAX(0,$E211-SUMIFS($V211:$AG211,'Calc base'!$C$17:$N$17,"&lt;"&amp;'Calc base'!F$17,'Calc base'!$C$14:$N$14,1))))</f>
        <v>0</v>
      </c>
      <c r="AL211">
        <f>IF('Calc base'!G$14=0,0,MIN(Z211,MAX(0,$E211-SUMIFS($V211:$AG211,'Calc base'!$C$17:$N$17,"&lt;"&amp;'Calc base'!G$17,'Calc base'!$C$14:$N$14,1))))</f>
        <v>0</v>
      </c>
      <c r="AM211">
        <f>IF('Calc base'!H$14=0,0,MIN(AA211,MAX(0,$E211-SUMIFS($V211:$AG211,'Calc base'!$C$17:$N$17,"&lt;"&amp;'Calc base'!H$17,'Calc base'!$C$14:$N$14,1))))</f>
        <v>0</v>
      </c>
      <c r="AN211">
        <f>IF('Calc base'!I$14=0,0,MIN(AB211,MAX(0,$E211-SUMIFS($V211:$AG211,'Calc base'!$C$17:$N$17,"&lt;"&amp;'Calc base'!I$17,'Calc base'!$C$14:$N$14,1))))</f>
        <v>0</v>
      </c>
      <c r="AO211">
        <f>IF('Calc base'!J$14=0,0,MIN(AC211,MAX(0,$E211-SUMIFS($V211:$AG211,'Calc base'!$C$17:$N$17,"&lt;"&amp;'Calc base'!J$17,'Calc base'!$C$14:$N$14,1))))</f>
        <v>0</v>
      </c>
      <c r="AP211">
        <f>IF('Calc base'!K$14=0,0,MIN(AD211,MAX(0,$E211-SUMIFS($V211:$AG211,'Calc base'!$C$17:$N$17,"&lt;"&amp;'Calc base'!K$17,'Calc base'!$C$14:$N$14,1))))</f>
        <v>0</v>
      </c>
      <c r="AQ211">
        <f>IF('Calc base'!L$14=0,0,MIN(AE211,MAX(0,$E211-SUMIFS($V211:$AG211,'Calc base'!$C$17:$N$17,"&lt;"&amp;'Calc base'!L$17,'Calc base'!$C$14:$N$14,1))))</f>
        <v>0</v>
      </c>
      <c r="AR211">
        <f>IF('Calc base'!M$14=0,0,MIN(AF211,MAX(0,$E211-SUMIFS($V211:$AG211,'Calc base'!$C$17:$N$17,"&lt;"&amp;'Calc base'!M$17,'Calc base'!$C$14:$N$14,1))))</f>
        <v>0</v>
      </c>
      <c r="AS211">
        <f>IF('Calc base'!N$14=0,0,MIN(AG211,MAX(0,$E211-SUMIFS($V211:$AG211,'Calc base'!$C$17:$N$17,"&lt;"&amp;'Calc base'!N$17,'Calc base'!$C$14:$N$14,1))))</f>
        <v>0</v>
      </c>
      <c r="AT211">
        <f>V211-AH211</f>
        <v>0</v>
      </c>
      <c r="AU211">
        <f>W211-AI211</f>
        <v>0</v>
      </c>
      <c r="AV211">
        <f>X211-AJ211</f>
        <v>0</v>
      </c>
      <c r="AW211">
        <f>Y211-AK211</f>
        <v>0</v>
      </c>
      <c r="AX211">
        <f>Z211-AL211</f>
        <v>0</v>
      </c>
      <c r="AY211">
        <f>AA211-AM211</f>
        <v>0</v>
      </c>
      <c r="AZ211">
        <f>AB211-AN211</f>
        <v>0</v>
      </c>
      <c r="BA211">
        <f>AC211-AO211</f>
        <v>0</v>
      </c>
      <c r="BB211">
        <f>AD211-AP211</f>
        <v>0</v>
      </c>
      <c r="BC211">
        <f>AE211-AQ211</f>
        <v>0</v>
      </c>
      <c r="BD211">
        <f>AF211-AR211</f>
        <v>0</v>
      </c>
      <c r="BE211">
        <f>AG211-AS211</f>
        <v>0</v>
      </c>
    </row>
    <row r="212">
      <c r="A212" t="n">
        <v>182</v>
      </c>
      <c r="B212">
        <f>SUMPRODUCT(ROUND($AT211:$BE211*(1+'Calc base'!$H212:$S212),2))</f>
        <v>0</v>
      </c>
      <c r="C212">
        <f>SUM(J212:U212)</f>
        <v>0</v>
      </c>
      <c r="D212">
        <f>SUM(V212:AG212)</f>
        <v>0</v>
      </c>
      <c r="E212">
        <f>MAX(0,IF(Impostazioni!$B$7="No",'Calc base'!$C212-$C$31,'Calc base'!$C212-C212)+'Calc base'!$G212+'Calc base'!$F212-(B212-C212-D212))</f>
        <v>900</v>
      </c>
      <c r="F212">
        <f>SUM(AH212:AS212)</f>
        <v>0</v>
      </c>
      <c r="G212">
        <f>SUM(AT212:BE212)</f>
        <v>0</v>
      </c>
      <c r="H212">
        <f>B212-G211</f>
        <v>0</v>
      </c>
      <c r="I212">
        <f>B212-G212</f>
        <v>0</v>
      </c>
      <c r="J212">
        <f>IF(AT211&lt;=0,0,IF(ROUND(AT211*(1+'Calc base'!H212),2)-MAX('Calc base'!C$12,ROUND('Calc base'!C$13*AT211,2))&lt;1,ROUND(AT211*(1+'Calc base'!H212),2),MAX('Calc base'!C$12,ROUND('Calc base'!C$13*AT211,2))))</f>
        <v>0</v>
      </c>
      <c r="K212">
        <f>IF(AU211&lt;=0,0,IF(ROUND(AU211*(1+'Calc base'!I212),2)-MAX('Calc base'!D$12,ROUND('Calc base'!D$13*AU211,2))&lt;1,ROUND(AU211*(1+'Calc base'!I212),2),MAX('Calc base'!D$12,ROUND('Calc base'!D$13*AU211,2))))</f>
        <v>0</v>
      </c>
      <c r="L212">
        <f>IF(AV211&lt;=0,0,IF(ROUND(AV211*(1+'Calc base'!J212),2)-MAX('Calc base'!E$12,ROUND('Calc base'!E$13*AV211,2))&lt;1,ROUND(AV211*(1+'Calc base'!J212),2),MAX('Calc base'!E$12,ROUND('Calc base'!E$13*AV211,2))))</f>
        <v>0</v>
      </c>
      <c r="M212">
        <f>IF(AW211&lt;=0,0,IF(ROUND(AW211*(1+'Calc base'!K212),2)-MAX('Calc base'!F$12,ROUND('Calc base'!F$13*AW211,2))&lt;1,ROUND(AW211*(1+'Calc base'!K212),2),MAX('Calc base'!F$12,ROUND('Calc base'!F$13*AW211,2))))</f>
        <v>0</v>
      </c>
      <c r="N212">
        <f>IF(AX211&lt;=0,0,IF(ROUND(AX211*(1+'Calc base'!L212),2)-MAX('Calc base'!G$12,ROUND('Calc base'!G$13*AX211,2))&lt;1,ROUND(AX211*(1+'Calc base'!L212),2),MAX('Calc base'!G$12,ROUND('Calc base'!G$13*AX211,2))))</f>
        <v>0</v>
      </c>
      <c r="O212">
        <f>IF(AY211&lt;=0,0,IF(ROUND(AY211*(1+'Calc base'!M212),2)-MAX('Calc base'!H$12,ROUND('Calc base'!H$13*AY211,2))&lt;1,ROUND(AY211*(1+'Calc base'!M212),2),MAX('Calc base'!H$12,ROUND('Calc base'!H$13*AY211,2))))</f>
        <v>0</v>
      </c>
      <c r="P212">
        <f>IF(AZ211&lt;=0,0,IF(ROUND(AZ211*(1+'Calc base'!N212),2)-MAX('Calc base'!I$12,ROUND('Calc base'!I$13*AZ211,2))&lt;1,ROUND(AZ211*(1+'Calc base'!N212),2),MAX('Calc base'!I$12,ROUND('Calc base'!I$13*AZ211,2))))</f>
        <v>0</v>
      </c>
      <c r="Q212">
        <f>IF(BA211&lt;=0,0,IF(ROUND(BA211*(1+'Calc base'!O212),2)-MAX('Calc base'!J$12,ROUND('Calc base'!J$13*BA211,2))&lt;1,ROUND(BA211*(1+'Calc base'!O212),2),MAX('Calc base'!J$12,ROUND('Calc base'!J$13*BA211,2))))</f>
        <v>0</v>
      </c>
      <c r="R212">
        <f>IF(BB211&lt;=0,0,IF(ROUND(BB211*(1+'Calc base'!P212),2)-MAX('Calc base'!K$12,ROUND('Calc base'!K$13*BB211,2))&lt;1,ROUND(BB211*(1+'Calc base'!P212),2),MAX('Calc base'!K$12,ROUND('Calc base'!K$13*BB211,2))))</f>
        <v>0</v>
      </c>
      <c r="S212">
        <f>IF(BC211&lt;=0,0,IF(ROUND(BC211*(1+'Calc base'!Q212),2)-MAX('Calc base'!L$12,ROUND('Calc base'!L$13*BC211,2))&lt;1,ROUND(BC211*(1+'Calc base'!Q212),2),MAX('Calc base'!L$12,ROUND('Calc base'!L$13*BC211,2))))</f>
        <v>0</v>
      </c>
      <c r="T212">
        <f>IF(BD211&lt;=0,0,IF(ROUND(BD211*(1+'Calc base'!R212),2)-MAX('Calc base'!M$12,ROUND('Calc base'!M$13*BD211,2))&lt;1,ROUND(BD211*(1+'Calc base'!R212),2),MAX('Calc base'!M$12,ROUND('Calc base'!M$13*BD211,2))))</f>
        <v>0</v>
      </c>
      <c r="U212">
        <f>IF(BE211&lt;=0,0,IF(ROUND(BE211*(1+'Calc base'!S212),2)-MAX('Calc base'!N$12,ROUND('Calc base'!N$13*BE211,2))&lt;1,ROUND(BE211*(1+'Calc base'!S212),2),MAX('Calc base'!N$12,ROUND('Calc base'!N$13*BE211,2))))</f>
        <v>0</v>
      </c>
      <c r="V212">
        <f>MAX(0,ROUND(AT211*(1+'Calc base'!H212),2)-J212-'Calc base'!T212)</f>
        <v>0</v>
      </c>
      <c r="W212">
        <f>MAX(0,ROUND(AU211*(1+'Calc base'!I212),2)-K212-'Calc base'!U212)</f>
        <v>0</v>
      </c>
      <c r="X212">
        <f>MAX(0,ROUND(AV211*(1+'Calc base'!J212),2)-L212-'Calc base'!V212)</f>
        <v>0</v>
      </c>
      <c r="Y212">
        <f>MAX(0,ROUND(AW211*(1+'Calc base'!K212),2)-M212-'Calc base'!W212)</f>
        <v>0</v>
      </c>
      <c r="Z212">
        <f>MAX(0,ROUND(AX211*(1+'Calc base'!L212),2)-N212-'Calc base'!X212)</f>
        <v>0</v>
      </c>
      <c r="AA212">
        <f>MAX(0,ROUND(AY211*(1+'Calc base'!M212),2)-O212-'Calc base'!Y212)</f>
        <v>0</v>
      </c>
      <c r="AB212">
        <f>MAX(0,ROUND(AZ211*(1+'Calc base'!N212),2)-P212-'Calc base'!Z212)</f>
        <v>0</v>
      </c>
      <c r="AC212">
        <f>MAX(0,ROUND(BA211*(1+'Calc base'!O212),2)-Q212-'Calc base'!AA212)</f>
        <v>0</v>
      </c>
      <c r="AD212">
        <f>MAX(0,ROUND(BB211*(1+'Calc base'!P212),2)-R212-'Calc base'!AB212)</f>
        <v>0</v>
      </c>
      <c r="AE212">
        <f>MAX(0,ROUND(BC211*(1+'Calc base'!Q212),2)-S212-'Calc base'!AC212)</f>
        <v>0</v>
      </c>
      <c r="AF212">
        <f>MAX(0,ROUND(BD211*(1+'Calc base'!R212),2)-T212-'Calc base'!AD212)</f>
        <v>0</v>
      </c>
      <c r="AG212">
        <f>MAX(0,ROUND(BE211*(1+'Calc base'!S212),2)-U212-'Calc base'!AE212)</f>
        <v>0</v>
      </c>
      <c r="AH212">
        <f>IF('Calc base'!C$14=0,0,MIN(V212,MAX(0,$E212-SUMIFS($V212:$AG212,'Calc base'!$C$17:$N$17,"&lt;"&amp;'Calc base'!C$17,'Calc base'!$C$14:$N$14,1))))</f>
        <v>0</v>
      </c>
      <c r="AI212">
        <f>IF('Calc base'!D$14=0,0,MIN(W212,MAX(0,$E212-SUMIFS($V212:$AG212,'Calc base'!$C$17:$N$17,"&lt;"&amp;'Calc base'!D$17,'Calc base'!$C$14:$N$14,1))))</f>
        <v>0</v>
      </c>
      <c r="AJ212">
        <f>IF('Calc base'!E$14=0,0,MIN(X212,MAX(0,$E212-SUMIFS($V212:$AG212,'Calc base'!$C$17:$N$17,"&lt;"&amp;'Calc base'!E$17,'Calc base'!$C$14:$N$14,1))))</f>
        <v>0</v>
      </c>
      <c r="AK212">
        <f>IF('Calc base'!F$14=0,0,MIN(Y212,MAX(0,$E212-SUMIFS($V212:$AG212,'Calc base'!$C$17:$N$17,"&lt;"&amp;'Calc base'!F$17,'Calc base'!$C$14:$N$14,1))))</f>
        <v>0</v>
      </c>
      <c r="AL212">
        <f>IF('Calc base'!G$14=0,0,MIN(Z212,MAX(0,$E212-SUMIFS($V212:$AG212,'Calc base'!$C$17:$N$17,"&lt;"&amp;'Calc base'!G$17,'Calc base'!$C$14:$N$14,1))))</f>
        <v>0</v>
      </c>
      <c r="AM212">
        <f>IF('Calc base'!H$14=0,0,MIN(AA212,MAX(0,$E212-SUMIFS($V212:$AG212,'Calc base'!$C$17:$N$17,"&lt;"&amp;'Calc base'!H$17,'Calc base'!$C$14:$N$14,1))))</f>
        <v>0</v>
      </c>
      <c r="AN212">
        <f>IF('Calc base'!I$14=0,0,MIN(AB212,MAX(0,$E212-SUMIFS($V212:$AG212,'Calc base'!$C$17:$N$17,"&lt;"&amp;'Calc base'!I$17,'Calc base'!$C$14:$N$14,1))))</f>
        <v>0</v>
      </c>
      <c r="AO212">
        <f>IF('Calc base'!J$14=0,0,MIN(AC212,MAX(0,$E212-SUMIFS($V212:$AG212,'Calc base'!$C$17:$N$17,"&lt;"&amp;'Calc base'!J$17,'Calc base'!$C$14:$N$14,1))))</f>
        <v>0</v>
      </c>
      <c r="AP212">
        <f>IF('Calc base'!K$14=0,0,MIN(AD212,MAX(0,$E212-SUMIFS($V212:$AG212,'Calc base'!$C$17:$N$17,"&lt;"&amp;'Calc base'!K$17,'Calc base'!$C$14:$N$14,1))))</f>
        <v>0</v>
      </c>
      <c r="AQ212">
        <f>IF('Calc base'!L$14=0,0,MIN(AE212,MAX(0,$E212-SUMIFS($V212:$AG212,'Calc base'!$C$17:$N$17,"&lt;"&amp;'Calc base'!L$17,'Calc base'!$C$14:$N$14,1))))</f>
        <v>0</v>
      </c>
      <c r="AR212">
        <f>IF('Calc base'!M$14=0,0,MIN(AF212,MAX(0,$E212-SUMIFS($V212:$AG212,'Calc base'!$C$17:$N$17,"&lt;"&amp;'Calc base'!M$17,'Calc base'!$C$14:$N$14,1))))</f>
        <v>0</v>
      </c>
      <c r="AS212">
        <f>IF('Calc base'!N$14=0,0,MIN(AG212,MAX(0,$E212-SUMIFS($V212:$AG212,'Calc base'!$C$17:$N$17,"&lt;"&amp;'Calc base'!N$17,'Calc base'!$C$14:$N$14,1))))</f>
        <v>0</v>
      </c>
      <c r="AT212">
        <f>V212-AH212</f>
        <v>0</v>
      </c>
      <c r="AU212">
        <f>W212-AI212</f>
        <v>0</v>
      </c>
      <c r="AV212">
        <f>X212-AJ212</f>
        <v>0</v>
      </c>
      <c r="AW212">
        <f>Y212-AK212</f>
        <v>0</v>
      </c>
      <c r="AX212">
        <f>Z212-AL212</f>
        <v>0</v>
      </c>
      <c r="AY212">
        <f>AA212-AM212</f>
        <v>0</v>
      </c>
      <c r="AZ212">
        <f>AB212-AN212</f>
        <v>0</v>
      </c>
      <c r="BA212">
        <f>AC212-AO212</f>
        <v>0</v>
      </c>
      <c r="BB212">
        <f>AD212-AP212</f>
        <v>0</v>
      </c>
      <c r="BC212">
        <f>AE212-AQ212</f>
        <v>0</v>
      </c>
      <c r="BD212">
        <f>AF212-AR212</f>
        <v>0</v>
      </c>
      <c r="BE212">
        <f>AG212-AS212</f>
        <v>0</v>
      </c>
    </row>
    <row r="213">
      <c r="A213" t="n">
        <v>183</v>
      </c>
      <c r="B213">
        <f>SUMPRODUCT(ROUND($AT212:$BE212*(1+'Calc base'!$H213:$S213),2))</f>
        <v>0</v>
      </c>
      <c r="C213">
        <f>SUM(J213:U213)</f>
        <v>0</v>
      </c>
      <c r="D213">
        <f>SUM(V213:AG213)</f>
        <v>0</v>
      </c>
      <c r="E213">
        <f>MAX(0,IF(Impostazioni!$B$7="No",'Calc base'!$C213-$C$31,'Calc base'!$C213-C213)+'Calc base'!$G213+'Calc base'!$F213-(B213-C213-D213))</f>
        <v>900</v>
      </c>
      <c r="F213">
        <f>SUM(AH213:AS213)</f>
        <v>0</v>
      </c>
      <c r="G213">
        <f>SUM(AT213:BE213)</f>
        <v>0</v>
      </c>
      <c r="H213">
        <f>B213-G212</f>
        <v>0</v>
      </c>
      <c r="I213">
        <f>B213-G213</f>
        <v>0</v>
      </c>
      <c r="J213">
        <f>IF(AT212&lt;=0,0,IF(ROUND(AT212*(1+'Calc base'!H213),2)-MAX('Calc base'!C$12,ROUND('Calc base'!C$13*AT212,2))&lt;1,ROUND(AT212*(1+'Calc base'!H213),2),MAX('Calc base'!C$12,ROUND('Calc base'!C$13*AT212,2))))</f>
        <v>0</v>
      </c>
      <c r="K213">
        <f>IF(AU212&lt;=0,0,IF(ROUND(AU212*(1+'Calc base'!I213),2)-MAX('Calc base'!D$12,ROUND('Calc base'!D$13*AU212,2))&lt;1,ROUND(AU212*(1+'Calc base'!I213),2),MAX('Calc base'!D$12,ROUND('Calc base'!D$13*AU212,2))))</f>
        <v>0</v>
      </c>
      <c r="L213">
        <f>IF(AV212&lt;=0,0,IF(ROUND(AV212*(1+'Calc base'!J213),2)-MAX('Calc base'!E$12,ROUND('Calc base'!E$13*AV212,2))&lt;1,ROUND(AV212*(1+'Calc base'!J213),2),MAX('Calc base'!E$12,ROUND('Calc base'!E$13*AV212,2))))</f>
        <v>0</v>
      </c>
      <c r="M213">
        <f>IF(AW212&lt;=0,0,IF(ROUND(AW212*(1+'Calc base'!K213),2)-MAX('Calc base'!F$12,ROUND('Calc base'!F$13*AW212,2))&lt;1,ROUND(AW212*(1+'Calc base'!K213),2),MAX('Calc base'!F$12,ROUND('Calc base'!F$13*AW212,2))))</f>
        <v>0</v>
      </c>
      <c r="N213">
        <f>IF(AX212&lt;=0,0,IF(ROUND(AX212*(1+'Calc base'!L213),2)-MAX('Calc base'!G$12,ROUND('Calc base'!G$13*AX212,2))&lt;1,ROUND(AX212*(1+'Calc base'!L213),2),MAX('Calc base'!G$12,ROUND('Calc base'!G$13*AX212,2))))</f>
        <v>0</v>
      </c>
      <c r="O213">
        <f>IF(AY212&lt;=0,0,IF(ROUND(AY212*(1+'Calc base'!M213),2)-MAX('Calc base'!H$12,ROUND('Calc base'!H$13*AY212,2))&lt;1,ROUND(AY212*(1+'Calc base'!M213),2),MAX('Calc base'!H$12,ROUND('Calc base'!H$13*AY212,2))))</f>
        <v>0</v>
      </c>
      <c r="P213">
        <f>IF(AZ212&lt;=0,0,IF(ROUND(AZ212*(1+'Calc base'!N213),2)-MAX('Calc base'!I$12,ROUND('Calc base'!I$13*AZ212,2))&lt;1,ROUND(AZ212*(1+'Calc base'!N213),2),MAX('Calc base'!I$12,ROUND('Calc base'!I$13*AZ212,2))))</f>
        <v>0</v>
      </c>
      <c r="Q213">
        <f>IF(BA212&lt;=0,0,IF(ROUND(BA212*(1+'Calc base'!O213),2)-MAX('Calc base'!J$12,ROUND('Calc base'!J$13*BA212,2))&lt;1,ROUND(BA212*(1+'Calc base'!O213),2),MAX('Calc base'!J$12,ROUND('Calc base'!J$13*BA212,2))))</f>
        <v>0</v>
      </c>
      <c r="R213">
        <f>IF(BB212&lt;=0,0,IF(ROUND(BB212*(1+'Calc base'!P213),2)-MAX('Calc base'!K$12,ROUND('Calc base'!K$13*BB212,2))&lt;1,ROUND(BB212*(1+'Calc base'!P213),2),MAX('Calc base'!K$12,ROUND('Calc base'!K$13*BB212,2))))</f>
        <v>0</v>
      </c>
      <c r="S213">
        <f>IF(BC212&lt;=0,0,IF(ROUND(BC212*(1+'Calc base'!Q213),2)-MAX('Calc base'!L$12,ROUND('Calc base'!L$13*BC212,2))&lt;1,ROUND(BC212*(1+'Calc base'!Q213),2),MAX('Calc base'!L$12,ROUND('Calc base'!L$13*BC212,2))))</f>
        <v>0</v>
      </c>
      <c r="T213">
        <f>IF(BD212&lt;=0,0,IF(ROUND(BD212*(1+'Calc base'!R213),2)-MAX('Calc base'!M$12,ROUND('Calc base'!M$13*BD212,2))&lt;1,ROUND(BD212*(1+'Calc base'!R213),2),MAX('Calc base'!M$12,ROUND('Calc base'!M$13*BD212,2))))</f>
        <v>0</v>
      </c>
      <c r="U213">
        <f>IF(BE212&lt;=0,0,IF(ROUND(BE212*(1+'Calc base'!S213),2)-MAX('Calc base'!N$12,ROUND('Calc base'!N$13*BE212,2))&lt;1,ROUND(BE212*(1+'Calc base'!S213),2),MAX('Calc base'!N$12,ROUND('Calc base'!N$13*BE212,2))))</f>
        <v>0</v>
      </c>
      <c r="V213">
        <f>MAX(0,ROUND(AT212*(1+'Calc base'!H213),2)-J213-'Calc base'!T213)</f>
        <v>0</v>
      </c>
      <c r="W213">
        <f>MAX(0,ROUND(AU212*(1+'Calc base'!I213),2)-K213-'Calc base'!U213)</f>
        <v>0</v>
      </c>
      <c r="X213">
        <f>MAX(0,ROUND(AV212*(1+'Calc base'!J213),2)-L213-'Calc base'!V213)</f>
        <v>0</v>
      </c>
      <c r="Y213">
        <f>MAX(0,ROUND(AW212*(1+'Calc base'!K213),2)-M213-'Calc base'!W213)</f>
        <v>0</v>
      </c>
      <c r="Z213">
        <f>MAX(0,ROUND(AX212*(1+'Calc base'!L213),2)-N213-'Calc base'!X213)</f>
        <v>0</v>
      </c>
      <c r="AA213">
        <f>MAX(0,ROUND(AY212*(1+'Calc base'!M213),2)-O213-'Calc base'!Y213)</f>
        <v>0</v>
      </c>
      <c r="AB213">
        <f>MAX(0,ROUND(AZ212*(1+'Calc base'!N213),2)-P213-'Calc base'!Z213)</f>
        <v>0</v>
      </c>
      <c r="AC213">
        <f>MAX(0,ROUND(BA212*(1+'Calc base'!O213),2)-Q213-'Calc base'!AA213)</f>
        <v>0</v>
      </c>
      <c r="AD213">
        <f>MAX(0,ROUND(BB212*(1+'Calc base'!P213),2)-R213-'Calc base'!AB213)</f>
        <v>0</v>
      </c>
      <c r="AE213">
        <f>MAX(0,ROUND(BC212*(1+'Calc base'!Q213),2)-S213-'Calc base'!AC213)</f>
        <v>0</v>
      </c>
      <c r="AF213">
        <f>MAX(0,ROUND(BD212*(1+'Calc base'!R213),2)-T213-'Calc base'!AD213)</f>
        <v>0</v>
      </c>
      <c r="AG213">
        <f>MAX(0,ROUND(BE212*(1+'Calc base'!S213),2)-U213-'Calc base'!AE213)</f>
        <v>0</v>
      </c>
      <c r="AH213">
        <f>IF('Calc base'!C$14=0,0,MIN(V213,MAX(0,$E213-SUMIFS($V213:$AG213,'Calc base'!$C$17:$N$17,"&lt;"&amp;'Calc base'!C$17,'Calc base'!$C$14:$N$14,1))))</f>
        <v>0</v>
      </c>
      <c r="AI213">
        <f>IF('Calc base'!D$14=0,0,MIN(W213,MAX(0,$E213-SUMIFS($V213:$AG213,'Calc base'!$C$17:$N$17,"&lt;"&amp;'Calc base'!D$17,'Calc base'!$C$14:$N$14,1))))</f>
        <v>0</v>
      </c>
      <c r="AJ213">
        <f>IF('Calc base'!E$14=0,0,MIN(X213,MAX(0,$E213-SUMIFS($V213:$AG213,'Calc base'!$C$17:$N$17,"&lt;"&amp;'Calc base'!E$17,'Calc base'!$C$14:$N$14,1))))</f>
        <v>0</v>
      </c>
      <c r="AK213">
        <f>IF('Calc base'!F$14=0,0,MIN(Y213,MAX(0,$E213-SUMIFS($V213:$AG213,'Calc base'!$C$17:$N$17,"&lt;"&amp;'Calc base'!F$17,'Calc base'!$C$14:$N$14,1))))</f>
        <v>0</v>
      </c>
      <c r="AL213">
        <f>IF('Calc base'!G$14=0,0,MIN(Z213,MAX(0,$E213-SUMIFS($V213:$AG213,'Calc base'!$C$17:$N$17,"&lt;"&amp;'Calc base'!G$17,'Calc base'!$C$14:$N$14,1))))</f>
        <v>0</v>
      </c>
      <c r="AM213">
        <f>IF('Calc base'!H$14=0,0,MIN(AA213,MAX(0,$E213-SUMIFS($V213:$AG213,'Calc base'!$C$17:$N$17,"&lt;"&amp;'Calc base'!H$17,'Calc base'!$C$14:$N$14,1))))</f>
        <v>0</v>
      </c>
      <c r="AN213">
        <f>IF('Calc base'!I$14=0,0,MIN(AB213,MAX(0,$E213-SUMIFS($V213:$AG213,'Calc base'!$C$17:$N$17,"&lt;"&amp;'Calc base'!I$17,'Calc base'!$C$14:$N$14,1))))</f>
        <v>0</v>
      </c>
      <c r="AO213">
        <f>IF('Calc base'!J$14=0,0,MIN(AC213,MAX(0,$E213-SUMIFS($V213:$AG213,'Calc base'!$C$17:$N$17,"&lt;"&amp;'Calc base'!J$17,'Calc base'!$C$14:$N$14,1))))</f>
        <v>0</v>
      </c>
      <c r="AP213">
        <f>IF('Calc base'!K$14=0,0,MIN(AD213,MAX(0,$E213-SUMIFS($V213:$AG213,'Calc base'!$C$17:$N$17,"&lt;"&amp;'Calc base'!K$17,'Calc base'!$C$14:$N$14,1))))</f>
        <v>0</v>
      </c>
      <c r="AQ213">
        <f>IF('Calc base'!L$14=0,0,MIN(AE213,MAX(0,$E213-SUMIFS($V213:$AG213,'Calc base'!$C$17:$N$17,"&lt;"&amp;'Calc base'!L$17,'Calc base'!$C$14:$N$14,1))))</f>
        <v>0</v>
      </c>
      <c r="AR213">
        <f>IF('Calc base'!M$14=0,0,MIN(AF213,MAX(0,$E213-SUMIFS($V213:$AG213,'Calc base'!$C$17:$N$17,"&lt;"&amp;'Calc base'!M$17,'Calc base'!$C$14:$N$14,1))))</f>
        <v>0</v>
      </c>
      <c r="AS213">
        <f>IF('Calc base'!N$14=0,0,MIN(AG213,MAX(0,$E213-SUMIFS($V213:$AG213,'Calc base'!$C$17:$N$17,"&lt;"&amp;'Calc base'!N$17,'Calc base'!$C$14:$N$14,1))))</f>
        <v>0</v>
      </c>
      <c r="AT213">
        <f>V213-AH213</f>
        <v>0</v>
      </c>
      <c r="AU213">
        <f>W213-AI213</f>
        <v>0</v>
      </c>
      <c r="AV213">
        <f>X213-AJ213</f>
        <v>0</v>
      </c>
      <c r="AW213">
        <f>Y213-AK213</f>
        <v>0</v>
      </c>
      <c r="AX213">
        <f>Z213-AL213</f>
        <v>0</v>
      </c>
      <c r="AY213">
        <f>AA213-AM213</f>
        <v>0</v>
      </c>
      <c r="AZ213">
        <f>AB213-AN213</f>
        <v>0</v>
      </c>
      <c r="BA213">
        <f>AC213-AO213</f>
        <v>0</v>
      </c>
      <c r="BB213">
        <f>AD213-AP213</f>
        <v>0</v>
      </c>
      <c r="BC213">
        <f>AE213-AQ213</f>
        <v>0</v>
      </c>
      <c r="BD213">
        <f>AF213-AR213</f>
        <v>0</v>
      </c>
      <c r="BE213">
        <f>AG213-AS213</f>
        <v>0</v>
      </c>
    </row>
    <row r="214">
      <c r="A214" t="n">
        <v>184</v>
      </c>
      <c r="B214">
        <f>SUMPRODUCT(ROUND($AT213:$BE213*(1+'Calc base'!$H214:$S214),2))</f>
        <v>0</v>
      </c>
      <c r="C214">
        <f>SUM(J214:U214)</f>
        <v>0</v>
      </c>
      <c r="D214">
        <f>SUM(V214:AG214)</f>
        <v>0</v>
      </c>
      <c r="E214">
        <f>MAX(0,IF(Impostazioni!$B$7="No",'Calc base'!$C214-$C$31,'Calc base'!$C214-C214)+'Calc base'!$G214+'Calc base'!$F214-(B214-C214-D214))</f>
        <v>900</v>
      </c>
      <c r="F214">
        <f>SUM(AH214:AS214)</f>
        <v>0</v>
      </c>
      <c r="G214">
        <f>SUM(AT214:BE214)</f>
        <v>0</v>
      </c>
      <c r="H214">
        <f>B214-G213</f>
        <v>0</v>
      </c>
      <c r="I214">
        <f>B214-G214</f>
        <v>0</v>
      </c>
      <c r="J214">
        <f>IF(AT213&lt;=0,0,IF(ROUND(AT213*(1+'Calc base'!H214),2)-MAX('Calc base'!C$12,ROUND('Calc base'!C$13*AT213,2))&lt;1,ROUND(AT213*(1+'Calc base'!H214),2),MAX('Calc base'!C$12,ROUND('Calc base'!C$13*AT213,2))))</f>
        <v>0</v>
      </c>
      <c r="K214">
        <f>IF(AU213&lt;=0,0,IF(ROUND(AU213*(1+'Calc base'!I214),2)-MAX('Calc base'!D$12,ROUND('Calc base'!D$13*AU213,2))&lt;1,ROUND(AU213*(1+'Calc base'!I214),2),MAX('Calc base'!D$12,ROUND('Calc base'!D$13*AU213,2))))</f>
        <v>0</v>
      </c>
      <c r="L214">
        <f>IF(AV213&lt;=0,0,IF(ROUND(AV213*(1+'Calc base'!J214),2)-MAX('Calc base'!E$12,ROUND('Calc base'!E$13*AV213,2))&lt;1,ROUND(AV213*(1+'Calc base'!J214),2),MAX('Calc base'!E$12,ROUND('Calc base'!E$13*AV213,2))))</f>
        <v>0</v>
      </c>
      <c r="M214">
        <f>IF(AW213&lt;=0,0,IF(ROUND(AW213*(1+'Calc base'!K214),2)-MAX('Calc base'!F$12,ROUND('Calc base'!F$13*AW213,2))&lt;1,ROUND(AW213*(1+'Calc base'!K214),2),MAX('Calc base'!F$12,ROUND('Calc base'!F$13*AW213,2))))</f>
        <v>0</v>
      </c>
      <c r="N214">
        <f>IF(AX213&lt;=0,0,IF(ROUND(AX213*(1+'Calc base'!L214),2)-MAX('Calc base'!G$12,ROUND('Calc base'!G$13*AX213,2))&lt;1,ROUND(AX213*(1+'Calc base'!L214),2),MAX('Calc base'!G$12,ROUND('Calc base'!G$13*AX213,2))))</f>
        <v>0</v>
      </c>
      <c r="O214">
        <f>IF(AY213&lt;=0,0,IF(ROUND(AY213*(1+'Calc base'!M214),2)-MAX('Calc base'!H$12,ROUND('Calc base'!H$13*AY213,2))&lt;1,ROUND(AY213*(1+'Calc base'!M214),2),MAX('Calc base'!H$12,ROUND('Calc base'!H$13*AY213,2))))</f>
        <v>0</v>
      </c>
      <c r="P214">
        <f>IF(AZ213&lt;=0,0,IF(ROUND(AZ213*(1+'Calc base'!N214),2)-MAX('Calc base'!I$12,ROUND('Calc base'!I$13*AZ213,2))&lt;1,ROUND(AZ213*(1+'Calc base'!N214),2),MAX('Calc base'!I$12,ROUND('Calc base'!I$13*AZ213,2))))</f>
        <v>0</v>
      </c>
      <c r="Q214">
        <f>IF(BA213&lt;=0,0,IF(ROUND(BA213*(1+'Calc base'!O214),2)-MAX('Calc base'!J$12,ROUND('Calc base'!J$13*BA213,2))&lt;1,ROUND(BA213*(1+'Calc base'!O214),2),MAX('Calc base'!J$12,ROUND('Calc base'!J$13*BA213,2))))</f>
        <v>0</v>
      </c>
      <c r="R214">
        <f>IF(BB213&lt;=0,0,IF(ROUND(BB213*(1+'Calc base'!P214),2)-MAX('Calc base'!K$12,ROUND('Calc base'!K$13*BB213,2))&lt;1,ROUND(BB213*(1+'Calc base'!P214),2),MAX('Calc base'!K$12,ROUND('Calc base'!K$13*BB213,2))))</f>
        <v>0</v>
      </c>
      <c r="S214">
        <f>IF(BC213&lt;=0,0,IF(ROUND(BC213*(1+'Calc base'!Q214),2)-MAX('Calc base'!L$12,ROUND('Calc base'!L$13*BC213,2))&lt;1,ROUND(BC213*(1+'Calc base'!Q214),2),MAX('Calc base'!L$12,ROUND('Calc base'!L$13*BC213,2))))</f>
        <v>0</v>
      </c>
      <c r="T214">
        <f>IF(BD213&lt;=0,0,IF(ROUND(BD213*(1+'Calc base'!R214),2)-MAX('Calc base'!M$12,ROUND('Calc base'!M$13*BD213,2))&lt;1,ROUND(BD213*(1+'Calc base'!R214),2),MAX('Calc base'!M$12,ROUND('Calc base'!M$13*BD213,2))))</f>
        <v>0</v>
      </c>
      <c r="U214">
        <f>IF(BE213&lt;=0,0,IF(ROUND(BE213*(1+'Calc base'!S214),2)-MAX('Calc base'!N$12,ROUND('Calc base'!N$13*BE213,2))&lt;1,ROUND(BE213*(1+'Calc base'!S214),2),MAX('Calc base'!N$12,ROUND('Calc base'!N$13*BE213,2))))</f>
        <v>0</v>
      </c>
      <c r="V214">
        <f>MAX(0,ROUND(AT213*(1+'Calc base'!H214),2)-J214-'Calc base'!T214)</f>
        <v>0</v>
      </c>
      <c r="W214">
        <f>MAX(0,ROUND(AU213*(1+'Calc base'!I214),2)-K214-'Calc base'!U214)</f>
        <v>0</v>
      </c>
      <c r="X214">
        <f>MAX(0,ROUND(AV213*(1+'Calc base'!J214),2)-L214-'Calc base'!V214)</f>
        <v>0</v>
      </c>
      <c r="Y214">
        <f>MAX(0,ROUND(AW213*(1+'Calc base'!K214),2)-M214-'Calc base'!W214)</f>
        <v>0</v>
      </c>
      <c r="Z214">
        <f>MAX(0,ROUND(AX213*(1+'Calc base'!L214),2)-N214-'Calc base'!X214)</f>
        <v>0</v>
      </c>
      <c r="AA214">
        <f>MAX(0,ROUND(AY213*(1+'Calc base'!M214),2)-O214-'Calc base'!Y214)</f>
        <v>0</v>
      </c>
      <c r="AB214">
        <f>MAX(0,ROUND(AZ213*(1+'Calc base'!N214),2)-P214-'Calc base'!Z214)</f>
        <v>0</v>
      </c>
      <c r="AC214">
        <f>MAX(0,ROUND(BA213*(1+'Calc base'!O214),2)-Q214-'Calc base'!AA214)</f>
        <v>0</v>
      </c>
      <c r="AD214">
        <f>MAX(0,ROUND(BB213*(1+'Calc base'!P214),2)-R214-'Calc base'!AB214)</f>
        <v>0</v>
      </c>
      <c r="AE214">
        <f>MAX(0,ROUND(BC213*(1+'Calc base'!Q214),2)-S214-'Calc base'!AC214)</f>
        <v>0</v>
      </c>
      <c r="AF214">
        <f>MAX(0,ROUND(BD213*(1+'Calc base'!R214),2)-T214-'Calc base'!AD214)</f>
        <v>0</v>
      </c>
      <c r="AG214">
        <f>MAX(0,ROUND(BE213*(1+'Calc base'!S214),2)-U214-'Calc base'!AE214)</f>
        <v>0</v>
      </c>
      <c r="AH214">
        <f>IF('Calc base'!C$14=0,0,MIN(V214,MAX(0,$E214-SUMIFS($V214:$AG214,'Calc base'!$C$17:$N$17,"&lt;"&amp;'Calc base'!C$17,'Calc base'!$C$14:$N$14,1))))</f>
        <v>0</v>
      </c>
      <c r="AI214">
        <f>IF('Calc base'!D$14=0,0,MIN(W214,MAX(0,$E214-SUMIFS($V214:$AG214,'Calc base'!$C$17:$N$17,"&lt;"&amp;'Calc base'!D$17,'Calc base'!$C$14:$N$14,1))))</f>
        <v>0</v>
      </c>
      <c r="AJ214">
        <f>IF('Calc base'!E$14=0,0,MIN(X214,MAX(0,$E214-SUMIFS($V214:$AG214,'Calc base'!$C$17:$N$17,"&lt;"&amp;'Calc base'!E$17,'Calc base'!$C$14:$N$14,1))))</f>
        <v>0</v>
      </c>
      <c r="AK214">
        <f>IF('Calc base'!F$14=0,0,MIN(Y214,MAX(0,$E214-SUMIFS($V214:$AG214,'Calc base'!$C$17:$N$17,"&lt;"&amp;'Calc base'!F$17,'Calc base'!$C$14:$N$14,1))))</f>
        <v>0</v>
      </c>
      <c r="AL214">
        <f>IF('Calc base'!G$14=0,0,MIN(Z214,MAX(0,$E214-SUMIFS($V214:$AG214,'Calc base'!$C$17:$N$17,"&lt;"&amp;'Calc base'!G$17,'Calc base'!$C$14:$N$14,1))))</f>
        <v>0</v>
      </c>
      <c r="AM214">
        <f>IF('Calc base'!H$14=0,0,MIN(AA214,MAX(0,$E214-SUMIFS($V214:$AG214,'Calc base'!$C$17:$N$17,"&lt;"&amp;'Calc base'!H$17,'Calc base'!$C$14:$N$14,1))))</f>
        <v>0</v>
      </c>
      <c r="AN214">
        <f>IF('Calc base'!I$14=0,0,MIN(AB214,MAX(0,$E214-SUMIFS($V214:$AG214,'Calc base'!$C$17:$N$17,"&lt;"&amp;'Calc base'!I$17,'Calc base'!$C$14:$N$14,1))))</f>
        <v>0</v>
      </c>
      <c r="AO214">
        <f>IF('Calc base'!J$14=0,0,MIN(AC214,MAX(0,$E214-SUMIFS($V214:$AG214,'Calc base'!$C$17:$N$17,"&lt;"&amp;'Calc base'!J$17,'Calc base'!$C$14:$N$14,1))))</f>
        <v>0</v>
      </c>
      <c r="AP214">
        <f>IF('Calc base'!K$14=0,0,MIN(AD214,MAX(0,$E214-SUMIFS($V214:$AG214,'Calc base'!$C$17:$N$17,"&lt;"&amp;'Calc base'!K$17,'Calc base'!$C$14:$N$14,1))))</f>
        <v>0</v>
      </c>
      <c r="AQ214">
        <f>IF('Calc base'!L$14=0,0,MIN(AE214,MAX(0,$E214-SUMIFS($V214:$AG214,'Calc base'!$C$17:$N$17,"&lt;"&amp;'Calc base'!L$17,'Calc base'!$C$14:$N$14,1))))</f>
        <v>0</v>
      </c>
      <c r="AR214">
        <f>IF('Calc base'!M$14=0,0,MIN(AF214,MAX(0,$E214-SUMIFS($V214:$AG214,'Calc base'!$C$17:$N$17,"&lt;"&amp;'Calc base'!M$17,'Calc base'!$C$14:$N$14,1))))</f>
        <v>0</v>
      </c>
      <c r="AS214">
        <f>IF('Calc base'!N$14=0,0,MIN(AG214,MAX(0,$E214-SUMIFS($V214:$AG214,'Calc base'!$C$17:$N$17,"&lt;"&amp;'Calc base'!N$17,'Calc base'!$C$14:$N$14,1))))</f>
        <v>0</v>
      </c>
      <c r="AT214">
        <f>V214-AH214</f>
        <v>0</v>
      </c>
      <c r="AU214">
        <f>W214-AI214</f>
        <v>0</v>
      </c>
      <c r="AV214">
        <f>X214-AJ214</f>
        <v>0</v>
      </c>
      <c r="AW214">
        <f>Y214-AK214</f>
        <v>0</v>
      </c>
      <c r="AX214">
        <f>Z214-AL214</f>
        <v>0</v>
      </c>
      <c r="AY214">
        <f>AA214-AM214</f>
        <v>0</v>
      </c>
      <c r="AZ214">
        <f>AB214-AN214</f>
        <v>0</v>
      </c>
      <c r="BA214">
        <f>AC214-AO214</f>
        <v>0</v>
      </c>
      <c r="BB214">
        <f>AD214-AP214</f>
        <v>0</v>
      </c>
      <c r="BC214">
        <f>AE214-AQ214</f>
        <v>0</v>
      </c>
      <c r="BD214">
        <f>AF214-AR214</f>
        <v>0</v>
      </c>
      <c r="BE214">
        <f>AG214-AS214</f>
        <v>0</v>
      </c>
    </row>
    <row r="215">
      <c r="A215" t="n">
        <v>185</v>
      </c>
      <c r="B215">
        <f>SUMPRODUCT(ROUND($AT214:$BE214*(1+'Calc base'!$H215:$S215),2))</f>
        <v>0</v>
      </c>
      <c r="C215">
        <f>SUM(J215:U215)</f>
        <v>0</v>
      </c>
      <c r="D215">
        <f>SUM(V215:AG215)</f>
        <v>0</v>
      </c>
      <c r="E215">
        <f>MAX(0,IF(Impostazioni!$B$7="No",'Calc base'!$C215-$C$31,'Calc base'!$C215-C215)+'Calc base'!$G215+'Calc base'!$F215-(B215-C215-D215))</f>
        <v>900</v>
      </c>
      <c r="F215">
        <f>SUM(AH215:AS215)</f>
        <v>0</v>
      </c>
      <c r="G215">
        <f>SUM(AT215:BE215)</f>
        <v>0</v>
      </c>
      <c r="H215">
        <f>B215-G214</f>
        <v>0</v>
      </c>
      <c r="I215">
        <f>B215-G215</f>
        <v>0</v>
      </c>
      <c r="J215">
        <f>IF(AT214&lt;=0,0,IF(ROUND(AT214*(1+'Calc base'!H215),2)-MAX('Calc base'!C$12,ROUND('Calc base'!C$13*AT214,2))&lt;1,ROUND(AT214*(1+'Calc base'!H215),2),MAX('Calc base'!C$12,ROUND('Calc base'!C$13*AT214,2))))</f>
        <v>0</v>
      </c>
      <c r="K215">
        <f>IF(AU214&lt;=0,0,IF(ROUND(AU214*(1+'Calc base'!I215),2)-MAX('Calc base'!D$12,ROUND('Calc base'!D$13*AU214,2))&lt;1,ROUND(AU214*(1+'Calc base'!I215),2),MAX('Calc base'!D$12,ROUND('Calc base'!D$13*AU214,2))))</f>
        <v>0</v>
      </c>
      <c r="L215">
        <f>IF(AV214&lt;=0,0,IF(ROUND(AV214*(1+'Calc base'!J215),2)-MAX('Calc base'!E$12,ROUND('Calc base'!E$13*AV214,2))&lt;1,ROUND(AV214*(1+'Calc base'!J215),2),MAX('Calc base'!E$12,ROUND('Calc base'!E$13*AV214,2))))</f>
        <v>0</v>
      </c>
      <c r="M215">
        <f>IF(AW214&lt;=0,0,IF(ROUND(AW214*(1+'Calc base'!K215),2)-MAX('Calc base'!F$12,ROUND('Calc base'!F$13*AW214,2))&lt;1,ROUND(AW214*(1+'Calc base'!K215),2),MAX('Calc base'!F$12,ROUND('Calc base'!F$13*AW214,2))))</f>
        <v>0</v>
      </c>
      <c r="N215">
        <f>IF(AX214&lt;=0,0,IF(ROUND(AX214*(1+'Calc base'!L215),2)-MAX('Calc base'!G$12,ROUND('Calc base'!G$13*AX214,2))&lt;1,ROUND(AX214*(1+'Calc base'!L215),2),MAX('Calc base'!G$12,ROUND('Calc base'!G$13*AX214,2))))</f>
        <v>0</v>
      </c>
      <c r="O215">
        <f>IF(AY214&lt;=0,0,IF(ROUND(AY214*(1+'Calc base'!M215),2)-MAX('Calc base'!H$12,ROUND('Calc base'!H$13*AY214,2))&lt;1,ROUND(AY214*(1+'Calc base'!M215),2),MAX('Calc base'!H$12,ROUND('Calc base'!H$13*AY214,2))))</f>
        <v>0</v>
      </c>
      <c r="P215">
        <f>IF(AZ214&lt;=0,0,IF(ROUND(AZ214*(1+'Calc base'!N215),2)-MAX('Calc base'!I$12,ROUND('Calc base'!I$13*AZ214,2))&lt;1,ROUND(AZ214*(1+'Calc base'!N215),2),MAX('Calc base'!I$12,ROUND('Calc base'!I$13*AZ214,2))))</f>
        <v>0</v>
      </c>
      <c r="Q215">
        <f>IF(BA214&lt;=0,0,IF(ROUND(BA214*(1+'Calc base'!O215),2)-MAX('Calc base'!J$12,ROUND('Calc base'!J$13*BA214,2))&lt;1,ROUND(BA214*(1+'Calc base'!O215),2),MAX('Calc base'!J$12,ROUND('Calc base'!J$13*BA214,2))))</f>
        <v>0</v>
      </c>
      <c r="R215">
        <f>IF(BB214&lt;=0,0,IF(ROUND(BB214*(1+'Calc base'!P215),2)-MAX('Calc base'!K$12,ROUND('Calc base'!K$13*BB214,2))&lt;1,ROUND(BB214*(1+'Calc base'!P215),2),MAX('Calc base'!K$12,ROUND('Calc base'!K$13*BB214,2))))</f>
        <v>0</v>
      </c>
      <c r="S215">
        <f>IF(BC214&lt;=0,0,IF(ROUND(BC214*(1+'Calc base'!Q215),2)-MAX('Calc base'!L$12,ROUND('Calc base'!L$13*BC214,2))&lt;1,ROUND(BC214*(1+'Calc base'!Q215),2),MAX('Calc base'!L$12,ROUND('Calc base'!L$13*BC214,2))))</f>
        <v>0</v>
      </c>
      <c r="T215">
        <f>IF(BD214&lt;=0,0,IF(ROUND(BD214*(1+'Calc base'!R215),2)-MAX('Calc base'!M$12,ROUND('Calc base'!M$13*BD214,2))&lt;1,ROUND(BD214*(1+'Calc base'!R215),2),MAX('Calc base'!M$12,ROUND('Calc base'!M$13*BD214,2))))</f>
        <v>0</v>
      </c>
      <c r="U215">
        <f>IF(BE214&lt;=0,0,IF(ROUND(BE214*(1+'Calc base'!S215),2)-MAX('Calc base'!N$12,ROUND('Calc base'!N$13*BE214,2))&lt;1,ROUND(BE214*(1+'Calc base'!S215),2),MAX('Calc base'!N$12,ROUND('Calc base'!N$13*BE214,2))))</f>
        <v>0</v>
      </c>
      <c r="V215">
        <f>MAX(0,ROUND(AT214*(1+'Calc base'!H215),2)-J215-'Calc base'!T215)</f>
        <v>0</v>
      </c>
      <c r="W215">
        <f>MAX(0,ROUND(AU214*(1+'Calc base'!I215),2)-K215-'Calc base'!U215)</f>
        <v>0</v>
      </c>
      <c r="X215">
        <f>MAX(0,ROUND(AV214*(1+'Calc base'!J215),2)-L215-'Calc base'!V215)</f>
        <v>0</v>
      </c>
      <c r="Y215">
        <f>MAX(0,ROUND(AW214*(1+'Calc base'!K215),2)-M215-'Calc base'!W215)</f>
        <v>0</v>
      </c>
      <c r="Z215">
        <f>MAX(0,ROUND(AX214*(1+'Calc base'!L215),2)-N215-'Calc base'!X215)</f>
        <v>0</v>
      </c>
      <c r="AA215">
        <f>MAX(0,ROUND(AY214*(1+'Calc base'!M215),2)-O215-'Calc base'!Y215)</f>
        <v>0</v>
      </c>
      <c r="AB215">
        <f>MAX(0,ROUND(AZ214*(1+'Calc base'!N215),2)-P215-'Calc base'!Z215)</f>
        <v>0</v>
      </c>
      <c r="AC215">
        <f>MAX(0,ROUND(BA214*(1+'Calc base'!O215),2)-Q215-'Calc base'!AA215)</f>
        <v>0</v>
      </c>
      <c r="AD215">
        <f>MAX(0,ROUND(BB214*(1+'Calc base'!P215),2)-R215-'Calc base'!AB215)</f>
        <v>0</v>
      </c>
      <c r="AE215">
        <f>MAX(0,ROUND(BC214*(1+'Calc base'!Q215),2)-S215-'Calc base'!AC215)</f>
        <v>0</v>
      </c>
      <c r="AF215">
        <f>MAX(0,ROUND(BD214*(1+'Calc base'!R215),2)-T215-'Calc base'!AD215)</f>
        <v>0</v>
      </c>
      <c r="AG215">
        <f>MAX(0,ROUND(BE214*(1+'Calc base'!S215),2)-U215-'Calc base'!AE215)</f>
        <v>0</v>
      </c>
      <c r="AH215">
        <f>IF('Calc base'!C$14=0,0,MIN(V215,MAX(0,$E215-SUMIFS($V215:$AG215,'Calc base'!$C$17:$N$17,"&lt;"&amp;'Calc base'!C$17,'Calc base'!$C$14:$N$14,1))))</f>
        <v>0</v>
      </c>
      <c r="AI215">
        <f>IF('Calc base'!D$14=0,0,MIN(W215,MAX(0,$E215-SUMIFS($V215:$AG215,'Calc base'!$C$17:$N$17,"&lt;"&amp;'Calc base'!D$17,'Calc base'!$C$14:$N$14,1))))</f>
        <v>0</v>
      </c>
      <c r="AJ215">
        <f>IF('Calc base'!E$14=0,0,MIN(X215,MAX(0,$E215-SUMIFS($V215:$AG215,'Calc base'!$C$17:$N$17,"&lt;"&amp;'Calc base'!E$17,'Calc base'!$C$14:$N$14,1))))</f>
        <v>0</v>
      </c>
      <c r="AK215">
        <f>IF('Calc base'!F$14=0,0,MIN(Y215,MAX(0,$E215-SUMIFS($V215:$AG215,'Calc base'!$C$17:$N$17,"&lt;"&amp;'Calc base'!F$17,'Calc base'!$C$14:$N$14,1))))</f>
        <v>0</v>
      </c>
      <c r="AL215">
        <f>IF('Calc base'!G$14=0,0,MIN(Z215,MAX(0,$E215-SUMIFS($V215:$AG215,'Calc base'!$C$17:$N$17,"&lt;"&amp;'Calc base'!G$17,'Calc base'!$C$14:$N$14,1))))</f>
        <v>0</v>
      </c>
      <c r="AM215">
        <f>IF('Calc base'!H$14=0,0,MIN(AA215,MAX(0,$E215-SUMIFS($V215:$AG215,'Calc base'!$C$17:$N$17,"&lt;"&amp;'Calc base'!H$17,'Calc base'!$C$14:$N$14,1))))</f>
        <v>0</v>
      </c>
      <c r="AN215">
        <f>IF('Calc base'!I$14=0,0,MIN(AB215,MAX(0,$E215-SUMIFS($V215:$AG215,'Calc base'!$C$17:$N$17,"&lt;"&amp;'Calc base'!I$17,'Calc base'!$C$14:$N$14,1))))</f>
        <v>0</v>
      </c>
      <c r="AO215">
        <f>IF('Calc base'!J$14=0,0,MIN(AC215,MAX(0,$E215-SUMIFS($V215:$AG215,'Calc base'!$C$17:$N$17,"&lt;"&amp;'Calc base'!J$17,'Calc base'!$C$14:$N$14,1))))</f>
        <v>0</v>
      </c>
      <c r="AP215">
        <f>IF('Calc base'!K$14=0,0,MIN(AD215,MAX(0,$E215-SUMIFS($V215:$AG215,'Calc base'!$C$17:$N$17,"&lt;"&amp;'Calc base'!K$17,'Calc base'!$C$14:$N$14,1))))</f>
        <v>0</v>
      </c>
      <c r="AQ215">
        <f>IF('Calc base'!L$14=0,0,MIN(AE215,MAX(0,$E215-SUMIFS($V215:$AG215,'Calc base'!$C$17:$N$17,"&lt;"&amp;'Calc base'!L$17,'Calc base'!$C$14:$N$14,1))))</f>
        <v>0</v>
      </c>
      <c r="AR215">
        <f>IF('Calc base'!M$14=0,0,MIN(AF215,MAX(0,$E215-SUMIFS($V215:$AG215,'Calc base'!$C$17:$N$17,"&lt;"&amp;'Calc base'!M$17,'Calc base'!$C$14:$N$14,1))))</f>
        <v>0</v>
      </c>
      <c r="AS215">
        <f>IF('Calc base'!N$14=0,0,MIN(AG215,MAX(0,$E215-SUMIFS($V215:$AG215,'Calc base'!$C$17:$N$17,"&lt;"&amp;'Calc base'!N$17,'Calc base'!$C$14:$N$14,1))))</f>
        <v>0</v>
      </c>
      <c r="AT215">
        <f>V215-AH215</f>
        <v>0</v>
      </c>
      <c r="AU215">
        <f>W215-AI215</f>
        <v>0</v>
      </c>
      <c r="AV215">
        <f>X215-AJ215</f>
        <v>0</v>
      </c>
      <c r="AW215">
        <f>Y215-AK215</f>
        <v>0</v>
      </c>
      <c r="AX215">
        <f>Z215-AL215</f>
        <v>0</v>
      </c>
      <c r="AY215">
        <f>AA215-AM215</f>
        <v>0</v>
      </c>
      <c r="AZ215">
        <f>AB215-AN215</f>
        <v>0</v>
      </c>
      <c r="BA215">
        <f>AC215-AO215</f>
        <v>0</v>
      </c>
      <c r="BB215">
        <f>AD215-AP215</f>
        <v>0</v>
      </c>
      <c r="BC215">
        <f>AE215-AQ215</f>
        <v>0</v>
      </c>
      <c r="BD215">
        <f>AF215-AR215</f>
        <v>0</v>
      </c>
      <c r="BE215">
        <f>AG215-AS215</f>
        <v>0</v>
      </c>
    </row>
    <row r="216">
      <c r="A216" t="n">
        <v>186</v>
      </c>
      <c r="B216">
        <f>SUMPRODUCT(ROUND($AT215:$BE215*(1+'Calc base'!$H216:$S216),2))</f>
        <v>0</v>
      </c>
      <c r="C216">
        <f>SUM(J216:U216)</f>
        <v>0</v>
      </c>
      <c r="D216">
        <f>SUM(V216:AG216)</f>
        <v>0</v>
      </c>
      <c r="E216">
        <f>MAX(0,IF(Impostazioni!$B$7="No",'Calc base'!$C216-$C$31,'Calc base'!$C216-C216)+'Calc base'!$G216+'Calc base'!$F216-(B216-C216-D216))</f>
        <v>900</v>
      </c>
      <c r="F216">
        <f>SUM(AH216:AS216)</f>
        <v>0</v>
      </c>
      <c r="G216">
        <f>SUM(AT216:BE216)</f>
        <v>0</v>
      </c>
      <c r="H216">
        <f>B216-G215</f>
        <v>0</v>
      </c>
      <c r="I216">
        <f>B216-G216</f>
        <v>0</v>
      </c>
      <c r="J216">
        <f>IF(AT215&lt;=0,0,IF(ROUND(AT215*(1+'Calc base'!H216),2)-MAX('Calc base'!C$12,ROUND('Calc base'!C$13*AT215,2))&lt;1,ROUND(AT215*(1+'Calc base'!H216),2),MAX('Calc base'!C$12,ROUND('Calc base'!C$13*AT215,2))))</f>
        <v>0</v>
      </c>
      <c r="K216">
        <f>IF(AU215&lt;=0,0,IF(ROUND(AU215*(1+'Calc base'!I216),2)-MAX('Calc base'!D$12,ROUND('Calc base'!D$13*AU215,2))&lt;1,ROUND(AU215*(1+'Calc base'!I216),2),MAX('Calc base'!D$12,ROUND('Calc base'!D$13*AU215,2))))</f>
        <v>0</v>
      </c>
      <c r="L216">
        <f>IF(AV215&lt;=0,0,IF(ROUND(AV215*(1+'Calc base'!J216),2)-MAX('Calc base'!E$12,ROUND('Calc base'!E$13*AV215,2))&lt;1,ROUND(AV215*(1+'Calc base'!J216),2),MAX('Calc base'!E$12,ROUND('Calc base'!E$13*AV215,2))))</f>
        <v>0</v>
      </c>
      <c r="M216">
        <f>IF(AW215&lt;=0,0,IF(ROUND(AW215*(1+'Calc base'!K216),2)-MAX('Calc base'!F$12,ROUND('Calc base'!F$13*AW215,2))&lt;1,ROUND(AW215*(1+'Calc base'!K216),2),MAX('Calc base'!F$12,ROUND('Calc base'!F$13*AW215,2))))</f>
        <v>0</v>
      </c>
      <c r="N216">
        <f>IF(AX215&lt;=0,0,IF(ROUND(AX215*(1+'Calc base'!L216),2)-MAX('Calc base'!G$12,ROUND('Calc base'!G$13*AX215,2))&lt;1,ROUND(AX215*(1+'Calc base'!L216),2),MAX('Calc base'!G$12,ROUND('Calc base'!G$13*AX215,2))))</f>
        <v>0</v>
      </c>
      <c r="O216">
        <f>IF(AY215&lt;=0,0,IF(ROUND(AY215*(1+'Calc base'!M216),2)-MAX('Calc base'!H$12,ROUND('Calc base'!H$13*AY215,2))&lt;1,ROUND(AY215*(1+'Calc base'!M216),2),MAX('Calc base'!H$12,ROUND('Calc base'!H$13*AY215,2))))</f>
        <v>0</v>
      </c>
      <c r="P216">
        <f>IF(AZ215&lt;=0,0,IF(ROUND(AZ215*(1+'Calc base'!N216),2)-MAX('Calc base'!I$12,ROUND('Calc base'!I$13*AZ215,2))&lt;1,ROUND(AZ215*(1+'Calc base'!N216),2),MAX('Calc base'!I$12,ROUND('Calc base'!I$13*AZ215,2))))</f>
        <v>0</v>
      </c>
      <c r="Q216">
        <f>IF(BA215&lt;=0,0,IF(ROUND(BA215*(1+'Calc base'!O216),2)-MAX('Calc base'!J$12,ROUND('Calc base'!J$13*BA215,2))&lt;1,ROUND(BA215*(1+'Calc base'!O216),2),MAX('Calc base'!J$12,ROUND('Calc base'!J$13*BA215,2))))</f>
        <v>0</v>
      </c>
      <c r="R216">
        <f>IF(BB215&lt;=0,0,IF(ROUND(BB215*(1+'Calc base'!P216),2)-MAX('Calc base'!K$12,ROUND('Calc base'!K$13*BB215,2))&lt;1,ROUND(BB215*(1+'Calc base'!P216),2),MAX('Calc base'!K$12,ROUND('Calc base'!K$13*BB215,2))))</f>
        <v>0</v>
      </c>
      <c r="S216">
        <f>IF(BC215&lt;=0,0,IF(ROUND(BC215*(1+'Calc base'!Q216),2)-MAX('Calc base'!L$12,ROUND('Calc base'!L$13*BC215,2))&lt;1,ROUND(BC215*(1+'Calc base'!Q216),2),MAX('Calc base'!L$12,ROUND('Calc base'!L$13*BC215,2))))</f>
        <v>0</v>
      </c>
      <c r="T216">
        <f>IF(BD215&lt;=0,0,IF(ROUND(BD215*(1+'Calc base'!R216),2)-MAX('Calc base'!M$12,ROUND('Calc base'!M$13*BD215,2))&lt;1,ROUND(BD215*(1+'Calc base'!R216),2),MAX('Calc base'!M$12,ROUND('Calc base'!M$13*BD215,2))))</f>
        <v>0</v>
      </c>
      <c r="U216">
        <f>IF(BE215&lt;=0,0,IF(ROUND(BE215*(1+'Calc base'!S216),2)-MAX('Calc base'!N$12,ROUND('Calc base'!N$13*BE215,2))&lt;1,ROUND(BE215*(1+'Calc base'!S216),2),MAX('Calc base'!N$12,ROUND('Calc base'!N$13*BE215,2))))</f>
        <v>0</v>
      </c>
      <c r="V216">
        <f>MAX(0,ROUND(AT215*(1+'Calc base'!H216),2)-J216-'Calc base'!T216)</f>
        <v>0</v>
      </c>
      <c r="W216">
        <f>MAX(0,ROUND(AU215*(1+'Calc base'!I216),2)-K216-'Calc base'!U216)</f>
        <v>0</v>
      </c>
      <c r="X216">
        <f>MAX(0,ROUND(AV215*(1+'Calc base'!J216),2)-L216-'Calc base'!V216)</f>
        <v>0</v>
      </c>
      <c r="Y216">
        <f>MAX(0,ROUND(AW215*(1+'Calc base'!K216),2)-M216-'Calc base'!W216)</f>
        <v>0</v>
      </c>
      <c r="Z216">
        <f>MAX(0,ROUND(AX215*(1+'Calc base'!L216),2)-N216-'Calc base'!X216)</f>
        <v>0</v>
      </c>
      <c r="AA216">
        <f>MAX(0,ROUND(AY215*(1+'Calc base'!M216),2)-O216-'Calc base'!Y216)</f>
        <v>0</v>
      </c>
      <c r="AB216">
        <f>MAX(0,ROUND(AZ215*(1+'Calc base'!N216),2)-P216-'Calc base'!Z216)</f>
        <v>0</v>
      </c>
      <c r="AC216">
        <f>MAX(0,ROUND(BA215*(1+'Calc base'!O216),2)-Q216-'Calc base'!AA216)</f>
        <v>0</v>
      </c>
      <c r="AD216">
        <f>MAX(0,ROUND(BB215*(1+'Calc base'!P216),2)-R216-'Calc base'!AB216)</f>
        <v>0</v>
      </c>
      <c r="AE216">
        <f>MAX(0,ROUND(BC215*(1+'Calc base'!Q216),2)-S216-'Calc base'!AC216)</f>
        <v>0</v>
      </c>
      <c r="AF216">
        <f>MAX(0,ROUND(BD215*(1+'Calc base'!R216),2)-T216-'Calc base'!AD216)</f>
        <v>0</v>
      </c>
      <c r="AG216">
        <f>MAX(0,ROUND(BE215*(1+'Calc base'!S216),2)-U216-'Calc base'!AE216)</f>
        <v>0</v>
      </c>
      <c r="AH216">
        <f>IF('Calc base'!C$14=0,0,MIN(V216,MAX(0,$E216-SUMIFS($V216:$AG216,'Calc base'!$C$17:$N$17,"&lt;"&amp;'Calc base'!C$17,'Calc base'!$C$14:$N$14,1))))</f>
        <v>0</v>
      </c>
      <c r="AI216">
        <f>IF('Calc base'!D$14=0,0,MIN(W216,MAX(0,$E216-SUMIFS($V216:$AG216,'Calc base'!$C$17:$N$17,"&lt;"&amp;'Calc base'!D$17,'Calc base'!$C$14:$N$14,1))))</f>
        <v>0</v>
      </c>
      <c r="AJ216">
        <f>IF('Calc base'!E$14=0,0,MIN(X216,MAX(0,$E216-SUMIFS($V216:$AG216,'Calc base'!$C$17:$N$17,"&lt;"&amp;'Calc base'!E$17,'Calc base'!$C$14:$N$14,1))))</f>
        <v>0</v>
      </c>
      <c r="AK216">
        <f>IF('Calc base'!F$14=0,0,MIN(Y216,MAX(0,$E216-SUMIFS($V216:$AG216,'Calc base'!$C$17:$N$17,"&lt;"&amp;'Calc base'!F$17,'Calc base'!$C$14:$N$14,1))))</f>
        <v>0</v>
      </c>
      <c r="AL216">
        <f>IF('Calc base'!G$14=0,0,MIN(Z216,MAX(0,$E216-SUMIFS($V216:$AG216,'Calc base'!$C$17:$N$17,"&lt;"&amp;'Calc base'!G$17,'Calc base'!$C$14:$N$14,1))))</f>
        <v>0</v>
      </c>
      <c r="AM216">
        <f>IF('Calc base'!H$14=0,0,MIN(AA216,MAX(0,$E216-SUMIFS($V216:$AG216,'Calc base'!$C$17:$N$17,"&lt;"&amp;'Calc base'!H$17,'Calc base'!$C$14:$N$14,1))))</f>
        <v>0</v>
      </c>
      <c r="AN216">
        <f>IF('Calc base'!I$14=0,0,MIN(AB216,MAX(0,$E216-SUMIFS($V216:$AG216,'Calc base'!$C$17:$N$17,"&lt;"&amp;'Calc base'!I$17,'Calc base'!$C$14:$N$14,1))))</f>
        <v>0</v>
      </c>
      <c r="AO216">
        <f>IF('Calc base'!J$14=0,0,MIN(AC216,MAX(0,$E216-SUMIFS($V216:$AG216,'Calc base'!$C$17:$N$17,"&lt;"&amp;'Calc base'!J$17,'Calc base'!$C$14:$N$14,1))))</f>
        <v>0</v>
      </c>
      <c r="AP216">
        <f>IF('Calc base'!K$14=0,0,MIN(AD216,MAX(0,$E216-SUMIFS($V216:$AG216,'Calc base'!$C$17:$N$17,"&lt;"&amp;'Calc base'!K$17,'Calc base'!$C$14:$N$14,1))))</f>
        <v>0</v>
      </c>
      <c r="AQ216">
        <f>IF('Calc base'!L$14=0,0,MIN(AE216,MAX(0,$E216-SUMIFS($V216:$AG216,'Calc base'!$C$17:$N$17,"&lt;"&amp;'Calc base'!L$17,'Calc base'!$C$14:$N$14,1))))</f>
        <v>0</v>
      </c>
      <c r="AR216">
        <f>IF('Calc base'!M$14=0,0,MIN(AF216,MAX(0,$E216-SUMIFS($V216:$AG216,'Calc base'!$C$17:$N$17,"&lt;"&amp;'Calc base'!M$17,'Calc base'!$C$14:$N$14,1))))</f>
        <v>0</v>
      </c>
      <c r="AS216">
        <f>IF('Calc base'!N$14=0,0,MIN(AG216,MAX(0,$E216-SUMIFS($V216:$AG216,'Calc base'!$C$17:$N$17,"&lt;"&amp;'Calc base'!N$17,'Calc base'!$C$14:$N$14,1))))</f>
        <v>0</v>
      </c>
      <c r="AT216">
        <f>V216-AH216</f>
        <v>0</v>
      </c>
      <c r="AU216">
        <f>W216-AI216</f>
        <v>0</v>
      </c>
      <c r="AV216">
        <f>X216-AJ216</f>
        <v>0</v>
      </c>
      <c r="AW216">
        <f>Y216-AK216</f>
        <v>0</v>
      </c>
      <c r="AX216">
        <f>Z216-AL216</f>
        <v>0</v>
      </c>
      <c r="AY216">
        <f>AA216-AM216</f>
        <v>0</v>
      </c>
      <c r="AZ216">
        <f>AB216-AN216</f>
        <v>0</v>
      </c>
      <c r="BA216">
        <f>AC216-AO216</f>
        <v>0</v>
      </c>
      <c r="BB216">
        <f>AD216-AP216</f>
        <v>0</v>
      </c>
      <c r="BC216">
        <f>AE216-AQ216</f>
        <v>0</v>
      </c>
      <c r="BD216">
        <f>AF216-AR216</f>
        <v>0</v>
      </c>
      <c r="BE216">
        <f>AG216-AS216</f>
        <v>0</v>
      </c>
    </row>
    <row r="217">
      <c r="A217" t="n">
        <v>187</v>
      </c>
      <c r="B217">
        <f>SUMPRODUCT(ROUND($AT216:$BE216*(1+'Calc base'!$H217:$S217),2))</f>
        <v>0</v>
      </c>
      <c r="C217">
        <f>SUM(J217:U217)</f>
        <v>0</v>
      </c>
      <c r="D217">
        <f>SUM(V217:AG217)</f>
        <v>0</v>
      </c>
      <c r="E217">
        <f>MAX(0,IF(Impostazioni!$B$7="No",'Calc base'!$C217-$C$31,'Calc base'!$C217-C217)+'Calc base'!$G217+'Calc base'!$F217-(B217-C217-D217))</f>
        <v>900</v>
      </c>
      <c r="F217">
        <f>SUM(AH217:AS217)</f>
        <v>0</v>
      </c>
      <c r="G217">
        <f>SUM(AT217:BE217)</f>
        <v>0</v>
      </c>
      <c r="H217">
        <f>B217-G216</f>
        <v>0</v>
      </c>
      <c r="I217">
        <f>B217-G217</f>
        <v>0</v>
      </c>
      <c r="J217">
        <f>IF(AT216&lt;=0,0,IF(ROUND(AT216*(1+'Calc base'!H217),2)-MAX('Calc base'!C$12,ROUND('Calc base'!C$13*AT216,2))&lt;1,ROUND(AT216*(1+'Calc base'!H217),2),MAX('Calc base'!C$12,ROUND('Calc base'!C$13*AT216,2))))</f>
        <v>0</v>
      </c>
      <c r="K217">
        <f>IF(AU216&lt;=0,0,IF(ROUND(AU216*(1+'Calc base'!I217),2)-MAX('Calc base'!D$12,ROUND('Calc base'!D$13*AU216,2))&lt;1,ROUND(AU216*(1+'Calc base'!I217),2),MAX('Calc base'!D$12,ROUND('Calc base'!D$13*AU216,2))))</f>
        <v>0</v>
      </c>
      <c r="L217">
        <f>IF(AV216&lt;=0,0,IF(ROUND(AV216*(1+'Calc base'!J217),2)-MAX('Calc base'!E$12,ROUND('Calc base'!E$13*AV216,2))&lt;1,ROUND(AV216*(1+'Calc base'!J217),2),MAX('Calc base'!E$12,ROUND('Calc base'!E$13*AV216,2))))</f>
        <v>0</v>
      </c>
      <c r="M217">
        <f>IF(AW216&lt;=0,0,IF(ROUND(AW216*(1+'Calc base'!K217),2)-MAX('Calc base'!F$12,ROUND('Calc base'!F$13*AW216,2))&lt;1,ROUND(AW216*(1+'Calc base'!K217),2),MAX('Calc base'!F$12,ROUND('Calc base'!F$13*AW216,2))))</f>
        <v>0</v>
      </c>
      <c r="N217">
        <f>IF(AX216&lt;=0,0,IF(ROUND(AX216*(1+'Calc base'!L217),2)-MAX('Calc base'!G$12,ROUND('Calc base'!G$13*AX216,2))&lt;1,ROUND(AX216*(1+'Calc base'!L217),2),MAX('Calc base'!G$12,ROUND('Calc base'!G$13*AX216,2))))</f>
        <v>0</v>
      </c>
      <c r="O217">
        <f>IF(AY216&lt;=0,0,IF(ROUND(AY216*(1+'Calc base'!M217),2)-MAX('Calc base'!H$12,ROUND('Calc base'!H$13*AY216,2))&lt;1,ROUND(AY216*(1+'Calc base'!M217),2),MAX('Calc base'!H$12,ROUND('Calc base'!H$13*AY216,2))))</f>
        <v>0</v>
      </c>
      <c r="P217">
        <f>IF(AZ216&lt;=0,0,IF(ROUND(AZ216*(1+'Calc base'!N217),2)-MAX('Calc base'!I$12,ROUND('Calc base'!I$13*AZ216,2))&lt;1,ROUND(AZ216*(1+'Calc base'!N217),2),MAX('Calc base'!I$12,ROUND('Calc base'!I$13*AZ216,2))))</f>
        <v>0</v>
      </c>
      <c r="Q217">
        <f>IF(BA216&lt;=0,0,IF(ROUND(BA216*(1+'Calc base'!O217),2)-MAX('Calc base'!J$12,ROUND('Calc base'!J$13*BA216,2))&lt;1,ROUND(BA216*(1+'Calc base'!O217),2),MAX('Calc base'!J$12,ROUND('Calc base'!J$13*BA216,2))))</f>
        <v>0</v>
      </c>
      <c r="R217">
        <f>IF(BB216&lt;=0,0,IF(ROUND(BB216*(1+'Calc base'!P217),2)-MAX('Calc base'!K$12,ROUND('Calc base'!K$13*BB216,2))&lt;1,ROUND(BB216*(1+'Calc base'!P217),2),MAX('Calc base'!K$12,ROUND('Calc base'!K$13*BB216,2))))</f>
        <v>0</v>
      </c>
      <c r="S217">
        <f>IF(BC216&lt;=0,0,IF(ROUND(BC216*(1+'Calc base'!Q217),2)-MAX('Calc base'!L$12,ROUND('Calc base'!L$13*BC216,2))&lt;1,ROUND(BC216*(1+'Calc base'!Q217),2),MAX('Calc base'!L$12,ROUND('Calc base'!L$13*BC216,2))))</f>
        <v>0</v>
      </c>
      <c r="T217">
        <f>IF(BD216&lt;=0,0,IF(ROUND(BD216*(1+'Calc base'!R217),2)-MAX('Calc base'!M$12,ROUND('Calc base'!M$13*BD216,2))&lt;1,ROUND(BD216*(1+'Calc base'!R217),2),MAX('Calc base'!M$12,ROUND('Calc base'!M$13*BD216,2))))</f>
        <v>0</v>
      </c>
      <c r="U217">
        <f>IF(BE216&lt;=0,0,IF(ROUND(BE216*(1+'Calc base'!S217),2)-MAX('Calc base'!N$12,ROUND('Calc base'!N$13*BE216,2))&lt;1,ROUND(BE216*(1+'Calc base'!S217),2),MAX('Calc base'!N$12,ROUND('Calc base'!N$13*BE216,2))))</f>
        <v>0</v>
      </c>
      <c r="V217">
        <f>MAX(0,ROUND(AT216*(1+'Calc base'!H217),2)-J217-'Calc base'!T217)</f>
        <v>0</v>
      </c>
      <c r="W217">
        <f>MAX(0,ROUND(AU216*(1+'Calc base'!I217),2)-K217-'Calc base'!U217)</f>
        <v>0</v>
      </c>
      <c r="X217">
        <f>MAX(0,ROUND(AV216*(1+'Calc base'!J217),2)-L217-'Calc base'!V217)</f>
        <v>0</v>
      </c>
      <c r="Y217">
        <f>MAX(0,ROUND(AW216*(1+'Calc base'!K217),2)-M217-'Calc base'!W217)</f>
        <v>0</v>
      </c>
      <c r="Z217">
        <f>MAX(0,ROUND(AX216*(1+'Calc base'!L217),2)-N217-'Calc base'!X217)</f>
        <v>0</v>
      </c>
      <c r="AA217">
        <f>MAX(0,ROUND(AY216*(1+'Calc base'!M217),2)-O217-'Calc base'!Y217)</f>
        <v>0</v>
      </c>
      <c r="AB217">
        <f>MAX(0,ROUND(AZ216*(1+'Calc base'!N217),2)-P217-'Calc base'!Z217)</f>
        <v>0</v>
      </c>
      <c r="AC217">
        <f>MAX(0,ROUND(BA216*(1+'Calc base'!O217),2)-Q217-'Calc base'!AA217)</f>
        <v>0</v>
      </c>
      <c r="AD217">
        <f>MAX(0,ROUND(BB216*(1+'Calc base'!P217),2)-R217-'Calc base'!AB217)</f>
        <v>0</v>
      </c>
      <c r="AE217">
        <f>MAX(0,ROUND(BC216*(1+'Calc base'!Q217),2)-S217-'Calc base'!AC217)</f>
        <v>0</v>
      </c>
      <c r="AF217">
        <f>MAX(0,ROUND(BD216*(1+'Calc base'!R217),2)-T217-'Calc base'!AD217)</f>
        <v>0</v>
      </c>
      <c r="AG217">
        <f>MAX(0,ROUND(BE216*(1+'Calc base'!S217),2)-U217-'Calc base'!AE217)</f>
        <v>0</v>
      </c>
      <c r="AH217">
        <f>IF('Calc base'!C$14=0,0,MIN(V217,MAX(0,$E217-SUMIFS($V217:$AG217,'Calc base'!$C$17:$N$17,"&lt;"&amp;'Calc base'!C$17,'Calc base'!$C$14:$N$14,1))))</f>
        <v>0</v>
      </c>
      <c r="AI217">
        <f>IF('Calc base'!D$14=0,0,MIN(W217,MAX(0,$E217-SUMIFS($V217:$AG217,'Calc base'!$C$17:$N$17,"&lt;"&amp;'Calc base'!D$17,'Calc base'!$C$14:$N$14,1))))</f>
        <v>0</v>
      </c>
      <c r="AJ217">
        <f>IF('Calc base'!E$14=0,0,MIN(X217,MAX(0,$E217-SUMIFS($V217:$AG217,'Calc base'!$C$17:$N$17,"&lt;"&amp;'Calc base'!E$17,'Calc base'!$C$14:$N$14,1))))</f>
        <v>0</v>
      </c>
      <c r="AK217">
        <f>IF('Calc base'!F$14=0,0,MIN(Y217,MAX(0,$E217-SUMIFS($V217:$AG217,'Calc base'!$C$17:$N$17,"&lt;"&amp;'Calc base'!F$17,'Calc base'!$C$14:$N$14,1))))</f>
        <v>0</v>
      </c>
      <c r="AL217">
        <f>IF('Calc base'!G$14=0,0,MIN(Z217,MAX(0,$E217-SUMIFS($V217:$AG217,'Calc base'!$C$17:$N$17,"&lt;"&amp;'Calc base'!G$17,'Calc base'!$C$14:$N$14,1))))</f>
        <v>0</v>
      </c>
      <c r="AM217">
        <f>IF('Calc base'!H$14=0,0,MIN(AA217,MAX(0,$E217-SUMIFS($V217:$AG217,'Calc base'!$C$17:$N$17,"&lt;"&amp;'Calc base'!H$17,'Calc base'!$C$14:$N$14,1))))</f>
        <v>0</v>
      </c>
      <c r="AN217">
        <f>IF('Calc base'!I$14=0,0,MIN(AB217,MAX(0,$E217-SUMIFS($V217:$AG217,'Calc base'!$C$17:$N$17,"&lt;"&amp;'Calc base'!I$17,'Calc base'!$C$14:$N$14,1))))</f>
        <v>0</v>
      </c>
      <c r="AO217">
        <f>IF('Calc base'!J$14=0,0,MIN(AC217,MAX(0,$E217-SUMIFS($V217:$AG217,'Calc base'!$C$17:$N$17,"&lt;"&amp;'Calc base'!J$17,'Calc base'!$C$14:$N$14,1))))</f>
        <v>0</v>
      </c>
      <c r="AP217">
        <f>IF('Calc base'!K$14=0,0,MIN(AD217,MAX(0,$E217-SUMIFS($V217:$AG217,'Calc base'!$C$17:$N$17,"&lt;"&amp;'Calc base'!K$17,'Calc base'!$C$14:$N$14,1))))</f>
        <v>0</v>
      </c>
      <c r="AQ217">
        <f>IF('Calc base'!L$14=0,0,MIN(AE217,MAX(0,$E217-SUMIFS($V217:$AG217,'Calc base'!$C$17:$N$17,"&lt;"&amp;'Calc base'!L$17,'Calc base'!$C$14:$N$14,1))))</f>
        <v>0</v>
      </c>
      <c r="AR217">
        <f>IF('Calc base'!M$14=0,0,MIN(AF217,MAX(0,$E217-SUMIFS($V217:$AG217,'Calc base'!$C$17:$N$17,"&lt;"&amp;'Calc base'!M$17,'Calc base'!$C$14:$N$14,1))))</f>
        <v>0</v>
      </c>
      <c r="AS217">
        <f>IF('Calc base'!N$14=0,0,MIN(AG217,MAX(0,$E217-SUMIFS($V217:$AG217,'Calc base'!$C$17:$N$17,"&lt;"&amp;'Calc base'!N$17,'Calc base'!$C$14:$N$14,1))))</f>
        <v>0</v>
      </c>
      <c r="AT217">
        <f>V217-AH217</f>
        <v>0</v>
      </c>
      <c r="AU217">
        <f>W217-AI217</f>
        <v>0</v>
      </c>
      <c r="AV217">
        <f>X217-AJ217</f>
        <v>0</v>
      </c>
      <c r="AW217">
        <f>Y217-AK217</f>
        <v>0</v>
      </c>
      <c r="AX217">
        <f>Z217-AL217</f>
        <v>0</v>
      </c>
      <c r="AY217">
        <f>AA217-AM217</f>
        <v>0</v>
      </c>
      <c r="AZ217">
        <f>AB217-AN217</f>
        <v>0</v>
      </c>
      <c r="BA217">
        <f>AC217-AO217</f>
        <v>0</v>
      </c>
      <c r="BB217">
        <f>AD217-AP217</f>
        <v>0</v>
      </c>
      <c r="BC217">
        <f>AE217-AQ217</f>
        <v>0</v>
      </c>
      <c r="BD217">
        <f>AF217-AR217</f>
        <v>0</v>
      </c>
      <c r="BE217">
        <f>AG217-AS217</f>
        <v>0</v>
      </c>
    </row>
    <row r="218">
      <c r="A218" t="n">
        <v>188</v>
      </c>
      <c r="B218">
        <f>SUMPRODUCT(ROUND($AT217:$BE217*(1+'Calc base'!$H218:$S218),2))</f>
        <v>0</v>
      </c>
      <c r="C218">
        <f>SUM(J218:U218)</f>
        <v>0</v>
      </c>
      <c r="D218">
        <f>SUM(V218:AG218)</f>
        <v>0</v>
      </c>
      <c r="E218">
        <f>MAX(0,IF(Impostazioni!$B$7="No",'Calc base'!$C218-$C$31,'Calc base'!$C218-C218)+'Calc base'!$G218+'Calc base'!$F218-(B218-C218-D218))</f>
        <v>900</v>
      </c>
      <c r="F218">
        <f>SUM(AH218:AS218)</f>
        <v>0</v>
      </c>
      <c r="G218">
        <f>SUM(AT218:BE218)</f>
        <v>0</v>
      </c>
      <c r="H218">
        <f>B218-G217</f>
        <v>0</v>
      </c>
      <c r="I218">
        <f>B218-G218</f>
        <v>0</v>
      </c>
      <c r="J218">
        <f>IF(AT217&lt;=0,0,IF(ROUND(AT217*(1+'Calc base'!H218),2)-MAX('Calc base'!C$12,ROUND('Calc base'!C$13*AT217,2))&lt;1,ROUND(AT217*(1+'Calc base'!H218),2),MAX('Calc base'!C$12,ROUND('Calc base'!C$13*AT217,2))))</f>
        <v>0</v>
      </c>
      <c r="K218">
        <f>IF(AU217&lt;=0,0,IF(ROUND(AU217*(1+'Calc base'!I218),2)-MAX('Calc base'!D$12,ROUND('Calc base'!D$13*AU217,2))&lt;1,ROUND(AU217*(1+'Calc base'!I218),2),MAX('Calc base'!D$12,ROUND('Calc base'!D$13*AU217,2))))</f>
        <v>0</v>
      </c>
      <c r="L218">
        <f>IF(AV217&lt;=0,0,IF(ROUND(AV217*(1+'Calc base'!J218),2)-MAX('Calc base'!E$12,ROUND('Calc base'!E$13*AV217,2))&lt;1,ROUND(AV217*(1+'Calc base'!J218),2),MAX('Calc base'!E$12,ROUND('Calc base'!E$13*AV217,2))))</f>
        <v>0</v>
      </c>
      <c r="M218">
        <f>IF(AW217&lt;=0,0,IF(ROUND(AW217*(1+'Calc base'!K218),2)-MAX('Calc base'!F$12,ROUND('Calc base'!F$13*AW217,2))&lt;1,ROUND(AW217*(1+'Calc base'!K218),2),MAX('Calc base'!F$12,ROUND('Calc base'!F$13*AW217,2))))</f>
        <v>0</v>
      </c>
      <c r="N218">
        <f>IF(AX217&lt;=0,0,IF(ROUND(AX217*(1+'Calc base'!L218),2)-MAX('Calc base'!G$12,ROUND('Calc base'!G$13*AX217,2))&lt;1,ROUND(AX217*(1+'Calc base'!L218),2),MAX('Calc base'!G$12,ROUND('Calc base'!G$13*AX217,2))))</f>
        <v>0</v>
      </c>
      <c r="O218">
        <f>IF(AY217&lt;=0,0,IF(ROUND(AY217*(1+'Calc base'!M218),2)-MAX('Calc base'!H$12,ROUND('Calc base'!H$13*AY217,2))&lt;1,ROUND(AY217*(1+'Calc base'!M218),2),MAX('Calc base'!H$12,ROUND('Calc base'!H$13*AY217,2))))</f>
        <v>0</v>
      </c>
      <c r="P218">
        <f>IF(AZ217&lt;=0,0,IF(ROUND(AZ217*(1+'Calc base'!N218),2)-MAX('Calc base'!I$12,ROUND('Calc base'!I$13*AZ217,2))&lt;1,ROUND(AZ217*(1+'Calc base'!N218),2),MAX('Calc base'!I$12,ROUND('Calc base'!I$13*AZ217,2))))</f>
        <v>0</v>
      </c>
      <c r="Q218">
        <f>IF(BA217&lt;=0,0,IF(ROUND(BA217*(1+'Calc base'!O218),2)-MAX('Calc base'!J$12,ROUND('Calc base'!J$13*BA217,2))&lt;1,ROUND(BA217*(1+'Calc base'!O218),2),MAX('Calc base'!J$12,ROUND('Calc base'!J$13*BA217,2))))</f>
        <v>0</v>
      </c>
      <c r="R218">
        <f>IF(BB217&lt;=0,0,IF(ROUND(BB217*(1+'Calc base'!P218),2)-MAX('Calc base'!K$12,ROUND('Calc base'!K$13*BB217,2))&lt;1,ROUND(BB217*(1+'Calc base'!P218),2),MAX('Calc base'!K$12,ROUND('Calc base'!K$13*BB217,2))))</f>
        <v>0</v>
      </c>
      <c r="S218">
        <f>IF(BC217&lt;=0,0,IF(ROUND(BC217*(1+'Calc base'!Q218),2)-MAX('Calc base'!L$12,ROUND('Calc base'!L$13*BC217,2))&lt;1,ROUND(BC217*(1+'Calc base'!Q218),2),MAX('Calc base'!L$12,ROUND('Calc base'!L$13*BC217,2))))</f>
        <v>0</v>
      </c>
      <c r="T218">
        <f>IF(BD217&lt;=0,0,IF(ROUND(BD217*(1+'Calc base'!R218),2)-MAX('Calc base'!M$12,ROUND('Calc base'!M$13*BD217,2))&lt;1,ROUND(BD217*(1+'Calc base'!R218),2),MAX('Calc base'!M$12,ROUND('Calc base'!M$13*BD217,2))))</f>
        <v>0</v>
      </c>
      <c r="U218">
        <f>IF(BE217&lt;=0,0,IF(ROUND(BE217*(1+'Calc base'!S218),2)-MAX('Calc base'!N$12,ROUND('Calc base'!N$13*BE217,2))&lt;1,ROUND(BE217*(1+'Calc base'!S218),2),MAX('Calc base'!N$12,ROUND('Calc base'!N$13*BE217,2))))</f>
        <v>0</v>
      </c>
      <c r="V218">
        <f>MAX(0,ROUND(AT217*(1+'Calc base'!H218),2)-J218-'Calc base'!T218)</f>
        <v>0</v>
      </c>
      <c r="W218">
        <f>MAX(0,ROUND(AU217*(1+'Calc base'!I218),2)-K218-'Calc base'!U218)</f>
        <v>0</v>
      </c>
      <c r="X218">
        <f>MAX(0,ROUND(AV217*(1+'Calc base'!J218),2)-L218-'Calc base'!V218)</f>
        <v>0</v>
      </c>
      <c r="Y218">
        <f>MAX(0,ROUND(AW217*(1+'Calc base'!K218),2)-M218-'Calc base'!W218)</f>
        <v>0</v>
      </c>
      <c r="Z218">
        <f>MAX(0,ROUND(AX217*(1+'Calc base'!L218),2)-N218-'Calc base'!X218)</f>
        <v>0</v>
      </c>
      <c r="AA218">
        <f>MAX(0,ROUND(AY217*(1+'Calc base'!M218),2)-O218-'Calc base'!Y218)</f>
        <v>0</v>
      </c>
      <c r="AB218">
        <f>MAX(0,ROUND(AZ217*(1+'Calc base'!N218),2)-P218-'Calc base'!Z218)</f>
        <v>0</v>
      </c>
      <c r="AC218">
        <f>MAX(0,ROUND(BA217*(1+'Calc base'!O218),2)-Q218-'Calc base'!AA218)</f>
        <v>0</v>
      </c>
      <c r="AD218">
        <f>MAX(0,ROUND(BB217*(1+'Calc base'!P218),2)-R218-'Calc base'!AB218)</f>
        <v>0</v>
      </c>
      <c r="AE218">
        <f>MAX(0,ROUND(BC217*(1+'Calc base'!Q218),2)-S218-'Calc base'!AC218)</f>
        <v>0</v>
      </c>
      <c r="AF218">
        <f>MAX(0,ROUND(BD217*(1+'Calc base'!R218),2)-T218-'Calc base'!AD218)</f>
        <v>0</v>
      </c>
      <c r="AG218">
        <f>MAX(0,ROUND(BE217*(1+'Calc base'!S218),2)-U218-'Calc base'!AE218)</f>
        <v>0</v>
      </c>
      <c r="AH218">
        <f>IF('Calc base'!C$14=0,0,MIN(V218,MAX(0,$E218-SUMIFS($V218:$AG218,'Calc base'!$C$17:$N$17,"&lt;"&amp;'Calc base'!C$17,'Calc base'!$C$14:$N$14,1))))</f>
        <v>0</v>
      </c>
      <c r="AI218">
        <f>IF('Calc base'!D$14=0,0,MIN(W218,MAX(0,$E218-SUMIFS($V218:$AG218,'Calc base'!$C$17:$N$17,"&lt;"&amp;'Calc base'!D$17,'Calc base'!$C$14:$N$14,1))))</f>
        <v>0</v>
      </c>
      <c r="AJ218">
        <f>IF('Calc base'!E$14=0,0,MIN(X218,MAX(0,$E218-SUMIFS($V218:$AG218,'Calc base'!$C$17:$N$17,"&lt;"&amp;'Calc base'!E$17,'Calc base'!$C$14:$N$14,1))))</f>
        <v>0</v>
      </c>
      <c r="AK218">
        <f>IF('Calc base'!F$14=0,0,MIN(Y218,MAX(0,$E218-SUMIFS($V218:$AG218,'Calc base'!$C$17:$N$17,"&lt;"&amp;'Calc base'!F$17,'Calc base'!$C$14:$N$14,1))))</f>
        <v>0</v>
      </c>
      <c r="AL218">
        <f>IF('Calc base'!G$14=0,0,MIN(Z218,MAX(0,$E218-SUMIFS($V218:$AG218,'Calc base'!$C$17:$N$17,"&lt;"&amp;'Calc base'!G$17,'Calc base'!$C$14:$N$14,1))))</f>
        <v>0</v>
      </c>
      <c r="AM218">
        <f>IF('Calc base'!H$14=0,0,MIN(AA218,MAX(0,$E218-SUMIFS($V218:$AG218,'Calc base'!$C$17:$N$17,"&lt;"&amp;'Calc base'!H$17,'Calc base'!$C$14:$N$14,1))))</f>
        <v>0</v>
      </c>
      <c r="AN218">
        <f>IF('Calc base'!I$14=0,0,MIN(AB218,MAX(0,$E218-SUMIFS($V218:$AG218,'Calc base'!$C$17:$N$17,"&lt;"&amp;'Calc base'!I$17,'Calc base'!$C$14:$N$14,1))))</f>
        <v>0</v>
      </c>
      <c r="AO218">
        <f>IF('Calc base'!J$14=0,0,MIN(AC218,MAX(0,$E218-SUMIFS($V218:$AG218,'Calc base'!$C$17:$N$17,"&lt;"&amp;'Calc base'!J$17,'Calc base'!$C$14:$N$14,1))))</f>
        <v>0</v>
      </c>
      <c r="AP218">
        <f>IF('Calc base'!K$14=0,0,MIN(AD218,MAX(0,$E218-SUMIFS($V218:$AG218,'Calc base'!$C$17:$N$17,"&lt;"&amp;'Calc base'!K$17,'Calc base'!$C$14:$N$14,1))))</f>
        <v>0</v>
      </c>
      <c r="AQ218">
        <f>IF('Calc base'!L$14=0,0,MIN(AE218,MAX(0,$E218-SUMIFS($V218:$AG218,'Calc base'!$C$17:$N$17,"&lt;"&amp;'Calc base'!L$17,'Calc base'!$C$14:$N$14,1))))</f>
        <v>0</v>
      </c>
      <c r="AR218">
        <f>IF('Calc base'!M$14=0,0,MIN(AF218,MAX(0,$E218-SUMIFS($V218:$AG218,'Calc base'!$C$17:$N$17,"&lt;"&amp;'Calc base'!M$17,'Calc base'!$C$14:$N$14,1))))</f>
        <v>0</v>
      </c>
      <c r="AS218">
        <f>IF('Calc base'!N$14=0,0,MIN(AG218,MAX(0,$E218-SUMIFS($V218:$AG218,'Calc base'!$C$17:$N$17,"&lt;"&amp;'Calc base'!N$17,'Calc base'!$C$14:$N$14,1))))</f>
        <v>0</v>
      </c>
      <c r="AT218">
        <f>V218-AH218</f>
        <v>0</v>
      </c>
      <c r="AU218">
        <f>W218-AI218</f>
        <v>0</v>
      </c>
      <c r="AV218">
        <f>X218-AJ218</f>
        <v>0</v>
      </c>
      <c r="AW218">
        <f>Y218-AK218</f>
        <v>0</v>
      </c>
      <c r="AX218">
        <f>Z218-AL218</f>
        <v>0</v>
      </c>
      <c r="AY218">
        <f>AA218-AM218</f>
        <v>0</v>
      </c>
      <c r="AZ218">
        <f>AB218-AN218</f>
        <v>0</v>
      </c>
      <c r="BA218">
        <f>AC218-AO218</f>
        <v>0</v>
      </c>
      <c r="BB218">
        <f>AD218-AP218</f>
        <v>0</v>
      </c>
      <c r="BC218">
        <f>AE218-AQ218</f>
        <v>0</v>
      </c>
      <c r="BD218">
        <f>AF218-AR218</f>
        <v>0</v>
      </c>
      <c r="BE218">
        <f>AG218-AS218</f>
        <v>0</v>
      </c>
    </row>
    <row r="219">
      <c r="A219" t="n">
        <v>189</v>
      </c>
      <c r="B219">
        <f>SUMPRODUCT(ROUND($AT218:$BE218*(1+'Calc base'!$H219:$S219),2))</f>
        <v>0</v>
      </c>
      <c r="C219">
        <f>SUM(J219:U219)</f>
        <v>0</v>
      </c>
      <c r="D219">
        <f>SUM(V219:AG219)</f>
        <v>0</v>
      </c>
      <c r="E219">
        <f>MAX(0,IF(Impostazioni!$B$7="No",'Calc base'!$C219-$C$31,'Calc base'!$C219-C219)+'Calc base'!$G219+'Calc base'!$F219-(B219-C219-D219))</f>
        <v>900</v>
      </c>
      <c r="F219">
        <f>SUM(AH219:AS219)</f>
        <v>0</v>
      </c>
      <c r="G219">
        <f>SUM(AT219:BE219)</f>
        <v>0</v>
      </c>
      <c r="H219">
        <f>B219-G218</f>
        <v>0</v>
      </c>
      <c r="I219">
        <f>B219-G219</f>
        <v>0</v>
      </c>
      <c r="J219">
        <f>IF(AT218&lt;=0,0,IF(ROUND(AT218*(1+'Calc base'!H219),2)-MAX('Calc base'!C$12,ROUND('Calc base'!C$13*AT218,2))&lt;1,ROUND(AT218*(1+'Calc base'!H219),2),MAX('Calc base'!C$12,ROUND('Calc base'!C$13*AT218,2))))</f>
        <v>0</v>
      </c>
      <c r="K219">
        <f>IF(AU218&lt;=0,0,IF(ROUND(AU218*(1+'Calc base'!I219),2)-MAX('Calc base'!D$12,ROUND('Calc base'!D$13*AU218,2))&lt;1,ROUND(AU218*(1+'Calc base'!I219),2),MAX('Calc base'!D$12,ROUND('Calc base'!D$13*AU218,2))))</f>
        <v>0</v>
      </c>
      <c r="L219">
        <f>IF(AV218&lt;=0,0,IF(ROUND(AV218*(1+'Calc base'!J219),2)-MAX('Calc base'!E$12,ROUND('Calc base'!E$13*AV218,2))&lt;1,ROUND(AV218*(1+'Calc base'!J219),2),MAX('Calc base'!E$12,ROUND('Calc base'!E$13*AV218,2))))</f>
        <v>0</v>
      </c>
      <c r="M219">
        <f>IF(AW218&lt;=0,0,IF(ROUND(AW218*(1+'Calc base'!K219),2)-MAX('Calc base'!F$12,ROUND('Calc base'!F$13*AW218,2))&lt;1,ROUND(AW218*(1+'Calc base'!K219),2),MAX('Calc base'!F$12,ROUND('Calc base'!F$13*AW218,2))))</f>
        <v>0</v>
      </c>
      <c r="N219">
        <f>IF(AX218&lt;=0,0,IF(ROUND(AX218*(1+'Calc base'!L219),2)-MAX('Calc base'!G$12,ROUND('Calc base'!G$13*AX218,2))&lt;1,ROUND(AX218*(1+'Calc base'!L219),2),MAX('Calc base'!G$12,ROUND('Calc base'!G$13*AX218,2))))</f>
        <v>0</v>
      </c>
      <c r="O219">
        <f>IF(AY218&lt;=0,0,IF(ROUND(AY218*(1+'Calc base'!M219),2)-MAX('Calc base'!H$12,ROUND('Calc base'!H$13*AY218,2))&lt;1,ROUND(AY218*(1+'Calc base'!M219),2),MAX('Calc base'!H$12,ROUND('Calc base'!H$13*AY218,2))))</f>
        <v>0</v>
      </c>
      <c r="P219">
        <f>IF(AZ218&lt;=0,0,IF(ROUND(AZ218*(1+'Calc base'!N219),2)-MAX('Calc base'!I$12,ROUND('Calc base'!I$13*AZ218,2))&lt;1,ROUND(AZ218*(1+'Calc base'!N219),2),MAX('Calc base'!I$12,ROUND('Calc base'!I$13*AZ218,2))))</f>
        <v>0</v>
      </c>
      <c r="Q219">
        <f>IF(BA218&lt;=0,0,IF(ROUND(BA218*(1+'Calc base'!O219),2)-MAX('Calc base'!J$12,ROUND('Calc base'!J$13*BA218,2))&lt;1,ROUND(BA218*(1+'Calc base'!O219),2),MAX('Calc base'!J$12,ROUND('Calc base'!J$13*BA218,2))))</f>
        <v>0</v>
      </c>
      <c r="R219">
        <f>IF(BB218&lt;=0,0,IF(ROUND(BB218*(1+'Calc base'!P219),2)-MAX('Calc base'!K$12,ROUND('Calc base'!K$13*BB218,2))&lt;1,ROUND(BB218*(1+'Calc base'!P219),2),MAX('Calc base'!K$12,ROUND('Calc base'!K$13*BB218,2))))</f>
        <v>0</v>
      </c>
      <c r="S219">
        <f>IF(BC218&lt;=0,0,IF(ROUND(BC218*(1+'Calc base'!Q219),2)-MAX('Calc base'!L$12,ROUND('Calc base'!L$13*BC218,2))&lt;1,ROUND(BC218*(1+'Calc base'!Q219),2),MAX('Calc base'!L$12,ROUND('Calc base'!L$13*BC218,2))))</f>
        <v>0</v>
      </c>
      <c r="T219">
        <f>IF(BD218&lt;=0,0,IF(ROUND(BD218*(1+'Calc base'!R219),2)-MAX('Calc base'!M$12,ROUND('Calc base'!M$13*BD218,2))&lt;1,ROUND(BD218*(1+'Calc base'!R219),2),MAX('Calc base'!M$12,ROUND('Calc base'!M$13*BD218,2))))</f>
        <v>0</v>
      </c>
      <c r="U219">
        <f>IF(BE218&lt;=0,0,IF(ROUND(BE218*(1+'Calc base'!S219),2)-MAX('Calc base'!N$12,ROUND('Calc base'!N$13*BE218,2))&lt;1,ROUND(BE218*(1+'Calc base'!S219),2),MAX('Calc base'!N$12,ROUND('Calc base'!N$13*BE218,2))))</f>
        <v>0</v>
      </c>
      <c r="V219">
        <f>MAX(0,ROUND(AT218*(1+'Calc base'!H219),2)-J219-'Calc base'!T219)</f>
        <v>0</v>
      </c>
      <c r="W219">
        <f>MAX(0,ROUND(AU218*(1+'Calc base'!I219),2)-K219-'Calc base'!U219)</f>
        <v>0</v>
      </c>
      <c r="X219">
        <f>MAX(0,ROUND(AV218*(1+'Calc base'!J219),2)-L219-'Calc base'!V219)</f>
        <v>0</v>
      </c>
      <c r="Y219">
        <f>MAX(0,ROUND(AW218*(1+'Calc base'!K219),2)-M219-'Calc base'!W219)</f>
        <v>0</v>
      </c>
      <c r="Z219">
        <f>MAX(0,ROUND(AX218*(1+'Calc base'!L219),2)-N219-'Calc base'!X219)</f>
        <v>0</v>
      </c>
      <c r="AA219">
        <f>MAX(0,ROUND(AY218*(1+'Calc base'!M219),2)-O219-'Calc base'!Y219)</f>
        <v>0</v>
      </c>
      <c r="AB219">
        <f>MAX(0,ROUND(AZ218*(1+'Calc base'!N219),2)-P219-'Calc base'!Z219)</f>
        <v>0</v>
      </c>
      <c r="AC219">
        <f>MAX(0,ROUND(BA218*(1+'Calc base'!O219),2)-Q219-'Calc base'!AA219)</f>
        <v>0</v>
      </c>
      <c r="AD219">
        <f>MAX(0,ROUND(BB218*(1+'Calc base'!P219),2)-R219-'Calc base'!AB219)</f>
        <v>0</v>
      </c>
      <c r="AE219">
        <f>MAX(0,ROUND(BC218*(1+'Calc base'!Q219),2)-S219-'Calc base'!AC219)</f>
        <v>0</v>
      </c>
      <c r="AF219">
        <f>MAX(0,ROUND(BD218*(1+'Calc base'!R219),2)-T219-'Calc base'!AD219)</f>
        <v>0</v>
      </c>
      <c r="AG219">
        <f>MAX(0,ROUND(BE218*(1+'Calc base'!S219),2)-U219-'Calc base'!AE219)</f>
        <v>0</v>
      </c>
      <c r="AH219">
        <f>IF('Calc base'!C$14=0,0,MIN(V219,MAX(0,$E219-SUMIFS($V219:$AG219,'Calc base'!$C$17:$N$17,"&lt;"&amp;'Calc base'!C$17,'Calc base'!$C$14:$N$14,1))))</f>
        <v>0</v>
      </c>
      <c r="AI219">
        <f>IF('Calc base'!D$14=0,0,MIN(W219,MAX(0,$E219-SUMIFS($V219:$AG219,'Calc base'!$C$17:$N$17,"&lt;"&amp;'Calc base'!D$17,'Calc base'!$C$14:$N$14,1))))</f>
        <v>0</v>
      </c>
      <c r="AJ219">
        <f>IF('Calc base'!E$14=0,0,MIN(X219,MAX(0,$E219-SUMIFS($V219:$AG219,'Calc base'!$C$17:$N$17,"&lt;"&amp;'Calc base'!E$17,'Calc base'!$C$14:$N$14,1))))</f>
        <v>0</v>
      </c>
      <c r="AK219">
        <f>IF('Calc base'!F$14=0,0,MIN(Y219,MAX(0,$E219-SUMIFS($V219:$AG219,'Calc base'!$C$17:$N$17,"&lt;"&amp;'Calc base'!F$17,'Calc base'!$C$14:$N$14,1))))</f>
        <v>0</v>
      </c>
      <c r="AL219">
        <f>IF('Calc base'!G$14=0,0,MIN(Z219,MAX(0,$E219-SUMIFS($V219:$AG219,'Calc base'!$C$17:$N$17,"&lt;"&amp;'Calc base'!G$17,'Calc base'!$C$14:$N$14,1))))</f>
        <v>0</v>
      </c>
      <c r="AM219">
        <f>IF('Calc base'!H$14=0,0,MIN(AA219,MAX(0,$E219-SUMIFS($V219:$AG219,'Calc base'!$C$17:$N$17,"&lt;"&amp;'Calc base'!H$17,'Calc base'!$C$14:$N$14,1))))</f>
        <v>0</v>
      </c>
      <c r="AN219">
        <f>IF('Calc base'!I$14=0,0,MIN(AB219,MAX(0,$E219-SUMIFS($V219:$AG219,'Calc base'!$C$17:$N$17,"&lt;"&amp;'Calc base'!I$17,'Calc base'!$C$14:$N$14,1))))</f>
        <v>0</v>
      </c>
      <c r="AO219">
        <f>IF('Calc base'!J$14=0,0,MIN(AC219,MAX(0,$E219-SUMIFS($V219:$AG219,'Calc base'!$C$17:$N$17,"&lt;"&amp;'Calc base'!J$17,'Calc base'!$C$14:$N$14,1))))</f>
        <v>0</v>
      </c>
      <c r="AP219">
        <f>IF('Calc base'!K$14=0,0,MIN(AD219,MAX(0,$E219-SUMIFS($V219:$AG219,'Calc base'!$C$17:$N$17,"&lt;"&amp;'Calc base'!K$17,'Calc base'!$C$14:$N$14,1))))</f>
        <v>0</v>
      </c>
      <c r="AQ219">
        <f>IF('Calc base'!L$14=0,0,MIN(AE219,MAX(0,$E219-SUMIFS($V219:$AG219,'Calc base'!$C$17:$N$17,"&lt;"&amp;'Calc base'!L$17,'Calc base'!$C$14:$N$14,1))))</f>
        <v>0</v>
      </c>
      <c r="AR219">
        <f>IF('Calc base'!M$14=0,0,MIN(AF219,MAX(0,$E219-SUMIFS($V219:$AG219,'Calc base'!$C$17:$N$17,"&lt;"&amp;'Calc base'!M$17,'Calc base'!$C$14:$N$14,1))))</f>
        <v>0</v>
      </c>
      <c r="AS219">
        <f>IF('Calc base'!N$14=0,0,MIN(AG219,MAX(0,$E219-SUMIFS($V219:$AG219,'Calc base'!$C$17:$N$17,"&lt;"&amp;'Calc base'!N$17,'Calc base'!$C$14:$N$14,1))))</f>
        <v>0</v>
      </c>
      <c r="AT219">
        <f>V219-AH219</f>
        <v>0</v>
      </c>
      <c r="AU219">
        <f>W219-AI219</f>
        <v>0</v>
      </c>
      <c r="AV219">
        <f>X219-AJ219</f>
        <v>0</v>
      </c>
      <c r="AW219">
        <f>Y219-AK219</f>
        <v>0</v>
      </c>
      <c r="AX219">
        <f>Z219-AL219</f>
        <v>0</v>
      </c>
      <c r="AY219">
        <f>AA219-AM219</f>
        <v>0</v>
      </c>
      <c r="AZ219">
        <f>AB219-AN219</f>
        <v>0</v>
      </c>
      <c r="BA219">
        <f>AC219-AO219</f>
        <v>0</v>
      </c>
      <c r="BB219">
        <f>AD219-AP219</f>
        <v>0</v>
      </c>
      <c r="BC219">
        <f>AE219-AQ219</f>
        <v>0</v>
      </c>
      <c r="BD219">
        <f>AF219-AR219</f>
        <v>0</v>
      </c>
      <c r="BE219">
        <f>AG219-AS219</f>
        <v>0</v>
      </c>
    </row>
    <row r="220">
      <c r="A220" t="n">
        <v>190</v>
      </c>
      <c r="B220">
        <f>SUMPRODUCT(ROUND($AT219:$BE219*(1+'Calc base'!$H220:$S220),2))</f>
        <v>0</v>
      </c>
      <c r="C220">
        <f>SUM(J220:U220)</f>
        <v>0</v>
      </c>
      <c r="D220">
        <f>SUM(V220:AG220)</f>
        <v>0</v>
      </c>
      <c r="E220">
        <f>MAX(0,IF(Impostazioni!$B$7="No",'Calc base'!$C220-$C$31,'Calc base'!$C220-C220)+'Calc base'!$G220+'Calc base'!$F220-(B220-C220-D220))</f>
        <v>900</v>
      </c>
      <c r="F220">
        <f>SUM(AH220:AS220)</f>
        <v>0</v>
      </c>
      <c r="G220">
        <f>SUM(AT220:BE220)</f>
        <v>0</v>
      </c>
      <c r="H220">
        <f>B220-G219</f>
        <v>0</v>
      </c>
      <c r="I220">
        <f>B220-G220</f>
        <v>0</v>
      </c>
      <c r="J220">
        <f>IF(AT219&lt;=0,0,IF(ROUND(AT219*(1+'Calc base'!H220),2)-MAX('Calc base'!C$12,ROUND('Calc base'!C$13*AT219,2))&lt;1,ROUND(AT219*(1+'Calc base'!H220),2),MAX('Calc base'!C$12,ROUND('Calc base'!C$13*AT219,2))))</f>
        <v>0</v>
      </c>
      <c r="K220">
        <f>IF(AU219&lt;=0,0,IF(ROUND(AU219*(1+'Calc base'!I220),2)-MAX('Calc base'!D$12,ROUND('Calc base'!D$13*AU219,2))&lt;1,ROUND(AU219*(1+'Calc base'!I220),2),MAX('Calc base'!D$12,ROUND('Calc base'!D$13*AU219,2))))</f>
        <v>0</v>
      </c>
      <c r="L220">
        <f>IF(AV219&lt;=0,0,IF(ROUND(AV219*(1+'Calc base'!J220),2)-MAX('Calc base'!E$12,ROUND('Calc base'!E$13*AV219,2))&lt;1,ROUND(AV219*(1+'Calc base'!J220),2),MAX('Calc base'!E$12,ROUND('Calc base'!E$13*AV219,2))))</f>
        <v>0</v>
      </c>
      <c r="M220">
        <f>IF(AW219&lt;=0,0,IF(ROUND(AW219*(1+'Calc base'!K220),2)-MAX('Calc base'!F$12,ROUND('Calc base'!F$13*AW219,2))&lt;1,ROUND(AW219*(1+'Calc base'!K220),2),MAX('Calc base'!F$12,ROUND('Calc base'!F$13*AW219,2))))</f>
        <v>0</v>
      </c>
      <c r="N220">
        <f>IF(AX219&lt;=0,0,IF(ROUND(AX219*(1+'Calc base'!L220),2)-MAX('Calc base'!G$12,ROUND('Calc base'!G$13*AX219,2))&lt;1,ROUND(AX219*(1+'Calc base'!L220),2),MAX('Calc base'!G$12,ROUND('Calc base'!G$13*AX219,2))))</f>
        <v>0</v>
      </c>
      <c r="O220">
        <f>IF(AY219&lt;=0,0,IF(ROUND(AY219*(1+'Calc base'!M220),2)-MAX('Calc base'!H$12,ROUND('Calc base'!H$13*AY219,2))&lt;1,ROUND(AY219*(1+'Calc base'!M220),2),MAX('Calc base'!H$12,ROUND('Calc base'!H$13*AY219,2))))</f>
        <v>0</v>
      </c>
      <c r="P220">
        <f>IF(AZ219&lt;=0,0,IF(ROUND(AZ219*(1+'Calc base'!N220),2)-MAX('Calc base'!I$12,ROUND('Calc base'!I$13*AZ219,2))&lt;1,ROUND(AZ219*(1+'Calc base'!N220),2),MAX('Calc base'!I$12,ROUND('Calc base'!I$13*AZ219,2))))</f>
        <v>0</v>
      </c>
      <c r="Q220">
        <f>IF(BA219&lt;=0,0,IF(ROUND(BA219*(1+'Calc base'!O220),2)-MAX('Calc base'!J$12,ROUND('Calc base'!J$13*BA219,2))&lt;1,ROUND(BA219*(1+'Calc base'!O220),2),MAX('Calc base'!J$12,ROUND('Calc base'!J$13*BA219,2))))</f>
        <v>0</v>
      </c>
      <c r="R220">
        <f>IF(BB219&lt;=0,0,IF(ROUND(BB219*(1+'Calc base'!P220),2)-MAX('Calc base'!K$12,ROUND('Calc base'!K$13*BB219,2))&lt;1,ROUND(BB219*(1+'Calc base'!P220),2),MAX('Calc base'!K$12,ROUND('Calc base'!K$13*BB219,2))))</f>
        <v>0</v>
      </c>
      <c r="S220">
        <f>IF(BC219&lt;=0,0,IF(ROUND(BC219*(1+'Calc base'!Q220),2)-MAX('Calc base'!L$12,ROUND('Calc base'!L$13*BC219,2))&lt;1,ROUND(BC219*(1+'Calc base'!Q220),2),MAX('Calc base'!L$12,ROUND('Calc base'!L$13*BC219,2))))</f>
        <v>0</v>
      </c>
      <c r="T220">
        <f>IF(BD219&lt;=0,0,IF(ROUND(BD219*(1+'Calc base'!R220),2)-MAX('Calc base'!M$12,ROUND('Calc base'!M$13*BD219,2))&lt;1,ROUND(BD219*(1+'Calc base'!R220),2),MAX('Calc base'!M$12,ROUND('Calc base'!M$13*BD219,2))))</f>
        <v>0</v>
      </c>
      <c r="U220">
        <f>IF(BE219&lt;=0,0,IF(ROUND(BE219*(1+'Calc base'!S220),2)-MAX('Calc base'!N$12,ROUND('Calc base'!N$13*BE219,2))&lt;1,ROUND(BE219*(1+'Calc base'!S220),2),MAX('Calc base'!N$12,ROUND('Calc base'!N$13*BE219,2))))</f>
        <v>0</v>
      </c>
      <c r="V220">
        <f>MAX(0,ROUND(AT219*(1+'Calc base'!H220),2)-J220-'Calc base'!T220)</f>
        <v>0</v>
      </c>
      <c r="W220">
        <f>MAX(0,ROUND(AU219*(1+'Calc base'!I220),2)-K220-'Calc base'!U220)</f>
        <v>0</v>
      </c>
      <c r="X220">
        <f>MAX(0,ROUND(AV219*(1+'Calc base'!J220),2)-L220-'Calc base'!V220)</f>
        <v>0</v>
      </c>
      <c r="Y220">
        <f>MAX(0,ROUND(AW219*(1+'Calc base'!K220),2)-M220-'Calc base'!W220)</f>
        <v>0</v>
      </c>
      <c r="Z220">
        <f>MAX(0,ROUND(AX219*(1+'Calc base'!L220),2)-N220-'Calc base'!X220)</f>
        <v>0</v>
      </c>
      <c r="AA220">
        <f>MAX(0,ROUND(AY219*(1+'Calc base'!M220),2)-O220-'Calc base'!Y220)</f>
        <v>0</v>
      </c>
      <c r="AB220">
        <f>MAX(0,ROUND(AZ219*(1+'Calc base'!N220),2)-P220-'Calc base'!Z220)</f>
        <v>0</v>
      </c>
      <c r="AC220">
        <f>MAX(0,ROUND(BA219*(1+'Calc base'!O220),2)-Q220-'Calc base'!AA220)</f>
        <v>0</v>
      </c>
      <c r="AD220">
        <f>MAX(0,ROUND(BB219*(1+'Calc base'!P220),2)-R220-'Calc base'!AB220)</f>
        <v>0</v>
      </c>
      <c r="AE220">
        <f>MAX(0,ROUND(BC219*(1+'Calc base'!Q220),2)-S220-'Calc base'!AC220)</f>
        <v>0</v>
      </c>
      <c r="AF220">
        <f>MAX(0,ROUND(BD219*(1+'Calc base'!R220),2)-T220-'Calc base'!AD220)</f>
        <v>0</v>
      </c>
      <c r="AG220">
        <f>MAX(0,ROUND(BE219*(1+'Calc base'!S220),2)-U220-'Calc base'!AE220)</f>
        <v>0</v>
      </c>
      <c r="AH220">
        <f>IF('Calc base'!C$14=0,0,MIN(V220,MAX(0,$E220-SUMIFS($V220:$AG220,'Calc base'!$C$17:$N$17,"&lt;"&amp;'Calc base'!C$17,'Calc base'!$C$14:$N$14,1))))</f>
        <v>0</v>
      </c>
      <c r="AI220">
        <f>IF('Calc base'!D$14=0,0,MIN(W220,MAX(0,$E220-SUMIFS($V220:$AG220,'Calc base'!$C$17:$N$17,"&lt;"&amp;'Calc base'!D$17,'Calc base'!$C$14:$N$14,1))))</f>
        <v>0</v>
      </c>
      <c r="AJ220">
        <f>IF('Calc base'!E$14=0,0,MIN(X220,MAX(0,$E220-SUMIFS($V220:$AG220,'Calc base'!$C$17:$N$17,"&lt;"&amp;'Calc base'!E$17,'Calc base'!$C$14:$N$14,1))))</f>
        <v>0</v>
      </c>
      <c r="AK220">
        <f>IF('Calc base'!F$14=0,0,MIN(Y220,MAX(0,$E220-SUMIFS($V220:$AG220,'Calc base'!$C$17:$N$17,"&lt;"&amp;'Calc base'!F$17,'Calc base'!$C$14:$N$14,1))))</f>
        <v>0</v>
      </c>
      <c r="AL220">
        <f>IF('Calc base'!G$14=0,0,MIN(Z220,MAX(0,$E220-SUMIFS($V220:$AG220,'Calc base'!$C$17:$N$17,"&lt;"&amp;'Calc base'!G$17,'Calc base'!$C$14:$N$14,1))))</f>
        <v>0</v>
      </c>
      <c r="AM220">
        <f>IF('Calc base'!H$14=0,0,MIN(AA220,MAX(0,$E220-SUMIFS($V220:$AG220,'Calc base'!$C$17:$N$17,"&lt;"&amp;'Calc base'!H$17,'Calc base'!$C$14:$N$14,1))))</f>
        <v>0</v>
      </c>
      <c r="AN220">
        <f>IF('Calc base'!I$14=0,0,MIN(AB220,MAX(0,$E220-SUMIFS($V220:$AG220,'Calc base'!$C$17:$N$17,"&lt;"&amp;'Calc base'!I$17,'Calc base'!$C$14:$N$14,1))))</f>
        <v>0</v>
      </c>
      <c r="AO220">
        <f>IF('Calc base'!J$14=0,0,MIN(AC220,MAX(0,$E220-SUMIFS($V220:$AG220,'Calc base'!$C$17:$N$17,"&lt;"&amp;'Calc base'!J$17,'Calc base'!$C$14:$N$14,1))))</f>
        <v>0</v>
      </c>
      <c r="AP220">
        <f>IF('Calc base'!K$14=0,0,MIN(AD220,MAX(0,$E220-SUMIFS($V220:$AG220,'Calc base'!$C$17:$N$17,"&lt;"&amp;'Calc base'!K$17,'Calc base'!$C$14:$N$14,1))))</f>
        <v>0</v>
      </c>
      <c r="AQ220">
        <f>IF('Calc base'!L$14=0,0,MIN(AE220,MAX(0,$E220-SUMIFS($V220:$AG220,'Calc base'!$C$17:$N$17,"&lt;"&amp;'Calc base'!L$17,'Calc base'!$C$14:$N$14,1))))</f>
        <v>0</v>
      </c>
      <c r="AR220">
        <f>IF('Calc base'!M$14=0,0,MIN(AF220,MAX(0,$E220-SUMIFS($V220:$AG220,'Calc base'!$C$17:$N$17,"&lt;"&amp;'Calc base'!M$17,'Calc base'!$C$14:$N$14,1))))</f>
        <v>0</v>
      </c>
      <c r="AS220">
        <f>IF('Calc base'!N$14=0,0,MIN(AG220,MAX(0,$E220-SUMIFS($V220:$AG220,'Calc base'!$C$17:$N$17,"&lt;"&amp;'Calc base'!N$17,'Calc base'!$C$14:$N$14,1))))</f>
        <v>0</v>
      </c>
      <c r="AT220">
        <f>V220-AH220</f>
        <v>0</v>
      </c>
      <c r="AU220">
        <f>W220-AI220</f>
        <v>0</v>
      </c>
      <c r="AV220">
        <f>X220-AJ220</f>
        <v>0</v>
      </c>
      <c r="AW220">
        <f>Y220-AK220</f>
        <v>0</v>
      </c>
      <c r="AX220">
        <f>Z220-AL220</f>
        <v>0</v>
      </c>
      <c r="AY220">
        <f>AA220-AM220</f>
        <v>0</v>
      </c>
      <c r="AZ220">
        <f>AB220-AN220</f>
        <v>0</v>
      </c>
      <c r="BA220">
        <f>AC220-AO220</f>
        <v>0</v>
      </c>
      <c r="BB220">
        <f>AD220-AP220</f>
        <v>0</v>
      </c>
      <c r="BC220">
        <f>AE220-AQ220</f>
        <v>0</v>
      </c>
      <c r="BD220">
        <f>AF220-AR220</f>
        <v>0</v>
      </c>
      <c r="BE220">
        <f>AG220-AS220</f>
        <v>0</v>
      </c>
    </row>
    <row r="221">
      <c r="A221" t="n">
        <v>191</v>
      </c>
      <c r="B221">
        <f>SUMPRODUCT(ROUND($AT220:$BE220*(1+'Calc base'!$H221:$S221),2))</f>
        <v>0</v>
      </c>
      <c r="C221">
        <f>SUM(J221:U221)</f>
        <v>0</v>
      </c>
      <c r="D221">
        <f>SUM(V221:AG221)</f>
        <v>0</v>
      </c>
      <c r="E221">
        <f>MAX(0,IF(Impostazioni!$B$7="No",'Calc base'!$C221-$C$31,'Calc base'!$C221-C221)+'Calc base'!$G221+'Calc base'!$F221-(B221-C221-D221))</f>
        <v>900</v>
      </c>
      <c r="F221">
        <f>SUM(AH221:AS221)</f>
        <v>0</v>
      </c>
      <c r="G221">
        <f>SUM(AT221:BE221)</f>
        <v>0</v>
      </c>
      <c r="H221">
        <f>B221-G220</f>
        <v>0</v>
      </c>
      <c r="I221">
        <f>B221-G221</f>
        <v>0</v>
      </c>
      <c r="J221">
        <f>IF(AT220&lt;=0,0,IF(ROUND(AT220*(1+'Calc base'!H221),2)-MAX('Calc base'!C$12,ROUND('Calc base'!C$13*AT220,2))&lt;1,ROUND(AT220*(1+'Calc base'!H221),2),MAX('Calc base'!C$12,ROUND('Calc base'!C$13*AT220,2))))</f>
        <v>0</v>
      </c>
      <c r="K221">
        <f>IF(AU220&lt;=0,0,IF(ROUND(AU220*(1+'Calc base'!I221),2)-MAX('Calc base'!D$12,ROUND('Calc base'!D$13*AU220,2))&lt;1,ROUND(AU220*(1+'Calc base'!I221),2),MAX('Calc base'!D$12,ROUND('Calc base'!D$13*AU220,2))))</f>
        <v>0</v>
      </c>
      <c r="L221">
        <f>IF(AV220&lt;=0,0,IF(ROUND(AV220*(1+'Calc base'!J221),2)-MAX('Calc base'!E$12,ROUND('Calc base'!E$13*AV220,2))&lt;1,ROUND(AV220*(1+'Calc base'!J221),2),MAX('Calc base'!E$12,ROUND('Calc base'!E$13*AV220,2))))</f>
        <v>0</v>
      </c>
      <c r="M221">
        <f>IF(AW220&lt;=0,0,IF(ROUND(AW220*(1+'Calc base'!K221),2)-MAX('Calc base'!F$12,ROUND('Calc base'!F$13*AW220,2))&lt;1,ROUND(AW220*(1+'Calc base'!K221),2),MAX('Calc base'!F$12,ROUND('Calc base'!F$13*AW220,2))))</f>
        <v>0</v>
      </c>
      <c r="N221">
        <f>IF(AX220&lt;=0,0,IF(ROUND(AX220*(1+'Calc base'!L221),2)-MAX('Calc base'!G$12,ROUND('Calc base'!G$13*AX220,2))&lt;1,ROUND(AX220*(1+'Calc base'!L221),2),MAX('Calc base'!G$12,ROUND('Calc base'!G$13*AX220,2))))</f>
        <v>0</v>
      </c>
      <c r="O221">
        <f>IF(AY220&lt;=0,0,IF(ROUND(AY220*(1+'Calc base'!M221),2)-MAX('Calc base'!H$12,ROUND('Calc base'!H$13*AY220,2))&lt;1,ROUND(AY220*(1+'Calc base'!M221),2),MAX('Calc base'!H$12,ROUND('Calc base'!H$13*AY220,2))))</f>
        <v>0</v>
      </c>
      <c r="P221">
        <f>IF(AZ220&lt;=0,0,IF(ROUND(AZ220*(1+'Calc base'!N221),2)-MAX('Calc base'!I$12,ROUND('Calc base'!I$13*AZ220,2))&lt;1,ROUND(AZ220*(1+'Calc base'!N221),2),MAX('Calc base'!I$12,ROUND('Calc base'!I$13*AZ220,2))))</f>
        <v>0</v>
      </c>
      <c r="Q221">
        <f>IF(BA220&lt;=0,0,IF(ROUND(BA220*(1+'Calc base'!O221),2)-MAX('Calc base'!J$12,ROUND('Calc base'!J$13*BA220,2))&lt;1,ROUND(BA220*(1+'Calc base'!O221),2),MAX('Calc base'!J$12,ROUND('Calc base'!J$13*BA220,2))))</f>
        <v>0</v>
      </c>
      <c r="R221">
        <f>IF(BB220&lt;=0,0,IF(ROUND(BB220*(1+'Calc base'!P221),2)-MAX('Calc base'!K$12,ROUND('Calc base'!K$13*BB220,2))&lt;1,ROUND(BB220*(1+'Calc base'!P221),2),MAX('Calc base'!K$12,ROUND('Calc base'!K$13*BB220,2))))</f>
        <v>0</v>
      </c>
      <c r="S221">
        <f>IF(BC220&lt;=0,0,IF(ROUND(BC220*(1+'Calc base'!Q221),2)-MAX('Calc base'!L$12,ROUND('Calc base'!L$13*BC220,2))&lt;1,ROUND(BC220*(1+'Calc base'!Q221),2),MAX('Calc base'!L$12,ROUND('Calc base'!L$13*BC220,2))))</f>
        <v>0</v>
      </c>
      <c r="T221">
        <f>IF(BD220&lt;=0,0,IF(ROUND(BD220*(1+'Calc base'!R221),2)-MAX('Calc base'!M$12,ROUND('Calc base'!M$13*BD220,2))&lt;1,ROUND(BD220*(1+'Calc base'!R221),2),MAX('Calc base'!M$12,ROUND('Calc base'!M$13*BD220,2))))</f>
        <v>0</v>
      </c>
      <c r="U221">
        <f>IF(BE220&lt;=0,0,IF(ROUND(BE220*(1+'Calc base'!S221),2)-MAX('Calc base'!N$12,ROUND('Calc base'!N$13*BE220,2))&lt;1,ROUND(BE220*(1+'Calc base'!S221),2),MAX('Calc base'!N$12,ROUND('Calc base'!N$13*BE220,2))))</f>
        <v>0</v>
      </c>
      <c r="V221">
        <f>MAX(0,ROUND(AT220*(1+'Calc base'!H221),2)-J221-'Calc base'!T221)</f>
        <v>0</v>
      </c>
      <c r="W221">
        <f>MAX(0,ROUND(AU220*(1+'Calc base'!I221),2)-K221-'Calc base'!U221)</f>
        <v>0</v>
      </c>
      <c r="X221">
        <f>MAX(0,ROUND(AV220*(1+'Calc base'!J221),2)-L221-'Calc base'!V221)</f>
        <v>0</v>
      </c>
      <c r="Y221">
        <f>MAX(0,ROUND(AW220*(1+'Calc base'!K221),2)-M221-'Calc base'!W221)</f>
        <v>0</v>
      </c>
      <c r="Z221">
        <f>MAX(0,ROUND(AX220*(1+'Calc base'!L221),2)-N221-'Calc base'!X221)</f>
        <v>0</v>
      </c>
      <c r="AA221">
        <f>MAX(0,ROUND(AY220*(1+'Calc base'!M221),2)-O221-'Calc base'!Y221)</f>
        <v>0</v>
      </c>
      <c r="AB221">
        <f>MAX(0,ROUND(AZ220*(1+'Calc base'!N221),2)-P221-'Calc base'!Z221)</f>
        <v>0</v>
      </c>
      <c r="AC221">
        <f>MAX(0,ROUND(BA220*(1+'Calc base'!O221),2)-Q221-'Calc base'!AA221)</f>
        <v>0</v>
      </c>
      <c r="AD221">
        <f>MAX(0,ROUND(BB220*(1+'Calc base'!P221),2)-R221-'Calc base'!AB221)</f>
        <v>0</v>
      </c>
      <c r="AE221">
        <f>MAX(0,ROUND(BC220*(1+'Calc base'!Q221),2)-S221-'Calc base'!AC221)</f>
        <v>0</v>
      </c>
      <c r="AF221">
        <f>MAX(0,ROUND(BD220*(1+'Calc base'!R221),2)-T221-'Calc base'!AD221)</f>
        <v>0</v>
      </c>
      <c r="AG221">
        <f>MAX(0,ROUND(BE220*(1+'Calc base'!S221),2)-U221-'Calc base'!AE221)</f>
        <v>0</v>
      </c>
      <c r="AH221">
        <f>IF('Calc base'!C$14=0,0,MIN(V221,MAX(0,$E221-SUMIFS($V221:$AG221,'Calc base'!$C$17:$N$17,"&lt;"&amp;'Calc base'!C$17,'Calc base'!$C$14:$N$14,1))))</f>
        <v>0</v>
      </c>
      <c r="AI221">
        <f>IF('Calc base'!D$14=0,0,MIN(W221,MAX(0,$E221-SUMIFS($V221:$AG221,'Calc base'!$C$17:$N$17,"&lt;"&amp;'Calc base'!D$17,'Calc base'!$C$14:$N$14,1))))</f>
        <v>0</v>
      </c>
      <c r="AJ221">
        <f>IF('Calc base'!E$14=0,0,MIN(X221,MAX(0,$E221-SUMIFS($V221:$AG221,'Calc base'!$C$17:$N$17,"&lt;"&amp;'Calc base'!E$17,'Calc base'!$C$14:$N$14,1))))</f>
        <v>0</v>
      </c>
      <c r="AK221">
        <f>IF('Calc base'!F$14=0,0,MIN(Y221,MAX(0,$E221-SUMIFS($V221:$AG221,'Calc base'!$C$17:$N$17,"&lt;"&amp;'Calc base'!F$17,'Calc base'!$C$14:$N$14,1))))</f>
        <v>0</v>
      </c>
      <c r="AL221">
        <f>IF('Calc base'!G$14=0,0,MIN(Z221,MAX(0,$E221-SUMIFS($V221:$AG221,'Calc base'!$C$17:$N$17,"&lt;"&amp;'Calc base'!G$17,'Calc base'!$C$14:$N$14,1))))</f>
        <v>0</v>
      </c>
      <c r="AM221">
        <f>IF('Calc base'!H$14=0,0,MIN(AA221,MAX(0,$E221-SUMIFS($V221:$AG221,'Calc base'!$C$17:$N$17,"&lt;"&amp;'Calc base'!H$17,'Calc base'!$C$14:$N$14,1))))</f>
        <v>0</v>
      </c>
      <c r="AN221">
        <f>IF('Calc base'!I$14=0,0,MIN(AB221,MAX(0,$E221-SUMIFS($V221:$AG221,'Calc base'!$C$17:$N$17,"&lt;"&amp;'Calc base'!I$17,'Calc base'!$C$14:$N$14,1))))</f>
        <v>0</v>
      </c>
      <c r="AO221">
        <f>IF('Calc base'!J$14=0,0,MIN(AC221,MAX(0,$E221-SUMIFS($V221:$AG221,'Calc base'!$C$17:$N$17,"&lt;"&amp;'Calc base'!J$17,'Calc base'!$C$14:$N$14,1))))</f>
        <v>0</v>
      </c>
      <c r="AP221">
        <f>IF('Calc base'!K$14=0,0,MIN(AD221,MAX(0,$E221-SUMIFS($V221:$AG221,'Calc base'!$C$17:$N$17,"&lt;"&amp;'Calc base'!K$17,'Calc base'!$C$14:$N$14,1))))</f>
        <v>0</v>
      </c>
      <c r="AQ221">
        <f>IF('Calc base'!L$14=0,0,MIN(AE221,MAX(0,$E221-SUMIFS($V221:$AG221,'Calc base'!$C$17:$N$17,"&lt;"&amp;'Calc base'!L$17,'Calc base'!$C$14:$N$14,1))))</f>
        <v>0</v>
      </c>
      <c r="AR221">
        <f>IF('Calc base'!M$14=0,0,MIN(AF221,MAX(0,$E221-SUMIFS($V221:$AG221,'Calc base'!$C$17:$N$17,"&lt;"&amp;'Calc base'!M$17,'Calc base'!$C$14:$N$14,1))))</f>
        <v>0</v>
      </c>
      <c r="AS221">
        <f>IF('Calc base'!N$14=0,0,MIN(AG221,MAX(0,$E221-SUMIFS($V221:$AG221,'Calc base'!$C$17:$N$17,"&lt;"&amp;'Calc base'!N$17,'Calc base'!$C$14:$N$14,1))))</f>
        <v>0</v>
      </c>
      <c r="AT221">
        <f>V221-AH221</f>
        <v>0</v>
      </c>
      <c r="AU221">
        <f>W221-AI221</f>
        <v>0</v>
      </c>
      <c r="AV221">
        <f>X221-AJ221</f>
        <v>0</v>
      </c>
      <c r="AW221">
        <f>Y221-AK221</f>
        <v>0</v>
      </c>
      <c r="AX221">
        <f>Z221-AL221</f>
        <v>0</v>
      </c>
      <c r="AY221">
        <f>AA221-AM221</f>
        <v>0</v>
      </c>
      <c r="AZ221">
        <f>AB221-AN221</f>
        <v>0</v>
      </c>
      <c r="BA221">
        <f>AC221-AO221</f>
        <v>0</v>
      </c>
      <c r="BB221">
        <f>AD221-AP221</f>
        <v>0</v>
      </c>
      <c r="BC221">
        <f>AE221-AQ221</f>
        <v>0</v>
      </c>
      <c r="BD221">
        <f>AF221-AR221</f>
        <v>0</v>
      </c>
      <c r="BE221">
        <f>AG221-AS221</f>
        <v>0</v>
      </c>
    </row>
    <row r="222">
      <c r="A222" t="n">
        <v>192</v>
      </c>
      <c r="B222">
        <f>SUMPRODUCT(ROUND($AT221:$BE221*(1+'Calc base'!$H222:$S222),2))</f>
        <v>0</v>
      </c>
      <c r="C222">
        <f>SUM(J222:U222)</f>
        <v>0</v>
      </c>
      <c r="D222">
        <f>SUM(V222:AG222)</f>
        <v>0</v>
      </c>
      <c r="E222">
        <f>MAX(0,IF(Impostazioni!$B$7="No",'Calc base'!$C222-$C$31,'Calc base'!$C222-C222)+'Calc base'!$G222+'Calc base'!$F222-(B222-C222-D222))</f>
        <v>900</v>
      </c>
      <c r="F222">
        <f>SUM(AH222:AS222)</f>
        <v>0</v>
      </c>
      <c r="G222">
        <f>SUM(AT222:BE222)</f>
        <v>0</v>
      </c>
      <c r="H222">
        <f>B222-G221</f>
        <v>0</v>
      </c>
      <c r="I222">
        <f>B222-G222</f>
        <v>0</v>
      </c>
      <c r="J222">
        <f>IF(AT221&lt;=0,0,IF(ROUND(AT221*(1+'Calc base'!H222),2)-MAX('Calc base'!C$12,ROUND('Calc base'!C$13*AT221,2))&lt;1,ROUND(AT221*(1+'Calc base'!H222),2),MAX('Calc base'!C$12,ROUND('Calc base'!C$13*AT221,2))))</f>
        <v>0</v>
      </c>
      <c r="K222">
        <f>IF(AU221&lt;=0,0,IF(ROUND(AU221*(1+'Calc base'!I222),2)-MAX('Calc base'!D$12,ROUND('Calc base'!D$13*AU221,2))&lt;1,ROUND(AU221*(1+'Calc base'!I222),2),MAX('Calc base'!D$12,ROUND('Calc base'!D$13*AU221,2))))</f>
        <v>0</v>
      </c>
      <c r="L222">
        <f>IF(AV221&lt;=0,0,IF(ROUND(AV221*(1+'Calc base'!J222),2)-MAX('Calc base'!E$12,ROUND('Calc base'!E$13*AV221,2))&lt;1,ROUND(AV221*(1+'Calc base'!J222),2),MAX('Calc base'!E$12,ROUND('Calc base'!E$13*AV221,2))))</f>
        <v>0</v>
      </c>
      <c r="M222">
        <f>IF(AW221&lt;=0,0,IF(ROUND(AW221*(1+'Calc base'!K222),2)-MAX('Calc base'!F$12,ROUND('Calc base'!F$13*AW221,2))&lt;1,ROUND(AW221*(1+'Calc base'!K222),2),MAX('Calc base'!F$12,ROUND('Calc base'!F$13*AW221,2))))</f>
        <v>0</v>
      </c>
      <c r="N222">
        <f>IF(AX221&lt;=0,0,IF(ROUND(AX221*(1+'Calc base'!L222),2)-MAX('Calc base'!G$12,ROUND('Calc base'!G$13*AX221,2))&lt;1,ROUND(AX221*(1+'Calc base'!L222),2),MAX('Calc base'!G$12,ROUND('Calc base'!G$13*AX221,2))))</f>
        <v>0</v>
      </c>
      <c r="O222">
        <f>IF(AY221&lt;=0,0,IF(ROUND(AY221*(1+'Calc base'!M222),2)-MAX('Calc base'!H$12,ROUND('Calc base'!H$13*AY221,2))&lt;1,ROUND(AY221*(1+'Calc base'!M222),2),MAX('Calc base'!H$12,ROUND('Calc base'!H$13*AY221,2))))</f>
        <v>0</v>
      </c>
      <c r="P222">
        <f>IF(AZ221&lt;=0,0,IF(ROUND(AZ221*(1+'Calc base'!N222),2)-MAX('Calc base'!I$12,ROUND('Calc base'!I$13*AZ221,2))&lt;1,ROUND(AZ221*(1+'Calc base'!N222),2),MAX('Calc base'!I$12,ROUND('Calc base'!I$13*AZ221,2))))</f>
        <v>0</v>
      </c>
      <c r="Q222">
        <f>IF(BA221&lt;=0,0,IF(ROUND(BA221*(1+'Calc base'!O222),2)-MAX('Calc base'!J$12,ROUND('Calc base'!J$13*BA221,2))&lt;1,ROUND(BA221*(1+'Calc base'!O222),2),MAX('Calc base'!J$12,ROUND('Calc base'!J$13*BA221,2))))</f>
        <v>0</v>
      </c>
      <c r="R222">
        <f>IF(BB221&lt;=0,0,IF(ROUND(BB221*(1+'Calc base'!P222),2)-MAX('Calc base'!K$12,ROUND('Calc base'!K$13*BB221,2))&lt;1,ROUND(BB221*(1+'Calc base'!P222),2),MAX('Calc base'!K$12,ROUND('Calc base'!K$13*BB221,2))))</f>
        <v>0</v>
      </c>
      <c r="S222">
        <f>IF(BC221&lt;=0,0,IF(ROUND(BC221*(1+'Calc base'!Q222),2)-MAX('Calc base'!L$12,ROUND('Calc base'!L$13*BC221,2))&lt;1,ROUND(BC221*(1+'Calc base'!Q222),2),MAX('Calc base'!L$12,ROUND('Calc base'!L$13*BC221,2))))</f>
        <v>0</v>
      </c>
      <c r="T222">
        <f>IF(BD221&lt;=0,0,IF(ROUND(BD221*(1+'Calc base'!R222),2)-MAX('Calc base'!M$12,ROUND('Calc base'!M$13*BD221,2))&lt;1,ROUND(BD221*(1+'Calc base'!R222),2),MAX('Calc base'!M$12,ROUND('Calc base'!M$13*BD221,2))))</f>
        <v>0</v>
      </c>
      <c r="U222">
        <f>IF(BE221&lt;=0,0,IF(ROUND(BE221*(1+'Calc base'!S222),2)-MAX('Calc base'!N$12,ROUND('Calc base'!N$13*BE221,2))&lt;1,ROUND(BE221*(1+'Calc base'!S222),2),MAX('Calc base'!N$12,ROUND('Calc base'!N$13*BE221,2))))</f>
        <v>0</v>
      </c>
      <c r="V222">
        <f>MAX(0,ROUND(AT221*(1+'Calc base'!H222),2)-J222-'Calc base'!T222)</f>
        <v>0</v>
      </c>
      <c r="W222">
        <f>MAX(0,ROUND(AU221*(1+'Calc base'!I222),2)-K222-'Calc base'!U222)</f>
        <v>0</v>
      </c>
      <c r="X222">
        <f>MAX(0,ROUND(AV221*(1+'Calc base'!J222),2)-L222-'Calc base'!V222)</f>
        <v>0</v>
      </c>
      <c r="Y222">
        <f>MAX(0,ROUND(AW221*(1+'Calc base'!K222),2)-M222-'Calc base'!W222)</f>
        <v>0</v>
      </c>
      <c r="Z222">
        <f>MAX(0,ROUND(AX221*(1+'Calc base'!L222),2)-N222-'Calc base'!X222)</f>
        <v>0</v>
      </c>
      <c r="AA222">
        <f>MAX(0,ROUND(AY221*(1+'Calc base'!M222),2)-O222-'Calc base'!Y222)</f>
        <v>0</v>
      </c>
      <c r="AB222">
        <f>MAX(0,ROUND(AZ221*(1+'Calc base'!N222),2)-P222-'Calc base'!Z222)</f>
        <v>0</v>
      </c>
      <c r="AC222">
        <f>MAX(0,ROUND(BA221*(1+'Calc base'!O222),2)-Q222-'Calc base'!AA222)</f>
        <v>0</v>
      </c>
      <c r="AD222">
        <f>MAX(0,ROUND(BB221*(1+'Calc base'!P222),2)-R222-'Calc base'!AB222)</f>
        <v>0</v>
      </c>
      <c r="AE222">
        <f>MAX(0,ROUND(BC221*(1+'Calc base'!Q222),2)-S222-'Calc base'!AC222)</f>
        <v>0</v>
      </c>
      <c r="AF222">
        <f>MAX(0,ROUND(BD221*(1+'Calc base'!R222),2)-T222-'Calc base'!AD222)</f>
        <v>0</v>
      </c>
      <c r="AG222">
        <f>MAX(0,ROUND(BE221*(1+'Calc base'!S222),2)-U222-'Calc base'!AE222)</f>
        <v>0</v>
      </c>
      <c r="AH222">
        <f>IF('Calc base'!C$14=0,0,MIN(V222,MAX(0,$E222-SUMIFS($V222:$AG222,'Calc base'!$C$17:$N$17,"&lt;"&amp;'Calc base'!C$17,'Calc base'!$C$14:$N$14,1))))</f>
        <v>0</v>
      </c>
      <c r="AI222">
        <f>IF('Calc base'!D$14=0,0,MIN(W222,MAX(0,$E222-SUMIFS($V222:$AG222,'Calc base'!$C$17:$N$17,"&lt;"&amp;'Calc base'!D$17,'Calc base'!$C$14:$N$14,1))))</f>
        <v>0</v>
      </c>
      <c r="AJ222">
        <f>IF('Calc base'!E$14=0,0,MIN(X222,MAX(0,$E222-SUMIFS($V222:$AG222,'Calc base'!$C$17:$N$17,"&lt;"&amp;'Calc base'!E$17,'Calc base'!$C$14:$N$14,1))))</f>
        <v>0</v>
      </c>
      <c r="AK222">
        <f>IF('Calc base'!F$14=0,0,MIN(Y222,MAX(0,$E222-SUMIFS($V222:$AG222,'Calc base'!$C$17:$N$17,"&lt;"&amp;'Calc base'!F$17,'Calc base'!$C$14:$N$14,1))))</f>
        <v>0</v>
      </c>
      <c r="AL222">
        <f>IF('Calc base'!G$14=0,0,MIN(Z222,MAX(0,$E222-SUMIFS($V222:$AG222,'Calc base'!$C$17:$N$17,"&lt;"&amp;'Calc base'!G$17,'Calc base'!$C$14:$N$14,1))))</f>
        <v>0</v>
      </c>
      <c r="AM222">
        <f>IF('Calc base'!H$14=0,0,MIN(AA222,MAX(0,$E222-SUMIFS($V222:$AG222,'Calc base'!$C$17:$N$17,"&lt;"&amp;'Calc base'!H$17,'Calc base'!$C$14:$N$14,1))))</f>
        <v>0</v>
      </c>
      <c r="AN222">
        <f>IF('Calc base'!I$14=0,0,MIN(AB222,MAX(0,$E222-SUMIFS($V222:$AG222,'Calc base'!$C$17:$N$17,"&lt;"&amp;'Calc base'!I$17,'Calc base'!$C$14:$N$14,1))))</f>
        <v>0</v>
      </c>
      <c r="AO222">
        <f>IF('Calc base'!J$14=0,0,MIN(AC222,MAX(0,$E222-SUMIFS($V222:$AG222,'Calc base'!$C$17:$N$17,"&lt;"&amp;'Calc base'!J$17,'Calc base'!$C$14:$N$14,1))))</f>
        <v>0</v>
      </c>
      <c r="AP222">
        <f>IF('Calc base'!K$14=0,0,MIN(AD222,MAX(0,$E222-SUMIFS($V222:$AG222,'Calc base'!$C$17:$N$17,"&lt;"&amp;'Calc base'!K$17,'Calc base'!$C$14:$N$14,1))))</f>
        <v>0</v>
      </c>
      <c r="AQ222">
        <f>IF('Calc base'!L$14=0,0,MIN(AE222,MAX(0,$E222-SUMIFS($V222:$AG222,'Calc base'!$C$17:$N$17,"&lt;"&amp;'Calc base'!L$17,'Calc base'!$C$14:$N$14,1))))</f>
        <v>0</v>
      </c>
      <c r="AR222">
        <f>IF('Calc base'!M$14=0,0,MIN(AF222,MAX(0,$E222-SUMIFS($V222:$AG222,'Calc base'!$C$17:$N$17,"&lt;"&amp;'Calc base'!M$17,'Calc base'!$C$14:$N$14,1))))</f>
        <v>0</v>
      </c>
      <c r="AS222">
        <f>IF('Calc base'!N$14=0,0,MIN(AG222,MAX(0,$E222-SUMIFS($V222:$AG222,'Calc base'!$C$17:$N$17,"&lt;"&amp;'Calc base'!N$17,'Calc base'!$C$14:$N$14,1))))</f>
        <v>0</v>
      </c>
      <c r="AT222">
        <f>V222-AH222</f>
        <v>0</v>
      </c>
      <c r="AU222">
        <f>W222-AI222</f>
        <v>0</v>
      </c>
      <c r="AV222">
        <f>X222-AJ222</f>
        <v>0</v>
      </c>
      <c r="AW222">
        <f>Y222-AK222</f>
        <v>0</v>
      </c>
      <c r="AX222">
        <f>Z222-AL222</f>
        <v>0</v>
      </c>
      <c r="AY222">
        <f>AA222-AM222</f>
        <v>0</v>
      </c>
      <c r="AZ222">
        <f>AB222-AN222</f>
        <v>0</v>
      </c>
      <c r="BA222">
        <f>AC222-AO222</f>
        <v>0</v>
      </c>
      <c r="BB222">
        <f>AD222-AP222</f>
        <v>0</v>
      </c>
      <c r="BC222">
        <f>AE222-AQ222</f>
        <v>0</v>
      </c>
      <c r="BD222">
        <f>AF222-AR222</f>
        <v>0</v>
      </c>
      <c r="BE222">
        <f>AG222-AS222</f>
        <v>0</v>
      </c>
    </row>
    <row r="223">
      <c r="A223" t="n">
        <v>193</v>
      </c>
      <c r="B223">
        <f>SUMPRODUCT(ROUND($AT222:$BE222*(1+'Calc base'!$H223:$S223),2))</f>
        <v>0</v>
      </c>
      <c r="C223">
        <f>SUM(J223:U223)</f>
        <v>0</v>
      </c>
      <c r="D223">
        <f>SUM(V223:AG223)</f>
        <v>0</v>
      </c>
      <c r="E223">
        <f>MAX(0,IF(Impostazioni!$B$7="No",'Calc base'!$C223-$C$31,'Calc base'!$C223-C223)+'Calc base'!$G223+'Calc base'!$F223-(B223-C223-D223))</f>
        <v>900</v>
      </c>
      <c r="F223">
        <f>SUM(AH223:AS223)</f>
        <v>0</v>
      </c>
      <c r="G223">
        <f>SUM(AT223:BE223)</f>
        <v>0</v>
      </c>
      <c r="H223">
        <f>B223-G222</f>
        <v>0</v>
      </c>
      <c r="I223">
        <f>B223-G223</f>
        <v>0</v>
      </c>
      <c r="J223">
        <f>IF(AT222&lt;=0,0,IF(ROUND(AT222*(1+'Calc base'!H223),2)-MAX('Calc base'!C$12,ROUND('Calc base'!C$13*AT222,2))&lt;1,ROUND(AT222*(1+'Calc base'!H223),2),MAX('Calc base'!C$12,ROUND('Calc base'!C$13*AT222,2))))</f>
        <v>0</v>
      </c>
      <c r="K223">
        <f>IF(AU222&lt;=0,0,IF(ROUND(AU222*(1+'Calc base'!I223),2)-MAX('Calc base'!D$12,ROUND('Calc base'!D$13*AU222,2))&lt;1,ROUND(AU222*(1+'Calc base'!I223),2),MAX('Calc base'!D$12,ROUND('Calc base'!D$13*AU222,2))))</f>
        <v>0</v>
      </c>
      <c r="L223">
        <f>IF(AV222&lt;=0,0,IF(ROUND(AV222*(1+'Calc base'!J223),2)-MAX('Calc base'!E$12,ROUND('Calc base'!E$13*AV222,2))&lt;1,ROUND(AV222*(1+'Calc base'!J223),2),MAX('Calc base'!E$12,ROUND('Calc base'!E$13*AV222,2))))</f>
        <v>0</v>
      </c>
      <c r="M223">
        <f>IF(AW222&lt;=0,0,IF(ROUND(AW222*(1+'Calc base'!K223),2)-MAX('Calc base'!F$12,ROUND('Calc base'!F$13*AW222,2))&lt;1,ROUND(AW222*(1+'Calc base'!K223),2),MAX('Calc base'!F$12,ROUND('Calc base'!F$13*AW222,2))))</f>
        <v>0</v>
      </c>
      <c r="N223">
        <f>IF(AX222&lt;=0,0,IF(ROUND(AX222*(1+'Calc base'!L223),2)-MAX('Calc base'!G$12,ROUND('Calc base'!G$13*AX222,2))&lt;1,ROUND(AX222*(1+'Calc base'!L223),2),MAX('Calc base'!G$12,ROUND('Calc base'!G$13*AX222,2))))</f>
        <v>0</v>
      </c>
      <c r="O223">
        <f>IF(AY222&lt;=0,0,IF(ROUND(AY222*(1+'Calc base'!M223),2)-MAX('Calc base'!H$12,ROUND('Calc base'!H$13*AY222,2))&lt;1,ROUND(AY222*(1+'Calc base'!M223),2),MAX('Calc base'!H$12,ROUND('Calc base'!H$13*AY222,2))))</f>
        <v>0</v>
      </c>
      <c r="P223">
        <f>IF(AZ222&lt;=0,0,IF(ROUND(AZ222*(1+'Calc base'!N223),2)-MAX('Calc base'!I$12,ROUND('Calc base'!I$13*AZ222,2))&lt;1,ROUND(AZ222*(1+'Calc base'!N223),2),MAX('Calc base'!I$12,ROUND('Calc base'!I$13*AZ222,2))))</f>
        <v>0</v>
      </c>
      <c r="Q223">
        <f>IF(BA222&lt;=0,0,IF(ROUND(BA222*(1+'Calc base'!O223),2)-MAX('Calc base'!J$12,ROUND('Calc base'!J$13*BA222,2))&lt;1,ROUND(BA222*(1+'Calc base'!O223),2),MAX('Calc base'!J$12,ROUND('Calc base'!J$13*BA222,2))))</f>
        <v>0</v>
      </c>
      <c r="R223">
        <f>IF(BB222&lt;=0,0,IF(ROUND(BB222*(1+'Calc base'!P223),2)-MAX('Calc base'!K$12,ROUND('Calc base'!K$13*BB222,2))&lt;1,ROUND(BB222*(1+'Calc base'!P223),2),MAX('Calc base'!K$12,ROUND('Calc base'!K$13*BB222,2))))</f>
        <v>0</v>
      </c>
      <c r="S223">
        <f>IF(BC222&lt;=0,0,IF(ROUND(BC222*(1+'Calc base'!Q223),2)-MAX('Calc base'!L$12,ROUND('Calc base'!L$13*BC222,2))&lt;1,ROUND(BC222*(1+'Calc base'!Q223),2),MAX('Calc base'!L$12,ROUND('Calc base'!L$13*BC222,2))))</f>
        <v>0</v>
      </c>
      <c r="T223">
        <f>IF(BD222&lt;=0,0,IF(ROUND(BD222*(1+'Calc base'!R223),2)-MAX('Calc base'!M$12,ROUND('Calc base'!M$13*BD222,2))&lt;1,ROUND(BD222*(1+'Calc base'!R223),2),MAX('Calc base'!M$12,ROUND('Calc base'!M$13*BD222,2))))</f>
        <v>0</v>
      </c>
      <c r="U223">
        <f>IF(BE222&lt;=0,0,IF(ROUND(BE222*(1+'Calc base'!S223),2)-MAX('Calc base'!N$12,ROUND('Calc base'!N$13*BE222,2))&lt;1,ROUND(BE222*(1+'Calc base'!S223),2),MAX('Calc base'!N$12,ROUND('Calc base'!N$13*BE222,2))))</f>
        <v>0</v>
      </c>
      <c r="V223">
        <f>MAX(0,ROUND(AT222*(1+'Calc base'!H223),2)-J223-'Calc base'!T223)</f>
        <v>0</v>
      </c>
      <c r="W223">
        <f>MAX(0,ROUND(AU222*(1+'Calc base'!I223),2)-K223-'Calc base'!U223)</f>
        <v>0</v>
      </c>
      <c r="X223">
        <f>MAX(0,ROUND(AV222*(1+'Calc base'!J223),2)-L223-'Calc base'!V223)</f>
        <v>0</v>
      </c>
      <c r="Y223">
        <f>MAX(0,ROUND(AW222*(1+'Calc base'!K223),2)-M223-'Calc base'!W223)</f>
        <v>0</v>
      </c>
      <c r="Z223">
        <f>MAX(0,ROUND(AX222*(1+'Calc base'!L223),2)-N223-'Calc base'!X223)</f>
        <v>0</v>
      </c>
      <c r="AA223">
        <f>MAX(0,ROUND(AY222*(1+'Calc base'!M223),2)-O223-'Calc base'!Y223)</f>
        <v>0</v>
      </c>
      <c r="AB223">
        <f>MAX(0,ROUND(AZ222*(1+'Calc base'!N223),2)-P223-'Calc base'!Z223)</f>
        <v>0</v>
      </c>
      <c r="AC223">
        <f>MAX(0,ROUND(BA222*(1+'Calc base'!O223),2)-Q223-'Calc base'!AA223)</f>
        <v>0</v>
      </c>
      <c r="AD223">
        <f>MAX(0,ROUND(BB222*(1+'Calc base'!P223),2)-R223-'Calc base'!AB223)</f>
        <v>0</v>
      </c>
      <c r="AE223">
        <f>MAX(0,ROUND(BC222*(1+'Calc base'!Q223),2)-S223-'Calc base'!AC223)</f>
        <v>0</v>
      </c>
      <c r="AF223">
        <f>MAX(0,ROUND(BD222*(1+'Calc base'!R223),2)-T223-'Calc base'!AD223)</f>
        <v>0</v>
      </c>
      <c r="AG223">
        <f>MAX(0,ROUND(BE222*(1+'Calc base'!S223),2)-U223-'Calc base'!AE223)</f>
        <v>0</v>
      </c>
      <c r="AH223">
        <f>IF('Calc base'!C$14=0,0,MIN(V223,MAX(0,$E223-SUMIFS($V223:$AG223,'Calc base'!$C$17:$N$17,"&lt;"&amp;'Calc base'!C$17,'Calc base'!$C$14:$N$14,1))))</f>
        <v>0</v>
      </c>
      <c r="AI223">
        <f>IF('Calc base'!D$14=0,0,MIN(W223,MAX(0,$E223-SUMIFS($V223:$AG223,'Calc base'!$C$17:$N$17,"&lt;"&amp;'Calc base'!D$17,'Calc base'!$C$14:$N$14,1))))</f>
        <v>0</v>
      </c>
      <c r="AJ223">
        <f>IF('Calc base'!E$14=0,0,MIN(X223,MAX(0,$E223-SUMIFS($V223:$AG223,'Calc base'!$C$17:$N$17,"&lt;"&amp;'Calc base'!E$17,'Calc base'!$C$14:$N$14,1))))</f>
        <v>0</v>
      </c>
      <c r="AK223">
        <f>IF('Calc base'!F$14=0,0,MIN(Y223,MAX(0,$E223-SUMIFS($V223:$AG223,'Calc base'!$C$17:$N$17,"&lt;"&amp;'Calc base'!F$17,'Calc base'!$C$14:$N$14,1))))</f>
        <v>0</v>
      </c>
      <c r="AL223">
        <f>IF('Calc base'!G$14=0,0,MIN(Z223,MAX(0,$E223-SUMIFS($V223:$AG223,'Calc base'!$C$17:$N$17,"&lt;"&amp;'Calc base'!G$17,'Calc base'!$C$14:$N$14,1))))</f>
        <v>0</v>
      </c>
      <c r="AM223">
        <f>IF('Calc base'!H$14=0,0,MIN(AA223,MAX(0,$E223-SUMIFS($V223:$AG223,'Calc base'!$C$17:$N$17,"&lt;"&amp;'Calc base'!H$17,'Calc base'!$C$14:$N$14,1))))</f>
        <v>0</v>
      </c>
      <c r="AN223">
        <f>IF('Calc base'!I$14=0,0,MIN(AB223,MAX(0,$E223-SUMIFS($V223:$AG223,'Calc base'!$C$17:$N$17,"&lt;"&amp;'Calc base'!I$17,'Calc base'!$C$14:$N$14,1))))</f>
        <v>0</v>
      </c>
      <c r="AO223">
        <f>IF('Calc base'!J$14=0,0,MIN(AC223,MAX(0,$E223-SUMIFS($V223:$AG223,'Calc base'!$C$17:$N$17,"&lt;"&amp;'Calc base'!J$17,'Calc base'!$C$14:$N$14,1))))</f>
        <v>0</v>
      </c>
      <c r="AP223">
        <f>IF('Calc base'!K$14=0,0,MIN(AD223,MAX(0,$E223-SUMIFS($V223:$AG223,'Calc base'!$C$17:$N$17,"&lt;"&amp;'Calc base'!K$17,'Calc base'!$C$14:$N$14,1))))</f>
        <v>0</v>
      </c>
      <c r="AQ223">
        <f>IF('Calc base'!L$14=0,0,MIN(AE223,MAX(0,$E223-SUMIFS($V223:$AG223,'Calc base'!$C$17:$N$17,"&lt;"&amp;'Calc base'!L$17,'Calc base'!$C$14:$N$14,1))))</f>
        <v>0</v>
      </c>
      <c r="AR223">
        <f>IF('Calc base'!M$14=0,0,MIN(AF223,MAX(0,$E223-SUMIFS($V223:$AG223,'Calc base'!$C$17:$N$17,"&lt;"&amp;'Calc base'!M$17,'Calc base'!$C$14:$N$14,1))))</f>
        <v>0</v>
      </c>
      <c r="AS223">
        <f>IF('Calc base'!N$14=0,0,MIN(AG223,MAX(0,$E223-SUMIFS($V223:$AG223,'Calc base'!$C$17:$N$17,"&lt;"&amp;'Calc base'!N$17,'Calc base'!$C$14:$N$14,1))))</f>
        <v>0</v>
      </c>
      <c r="AT223">
        <f>V223-AH223</f>
        <v>0</v>
      </c>
      <c r="AU223">
        <f>W223-AI223</f>
        <v>0</v>
      </c>
      <c r="AV223">
        <f>X223-AJ223</f>
        <v>0</v>
      </c>
      <c r="AW223">
        <f>Y223-AK223</f>
        <v>0</v>
      </c>
      <c r="AX223">
        <f>Z223-AL223</f>
        <v>0</v>
      </c>
      <c r="AY223">
        <f>AA223-AM223</f>
        <v>0</v>
      </c>
      <c r="AZ223">
        <f>AB223-AN223</f>
        <v>0</v>
      </c>
      <c r="BA223">
        <f>AC223-AO223</f>
        <v>0</v>
      </c>
      <c r="BB223">
        <f>AD223-AP223</f>
        <v>0</v>
      </c>
      <c r="BC223">
        <f>AE223-AQ223</f>
        <v>0</v>
      </c>
      <c r="BD223">
        <f>AF223-AR223</f>
        <v>0</v>
      </c>
      <c r="BE223">
        <f>AG223-AS223</f>
        <v>0</v>
      </c>
    </row>
    <row r="224">
      <c r="A224" t="n">
        <v>194</v>
      </c>
      <c r="B224">
        <f>SUMPRODUCT(ROUND($AT223:$BE223*(1+'Calc base'!$H224:$S224),2))</f>
        <v>0</v>
      </c>
      <c r="C224">
        <f>SUM(J224:U224)</f>
        <v>0</v>
      </c>
      <c r="D224">
        <f>SUM(V224:AG224)</f>
        <v>0</v>
      </c>
      <c r="E224">
        <f>MAX(0,IF(Impostazioni!$B$7="No",'Calc base'!$C224-$C$31,'Calc base'!$C224-C224)+'Calc base'!$G224+'Calc base'!$F224-(B224-C224-D224))</f>
        <v>900</v>
      </c>
      <c r="F224">
        <f>SUM(AH224:AS224)</f>
        <v>0</v>
      </c>
      <c r="G224">
        <f>SUM(AT224:BE224)</f>
        <v>0</v>
      </c>
      <c r="H224">
        <f>B224-G223</f>
        <v>0</v>
      </c>
      <c r="I224">
        <f>B224-G224</f>
        <v>0</v>
      </c>
      <c r="J224">
        <f>IF(AT223&lt;=0,0,IF(ROUND(AT223*(1+'Calc base'!H224),2)-MAX('Calc base'!C$12,ROUND('Calc base'!C$13*AT223,2))&lt;1,ROUND(AT223*(1+'Calc base'!H224),2),MAX('Calc base'!C$12,ROUND('Calc base'!C$13*AT223,2))))</f>
        <v>0</v>
      </c>
      <c r="K224">
        <f>IF(AU223&lt;=0,0,IF(ROUND(AU223*(1+'Calc base'!I224),2)-MAX('Calc base'!D$12,ROUND('Calc base'!D$13*AU223,2))&lt;1,ROUND(AU223*(1+'Calc base'!I224),2),MAX('Calc base'!D$12,ROUND('Calc base'!D$13*AU223,2))))</f>
        <v>0</v>
      </c>
      <c r="L224">
        <f>IF(AV223&lt;=0,0,IF(ROUND(AV223*(1+'Calc base'!J224),2)-MAX('Calc base'!E$12,ROUND('Calc base'!E$13*AV223,2))&lt;1,ROUND(AV223*(1+'Calc base'!J224),2),MAX('Calc base'!E$12,ROUND('Calc base'!E$13*AV223,2))))</f>
        <v>0</v>
      </c>
      <c r="M224">
        <f>IF(AW223&lt;=0,0,IF(ROUND(AW223*(1+'Calc base'!K224),2)-MAX('Calc base'!F$12,ROUND('Calc base'!F$13*AW223,2))&lt;1,ROUND(AW223*(1+'Calc base'!K224),2),MAX('Calc base'!F$12,ROUND('Calc base'!F$13*AW223,2))))</f>
        <v>0</v>
      </c>
      <c r="N224">
        <f>IF(AX223&lt;=0,0,IF(ROUND(AX223*(1+'Calc base'!L224),2)-MAX('Calc base'!G$12,ROUND('Calc base'!G$13*AX223,2))&lt;1,ROUND(AX223*(1+'Calc base'!L224),2),MAX('Calc base'!G$12,ROUND('Calc base'!G$13*AX223,2))))</f>
        <v>0</v>
      </c>
      <c r="O224">
        <f>IF(AY223&lt;=0,0,IF(ROUND(AY223*(1+'Calc base'!M224),2)-MAX('Calc base'!H$12,ROUND('Calc base'!H$13*AY223,2))&lt;1,ROUND(AY223*(1+'Calc base'!M224),2),MAX('Calc base'!H$12,ROUND('Calc base'!H$13*AY223,2))))</f>
        <v>0</v>
      </c>
      <c r="P224">
        <f>IF(AZ223&lt;=0,0,IF(ROUND(AZ223*(1+'Calc base'!N224),2)-MAX('Calc base'!I$12,ROUND('Calc base'!I$13*AZ223,2))&lt;1,ROUND(AZ223*(1+'Calc base'!N224),2),MAX('Calc base'!I$12,ROUND('Calc base'!I$13*AZ223,2))))</f>
        <v>0</v>
      </c>
      <c r="Q224">
        <f>IF(BA223&lt;=0,0,IF(ROUND(BA223*(1+'Calc base'!O224),2)-MAX('Calc base'!J$12,ROUND('Calc base'!J$13*BA223,2))&lt;1,ROUND(BA223*(1+'Calc base'!O224),2),MAX('Calc base'!J$12,ROUND('Calc base'!J$13*BA223,2))))</f>
        <v>0</v>
      </c>
      <c r="R224">
        <f>IF(BB223&lt;=0,0,IF(ROUND(BB223*(1+'Calc base'!P224),2)-MAX('Calc base'!K$12,ROUND('Calc base'!K$13*BB223,2))&lt;1,ROUND(BB223*(1+'Calc base'!P224),2),MAX('Calc base'!K$12,ROUND('Calc base'!K$13*BB223,2))))</f>
        <v>0</v>
      </c>
      <c r="S224">
        <f>IF(BC223&lt;=0,0,IF(ROUND(BC223*(1+'Calc base'!Q224),2)-MAX('Calc base'!L$12,ROUND('Calc base'!L$13*BC223,2))&lt;1,ROUND(BC223*(1+'Calc base'!Q224),2),MAX('Calc base'!L$12,ROUND('Calc base'!L$13*BC223,2))))</f>
        <v>0</v>
      </c>
      <c r="T224">
        <f>IF(BD223&lt;=0,0,IF(ROUND(BD223*(1+'Calc base'!R224),2)-MAX('Calc base'!M$12,ROUND('Calc base'!M$13*BD223,2))&lt;1,ROUND(BD223*(1+'Calc base'!R224),2),MAX('Calc base'!M$12,ROUND('Calc base'!M$13*BD223,2))))</f>
        <v>0</v>
      </c>
      <c r="U224">
        <f>IF(BE223&lt;=0,0,IF(ROUND(BE223*(1+'Calc base'!S224),2)-MAX('Calc base'!N$12,ROUND('Calc base'!N$13*BE223,2))&lt;1,ROUND(BE223*(1+'Calc base'!S224),2),MAX('Calc base'!N$12,ROUND('Calc base'!N$13*BE223,2))))</f>
        <v>0</v>
      </c>
      <c r="V224">
        <f>MAX(0,ROUND(AT223*(1+'Calc base'!H224),2)-J224-'Calc base'!T224)</f>
        <v>0</v>
      </c>
      <c r="W224">
        <f>MAX(0,ROUND(AU223*(1+'Calc base'!I224),2)-K224-'Calc base'!U224)</f>
        <v>0</v>
      </c>
      <c r="X224">
        <f>MAX(0,ROUND(AV223*(1+'Calc base'!J224),2)-L224-'Calc base'!V224)</f>
        <v>0</v>
      </c>
      <c r="Y224">
        <f>MAX(0,ROUND(AW223*(1+'Calc base'!K224),2)-M224-'Calc base'!W224)</f>
        <v>0</v>
      </c>
      <c r="Z224">
        <f>MAX(0,ROUND(AX223*(1+'Calc base'!L224),2)-N224-'Calc base'!X224)</f>
        <v>0</v>
      </c>
      <c r="AA224">
        <f>MAX(0,ROUND(AY223*(1+'Calc base'!M224),2)-O224-'Calc base'!Y224)</f>
        <v>0</v>
      </c>
      <c r="AB224">
        <f>MAX(0,ROUND(AZ223*(1+'Calc base'!N224),2)-P224-'Calc base'!Z224)</f>
        <v>0</v>
      </c>
      <c r="AC224">
        <f>MAX(0,ROUND(BA223*(1+'Calc base'!O224),2)-Q224-'Calc base'!AA224)</f>
        <v>0</v>
      </c>
      <c r="AD224">
        <f>MAX(0,ROUND(BB223*(1+'Calc base'!P224),2)-R224-'Calc base'!AB224)</f>
        <v>0</v>
      </c>
      <c r="AE224">
        <f>MAX(0,ROUND(BC223*(1+'Calc base'!Q224),2)-S224-'Calc base'!AC224)</f>
        <v>0</v>
      </c>
      <c r="AF224">
        <f>MAX(0,ROUND(BD223*(1+'Calc base'!R224),2)-T224-'Calc base'!AD224)</f>
        <v>0</v>
      </c>
      <c r="AG224">
        <f>MAX(0,ROUND(BE223*(1+'Calc base'!S224),2)-U224-'Calc base'!AE224)</f>
        <v>0</v>
      </c>
      <c r="AH224">
        <f>IF('Calc base'!C$14=0,0,MIN(V224,MAX(0,$E224-SUMIFS($V224:$AG224,'Calc base'!$C$17:$N$17,"&lt;"&amp;'Calc base'!C$17,'Calc base'!$C$14:$N$14,1))))</f>
        <v>0</v>
      </c>
      <c r="AI224">
        <f>IF('Calc base'!D$14=0,0,MIN(W224,MAX(0,$E224-SUMIFS($V224:$AG224,'Calc base'!$C$17:$N$17,"&lt;"&amp;'Calc base'!D$17,'Calc base'!$C$14:$N$14,1))))</f>
        <v>0</v>
      </c>
      <c r="AJ224">
        <f>IF('Calc base'!E$14=0,0,MIN(X224,MAX(0,$E224-SUMIFS($V224:$AG224,'Calc base'!$C$17:$N$17,"&lt;"&amp;'Calc base'!E$17,'Calc base'!$C$14:$N$14,1))))</f>
        <v>0</v>
      </c>
      <c r="AK224">
        <f>IF('Calc base'!F$14=0,0,MIN(Y224,MAX(0,$E224-SUMIFS($V224:$AG224,'Calc base'!$C$17:$N$17,"&lt;"&amp;'Calc base'!F$17,'Calc base'!$C$14:$N$14,1))))</f>
        <v>0</v>
      </c>
      <c r="AL224">
        <f>IF('Calc base'!G$14=0,0,MIN(Z224,MAX(0,$E224-SUMIFS($V224:$AG224,'Calc base'!$C$17:$N$17,"&lt;"&amp;'Calc base'!G$17,'Calc base'!$C$14:$N$14,1))))</f>
        <v>0</v>
      </c>
      <c r="AM224">
        <f>IF('Calc base'!H$14=0,0,MIN(AA224,MAX(0,$E224-SUMIFS($V224:$AG224,'Calc base'!$C$17:$N$17,"&lt;"&amp;'Calc base'!H$17,'Calc base'!$C$14:$N$14,1))))</f>
        <v>0</v>
      </c>
      <c r="AN224">
        <f>IF('Calc base'!I$14=0,0,MIN(AB224,MAX(0,$E224-SUMIFS($V224:$AG224,'Calc base'!$C$17:$N$17,"&lt;"&amp;'Calc base'!I$17,'Calc base'!$C$14:$N$14,1))))</f>
        <v>0</v>
      </c>
      <c r="AO224">
        <f>IF('Calc base'!J$14=0,0,MIN(AC224,MAX(0,$E224-SUMIFS($V224:$AG224,'Calc base'!$C$17:$N$17,"&lt;"&amp;'Calc base'!J$17,'Calc base'!$C$14:$N$14,1))))</f>
        <v>0</v>
      </c>
      <c r="AP224">
        <f>IF('Calc base'!K$14=0,0,MIN(AD224,MAX(0,$E224-SUMIFS($V224:$AG224,'Calc base'!$C$17:$N$17,"&lt;"&amp;'Calc base'!K$17,'Calc base'!$C$14:$N$14,1))))</f>
        <v>0</v>
      </c>
      <c r="AQ224">
        <f>IF('Calc base'!L$14=0,0,MIN(AE224,MAX(0,$E224-SUMIFS($V224:$AG224,'Calc base'!$C$17:$N$17,"&lt;"&amp;'Calc base'!L$17,'Calc base'!$C$14:$N$14,1))))</f>
        <v>0</v>
      </c>
      <c r="AR224">
        <f>IF('Calc base'!M$14=0,0,MIN(AF224,MAX(0,$E224-SUMIFS($V224:$AG224,'Calc base'!$C$17:$N$17,"&lt;"&amp;'Calc base'!M$17,'Calc base'!$C$14:$N$14,1))))</f>
        <v>0</v>
      </c>
      <c r="AS224">
        <f>IF('Calc base'!N$14=0,0,MIN(AG224,MAX(0,$E224-SUMIFS($V224:$AG224,'Calc base'!$C$17:$N$17,"&lt;"&amp;'Calc base'!N$17,'Calc base'!$C$14:$N$14,1))))</f>
        <v>0</v>
      </c>
      <c r="AT224">
        <f>V224-AH224</f>
        <v>0</v>
      </c>
      <c r="AU224">
        <f>W224-AI224</f>
        <v>0</v>
      </c>
      <c r="AV224">
        <f>X224-AJ224</f>
        <v>0</v>
      </c>
      <c r="AW224">
        <f>Y224-AK224</f>
        <v>0</v>
      </c>
      <c r="AX224">
        <f>Z224-AL224</f>
        <v>0</v>
      </c>
      <c r="AY224">
        <f>AA224-AM224</f>
        <v>0</v>
      </c>
      <c r="AZ224">
        <f>AB224-AN224</f>
        <v>0</v>
      </c>
      <c r="BA224">
        <f>AC224-AO224</f>
        <v>0</v>
      </c>
      <c r="BB224">
        <f>AD224-AP224</f>
        <v>0</v>
      </c>
      <c r="BC224">
        <f>AE224-AQ224</f>
        <v>0</v>
      </c>
      <c r="BD224">
        <f>AF224-AR224</f>
        <v>0</v>
      </c>
      <c r="BE224">
        <f>AG224-AS224</f>
        <v>0</v>
      </c>
    </row>
    <row r="225">
      <c r="A225" t="n">
        <v>195</v>
      </c>
      <c r="B225">
        <f>SUMPRODUCT(ROUND($AT224:$BE224*(1+'Calc base'!$H225:$S225),2))</f>
        <v>0</v>
      </c>
      <c r="C225">
        <f>SUM(J225:U225)</f>
        <v>0</v>
      </c>
      <c r="D225">
        <f>SUM(V225:AG225)</f>
        <v>0</v>
      </c>
      <c r="E225">
        <f>MAX(0,IF(Impostazioni!$B$7="No",'Calc base'!$C225-$C$31,'Calc base'!$C225-C225)+'Calc base'!$G225+'Calc base'!$F225-(B225-C225-D225))</f>
        <v>900</v>
      </c>
      <c r="F225">
        <f>SUM(AH225:AS225)</f>
        <v>0</v>
      </c>
      <c r="G225">
        <f>SUM(AT225:BE225)</f>
        <v>0</v>
      </c>
      <c r="H225">
        <f>B225-G224</f>
        <v>0</v>
      </c>
      <c r="I225">
        <f>B225-G225</f>
        <v>0</v>
      </c>
      <c r="J225">
        <f>IF(AT224&lt;=0,0,IF(ROUND(AT224*(1+'Calc base'!H225),2)-MAX('Calc base'!C$12,ROUND('Calc base'!C$13*AT224,2))&lt;1,ROUND(AT224*(1+'Calc base'!H225),2),MAX('Calc base'!C$12,ROUND('Calc base'!C$13*AT224,2))))</f>
        <v>0</v>
      </c>
      <c r="K225">
        <f>IF(AU224&lt;=0,0,IF(ROUND(AU224*(1+'Calc base'!I225),2)-MAX('Calc base'!D$12,ROUND('Calc base'!D$13*AU224,2))&lt;1,ROUND(AU224*(1+'Calc base'!I225),2),MAX('Calc base'!D$12,ROUND('Calc base'!D$13*AU224,2))))</f>
        <v>0</v>
      </c>
      <c r="L225">
        <f>IF(AV224&lt;=0,0,IF(ROUND(AV224*(1+'Calc base'!J225),2)-MAX('Calc base'!E$12,ROUND('Calc base'!E$13*AV224,2))&lt;1,ROUND(AV224*(1+'Calc base'!J225),2),MAX('Calc base'!E$12,ROUND('Calc base'!E$13*AV224,2))))</f>
        <v>0</v>
      </c>
      <c r="M225">
        <f>IF(AW224&lt;=0,0,IF(ROUND(AW224*(1+'Calc base'!K225),2)-MAX('Calc base'!F$12,ROUND('Calc base'!F$13*AW224,2))&lt;1,ROUND(AW224*(1+'Calc base'!K225),2),MAX('Calc base'!F$12,ROUND('Calc base'!F$13*AW224,2))))</f>
        <v>0</v>
      </c>
      <c r="N225">
        <f>IF(AX224&lt;=0,0,IF(ROUND(AX224*(1+'Calc base'!L225),2)-MAX('Calc base'!G$12,ROUND('Calc base'!G$13*AX224,2))&lt;1,ROUND(AX224*(1+'Calc base'!L225),2),MAX('Calc base'!G$12,ROUND('Calc base'!G$13*AX224,2))))</f>
        <v>0</v>
      </c>
      <c r="O225">
        <f>IF(AY224&lt;=0,0,IF(ROUND(AY224*(1+'Calc base'!M225),2)-MAX('Calc base'!H$12,ROUND('Calc base'!H$13*AY224,2))&lt;1,ROUND(AY224*(1+'Calc base'!M225),2),MAX('Calc base'!H$12,ROUND('Calc base'!H$13*AY224,2))))</f>
        <v>0</v>
      </c>
      <c r="P225">
        <f>IF(AZ224&lt;=0,0,IF(ROUND(AZ224*(1+'Calc base'!N225),2)-MAX('Calc base'!I$12,ROUND('Calc base'!I$13*AZ224,2))&lt;1,ROUND(AZ224*(1+'Calc base'!N225),2),MAX('Calc base'!I$12,ROUND('Calc base'!I$13*AZ224,2))))</f>
        <v>0</v>
      </c>
      <c r="Q225">
        <f>IF(BA224&lt;=0,0,IF(ROUND(BA224*(1+'Calc base'!O225),2)-MAX('Calc base'!J$12,ROUND('Calc base'!J$13*BA224,2))&lt;1,ROUND(BA224*(1+'Calc base'!O225),2),MAX('Calc base'!J$12,ROUND('Calc base'!J$13*BA224,2))))</f>
        <v>0</v>
      </c>
      <c r="R225">
        <f>IF(BB224&lt;=0,0,IF(ROUND(BB224*(1+'Calc base'!P225),2)-MAX('Calc base'!K$12,ROUND('Calc base'!K$13*BB224,2))&lt;1,ROUND(BB224*(1+'Calc base'!P225),2),MAX('Calc base'!K$12,ROUND('Calc base'!K$13*BB224,2))))</f>
        <v>0</v>
      </c>
      <c r="S225">
        <f>IF(BC224&lt;=0,0,IF(ROUND(BC224*(1+'Calc base'!Q225),2)-MAX('Calc base'!L$12,ROUND('Calc base'!L$13*BC224,2))&lt;1,ROUND(BC224*(1+'Calc base'!Q225),2),MAX('Calc base'!L$12,ROUND('Calc base'!L$13*BC224,2))))</f>
        <v>0</v>
      </c>
      <c r="T225">
        <f>IF(BD224&lt;=0,0,IF(ROUND(BD224*(1+'Calc base'!R225),2)-MAX('Calc base'!M$12,ROUND('Calc base'!M$13*BD224,2))&lt;1,ROUND(BD224*(1+'Calc base'!R225),2),MAX('Calc base'!M$12,ROUND('Calc base'!M$13*BD224,2))))</f>
        <v>0</v>
      </c>
      <c r="U225">
        <f>IF(BE224&lt;=0,0,IF(ROUND(BE224*(1+'Calc base'!S225),2)-MAX('Calc base'!N$12,ROUND('Calc base'!N$13*BE224,2))&lt;1,ROUND(BE224*(1+'Calc base'!S225),2),MAX('Calc base'!N$12,ROUND('Calc base'!N$13*BE224,2))))</f>
        <v>0</v>
      </c>
      <c r="V225">
        <f>MAX(0,ROUND(AT224*(1+'Calc base'!H225),2)-J225-'Calc base'!T225)</f>
        <v>0</v>
      </c>
      <c r="W225">
        <f>MAX(0,ROUND(AU224*(1+'Calc base'!I225),2)-K225-'Calc base'!U225)</f>
        <v>0</v>
      </c>
      <c r="X225">
        <f>MAX(0,ROUND(AV224*(1+'Calc base'!J225),2)-L225-'Calc base'!V225)</f>
        <v>0</v>
      </c>
      <c r="Y225">
        <f>MAX(0,ROUND(AW224*(1+'Calc base'!K225),2)-M225-'Calc base'!W225)</f>
        <v>0</v>
      </c>
      <c r="Z225">
        <f>MAX(0,ROUND(AX224*(1+'Calc base'!L225),2)-N225-'Calc base'!X225)</f>
        <v>0</v>
      </c>
      <c r="AA225">
        <f>MAX(0,ROUND(AY224*(1+'Calc base'!M225),2)-O225-'Calc base'!Y225)</f>
        <v>0</v>
      </c>
      <c r="AB225">
        <f>MAX(0,ROUND(AZ224*(1+'Calc base'!N225),2)-P225-'Calc base'!Z225)</f>
        <v>0</v>
      </c>
      <c r="AC225">
        <f>MAX(0,ROUND(BA224*(1+'Calc base'!O225),2)-Q225-'Calc base'!AA225)</f>
        <v>0</v>
      </c>
      <c r="AD225">
        <f>MAX(0,ROUND(BB224*(1+'Calc base'!P225),2)-R225-'Calc base'!AB225)</f>
        <v>0</v>
      </c>
      <c r="AE225">
        <f>MAX(0,ROUND(BC224*(1+'Calc base'!Q225),2)-S225-'Calc base'!AC225)</f>
        <v>0</v>
      </c>
      <c r="AF225">
        <f>MAX(0,ROUND(BD224*(1+'Calc base'!R225),2)-T225-'Calc base'!AD225)</f>
        <v>0</v>
      </c>
      <c r="AG225">
        <f>MAX(0,ROUND(BE224*(1+'Calc base'!S225),2)-U225-'Calc base'!AE225)</f>
        <v>0</v>
      </c>
      <c r="AH225">
        <f>IF('Calc base'!C$14=0,0,MIN(V225,MAX(0,$E225-SUMIFS($V225:$AG225,'Calc base'!$C$17:$N$17,"&lt;"&amp;'Calc base'!C$17,'Calc base'!$C$14:$N$14,1))))</f>
        <v>0</v>
      </c>
      <c r="AI225">
        <f>IF('Calc base'!D$14=0,0,MIN(W225,MAX(0,$E225-SUMIFS($V225:$AG225,'Calc base'!$C$17:$N$17,"&lt;"&amp;'Calc base'!D$17,'Calc base'!$C$14:$N$14,1))))</f>
        <v>0</v>
      </c>
      <c r="AJ225">
        <f>IF('Calc base'!E$14=0,0,MIN(X225,MAX(0,$E225-SUMIFS($V225:$AG225,'Calc base'!$C$17:$N$17,"&lt;"&amp;'Calc base'!E$17,'Calc base'!$C$14:$N$14,1))))</f>
        <v>0</v>
      </c>
      <c r="AK225">
        <f>IF('Calc base'!F$14=0,0,MIN(Y225,MAX(0,$E225-SUMIFS($V225:$AG225,'Calc base'!$C$17:$N$17,"&lt;"&amp;'Calc base'!F$17,'Calc base'!$C$14:$N$14,1))))</f>
        <v>0</v>
      </c>
      <c r="AL225">
        <f>IF('Calc base'!G$14=0,0,MIN(Z225,MAX(0,$E225-SUMIFS($V225:$AG225,'Calc base'!$C$17:$N$17,"&lt;"&amp;'Calc base'!G$17,'Calc base'!$C$14:$N$14,1))))</f>
        <v>0</v>
      </c>
      <c r="AM225">
        <f>IF('Calc base'!H$14=0,0,MIN(AA225,MAX(0,$E225-SUMIFS($V225:$AG225,'Calc base'!$C$17:$N$17,"&lt;"&amp;'Calc base'!H$17,'Calc base'!$C$14:$N$14,1))))</f>
        <v>0</v>
      </c>
      <c r="AN225">
        <f>IF('Calc base'!I$14=0,0,MIN(AB225,MAX(0,$E225-SUMIFS($V225:$AG225,'Calc base'!$C$17:$N$17,"&lt;"&amp;'Calc base'!I$17,'Calc base'!$C$14:$N$14,1))))</f>
        <v>0</v>
      </c>
      <c r="AO225">
        <f>IF('Calc base'!J$14=0,0,MIN(AC225,MAX(0,$E225-SUMIFS($V225:$AG225,'Calc base'!$C$17:$N$17,"&lt;"&amp;'Calc base'!J$17,'Calc base'!$C$14:$N$14,1))))</f>
        <v>0</v>
      </c>
      <c r="AP225">
        <f>IF('Calc base'!K$14=0,0,MIN(AD225,MAX(0,$E225-SUMIFS($V225:$AG225,'Calc base'!$C$17:$N$17,"&lt;"&amp;'Calc base'!K$17,'Calc base'!$C$14:$N$14,1))))</f>
        <v>0</v>
      </c>
      <c r="AQ225">
        <f>IF('Calc base'!L$14=0,0,MIN(AE225,MAX(0,$E225-SUMIFS($V225:$AG225,'Calc base'!$C$17:$N$17,"&lt;"&amp;'Calc base'!L$17,'Calc base'!$C$14:$N$14,1))))</f>
        <v>0</v>
      </c>
      <c r="AR225">
        <f>IF('Calc base'!M$14=0,0,MIN(AF225,MAX(0,$E225-SUMIFS($V225:$AG225,'Calc base'!$C$17:$N$17,"&lt;"&amp;'Calc base'!M$17,'Calc base'!$C$14:$N$14,1))))</f>
        <v>0</v>
      </c>
      <c r="AS225">
        <f>IF('Calc base'!N$14=0,0,MIN(AG225,MAX(0,$E225-SUMIFS($V225:$AG225,'Calc base'!$C$17:$N$17,"&lt;"&amp;'Calc base'!N$17,'Calc base'!$C$14:$N$14,1))))</f>
        <v>0</v>
      </c>
      <c r="AT225">
        <f>V225-AH225</f>
        <v>0</v>
      </c>
      <c r="AU225">
        <f>W225-AI225</f>
        <v>0</v>
      </c>
      <c r="AV225">
        <f>X225-AJ225</f>
        <v>0</v>
      </c>
      <c r="AW225">
        <f>Y225-AK225</f>
        <v>0</v>
      </c>
      <c r="AX225">
        <f>Z225-AL225</f>
        <v>0</v>
      </c>
      <c r="AY225">
        <f>AA225-AM225</f>
        <v>0</v>
      </c>
      <c r="AZ225">
        <f>AB225-AN225</f>
        <v>0</v>
      </c>
      <c r="BA225">
        <f>AC225-AO225</f>
        <v>0</v>
      </c>
      <c r="BB225">
        <f>AD225-AP225</f>
        <v>0</v>
      </c>
      <c r="BC225">
        <f>AE225-AQ225</f>
        <v>0</v>
      </c>
      <c r="BD225">
        <f>AF225-AR225</f>
        <v>0</v>
      </c>
      <c r="BE225">
        <f>AG225-AS225</f>
        <v>0</v>
      </c>
    </row>
    <row r="226">
      <c r="A226" t="n">
        <v>196</v>
      </c>
      <c r="B226">
        <f>SUMPRODUCT(ROUND($AT225:$BE225*(1+'Calc base'!$H226:$S226),2))</f>
        <v>0</v>
      </c>
      <c r="C226">
        <f>SUM(J226:U226)</f>
        <v>0</v>
      </c>
      <c r="D226">
        <f>SUM(V226:AG226)</f>
        <v>0</v>
      </c>
      <c r="E226">
        <f>MAX(0,IF(Impostazioni!$B$7="No",'Calc base'!$C226-$C$31,'Calc base'!$C226-C226)+'Calc base'!$G226+'Calc base'!$F226-(B226-C226-D226))</f>
        <v>900</v>
      </c>
      <c r="F226">
        <f>SUM(AH226:AS226)</f>
        <v>0</v>
      </c>
      <c r="G226">
        <f>SUM(AT226:BE226)</f>
        <v>0</v>
      </c>
      <c r="H226">
        <f>B226-G225</f>
        <v>0</v>
      </c>
      <c r="I226">
        <f>B226-G226</f>
        <v>0</v>
      </c>
      <c r="J226">
        <f>IF(AT225&lt;=0,0,IF(ROUND(AT225*(1+'Calc base'!H226),2)-MAX('Calc base'!C$12,ROUND('Calc base'!C$13*AT225,2))&lt;1,ROUND(AT225*(1+'Calc base'!H226),2),MAX('Calc base'!C$12,ROUND('Calc base'!C$13*AT225,2))))</f>
        <v>0</v>
      </c>
      <c r="K226">
        <f>IF(AU225&lt;=0,0,IF(ROUND(AU225*(1+'Calc base'!I226),2)-MAX('Calc base'!D$12,ROUND('Calc base'!D$13*AU225,2))&lt;1,ROUND(AU225*(1+'Calc base'!I226),2),MAX('Calc base'!D$12,ROUND('Calc base'!D$13*AU225,2))))</f>
        <v>0</v>
      </c>
      <c r="L226">
        <f>IF(AV225&lt;=0,0,IF(ROUND(AV225*(1+'Calc base'!J226),2)-MAX('Calc base'!E$12,ROUND('Calc base'!E$13*AV225,2))&lt;1,ROUND(AV225*(1+'Calc base'!J226),2),MAX('Calc base'!E$12,ROUND('Calc base'!E$13*AV225,2))))</f>
        <v>0</v>
      </c>
      <c r="M226">
        <f>IF(AW225&lt;=0,0,IF(ROUND(AW225*(1+'Calc base'!K226),2)-MAX('Calc base'!F$12,ROUND('Calc base'!F$13*AW225,2))&lt;1,ROUND(AW225*(1+'Calc base'!K226),2),MAX('Calc base'!F$12,ROUND('Calc base'!F$13*AW225,2))))</f>
        <v>0</v>
      </c>
      <c r="N226">
        <f>IF(AX225&lt;=0,0,IF(ROUND(AX225*(1+'Calc base'!L226),2)-MAX('Calc base'!G$12,ROUND('Calc base'!G$13*AX225,2))&lt;1,ROUND(AX225*(1+'Calc base'!L226),2),MAX('Calc base'!G$12,ROUND('Calc base'!G$13*AX225,2))))</f>
        <v>0</v>
      </c>
      <c r="O226">
        <f>IF(AY225&lt;=0,0,IF(ROUND(AY225*(1+'Calc base'!M226),2)-MAX('Calc base'!H$12,ROUND('Calc base'!H$13*AY225,2))&lt;1,ROUND(AY225*(1+'Calc base'!M226),2),MAX('Calc base'!H$12,ROUND('Calc base'!H$13*AY225,2))))</f>
        <v>0</v>
      </c>
      <c r="P226">
        <f>IF(AZ225&lt;=0,0,IF(ROUND(AZ225*(1+'Calc base'!N226),2)-MAX('Calc base'!I$12,ROUND('Calc base'!I$13*AZ225,2))&lt;1,ROUND(AZ225*(1+'Calc base'!N226),2),MAX('Calc base'!I$12,ROUND('Calc base'!I$13*AZ225,2))))</f>
        <v>0</v>
      </c>
      <c r="Q226">
        <f>IF(BA225&lt;=0,0,IF(ROUND(BA225*(1+'Calc base'!O226),2)-MAX('Calc base'!J$12,ROUND('Calc base'!J$13*BA225,2))&lt;1,ROUND(BA225*(1+'Calc base'!O226),2),MAX('Calc base'!J$12,ROUND('Calc base'!J$13*BA225,2))))</f>
        <v>0</v>
      </c>
      <c r="R226">
        <f>IF(BB225&lt;=0,0,IF(ROUND(BB225*(1+'Calc base'!P226),2)-MAX('Calc base'!K$12,ROUND('Calc base'!K$13*BB225,2))&lt;1,ROUND(BB225*(1+'Calc base'!P226),2),MAX('Calc base'!K$12,ROUND('Calc base'!K$13*BB225,2))))</f>
        <v>0</v>
      </c>
      <c r="S226">
        <f>IF(BC225&lt;=0,0,IF(ROUND(BC225*(1+'Calc base'!Q226),2)-MAX('Calc base'!L$12,ROUND('Calc base'!L$13*BC225,2))&lt;1,ROUND(BC225*(1+'Calc base'!Q226),2),MAX('Calc base'!L$12,ROUND('Calc base'!L$13*BC225,2))))</f>
        <v>0</v>
      </c>
      <c r="T226">
        <f>IF(BD225&lt;=0,0,IF(ROUND(BD225*(1+'Calc base'!R226),2)-MAX('Calc base'!M$12,ROUND('Calc base'!M$13*BD225,2))&lt;1,ROUND(BD225*(1+'Calc base'!R226),2),MAX('Calc base'!M$12,ROUND('Calc base'!M$13*BD225,2))))</f>
        <v>0</v>
      </c>
      <c r="U226">
        <f>IF(BE225&lt;=0,0,IF(ROUND(BE225*(1+'Calc base'!S226),2)-MAX('Calc base'!N$12,ROUND('Calc base'!N$13*BE225,2))&lt;1,ROUND(BE225*(1+'Calc base'!S226),2),MAX('Calc base'!N$12,ROUND('Calc base'!N$13*BE225,2))))</f>
        <v>0</v>
      </c>
      <c r="V226">
        <f>MAX(0,ROUND(AT225*(1+'Calc base'!H226),2)-J226-'Calc base'!T226)</f>
        <v>0</v>
      </c>
      <c r="W226">
        <f>MAX(0,ROUND(AU225*(1+'Calc base'!I226),2)-K226-'Calc base'!U226)</f>
        <v>0</v>
      </c>
      <c r="X226">
        <f>MAX(0,ROUND(AV225*(1+'Calc base'!J226),2)-L226-'Calc base'!V226)</f>
        <v>0</v>
      </c>
      <c r="Y226">
        <f>MAX(0,ROUND(AW225*(1+'Calc base'!K226),2)-M226-'Calc base'!W226)</f>
        <v>0</v>
      </c>
      <c r="Z226">
        <f>MAX(0,ROUND(AX225*(1+'Calc base'!L226),2)-N226-'Calc base'!X226)</f>
        <v>0</v>
      </c>
      <c r="AA226">
        <f>MAX(0,ROUND(AY225*(1+'Calc base'!M226),2)-O226-'Calc base'!Y226)</f>
        <v>0</v>
      </c>
      <c r="AB226">
        <f>MAX(0,ROUND(AZ225*(1+'Calc base'!N226),2)-P226-'Calc base'!Z226)</f>
        <v>0</v>
      </c>
      <c r="AC226">
        <f>MAX(0,ROUND(BA225*(1+'Calc base'!O226),2)-Q226-'Calc base'!AA226)</f>
        <v>0</v>
      </c>
      <c r="AD226">
        <f>MAX(0,ROUND(BB225*(1+'Calc base'!P226),2)-R226-'Calc base'!AB226)</f>
        <v>0</v>
      </c>
      <c r="AE226">
        <f>MAX(0,ROUND(BC225*(1+'Calc base'!Q226),2)-S226-'Calc base'!AC226)</f>
        <v>0</v>
      </c>
      <c r="AF226">
        <f>MAX(0,ROUND(BD225*(1+'Calc base'!R226),2)-T226-'Calc base'!AD226)</f>
        <v>0</v>
      </c>
      <c r="AG226">
        <f>MAX(0,ROUND(BE225*(1+'Calc base'!S226),2)-U226-'Calc base'!AE226)</f>
        <v>0</v>
      </c>
      <c r="AH226">
        <f>IF('Calc base'!C$14=0,0,MIN(V226,MAX(0,$E226-SUMIFS($V226:$AG226,'Calc base'!$C$17:$N$17,"&lt;"&amp;'Calc base'!C$17,'Calc base'!$C$14:$N$14,1))))</f>
        <v>0</v>
      </c>
      <c r="AI226">
        <f>IF('Calc base'!D$14=0,0,MIN(W226,MAX(0,$E226-SUMIFS($V226:$AG226,'Calc base'!$C$17:$N$17,"&lt;"&amp;'Calc base'!D$17,'Calc base'!$C$14:$N$14,1))))</f>
        <v>0</v>
      </c>
      <c r="AJ226">
        <f>IF('Calc base'!E$14=0,0,MIN(X226,MAX(0,$E226-SUMIFS($V226:$AG226,'Calc base'!$C$17:$N$17,"&lt;"&amp;'Calc base'!E$17,'Calc base'!$C$14:$N$14,1))))</f>
        <v>0</v>
      </c>
      <c r="AK226">
        <f>IF('Calc base'!F$14=0,0,MIN(Y226,MAX(0,$E226-SUMIFS($V226:$AG226,'Calc base'!$C$17:$N$17,"&lt;"&amp;'Calc base'!F$17,'Calc base'!$C$14:$N$14,1))))</f>
        <v>0</v>
      </c>
      <c r="AL226">
        <f>IF('Calc base'!G$14=0,0,MIN(Z226,MAX(0,$E226-SUMIFS($V226:$AG226,'Calc base'!$C$17:$N$17,"&lt;"&amp;'Calc base'!G$17,'Calc base'!$C$14:$N$14,1))))</f>
        <v>0</v>
      </c>
      <c r="AM226">
        <f>IF('Calc base'!H$14=0,0,MIN(AA226,MAX(0,$E226-SUMIFS($V226:$AG226,'Calc base'!$C$17:$N$17,"&lt;"&amp;'Calc base'!H$17,'Calc base'!$C$14:$N$14,1))))</f>
        <v>0</v>
      </c>
      <c r="AN226">
        <f>IF('Calc base'!I$14=0,0,MIN(AB226,MAX(0,$E226-SUMIFS($V226:$AG226,'Calc base'!$C$17:$N$17,"&lt;"&amp;'Calc base'!I$17,'Calc base'!$C$14:$N$14,1))))</f>
        <v>0</v>
      </c>
      <c r="AO226">
        <f>IF('Calc base'!J$14=0,0,MIN(AC226,MAX(0,$E226-SUMIFS($V226:$AG226,'Calc base'!$C$17:$N$17,"&lt;"&amp;'Calc base'!J$17,'Calc base'!$C$14:$N$14,1))))</f>
        <v>0</v>
      </c>
      <c r="AP226">
        <f>IF('Calc base'!K$14=0,0,MIN(AD226,MAX(0,$E226-SUMIFS($V226:$AG226,'Calc base'!$C$17:$N$17,"&lt;"&amp;'Calc base'!K$17,'Calc base'!$C$14:$N$14,1))))</f>
        <v>0</v>
      </c>
      <c r="AQ226">
        <f>IF('Calc base'!L$14=0,0,MIN(AE226,MAX(0,$E226-SUMIFS($V226:$AG226,'Calc base'!$C$17:$N$17,"&lt;"&amp;'Calc base'!L$17,'Calc base'!$C$14:$N$14,1))))</f>
        <v>0</v>
      </c>
      <c r="AR226">
        <f>IF('Calc base'!M$14=0,0,MIN(AF226,MAX(0,$E226-SUMIFS($V226:$AG226,'Calc base'!$C$17:$N$17,"&lt;"&amp;'Calc base'!M$17,'Calc base'!$C$14:$N$14,1))))</f>
        <v>0</v>
      </c>
      <c r="AS226">
        <f>IF('Calc base'!N$14=0,0,MIN(AG226,MAX(0,$E226-SUMIFS($V226:$AG226,'Calc base'!$C$17:$N$17,"&lt;"&amp;'Calc base'!N$17,'Calc base'!$C$14:$N$14,1))))</f>
        <v>0</v>
      </c>
      <c r="AT226">
        <f>V226-AH226</f>
        <v>0</v>
      </c>
      <c r="AU226">
        <f>W226-AI226</f>
        <v>0</v>
      </c>
      <c r="AV226">
        <f>X226-AJ226</f>
        <v>0</v>
      </c>
      <c r="AW226">
        <f>Y226-AK226</f>
        <v>0</v>
      </c>
      <c r="AX226">
        <f>Z226-AL226</f>
        <v>0</v>
      </c>
      <c r="AY226">
        <f>AA226-AM226</f>
        <v>0</v>
      </c>
      <c r="AZ226">
        <f>AB226-AN226</f>
        <v>0</v>
      </c>
      <c r="BA226">
        <f>AC226-AO226</f>
        <v>0</v>
      </c>
      <c r="BB226">
        <f>AD226-AP226</f>
        <v>0</v>
      </c>
      <c r="BC226">
        <f>AE226-AQ226</f>
        <v>0</v>
      </c>
      <c r="BD226">
        <f>AF226-AR226</f>
        <v>0</v>
      </c>
      <c r="BE226">
        <f>AG226-AS226</f>
        <v>0</v>
      </c>
    </row>
    <row r="227">
      <c r="A227" t="n">
        <v>197</v>
      </c>
      <c r="B227">
        <f>SUMPRODUCT(ROUND($AT226:$BE226*(1+'Calc base'!$H227:$S227),2))</f>
        <v>0</v>
      </c>
      <c r="C227">
        <f>SUM(J227:U227)</f>
        <v>0</v>
      </c>
      <c r="D227">
        <f>SUM(V227:AG227)</f>
        <v>0</v>
      </c>
      <c r="E227">
        <f>MAX(0,IF(Impostazioni!$B$7="No",'Calc base'!$C227-$C$31,'Calc base'!$C227-C227)+'Calc base'!$G227+'Calc base'!$F227-(B227-C227-D227))</f>
        <v>900</v>
      </c>
      <c r="F227">
        <f>SUM(AH227:AS227)</f>
        <v>0</v>
      </c>
      <c r="G227">
        <f>SUM(AT227:BE227)</f>
        <v>0</v>
      </c>
      <c r="H227">
        <f>B227-G226</f>
        <v>0</v>
      </c>
      <c r="I227">
        <f>B227-G227</f>
        <v>0</v>
      </c>
      <c r="J227">
        <f>IF(AT226&lt;=0,0,IF(ROUND(AT226*(1+'Calc base'!H227),2)-MAX('Calc base'!C$12,ROUND('Calc base'!C$13*AT226,2))&lt;1,ROUND(AT226*(1+'Calc base'!H227),2),MAX('Calc base'!C$12,ROUND('Calc base'!C$13*AT226,2))))</f>
        <v>0</v>
      </c>
      <c r="K227">
        <f>IF(AU226&lt;=0,0,IF(ROUND(AU226*(1+'Calc base'!I227),2)-MAX('Calc base'!D$12,ROUND('Calc base'!D$13*AU226,2))&lt;1,ROUND(AU226*(1+'Calc base'!I227),2),MAX('Calc base'!D$12,ROUND('Calc base'!D$13*AU226,2))))</f>
        <v>0</v>
      </c>
      <c r="L227">
        <f>IF(AV226&lt;=0,0,IF(ROUND(AV226*(1+'Calc base'!J227),2)-MAX('Calc base'!E$12,ROUND('Calc base'!E$13*AV226,2))&lt;1,ROUND(AV226*(1+'Calc base'!J227),2),MAX('Calc base'!E$12,ROUND('Calc base'!E$13*AV226,2))))</f>
        <v>0</v>
      </c>
      <c r="M227">
        <f>IF(AW226&lt;=0,0,IF(ROUND(AW226*(1+'Calc base'!K227),2)-MAX('Calc base'!F$12,ROUND('Calc base'!F$13*AW226,2))&lt;1,ROUND(AW226*(1+'Calc base'!K227),2),MAX('Calc base'!F$12,ROUND('Calc base'!F$13*AW226,2))))</f>
        <v>0</v>
      </c>
      <c r="N227">
        <f>IF(AX226&lt;=0,0,IF(ROUND(AX226*(1+'Calc base'!L227),2)-MAX('Calc base'!G$12,ROUND('Calc base'!G$13*AX226,2))&lt;1,ROUND(AX226*(1+'Calc base'!L227),2),MAX('Calc base'!G$12,ROUND('Calc base'!G$13*AX226,2))))</f>
        <v>0</v>
      </c>
      <c r="O227">
        <f>IF(AY226&lt;=0,0,IF(ROUND(AY226*(1+'Calc base'!M227),2)-MAX('Calc base'!H$12,ROUND('Calc base'!H$13*AY226,2))&lt;1,ROUND(AY226*(1+'Calc base'!M227),2),MAX('Calc base'!H$12,ROUND('Calc base'!H$13*AY226,2))))</f>
        <v>0</v>
      </c>
      <c r="P227">
        <f>IF(AZ226&lt;=0,0,IF(ROUND(AZ226*(1+'Calc base'!N227),2)-MAX('Calc base'!I$12,ROUND('Calc base'!I$13*AZ226,2))&lt;1,ROUND(AZ226*(1+'Calc base'!N227),2),MAX('Calc base'!I$12,ROUND('Calc base'!I$13*AZ226,2))))</f>
        <v>0</v>
      </c>
      <c r="Q227">
        <f>IF(BA226&lt;=0,0,IF(ROUND(BA226*(1+'Calc base'!O227),2)-MAX('Calc base'!J$12,ROUND('Calc base'!J$13*BA226,2))&lt;1,ROUND(BA226*(1+'Calc base'!O227),2),MAX('Calc base'!J$12,ROUND('Calc base'!J$13*BA226,2))))</f>
        <v>0</v>
      </c>
      <c r="R227">
        <f>IF(BB226&lt;=0,0,IF(ROUND(BB226*(1+'Calc base'!P227),2)-MAX('Calc base'!K$12,ROUND('Calc base'!K$13*BB226,2))&lt;1,ROUND(BB226*(1+'Calc base'!P227),2),MAX('Calc base'!K$12,ROUND('Calc base'!K$13*BB226,2))))</f>
        <v>0</v>
      </c>
      <c r="S227">
        <f>IF(BC226&lt;=0,0,IF(ROUND(BC226*(1+'Calc base'!Q227),2)-MAX('Calc base'!L$12,ROUND('Calc base'!L$13*BC226,2))&lt;1,ROUND(BC226*(1+'Calc base'!Q227),2),MAX('Calc base'!L$12,ROUND('Calc base'!L$13*BC226,2))))</f>
        <v>0</v>
      </c>
      <c r="T227">
        <f>IF(BD226&lt;=0,0,IF(ROUND(BD226*(1+'Calc base'!R227),2)-MAX('Calc base'!M$12,ROUND('Calc base'!M$13*BD226,2))&lt;1,ROUND(BD226*(1+'Calc base'!R227),2),MAX('Calc base'!M$12,ROUND('Calc base'!M$13*BD226,2))))</f>
        <v>0</v>
      </c>
      <c r="U227">
        <f>IF(BE226&lt;=0,0,IF(ROUND(BE226*(1+'Calc base'!S227),2)-MAX('Calc base'!N$12,ROUND('Calc base'!N$13*BE226,2))&lt;1,ROUND(BE226*(1+'Calc base'!S227),2),MAX('Calc base'!N$12,ROUND('Calc base'!N$13*BE226,2))))</f>
        <v>0</v>
      </c>
      <c r="V227">
        <f>MAX(0,ROUND(AT226*(1+'Calc base'!H227),2)-J227-'Calc base'!T227)</f>
        <v>0</v>
      </c>
      <c r="W227">
        <f>MAX(0,ROUND(AU226*(1+'Calc base'!I227),2)-K227-'Calc base'!U227)</f>
        <v>0</v>
      </c>
      <c r="X227">
        <f>MAX(0,ROUND(AV226*(1+'Calc base'!J227),2)-L227-'Calc base'!V227)</f>
        <v>0</v>
      </c>
      <c r="Y227">
        <f>MAX(0,ROUND(AW226*(1+'Calc base'!K227),2)-M227-'Calc base'!W227)</f>
        <v>0</v>
      </c>
      <c r="Z227">
        <f>MAX(0,ROUND(AX226*(1+'Calc base'!L227),2)-N227-'Calc base'!X227)</f>
        <v>0</v>
      </c>
      <c r="AA227">
        <f>MAX(0,ROUND(AY226*(1+'Calc base'!M227),2)-O227-'Calc base'!Y227)</f>
        <v>0</v>
      </c>
      <c r="AB227">
        <f>MAX(0,ROUND(AZ226*(1+'Calc base'!N227),2)-P227-'Calc base'!Z227)</f>
        <v>0</v>
      </c>
      <c r="AC227">
        <f>MAX(0,ROUND(BA226*(1+'Calc base'!O227),2)-Q227-'Calc base'!AA227)</f>
        <v>0</v>
      </c>
      <c r="AD227">
        <f>MAX(0,ROUND(BB226*(1+'Calc base'!P227),2)-R227-'Calc base'!AB227)</f>
        <v>0</v>
      </c>
      <c r="AE227">
        <f>MAX(0,ROUND(BC226*(1+'Calc base'!Q227),2)-S227-'Calc base'!AC227)</f>
        <v>0</v>
      </c>
      <c r="AF227">
        <f>MAX(0,ROUND(BD226*(1+'Calc base'!R227),2)-T227-'Calc base'!AD227)</f>
        <v>0</v>
      </c>
      <c r="AG227">
        <f>MAX(0,ROUND(BE226*(1+'Calc base'!S227),2)-U227-'Calc base'!AE227)</f>
        <v>0</v>
      </c>
      <c r="AH227">
        <f>IF('Calc base'!C$14=0,0,MIN(V227,MAX(0,$E227-SUMIFS($V227:$AG227,'Calc base'!$C$17:$N$17,"&lt;"&amp;'Calc base'!C$17,'Calc base'!$C$14:$N$14,1))))</f>
        <v>0</v>
      </c>
      <c r="AI227">
        <f>IF('Calc base'!D$14=0,0,MIN(W227,MAX(0,$E227-SUMIFS($V227:$AG227,'Calc base'!$C$17:$N$17,"&lt;"&amp;'Calc base'!D$17,'Calc base'!$C$14:$N$14,1))))</f>
        <v>0</v>
      </c>
      <c r="AJ227">
        <f>IF('Calc base'!E$14=0,0,MIN(X227,MAX(0,$E227-SUMIFS($V227:$AG227,'Calc base'!$C$17:$N$17,"&lt;"&amp;'Calc base'!E$17,'Calc base'!$C$14:$N$14,1))))</f>
        <v>0</v>
      </c>
      <c r="AK227">
        <f>IF('Calc base'!F$14=0,0,MIN(Y227,MAX(0,$E227-SUMIFS($V227:$AG227,'Calc base'!$C$17:$N$17,"&lt;"&amp;'Calc base'!F$17,'Calc base'!$C$14:$N$14,1))))</f>
        <v>0</v>
      </c>
      <c r="AL227">
        <f>IF('Calc base'!G$14=0,0,MIN(Z227,MAX(0,$E227-SUMIFS($V227:$AG227,'Calc base'!$C$17:$N$17,"&lt;"&amp;'Calc base'!G$17,'Calc base'!$C$14:$N$14,1))))</f>
        <v>0</v>
      </c>
      <c r="AM227">
        <f>IF('Calc base'!H$14=0,0,MIN(AA227,MAX(0,$E227-SUMIFS($V227:$AG227,'Calc base'!$C$17:$N$17,"&lt;"&amp;'Calc base'!H$17,'Calc base'!$C$14:$N$14,1))))</f>
        <v>0</v>
      </c>
      <c r="AN227">
        <f>IF('Calc base'!I$14=0,0,MIN(AB227,MAX(0,$E227-SUMIFS($V227:$AG227,'Calc base'!$C$17:$N$17,"&lt;"&amp;'Calc base'!I$17,'Calc base'!$C$14:$N$14,1))))</f>
        <v>0</v>
      </c>
      <c r="AO227">
        <f>IF('Calc base'!J$14=0,0,MIN(AC227,MAX(0,$E227-SUMIFS($V227:$AG227,'Calc base'!$C$17:$N$17,"&lt;"&amp;'Calc base'!J$17,'Calc base'!$C$14:$N$14,1))))</f>
        <v>0</v>
      </c>
      <c r="AP227">
        <f>IF('Calc base'!K$14=0,0,MIN(AD227,MAX(0,$E227-SUMIFS($V227:$AG227,'Calc base'!$C$17:$N$17,"&lt;"&amp;'Calc base'!K$17,'Calc base'!$C$14:$N$14,1))))</f>
        <v>0</v>
      </c>
      <c r="AQ227">
        <f>IF('Calc base'!L$14=0,0,MIN(AE227,MAX(0,$E227-SUMIFS($V227:$AG227,'Calc base'!$C$17:$N$17,"&lt;"&amp;'Calc base'!L$17,'Calc base'!$C$14:$N$14,1))))</f>
        <v>0</v>
      </c>
      <c r="AR227">
        <f>IF('Calc base'!M$14=0,0,MIN(AF227,MAX(0,$E227-SUMIFS($V227:$AG227,'Calc base'!$C$17:$N$17,"&lt;"&amp;'Calc base'!M$17,'Calc base'!$C$14:$N$14,1))))</f>
        <v>0</v>
      </c>
      <c r="AS227">
        <f>IF('Calc base'!N$14=0,0,MIN(AG227,MAX(0,$E227-SUMIFS($V227:$AG227,'Calc base'!$C$17:$N$17,"&lt;"&amp;'Calc base'!N$17,'Calc base'!$C$14:$N$14,1))))</f>
        <v>0</v>
      </c>
      <c r="AT227">
        <f>V227-AH227</f>
        <v>0</v>
      </c>
      <c r="AU227">
        <f>W227-AI227</f>
        <v>0</v>
      </c>
      <c r="AV227">
        <f>X227-AJ227</f>
        <v>0</v>
      </c>
      <c r="AW227">
        <f>Y227-AK227</f>
        <v>0</v>
      </c>
      <c r="AX227">
        <f>Z227-AL227</f>
        <v>0</v>
      </c>
      <c r="AY227">
        <f>AA227-AM227</f>
        <v>0</v>
      </c>
      <c r="AZ227">
        <f>AB227-AN227</f>
        <v>0</v>
      </c>
      <c r="BA227">
        <f>AC227-AO227</f>
        <v>0</v>
      </c>
      <c r="BB227">
        <f>AD227-AP227</f>
        <v>0</v>
      </c>
      <c r="BC227">
        <f>AE227-AQ227</f>
        <v>0</v>
      </c>
      <c r="BD227">
        <f>AF227-AR227</f>
        <v>0</v>
      </c>
      <c r="BE227">
        <f>AG227-AS227</f>
        <v>0</v>
      </c>
    </row>
    <row r="228">
      <c r="A228" t="n">
        <v>198</v>
      </c>
      <c r="B228">
        <f>SUMPRODUCT(ROUND($AT227:$BE227*(1+'Calc base'!$H228:$S228),2))</f>
        <v>0</v>
      </c>
      <c r="C228">
        <f>SUM(J228:U228)</f>
        <v>0</v>
      </c>
      <c r="D228">
        <f>SUM(V228:AG228)</f>
        <v>0</v>
      </c>
      <c r="E228">
        <f>MAX(0,IF(Impostazioni!$B$7="No",'Calc base'!$C228-$C$31,'Calc base'!$C228-C228)+'Calc base'!$G228+'Calc base'!$F228-(B228-C228-D228))</f>
        <v>900</v>
      </c>
      <c r="F228">
        <f>SUM(AH228:AS228)</f>
        <v>0</v>
      </c>
      <c r="G228">
        <f>SUM(AT228:BE228)</f>
        <v>0</v>
      </c>
      <c r="H228">
        <f>B228-G227</f>
        <v>0</v>
      </c>
      <c r="I228">
        <f>B228-G228</f>
        <v>0</v>
      </c>
      <c r="J228">
        <f>IF(AT227&lt;=0,0,IF(ROUND(AT227*(1+'Calc base'!H228),2)-MAX('Calc base'!C$12,ROUND('Calc base'!C$13*AT227,2))&lt;1,ROUND(AT227*(1+'Calc base'!H228),2),MAX('Calc base'!C$12,ROUND('Calc base'!C$13*AT227,2))))</f>
        <v>0</v>
      </c>
      <c r="K228">
        <f>IF(AU227&lt;=0,0,IF(ROUND(AU227*(1+'Calc base'!I228),2)-MAX('Calc base'!D$12,ROUND('Calc base'!D$13*AU227,2))&lt;1,ROUND(AU227*(1+'Calc base'!I228),2),MAX('Calc base'!D$12,ROUND('Calc base'!D$13*AU227,2))))</f>
        <v>0</v>
      </c>
      <c r="L228">
        <f>IF(AV227&lt;=0,0,IF(ROUND(AV227*(1+'Calc base'!J228),2)-MAX('Calc base'!E$12,ROUND('Calc base'!E$13*AV227,2))&lt;1,ROUND(AV227*(1+'Calc base'!J228),2),MAX('Calc base'!E$12,ROUND('Calc base'!E$13*AV227,2))))</f>
        <v>0</v>
      </c>
      <c r="M228">
        <f>IF(AW227&lt;=0,0,IF(ROUND(AW227*(1+'Calc base'!K228),2)-MAX('Calc base'!F$12,ROUND('Calc base'!F$13*AW227,2))&lt;1,ROUND(AW227*(1+'Calc base'!K228),2),MAX('Calc base'!F$12,ROUND('Calc base'!F$13*AW227,2))))</f>
        <v>0</v>
      </c>
      <c r="N228">
        <f>IF(AX227&lt;=0,0,IF(ROUND(AX227*(1+'Calc base'!L228),2)-MAX('Calc base'!G$12,ROUND('Calc base'!G$13*AX227,2))&lt;1,ROUND(AX227*(1+'Calc base'!L228),2),MAX('Calc base'!G$12,ROUND('Calc base'!G$13*AX227,2))))</f>
        <v>0</v>
      </c>
      <c r="O228">
        <f>IF(AY227&lt;=0,0,IF(ROUND(AY227*(1+'Calc base'!M228),2)-MAX('Calc base'!H$12,ROUND('Calc base'!H$13*AY227,2))&lt;1,ROUND(AY227*(1+'Calc base'!M228),2),MAX('Calc base'!H$12,ROUND('Calc base'!H$13*AY227,2))))</f>
        <v>0</v>
      </c>
      <c r="P228">
        <f>IF(AZ227&lt;=0,0,IF(ROUND(AZ227*(1+'Calc base'!N228),2)-MAX('Calc base'!I$12,ROUND('Calc base'!I$13*AZ227,2))&lt;1,ROUND(AZ227*(1+'Calc base'!N228),2),MAX('Calc base'!I$12,ROUND('Calc base'!I$13*AZ227,2))))</f>
        <v>0</v>
      </c>
      <c r="Q228">
        <f>IF(BA227&lt;=0,0,IF(ROUND(BA227*(1+'Calc base'!O228),2)-MAX('Calc base'!J$12,ROUND('Calc base'!J$13*BA227,2))&lt;1,ROUND(BA227*(1+'Calc base'!O228),2),MAX('Calc base'!J$12,ROUND('Calc base'!J$13*BA227,2))))</f>
        <v>0</v>
      </c>
      <c r="R228">
        <f>IF(BB227&lt;=0,0,IF(ROUND(BB227*(1+'Calc base'!P228),2)-MAX('Calc base'!K$12,ROUND('Calc base'!K$13*BB227,2))&lt;1,ROUND(BB227*(1+'Calc base'!P228),2),MAX('Calc base'!K$12,ROUND('Calc base'!K$13*BB227,2))))</f>
        <v>0</v>
      </c>
      <c r="S228">
        <f>IF(BC227&lt;=0,0,IF(ROUND(BC227*(1+'Calc base'!Q228),2)-MAX('Calc base'!L$12,ROUND('Calc base'!L$13*BC227,2))&lt;1,ROUND(BC227*(1+'Calc base'!Q228),2),MAX('Calc base'!L$12,ROUND('Calc base'!L$13*BC227,2))))</f>
        <v>0</v>
      </c>
      <c r="T228">
        <f>IF(BD227&lt;=0,0,IF(ROUND(BD227*(1+'Calc base'!R228),2)-MAX('Calc base'!M$12,ROUND('Calc base'!M$13*BD227,2))&lt;1,ROUND(BD227*(1+'Calc base'!R228),2),MAX('Calc base'!M$12,ROUND('Calc base'!M$13*BD227,2))))</f>
        <v>0</v>
      </c>
      <c r="U228">
        <f>IF(BE227&lt;=0,0,IF(ROUND(BE227*(1+'Calc base'!S228),2)-MAX('Calc base'!N$12,ROUND('Calc base'!N$13*BE227,2))&lt;1,ROUND(BE227*(1+'Calc base'!S228),2),MAX('Calc base'!N$12,ROUND('Calc base'!N$13*BE227,2))))</f>
        <v>0</v>
      </c>
      <c r="V228">
        <f>MAX(0,ROUND(AT227*(1+'Calc base'!H228),2)-J228-'Calc base'!T228)</f>
        <v>0</v>
      </c>
      <c r="W228">
        <f>MAX(0,ROUND(AU227*(1+'Calc base'!I228),2)-K228-'Calc base'!U228)</f>
        <v>0</v>
      </c>
      <c r="X228">
        <f>MAX(0,ROUND(AV227*(1+'Calc base'!J228),2)-L228-'Calc base'!V228)</f>
        <v>0</v>
      </c>
      <c r="Y228">
        <f>MAX(0,ROUND(AW227*(1+'Calc base'!K228),2)-M228-'Calc base'!W228)</f>
        <v>0</v>
      </c>
      <c r="Z228">
        <f>MAX(0,ROUND(AX227*(1+'Calc base'!L228),2)-N228-'Calc base'!X228)</f>
        <v>0</v>
      </c>
      <c r="AA228">
        <f>MAX(0,ROUND(AY227*(1+'Calc base'!M228),2)-O228-'Calc base'!Y228)</f>
        <v>0</v>
      </c>
      <c r="AB228">
        <f>MAX(0,ROUND(AZ227*(1+'Calc base'!N228),2)-P228-'Calc base'!Z228)</f>
        <v>0</v>
      </c>
      <c r="AC228">
        <f>MAX(0,ROUND(BA227*(1+'Calc base'!O228),2)-Q228-'Calc base'!AA228)</f>
        <v>0</v>
      </c>
      <c r="AD228">
        <f>MAX(0,ROUND(BB227*(1+'Calc base'!P228),2)-R228-'Calc base'!AB228)</f>
        <v>0</v>
      </c>
      <c r="AE228">
        <f>MAX(0,ROUND(BC227*(1+'Calc base'!Q228),2)-S228-'Calc base'!AC228)</f>
        <v>0</v>
      </c>
      <c r="AF228">
        <f>MAX(0,ROUND(BD227*(1+'Calc base'!R228),2)-T228-'Calc base'!AD228)</f>
        <v>0</v>
      </c>
      <c r="AG228">
        <f>MAX(0,ROUND(BE227*(1+'Calc base'!S228),2)-U228-'Calc base'!AE228)</f>
        <v>0</v>
      </c>
      <c r="AH228">
        <f>IF('Calc base'!C$14=0,0,MIN(V228,MAX(0,$E228-SUMIFS($V228:$AG228,'Calc base'!$C$17:$N$17,"&lt;"&amp;'Calc base'!C$17,'Calc base'!$C$14:$N$14,1))))</f>
        <v>0</v>
      </c>
      <c r="AI228">
        <f>IF('Calc base'!D$14=0,0,MIN(W228,MAX(0,$E228-SUMIFS($V228:$AG228,'Calc base'!$C$17:$N$17,"&lt;"&amp;'Calc base'!D$17,'Calc base'!$C$14:$N$14,1))))</f>
        <v>0</v>
      </c>
      <c r="AJ228">
        <f>IF('Calc base'!E$14=0,0,MIN(X228,MAX(0,$E228-SUMIFS($V228:$AG228,'Calc base'!$C$17:$N$17,"&lt;"&amp;'Calc base'!E$17,'Calc base'!$C$14:$N$14,1))))</f>
        <v>0</v>
      </c>
      <c r="AK228">
        <f>IF('Calc base'!F$14=0,0,MIN(Y228,MAX(0,$E228-SUMIFS($V228:$AG228,'Calc base'!$C$17:$N$17,"&lt;"&amp;'Calc base'!F$17,'Calc base'!$C$14:$N$14,1))))</f>
        <v>0</v>
      </c>
      <c r="AL228">
        <f>IF('Calc base'!G$14=0,0,MIN(Z228,MAX(0,$E228-SUMIFS($V228:$AG228,'Calc base'!$C$17:$N$17,"&lt;"&amp;'Calc base'!G$17,'Calc base'!$C$14:$N$14,1))))</f>
        <v>0</v>
      </c>
      <c r="AM228">
        <f>IF('Calc base'!H$14=0,0,MIN(AA228,MAX(0,$E228-SUMIFS($V228:$AG228,'Calc base'!$C$17:$N$17,"&lt;"&amp;'Calc base'!H$17,'Calc base'!$C$14:$N$14,1))))</f>
        <v>0</v>
      </c>
      <c r="AN228">
        <f>IF('Calc base'!I$14=0,0,MIN(AB228,MAX(0,$E228-SUMIFS($V228:$AG228,'Calc base'!$C$17:$N$17,"&lt;"&amp;'Calc base'!I$17,'Calc base'!$C$14:$N$14,1))))</f>
        <v>0</v>
      </c>
      <c r="AO228">
        <f>IF('Calc base'!J$14=0,0,MIN(AC228,MAX(0,$E228-SUMIFS($V228:$AG228,'Calc base'!$C$17:$N$17,"&lt;"&amp;'Calc base'!J$17,'Calc base'!$C$14:$N$14,1))))</f>
        <v>0</v>
      </c>
      <c r="AP228">
        <f>IF('Calc base'!K$14=0,0,MIN(AD228,MAX(0,$E228-SUMIFS($V228:$AG228,'Calc base'!$C$17:$N$17,"&lt;"&amp;'Calc base'!K$17,'Calc base'!$C$14:$N$14,1))))</f>
        <v>0</v>
      </c>
      <c r="AQ228">
        <f>IF('Calc base'!L$14=0,0,MIN(AE228,MAX(0,$E228-SUMIFS($V228:$AG228,'Calc base'!$C$17:$N$17,"&lt;"&amp;'Calc base'!L$17,'Calc base'!$C$14:$N$14,1))))</f>
        <v>0</v>
      </c>
      <c r="AR228">
        <f>IF('Calc base'!M$14=0,0,MIN(AF228,MAX(0,$E228-SUMIFS($V228:$AG228,'Calc base'!$C$17:$N$17,"&lt;"&amp;'Calc base'!M$17,'Calc base'!$C$14:$N$14,1))))</f>
        <v>0</v>
      </c>
      <c r="AS228">
        <f>IF('Calc base'!N$14=0,0,MIN(AG228,MAX(0,$E228-SUMIFS($V228:$AG228,'Calc base'!$C$17:$N$17,"&lt;"&amp;'Calc base'!N$17,'Calc base'!$C$14:$N$14,1))))</f>
        <v>0</v>
      </c>
      <c r="AT228">
        <f>V228-AH228</f>
        <v>0</v>
      </c>
      <c r="AU228">
        <f>W228-AI228</f>
        <v>0</v>
      </c>
      <c r="AV228">
        <f>X228-AJ228</f>
        <v>0</v>
      </c>
      <c r="AW228">
        <f>Y228-AK228</f>
        <v>0</v>
      </c>
      <c r="AX228">
        <f>Z228-AL228</f>
        <v>0</v>
      </c>
      <c r="AY228">
        <f>AA228-AM228</f>
        <v>0</v>
      </c>
      <c r="AZ228">
        <f>AB228-AN228</f>
        <v>0</v>
      </c>
      <c r="BA228">
        <f>AC228-AO228</f>
        <v>0</v>
      </c>
      <c r="BB228">
        <f>AD228-AP228</f>
        <v>0</v>
      </c>
      <c r="BC228">
        <f>AE228-AQ228</f>
        <v>0</v>
      </c>
      <c r="BD228">
        <f>AF228-AR228</f>
        <v>0</v>
      </c>
      <c r="BE228">
        <f>AG228-AS228</f>
        <v>0</v>
      </c>
    </row>
    <row r="229">
      <c r="A229" t="n">
        <v>199</v>
      </c>
      <c r="B229">
        <f>SUMPRODUCT(ROUND($AT228:$BE228*(1+'Calc base'!$H229:$S229),2))</f>
        <v>0</v>
      </c>
      <c r="C229">
        <f>SUM(J229:U229)</f>
        <v>0</v>
      </c>
      <c r="D229">
        <f>SUM(V229:AG229)</f>
        <v>0</v>
      </c>
      <c r="E229">
        <f>MAX(0,IF(Impostazioni!$B$7="No",'Calc base'!$C229-$C$31,'Calc base'!$C229-C229)+'Calc base'!$G229+'Calc base'!$F229-(B229-C229-D229))</f>
        <v>900</v>
      </c>
      <c r="F229">
        <f>SUM(AH229:AS229)</f>
        <v>0</v>
      </c>
      <c r="G229">
        <f>SUM(AT229:BE229)</f>
        <v>0</v>
      </c>
      <c r="H229">
        <f>B229-G228</f>
        <v>0</v>
      </c>
      <c r="I229">
        <f>B229-G229</f>
        <v>0</v>
      </c>
      <c r="J229">
        <f>IF(AT228&lt;=0,0,IF(ROUND(AT228*(1+'Calc base'!H229),2)-MAX('Calc base'!C$12,ROUND('Calc base'!C$13*AT228,2))&lt;1,ROUND(AT228*(1+'Calc base'!H229),2),MAX('Calc base'!C$12,ROUND('Calc base'!C$13*AT228,2))))</f>
        <v>0</v>
      </c>
      <c r="K229">
        <f>IF(AU228&lt;=0,0,IF(ROUND(AU228*(1+'Calc base'!I229),2)-MAX('Calc base'!D$12,ROUND('Calc base'!D$13*AU228,2))&lt;1,ROUND(AU228*(1+'Calc base'!I229),2),MAX('Calc base'!D$12,ROUND('Calc base'!D$13*AU228,2))))</f>
        <v>0</v>
      </c>
      <c r="L229">
        <f>IF(AV228&lt;=0,0,IF(ROUND(AV228*(1+'Calc base'!J229),2)-MAX('Calc base'!E$12,ROUND('Calc base'!E$13*AV228,2))&lt;1,ROUND(AV228*(1+'Calc base'!J229),2),MAX('Calc base'!E$12,ROUND('Calc base'!E$13*AV228,2))))</f>
        <v>0</v>
      </c>
      <c r="M229">
        <f>IF(AW228&lt;=0,0,IF(ROUND(AW228*(1+'Calc base'!K229),2)-MAX('Calc base'!F$12,ROUND('Calc base'!F$13*AW228,2))&lt;1,ROUND(AW228*(1+'Calc base'!K229),2),MAX('Calc base'!F$12,ROUND('Calc base'!F$13*AW228,2))))</f>
        <v>0</v>
      </c>
      <c r="N229">
        <f>IF(AX228&lt;=0,0,IF(ROUND(AX228*(1+'Calc base'!L229),2)-MAX('Calc base'!G$12,ROUND('Calc base'!G$13*AX228,2))&lt;1,ROUND(AX228*(1+'Calc base'!L229),2),MAX('Calc base'!G$12,ROUND('Calc base'!G$13*AX228,2))))</f>
        <v>0</v>
      </c>
      <c r="O229">
        <f>IF(AY228&lt;=0,0,IF(ROUND(AY228*(1+'Calc base'!M229),2)-MAX('Calc base'!H$12,ROUND('Calc base'!H$13*AY228,2))&lt;1,ROUND(AY228*(1+'Calc base'!M229),2),MAX('Calc base'!H$12,ROUND('Calc base'!H$13*AY228,2))))</f>
        <v>0</v>
      </c>
      <c r="P229">
        <f>IF(AZ228&lt;=0,0,IF(ROUND(AZ228*(1+'Calc base'!N229),2)-MAX('Calc base'!I$12,ROUND('Calc base'!I$13*AZ228,2))&lt;1,ROUND(AZ228*(1+'Calc base'!N229),2),MAX('Calc base'!I$12,ROUND('Calc base'!I$13*AZ228,2))))</f>
        <v>0</v>
      </c>
      <c r="Q229">
        <f>IF(BA228&lt;=0,0,IF(ROUND(BA228*(1+'Calc base'!O229),2)-MAX('Calc base'!J$12,ROUND('Calc base'!J$13*BA228,2))&lt;1,ROUND(BA228*(1+'Calc base'!O229),2),MAX('Calc base'!J$12,ROUND('Calc base'!J$13*BA228,2))))</f>
        <v>0</v>
      </c>
      <c r="R229">
        <f>IF(BB228&lt;=0,0,IF(ROUND(BB228*(1+'Calc base'!P229),2)-MAX('Calc base'!K$12,ROUND('Calc base'!K$13*BB228,2))&lt;1,ROUND(BB228*(1+'Calc base'!P229),2),MAX('Calc base'!K$12,ROUND('Calc base'!K$13*BB228,2))))</f>
        <v>0</v>
      </c>
      <c r="S229">
        <f>IF(BC228&lt;=0,0,IF(ROUND(BC228*(1+'Calc base'!Q229),2)-MAX('Calc base'!L$12,ROUND('Calc base'!L$13*BC228,2))&lt;1,ROUND(BC228*(1+'Calc base'!Q229),2),MAX('Calc base'!L$12,ROUND('Calc base'!L$13*BC228,2))))</f>
        <v>0</v>
      </c>
      <c r="T229">
        <f>IF(BD228&lt;=0,0,IF(ROUND(BD228*(1+'Calc base'!R229),2)-MAX('Calc base'!M$12,ROUND('Calc base'!M$13*BD228,2))&lt;1,ROUND(BD228*(1+'Calc base'!R229),2),MAX('Calc base'!M$12,ROUND('Calc base'!M$13*BD228,2))))</f>
        <v>0</v>
      </c>
      <c r="U229">
        <f>IF(BE228&lt;=0,0,IF(ROUND(BE228*(1+'Calc base'!S229),2)-MAX('Calc base'!N$12,ROUND('Calc base'!N$13*BE228,2))&lt;1,ROUND(BE228*(1+'Calc base'!S229),2),MAX('Calc base'!N$12,ROUND('Calc base'!N$13*BE228,2))))</f>
        <v>0</v>
      </c>
      <c r="V229">
        <f>MAX(0,ROUND(AT228*(1+'Calc base'!H229),2)-J229-'Calc base'!T229)</f>
        <v>0</v>
      </c>
      <c r="W229">
        <f>MAX(0,ROUND(AU228*(1+'Calc base'!I229),2)-K229-'Calc base'!U229)</f>
        <v>0</v>
      </c>
      <c r="X229">
        <f>MAX(0,ROUND(AV228*(1+'Calc base'!J229),2)-L229-'Calc base'!V229)</f>
        <v>0</v>
      </c>
      <c r="Y229">
        <f>MAX(0,ROUND(AW228*(1+'Calc base'!K229),2)-M229-'Calc base'!W229)</f>
        <v>0</v>
      </c>
      <c r="Z229">
        <f>MAX(0,ROUND(AX228*(1+'Calc base'!L229),2)-N229-'Calc base'!X229)</f>
        <v>0</v>
      </c>
      <c r="AA229">
        <f>MAX(0,ROUND(AY228*(1+'Calc base'!M229),2)-O229-'Calc base'!Y229)</f>
        <v>0</v>
      </c>
      <c r="AB229">
        <f>MAX(0,ROUND(AZ228*(1+'Calc base'!N229),2)-P229-'Calc base'!Z229)</f>
        <v>0</v>
      </c>
      <c r="AC229">
        <f>MAX(0,ROUND(BA228*(1+'Calc base'!O229),2)-Q229-'Calc base'!AA229)</f>
        <v>0</v>
      </c>
      <c r="AD229">
        <f>MAX(0,ROUND(BB228*(1+'Calc base'!P229),2)-R229-'Calc base'!AB229)</f>
        <v>0</v>
      </c>
      <c r="AE229">
        <f>MAX(0,ROUND(BC228*(1+'Calc base'!Q229),2)-S229-'Calc base'!AC229)</f>
        <v>0</v>
      </c>
      <c r="AF229">
        <f>MAX(0,ROUND(BD228*(1+'Calc base'!R229),2)-T229-'Calc base'!AD229)</f>
        <v>0</v>
      </c>
      <c r="AG229">
        <f>MAX(0,ROUND(BE228*(1+'Calc base'!S229),2)-U229-'Calc base'!AE229)</f>
        <v>0</v>
      </c>
      <c r="AH229">
        <f>IF('Calc base'!C$14=0,0,MIN(V229,MAX(0,$E229-SUMIFS($V229:$AG229,'Calc base'!$C$17:$N$17,"&lt;"&amp;'Calc base'!C$17,'Calc base'!$C$14:$N$14,1))))</f>
        <v>0</v>
      </c>
      <c r="AI229">
        <f>IF('Calc base'!D$14=0,0,MIN(W229,MAX(0,$E229-SUMIFS($V229:$AG229,'Calc base'!$C$17:$N$17,"&lt;"&amp;'Calc base'!D$17,'Calc base'!$C$14:$N$14,1))))</f>
        <v>0</v>
      </c>
      <c r="AJ229">
        <f>IF('Calc base'!E$14=0,0,MIN(X229,MAX(0,$E229-SUMIFS($V229:$AG229,'Calc base'!$C$17:$N$17,"&lt;"&amp;'Calc base'!E$17,'Calc base'!$C$14:$N$14,1))))</f>
        <v>0</v>
      </c>
      <c r="AK229">
        <f>IF('Calc base'!F$14=0,0,MIN(Y229,MAX(0,$E229-SUMIFS($V229:$AG229,'Calc base'!$C$17:$N$17,"&lt;"&amp;'Calc base'!F$17,'Calc base'!$C$14:$N$14,1))))</f>
        <v>0</v>
      </c>
      <c r="AL229">
        <f>IF('Calc base'!G$14=0,0,MIN(Z229,MAX(0,$E229-SUMIFS($V229:$AG229,'Calc base'!$C$17:$N$17,"&lt;"&amp;'Calc base'!G$17,'Calc base'!$C$14:$N$14,1))))</f>
        <v>0</v>
      </c>
      <c r="AM229">
        <f>IF('Calc base'!H$14=0,0,MIN(AA229,MAX(0,$E229-SUMIFS($V229:$AG229,'Calc base'!$C$17:$N$17,"&lt;"&amp;'Calc base'!H$17,'Calc base'!$C$14:$N$14,1))))</f>
        <v>0</v>
      </c>
      <c r="AN229">
        <f>IF('Calc base'!I$14=0,0,MIN(AB229,MAX(0,$E229-SUMIFS($V229:$AG229,'Calc base'!$C$17:$N$17,"&lt;"&amp;'Calc base'!I$17,'Calc base'!$C$14:$N$14,1))))</f>
        <v>0</v>
      </c>
      <c r="AO229">
        <f>IF('Calc base'!J$14=0,0,MIN(AC229,MAX(0,$E229-SUMIFS($V229:$AG229,'Calc base'!$C$17:$N$17,"&lt;"&amp;'Calc base'!J$17,'Calc base'!$C$14:$N$14,1))))</f>
        <v>0</v>
      </c>
      <c r="AP229">
        <f>IF('Calc base'!K$14=0,0,MIN(AD229,MAX(0,$E229-SUMIFS($V229:$AG229,'Calc base'!$C$17:$N$17,"&lt;"&amp;'Calc base'!K$17,'Calc base'!$C$14:$N$14,1))))</f>
        <v>0</v>
      </c>
      <c r="AQ229">
        <f>IF('Calc base'!L$14=0,0,MIN(AE229,MAX(0,$E229-SUMIFS($V229:$AG229,'Calc base'!$C$17:$N$17,"&lt;"&amp;'Calc base'!L$17,'Calc base'!$C$14:$N$14,1))))</f>
        <v>0</v>
      </c>
      <c r="AR229">
        <f>IF('Calc base'!M$14=0,0,MIN(AF229,MAX(0,$E229-SUMIFS($V229:$AG229,'Calc base'!$C$17:$N$17,"&lt;"&amp;'Calc base'!M$17,'Calc base'!$C$14:$N$14,1))))</f>
        <v>0</v>
      </c>
      <c r="AS229">
        <f>IF('Calc base'!N$14=0,0,MIN(AG229,MAX(0,$E229-SUMIFS($V229:$AG229,'Calc base'!$C$17:$N$17,"&lt;"&amp;'Calc base'!N$17,'Calc base'!$C$14:$N$14,1))))</f>
        <v>0</v>
      </c>
      <c r="AT229">
        <f>V229-AH229</f>
        <v>0</v>
      </c>
      <c r="AU229">
        <f>W229-AI229</f>
        <v>0</v>
      </c>
      <c r="AV229">
        <f>X229-AJ229</f>
        <v>0</v>
      </c>
      <c r="AW229">
        <f>Y229-AK229</f>
        <v>0</v>
      </c>
      <c r="AX229">
        <f>Z229-AL229</f>
        <v>0</v>
      </c>
      <c r="AY229">
        <f>AA229-AM229</f>
        <v>0</v>
      </c>
      <c r="AZ229">
        <f>AB229-AN229</f>
        <v>0</v>
      </c>
      <c r="BA229">
        <f>AC229-AO229</f>
        <v>0</v>
      </c>
      <c r="BB229">
        <f>AD229-AP229</f>
        <v>0</v>
      </c>
      <c r="BC229">
        <f>AE229-AQ229</f>
        <v>0</v>
      </c>
      <c r="BD229">
        <f>AF229-AR229</f>
        <v>0</v>
      </c>
      <c r="BE229">
        <f>AG229-AS229</f>
        <v>0</v>
      </c>
    </row>
    <row r="230">
      <c r="A230" t="n">
        <v>200</v>
      </c>
      <c r="B230">
        <f>SUMPRODUCT(ROUND($AT229:$BE229*(1+'Calc base'!$H230:$S230),2))</f>
        <v>0</v>
      </c>
      <c r="C230">
        <f>SUM(J230:U230)</f>
        <v>0</v>
      </c>
      <c r="D230">
        <f>SUM(V230:AG230)</f>
        <v>0</v>
      </c>
      <c r="E230">
        <f>MAX(0,IF(Impostazioni!$B$7="No",'Calc base'!$C230-$C$31,'Calc base'!$C230-C230)+'Calc base'!$G230+'Calc base'!$F230-(B230-C230-D230))</f>
        <v>900</v>
      </c>
      <c r="F230">
        <f>SUM(AH230:AS230)</f>
        <v>0</v>
      </c>
      <c r="G230">
        <f>SUM(AT230:BE230)</f>
        <v>0</v>
      </c>
      <c r="H230">
        <f>B230-G229</f>
        <v>0</v>
      </c>
      <c r="I230">
        <f>B230-G230</f>
        <v>0</v>
      </c>
      <c r="J230">
        <f>IF(AT229&lt;=0,0,IF(ROUND(AT229*(1+'Calc base'!H230),2)-MAX('Calc base'!C$12,ROUND('Calc base'!C$13*AT229,2))&lt;1,ROUND(AT229*(1+'Calc base'!H230),2),MAX('Calc base'!C$12,ROUND('Calc base'!C$13*AT229,2))))</f>
        <v>0</v>
      </c>
      <c r="K230">
        <f>IF(AU229&lt;=0,0,IF(ROUND(AU229*(1+'Calc base'!I230),2)-MAX('Calc base'!D$12,ROUND('Calc base'!D$13*AU229,2))&lt;1,ROUND(AU229*(1+'Calc base'!I230),2),MAX('Calc base'!D$12,ROUND('Calc base'!D$13*AU229,2))))</f>
        <v>0</v>
      </c>
      <c r="L230">
        <f>IF(AV229&lt;=0,0,IF(ROUND(AV229*(1+'Calc base'!J230),2)-MAX('Calc base'!E$12,ROUND('Calc base'!E$13*AV229,2))&lt;1,ROUND(AV229*(1+'Calc base'!J230),2),MAX('Calc base'!E$12,ROUND('Calc base'!E$13*AV229,2))))</f>
        <v>0</v>
      </c>
      <c r="M230">
        <f>IF(AW229&lt;=0,0,IF(ROUND(AW229*(1+'Calc base'!K230),2)-MAX('Calc base'!F$12,ROUND('Calc base'!F$13*AW229,2))&lt;1,ROUND(AW229*(1+'Calc base'!K230),2),MAX('Calc base'!F$12,ROUND('Calc base'!F$13*AW229,2))))</f>
        <v>0</v>
      </c>
      <c r="N230">
        <f>IF(AX229&lt;=0,0,IF(ROUND(AX229*(1+'Calc base'!L230),2)-MAX('Calc base'!G$12,ROUND('Calc base'!G$13*AX229,2))&lt;1,ROUND(AX229*(1+'Calc base'!L230),2),MAX('Calc base'!G$12,ROUND('Calc base'!G$13*AX229,2))))</f>
        <v>0</v>
      </c>
      <c r="O230">
        <f>IF(AY229&lt;=0,0,IF(ROUND(AY229*(1+'Calc base'!M230),2)-MAX('Calc base'!H$12,ROUND('Calc base'!H$13*AY229,2))&lt;1,ROUND(AY229*(1+'Calc base'!M230),2),MAX('Calc base'!H$12,ROUND('Calc base'!H$13*AY229,2))))</f>
        <v>0</v>
      </c>
      <c r="P230">
        <f>IF(AZ229&lt;=0,0,IF(ROUND(AZ229*(1+'Calc base'!N230),2)-MAX('Calc base'!I$12,ROUND('Calc base'!I$13*AZ229,2))&lt;1,ROUND(AZ229*(1+'Calc base'!N230),2),MAX('Calc base'!I$12,ROUND('Calc base'!I$13*AZ229,2))))</f>
        <v>0</v>
      </c>
      <c r="Q230">
        <f>IF(BA229&lt;=0,0,IF(ROUND(BA229*(1+'Calc base'!O230),2)-MAX('Calc base'!J$12,ROUND('Calc base'!J$13*BA229,2))&lt;1,ROUND(BA229*(1+'Calc base'!O230),2),MAX('Calc base'!J$12,ROUND('Calc base'!J$13*BA229,2))))</f>
        <v>0</v>
      </c>
      <c r="R230">
        <f>IF(BB229&lt;=0,0,IF(ROUND(BB229*(1+'Calc base'!P230),2)-MAX('Calc base'!K$12,ROUND('Calc base'!K$13*BB229,2))&lt;1,ROUND(BB229*(1+'Calc base'!P230),2),MAX('Calc base'!K$12,ROUND('Calc base'!K$13*BB229,2))))</f>
        <v>0</v>
      </c>
      <c r="S230">
        <f>IF(BC229&lt;=0,0,IF(ROUND(BC229*(1+'Calc base'!Q230),2)-MAX('Calc base'!L$12,ROUND('Calc base'!L$13*BC229,2))&lt;1,ROUND(BC229*(1+'Calc base'!Q230),2),MAX('Calc base'!L$12,ROUND('Calc base'!L$13*BC229,2))))</f>
        <v>0</v>
      </c>
      <c r="T230">
        <f>IF(BD229&lt;=0,0,IF(ROUND(BD229*(1+'Calc base'!R230),2)-MAX('Calc base'!M$12,ROUND('Calc base'!M$13*BD229,2))&lt;1,ROUND(BD229*(1+'Calc base'!R230),2),MAX('Calc base'!M$12,ROUND('Calc base'!M$13*BD229,2))))</f>
        <v>0</v>
      </c>
      <c r="U230">
        <f>IF(BE229&lt;=0,0,IF(ROUND(BE229*(1+'Calc base'!S230),2)-MAX('Calc base'!N$12,ROUND('Calc base'!N$13*BE229,2))&lt;1,ROUND(BE229*(1+'Calc base'!S230),2),MAX('Calc base'!N$12,ROUND('Calc base'!N$13*BE229,2))))</f>
        <v>0</v>
      </c>
      <c r="V230">
        <f>MAX(0,ROUND(AT229*(1+'Calc base'!H230),2)-J230-'Calc base'!T230)</f>
        <v>0</v>
      </c>
      <c r="W230">
        <f>MAX(0,ROUND(AU229*(1+'Calc base'!I230),2)-K230-'Calc base'!U230)</f>
        <v>0</v>
      </c>
      <c r="X230">
        <f>MAX(0,ROUND(AV229*(1+'Calc base'!J230),2)-L230-'Calc base'!V230)</f>
        <v>0</v>
      </c>
      <c r="Y230">
        <f>MAX(0,ROUND(AW229*(1+'Calc base'!K230),2)-M230-'Calc base'!W230)</f>
        <v>0</v>
      </c>
      <c r="Z230">
        <f>MAX(0,ROUND(AX229*(1+'Calc base'!L230),2)-N230-'Calc base'!X230)</f>
        <v>0</v>
      </c>
      <c r="AA230">
        <f>MAX(0,ROUND(AY229*(1+'Calc base'!M230),2)-O230-'Calc base'!Y230)</f>
        <v>0</v>
      </c>
      <c r="AB230">
        <f>MAX(0,ROUND(AZ229*(1+'Calc base'!N230),2)-P230-'Calc base'!Z230)</f>
        <v>0</v>
      </c>
      <c r="AC230">
        <f>MAX(0,ROUND(BA229*(1+'Calc base'!O230),2)-Q230-'Calc base'!AA230)</f>
        <v>0</v>
      </c>
      <c r="AD230">
        <f>MAX(0,ROUND(BB229*(1+'Calc base'!P230),2)-R230-'Calc base'!AB230)</f>
        <v>0</v>
      </c>
      <c r="AE230">
        <f>MAX(0,ROUND(BC229*(1+'Calc base'!Q230),2)-S230-'Calc base'!AC230)</f>
        <v>0</v>
      </c>
      <c r="AF230">
        <f>MAX(0,ROUND(BD229*(1+'Calc base'!R230),2)-T230-'Calc base'!AD230)</f>
        <v>0</v>
      </c>
      <c r="AG230">
        <f>MAX(0,ROUND(BE229*(1+'Calc base'!S230),2)-U230-'Calc base'!AE230)</f>
        <v>0</v>
      </c>
      <c r="AH230">
        <f>IF('Calc base'!C$14=0,0,MIN(V230,MAX(0,$E230-SUMIFS($V230:$AG230,'Calc base'!$C$17:$N$17,"&lt;"&amp;'Calc base'!C$17,'Calc base'!$C$14:$N$14,1))))</f>
        <v>0</v>
      </c>
      <c r="AI230">
        <f>IF('Calc base'!D$14=0,0,MIN(W230,MAX(0,$E230-SUMIFS($V230:$AG230,'Calc base'!$C$17:$N$17,"&lt;"&amp;'Calc base'!D$17,'Calc base'!$C$14:$N$14,1))))</f>
        <v>0</v>
      </c>
      <c r="AJ230">
        <f>IF('Calc base'!E$14=0,0,MIN(X230,MAX(0,$E230-SUMIFS($V230:$AG230,'Calc base'!$C$17:$N$17,"&lt;"&amp;'Calc base'!E$17,'Calc base'!$C$14:$N$14,1))))</f>
        <v>0</v>
      </c>
      <c r="AK230">
        <f>IF('Calc base'!F$14=0,0,MIN(Y230,MAX(0,$E230-SUMIFS($V230:$AG230,'Calc base'!$C$17:$N$17,"&lt;"&amp;'Calc base'!F$17,'Calc base'!$C$14:$N$14,1))))</f>
        <v>0</v>
      </c>
      <c r="AL230">
        <f>IF('Calc base'!G$14=0,0,MIN(Z230,MAX(0,$E230-SUMIFS($V230:$AG230,'Calc base'!$C$17:$N$17,"&lt;"&amp;'Calc base'!G$17,'Calc base'!$C$14:$N$14,1))))</f>
        <v>0</v>
      </c>
      <c r="AM230">
        <f>IF('Calc base'!H$14=0,0,MIN(AA230,MAX(0,$E230-SUMIFS($V230:$AG230,'Calc base'!$C$17:$N$17,"&lt;"&amp;'Calc base'!H$17,'Calc base'!$C$14:$N$14,1))))</f>
        <v>0</v>
      </c>
      <c r="AN230">
        <f>IF('Calc base'!I$14=0,0,MIN(AB230,MAX(0,$E230-SUMIFS($V230:$AG230,'Calc base'!$C$17:$N$17,"&lt;"&amp;'Calc base'!I$17,'Calc base'!$C$14:$N$14,1))))</f>
        <v>0</v>
      </c>
      <c r="AO230">
        <f>IF('Calc base'!J$14=0,0,MIN(AC230,MAX(0,$E230-SUMIFS($V230:$AG230,'Calc base'!$C$17:$N$17,"&lt;"&amp;'Calc base'!J$17,'Calc base'!$C$14:$N$14,1))))</f>
        <v>0</v>
      </c>
      <c r="AP230">
        <f>IF('Calc base'!K$14=0,0,MIN(AD230,MAX(0,$E230-SUMIFS($V230:$AG230,'Calc base'!$C$17:$N$17,"&lt;"&amp;'Calc base'!K$17,'Calc base'!$C$14:$N$14,1))))</f>
        <v>0</v>
      </c>
      <c r="AQ230">
        <f>IF('Calc base'!L$14=0,0,MIN(AE230,MAX(0,$E230-SUMIFS($V230:$AG230,'Calc base'!$C$17:$N$17,"&lt;"&amp;'Calc base'!L$17,'Calc base'!$C$14:$N$14,1))))</f>
        <v>0</v>
      </c>
      <c r="AR230">
        <f>IF('Calc base'!M$14=0,0,MIN(AF230,MAX(0,$E230-SUMIFS($V230:$AG230,'Calc base'!$C$17:$N$17,"&lt;"&amp;'Calc base'!M$17,'Calc base'!$C$14:$N$14,1))))</f>
        <v>0</v>
      </c>
      <c r="AS230">
        <f>IF('Calc base'!N$14=0,0,MIN(AG230,MAX(0,$E230-SUMIFS($V230:$AG230,'Calc base'!$C$17:$N$17,"&lt;"&amp;'Calc base'!N$17,'Calc base'!$C$14:$N$14,1))))</f>
        <v>0</v>
      </c>
      <c r="AT230">
        <f>V230-AH230</f>
        <v>0</v>
      </c>
      <c r="AU230">
        <f>W230-AI230</f>
        <v>0</v>
      </c>
      <c r="AV230">
        <f>X230-AJ230</f>
        <v>0</v>
      </c>
      <c r="AW230">
        <f>Y230-AK230</f>
        <v>0</v>
      </c>
      <c r="AX230">
        <f>Z230-AL230</f>
        <v>0</v>
      </c>
      <c r="AY230">
        <f>AA230-AM230</f>
        <v>0</v>
      </c>
      <c r="AZ230">
        <f>AB230-AN230</f>
        <v>0</v>
      </c>
      <c r="BA230">
        <f>AC230-AO230</f>
        <v>0</v>
      </c>
      <c r="BB230">
        <f>AD230-AP230</f>
        <v>0</v>
      </c>
      <c r="BC230">
        <f>AE230-AQ230</f>
        <v>0</v>
      </c>
      <c r="BD230">
        <f>AF230-AR230</f>
        <v>0</v>
      </c>
      <c r="BE230">
        <f>AG230-AS230</f>
        <v>0</v>
      </c>
    </row>
    <row r="231">
      <c r="A231" t="n">
        <v>201</v>
      </c>
      <c r="B231">
        <f>SUMPRODUCT(ROUND($AT230:$BE230*(1+'Calc base'!$H231:$S231),2))</f>
        <v>0</v>
      </c>
      <c r="C231">
        <f>SUM(J231:U231)</f>
        <v>0</v>
      </c>
      <c r="D231">
        <f>SUM(V231:AG231)</f>
        <v>0</v>
      </c>
      <c r="E231">
        <f>MAX(0,IF(Impostazioni!$B$7="No",'Calc base'!$C231-$C$31,'Calc base'!$C231-C231)+'Calc base'!$G231+'Calc base'!$F231-(B231-C231-D231))</f>
        <v>900</v>
      </c>
      <c r="F231">
        <f>SUM(AH231:AS231)</f>
        <v>0</v>
      </c>
      <c r="G231">
        <f>SUM(AT231:BE231)</f>
        <v>0</v>
      </c>
      <c r="H231">
        <f>B231-G230</f>
        <v>0</v>
      </c>
      <c r="I231">
        <f>B231-G231</f>
        <v>0</v>
      </c>
      <c r="J231">
        <f>IF(AT230&lt;=0,0,IF(ROUND(AT230*(1+'Calc base'!H231),2)-MAX('Calc base'!C$12,ROUND('Calc base'!C$13*AT230,2))&lt;1,ROUND(AT230*(1+'Calc base'!H231),2),MAX('Calc base'!C$12,ROUND('Calc base'!C$13*AT230,2))))</f>
        <v>0</v>
      </c>
      <c r="K231">
        <f>IF(AU230&lt;=0,0,IF(ROUND(AU230*(1+'Calc base'!I231),2)-MAX('Calc base'!D$12,ROUND('Calc base'!D$13*AU230,2))&lt;1,ROUND(AU230*(1+'Calc base'!I231),2),MAX('Calc base'!D$12,ROUND('Calc base'!D$13*AU230,2))))</f>
        <v>0</v>
      </c>
      <c r="L231">
        <f>IF(AV230&lt;=0,0,IF(ROUND(AV230*(1+'Calc base'!J231),2)-MAX('Calc base'!E$12,ROUND('Calc base'!E$13*AV230,2))&lt;1,ROUND(AV230*(1+'Calc base'!J231),2),MAX('Calc base'!E$12,ROUND('Calc base'!E$13*AV230,2))))</f>
        <v>0</v>
      </c>
      <c r="M231">
        <f>IF(AW230&lt;=0,0,IF(ROUND(AW230*(1+'Calc base'!K231),2)-MAX('Calc base'!F$12,ROUND('Calc base'!F$13*AW230,2))&lt;1,ROUND(AW230*(1+'Calc base'!K231),2),MAX('Calc base'!F$12,ROUND('Calc base'!F$13*AW230,2))))</f>
        <v>0</v>
      </c>
      <c r="N231">
        <f>IF(AX230&lt;=0,0,IF(ROUND(AX230*(1+'Calc base'!L231),2)-MAX('Calc base'!G$12,ROUND('Calc base'!G$13*AX230,2))&lt;1,ROUND(AX230*(1+'Calc base'!L231),2),MAX('Calc base'!G$12,ROUND('Calc base'!G$13*AX230,2))))</f>
        <v>0</v>
      </c>
      <c r="O231">
        <f>IF(AY230&lt;=0,0,IF(ROUND(AY230*(1+'Calc base'!M231),2)-MAX('Calc base'!H$12,ROUND('Calc base'!H$13*AY230,2))&lt;1,ROUND(AY230*(1+'Calc base'!M231),2),MAX('Calc base'!H$12,ROUND('Calc base'!H$13*AY230,2))))</f>
        <v>0</v>
      </c>
      <c r="P231">
        <f>IF(AZ230&lt;=0,0,IF(ROUND(AZ230*(1+'Calc base'!N231),2)-MAX('Calc base'!I$12,ROUND('Calc base'!I$13*AZ230,2))&lt;1,ROUND(AZ230*(1+'Calc base'!N231),2),MAX('Calc base'!I$12,ROUND('Calc base'!I$13*AZ230,2))))</f>
        <v>0</v>
      </c>
      <c r="Q231">
        <f>IF(BA230&lt;=0,0,IF(ROUND(BA230*(1+'Calc base'!O231),2)-MAX('Calc base'!J$12,ROUND('Calc base'!J$13*BA230,2))&lt;1,ROUND(BA230*(1+'Calc base'!O231),2),MAX('Calc base'!J$12,ROUND('Calc base'!J$13*BA230,2))))</f>
        <v>0</v>
      </c>
      <c r="R231">
        <f>IF(BB230&lt;=0,0,IF(ROUND(BB230*(1+'Calc base'!P231),2)-MAX('Calc base'!K$12,ROUND('Calc base'!K$13*BB230,2))&lt;1,ROUND(BB230*(1+'Calc base'!P231),2),MAX('Calc base'!K$12,ROUND('Calc base'!K$13*BB230,2))))</f>
        <v>0</v>
      </c>
      <c r="S231">
        <f>IF(BC230&lt;=0,0,IF(ROUND(BC230*(1+'Calc base'!Q231),2)-MAX('Calc base'!L$12,ROUND('Calc base'!L$13*BC230,2))&lt;1,ROUND(BC230*(1+'Calc base'!Q231),2),MAX('Calc base'!L$12,ROUND('Calc base'!L$13*BC230,2))))</f>
        <v>0</v>
      </c>
      <c r="T231">
        <f>IF(BD230&lt;=0,0,IF(ROUND(BD230*(1+'Calc base'!R231),2)-MAX('Calc base'!M$12,ROUND('Calc base'!M$13*BD230,2))&lt;1,ROUND(BD230*(1+'Calc base'!R231),2),MAX('Calc base'!M$12,ROUND('Calc base'!M$13*BD230,2))))</f>
        <v>0</v>
      </c>
      <c r="U231">
        <f>IF(BE230&lt;=0,0,IF(ROUND(BE230*(1+'Calc base'!S231),2)-MAX('Calc base'!N$12,ROUND('Calc base'!N$13*BE230,2))&lt;1,ROUND(BE230*(1+'Calc base'!S231),2),MAX('Calc base'!N$12,ROUND('Calc base'!N$13*BE230,2))))</f>
        <v>0</v>
      </c>
      <c r="V231">
        <f>MAX(0,ROUND(AT230*(1+'Calc base'!H231),2)-J231-'Calc base'!T231)</f>
        <v>0</v>
      </c>
      <c r="W231">
        <f>MAX(0,ROUND(AU230*(1+'Calc base'!I231),2)-K231-'Calc base'!U231)</f>
        <v>0</v>
      </c>
      <c r="X231">
        <f>MAX(0,ROUND(AV230*(1+'Calc base'!J231),2)-L231-'Calc base'!V231)</f>
        <v>0</v>
      </c>
      <c r="Y231">
        <f>MAX(0,ROUND(AW230*(1+'Calc base'!K231),2)-M231-'Calc base'!W231)</f>
        <v>0</v>
      </c>
      <c r="Z231">
        <f>MAX(0,ROUND(AX230*(1+'Calc base'!L231),2)-N231-'Calc base'!X231)</f>
        <v>0</v>
      </c>
      <c r="AA231">
        <f>MAX(0,ROUND(AY230*(1+'Calc base'!M231),2)-O231-'Calc base'!Y231)</f>
        <v>0</v>
      </c>
      <c r="AB231">
        <f>MAX(0,ROUND(AZ230*(1+'Calc base'!N231),2)-P231-'Calc base'!Z231)</f>
        <v>0</v>
      </c>
      <c r="AC231">
        <f>MAX(0,ROUND(BA230*(1+'Calc base'!O231),2)-Q231-'Calc base'!AA231)</f>
        <v>0</v>
      </c>
      <c r="AD231">
        <f>MAX(0,ROUND(BB230*(1+'Calc base'!P231),2)-R231-'Calc base'!AB231)</f>
        <v>0</v>
      </c>
      <c r="AE231">
        <f>MAX(0,ROUND(BC230*(1+'Calc base'!Q231),2)-S231-'Calc base'!AC231)</f>
        <v>0</v>
      </c>
      <c r="AF231">
        <f>MAX(0,ROUND(BD230*(1+'Calc base'!R231),2)-T231-'Calc base'!AD231)</f>
        <v>0</v>
      </c>
      <c r="AG231">
        <f>MAX(0,ROUND(BE230*(1+'Calc base'!S231),2)-U231-'Calc base'!AE231)</f>
        <v>0</v>
      </c>
      <c r="AH231">
        <f>IF('Calc base'!C$14=0,0,MIN(V231,MAX(0,$E231-SUMIFS($V231:$AG231,'Calc base'!$C$17:$N$17,"&lt;"&amp;'Calc base'!C$17,'Calc base'!$C$14:$N$14,1))))</f>
        <v>0</v>
      </c>
      <c r="AI231">
        <f>IF('Calc base'!D$14=0,0,MIN(W231,MAX(0,$E231-SUMIFS($V231:$AG231,'Calc base'!$C$17:$N$17,"&lt;"&amp;'Calc base'!D$17,'Calc base'!$C$14:$N$14,1))))</f>
        <v>0</v>
      </c>
      <c r="AJ231">
        <f>IF('Calc base'!E$14=0,0,MIN(X231,MAX(0,$E231-SUMIFS($V231:$AG231,'Calc base'!$C$17:$N$17,"&lt;"&amp;'Calc base'!E$17,'Calc base'!$C$14:$N$14,1))))</f>
        <v>0</v>
      </c>
      <c r="AK231">
        <f>IF('Calc base'!F$14=0,0,MIN(Y231,MAX(0,$E231-SUMIFS($V231:$AG231,'Calc base'!$C$17:$N$17,"&lt;"&amp;'Calc base'!F$17,'Calc base'!$C$14:$N$14,1))))</f>
        <v>0</v>
      </c>
      <c r="AL231">
        <f>IF('Calc base'!G$14=0,0,MIN(Z231,MAX(0,$E231-SUMIFS($V231:$AG231,'Calc base'!$C$17:$N$17,"&lt;"&amp;'Calc base'!G$17,'Calc base'!$C$14:$N$14,1))))</f>
        <v>0</v>
      </c>
      <c r="AM231">
        <f>IF('Calc base'!H$14=0,0,MIN(AA231,MAX(0,$E231-SUMIFS($V231:$AG231,'Calc base'!$C$17:$N$17,"&lt;"&amp;'Calc base'!H$17,'Calc base'!$C$14:$N$14,1))))</f>
        <v>0</v>
      </c>
      <c r="AN231">
        <f>IF('Calc base'!I$14=0,0,MIN(AB231,MAX(0,$E231-SUMIFS($V231:$AG231,'Calc base'!$C$17:$N$17,"&lt;"&amp;'Calc base'!I$17,'Calc base'!$C$14:$N$14,1))))</f>
        <v>0</v>
      </c>
      <c r="AO231">
        <f>IF('Calc base'!J$14=0,0,MIN(AC231,MAX(0,$E231-SUMIFS($V231:$AG231,'Calc base'!$C$17:$N$17,"&lt;"&amp;'Calc base'!J$17,'Calc base'!$C$14:$N$14,1))))</f>
        <v>0</v>
      </c>
      <c r="AP231">
        <f>IF('Calc base'!K$14=0,0,MIN(AD231,MAX(0,$E231-SUMIFS($V231:$AG231,'Calc base'!$C$17:$N$17,"&lt;"&amp;'Calc base'!K$17,'Calc base'!$C$14:$N$14,1))))</f>
        <v>0</v>
      </c>
      <c r="AQ231">
        <f>IF('Calc base'!L$14=0,0,MIN(AE231,MAX(0,$E231-SUMIFS($V231:$AG231,'Calc base'!$C$17:$N$17,"&lt;"&amp;'Calc base'!L$17,'Calc base'!$C$14:$N$14,1))))</f>
        <v>0</v>
      </c>
      <c r="AR231">
        <f>IF('Calc base'!M$14=0,0,MIN(AF231,MAX(0,$E231-SUMIFS($V231:$AG231,'Calc base'!$C$17:$N$17,"&lt;"&amp;'Calc base'!M$17,'Calc base'!$C$14:$N$14,1))))</f>
        <v>0</v>
      </c>
      <c r="AS231">
        <f>IF('Calc base'!N$14=0,0,MIN(AG231,MAX(0,$E231-SUMIFS($V231:$AG231,'Calc base'!$C$17:$N$17,"&lt;"&amp;'Calc base'!N$17,'Calc base'!$C$14:$N$14,1))))</f>
        <v>0</v>
      </c>
      <c r="AT231">
        <f>V231-AH231</f>
        <v>0</v>
      </c>
      <c r="AU231">
        <f>W231-AI231</f>
        <v>0</v>
      </c>
      <c r="AV231">
        <f>X231-AJ231</f>
        <v>0</v>
      </c>
      <c r="AW231">
        <f>Y231-AK231</f>
        <v>0</v>
      </c>
      <c r="AX231">
        <f>Z231-AL231</f>
        <v>0</v>
      </c>
      <c r="AY231">
        <f>AA231-AM231</f>
        <v>0</v>
      </c>
      <c r="AZ231">
        <f>AB231-AN231</f>
        <v>0</v>
      </c>
      <c r="BA231">
        <f>AC231-AO231</f>
        <v>0</v>
      </c>
      <c r="BB231">
        <f>AD231-AP231</f>
        <v>0</v>
      </c>
      <c r="BC231">
        <f>AE231-AQ231</f>
        <v>0</v>
      </c>
      <c r="BD231">
        <f>AF231-AR231</f>
        <v>0</v>
      </c>
      <c r="BE231">
        <f>AG231-AS231</f>
        <v>0</v>
      </c>
    </row>
    <row r="232">
      <c r="A232" t="n">
        <v>202</v>
      </c>
      <c r="B232">
        <f>SUMPRODUCT(ROUND($AT231:$BE231*(1+'Calc base'!$H232:$S232),2))</f>
        <v>0</v>
      </c>
      <c r="C232">
        <f>SUM(J232:U232)</f>
        <v>0</v>
      </c>
      <c r="D232">
        <f>SUM(V232:AG232)</f>
        <v>0</v>
      </c>
      <c r="E232">
        <f>MAX(0,IF(Impostazioni!$B$7="No",'Calc base'!$C232-$C$31,'Calc base'!$C232-C232)+'Calc base'!$G232+'Calc base'!$F232-(B232-C232-D232))</f>
        <v>900</v>
      </c>
      <c r="F232">
        <f>SUM(AH232:AS232)</f>
        <v>0</v>
      </c>
      <c r="G232">
        <f>SUM(AT232:BE232)</f>
        <v>0</v>
      </c>
      <c r="H232">
        <f>B232-G231</f>
        <v>0</v>
      </c>
      <c r="I232">
        <f>B232-G232</f>
        <v>0</v>
      </c>
      <c r="J232">
        <f>IF(AT231&lt;=0,0,IF(ROUND(AT231*(1+'Calc base'!H232),2)-MAX('Calc base'!C$12,ROUND('Calc base'!C$13*AT231,2))&lt;1,ROUND(AT231*(1+'Calc base'!H232),2),MAX('Calc base'!C$12,ROUND('Calc base'!C$13*AT231,2))))</f>
        <v>0</v>
      </c>
      <c r="K232">
        <f>IF(AU231&lt;=0,0,IF(ROUND(AU231*(1+'Calc base'!I232),2)-MAX('Calc base'!D$12,ROUND('Calc base'!D$13*AU231,2))&lt;1,ROUND(AU231*(1+'Calc base'!I232),2),MAX('Calc base'!D$12,ROUND('Calc base'!D$13*AU231,2))))</f>
        <v>0</v>
      </c>
      <c r="L232">
        <f>IF(AV231&lt;=0,0,IF(ROUND(AV231*(1+'Calc base'!J232),2)-MAX('Calc base'!E$12,ROUND('Calc base'!E$13*AV231,2))&lt;1,ROUND(AV231*(1+'Calc base'!J232),2),MAX('Calc base'!E$12,ROUND('Calc base'!E$13*AV231,2))))</f>
        <v>0</v>
      </c>
      <c r="M232">
        <f>IF(AW231&lt;=0,0,IF(ROUND(AW231*(1+'Calc base'!K232),2)-MAX('Calc base'!F$12,ROUND('Calc base'!F$13*AW231,2))&lt;1,ROUND(AW231*(1+'Calc base'!K232),2),MAX('Calc base'!F$12,ROUND('Calc base'!F$13*AW231,2))))</f>
        <v>0</v>
      </c>
      <c r="N232">
        <f>IF(AX231&lt;=0,0,IF(ROUND(AX231*(1+'Calc base'!L232),2)-MAX('Calc base'!G$12,ROUND('Calc base'!G$13*AX231,2))&lt;1,ROUND(AX231*(1+'Calc base'!L232),2),MAX('Calc base'!G$12,ROUND('Calc base'!G$13*AX231,2))))</f>
        <v>0</v>
      </c>
      <c r="O232">
        <f>IF(AY231&lt;=0,0,IF(ROUND(AY231*(1+'Calc base'!M232),2)-MAX('Calc base'!H$12,ROUND('Calc base'!H$13*AY231,2))&lt;1,ROUND(AY231*(1+'Calc base'!M232),2),MAX('Calc base'!H$12,ROUND('Calc base'!H$13*AY231,2))))</f>
        <v>0</v>
      </c>
      <c r="P232">
        <f>IF(AZ231&lt;=0,0,IF(ROUND(AZ231*(1+'Calc base'!N232),2)-MAX('Calc base'!I$12,ROUND('Calc base'!I$13*AZ231,2))&lt;1,ROUND(AZ231*(1+'Calc base'!N232),2),MAX('Calc base'!I$12,ROUND('Calc base'!I$13*AZ231,2))))</f>
        <v>0</v>
      </c>
      <c r="Q232">
        <f>IF(BA231&lt;=0,0,IF(ROUND(BA231*(1+'Calc base'!O232),2)-MAX('Calc base'!J$12,ROUND('Calc base'!J$13*BA231,2))&lt;1,ROUND(BA231*(1+'Calc base'!O232),2),MAX('Calc base'!J$12,ROUND('Calc base'!J$13*BA231,2))))</f>
        <v>0</v>
      </c>
      <c r="R232">
        <f>IF(BB231&lt;=0,0,IF(ROUND(BB231*(1+'Calc base'!P232),2)-MAX('Calc base'!K$12,ROUND('Calc base'!K$13*BB231,2))&lt;1,ROUND(BB231*(1+'Calc base'!P232),2),MAX('Calc base'!K$12,ROUND('Calc base'!K$13*BB231,2))))</f>
        <v>0</v>
      </c>
      <c r="S232">
        <f>IF(BC231&lt;=0,0,IF(ROUND(BC231*(1+'Calc base'!Q232),2)-MAX('Calc base'!L$12,ROUND('Calc base'!L$13*BC231,2))&lt;1,ROUND(BC231*(1+'Calc base'!Q232),2),MAX('Calc base'!L$12,ROUND('Calc base'!L$13*BC231,2))))</f>
        <v>0</v>
      </c>
      <c r="T232">
        <f>IF(BD231&lt;=0,0,IF(ROUND(BD231*(1+'Calc base'!R232),2)-MAX('Calc base'!M$12,ROUND('Calc base'!M$13*BD231,2))&lt;1,ROUND(BD231*(1+'Calc base'!R232),2),MAX('Calc base'!M$12,ROUND('Calc base'!M$13*BD231,2))))</f>
        <v>0</v>
      </c>
      <c r="U232">
        <f>IF(BE231&lt;=0,0,IF(ROUND(BE231*(1+'Calc base'!S232),2)-MAX('Calc base'!N$12,ROUND('Calc base'!N$13*BE231,2))&lt;1,ROUND(BE231*(1+'Calc base'!S232),2),MAX('Calc base'!N$12,ROUND('Calc base'!N$13*BE231,2))))</f>
        <v>0</v>
      </c>
      <c r="V232">
        <f>MAX(0,ROUND(AT231*(1+'Calc base'!H232),2)-J232-'Calc base'!T232)</f>
        <v>0</v>
      </c>
      <c r="W232">
        <f>MAX(0,ROUND(AU231*(1+'Calc base'!I232),2)-K232-'Calc base'!U232)</f>
        <v>0</v>
      </c>
      <c r="X232">
        <f>MAX(0,ROUND(AV231*(1+'Calc base'!J232),2)-L232-'Calc base'!V232)</f>
        <v>0</v>
      </c>
      <c r="Y232">
        <f>MAX(0,ROUND(AW231*(1+'Calc base'!K232),2)-M232-'Calc base'!W232)</f>
        <v>0</v>
      </c>
      <c r="Z232">
        <f>MAX(0,ROUND(AX231*(1+'Calc base'!L232),2)-N232-'Calc base'!X232)</f>
        <v>0</v>
      </c>
      <c r="AA232">
        <f>MAX(0,ROUND(AY231*(1+'Calc base'!M232),2)-O232-'Calc base'!Y232)</f>
        <v>0</v>
      </c>
      <c r="AB232">
        <f>MAX(0,ROUND(AZ231*(1+'Calc base'!N232),2)-P232-'Calc base'!Z232)</f>
        <v>0</v>
      </c>
      <c r="AC232">
        <f>MAX(0,ROUND(BA231*(1+'Calc base'!O232),2)-Q232-'Calc base'!AA232)</f>
        <v>0</v>
      </c>
      <c r="AD232">
        <f>MAX(0,ROUND(BB231*(1+'Calc base'!P232),2)-R232-'Calc base'!AB232)</f>
        <v>0</v>
      </c>
      <c r="AE232">
        <f>MAX(0,ROUND(BC231*(1+'Calc base'!Q232),2)-S232-'Calc base'!AC232)</f>
        <v>0</v>
      </c>
      <c r="AF232">
        <f>MAX(0,ROUND(BD231*(1+'Calc base'!R232),2)-T232-'Calc base'!AD232)</f>
        <v>0</v>
      </c>
      <c r="AG232">
        <f>MAX(0,ROUND(BE231*(1+'Calc base'!S232),2)-U232-'Calc base'!AE232)</f>
        <v>0</v>
      </c>
      <c r="AH232">
        <f>IF('Calc base'!C$14=0,0,MIN(V232,MAX(0,$E232-SUMIFS($V232:$AG232,'Calc base'!$C$17:$N$17,"&lt;"&amp;'Calc base'!C$17,'Calc base'!$C$14:$N$14,1))))</f>
        <v>0</v>
      </c>
      <c r="AI232">
        <f>IF('Calc base'!D$14=0,0,MIN(W232,MAX(0,$E232-SUMIFS($V232:$AG232,'Calc base'!$C$17:$N$17,"&lt;"&amp;'Calc base'!D$17,'Calc base'!$C$14:$N$14,1))))</f>
        <v>0</v>
      </c>
      <c r="AJ232">
        <f>IF('Calc base'!E$14=0,0,MIN(X232,MAX(0,$E232-SUMIFS($V232:$AG232,'Calc base'!$C$17:$N$17,"&lt;"&amp;'Calc base'!E$17,'Calc base'!$C$14:$N$14,1))))</f>
        <v>0</v>
      </c>
      <c r="AK232">
        <f>IF('Calc base'!F$14=0,0,MIN(Y232,MAX(0,$E232-SUMIFS($V232:$AG232,'Calc base'!$C$17:$N$17,"&lt;"&amp;'Calc base'!F$17,'Calc base'!$C$14:$N$14,1))))</f>
        <v>0</v>
      </c>
      <c r="AL232">
        <f>IF('Calc base'!G$14=0,0,MIN(Z232,MAX(0,$E232-SUMIFS($V232:$AG232,'Calc base'!$C$17:$N$17,"&lt;"&amp;'Calc base'!G$17,'Calc base'!$C$14:$N$14,1))))</f>
        <v>0</v>
      </c>
      <c r="AM232">
        <f>IF('Calc base'!H$14=0,0,MIN(AA232,MAX(0,$E232-SUMIFS($V232:$AG232,'Calc base'!$C$17:$N$17,"&lt;"&amp;'Calc base'!H$17,'Calc base'!$C$14:$N$14,1))))</f>
        <v>0</v>
      </c>
      <c r="AN232">
        <f>IF('Calc base'!I$14=0,0,MIN(AB232,MAX(0,$E232-SUMIFS($V232:$AG232,'Calc base'!$C$17:$N$17,"&lt;"&amp;'Calc base'!I$17,'Calc base'!$C$14:$N$14,1))))</f>
        <v>0</v>
      </c>
      <c r="AO232">
        <f>IF('Calc base'!J$14=0,0,MIN(AC232,MAX(0,$E232-SUMIFS($V232:$AG232,'Calc base'!$C$17:$N$17,"&lt;"&amp;'Calc base'!J$17,'Calc base'!$C$14:$N$14,1))))</f>
        <v>0</v>
      </c>
      <c r="AP232">
        <f>IF('Calc base'!K$14=0,0,MIN(AD232,MAX(0,$E232-SUMIFS($V232:$AG232,'Calc base'!$C$17:$N$17,"&lt;"&amp;'Calc base'!K$17,'Calc base'!$C$14:$N$14,1))))</f>
        <v>0</v>
      </c>
      <c r="AQ232">
        <f>IF('Calc base'!L$14=0,0,MIN(AE232,MAX(0,$E232-SUMIFS($V232:$AG232,'Calc base'!$C$17:$N$17,"&lt;"&amp;'Calc base'!L$17,'Calc base'!$C$14:$N$14,1))))</f>
        <v>0</v>
      </c>
      <c r="AR232">
        <f>IF('Calc base'!M$14=0,0,MIN(AF232,MAX(0,$E232-SUMIFS($V232:$AG232,'Calc base'!$C$17:$N$17,"&lt;"&amp;'Calc base'!M$17,'Calc base'!$C$14:$N$14,1))))</f>
        <v>0</v>
      </c>
      <c r="AS232">
        <f>IF('Calc base'!N$14=0,0,MIN(AG232,MAX(0,$E232-SUMIFS($V232:$AG232,'Calc base'!$C$17:$N$17,"&lt;"&amp;'Calc base'!N$17,'Calc base'!$C$14:$N$14,1))))</f>
        <v>0</v>
      </c>
      <c r="AT232">
        <f>V232-AH232</f>
        <v>0</v>
      </c>
      <c r="AU232">
        <f>W232-AI232</f>
        <v>0</v>
      </c>
      <c r="AV232">
        <f>X232-AJ232</f>
        <v>0</v>
      </c>
      <c r="AW232">
        <f>Y232-AK232</f>
        <v>0</v>
      </c>
      <c r="AX232">
        <f>Z232-AL232</f>
        <v>0</v>
      </c>
      <c r="AY232">
        <f>AA232-AM232</f>
        <v>0</v>
      </c>
      <c r="AZ232">
        <f>AB232-AN232</f>
        <v>0</v>
      </c>
      <c r="BA232">
        <f>AC232-AO232</f>
        <v>0</v>
      </c>
      <c r="BB232">
        <f>AD232-AP232</f>
        <v>0</v>
      </c>
      <c r="BC232">
        <f>AE232-AQ232</f>
        <v>0</v>
      </c>
      <c r="BD232">
        <f>AF232-AR232</f>
        <v>0</v>
      </c>
      <c r="BE232">
        <f>AG232-AS232</f>
        <v>0</v>
      </c>
    </row>
    <row r="233">
      <c r="A233" t="n">
        <v>203</v>
      </c>
      <c r="B233">
        <f>SUMPRODUCT(ROUND($AT232:$BE232*(1+'Calc base'!$H233:$S233),2))</f>
        <v>0</v>
      </c>
      <c r="C233">
        <f>SUM(J233:U233)</f>
        <v>0</v>
      </c>
      <c r="D233">
        <f>SUM(V233:AG233)</f>
        <v>0</v>
      </c>
      <c r="E233">
        <f>MAX(0,IF(Impostazioni!$B$7="No",'Calc base'!$C233-$C$31,'Calc base'!$C233-C233)+'Calc base'!$G233+'Calc base'!$F233-(B233-C233-D233))</f>
        <v>900</v>
      </c>
      <c r="F233">
        <f>SUM(AH233:AS233)</f>
        <v>0</v>
      </c>
      <c r="G233">
        <f>SUM(AT233:BE233)</f>
        <v>0</v>
      </c>
      <c r="H233">
        <f>B233-G232</f>
        <v>0</v>
      </c>
      <c r="I233">
        <f>B233-G233</f>
        <v>0</v>
      </c>
      <c r="J233">
        <f>IF(AT232&lt;=0,0,IF(ROUND(AT232*(1+'Calc base'!H233),2)-MAX('Calc base'!C$12,ROUND('Calc base'!C$13*AT232,2))&lt;1,ROUND(AT232*(1+'Calc base'!H233),2),MAX('Calc base'!C$12,ROUND('Calc base'!C$13*AT232,2))))</f>
        <v>0</v>
      </c>
      <c r="K233">
        <f>IF(AU232&lt;=0,0,IF(ROUND(AU232*(1+'Calc base'!I233),2)-MAX('Calc base'!D$12,ROUND('Calc base'!D$13*AU232,2))&lt;1,ROUND(AU232*(1+'Calc base'!I233),2),MAX('Calc base'!D$12,ROUND('Calc base'!D$13*AU232,2))))</f>
        <v>0</v>
      </c>
      <c r="L233">
        <f>IF(AV232&lt;=0,0,IF(ROUND(AV232*(1+'Calc base'!J233),2)-MAX('Calc base'!E$12,ROUND('Calc base'!E$13*AV232,2))&lt;1,ROUND(AV232*(1+'Calc base'!J233),2),MAX('Calc base'!E$12,ROUND('Calc base'!E$13*AV232,2))))</f>
        <v>0</v>
      </c>
      <c r="M233">
        <f>IF(AW232&lt;=0,0,IF(ROUND(AW232*(1+'Calc base'!K233),2)-MAX('Calc base'!F$12,ROUND('Calc base'!F$13*AW232,2))&lt;1,ROUND(AW232*(1+'Calc base'!K233),2),MAX('Calc base'!F$12,ROUND('Calc base'!F$13*AW232,2))))</f>
        <v>0</v>
      </c>
      <c r="N233">
        <f>IF(AX232&lt;=0,0,IF(ROUND(AX232*(1+'Calc base'!L233),2)-MAX('Calc base'!G$12,ROUND('Calc base'!G$13*AX232,2))&lt;1,ROUND(AX232*(1+'Calc base'!L233),2),MAX('Calc base'!G$12,ROUND('Calc base'!G$13*AX232,2))))</f>
        <v>0</v>
      </c>
      <c r="O233">
        <f>IF(AY232&lt;=0,0,IF(ROUND(AY232*(1+'Calc base'!M233),2)-MAX('Calc base'!H$12,ROUND('Calc base'!H$13*AY232,2))&lt;1,ROUND(AY232*(1+'Calc base'!M233),2),MAX('Calc base'!H$12,ROUND('Calc base'!H$13*AY232,2))))</f>
        <v>0</v>
      </c>
      <c r="P233">
        <f>IF(AZ232&lt;=0,0,IF(ROUND(AZ232*(1+'Calc base'!N233),2)-MAX('Calc base'!I$12,ROUND('Calc base'!I$13*AZ232,2))&lt;1,ROUND(AZ232*(1+'Calc base'!N233),2),MAX('Calc base'!I$12,ROUND('Calc base'!I$13*AZ232,2))))</f>
        <v>0</v>
      </c>
      <c r="Q233">
        <f>IF(BA232&lt;=0,0,IF(ROUND(BA232*(1+'Calc base'!O233),2)-MAX('Calc base'!J$12,ROUND('Calc base'!J$13*BA232,2))&lt;1,ROUND(BA232*(1+'Calc base'!O233),2),MAX('Calc base'!J$12,ROUND('Calc base'!J$13*BA232,2))))</f>
        <v>0</v>
      </c>
      <c r="R233">
        <f>IF(BB232&lt;=0,0,IF(ROUND(BB232*(1+'Calc base'!P233),2)-MAX('Calc base'!K$12,ROUND('Calc base'!K$13*BB232,2))&lt;1,ROUND(BB232*(1+'Calc base'!P233),2),MAX('Calc base'!K$12,ROUND('Calc base'!K$13*BB232,2))))</f>
        <v>0</v>
      </c>
      <c r="S233">
        <f>IF(BC232&lt;=0,0,IF(ROUND(BC232*(1+'Calc base'!Q233),2)-MAX('Calc base'!L$12,ROUND('Calc base'!L$13*BC232,2))&lt;1,ROUND(BC232*(1+'Calc base'!Q233),2),MAX('Calc base'!L$12,ROUND('Calc base'!L$13*BC232,2))))</f>
        <v>0</v>
      </c>
      <c r="T233">
        <f>IF(BD232&lt;=0,0,IF(ROUND(BD232*(1+'Calc base'!R233),2)-MAX('Calc base'!M$12,ROUND('Calc base'!M$13*BD232,2))&lt;1,ROUND(BD232*(1+'Calc base'!R233),2),MAX('Calc base'!M$12,ROUND('Calc base'!M$13*BD232,2))))</f>
        <v>0</v>
      </c>
      <c r="U233">
        <f>IF(BE232&lt;=0,0,IF(ROUND(BE232*(1+'Calc base'!S233),2)-MAX('Calc base'!N$12,ROUND('Calc base'!N$13*BE232,2))&lt;1,ROUND(BE232*(1+'Calc base'!S233),2),MAX('Calc base'!N$12,ROUND('Calc base'!N$13*BE232,2))))</f>
        <v>0</v>
      </c>
      <c r="V233">
        <f>MAX(0,ROUND(AT232*(1+'Calc base'!H233),2)-J233-'Calc base'!T233)</f>
        <v>0</v>
      </c>
      <c r="W233">
        <f>MAX(0,ROUND(AU232*(1+'Calc base'!I233),2)-K233-'Calc base'!U233)</f>
        <v>0</v>
      </c>
      <c r="X233">
        <f>MAX(0,ROUND(AV232*(1+'Calc base'!J233),2)-L233-'Calc base'!V233)</f>
        <v>0</v>
      </c>
      <c r="Y233">
        <f>MAX(0,ROUND(AW232*(1+'Calc base'!K233),2)-M233-'Calc base'!W233)</f>
        <v>0</v>
      </c>
      <c r="Z233">
        <f>MAX(0,ROUND(AX232*(1+'Calc base'!L233),2)-N233-'Calc base'!X233)</f>
        <v>0</v>
      </c>
      <c r="AA233">
        <f>MAX(0,ROUND(AY232*(1+'Calc base'!M233),2)-O233-'Calc base'!Y233)</f>
        <v>0</v>
      </c>
      <c r="AB233">
        <f>MAX(0,ROUND(AZ232*(1+'Calc base'!N233),2)-P233-'Calc base'!Z233)</f>
        <v>0</v>
      </c>
      <c r="AC233">
        <f>MAX(0,ROUND(BA232*(1+'Calc base'!O233),2)-Q233-'Calc base'!AA233)</f>
        <v>0</v>
      </c>
      <c r="AD233">
        <f>MAX(0,ROUND(BB232*(1+'Calc base'!P233),2)-R233-'Calc base'!AB233)</f>
        <v>0</v>
      </c>
      <c r="AE233">
        <f>MAX(0,ROUND(BC232*(1+'Calc base'!Q233),2)-S233-'Calc base'!AC233)</f>
        <v>0</v>
      </c>
      <c r="AF233">
        <f>MAX(0,ROUND(BD232*(1+'Calc base'!R233),2)-T233-'Calc base'!AD233)</f>
        <v>0</v>
      </c>
      <c r="AG233">
        <f>MAX(0,ROUND(BE232*(1+'Calc base'!S233),2)-U233-'Calc base'!AE233)</f>
        <v>0</v>
      </c>
      <c r="AH233">
        <f>IF('Calc base'!C$14=0,0,MIN(V233,MAX(0,$E233-SUMIFS($V233:$AG233,'Calc base'!$C$17:$N$17,"&lt;"&amp;'Calc base'!C$17,'Calc base'!$C$14:$N$14,1))))</f>
        <v>0</v>
      </c>
      <c r="AI233">
        <f>IF('Calc base'!D$14=0,0,MIN(W233,MAX(0,$E233-SUMIFS($V233:$AG233,'Calc base'!$C$17:$N$17,"&lt;"&amp;'Calc base'!D$17,'Calc base'!$C$14:$N$14,1))))</f>
        <v>0</v>
      </c>
      <c r="AJ233">
        <f>IF('Calc base'!E$14=0,0,MIN(X233,MAX(0,$E233-SUMIFS($V233:$AG233,'Calc base'!$C$17:$N$17,"&lt;"&amp;'Calc base'!E$17,'Calc base'!$C$14:$N$14,1))))</f>
        <v>0</v>
      </c>
      <c r="AK233">
        <f>IF('Calc base'!F$14=0,0,MIN(Y233,MAX(0,$E233-SUMIFS($V233:$AG233,'Calc base'!$C$17:$N$17,"&lt;"&amp;'Calc base'!F$17,'Calc base'!$C$14:$N$14,1))))</f>
        <v>0</v>
      </c>
      <c r="AL233">
        <f>IF('Calc base'!G$14=0,0,MIN(Z233,MAX(0,$E233-SUMIFS($V233:$AG233,'Calc base'!$C$17:$N$17,"&lt;"&amp;'Calc base'!G$17,'Calc base'!$C$14:$N$14,1))))</f>
        <v>0</v>
      </c>
      <c r="AM233">
        <f>IF('Calc base'!H$14=0,0,MIN(AA233,MAX(0,$E233-SUMIFS($V233:$AG233,'Calc base'!$C$17:$N$17,"&lt;"&amp;'Calc base'!H$17,'Calc base'!$C$14:$N$14,1))))</f>
        <v>0</v>
      </c>
      <c r="AN233">
        <f>IF('Calc base'!I$14=0,0,MIN(AB233,MAX(0,$E233-SUMIFS($V233:$AG233,'Calc base'!$C$17:$N$17,"&lt;"&amp;'Calc base'!I$17,'Calc base'!$C$14:$N$14,1))))</f>
        <v>0</v>
      </c>
      <c r="AO233">
        <f>IF('Calc base'!J$14=0,0,MIN(AC233,MAX(0,$E233-SUMIFS($V233:$AG233,'Calc base'!$C$17:$N$17,"&lt;"&amp;'Calc base'!J$17,'Calc base'!$C$14:$N$14,1))))</f>
        <v>0</v>
      </c>
      <c r="AP233">
        <f>IF('Calc base'!K$14=0,0,MIN(AD233,MAX(0,$E233-SUMIFS($V233:$AG233,'Calc base'!$C$17:$N$17,"&lt;"&amp;'Calc base'!K$17,'Calc base'!$C$14:$N$14,1))))</f>
        <v>0</v>
      </c>
      <c r="AQ233">
        <f>IF('Calc base'!L$14=0,0,MIN(AE233,MAX(0,$E233-SUMIFS($V233:$AG233,'Calc base'!$C$17:$N$17,"&lt;"&amp;'Calc base'!L$17,'Calc base'!$C$14:$N$14,1))))</f>
        <v>0</v>
      </c>
      <c r="AR233">
        <f>IF('Calc base'!M$14=0,0,MIN(AF233,MAX(0,$E233-SUMIFS($V233:$AG233,'Calc base'!$C$17:$N$17,"&lt;"&amp;'Calc base'!M$17,'Calc base'!$C$14:$N$14,1))))</f>
        <v>0</v>
      </c>
      <c r="AS233">
        <f>IF('Calc base'!N$14=0,0,MIN(AG233,MAX(0,$E233-SUMIFS($V233:$AG233,'Calc base'!$C$17:$N$17,"&lt;"&amp;'Calc base'!N$17,'Calc base'!$C$14:$N$14,1))))</f>
        <v>0</v>
      </c>
      <c r="AT233">
        <f>V233-AH233</f>
        <v>0</v>
      </c>
      <c r="AU233">
        <f>W233-AI233</f>
        <v>0</v>
      </c>
      <c r="AV233">
        <f>X233-AJ233</f>
        <v>0</v>
      </c>
      <c r="AW233">
        <f>Y233-AK233</f>
        <v>0</v>
      </c>
      <c r="AX233">
        <f>Z233-AL233</f>
        <v>0</v>
      </c>
      <c r="AY233">
        <f>AA233-AM233</f>
        <v>0</v>
      </c>
      <c r="AZ233">
        <f>AB233-AN233</f>
        <v>0</v>
      </c>
      <c r="BA233">
        <f>AC233-AO233</f>
        <v>0</v>
      </c>
      <c r="BB233">
        <f>AD233-AP233</f>
        <v>0</v>
      </c>
      <c r="BC233">
        <f>AE233-AQ233</f>
        <v>0</v>
      </c>
      <c r="BD233">
        <f>AF233-AR233</f>
        <v>0</v>
      </c>
      <c r="BE233">
        <f>AG233-AS233</f>
        <v>0</v>
      </c>
    </row>
    <row r="234">
      <c r="A234" t="n">
        <v>204</v>
      </c>
      <c r="B234">
        <f>SUMPRODUCT(ROUND($AT233:$BE233*(1+'Calc base'!$H234:$S234),2))</f>
        <v>0</v>
      </c>
      <c r="C234">
        <f>SUM(J234:U234)</f>
        <v>0</v>
      </c>
      <c r="D234">
        <f>SUM(V234:AG234)</f>
        <v>0</v>
      </c>
      <c r="E234">
        <f>MAX(0,IF(Impostazioni!$B$7="No",'Calc base'!$C234-$C$31,'Calc base'!$C234-C234)+'Calc base'!$G234+'Calc base'!$F234-(B234-C234-D234))</f>
        <v>900</v>
      </c>
      <c r="F234">
        <f>SUM(AH234:AS234)</f>
        <v>0</v>
      </c>
      <c r="G234">
        <f>SUM(AT234:BE234)</f>
        <v>0</v>
      </c>
      <c r="H234">
        <f>B234-G233</f>
        <v>0</v>
      </c>
      <c r="I234">
        <f>B234-G234</f>
        <v>0</v>
      </c>
      <c r="J234">
        <f>IF(AT233&lt;=0,0,IF(ROUND(AT233*(1+'Calc base'!H234),2)-MAX('Calc base'!C$12,ROUND('Calc base'!C$13*AT233,2))&lt;1,ROUND(AT233*(1+'Calc base'!H234),2),MAX('Calc base'!C$12,ROUND('Calc base'!C$13*AT233,2))))</f>
        <v>0</v>
      </c>
      <c r="K234">
        <f>IF(AU233&lt;=0,0,IF(ROUND(AU233*(1+'Calc base'!I234),2)-MAX('Calc base'!D$12,ROUND('Calc base'!D$13*AU233,2))&lt;1,ROUND(AU233*(1+'Calc base'!I234),2),MAX('Calc base'!D$12,ROUND('Calc base'!D$13*AU233,2))))</f>
        <v>0</v>
      </c>
      <c r="L234">
        <f>IF(AV233&lt;=0,0,IF(ROUND(AV233*(1+'Calc base'!J234),2)-MAX('Calc base'!E$12,ROUND('Calc base'!E$13*AV233,2))&lt;1,ROUND(AV233*(1+'Calc base'!J234),2),MAX('Calc base'!E$12,ROUND('Calc base'!E$13*AV233,2))))</f>
        <v>0</v>
      </c>
      <c r="M234">
        <f>IF(AW233&lt;=0,0,IF(ROUND(AW233*(1+'Calc base'!K234),2)-MAX('Calc base'!F$12,ROUND('Calc base'!F$13*AW233,2))&lt;1,ROUND(AW233*(1+'Calc base'!K234),2),MAX('Calc base'!F$12,ROUND('Calc base'!F$13*AW233,2))))</f>
        <v>0</v>
      </c>
      <c r="N234">
        <f>IF(AX233&lt;=0,0,IF(ROUND(AX233*(1+'Calc base'!L234),2)-MAX('Calc base'!G$12,ROUND('Calc base'!G$13*AX233,2))&lt;1,ROUND(AX233*(1+'Calc base'!L234),2),MAX('Calc base'!G$12,ROUND('Calc base'!G$13*AX233,2))))</f>
        <v>0</v>
      </c>
      <c r="O234">
        <f>IF(AY233&lt;=0,0,IF(ROUND(AY233*(1+'Calc base'!M234),2)-MAX('Calc base'!H$12,ROUND('Calc base'!H$13*AY233,2))&lt;1,ROUND(AY233*(1+'Calc base'!M234),2),MAX('Calc base'!H$12,ROUND('Calc base'!H$13*AY233,2))))</f>
        <v>0</v>
      </c>
      <c r="P234">
        <f>IF(AZ233&lt;=0,0,IF(ROUND(AZ233*(1+'Calc base'!N234),2)-MAX('Calc base'!I$12,ROUND('Calc base'!I$13*AZ233,2))&lt;1,ROUND(AZ233*(1+'Calc base'!N234),2),MAX('Calc base'!I$12,ROUND('Calc base'!I$13*AZ233,2))))</f>
        <v>0</v>
      </c>
      <c r="Q234">
        <f>IF(BA233&lt;=0,0,IF(ROUND(BA233*(1+'Calc base'!O234),2)-MAX('Calc base'!J$12,ROUND('Calc base'!J$13*BA233,2))&lt;1,ROUND(BA233*(1+'Calc base'!O234),2),MAX('Calc base'!J$12,ROUND('Calc base'!J$13*BA233,2))))</f>
        <v>0</v>
      </c>
      <c r="R234">
        <f>IF(BB233&lt;=0,0,IF(ROUND(BB233*(1+'Calc base'!P234),2)-MAX('Calc base'!K$12,ROUND('Calc base'!K$13*BB233,2))&lt;1,ROUND(BB233*(1+'Calc base'!P234),2),MAX('Calc base'!K$12,ROUND('Calc base'!K$13*BB233,2))))</f>
        <v>0</v>
      </c>
      <c r="S234">
        <f>IF(BC233&lt;=0,0,IF(ROUND(BC233*(1+'Calc base'!Q234),2)-MAX('Calc base'!L$12,ROUND('Calc base'!L$13*BC233,2))&lt;1,ROUND(BC233*(1+'Calc base'!Q234),2),MAX('Calc base'!L$12,ROUND('Calc base'!L$13*BC233,2))))</f>
        <v>0</v>
      </c>
      <c r="T234">
        <f>IF(BD233&lt;=0,0,IF(ROUND(BD233*(1+'Calc base'!R234),2)-MAX('Calc base'!M$12,ROUND('Calc base'!M$13*BD233,2))&lt;1,ROUND(BD233*(1+'Calc base'!R234),2),MAX('Calc base'!M$12,ROUND('Calc base'!M$13*BD233,2))))</f>
        <v>0</v>
      </c>
      <c r="U234">
        <f>IF(BE233&lt;=0,0,IF(ROUND(BE233*(1+'Calc base'!S234),2)-MAX('Calc base'!N$12,ROUND('Calc base'!N$13*BE233,2))&lt;1,ROUND(BE233*(1+'Calc base'!S234),2),MAX('Calc base'!N$12,ROUND('Calc base'!N$13*BE233,2))))</f>
        <v>0</v>
      </c>
      <c r="V234">
        <f>MAX(0,ROUND(AT233*(1+'Calc base'!H234),2)-J234-'Calc base'!T234)</f>
        <v>0</v>
      </c>
      <c r="W234">
        <f>MAX(0,ROUND(AU233*(1+'Calc base'!I234),2)-K234-'Calc base'!U234)</f>
        <v>0</v>
      </c>
      <c r="X234">
        <f>MAX(0,ROUND(AV233*(1+'Calc base'!J234),2)-L234-'Calc base'!V234)</f>
        <v>0</v>
      </c>
      <c r="Y234">
        <f>MAX(0,ROUND(AW233*(1+'Calc base'!K234),2)-M234-'Calc base'!W234)</f>
        <v>0</v>
      </c>
      <c r="Z234">
        <f>MAX(0,ROUND(AX233*(1+'Calc base'!L234),2)-N234-'Calc base'!X234)</f>
        <v>0</v>
      </c>
      <c r="AA234">
        <f>MAX(0,ROUND(AY233*(1+'Calc base'!M234),2)-O234-'Calc base'!Y234)</f>
        <v>0</v>
      </c>
      <c r="AB234">
        <f>MAX(0,ROUND(AZ233*(1+'Calc base'!N234),2)-P234-'Calc base'!Z234)</f>
        <v>0</v>
      </c>
      <c r="AC234">
        <f>MAX(0,ROUND(BA233*(1+'Calc base'!O234),2)-Q234-'Calc base'!AA234)</f>
        <v>0</v>
      </c>
      <c r="AD234">
        <f>MAX(0,ROUND(BB233*(1+'Calc base'!P234),2)-R234-'Calc base'!AB234)</f>
        <v>0</v>
      </c>
      <c r="AE234">
        <f>MAX(0,ROUND(BC233*(1+'Calc base'!Q234),2)-S234-'Calc base'!AC234)</f>
        <v>0</v>
      </c>
      <c r="AF234">
        <f>MAX(0,ROUND(BD233*(1+'Calc base'!R234),2)-T234-'Calc base'!AD234)</f>
        <v>0</v>
      </c>
      <c r="AG234">
        <f>MAX(0,ROUND(BE233*(1+'Calc base'!S234),2)-U234-'Calc base'!AE234)</f>
        <v>0</v>
      </c>
      <c r="AH234">
        <f>IF('Calc base'!C$14=0,0,MIN(V234,MAX(0,$E234-SUMIFS($V234:$AG234,'Calc base'!$C$17:$N$17,"&lt;"&amp;'Calc base'!C$17,'Calc base'!$C$14:$N$14,1))))</f>
        <v>0</v>
      </c>
      <c r="AI234">
        <f>IF('Calc base'!D$14=0,0,MIN(W234,MAX(0,$E234-SUMIFS($V234:$AG234,'Calc base'!$C$17:$N$17,"&lt;"&amp;'Calc base'!D$17,'Calc base'!$C$14:$N$14,1))))</f>
        <v>0</v>
      </c>
      <c r="AJ234">
        <f>IF('Calc base'!E$14=0,0,MIN(X234,MAX(0,$E234-SUMIFS($V234:$AG234,'Calc base'!$C$17:$N$17,"&lt;"&amp;'Calc base'!E$17,'Calc base'!$C$14:$N$14,1))))</f>
        <v>0</v>
      </c>
      <c r="AK234">
        <f>IF('Calc base'!F$14=0,0,MIN(Y234,MAX(0,$E234-SUMIFS($V234:$AG234,'Calc base'!$C$17:$N$17,"&lt;"&amp;'Calc base'!F$17,'Calc base'!$C$14:$N$14,1))))</f>
        <v>0</v>
      </c>
      <c r="AL234">
        <f>IF('Calc base'!G$14=0,0,MIN(Z234,MAX(0,$E234-SUMIFS($V234:$AG234,'Calc base'!$C$17:$N$17,"&lt;"&amp;'Calc base'!G$17,'Calc base'!$C$14:$N$14,1))))</f>
        <v>0</v>
      </c>
      <c r="AM234">
        <f>IF('Calc base'!H$14=0,0,MIN(AA234,MAX(0,$E234-SUMIFS($V234:$AG234,'Calc base'!$C$17:$N$17,"&lt;"&amp;'Calc base'!H$17,'Calc base'!$C$14:$N$14,1))))</f>
        <v>0</v>
      </c>
      <c r="AN234">
        <f>IF('Calc base'!I$14=0,0,MIN(AB234,MAX(0,$E234-SUMIFS($V234:$AG234,'Calc base'!$C$17:$N$17,"&lt;"&amp;'Calc base'!I$17,'Calc base'!$C$14:$N$14,1))))</f>
        <v>0</v>
      </c>
      <c r="AO234">
        <f>IF('Calc base'!J$14=0,0,MIN(AC234,MAX(0,$E234-SUMIFS($V234:$AG234,'Calc base'!$C$17:$N$17,"&lt;"&amp;'Calc base'!J$17,'Calc base'!$C$14:$N$14,1))))</f>
        <v>0</v>
      </c>
      <c r="AP234">
        <f>IF('Calc base'!K$14=0,0,MIN(AD234,MAX(0,$E234-SUMIFS($V234:$AG234,'Calc base'!$C$17:$N$17,"&lt;"&amp;'Calc base'!K$17,'Calc base'!$C$14:$N$14,1))))</f>
        <v>0</v>
      </c>
      <c r="AQ234">
        <f>IF('Calc base'!L$14=0,0,MIN(AE234,MAX(0,$E234-SUMIFS($V234:$AG234,'Calc base'!$C$17:$N$17,"&lt;"&amp;'Calc base'!L$17,'Calc base'!$C$14:$N$14,1))))</f>
        <v>0</v>
      </c>
      <c r="AR234">
        <f>IF('Calc base'!M$14=0,0,MIN(AF234,MAX(0,$E234-SUMIFS($V234:$AG234,'Calc base'!$C$17:$N$17,"&lt;"&amp;'Calc base'!M$17,'Calc base'!$C$14:$N$14,1))))</f>
        <v>0</v>
      </c>
      <c r="AS234">
        <f>IF('Calc base'!N$14=0,0,MIN(AG234,MAX(0,$E234-SUMIFS($V234:$AG234,'Calc base'!$C$17:$N$17,"&lt;"&amp;'Calc base'!N$17,'Calc base'!$C$14:$N$14,1))))</f>
        <v>0</v>
      </c>
      <c r="AT234">
        <f>V234-AH234</f>
        <v>0</v>
      </c>
      <c r="AU234">
        <f>W234-AI234</f>
        <v>0</v>
      </c>
      <c r="AV234">
        <f>X234-AJ234</f>
        <v>0</v>
      </c>
      <c r="AW234">
        <f>Y234-AK234</f>
        <v>0</v>
      </c>
      <c r="AX234">
        <f>Z234-AL234</f>
        <v>0</v>
      </c>
      <c r="AY234">
        <f>AA234-AM234</f>
        <v>0</v>
      </c>
      <c r="AZ234">
        <f>AB234-AN234</f>
        <v>0</v>
      </c>
      <c r="BA234">
        <f>AC234-AO234</f>
        <v>0</v>
      </c>
      <c r="BB234">
        <f>AD234-AP234</f>
        <v>0</v>
      </c>
      <c r="BC234">
        <f>AE234-AQ234</f>
        <v>0</v>
      </c>
      <c r="BD234">
        <f>AF234-AR234</f>
        <v>0</v>
      </c>
      <c r="BE234">
        <f>AG234-AS234</f>
        <v>0</v>
      </c>
    </row>
    <row r="235">
      <c r="A235" t="n">
        <v>205</v>
      </c>
      <c r="B235">
        <f>SUMPRODUCT(ROUND($AT234:$BE234*(1+'Calc base'!$H235:$S235),2))</f>
        <v>0</v>
      </c>
      <c r="C235">
        <f>SUM(J235:U235)</f>
        <v>0</v>
      </c>
      <c r="D235">
        <f>SUM(V235:AG235)</f>
        <v>0</v>
      </c>
      <c r="E235">
        <f>MAX(0,IF(Impostazioni!$B$7="No",'Calc base'!$C235-$C$31,'Calc base'!$C235-C235)+'Calc base'!$G235+'Calc base'!$F235-(B235-C235-D235))</f>
        <v>900</v>
      </c>
      <c r="F235">
        <f>SUM(AH235:AS235)</f>
        <v>0</v>
      </c>
      <c r="G235">
        <f>SUM(AT235:BE235)</f>
        <v>0</v>
      </c>
      <c r="H235">
        <f>B235-G234</f>
        <v>0</v>
      </c>
      <c r="I235">
        <f>B235-G235</f>
        <v>0</v>
      </c>
      <c r="J235">
        <f>IF(AT234&lt;=0,0,IF(ROUND(AT234*(1+'Calc base'!H235),2)-MAX('Calc base'!C$12,ROUND('Calc base'!C$13*AT234,2))&lt;1,ROUND(AT234*(1+'Calc base'!H235),2),MAX('Calc base'!C$12,ROUND('Calc base'!C$13*AT234,2))))</f>
        <v>0</v>
      </c>
      <c r="K235">
        <f>IF(AU234&lt;=0,0,IF(ROUND(AU234*(1+'Calc base'!I235),2)-MAX('Calc base'!D$12,ROUND('Calc base'!D$13*AU234,2))&lt;1,ROUND(AU234*(1+'Calc base'!I235),2),MAX('Calc base'!D$12,ROUND('Calc base'!D$13*AU234,2))))</f>
        <v>0</v>
      </c>
      <c r="L235">
        <f>IF(AV234&lt;=0,0,IF(ROUND(AV234*(1+'Calc base'!J235),2)-MAX('Calc base'!E$12,ROUND('Calc base'!E$13*AV234,2))&lt;1,ROUND(AV234*(1+'Calc base'!J235),2),MAX('Calc base'!E$12,ROUND('Calc base'!E$13*AV234,2))))</f>
        <v>0</v>
      </c>
      <c r="M235">
        <f>IF(AW234&lt;=0,0,IF(ROUND(AW234*(1+'Calc base'!K235),2)-MAX('Calc base'!F$12,ROUND('Calc base'!F$13*AW234,2))&lt;1,ROUND(AW234*(1+'Calc base'!K235),2),MAX('Calc base'!F$12,ROUND('Calc base'!F$13*AW234,2))))</f>
        <v>0</v>
      </c>
      <c r="N235">
        <f>IF(AX234&lt;=0,0,IF(ROUND(AX234*(1+'Calc base'!L235),2)-MAX('Calc base'!G$12,ROUND('Calc base'!G$13*AX234,2))&lt;1,ROUND(AX234*(1+'Calc base'!L235),2),MAX('Calc base'!G$12,ROUND('Calc base'!G$13*AX234,2))))</f>
        <v>0</v>
      </c>
      <c r="O235">
        <f>IF(AY234&lt;=0,0,IF(ROUND(AY234*(1+'Calc base'!M235),2)-MAX('Calc base'!H$12,ROUND('Calc base'!H$13*AY234,2))&lt;1,ROUND(AY234*(1+'Calc base'!M235),2),MAX('Calc base'!H$12,ROUND('Calc base'!H$13*AY234,2))))</f>
        <v>0</v>
      </c>
      <c r="P235">
        <f>IF(AZ234&lt;=0,0,IF(ROUND(AZ234*(1+'Calc base'!N235),2)-MAX('Calc base'!I$12,ROUND('Calc base'!I$13*AZ234,2))&lt;1,ROUND(AZ234*(1+'Calc base'!N235),2),MAX('Calc base'!I$12,ROUND('Calc base'!I$13*AZ234,2))))</f>
        <v>0</v>
      </c>
      <c r="Q235">
        <f>IF(BA234&lt;=0,0,IF(ROUND(BA234*(1+'Calc base'!O235),2)-MAX('Calc base'!J$12,ROUND('Calc base'!J$13*BA234,2))&lt;1,ROUND(BA234*(1+'Calc base'!O235),2),MAX('Calc base'!J$12,ROUND('Calc base'!J$13*BA234,2))))</f>
        <v>0</v>
      </c>
      <c r="R235">
        <f>IF(BB234&lt;=0,0,IF(ROUND(BB234*(1+'Calc base'!P235),2)-MAX('Calc base'!K$12,ROUND('Calc base'!K$13*BB234,2))&lt;1,ROUND(BB234*(1+'Calc base'!P235),2),MAX('Calc base'!K$12,ROUND('Calc base'!K$13*BB234,2))))</f>
        <v>0</v>
      </c>
      <c r="S235">
        <f>IF(BC234&lt;=0,0,IF(ROUND(BC234*(1+'Calc base'!Q235),2)-MAX('Calc base'!L$12,ROUND('Calc base'!L$13*BC234,2))&lt;1,ROUND(BC234*(1+'Calc base'!Q235),2),MAX('Calc base'!L$12,ROUND('Calc base'!L$13*BC234,2))))</f>
        <v>0</v>
      </c>
      <c r="T235">
        <f>IF(BD234&lt;=0,0,IF(ROUND(BD234*(1+'Calc base'!R235),2)-MAX('Calc base'!M$12,ROUND('Calc base'!M$13*BD234,2))&lt;1,ROUND(BD234*(1+'Calc base'!R235),2),MAX('Calc base'!M$12,ROUND('Calc base'!M$13*BD234,2))))</f>
        <v>0</v>
      </c>
      <c r="U235">
        <f>IF(BE234&lt;=0,0,IF(ROUND(BE234*(1+'Calc base'!S235),2)-MAX('Calc base'!N$12,ROUND('Calc base'!N$13*BE234,2))&lt;1,ROUND(BE234*(1+'Calc base'!S235),2),MAX('Calc base'!N$12,ROUND('Calc base'!N$13*BE234,2))))</f>
        <v>0</v>
      </c>
      <c r="V235">
        <f>MAX(0,ROUND(AT234*(1+'Calc base'!H235),2)-J235-'Calc base'!T235)</f>
        <v>0</v>
      </c>
      <c r="W235">
        <f>MAX(0,ROUND(AU234*(1+'Calc base'!I235),2)-K235-'Calc base'!U235)</f>
        <v>0</v>
      </c>
      <c r="X235">
        <f>MAX(0,ROUND(AV234*(1+'Calc base'!J235),2)-L235-'Calc base'!V235)</f>
        <v>0</v>
      </c>
      <c r="Y235">
        <f>MAX(0,ROUND(AW234*(1+'Calc base'!K235),2)-M235-'Calc base'!W235)</f>
        <v>0</v>
      </c>
      <c r="Z235">
        <f>MAX(0,ROUND(AX234*(1+'Calc base'!L235),2)-N235-'Calc base'!X235)</f>
        <v>0</v>
      </c>
      <c r="AA235">
        <f>MAX(0,ROUND(AY234*(1+'Calc base'!M235),2)-O235-'Calc base'!Y235)</f>
        <v>0</v>
      </c>
      <c r="AB235">
        <f>MAX(0,ROUND(AZ234*(1+'Calc base'!N235),2)-P235-'Calc base'!Z235)</f>
        <v>0</v>
      </c>
      <c r="AC235">
        <f>MAX(0,ROUND(BA234*(1+'Calc base'!O235),2)-Q235-'Calc base'!AA235)</f>
        <v>0</v>
      </c>
      <c r="AD235">
        <f>MAX(0,ROUND(BB234*(1+'Calc base'!P235),2)-R235-'Calc base'!AB235)</f>
        <v>0</v>
      </c>
      <c r="AE235">
        <f>MAX(0,ROUND(BC234*(1+'Calc base'!Q235),2)-S235-'Calc base'!AC235)</f>
        <v>0</v>
      </c>
      <c r="AF235">
        <f>MAX(0,ROUND(BD234*(1+'Calc base'!R235),2)-T235-'Calc base'!AD235)</f>
        <v>0</v>
      </c>
      <c r="AG235">
        <f>MAX(0,ROUND(BE234*(1+'Calc base'!S235),2)-U235-'Calc base'!AE235)</f>
        <v>0</v>
      </c>
      <c r="AH235">
        <f>IF('Calc base'!C$14=0,0,MIN(V235,MAX(0,$E235-SUMIFS($V235:$AG235,'Calc base'!$C$17:$N$17,"&lt;"&amp;'Calc base'!C$17,'Calc base'!$C$14:$N$14,1))))</f>
        <v>0</v>
      </c>
      <c r="AI235">
        <f>IF('Calc base'!D$14=0,0,MIN(W235,MAX(0,$E235-SUMIFS($V235:$AG235,'Calc base'!$C$17:$N$17,"&lt;"&amp;'Calc base'!D$17,'Calc base'!$C$14:$N$14,1))))</f>
        <v>0</v>
      </c>
      <c r="AJ235">
        <f>IF('Calc base'!E$14=0,0,MIN(X235,MAX(0,$E235-SUMIFS($V235:$AG235,'Calc base'!$C$17:$N$17,"&lt;"&amp;'Calc base'!E$17,'Calc base'!$C$14:$N$14,1))))</f>
        <v>0</v>
      </c>
      <c r="AK235">
        <f>IF('Calc base'!F$14=0,0,MIN(Y235,MAX(0,$E235-SUMIFS($V235:$AG235,'Calc base'!$C$17:$N$17,"&lt;"&amp;'Calc base'!F$17,'Calc base'!$C$14:$N$14,1))))</f>
        <v>0</v>
      </c>
      <c r="AL235">
        <f>IF('Calc base'!G$14=0,0,MIN(Z235,MAX(0,$E235-SUMIFS($V235:$AG235,'Calc base'!$C$17:$N$17,"&lt;"&amp;'Calc base'!G$17,'Calc base'!$C$14:$N$14,1))))</f>
        <v>0</v>
      </c>
      <c r="AM235">
        <f>IF('Calc base'!H$14=0,0,MIN(AA235,MAX(0,$E235-SUMIFS($V235:$AG235,'Calc base'!$C$17:$N$17,"&lt;"&amp;'Calc base'!H$17,'Calc base'!$C$14:$N$14,1))))</f>
        <v>0</v>
      </c>
      <c r="AN235">
        <f>IF('Calc base'!I$14=0,0,MIN(AB235,MAX(0,$E235-SUMIFS($V235:$AG235,'Calc base'!$C$17:$N$17,"&lt;"&amp;'Calc base'!I$17,'Calc base'!$C$14:$N$14,1))))</f>
        <v>0</v>
      </c>
      <c r="AO235">
        <f>IF('Calc base'!J$14=0,0,MIN(AC235,MAX(0,$E235-SUMIFS($V235:$AG235,'Calc base'!$C$17:$N$17,"&lt;"&amp;'Calc base'!J$17,'Calc base'!$C$14:$N$14,1))))</f>
        <v>0</v>
      </c>
      <c r="AP235">
        <f>IF('Calc base'!K$14=0,0,MIN(AD235,MAX(0,$E235-SUMIFS($V235:$AG235,'Calc base'!$C$17:$N$17,"&lt;"&amp;'Calc base'!K$17,'Calc base'!$C$14:$N$14,1))))</f>
        <v>0</v>
      </c>
      <c r="AQ235">
        <f>IF('Calc base'!L$14=0,0,MIN(AE235,MAX(0,$E235-SUMIFS($V235:$AG235,'Calc base'!$C$17:$N$17,"&lt;"&amp;'Calc base'!L$17,'Calc base'!$C$14:$N$14,1))))</f>
        <v>0</v>
      </c>
      <c r="AR235">
        <f>IF('Calc base'!M$14=0,0,MIN(AF235,MAX(0,$E235-SUMIFS($V235:$AG235,'Calc base'!$C$17:$N$17,"&lt;"&amp;'Calc base'!M$17,'Calc base'!$C$14:$N$14,1))))</f>
        <v>0</v>
      </c>
      <c r="AS235">
        <f>IF('Calc base'!N$14=0,0,MIN(AG235,MAX(0,$E235-SUMIFS($V235:$AG235,'Calc base'!$C$17:$N$17,"&lt;"&amp;'Calc base'!N$17,'Calc base'!$C$14:$N$14,1))))</f>
        <v>0</v>
      </c>
      <c r="AT235">
        <f>V235-AH235</f>
        <v>0</v>
      </c>
      <c r="AU235">
        <f>W235-AI235</f>
        <v>0</v>
      </c>
      <c r="AV235">
        <f>X235-AJ235</f>
        <v>0</v>
      </c>
      <c r="AW235">
        <f>Y235-AK235</f>
        <v>0</v>
      </c>
      <c r="AX235">
        <f>Z235-AL235</f>
        <v>0</v>
      </c>
      <c r="AY235">
        <f>AA235-AM235</f>
        <v>0</v>
      </c>
      <c r="AZ235">
        <f>AB235-AN235</f>
        <v>0</v>
      </c>
      <c r="BA235">
        <f>AC235-AO235</f>
        <v>0</v>
      </c>
      <c r="BB235">
        <f>AD235-AP235</f>
        <v>0</v>
      </c>
      <c r="BC235">
        <f>AE235-AQ235</f>
        <v>0</v>
      </c>
      <c r="BD235">
        <f>AF235-AR235</f>
        <v>0</v>
      </c>
      <c r="BE235">
        <f>AG235-AS235</f>
        <v>0</v>
      </c>
    </row>
    <row r="236">
      <c r="A236" t="n">
        <v>206</v>
      </c>
      <c r="B236">
        <f>SUMPRODUCT(ROUND($AT235:$BE235*(1+'Calc base'!$H236:$S236),2))</f>
        <v>0</v>
      </c>
      <c r="C236">
        <f>SUM(J236:U236)</f>
        <v>0</v>
      </c>
      <c r="D236">
        <f>SUM(V236:AG236)</f>
        <v>0</v>
      </c>
      <c r="E236">
        <f>MAX(0,IF(Impostazioni!$B$7="No",'Calc base'!$C236-$C$31,'Calc base'!$C236-C236)+'Calc base'!$G236+'Calc base'!$F236-(B236-C236-D236))</f>
        <v>900</v>
      </c>
      <c r="F236">
        <f>SUM(AH236:AS236)</f>
        <v>0</v>
      </c>
      <c r="G236">
        <f>SUM(AT236:BE236)</f>
        <v>0</v>
      </c>
      <c r="H236">
        <f>B236-G235</f>
        <v>0</v>
      </c>
      <c r="I236">
        <f>B236-G236</f>
        <v>0</v>
      </c>
      <c r="J236">
        <f>IF(AT235&lt;=0,0,IF(ROUND(AT235*(1+'Calc base'!H236),2)-MAX('Calc base'!C$12,ROUND('Calc base'!C$13*AT235,2))&lt;1,ROUND(AT235*(1+'Calc base'!H236),2),MAX('Calc base'!C$12,ROUND('Calc base'!C$13*AT235,2))))</f>
        <v>0</v>
      </c>
      <c r="K236">
        <f>IF(AU235&lt;=0,0,IF(ROUND(AU235*(1+'Calc base'!I236),2)-MAX('Calc base'!D$12,ROUND('Calc base'!D$13*AU235,2))&lt;1,ROUND(AU235*(1+'Calc base'!I236),2),MAX('Calc base'!D$12,ROUND('Calc base'!D$13*AU235,2))))</f>
        <v>0</v>
      </c>
      <c r="L236">
        <f>IF(AV235&lt;=0,0,IF(ROUND(AV235*(1+'Calc base'!J236),2)-MAX('Calc base'!E$12,ROUND('Calc base'!E$13*AV235,2))&lt;1,ROUND(AV235*(1+'Calc base'!J236),2),MAX('Calc base'!E$12,ROUND('Calc base'!E$13*AV235,2))))</f>
        <v>0</v>
      </c>
      <c r="M236">
        <f>IF(AW235&lt;=0,0,IF(ROUND(AW235*(1+'Calc base'!K236),2)-MAX('Calc base'!F$12,ROUND('Calc base'!F$13*AW235,2))&lt;1,ROUND(AW235*(1+'Calc base'!K236),2),MAX('Calc base'!F$12,ROUND('Calc base'!F$13*AW235,2))))</f>
        <v>0</v>
      </c>
      <c r="N236">
        <f>IF(AX235&lt;=0,0,IF(ROUND(AX235*(1+'Calc base'!L236),2)-MAX('Calc base'!G$12,ROUND('Calc base'!G$13*AX235,2))&lt;1,ROUND(AX235*(1+'Calc base'!L236),2),MAX('Calc base'!G$12,ROUND('Calc base'!G$13*AX235,2))))</f>
        <v>0</v>
      </c>
      <c r="O236">
        <f>IF(AY235&lt;=0,0,IF(ROUND(AY235*(1+'Calc base'!M236),2)-MAX('Calc base'!H$12,ROUND('Calc base'!H$13*AY235,2))&lt;1,ROUND(AY235*(1+'Calc base'!M236),2),MAX('Calc base'!H$12,ROUND('Calc base'!H$13*AY235,2))))</f>
        <v>0</v>
      </c>
      <c r="P236">
        <f>IF(AZ235&lt;=0,0,IF(ROUND(AZ235*(1+'Calc base'!N236),2)-MAX('Calc base'!I$12,ROUND('Calc base'!I$13*AZ235,2))&lt;1,ROUND(AZ235*(1+'Calc base'!N236),2),MAX('Calc base'!I$12,ROUND('Calc base'!I$13*AZ235,2))))</f>
        <v>0</v>
      </c>
      <c r="Q236">
        <f>IF(BA235&lt;=0,0,IF(ROUND(BA235*(1+'Calc base'!O236),2)-MAX('Calc base'!J$12,ROUND('Calc base'!J$13*BA235,2))&lt;1,ROUND(BA235*(1+'Calc base'!O236),2),MAX('Calc base'!J$12,ROUND('Calc base'!J$13*BA235,2))))</f>
        <v>0</v>
      </c>
      <c r="R236">
        <f>IF(BB235&lt;=0,0,IF(ROUND(BB235*(1+'Calc base'!P236),2)-MAX('Calc base'!K$12,ROUND('Calc base'!K$13*BB235,2))&lt;1,ROUND(BB235*(1+'Calc base'!P236),2),MAX('Calc base'!K$12,ROUND('Calc base'!K$13*BB235,2))))</f>
        <v>0</v>
      </c>
      <c r="S236">
        <f>IF(BC235&lt;=0,0,IF(ROUND(BC235*(1+'Calc base'!Q236),2)-MAX('Calc base'!L$12,ROUND('Calc base'!L$13*BC235,2))&lt;1,ROUND(BC235*(1+'Calc base'!Q236),2),MAX('Calc base'!L$12,ROUND('Calc base'!L$13*BC235,2))))</f>
        <v>0</v>
      </c>
      <c r="T236">
        <f>IF(BD235&lt;=0,0,IF(ROUND(BD235*(1+'Calc base'!R236),2)-MAX('Calc base'!M$12,ROUND('Calc base'!M$13*BD235,2))&lt;1,ROUND(BD235*(1+'Calc base'!R236),2),MAX('Calc base'!M$12,ROUND('Calc base'!M$13*BD235,2))))</f>
        <v>0</v>
      </c>
      <c r="U236">
        <f>IF(BE235&lt;=0,0,IF(ROUND(BE235*(1+'Calc base'!S236),2)-MAX('Calc base'!N$12,ROUND('Calc base'!N$13*BE235,2))&lt;1,ROUND(BE235*(1+'Calc base'!S236),2),MAX('Calc base'!N$12,ROUND('Calc base'!N$13*BE235,2))))</f>
        <v>0</v>
      </c>
      <c r="V236">
        <f>MAX(0,ROUND(AT235*(1+'Calc base'!H236),2)-J236-'Calc base'!T236)</f>
        <v>0</v>
      </c>
      <c r="W236">
        <f>MAX(0,ROUND(AU235*(1+'Calc base'!I236),2)-K236-'Calc base'!U236)</f>
        <v>0</v>
      </c>
      <c r="X236">
        <f>MAX(0,ROUND(AV235*(1+'Calc base'!J236),2)-L236-'Calc base'!V236)</f>
        <v>0</v>
      </c>
      <c r="Y236">
        <f>MAX(0,ROUND(AW235*(1+'Calc base'!K236),2)-M236-'Calc base'!W236)</f>
        <v>0</v>
      </c>
      <c r="Z236">
        <f>MAX(0,ROUND(AX235*(1+'Calc base'!L236),2)-N236-'Calc base'!X236)</f>
        <v>0</v>
      </c>
      <c r="AA236">
        <f>MAX(0,ROUND(AY235*(1+'Calc base'!M236),2)-O236-'Calc base'!Y236)</f>
        <v>0</v>
      </c>
      <c r="AB236">
        <f>MAX(0,ROUND(AZ235*(1+'Calc base'!N236),2)-P236-'Calc base'!Z236)</f>
        <v>0</v>
      </c>
      <c r="AC236">
        <f>MAX(0,ROUND(BA235*(1+'Calc base'!O236),2)-Q236-'Calc base'!AA236)</f>
        <v>0</v>
      </c>
      <c r="AD236">
        <f>MAX(0,ROUND(BB235*(1+'Calc base'!P236),2)-R236-'Calc base'!AB236)</f>
        <v>0</v>
      </c>
      <c r="AE236">
        <f>MAX(0,ROUND(BC235*(1+'Calc base'!Q236),2)-S236-'Calc base'!AC236)</f>
        <v>0</v>
      </c>
      <c r="AF236">
        <f>MAX(0,ROUND(BD235*(1+'Calc base'!R236),2)-T236-'Calc base'!AD236)</f>
        <v>0</v>
      </c>
      <c r="AG236">
        <f>MAX(0,ROUND(BE235*(1+'Calc base'!S236),2)-U236-'Calc base'!AE236)</f>
        <v>0</v>
      </c>
      <c r="AH236">
        <f>IF('Calc base'!C$14=0,0,MIN(V236,MAX(0,$E236-SUMIFS($V236:$AG236,'Calc base'!$C$17:$N$17,"&lt;"&amp;'Calc base'!C$17,'Calc base'!$C$14:$N$14,1))))</f>
        <v>0</v>
      </c>
      <c r="AI236">
        <f>IF('Calc base'!D$14=0,0,MIN(W236,MAX(0,$E236-SUMIFS($V236:$AG236,'Calc base'!$C$17:$N$17,"&lt;"&amp;'Calc base'!D$17,'Calc base'!$C$14:$N$14,1))))</f>
        <v>0</v>
      </c>
      <c r="AJ236">
        <f>IF('Calc base'!E$14=0,0,MIN(X236,MAX(0,$E236-SUMIFS($V236:$AG236,'Calc base'!$C$17:$N$17,"&lt;"&amp;'Calc base'!E$17,'Calc base'!$C$14:$N$14,1))))</f>
        <v>0</v>
      </c>
      <c r="AK236">
        <f>IF('Calc base'!F$14=0,0,MIN(Y236,MAX(0,$E236-SUMIFS($V236:$AG236,'Calc base'!$C$17:$N$17,"&lt;"&amp;'Calc base'!F$17,'Calc base'!$C$14:$N$14,1))))</f>
        <v>0</v>
      </c>
      <c r="AL236">
        <f>IF('Calc base'!G$14=0,0,MIN(Z236,MAX(0,$E236-SUMIFS($V236:$AG236,'Calc base'!$C$17:$N$17,"&lt;"&amp;'Calc base'!G$17,'Calc base'!$C$14:$N$14,1))))</f>
        <v>0</v>
      </c>
      <c r="AM236">
        <f>IF('Calc base'!H$14=0,0,MIN(AA236,MAX(0,$E236-SUMIFS($V236:$AG236,'Calc base'!$C$17:$N$17,"&lt;"&amp;'Calc base'!H$17,'Calc base'!$C$14:$N$14,1))))</f>
        <v>0</v>
      </c>
      <c r="AN236">
        <f>IF('Calc base'!I$14=0,0,MIN(AB236,MAX(0,$E236-SUMIFS($V236:$AG236,'Calc base'!$C$17:$N$17,"&lt;"&amp;'Calc base'!I$17,'Calc base'!$C$14:$N$14,1))))</f>
        <v>0</v>
      </c>
      <c r="AO236">
        <f>IF('Calc base'!J$14=0,0,MIN(AC236,MAX(0,$E236-SUMIFS($V236:$AG236,'Calc base'!$C$17:$N$17,"&lt;"&amp;'Calc base'!J$17,'Calc base'!$C$14:$N$14,1))))</f>
        <v>0</v>
      </c>
      <c r="AP236">
        <f>IF('Calc base'!K$14=0,0,MIN(AD236,MAX(0,$E236-SUMIFS($V236:$AG236,'Calc base'!$C$17:$N$17,"&lt;"&amp;'Calc base'!K$17,'Calc base'!$C$14:$N$14,1))))</f>
        <v>0</v>
      </c>
      <c r="AQ236">
        <f>IF('Calc base'!L$14=0,0,MIN(AE236,MAX(0,$E236-SUMIFS($V236:$AG236,'Calc base'!$C$17:$N$17,"&lt;"&amp;'Calc base'!L$17,'Calc base'!$C$14:$N$14,1))))</f>
        <v>0</v>
      </c>
      <c r="AR236">
        <f>IF('Calc base'!M$14=0,0,MIN(AF236,MAX(0,$E236-SUMIFS($V236:$AG236,'Calc base'!$C$17:$N$17,"&lt;"&amp;'Calc base'!M$17,'Calc base'!$C$14:$N$14,1))))</f>
        <v>0</v>
      </c>
      <c r="AS236">
        <f>IF('Calc base'!N$14=0,0,MIN(AG236,MAX(0,$E236-SUMIFS($V236:$AG236,'Calc base'!$C$17:$N$17,"&lt;"&amp;'Calc base'!N$17,'Calc base'!$C$14:$N$14,1))))</f>
        <v>0</v>
      </c>
      <c r="AT236">
        <f>V236-AH236</f>
        <v>0</v>
      </c>
      <c r="AU236">
        <f>W236-AI236</f>
        <v>0</v>
      </c>
      <c r="AV236">
        <f>X236-AJ236</f>
        <v>0</v>
      </c>
      <c r="AW236">
        <f>Y236-AK236</f>
        <v>0</v>
      </c>
      <c r="AX236">
        <f>Z236-AL236</f>
        <v>0</v>
      </c>
      <c r="AY236">
        <f>AA236-AM236</f>
        <v>0</v>
      </c>
      <c r="AZ236">
        <f>AB236-AN236</f>
        <v>0</v>
      </c>
      <c r="BA236">
        <f>AC236-AO236</f>
        <v>0</v>
      </c>
      <c r="BB236">
        <f>AD236-AP236</f>
        <v>0</v>
      </c>
      <c r="BC236">
        <f>AE236-AQ236</f>
        <v>0</v>
      </c>
      <c r="BD236">
        <f>AF236-AR236</f>
        <v>0</v>
      </c>
      <c r="BE236">
        <f>AG236-AS236</f>
        <v>0</v>
      </c>
    </row>
    <row r="237">
      <c r="A237" t="n">
        <v>207</v>
      </c>
      <c r="B237">
        <f>SUMPRODUCT(ROUND($AT236:$BE236*(1+'Calc base'!$H237:$S237),2))</f>
        <v>0</v>
      </c>
      <c r="C237">
        <f>SUM(J237:U237)</f>
        <v>0</v>
      </c>
      <c r="D237">
        <f>SUM(V237:AG237)</f>
        <v>0</v>
      </c>
      <c r="E237">
        <f>MAX(0,IF(Impostazioni!$B$7="No",'Calc base'!$C237-$C$31,'Calc base'!$C237-C237)+'Calc base'!$G237+'Calc base'!$F237-(B237-C237-D237))</f>
        <v>900</v>
      </c>
      <c r="F237">
        <f>SUM(AH237:AS237)</f>
        <v>0</v>
      </c>
      <c r="G237">
        <f>SUM(AT237:BE237)</f>
        <v>0</v>
      </c>
      <c r="H237">
        <f>B237-G236</f>
        <v>0</v>
      </c>
      <c r="I237">
        <f>B237-G237</f>
        <v>0</v>
      </c>
      <c r="J237">
        <f>IF(AT236&lt;=0,0,IF(ROUND(AT236*(1+'Calc base'!H237),2)-MAX('Calc base'!C$12,ROUND('Calc base'!C$13*AT236,2))&lt;1,ROUND(AT236*(1+'Calc base'!H237),2),MAX('Calc base'!C$12,ROUND('Calc base'!C$13*AT236,2))))</f>
        <v>0</v>
      </c>
      <c r="K237">
        <f>IF(AU236&lt;=0,0,IF(ROUND(AU236*(1+'Calc base'!I237),2)-MAX('Calc base'!D$12,ROUND('Calc base'!D$13*AU236,2))&lt;1,ROUND(AU236*(1+'Calc base'!I237),2),MAX('Calc base'!D$12,ROUND('Calc base'!D$13*AU236,2))))</f>
        <v>0</v>
      </c>
      <c r="L237">
        <f>IF(AV236&lt;=0,0,IF(ROUND(AV236*(1+'Calc base'!J237),2)-MAX('Calc base'!E$12,ROUND('Calc base'!E$13*AV236,2))&lt;1,ROUND(AV236*(1+'Calc base'!J237),2),MAX('Calc base'!E$12,ROUND('Calc base'!E$13*AV236,2))))</f>
        <v>0</v>
      </c>
      <c r="M237">
        <f>IF(AW236&lt;=0,0,IF(ROUND(AW236*(1+'Calc base'!K237),2)-MAX('Calc base'!F$12,ROUND('Calc base'!F$13*AW236,2))&lt;1,ROUND(AW236*(1+'Calc base'!K237),2),MAX('Calc base'!F$12,ROUND('Calc base'!F$13*AW236,2))))</f>
        <v>0</v>
      </c>
      <c r="N237">
        <f>IF(AX236&lt;=0,0,IF(ROUND(AX236*(1+'Calc base'!L237),2)-MAX('Calc base'!G$12,ROUND('Calc base'!G$13*AX236,2))&lt;1,ROUND(AX236*(1+'Calc base'!L237),2),MAX('Calc base'!G$12,ROUND('Calc base'!G$13*AX236,2))))</f>
        <v>0</v>
      </c>
      <c r="O237">
        <f>IF(AY236&lt;=0,0,IF(ROUND(AY236*(1+'Calc base'!M237),2)-MAX('Calc base'!H$12,ROUND('Calc base'!H$13*AY236,2))&lt;1,ROUND(AY236*(1+'Calc base'!M237),2),MAX('Calc base'!H$12,ROUND('Calc base'!H$13*AY236,2))))</f>
        <v>0</v>
      </c>
      <c r="P237">
        <f>IF(AZ236&lt;=0,0,IF(ROUND(AZ236*(1+'Calc base'!N237),2)-MAX('Calc base'!I$12,ROUND('Calc base'!I$13*AZ236,2))&lt;1,ROUND(AZ236*(1+'Calc base'!N237),2),MAX('Calc base'!I$12,ROUND('Calc base'!I$13*AZ236,2))))</f>
        <v>0</v>
      </c>
      <c r="Q237">
        <f>IF(BA236&lt;=0,0,IF(ROUND(BA236*(1+'Calc base'!O237),2)-MAX('Calc base'!J$12,ROUND('Calc base'!J$13*BA236,2))&lt;1,ROUND(BA236*(1+'Calc base'!O237),2),MAX('Calc base'!J$12,ROUND('Calc base'!J$13*BA236,2))))</f>
        <v>0</v>
      </c>
      <c r="R237">
        <f>IF(BB236&lt;=0,0,IF(ROUND(BB236*(1+'Calc base'!P237),2)-MAX('Calc base'!K$12,ROUND('Calc base'!K$13*BB236,2))&lt;1,ROUND(BB236*(1+'Calc base'!P237),2),MAX('Calc base'!K$12,ROUND('Calc base'!K$13*BB236,2))))</f>
        <v>0</v>
      </c>
      <c r="S237">
        <f>IF(BC236&lt;=0,0,IF(ROUND(BC236*(1+'Calc base'!Q237),2)-MAX('Calc base'!L$12,ROUND('Calc base'!L$13*BC236,2))&lt;1,ROUND(BC236*(1+'Calc base'!Q237),2),MAX('Calc base'!L$12,ROUND('Calc base'!L$13*BC236,2))))</f>
        <v>0</v>
      </c>
      <c r="T237">
        <f>IF(BD236&lt;=0,0,IF(ROUND(BD236*(1+'Calc base'!R237),2)-MAX('Calc base'!M$12,ROUND('Calc base'!M$13*BD236,2))&lt;1,ROUND(BD236*(1+'Calc base'!R237),2),MAX('Calc base'!M$12,ROUND('Calc base'!M$13*BD236,2))))</f>
        <v>0</v>
      </c>
      <c r="U237">
        <f>IF(BE236&lt;=0,0,IF(ROUND(BE236*(1+'Calc base'!S237),2)-MAX('Calc base'!N$12,ROUND('Calc base'!N$13*BE236,2))&lt;1,ROUND(BE236*(1+'Calc base'!S237),2),MAX('Calc base'!N$12,ROUND('Calc base'!N$13*BE236,2))))</f>
        <v>0</v>
      </c>
      <c r="V237">
        <f>MAX(0,ROUND(AT236*(1+'Calc base'!H237),2)-J237-'Calc base'!T237)</f>
        <v>0</v>
      </c>
      <c r="W237">
        <f>MAX(0,ROUND(AU236*(1+'Calc base'!I237),2)-K237-'Calc base'!U237)</f>
        <v>0</v>
      </c>
      <c r="X237">
        <f>MAX(0,ROUND(AV236*(1+'Calc base'!J237),2)-L237-'Calc base'!V237)</f>
        <v>0</v>
      </c>
      <c r="Y237">
        <f>MAX(0,ROUND(AW236*(1+'Calc base'!K237),2)-M237-'Calc base'!W237)</f>
        <v>0</v>
      </c>
      <c r="Z237">
        <f>MAX(0,ROUND(AX236*(1+'Calc base'!L237),2)-N237-'Calc base'!X237)</f>
        <v>0</v>
      </c>
      <c r="AA237">
        <f>MAX(0,ROUND(AY236*(1+'Calc base'!M237),2)-O237-'Calc base'!Y237)</f>
        <v>0</v>
      </c>
      <c r="AB237">
        <f>MAX(0,ROUND(AZ236*(1+'Calc base'!N237),2)-P237-'Calc base'!Z237)</f>
        <v>0</v>
      </c>
      <c r="AC237">
        <f>MAX(0,ROUND(BA236*(1+'Calc base'!O237),2)-Q237-'Calc base'!AA237)</f>
        <v>0</v>
      </c>
      <c r="AD237">
        <f>MAX(0,ROUND(BB236*(1+'Calc base'!P237),2)-R237-'Calc base'!AB237)</f>
        <v>0</v>
      </c>
      <c r="AE237">
        <f>MAX(0,ROUND(BC236*(1+'Calc base'!Q237),2)-S237-'Calc base'!AC237)</f>
        <v>0</v>
      </c>
      <c r="AF237">
        <f>MAX(0,ROUND(BD236*(1+'Calc base'!R237),2)-T237-'Calc base'!AD237)</f>
        <v>0</v>
      </c>
      <c r="AG237">
        <f>MAX(0,ROUND(BE236*(1+'Calc base'!S237),2)-U237-'Calc base'!AE237)</f>
        <v>0</v>
      </c>
      <c r="AH237">
        <f>IF('Calc base'!C$14=0,0,MIN(V237,MAX(0,$E237-SUMIFS($V237:$AG237,'Calc base'!$C$17:$N$17,"&lt;"&amp;'Calc base'!C$17,'Calc base'!$C$14:$N$14,1))))</f>
        <v>0</v>
      </c>
      <c r="AI237">
        <f>IF('Calc base'!D$14=0,0,MIN(W237,MAX(0,$E237-SUMIFS($V237:$AG237,'Calc base'!$C$17:$N$17,"&lt;"&amp;'Calc base'!D$17,'Calc base'!$C$14:$N$14,1))))</f>
        <v>0</v>
      </c>
      <c r="AJ237">
        <f>IF('Calc base'!E$14=0,0,MIN(X237,MAX(0,$E237-SUMIFS($V237:$AG237,'Calc base'!$C$17:$N$17,"&lt;"&amp;'Calc base'!E$17,'Calc base'!$C$14:$N$14,1))))</f>
        <v>0</v>
      </c>
      <c r="AK237">
        <f>IF('Calc base'!F$14=0,0,MIN(Y237,MAX(0,$E237-SUMIFS($V237:$AG237,'Calc base'!$C$17:$N$17,"&lt;"&amp;'Calc base'!F$17,'Calc base'!$C$14:$N$14,1))))</f>
        <v>0</v>
      </c>
      <c r="AL237">
        <f>IF('Calc base'!G$14=0,0,MIN(Z237,MAX(0,$E237-SUMIFS($V237:$AG237,'Calc base'!$C$17:$N$17,"&lt;"&amp;'Calc base'!G$17,'Calc base'!$C$14:$N$14,1))))</f>
        <v>0</v>
      </c>
      <c r="AM237">
        <f>IF('Calc base'!H$14=0,0,MIN(AA237,MAX(0,$E237-SUMIFS($V237:$AG237,'Calc base'!$C$17:$N$17,"&lt;"&amp;'Calc base'!H$17,'Calc base'!$C$14:$N$14,1))))</f>
        <v>0</v>
      </c>
      <c r="AN237">
        <f>IF('Calc base'!I$14=0,0,MIN(AB237,MAX(0,$E237-SUMIFS($V237:$AG237,'Calc base'!$C$17:$N$17,"&lt;"&amp;'Calc base'!I$17,'Calc base'!$C$14:$N$14,1))))</f>
        <v>0</v>
      </c>
      <c r="AO237">
        <f>IF('Calc base'!J$14=0,0,MIN(AC237,MAX(0,$E237-SUMIFS($V237:$AG237,'Calc base'!$C$17:$N$17,"&lt;"&amp;'Calc base'!J$17,'Calc base'!$C$14:$N$14,1))))</f>
        <v>0</v>
      </c>
      <c r="AP237">
        <f>IF('Calc base'!K$14=0,0,MIN(AD237,MAX(0,$E237-SUMIFS($V237:$AG237,'Calc base'!$C$17:$N$17,"&lt;"&amp;'Calc base'!K$17,'Calc base'!$C$14:$N$14,1))))</f>
        <v>0</v>
      </c>
      <c r="AQ237">
        <f>IF('Calc base'!L$14=0,0,MIN(AE237,MAX(0,$E237-SUMIFS($V237:$AG237,'Calc base'!$C$17:$N$17,"&lt;"&amp;'Calc base'!L$17,'Calc base'!$C$14:$N$14,1))))</f>
        <v>0</v>
      </c>
      <c r="AR237">
        <f>IF('Calc base'!M$14=0,0,MIN(AF237,MAX(0,$E237-SUMIFS($V237:$AG237,'Calc base'!$C$17:$N$17,"&lt;"&amp;'Calc base'!M$17,'Calc base'!$C$14:$N$14,1))))</f>
        <v>0</v>
      </c>
      <c r="AS237">
        <f>IF('Calc base'!N$14=0,0,MIN(AG237,MAX(0,$E237-SUMIFS($V237:$AG237,'Calc base'!$C$17:$N$17,"&lt;"&amp;'Calc base'!N$17,'Calc base'!$C$14:$N$14,1))))</f>
        <v>0</v>
      </c>
      <c r="AT237">
        <f>V237-AH237</f>
        <v>0</v>
      </c>
      <c r="AU237">
        <f>W237-AI237</f>
        <v>0</v>
      </c>
      <c r="AV237">
        <f>X237-AJ237</f>
        <v>0</v>
      </c>
      <c r="AW237">
        <f>Y237-AK237</f>
        <v>0</v>
      </c>
      <c r="AX237">
        <f>Z237-AL237</f>
        <v>0</v>
      </c>
      <c r="AY237">
        <f>AA237-AM237</f>
        <v>0</v>
      </c>
      <c r="AZ237">
        <f>AB237-AN237</f>
        <v>0</v>
      </c>
      <c r="BA237">
        <f>AC237-AO237</f>
        <v>0</v>
      </c>
      <c r="BB237">
        <f>AD237-AP237</f>
        <v>0</v>
      </c>
      <c r="BC237">
        <f>AE237-AQ237</f>
        <v>0</v>
      </c>
      <c r="BD237">
        <f>AF237-AR237</f>
        <v>0</v>
      </c>
      <c r="BE237">
        <f>AG237-AS237</f>
        <v>0</v>
      </c>
    </row>
    <row r="238">
      <c r="A238" t="n">
        <v>208</v>
      </c>
      <c r="B238">
        <f>SUMPRODUCT(ROUND($AT237:$BE237*(1+'Calc base'!$H238:$S238),2))</f>
        <v>0</v>
      </c>
      <c r="C238">
        <f>SUM(J238:U238)</f>
        <v>0</v>
      </c>
      <c r="D238">
        <f>SUM(V238:AG238)</f>
        <v>0</v>
      </c>
      <c r="E238">
        <f>MAX(0,IF(Impostazioni!$B$7="No",'Calc base'!$C238-$C$31,'Calc base'!$C238-C238)+'Calc base'!$G238+'Calc base'!$F238-(B238-C238-D238))</f>
        <v>900</v>
      </c>
      <c r="F238">
        <f>SUM(AH238:AS238)</f>
        <v>0</v>
      </c>
      <c r="G238">
        <f>SUM(AT238:BE238)</f>
        <v>0</v>
      </c>
      <c r="H238">
        <f>B238-G237</f>
        <v>0</v>
      </c>
      <c r="I238">
        <f>B238-G238</f>
        <v>0</v>
      </c>
      <c r="J238">
        <f>IF(AT237&lt;=0,0,IF(ROUND(AT237*(1+'Calc base'!H238),2)-MAX('Calc base'!C$12,ROUND('Calc base'!C$13*AT237,2))&lt;1,ROUND(AT237*(1+'Calc base'!H238),2),MAX('Calc base'!C$12,ROUND('Calc base'!C$13*AT237,2))))</f>
        <v>0</v>
      </c>
      <c r="K238">
        <f>IF(AU237&lt;=0,0,IF(ROUND(AU237*(1+'Calc base'!I238),2)-MAX('Calc base'!D$12,ROUND('Calc base'!D$13*AU237,2))&lt;1,ROUND(AU237*(1+'Calc base'!I238),2),MAX('Calc base'!D$12,ROUND('Calc base'!D$13*AU237,2))))</f>
        <v>0</v>
      </c>
      <c r="L238">
        <f>IF(AV237&lt;=0,0,IF(ROUND(AV237*(1+'Calc base'!J238),2)-MAX('Calc base'!E$12,ROUND('Calc base'!E$13*AV237,2))&lt;1,ROUND(AV237*(1+'Calc base'!J238),2),MAX('Calc base'!E$12,ROUND('Calc base'!E$13*AV237,2))))</f>
        <v>0</v>
      </c>
      <c r="M238">
        <f>IF(AW237&lt;=0,0,IF(ROUND(AW237*(1+'Calc base'!K238),2)-MAX('Calc base'!F$12,ROUND('Calc base'!F$13*AW237,2))&lt;1,ROUND(AW237*(1+'Calc base'!K238),2),MAX('Calc base'!F$12,ROUND('Calc base'!F$13*AW237,2))))</f>
        <v>0</v>
      </c>
      <c r="N238">
        <f>IF(AX237&lt;=0,0,IF(ROUND(AX237*(1+'Calc base'!L238),2)-MAX('Calc base'!G$12,ROUND('Calc base'!G$13*AX237,2))&lt;1,ROUND(AX237*(1+'Calc base'!L238),2),MAX('Calc base'!G$12,ROUND('Calc base'!G$13*AX237,2))))</f>
        <v>0</v>
      </c>
      <c r="O238">
        <f>IF(AY237&lt;=0,0,IF(ROUND(AY237*(1+'Calc base'!M238),2)-MAX('Calc base'!H$12,ROUND('Calc base'!H$13*AY237,2))&lt;1,ROUND(AY237*(1+'Calc base'!M238),2),MAX('Calc base'!H$12,ROUND('Calc base'!H$13*AY237,2))))</f>
        <v>0</v>
      </c>
      <c r="P238">
        <f>IF(AZ237&lt;=0,0,IF(ROUND(AZ237*(1+'Calc base'!N238),2)-MAX('Calc base'!I$12,ROUND('Calc base'!I$13*AZ237,2))&lt;1,ROUND(AZ237*(1+'Calc base'!N238),2),MAX('Calc base'!I$12,ROUND('Calc base'!I$13*AZ237,2))))</f>
        <v>0</v>
      </c>
      <c r="Q238">
        <f>IF(BA237&lt;=0,0,IF(ROUND(BA237*(1+'Calc base'!O238),2)-MAX('Calc base'!J$12,ROUND('Calc base'!J$13*BA237,2))&lt;1,ROUND(BA237*(1+'Calc base'!O238),2),MAX('Calc base'!J$12,ROUND('Calc base'!J$13*BA237,2))))</f>
        <v>0</v>
      </c>
      <c r="R238">
        <f>IF(BB237&lt;=0,0,IF(ROUND(BB237*(1+'Calc base'!P238),2)-MAX('Calc base'!K$12,ROUND('Calc base'!K$13*BB237,2))&lt;1,ROUND(BB237*(1+'Calc base'!P238),2),MAX('Calc base'!K$12,ROUND('Calc base'!K$13*BB237,2))))</f>
        <v>0</v>
      </c>
      <c r="S238">
        <f>IF(BC237&lt;=0,0,IF(ROUND(BC237*(1+'Calc base'!Q238),2)-MAX('Calc base'!L$12,ROUND('Calc base'!L$13*BC237,2))&lt;1,ROUND(BC237*(1+'Calc base'!Q238),2),MAX('Calc base'!L$12,ROUND('Calc base'!L$13*BC237,2))))</f>
        <v>0</v>
      </c>
      <c r="T238">
        <f>IF(BD237&lt;=0,0,IF(ROUND(BD237*(1+'Calc base'!R238),2)-MAX('Calc base'!M$12,ROUND('Calc base'!M$13*BD237,2))&lt;1,ROUND(BD237*(1+'Calc base'!R238),2),MAX('Calc base'!M$12,ROUND('Calc base'!M$13*BD237,2))))</f>
        <v>0</v>
      </c>
      <c r="U238">
        <f>IF(BE237&lt;=0,0,IF(ROUND(BE237*(1+'Calc base'!S238),2)-MAX('Calc base'!N$12,ROUND('Calc base'!N$13*BE237,2))&lt;1,ROUND(BE237*(1+'Calc base'!S238),2),MAX('Calc base'!N$12,ROUND('Calc base'!N$13*BE237,2))))</f>
        <v>0</v>
      </c>
      <c r="V238">
        <f>MAX(0,ROUND(AT237*(1+'Calc base'!H238),2)-J238-'Calc base'!T238)</f>
        <v>0</v>
      </c>
      <c r="W238">
        <f>MAX(0,ROUND(AU237*(1+'Calc base'!I238),2)-K238-'Calc base'!U238)</f>
        <v>0</v>
      </c>
      <c r="X238">
        <f>MAX(0,ROUND(AV237*(1+'Calc base'!J238),2)-L238-'Calc base'!V238)</f>
        <v>0</v>
      </c>
      <c r="Y238">
        <f>MAX(0,ROUND(AW237*(1+'Calc base'!K238),2)-M238-'Calc base'!W238)</f>
        <v>0</v>
      </c>
      <c r="Z238">
        <f>MAX(0,ROUND(AX237*(1+'Calc base'!L238),2)-N238-'Calc base'!X238)</f>
        <v>0</v>
      </c>
      <c r="AA238">
        <f>MAX(0,ROUND(AY237*(1+'Calc base'!M238),2)-O238-'Calc base'!Y238)</f>
        <v>0</v>
      </c>
      <c r="AB238">
        <f>MAX(0,ROUND(AZ237*(1+'Calc base'!N238),2)-P238-'Calc base'!Z238)</f>
        <v>0</v>
      </c>
      <c r="AC238">
        <f>MAX(0,ROUND(BA237*(1+'Calc base'!O238),2)-Q238-'Calc base'!AA238)</f>
        <v>0</v>
      </c>
      <c r="AD238">
        <f>MAX(0,ROUND(BB237*(1+'Calc base'!P238),2)-R238-'Calc base'!AB238)</f>
        <v>0</v>
      </c>
      <c r="AE238">
        <f>MAX(0,ROUND(BC237*(1+'Calc base'!Q238),2)-S238-'Calc base'!AC238)</f>
        <v>0</v>
      </c>
      <c r="AF238">
        <f>MAX(0,ROUND(BD237*(1+'Calc base'!R238),2)-T238-'Calc base'!AD238)</f>
        <v>0</v>
      </c>
      <c r="AG238">
        <f>MAX(0,ROUND(BE237*(1+'Calc base'!S238),2)-U238-'Calc base'!AE238)</f>
        <v>0</v>
      </c>
      <c r="AH238">
        <f>IF('Calc base'!C$14=0,0,MIN(V238,MAX(0,$E238-SUMIFS($V238:$AG238,'Calc base'!$C$17:$N$17,"&lt;"&amp;'Calc base'!C$17,'Calc base'!$C$14:$N$14,1))))</f>
        <v>0</v>
      </c>
      <c r="AI238">
        <f>IF('Calc base'!D$14=0,0,MIN(W238,MAX(0,$E238-SUMIFS($V238:$AG238,'Calc base'!$C$17:$N$17,"&lt;"&amp;'Calc base'!D$17,'Calc base'!$C$14:$N$14,1))))</f>
        <v>0</v>
      </c>
      <c r="AJ238">
        <f>IF('Calc base'!E$14=0,0,MIN(X238,MAX(0,$E238-SUMIFS($V238:$AG238,'Calc base'!$C$17:$N$17,"&lt;"&amp;'Calc base'!E$17,'Calc base'!$C$14:$N$14,1))))</f>
        <v>0</v>
      </c>
      <c r="AK238">
        <f>IF('Calc base'!F$14=0,0,MIN(Y238,MAX(0,$E238-SUMIFS($V238:$AG238,'Calc base'!$C$17:$N$17,"&lt;"&amp;'Calc base'!F$17,'Calc base'!$C$14:$N$14,1))))</f>
        <v>0</v>
      </c>
      <c r="AL238">
        <f>IF('Calc base'!G$14=0,0,MIN(Z238,MAX(0,$E238-SUMIFS($V238:$AG238,'Calc base'!$C$17:$N$17,"&lt;"&amp;'Calc base'!G$17,'Calc base'!$C$14:$N$14,1))))</f>
        <v>0</v>
      </c>
      <c r="AM238">
        <f>IF('Calc base'!H$14=0,0,MIN(AA238,MAX(0,$E238-SUMIFS($V238:$AG238,'Calc base'!$C$17:$N$17,"&lt;"&amp;'Calc base'!H$17,'Calc base'!$C$14:$N$14,1))))</f>
        <v>0</v>
      </c>
      <c r="AN238">
        <f>IF('Calc base'!I$14=0,0,MIN(AB238,MAX(0,$E238-SUMIFS($V238:$AG238,'Calc base'!$C$17:$N$17,"&lt;"&amp;'Calc base'!I$17,'Calc base'!$C$14:$N$14,1))))</f>
        <v>0</v>
      </c>
      <c r="AO238">
        <f>IF('Calc base'!J$14=0,0,MIN(AC238,MAX(0,$E238-SUMIFS($V238:$AG238,'Calc base'!$C$17:$N$17,"&lt;"&amp;'Calc base'!J$17,'Calc base'!$C$14:$N$14,1))))</f>
        <v>0</v>
      </c>
      <c r="AP238">
        <f>IF('Calc base'!K$14=0,0,MIN(AD238,MAX(0,$E238-SUMIFS($V238:$AG238,'Calc base'!$C$17:$N$17,"&lt;"&amp;'Calc base'!K$17,'Calc base'!$C$14:$N$14,1))))</f>
        <v>0</v>
      </c>
      <c r="AQ238">
        <f>IF('Calc base'!L$14=0,0,MIN(AE238,MAX(0,$E238-SUMIFS($V238:$AG238,'Calc base'!$C$17:$N$17,"&lt;"&amp;'Calc base'!L$17,'Calc base'!$C$14:$N$14,1))))</f>
        <v>0</v>
      </c>
      <c r="AR238">
        <f>IF('Calc base'!M$14=0,0,MIN(AF238,MAX(0,$E238-SUMIFS($V238:$AG238,'Calc base'!$C$17:$N$17,"&lt;"&amp;'Calc base'!M$17,'Calc base'!$C$14:$N$14,1))))</f>
        <v>0</v>
      </c>
      <c r="AS238">
        <f>IF('Calc base'!N$14=0,0,MIN(AG238,MAX(0,$E238-SUMIFS($V238:$AG238,'Calc base'!$C$17:$N$17,"&lt;"&amp;'Calc base'!N$17,'Calc base'!$C$14:$N$14,1))))</f>
        <v>0</v>
      </c>
      <c r="AT238">
        <f>V238-AH238</f>
        <v>0</v>
      </c>
      <c r="AU238">
        <f>W238-AI238</f>
        <v>0</v>
      </c>
      <c r="AV238">
        <f>X238-AJ238</f>
        <v>0</v>
      </c>
      <c r="AW238">
        <f>Y238-AK238</f>
        <v>0</v>
      </c>
      <c r="AX238">
        <f>Z238-AL238</f>
        <v>0</v>
      </c>
      <c r="AY238">
        <f>AA238-AM238</f>
        <v>0</v>
      </c>
      <c r="AZ238">
        <f>AB238-AN238</f>
        <v>0</v>
      </c>
      <c r="BA238">
        <f>AC238-AO238</f>
        <v>0</v>
      </c>
      <c r="BB238">
        <f>AD238-AP238</f>
        <v>0</v>
      </c>
      <c r="BC238">
        <f>AE238-AQ238</f>
        <v>0</v>
      </c>
      <c r="BD238">
        <f>AF238-AR238</f>
        <v>0</v>
      </c>
      <c r="BE238">
        <f>AG238-AS238</f>
        <v>0</v>
      </c>
    </row>
    <row r="239">
      <c r="A239" t="n">
        <v>209</v>
      </c>
      <c r="B239">
        <f>SUMPRODUCT(ROUND($AT238:$BE238*(1+'Calc base'!$H239:$S239),2))</f>
        <v>0</v>
      </c>
      <c r="C239">
        <f>SUM(J239:U239)</f>
        <v>0</v>
      </c>
      <c r="D239">
        <f>SUM(V239:AG239)</f>
        <v>0</v>
      </c>
      <c r="E239">
        <f>MAX(0,IF(Impostazioni!$B$7="No",'Calc base'!$C239-$C$31,'Calc base'!$C239-C239)+'Calc base'!$G239+'Calc base'!$F239-(B239-C239-D239))</f>
        <v>900</v>
      </c>
      <c r="F239">
        <f>SUM(AH239:AS239)</f>
        <v>0</v>
      </c>
      <c r="G239">
        <f>SUM(AT239:BE239)</f>
        <v>0</v>
      </c>
      <c r="H239">
        <f>B239-G238</f>
        <v>0</v>
      </c>
      <c r="I239">
        <f>B239-G239</f>
        <v>0</v>
      </c>
      <c r="J239">
        <f>IF(AT238&lt;=0,0,IF(ROUND(AT238*(1+'Calc base'!H239),2)-MAX('Calc base'!C$12,ROUND('Calc base'!C$13*AT238,2))&lt;1,ROUND(AT238*(1+'Calc base'!H239),2),MAX('Calc base'!C$12,ROUND('Calc base'!C$13*AT238,2))))</f>
        <v>0</v>
      </c>
      <c r="K239">
        <f>IF(AU238&lt;=0,0,IF(ROUND(AU238*(1+'Calc base'!I239),2)-MAX('Calc base'!D$12,ROUND('Calc base'!D$13*AU238,2))&lt;1,ROUND(AU238*(1+'Calc base'!I239),2),MAX('Calc base'!D$12,ROUND('Calc base'!D$13*AU238,2))))</f>
        <v>0</v>
      </c>
      <c r="L239">
        <f>IF(AV238&lt;=0,0,IF(ROUND(AV238*(1+'Calc base'!J239),2)-MAX('Calc base'!E$12,ROUND('Calc base'!E$13*AV238,2))&lt;1,ROUND(AV238*(1+'Calc base'!J239),2),MAX('Calc base'!E$12,ROUND('Calc base'!E$13*AV238,2))))</f>
        <v>0</v>
      </c>
      <c r="M239">
        <f>IF(AW238&lt;=0,0,IF(ROUND(AW238*(1+'Calc base'!K239),2)-MAX('Calc base'!F$12,ROUND('Calc base'!F$13*AW238,2))&lt;1,ROUND(AW238*(1+'Calc base'!K239),2),MAX('Calc base'!F$12,ROUND('Calc base'!F$13*AW238,2))))</f>
        <v>0</v>
      </c>
      <c r="N239">
        <f>IF(AX238&lt;=0,0,IF(ROUND(AX238*(1+'Calc base'!L239),2)-MAX('Calc base'!G$12,ROUND('Calc base'!G$13*AX238,2))&lt;1,ROUND(AX238*(1+'Calc base'!L239),2),MAX('Calc base'!G$12,ROUND('Calc base'!G$13*AX238,2))))</f>
        <v>0</v>
      </c>
      <c r="O239">
        <f>IF(AY238&lt;=0,0,IF(ROUND(AY238*(1+'Calc base'!M239),2)-MAX('Calc base'!H$12,ROUND('Calc base'!H$13*AY238,2))&lt;1,ROUND(AY238*(1+'Calc base'!M239),2),MAX('Calc base'!H$12,ROUND('Calc base'!H$13*AY238,2))))</f>
        <v>0</v>
      </c>
      <c r="P239">
        <f>IF(AZ238&lt;=0,0,IF(ROUND(AZ238*(1+'Calc base'!N239),2)-MAX('Calc base'!I$12,ROUND('Calc base'!I$13*AZ238,2))&lt;1,ROUND(AZ238*(1+'Calc base'!N239),2),MAX('Calc base'!I$12,ROUND('Calc base'!I$13*AZ238,2))))</f>
        <v>0</v>
      </c>
      <c r="Q239">
        <f>IF(BA238&lt;=0,0,IF(ROUND(BA238*(1+'Calc base'!O239),2)-MAX('Calc base'!J$12,ROUND('Calc base'!J$13*BA238,2))&lt;1,ROUND(BA238*(1+'Calc base'!O239),2),MAX('Calc base'!J$12,ROUND('Calc base'!J$13*BA238,2))))</f>
        <v>0</v>
      </c>
      <c r="R239">
        <f>IF(BB238&lt;=0,0,IF(ROUND(BB238*(1+'Calc base'!P239),2)-MAX('Calc base'!K$12,ROUND('Calc base'!K$13*BB238,2))&lt;1,ROUND(BB238*(1+'Calc base'!P239),2),MAX('Calc base'!K$12,ROUND('Calc base'!K$13*BB238,2))))</f>
        <v>0</v>
      </c>
      <c r="S239">
        <f>IF(BC238&lt;=0,0,IF(ROUND(BC238*(1+'Calc base'!Q239),2)-MAX('Calc base'!L$12,ROUND('Calc base'!L$13*BC238,2))&lt;1,ROUND(BC238*(1+'Calc base'!Q239),2),MAX('Calc base'!L$12,ROUND('Calc base'!L$13*BC238,2))))</f>
        <v>0</v>
      </c>
      <c r="T239">
        <f>IF(BD238&lt;=0,0,IF(ROUND(BD238*(1+'Calc base'!R239),2)-MAX('Calc base'!M$12,ROUND('Calc base'!M$13*BD238,2))&lt;1,ROUND(BD238*(1+'Calc base'!R239),2),MAX('Calc base'!M$12,ROUND('Calc base'!M$13*BD238,2))))</f>
        <v>0</v>
      </c>
      <c r="U239">
        <f>IF(BE238&lt;=0,0,IF(ROUND(BE238*(1+'Calc base'!S239),2)-MAX('Calc base'!N$12,ROUND('Calc base'!N$13*BE238,2))&lt;1,ROUND(BE238*(1+'Calc base'!S239),2),MAX('Calc base'!N$12,ROUND('Calc base'!N$13*BE238,2))))</f>
        <v>0</v>
      </c>
      <c r="V239">
        <f>MAX(0,ROUND(AT238*(1+'Calc base'!H239),2)-J239-'Calc base'!T239)</f>
        <v>0</v>
      </c>
      <c r="W239">
        <f>MAX(0,ROUND(AU238*(1+'Calc base'!I239),2)-K239-'Calc base'!U239)</f>
        <v>0</v>
      </c>
      <c r="X239">
        <f>MAX(0,ROUND(AV238*(1+'Calc base'!J239),2)-L239-'Calc base'!V239)</f>
        <v>0</v>
      </c>
      <c r="Y239">
        <f>MAX(0,ROUND(AW238*(1+'Calc base'!K239),2)-M239-'Calc base'!W239)</f>
        <v>0</v>
      </c>
      <c r="Z239">
        <f>MAX(0,ROUND(AX238*(1+'Calc base'!L239),2)-N239-'Calc base'!X239)</f>
        <v>0</v>
      </c>
      <c r="AA239">
        <f>MAX(0,ROUND(AY238*(1+'Calc base'!M239),2)-O239-'Calc base'!Y239)</f>
        <v>0</v>
      </c>
      <c r="AB239">
        <f>MAX(0,ROUND(AZ238*(1+'Calc base'!N239),2)-P239-'Calc base'!Z239)</f>
        <v>0</v>
      </c>
      <c r="AC239">
        <f>MAX(0,ROUND(BA238*(1+'Calc base'!O239),2)-Q239-'Calc base'!AA239)</f>
        <v>0</v>
      </c>
      <c r="AD239">
        <f>MAX(0,ROUND(BB238*(1+'Calc base'!P239),2)-R239-'Calc base'!AB239)</f>
        <v>0</v>
      </c>
      <c r="AE239">
        <f>MAX(0,ROUND(BC238*(1+'Calc base'!Q239),2)-S239-'Calc base'!AC239)</f>
        <v>0</v>
      </c>
      <c r="AF239">
        <f>MAX(0,ROUND(BD238*(1+'Calc base'!R239),2)-T239-'Calc base'!AD239)</f>
        <v>0</v>
      </c>
      <c r="AG239">
        <f>MAX(0,ROUND(BE238*(1+'Calc base'!S239),2)-U239-'Calc base'!AE239)</f>
        <v>0</v>
      </c>
      <c r="AH239">
        <f>IF('Calc base'!C$14=0,0,MIN(V239,MAX(0,$E239-SUMIFS($V239:$AG239,'Calc base'!$C$17:$N$17,"&lt;"&amp;'Calc base'!C$17,'Calc base'!$C$14:$N$14,1))))</f>
        <v>0</v>
      </c>
      <c r="AI239">
        <f>IF('Calc base'!D$14=0,0,MIN(W239,MAX(0,$E239-SUMIFS($V239:$AG239,'Calc base'!$C$17:$N$17,"&lt;"&amp;'Calc base'!D$17,'Calc base'!$C$14:$N$14,1))))</f>
        <v>0</v>
      </c>
      <c r="AJ239">
        <f>IF('Calc base'!E$14=0,0,MIN(X239,MAX(0,$E239-SUMIFS($V239:$AG239,'Calc base'!$C$17:$N$17,"&lt;"&amp;'Calc base'!E$17,'Calc base'!$C$14:$N$14,1))))</f>
        <v>0</v>
      </c>
      <c r="AK239">
        <f>IF('Calc base'!F$14=0,0,MIN(Y239,MAX(0,$E239-SUMIFS($V239:$AG239,'Calc base'!$C$17:$N$17,"&lt;"&amp;'Calc base'!F$17,'Calc base'!$C$14:$N$14,1))))</f>
        <v>0</v>
      </c>
      <c r="AL239">
        <f>IF('Calc base'!G$14=0,0,MIN(Z239,MAX(0,$E239-SUMIFS($V239:$AG239,'Calc base'!$C$17:$N$17,"&lt;"&amp;'Calc base'!G$17,'Calc base'!$C$14:$N$14,1))))</f>
        <v>0</v>
      </c>
      <c r="AM239">
        <f>IF('Calc base'!H$14=0,0,MIN(AA239,MAX(0,$E239-SUMIFS($V239:$AG239,'Calc base'!$C$17:$N$17,"&lt;"&amp;'Calc base'!H$17,'Calc base'!$C$14:$N$14,1))))</f>
        <v>0</v>
      </c>
      <c r="AN239">
        <f>IF('Calc base'!I$14=0,0,MIN(AB239,MAX(0,$E239-SUMIFS($V239:$AG239,'Calc base'!$C$17:$N$17,"&lt;"&amp;'Calc base'!I$17,'Calc base'!$C$14:$N$14,1))))</f>
        <v>0</v>
      </c>
      <c r="AO239">
        <f>IF('Calc base'!J$14=0,0,MIN(AC239,MAX(0,$E239-SUMIFS($V239:$AG239,'Calc base'!$C$17:$N$17,"&lt;"&amp;'Calc base'!J$17,'Calc base'!$C$14:$N$14,1))))</f>
        <v>0</v>
      </c>
      <c r="AP239">
        <f>IF('Calc base'!K$14=0,0,MIN(AD239,MAX(0,$E239-SUMIFS($V239:$AG239,'Calc base'!$C$17:$N$17,"&lt;"&amp;'Calc base'!K$17,'Calc base'!$C$14:$N$14,1))))</f>
        <v>0</v>
      </c>
      <c r="AQ239">
        <f>IF('Calc base'!L$14=0,0,MIN(AE239,MAX(0,$E239-SUMIFS($V239:$AG239,'Calc base'!$C$17:$N$17,"&lt;"&amp;'Calc base'!L$17,'Calc base'!$C$14:$N$14,1))))</f>
        <v>0</v>
      </c>
      <c r="AR239">
        <f>IF('Calc base'!M$14=0,0,MIN(AF239,MAX(0,$E239-SUMIFS($V239:$AG239,'Calc base'!$C$17:$N$17,"&lt;"&amp;'Calc base'!M$17,'Calc base'!$C$14:$N$14,1))))</f>
        <v>0</v>
      </c>
      <c r="AS239">
        <f>IF('Calc base'!N$14=0,0,MIN(AG239,MAX(0,$E239-SUMIFS($V239:$AG239,'Calc base'!$C$17:$N$17,"&lt;"&amp;'Calc base'!N$17,'Calc base'!$C$14:$N$14,1))))</f>
        <v>0</v>
      </c>
      <c r="AT239">
        <f>V239-AH239</f>
        <v>0</v>
      </c>
      <c r="AU239">
        <f>W239-AI239</f>
        <v>0</v>
      </c>
      <c r="AV239">
        <f>X239-AJ239</f>
        <v>0</v>
      </c>
      <c r="AW239">
        <f>Y239-AK239</f>
        <v>0</v>
      </c>
      <c r="AX239">
        <f>Z239-AL239</f>
        <v>0</v>
      </c>
      <c r="AY239">
        <f>AA239-AM239</f>
        <v>0</v>
      </c>
      <c r="AZ239">
        <f>AB239-AN239</f>
        <v>0</v>
      </c>
      <c r="BA239">
        <f>AC239-AO239</f>
        <v>0</v>
      </c>
      <c r="BB239">
        <f>AD239-AP239</f>
        <v>0</v>
      </c>
      <c r="BC239">
        <f>AE239-AQ239</f>
        <v>0</v>
      </c>
      <c r="BD239">
        <f>AF239-AR239</f>
        <v>0</v>
      </c>
      <c r="BE239">
        <f>AG239-AS239</f>
        <v>0</v>
      </c>
    </row>
    <row r="240">
      <c r="A240" t="n">
        <v>210</v>
      </c>
      <c r="B240">
        <f>SUMPRODUCT(ROUND($AT239:$BE239*(1+'Calc base'!$H240:$S240),2))</f>
        <v>0</v>
      </c>
      <c r="C240">
        <f>SUM(J240:U240)</f>
        <v>0</v>
      </c>
      <c r="D240">
        <f>SUM(V240:AG240)</f>
        <v>0</v>
      </c>
      <c r="E240">
        <f>MAX(0,IF(Impostazioni!$B$7="No",'Calc base'!$C240-$C$31,'Calc base'!$C240-C240)+'Calc base'!$G240+'Calc base'!$F240-(B240-C240-D240))</f>
        <v>900</v>
      </c>
      <c r="F240">
        <f>SUM(AH240:AS240)</f>
        <v>0</v>
      </c>
      <c r="G240">
        <f>SUM(AT240:BE240)</f>
        <v>0</v>
      </c>
      <c r="H240">
        <f>B240-G239</f>
        <v>0</v>
      </c>
      <c r="I240">
        <f>B240-G240</f>
        <v>0</v>
      </c>
      <c r="J240">
        <f>IF(AT239&lt;=0,0,IF(ROUND(AT239*(1+'Calc base'!H240),2)-MAX('Calc base'!C$12,ROUND('Calc base'!C$13*AT239,2))&lt;1,ROUND(AT239*(1+'Calc base'!H240),2),MAX('Calc base'!C$12,ROUND('Calc base'!C$13*AT239,2))))</f>
        <v>0</v>
      </c>
      <c r="K240">
        <f>IF(AU239&lt;=0,0,IF(ROUND(AU239*(1+'Calc base'!I240),2)-MAX('Calc base'!D$12,ROUND('Calc base'!D$13*AU239,2))&lt;1,ROUND(AU239*(1+'Calc base'!I240),2),MAX('Calc base'!D$12,ROUND('Calc base'!D$13*AU239,2))))</f>
        <v>0</v>
      </c>
      <c r="L240">
        <f>IF(AV239&lt;=0,0,IF(ROUND(AV239*(1+'Calc base'!J240),2)-MAX('Calc base'!E$12,ROUND('Calc base'!E$13*AV239,2))&lt;1,ROUND(AV239*(1+'Calc base'!J240),2),MAX('Calc base'!E$12,ROUND('Calc base'!E$13*AV239,2))))</f>
        <v>0</v>
      </c>
      <c r="M240">
        <f>IF(AW239&lt;=0,0,IF(ROUND(AW239*(1+'Calc base'!K240),2)-MAX('Calc base'!F$12,ROUND('Calc base'!F$13*AW239,2))&lt;1,ROUND(AW239*(1+'Calc base'!K240),2),MAX('Calc base'!F$12,ROUND('Calc base'!F$13*AW239,2))))</f>
        <v>0</v>
      </c>
      <c r="N240">
        <f>IF(AX239&lt;=0,0,IF(ROUND(AX239*(1+'Calc base'!L240),2)-MAX('Calc base'!G$12,ROUND('Calc base'!G$13*AX239,2))&lt;1,ROUND(AX239*(1+'Calc base'!L240),2),MAX('Calc base'!G$12,ROUND('Calc base'!G$13*AX239,2))))</f>
        <v>0</v>
      </c>
      <c r="O240">
        <f>IF(AY239&lt;=0,0,IF(ROUND(AY239*(1+'Calc base'!M240),2)-MAX('Calc base'!H$12,ROUND('Calc base'!H$13*AY239,2))&lt;1,ROUND(AY239*(1+'Calc base'!M240),2),MAX('Calc base'!H$12,ROUND('Calc base'!H$13*AY239,2))))</f>
        <v>0</v>
      </c>
      <c r="P240">
        <f>IF(AZ239&lt;=0,0,IF(ROUND(AZ239*(1+'Calc base'!N240),2)-MAX('Calc base'!I$12,ROUND('Calc base'!I$13*AZ239,2))&lt;1,ROUND(AZ239*(1+'Calc base'!N240),2),MAX('Calc base'!I$12,ROUND('Calc base'!I$13*AZ239,2))))</f>
        <v>0</v>
      </c>
      <c r="Q240">
        <f>IF(BA239&lt;=0,0,IF(ROUND(BA239*(1+'Calc base'!O240),2)-MAX('Calc base'!J$12,ROUND('Calc base'!J$13*BA239,2))&lt;1,ROUND(BA239*(1+'Calc base'!O240),2),MAX('Calc base'!J$12,ROUND('Calc base'!J$13*BA239,2))))</f>
        <v>0</v>
      </c>
      <c r="R240">
        <f>IF(BB239&lt;=0,0,IF(ROUND(BB239*(1+'Calc base'!P240),2)-MAX('Calc base'!K$12,ROUND('Calc base'!K$13*BB239,2))&lt;1,ROUND(BB239*(1+'Calc base'!P240),2),MAX('Calc base'!K$12,ROUND('Calc base'!K$13*BB239,2))))</f>
        <v>0</v>
      </c>
      <c r="S240">
        <f>IF(BC239&lt;=0,0,IF(ROUND(BC239*(1+'Calc base'!Q240),2)-MAX('Calc base'!L$12,ROUND('Calc base'!L$13*BC239,2))&lt;1,ROUND(BC239*(1+'Calc base'!Q240),2),MAX('Calc base'!L$12,ROUND('Calc base'!L$13*BC239,2))))</f>
        <v>0</v>
      </c>
      <c r="T240">
        <f>IF(BD239&lt;=0,0,IF(ROUND(BD239*(1+'Calc base'!R240),2)-MAX('Calc base'!M$12,ROUND('Calc base'!M$13*BD239,2))&lt;1,ROUND(BD239*(1+'Calc base'!R240),2),MAX('Calc base'!M$12,ROUND('Calc base'!M$13*BD239,2))))</f>
        <v>0</v>
      </c>
      <c r="U240">
        <f>IF(BE239&lt;=0,0,IF(ROUND(BE239*(1+'Calc base'!S240),2)-MAX('Calc base'!N$12,ROUND('Calc base'!N$13*BE239,2))&lt;1,ROUND(BE239*(1+'Calc base'!S240),2),MAX('Calc base'!N$12,ROUND('Calc base'!N$13*BE239,2))))</f>
        <v>0</v>
      </c>
      <c r="V240">
        <f>MAX(0,ROUND(AT239*(1+'Calc base'!H240),2)-J240-'Calc base'!T240)</f>
        <v>0</v>
      </c>
      <c r="W240">
        <f>MAX(0,ROUND(AU239*(1+'Calc base'!I240),2)-K240-'Calc base'!U240)</f>
        <v>0</v>
      </c>
      <c r="X240">
        <f>MAX(0,ROUND(AV239*(1+'Calc base'!J240),2)-L240-'Calc base'!V240)</f>
        <v>0</v>
      </c>
      <c r="Y240">
        <f>MAX(0,ROUND(AW239*(1+'Calc base'!K240),2)-M240-'Calc base'!W240)</f>
        <v>0</v>
      </c>
      <c r="Z240">
        <f>MAX(0,ROUND(AX239*(1+'Calc base'!L240),2)-N240-'Calc base'!X240)</f>
        <v>0</v>
      </c>
      <c r="AA240">
        <f>MAX(0,ROUND(AY239*(1+'Calc base'!M240),2)-O240-'Calc base'!Y240)</f>
        <v>0</v>
      </c>
      <c r="AB240">
        <f>MAX(0,ROUND(AZ239*(1+'Calc base'!N240),2)-P240-'Calc base'!Z240)</f>
        <v>0</v>
      </c>
      <c r="AC240">
        <f>MAX(0,ROUND(BA239*(1+'Calc base'!O240),2)-Q240-'Calc base'!AA240)</f>
        <v>0</v>
      </c>
      <c r="AD240">
        <f>MAX(0,ROUND(BB239*(1+'Calc base'!P240),2)-R240-'Calc base'!AB240)</f>
        <v>0</v>
      </c>
      <c r="AE240">
        <f>MAX(0,ROUND(BC239*(1+'Calc base'!Q240),2)-S240-'Calc base'!AC240)</f>
        <v>0</v>
      </c>
      <c r="AF240">
        <f>MAX(0,ROUND(BD239*(1+'Calc base'!R240),2)-T240-'Calc base'!AD240)</f>
        <v>0</v>
      </c>
      <c r="AG240">
        <f>MAX(0,ROUND(BE239*(1+'Calc base'!S240),2)-U240-'Calc base'!AE240)</f>
        <v>0</v>
      </c>
      <c r="AH240">
        <f>IF('Calc base'!C$14=0,0,MIN(V240,MAX(0,$E240-SUMIFS($V240:$AG240,'Calc base'!$C$17:$N$17,"&lt;"&amp;'Calc base'!C$17,'Calc base'!$C$14:$N$14,1))))</f>
        <v>0</v>
      </c>
      <c r="AI240">
        <f>IF('Calc base'!D$14=0,0,MIN(W240,MAX(0,$E240-SUMIFS($V240:$AG240,'Calc base'!$C$17:$N$17,"&lt;"&amp;'Calc base'!D$17,'Calc base'!$C$14:$N$14,1))))</f>
        <v>0</v>
      </c>
      <c r="AJ240">
        <f>IF('Calc base'!E$14=0,0,MIN(X240,MAX(0,$E240-SUMIFS($V240:$AG240,'Calc base'!$C$17:$N$17,"&lt;"&amp;'Calc base'!E$17,'Calc base'!$C$14:$N$14,1))))</f>
        <v>0</v>
      </c>
      <c r="AK240">
        <f>IF('Calc base'!F$14=0,0,MIN(Y240,MAX(0,$E240-SUMIFS($V240:$AG240,'Calc base'!$C$17:$N$17,"&lt;"&amp;'Calc base'!F$17,'Calc base'!$C$14:$N$14,1))))</f>
        <v>0</v>
      </c>
      <c r="AL240">
        <f>IF('Calc base'!G$14=0,0,MIN(Z240,MAX(0,$E240-SUMIFS($V240:$AG240,'Calc base'!$C$17:$N$17,"&lt;"&amp;'Calc base'!G$17,'Calc base'!$C$14:$N$14,1))))</f>
        <v>0</v>
      </c>
      <c r="AM240">
        <f>IF('Calc base'!H$14=0,0,MIN(AA240,MAX(0,$E240-SUMIFS($V240:$AG240,'Calc base'!$C$17:$N$17,"&lt;"&amp;'Calc base'!H$17,'Calc base'!$C$14:$N$14,1))))</f>
        <v>0</v>
      </c>
      <c r="AN240">
        <f>IF('Calc base'!I$14=0,0,MIN(AB240,MAX(0,$E240-SUMIFS($V240:$AG240,'Calc base'!$C$17:$N$17,"&lt;"&amp;'Calc base'!I$17,'Calc base'!$C$14:$N$14,1))))</f>
        <v>0</v>
      </c>
      <c r="AO240">
        <f>IF('Calc base'!J$14=0,0,MIN(AC240,MAX(0,$E240-SUMIFS($V240:$AG240,'Calc base'!$C$17:$N$17,"&lt;"&amp;'Calc base'!J$17,'Calc base'!$C$14:$N$14,1))))</f>
        <v>0</v>
      </c>
      <c r="AP240">
        <f>IF('Calc base'!K$14=0,0,MIN(AD240,MAX(0,$E240-SUMIFS($V240:$AG240,'Calc base'!$C$17:$N$17,"&lt;"&amp;'Calc base'!K$17,'Calc base'!$C$14:$N$14,1))))</f>
        <v>0</v>
      </c>
      <c r="AQ240">
        <f>IF('Calc base'!L$14=0,0,MIN(AE240,MAX(0,$E240-SUMIFS($V240:$AG240,'Calc base'!$C$17:$N$17,"&lt;"&amp;'Calc base'!L$17,'Calc base'!$C$14:$N$14,1))))</f>
        <v>0</v>
      </c>
      <c r="AR240">
        <f>IF('Calc base'!M$14=0,0,MIN(AF240,MAX(0,$E240-SUMIFS($V240:$AG240,'Calc base'!$C$17:$N$17,"&lt;"&amp;'Calc base'!M$17,'Calc base'!$C$14:$N$14,1))))</f>
        <v>0</v>
      </c>
      <c r="AS240">
        <f>IF('Calc base'!N$14=0,0,MIN(AG240,MAX(0,$E240-SUMIFS($V240:$AG240,'Calc base'!$C$17:$N$17,"&lt;"&amp;'Calc base'!N$17,'Calc base'!$C$14:$N$14,1))))</f>
        <v>0</v>
      </c>
      <c r="AT240">
        <f>V240-AH240</f>
        <v>0</v>
      </c>
      <c r="AU240">
        <f>W240-AI240</f>
        <v>0</v>
      </c>
      <c r="AV240">
        <f>X240-AJ240</f>
        <v>0</v>
      </c>
      <c r="AW240">
        <f>Y240-AK240</f>
        <v>0</v>
      </c>
      <c r="AX240">
        <f>Z240-AL240</f>
        <v>0</v>
      </c>
      <c r="AY240">
        <f>AA240-AM240</f>
        <v>0</v>
      </c>
      <c r="AZ240">
        <f>AB240-AN240</f>
        <v>0</v>
      </c>
      <c r="BA240">
        <f>AC240-AO240</f>
        <v>0</v>
      </c>
      <c r="BB240">
        <f>AD240-AP240</f>
        <v>0</v>
      </c>
      <c r="BC240">
        <f>AE240-AQ240</f>
        <v>0</v>
      </c>
      <c r="BD240">
        <f>AF240-AR240</f>
        <v>0</v>
      </c>
      <c r="BE240">
        <f>AG240-AS240</f>
        <v>0</v>
      </c>
    </row>
    <row r="241">
      <c r="A241" t="n">
        <v>211</v>
      </c>
      <c r="B241">
        <f>SUMPRODUCT(ROUND($AT240:$BE240*(1+'Calc base'!$H241:$S241),2))</f>
        <v>0</v>
      </c>
      <c r="C241">
        <f>SUM(J241:U241)</f>
        <v>0</v>
      </c>
      <c r="D241">
        <f>SUM(V241:AG241)</f>
        <v>0</v>
      </c>
      <c r="E241">
        <f>MAX(0,IF(Impostazioni!$B$7="No",'Calc base'!$C241-$C$31,'Calc base'!$C241-C241)+'Calc base'!$G241+'Calc base'!$F241-(B241-C241-D241))</f>
        <v>900</v>
      </c>
      <c r="F241">
        <f>SUM(AH241:AS241)</f>
        <v>0</v>
      </c>
      <c r="G241">
        <f>SUM(AT241:BE241)</f>
        <v>0</v>
      </c>
      <c r="H241">
        <f>B241-G240</f>
        <v>0</v>
      </c>
      <c r="I241">
        <f>B241-G241</f>
        <v>0</v>
      </c>
      <c r="J241">
        <f>IF(AT240&lt;=0,0,IF(ROUND(AT240*(1+'Calc base'!H241),2)-MAX('Calc base'!C$12,ROUND('Calc base'!C$13*AT240,2))&lt;1,ROUND(AT240*(1+'Calc base'!H241),2),MAX('Calc base'!C$12,ROUND('Calc base'!C$13*AT240,2))))</f>
        <v>0</v>
      </c>
      <c r="K241">
        <f>IF(AU240&lt;=0,0,IF(ROUND(AU240*(1+'Calc base'!I241),2)-MAX('Calc base'!D$12,ROUND('Calc base'!D$13*AU240,2))&lt;1,ROUND(AU240*(1+'Calc base'!I241),2),MAX('Calc base'!D$12,ROUND('Calc base'!D$13*AU240,2))))</f>
        <v>0</v>
      </c>
      <c r="L241">
        <f>IF(AV240&lt;=0,0,IF(ROUND(AV240*(1+'Calc base'!J241),2)-MAX('Calc base'!E$12,ROUND('Calc base'!E$13*AV240,2))&lt;1,ROUND(AV240*(1+'Calc base'!J241),2),MAX('Calc base'!E$12,ROUND('Calc base'!E$13*AV240,2))))</f>
        <v>0</v>
      </c>
      <c r="M241">
        <f>IF(AW240&lt;=0,0,IF(ROUND(AW240*(1+'Calc base'!K241),2)-MAX('Calc base'!F$12,ROUND('Calc base'!F$13*AW240,2))&lt;1,ROUND(AW240*(1+'Calc base'!K241),2),MAX('Calc base'!F$12,ROUND('Calc base'!F$13*AW240,2))))</f>
        <v>0</v>
      </c>
      <c r="N241">
        <f>IF(AX240&lt;=0,0,IF(ROUND(AX240*(1+'Calc base'!L241),2)-MAX('Calc base'!G$12,ROUND('Calc base'!G$13*AX240,2))&lt;1,ROUND(AX240*(1+'Calc base'!L241),2),MAX('Calc base'!G$12,ROUND('Calc base'!G$13*AX240,2))))</f>
        <v>0</v>
      </c>
      <c r="O241">
        <f>IF(AY240&lt;=0,0,IF(ROUND(AY240*(1+'Calc base'!M241),2)-MAX('Calc base'!H$12,ROUND('Calc base'!H$13*AY240,2))&lt;1,ROUND(AY240*(1+'Calc base'!M241),2),MAX('Calc base'!H$12,ROUND('Calc base'!H$13*AY240,2))))</f>
        <v>0</v>
      </c>
      <c r="P241">
        <f>IF(AZ240&lt;=0,0,IF(ROUND(AZ240*(1+'Calc base'!N241),2)-MAX('Calc base'!I$12,ROUND('Calc base'!I$13*AZ240,2))&lt;1,ROUND(AZ240*(1+'Calc base'!N241),2),MAX('Calc base'!I$12,ROUND('Calc base'!I$13*AZ240,2))))</f>
        <v>0</v>
      </c>
      <c r="Q241">
        <f>IF(BA240&lt;=0,0,IF(ROUND(BA240*(1+'Calc base'!O241),2)-MAX('Calc base'!J$12,ROUND('Calc base'!J$13*BA240,2))&lt;1,ROUND(BA240*(1+'Calc base'!O241),2),MAX('Calc base'!J$12,ROUND('Calc base'!J$13*BA240,2))))</f>
        <v>0</v>
      </c>
      <c r="R241">
        <f>IF(BB240&lt;=0,0,IF(ROUND(BB240*(1+'Calc base'!P241),2)-MAX('Calc base'!K$12,ROUND('Calc base'!K$13*BB240,2))&lt;1,ROUND(BB240*(1+'Calc base'!P241),2),MAX('Calc base'!K$12,ROUND('Calc base'!K$13*BB240,2))))</f>
        <v>0</v>
      </c>
      <c r="S241">
        <f>IF(BC240&lt;=0,0,IF(ROUND(BC240*(1+'Calc base'!Q241),2)-MAX('Calc base'!L$12,ROUND('Calc base'!L$13*BC240,2))&lt;1,ROUND(BC240*(1+'Calc base'!Q241),2),MAX('Calc base'!L$12,ROUND('Calc base'!L$13*BC240,2))))</f>
        <v>0</v>
      </c>
      <c r="T241">
        <f>IF(BD240&lt;=0,0,IF(ROUND(BD240*(1+'Calc base'!R241),2)-MAX('Calc base'!M$12,ROUND('Calc base'!M$13*BD240,2))&lt;1,ROUND(BD240*(1+'Calc base'!R241),2),MAX('Calc base'!M$12,ROUND('Calc base'!M$13*BD240,2))))</f>
        <v>0</v>
      </c>
      <c r="U241">
        <f>IF(BE240&lt;=0,0,IF(ROUND(BE240*(1+'Calc base'!S241),2)-MAX('Calc base'!N$12,ROUND('Calc base'!N$13*BE240,2))&lt;1,ROUND(BE240*(1+'Calc base'!S241),2),MAX('Calc base'!N$12,ROUND('Calc base'!N$13*BE240,2))))</f>
        <v>0</v>
      </c>
      <c r="V241">
        <f>MAX(0,ROUND(AT240*(1+'Calc base'!H241),2)-J241-'Calc base'!T241)</f>
        <v>0</v>
      </c>
      <c r="W241">
        <f>MAX(0,ROUND(AU240*(1+'Calc base'!I241),2)-K241-'Calc base'!U241)</f>
        <v>0</v>
      </c>
      <c r="X241">
        <f>MAX(0,ROUND(AV240*(1+'Calc base'!J241),2)-L241-'Calc base'!V241)</f>
        <v>0</v>
      </c>
      <c r="Y241">
        <f>MAX(0,ROUND(AW240*(1+'Calc base'!K241),2)-M241-'Calc base'!W241)</f>
        <v>0</v>
      </c>
      <c r="Z241">
        <f>MAX(0,ROUND(AX240*(1+'Calc base'!L241),2)-N241-'Calc base'!X241)</f>
        <v>0</v>
      </c>
      <c r="AA241">
        <f>MAX(0,ROUND(AY240*(1+'Calc base'!M241),2)-O241-'Calc base'!Y241)</f>
        <v>0</v>
      </c>
      <c r="AB241">
        <f>MAX(0,ROUND(AZ240*(1+'Calc base'!N241),2)-P241-'Calc base'!Z241)</f>
        <v>0</v>
      </c>
      <c r="AC241">
        <f>MAX(0,ROUND(BA240*(1+'Calc base'!O241),2)-Q241-'Calc base'!AA241)</f>
        <v>0</v>
      </c>
      <c r="AD241">
        <f>MAX(0,ROUND(BB240*(1+'Calc base'!P241),2)-R241-'Calc base'!AB241)</f>
        <v>0</v>
      </c>
      <c r="AE241">
        <f>MAX(0,ROUND(BC240*(1+'Calc base'!Q241),2)-S241-'Calc base'!AC241)</f>
        <v>0</v>
      </c>
      <c r="AF241">
        <f>MAX(0,ROUND(BD240*(1+'Calc base'!R241),2)-T241-'Calc base'!AD241)</f>
        <v>0</v>
      </c>
      <c r="AG241">
        <f>MAX(0,ROUND(BE240*(1+'Calc base'!S241),2)-U241-'Calc base'!AE241)</f>
        <v>0</v>
      </c>
      <c r="AH241">
        <f>IF('Calc base'!C$14=0,0,MIN(V241,MAX(0,$E241-SUMIFS($V241:$AG241,'Calc base'!$C$17:$N$17,"&lt;"&amp;'Calc base'!C$17,'Calc base'!$C$14:$N$14,1))))</f>
        <v>0</v>
      </c>
      <c r="AI241">
        <f>IF('Calc base'!D$14=0,0,MIN(W241,MAX(0,$E241-SUMIFS($V241:$AG241,'Calc base'!$C$17:$N$17,"&lt;"&amp;'Calc base'!D$17,'Calc base'!$C$14:$N$14,1))))</f>
        <v>0</v>
      </c>
      <c r="AJ241">
        <f>IF('Calc base'!E$14=0,0,MIN(X241,MAX(0,$E241-SUMIFS($V241:$AG241,'Calc base'!$C$17:$N$17,"&lt;"&amp;'Calc base'!E$17,'Calc base'!$C$14:$N$14,1))))</f>
        <v>0</v>
      </c>
      <c r="AK241">
        <f>IF('Calc base'!F$14=0,0,MIN(Y241,MAX(0,$E241-SUMIFS($V241:$AG241,'Calc base'!$C$17:$N$17,"&lt;"&amp;'Calc base'!F$17,'Calc base'!$C$14:$N$14,1))))</f>
        <v>0</v>
      </c>
      <c r="AL241">
        <f>IF('Calc base'!G$14=0,0,MIN(Z241,MAX(0,$E241-SUMIFS($V241:$AG241,'Calc base'!$C$17:$N$17,"&lt;"&amp;'Calc base'!G$17,'Calc base'!$C$14:$N$14,1))))</f>
        <v>0</v>
      </c>
      <c r="AM241">
        <f>IF('Calc base'!H$14=0,0,MIN(AA241,MAX(0,$E241-SUMIFS($V241:$AG241,'Calc base'!$C$17:$N$17,"&lt;"&amp;'Calc base'!H$17,'Calc base'!$C$14:$N$14,1))))</f>
        <v>0</v>
      </c>
      <c r="AN241">
        <f>IF('Calc base'!I$14=0,0,MIN(AB241,MAX(0,$E241-SUMIFS($V241:$AG241,'Calc base'!$C$17:$N$17,"&lt;"&amp;'Calc base'!I$17,'Calc base'!$C$14:$N$14,1))))</f>
        <v>0</v>
      </c>
      <c r="AO241">
        <f>IF('Calc base'!J$14=0,0,MIN(AC241,MAX(0,$E241-SUMIFS($V241:$AG241,'Calc base'!$C$17:$N$17,"&lt;"&amp;'Calc base'!J$17,'Calc base'!$C$14:$N$14,1))))</f>
        <v>0</v>
      </c>
      <c r="AP241">
        <f>IF('Calc base'!K$14=0,0,MIN(AD241,MAX(0,$E241-SUMIFS($V241:$AG241,'Calc base'!$C$17:$N$17,"&lt;"&amp;'Calc base'!K$17,'Calc base'!$C$14:$N$14,1))))</f>
        <v>0</v>
      </c>
      <c r="AQ241">
        <f>IF('Calc base'!L$14=0,0,MIN(AE241,MAX(0,$E241-SUMIFS($V241:$AG241,'Calc base'!$C$17:$N$17,"&lt;"&amp;'Calc base'!L$17,'Calc base'!$C$14:$N$14,1))))</f>
        <v>0</v>
      </c>
      <c r="AR241">
        <f>IF('Calc base'!M$14=0,0,MIN(AF241,MAX(0,$E241-SUMIFS($V241:$AG241,'Calc base'!$C$17:$N$17,"&lt;"&amp;'Calc base'!M$17,'Calc base'!$C$14:$N$14,1))))</f>
        <v>0</v>
      </c>
      <c r="AS241">
        <f>IF('Calc base'!N$14=0,0,MIN(AG241,MAX(0,$E241-SUMIFS($V241:$AG241,'Calc base'!$C$17:$N$17,"&lt;"&amp;'Calc base'!N$17,'Calc base'!$C$14:$N$14,1))))</f>
        <v>0</v>
      </c>
      <c r="AT241">
        <f>V241-AH241</f>
        <v>0</v>
      </c>
      <c r="AU241">
        <f>W241-AI241</f>
        <v>0</v>
      </c>
      <c r="AV241">
        <f>X241-AJ241</f>
        <v>0</v>
      </c>
      <c r="AW241">
        <f>Y241-AK241</f>
        <v>0</v>
      </c>
      <c r="AX241">
        <f>Z241-AL241</f>
        <v>0</v>
      </c>
      <c r="AY241">
        <f>AA241-AM241</f>
        <v>0</v>
      </c>
      <c r="AZ241">
        <f>AB241-AN241</f>
        <v>0</v>
      </c>
      <c r="BA241">
        <f>AC241-AO241</f>
        <v>0</v>
      </c>
      <c r="BB241">
        <f>AD241-AP241</f>
        <v>0</v>
      </c>
      <c r="BC241">
        <f>AE241-AQ241</f>
        <v>0</v>
      </c>
      <c r="BD241">
        <f>AF241-AR241</f>
        <v>0</v>
      </c>
      <c r="BE241">
        <f>AG241-AS241</f>
        <v>0</v>
      </c>
    </row>
    <row r="242">
      <c r="A242" t="n">
        <v>212</v>
      </c>
      <c r="B242">
        <f>SUMPRODUCT(ROUND($AT241:$BE241*(1+'Calc base'!$H242:$S242),2))</f>
        <v>0</v>
      </c>
      <c r="C242">
        <f>SUM(J242:U242)</f>
        <v>0</v>
      </c>
      <c r="D242">
        <f>SUM(V242:AG242)</f>
        <v>0</v>
      </c>
      <c r="E242">
        <f>MAX(0,IF(Impostazioni!$B$7="No",'Calc base'!$C242-$C$31,'Calc base'!$C242-C242)+'Calc base'!$G242+'Calc base'!$F242-(B242-C242-D242))</f>
        <v>900</v>
      </c>
      <c r="F242">
        <f>SUM(AH242:AS242)</f>
        <v>0</v>
      </c>
      <c r="G242">
        <f>SUM(AT242:BE242)</f>
        <v>0</v>
      </c>
      <c r="H242">
        <f>B242-G241</f>
        <v>0</v>
      </c>
      <c r="I242">
        <f>B242-G242</f>
        <v>0</v>
      </c>
      <c r="J242">
        <f>IF(AT241&lt;=0,0,IF(ROUND(AT241*(1+'Calc base'!H242),2)-MAX('Calc base'!C$12,ROUND('Calc base'!C$13*AT241,2))&lt;1,ROUND(AT241*(1+'Calc base'!H242),2),MAX('Calc base'!C$12,ROUND('Calc base'!C$13*AT241,2))))</f>
        <v>0</v>
      </c>
      <c r="K242">
        <f>IF(AU241&lt;=0,0,IF(ROUND(AU241*(1+'Calc base'!I242),2)-MAX('Calc base'!D$12,ROUND('Calc base'!D$13*AU241,2))&lt;1,ROUND(AU241*(1+'Calc base'!I242),2),MAX('Calc base'!D$12,ROUND('Calc base'!D$13*AU241,2))))</f>
        <v>0</v>
      </c>
      <c r="L242">
        <f>IF(AV241&lt;=0,0,IF(ROUND(AV241*(1+'Calc base'!J242),2)-MAX('Calc base'!E$12,ROUND('Calc base'!E$13*AV241,2))&lt;1,ROUND(AV241*(1+'Calc base'!J242),2),MAX('Calc base'!E$12,ROUND('Calc base'!E$13*AV241,2))))</f>
        <v>0</v>
      </c>
      <c r="M242">
        <f>IF(AW241&lt;=0,0,IF(ROUND(AW241*(1+'Calc base'!K242),2)-MAX('Calc base'!F$12,ROUND('Calc base'!F$13*AW241,2))&lt;1,ROUND(AW241*(1+'Calc base'!K242),2),MAX('Calc base'!F$12,ROUND('Calc base'!F$13*AW241,2))))</f>
        <v>0</v>
      </c>
      <c r="N242">
        <f>IF(AX241&lt;=0,0,IF(ROUND(AX241*(1+'Calc base'!L242),2)-MAX('Calc base'!G$12,ROUND('Calc base'!G$13*AX241,2))&lt;1,ROUND(AX241*(1+'Calc base'!L242),2),MAX('Calc base'!G$12,ROUND('Calc base'!G$13*AX241,2))))</f>
        <v>0</v>
      </c>
      <c r="O242">
        <f>IF(AY241&lt;=0,0,IF(ROUND(AY241*(1+'Calc base'!M242),2)-MAX('Calc base'!H$12,ROUND('Calc base'!H$13*AY241,2))&lt;1,ROUND(AY241*(1+'Calc base'!M242),2),MAX('Calc base'!H$12,ROUND('Calc base'!H$13*AY241,2))))</f>
        <v>0</v>
      </c>
      <c r="P242">
        <f>IF(AZ241&lt;=0,0,IF(ROUND(AZ241*(1+'Calc base'!N242),2)-MAX('Calc base'!I$12,ROUND('Calc base'!I$13*AZ241,2))&lt;1,ROUND(AZ241*(1+'Calc base'!N242),2),MAX('Calc base'!I$12,ROUND('Calc base'!I$13*AZ241,2))))</f>
        <v>0</v>
      </c>
      <c r="Q242">
        <f>IF(BA241&lt;=0,0,IF(ROUND(BA241*(1+'Calc base'!O242),2)-MAX('Calc base'!J$12,ROUND('Calc base'!J$13*BA241,2))&lt;1,ROUND(BA241*(1+'Calc base'!O242),2),MAX('Calc base'!J$12,ROUND('Calc base'!J$13*BA241,2))))</f>
        <v>0</v>
      </c>
      <c r="R242">
        <f>IF(BB241&lt;=0,0,IF(ROUND(BB241*(1+'Calc base'!P242),2)-MAX('Calc base'!K$12,ROUND('Calc base'!K$13*BB241,2))&lt;1,ROUND(BB241*(1+'Calc base'!P242),2),MAX('Calc base'!K$12,ROUND('Calc base'!K$13*BB241,2))))</f>
        <v>0</v>
      </c>
      <c r="S242">
        <f>IF(BC241&lt;=0,0,IF(ROUND(BC241*(1+'Calc base'!Q242),2)-MAX('Calc base'!L$12,ROUND('Calc base'!L$13*BC241,2))&lt;1,ROUND(BC241*(1+'Calc base'!Q242),2),MAX('Calc base'!L$12,ROUND('Calc base'!L$13*BC241,2))))</f>
        <v>0</v>
      </c>
      <c r="T242">
        <f>IF(BD241&lt;=0,0,IF(ROUND(BD241*(1+'Calc base'!R242),2)-MAX('Calc base'!M$12,ROUND('Calc base'!M$13*BD241,2))&lt;1,ROUND(BD241*(1+'Calc base'!R242),2),MAX('Calc base'!M$12,ROUND('Calc base'!M$13*BD241,2))))</f>
        <v>0</v>
      </c>
      <c r="U242">
        <f>IF(BE241&lt;=0,0,IF(ROUND(BE241*(1+'Calc base'!S242),2)-MAX('Calc base'!N$12,ROUND('Calc base'!N$13*BE241,2))&lt;1,ROUND(BE241*(1+'Calc base'!S242),2),MAX('Calc base'!N$12,ROUND('Calc base'!N$13*BE241,2))))</f>
        <v>0</v>
      </c>
      <c r="V242">
        <f>MAX(0,ROUND(AT241*(1+'Calc base'!H242),2)-J242-'Calc base'!T242)</f>
        <v>0</v>
      </c>
      <c r="W242">
        <f>MAX(0,ROUND(AU241*(1+'Calc base'!I242),2)-K242-'Calc base'!U242)</f>
        <v>0</v>
      </c>
      <c r="X242">
        <f>MAX(0,ROUND(AV241*(1+'Calc base'!J242),2)-L242-'Calc base'!V242)</f>
        <v>0</v>
      </c>
      <c r="Y242">
        <f>MAX(0,ROUND(AW241*(1+'Calc base'!K242),2)-M242-'Calc base'!W242)</f>
        <v>0</v>
      </c>
      <c r="Z242">
        <f>MAX(0,ROUND(AX241*(1+'Calc base'!L242),2)-N242-'Calc base'!X242)</f>
        <v>0</v>
      </c>
      <c r="AA242">
        <f>MAX(0,ROUND(AY241*(1+'Calc base'!M242),2)-O242-'Calc base'!Y242)</f>
        <v>0</v>
      </c>
      <c r="AB242">
        <f>MAX(0,ROUND(AZ241*(1+'Calc base'!N242),2)-P242-'Calc base'!Z242)</f>
        <v>0</v>
      </c>
      <c r="AC242">
        <f>MAX(0,ROUND(BA241*(1+'Calc base'!O242),2)-Q242-'Calc base'!AA242)</f>
        <v>0</v>
      </c>
      <c r="AD242">
        <f>MAX(0,ROUND(BB241*(1+'Calc base'!P242),2)-R242-'Calc base'!AB242)</f>
        <v>0</v>
      </c>
      <c r="AE242">
        <f>MAX(0,ROUND(BC241*(1+'Calc base'!Q242),2)-S242-'Calc base'!AC242)</f>
        <v>0</v>
      </c>
      <c r="AF242">
        <f>MAX(0,ROUND(BD241*(1+'Calc base'!R242),2)-T242-'Calc base'!AD242)</f>
        <v>0</v>
      </c>
      <c r="AG242">
        <f>MAX(0,ROUND(BE241*(1+'Calc base'!S242),2)-U242-'Calc base'!AE242)</f>
        <v>0</v>
      </c>
      <c r="AH242">
        <f>IF('Calc base'!C$14=0,0,MIN(V242,MAX(0,$E242-SUMIFS($V242:$AG242,'Calc base'!$C$17:$N$17,"&lt;"&amp;'Calc base'!C$17,'Calc base'!$C$14:$N$14,1))))</f>
        <v>0</v>
      </c>
      <c r="AI242">
        <f>IF('Calc base'!D$14=0,0,MIN(W242,MAX(0,$E242-SUMIFS($V242:$AG242,'Calc base'!$C$17:$N$17,"&lt;"&amp;'Calc base'!D$17,'Calc base'!$C$14:$N$14,1))))</f>
        <v>0</v>
      </c>
      <c r="AJ242">
        <f>IF('Calc base'!E$14=0,0,MIN(X242,MAX(0,$E242-SUMIFS($V242:$AG242,'Calc base'!$C$17:$N$17,"&lt;"&amp;'Calc base'!E$17,'Calc base'!$C$14:$N$14,1))))</f>
        <v>0</v>
      </c>
      <c r="AK242">
        <f>IF('Calc base'!F$14=0,0,MIN(Y242,MAX(0,$E242-SUMIFS($V242:$AG242,'Calc base'!$C$17:$N$17,"&lt;"&amp;'Calc base'!F$17,'Calc base'!$C$14:$N$14,1))))</f>
        <v>0</v>
      </c>
      <c r="AL242">
        <f>IF('Calc base'!G$14=0,0,MIN(Z242,MAX(0,$E242-SUMIFS($V242:$AG242,'Calc base'!$C$17:$N$17,"&lt;"&amp;'Calc base'!G$17,'Calc base'!$C$14:$N$14,1))))</f>
        <v>0</v>
      </c>
      <c r="AM242">
        <f>IF('Calc base'!H$14=0,0,MIN(AA242,MAX(0,$E242-SUMIFS($V242:$AG242,'Calc base'!$C$17:$N$17,"&lt;"&amp;'Calc base'!H$17,'Calc base'!$C$14:$N$14,1))))</f>
        <v>0</v>
      </c>
      <c r="AN242">
        <f>IF('Calc base'!I$14=0,0,MIN(AB242,MAX(0,$E242-SUMIFS($V242:$AG242,'Calc base'!$C$17:$N$17,"&lt;"&amp;'Calc base'!I$17,'Calc base'!$C$14:$N$14,1))))</f>
        <v>0</v>
      </c>
      <c r="AO242">
        <f>IF('Calc base'!J$14=0,0,MIN(AC242,MAX(0,$E242-SUMIFS($V242:$AG242,'Calc base'!$C$17:$N$17,"&lt;"&amp;'Calc base'!J$17,'Calc base'!$C$14:$N$14,1))))</f>
        <v>0</v>
      </c>
      <c r="AP242">
        <f>IF('Calc base'!K$14=0,0,MIN(AD242,MAX(0,$E242-SUMIFS($V242:$AG242,'Calc base'!$C$17:$N$17,"&lt;"&amp;'Calc base'!K$17,'Calc base'!$C$14:$N$14,1))))</f>
        <v>0</v>
      </c>
      <c r="AQ242">
        <f>IF('Calc base'!L$14=0,0,MIN(AE242,MAX(0,$E242-SUMIFS($V242:$AG242,'Calc base'!$C$17:$N$17,"&lt;"&amp;'Calc base'!L$17,'Calc base'!$C$14:$N$14,1))))</f>
        <v>0</v>
      </c>
      <c r="AR242">
        <f>IF('Calc base'!M$14=0,0,MIN(AF242,MAX(0,$E242-SUMIFS($V242:$AG242,'Calc base'!$C$17:$N$17,"&lt;"&amp;'Calc base'!M$17,'Calc base'!$C$14:$N$14,1))))</f>
        <v>0</v>
      </c>
      <c r="AS242">
        <f>IF('Calc base'!N$14=0,0,MIN(AG242,MAX(0,$E242-SUMIFS($V242:$AG242,'Calc base'!$C$17:$N$17,"&lt;"&amp;'Calc base'!N$17,'Calc base'!$C$14:$N$14,1))))</f>
        <v>0</v>
      </c>
      <c r="AT242">
        <f>V242-AH242</f>
        <v>0</v>
      </c>
      <c r="AU242">
        <f>W242-AI242</f>
        <v>0</v>
      </c>
      <c r="AV242">
        <f>X242-AJ242</f>
        <v>0</v>
      </c>
      <c r="AW242">
        <f>Y242-AK242</f>
        <v>0</v>
      </c>
      <c r="AX242">
        <f>Z242-AL242</f>
        <v>0</v>
      </c>
      <c r="AY242">
        <f>AA242-AM242</f>
        <v>0</v>
      </c>
      <c r="AZ242">
        <f>AB242-AN242</f>
        <v>0</v>
      </c>
      <c r="BA242">
        <f>AC242-AO242</f>
        <v>0</v>
      </c>
      <c r="BB242">
        <f>AD242-AP242</f>
        <v>0</v>
      </c>
      <c r="BC242">
        <f>AE242-AQ242</f>
        <v>0</v>
      </c>
      <c r="BD242">
        <f>AF242-AR242</f>
        <v>0</v>
      </c>
      <c r="BE242">
        <f>AG242-AS242</f>
        <v>0</v>
      </c>
    </row>
    <row r="243">
      <c r="A243" t="n">
        <v>213</v>
      </c>
      <c r="B243">
        <f>SUMPRODUCT(ROUND($AT242:$BE242*(1+'Calc base'!$H243:$S243),2))</f>
        <v>0</v>
      </c>
      <c r="C243">
        <f>SUM(J243:U243)</f>
        <v>0</v>
      </c>
      <c r="D243">
        <f>SUM(V243:AG243)</f>
        <v>0</v>
      </c>
      <c r="E243">
        <f>MAX(0,IF(Impostazioni!$B$7="No",'Calc base'!$C243-$C$31,'Calc base'!$C243-C243)+'Calc base'!$G243+'Calc base'!$F243-(B243-C243-D243))</f>
        <v>900</v>
      </c>
      <c r="F243">
        <f>SUM(AH243:AS243)</f>
        <v>0</v>
      </c>
      <c r="G243">
        <f>SUM(AT243:BE243)</f>
        <v>0</v>
      </c>
      <c r="H243">
        <f>B243-G242</f>
        <v>0</v>
      </c>
      <c r="I243">
        <f>B243-G243</f>
        <v>0</v>
      </c>
      <c r="J243">
        <f>IF(AT242&lt;=0,0,IF(ROUND(AT242*(1+'Calc base'!H243),2)-MAX('Calc base'!C$12,ROUND('Calc base'!C$13*AT242,2))&lt;1,ROUND(AT242*(1+'Calc base'!H243),2),MAX('Calc base'!C$12,ROUND('Calc base'!C$13*AT242,2))))</f>
        <v>0</v>
      </c>
      <c r="K243">
        <f>IF(AU242&lt;=0,0,IF(ROUND(AU242*(1+'Calc base'!I243),2)-MAX('Calc base'!D$12,ROUND('Calc base'!D$13*AU242,2))&lt;1,ROUND(AU242*(1+'Calc base'!I243),2),MAX('Calc base'!D$12,ROUND('Calc base'!D$13*AU242,2))))</f>
        <v>0</v>
      </c>
      <c r="L243">
        <f>IF(AV242&lt;=0,0,IF(ROUND(AV242*(1+'Calc base'!J243),2)-MAX('Calc base'!E$12,ROUND('Calc base'!E$13*AV242,2))&lt;1,ROUND(AV242*(1+'Calc base'!J243),2),MAX('Calc base'!E$12,ROUND('Calc base'!E$13*AV242,2))))</f>
        <v>0</v>
      </c>
      <c r="M243">
        <f>IF(AW242&lt;=0,0,IF(ROUND(AW242*(1+'Calc base'!K243),2)-MAX('Calc base'!F$12,ROUND('Calc base'!F$13*AW242,2))&lt;1,ROUND(AW242*(1+'Calc base'!K243),2),MAX('Calc base'!F$12,ROUND('Calc base'!F$13*AW242,2))))</f>
        <v>0</v>
      </c>
      <c r="N243">
        <f>IF(AX242&lt;=0,0,IF(ROUND(AX242*(1+'Calc base'!L243),2)-MAX('Calc base'!G$12,ROUND('Calc base'!G$13*AX242,2))&lt;1,ROUND(AX242*(1+'Calc base'!L243),2),MAX('Calc base'!G$12,ROUND('Calc base'!G$13*AX242,2))))</f>
        <v>0</v>
      </c>
      <c r="O243">
        <f>IF(AY242&lt;=0,0,IF(ROUND(AY242*(1+'Calc base'!M243),2)-MAX('Calc base'!H$12,ROUND('Calc base'!H$13*AY242,2))&lt;1,ROUND(AY242*(1+'Calc base'!M243),2),MAX('Calc base'!H$12,ROUND('Calc base'!H$13*AY242,2))))</f>
        <v>0</v>
      </c>
      <c r="P243">
        <f>IF(AZ242&lt;=0,0,IF(ROUND(AZ242*(1+'Calc base'!N243),2)-MAX('Calc base'!I$12,ROUND('Calc base'!I$13*AZ242,2))&lt;1,ROUND(AZ242*(1+'Calc base'!N243),2),MAX('Calc base'!I$12,ROUND('Calc base'!I$13*AZ242,2))))</f>
        <v>0</v>
      </c>
      <c r="Q243">
        <f>IF(BA242&lt;=0,0,IF(ROUND(BA242*(1+'Calc base'!O243),2)-MAX('Calc base'!J$12,ROUND('Calc base'!J$13*BA242,2))&lt;1,ROUND(BA242*(1+'Calc base'!O243),2),MAX('Calc base'!J$12,ROUND('Calc base'!J$13*BA242,2))))</f>
        <v>0</v>
      </c>
      <c r="R243">
        <f>IF(BB242&lt;=0,0,IF(ROUND(BB242*(1+'Calc base'!P243),2)-MAX('Calc base'!K$12,ROUND('Calc base'!K$13*BB242,2))&lt;1,ROUND(BB242*(1+'Calc base'!P243),2),MAX('Calc base'!K$12,ROUND('Calc base'!K$13*BB242,2))))</f>
        <v>0</v>
      </c>
      <c r="S243">
        <f>IF(BC242&lt;=0,0,IF(ROUND(BC242*(1+'Calc base'!Q243),2)-MAX('Calc base'!L$12,ROUND('Calc base'!L$13*BC242,2))&lt;1,ROUND(BC242*(1+'Calc base'!Q243),2),MAX('Calc base'!L$12,ROUND('Calc base'!L$13*BC242,2))))</f>
        <v>0</v>
      </c>
      <c r="T243">
        <f>IF(BD242&lt;=0,0,IF(ROUND(BD242*(1+'Calc base'!R243),2)-MAX('Calc base'!M$12,ROUND('Calc base'!M$13*BD242,2))&lt;1,ROUND(BD242*(1+'Calc base'!R243),2),MAX('Calc base'!M$12,ROUND('Calc base'!M$13*BD242,2))))</f>
        <v>0</v>
      </c>
      <c r="U243">
        <f>IF(BE242&lt;=0,0,IF(ROUND(BE242*(1+'Calc base'!S243),2)-MAX('Calc base'!N$12,ROUND('Calc base'!N$13*BE242,2))&lt;1,ROUND(BE242*(1+'Calc base'!S243),2),MAX('Calc base'!N$12,ROUND('Calc base'!N$13*BE242,2))))</f>
        <v>0</v>
      </c>
      <c r="V243">
        <f>MAX(0,ROUND(AT242*(1+'Calc base'!H243),2)-J243-'Calc base'!T243)</f>
        <v>0</v>
      </c>
      <c r="W243">
        <f>MAX(0,ROUND(AU242*(1+'Calc base'!I243),2)-K243-'Calc base'!U243)</f>
        <v>0</v>
      </c>
      <c r="X243">
        <f>MAX(0,ROUND(AV242*(1+'Calc base'!J243),2)-L243-'Calc base'!V243)</f>
        <v>0</v>
      </c>
      <c r="Y243">
        <f>MAX(0,ROUND(AW242*(1+'Calc base'!K243),2)-M243-'Calc base'!W243)</f>
        <v>0</v>
      </c>
      <c r="Z243">
        <f>MAX(0,ROUND(AX242*(1+'Calc base'!L243),2)-N243-'Calc base'!X243)</f>
        <v>0</v>
      </c>
      <c r="AA243">
        <f>MAX(0,ROUND(AY242*(1+'Calc base'!M243),2)-O243-'Calc base'!Y243)</f>
        <v>0</v>
      </c>
      <c r="AB243">
        <f>MAX(0,ROUND(AZ242*(1+'Calc base'!N243),2)-P243-'Calc base'!Z243)</f>
        <v>0</v>
      </c>
      <c r="AC243">
        <f>MAX(0,ROUND(BA242*(1+'Calc base'!O243),2)-Q243-'Calc base'!AA243)</f>
        <v>0</v>
      </c>
      <c r="AD243">
        <f>MAX(0,ROUND(BB242*(1+'Calc base'!P243),2)-R243-'Calc base'!AB243)</f>
        <v>0</v>
      </c>
      <c r="AE243">
        <f>MAX(0,ROUND(BC242*(1+'Calc base'!Q243),2)-S243-'Calc base'!AC243)</f>
        <v>0</v>
      </c>
      <c r="AF243">
        <f>MAX(0,ROUND(BD242*(1+'Calc base'!R243),2)-T243-'Calc base'!AD243)</f>
        <v>0</v>
      </c>
      <c r="AG243">
        <f>MAX(0,ROUND(BE242*(1+'Calc base'!S243),2)-U243-'Calc base'!AE243)</f>
        <v>0</v>
      </c>
      <c r="AH243">
        <f>IF('Calc base'!C$14=0,0,MIN(V243,MAX(0,$E243-SUMIFS($V243:$AG243,'Calc base'!$C$17:$N$17,"&lt;"&amp;'Calc base'!C$17,'Calc base'!$C$14:$N$14,1))))</f>
        <v>0</v>
      </c>
      <c r="AI243">
        <f>IF('Calc base'!D$14=0,0,MIN(W243,MAX(0,$E243-SUMIFS($V243:$AG243,'Calc base'!$C$17:$N$17,"&lt;"&amp;'Calc base'!D$17,'Calc base'!$C$14:$N$14,1))))</f>
        <v>0</v>
      </c>
      <c r="AJ243">
        <f>IF('Calc base'!E$14=0,0,MIN(X243,MAX(0,$E243-SUMIFS($V243:$AG243,'Calc base'!$C$17:$N$17,"&lt;"&amp;'Calc base'!E$17,'Calc base'!$C$14:$N$14,1))))</f>
        <v>0</v>
      </c>
      <c r="AK243">
        <f>IF('Calc base'!F$14=0,0,MIN(Y243,MAX(0,$E243-SUMIFS($V243:$AG243,'Calc base'!$C$17:$N$17,"&lt;"&amp;'Calc base'!F$17,'Calc base'!$C$14:$N$14,1))))</f>
        <v>0</v>
      </c>
      <c r="AL243">
        <f>IF('Calc base'!G$14=0,0,MIN(Z243,MAX(0,$E243-SUMIFS($V243:$AG243,'Calc base'!$C$17:$N$17,"&lt;"&amp;'Calc base'!G$17,'Calc base'!$C$14:$N$14,1))))</f>
        <v>0</v>
      </c>
      <c r="AM243">
        <f>IF('Calc base'!H$14=0,0,MIN(AA243,MAX(0,$E243-SUMIFS($V243:$AG243,'Calc base'!$C$17:$N$17,"&lt;"&amp;'Calc base'!H$17,'Calc base'!$C$14:$N$14,1))))</f>
        <v>0</v>
      </c>
      <c r="AN243">
        <f>IF('Calc base'!I$14=0,0,MIN(AB243,MAX(0,$E243-SUMIFS($V243:$AG243,'Calc base'!$C$17:$N$17,"&lt;"&amp;'Calc base'!I$17,'Calc base'!$C$14:$N$14,1))))</f>
        <v>0</v>
      </c>
      <c r="AO243">
        <f>IF('Calc base'!J$14=0,0,MIN(AC243,MAX(0,$E243-SUMIFS($V243:$AG243,'Calc base'!$C$17:$N$17,"&lt;"&amp;'Calc base'!J$17,'Calc base'!$C$14:$N$14,1))))</f>
        <v>0</v>
      </c>
      <c r="AP243">
        <f>IF('Calc base'!K$14=0,0,MIN(AD243,MAX(0,$E243-SUMIFS($V243:$AG243,'Calc base'!$C$17:$N$17,"&lt;"&amp;'Calc base'!K$17,'Calc base'!$C$14:$N$14,1))))</f>
        <v>0</v>
      </c>
      <c r="AQ243">
        <f>IF('Calc base'!L$14=0,0,MIN(AE243,MAX(0,$E243-SUMIFS($V243:$AG243,'Calc base'!$C$17:$N$17,"&lt;"&amp;'Calc base'!L$17,'Calc base'!$C$14:$N$14,1))))</f>
        <v>0</v>
      </c>
      <c r="AR243">
        <f>IF('Calc base'!M$14=0,0,MIN(AF243,MAX(0,$E243-SUMIFS($V243:$AG243,'Calc base'!$C$17:$N$17,"&lt;"&amp;'Calc base'!M$17,'Calc base'!$C$14:$N$14,1))))</f>
        <v>0</v>
      </c>
      <c r="AS243">
        <f>IF('Calc base'!N$14=0,0,MIN(AG243,MAX(0,$E243-SUMIFS($V243:$AG243,'Calc base'!$C$17:$N$17,"&lt;"&amp;'Calc base'!N$17,'Calc base'!$C$14:$N$14,1))))</f>
        <v>0</v>
      </c>
      <c r="AT243">
        <f>V243-AH243</f>
        <v>0</v>
      </c>
      <c r="AU243">
        <f>W243-AI243</f>
        <v>0</v>
      </c>
      <c r="AV243">
        <f>X243-AJ243</f>
        <v>0</v>
      </c>
      <c r="AW243">
        <f>Y243-AK243</f>
        <v>0</v>
      </c>
      <c r="AX243">
        <f>Z243-AL243</f>
        <v>0</v>
      </c>
      <c r="AY243">
        <f>AA243-AM243</f>
        <v>0</v>
      </c>
      <c r="AZ243">
        <f>AB243-AN243</f>
        <v>0</v>
      </c>
      <c r="BA243">
        <f>AC243-AO243</f>
        <v>0</v>
      </c>
      <c r="BB243">
        <f>AD243-AP243</f>
        <v>0</v>
      </c>
      <c r="BC243">
        <f>AE243-AQ243</f>
        <v>0</v>
      </c>
      <c r="BD243">
        <f>AF243-AR243</f>
        <v>0</v>
      </c>
      <c r="BE243">
        <f>AG243-AS243</f>
        <v>0</v>
      </c>
    </row>
    <row r="244">
      <c r="A244" t="n">
        <v>214</v>
      </c>
      <c r="B244">
        <f>SUMPRODUCT(ROUND($AT243:$BE243*(1+'Calc base'!$H244:$S244),2))</f>
        <v>0</v>
      </c>
      <c r="C244">
        <f>SUM(J244:U244)</f>
        <v>0</v>
      </c>
      <c r="D244">
        <f>SUM(V244:AG244)</f>
        <v>0</v>
      </c>
      <c r="E244">
        <f>MAX(0,IF(Impostazioni!$B$7="No",'Calc base'!$C244-$C$31,'Calc base'!$C244-C244)+'Calc base'!$G244+'Calc base'!$F244-(B244-C244-D244))</f>
        <v>900</v>
      </c>
      <c r="F244">
        <f>SUM(AH244:AS244)</f>
        <v>0</v>
      </c>
      <c r="G244">
        <f>SUM(AT244:BE244)</f>
        <v>0</v>
      </c>
      <c r="H244">
        <f>B244-G243</f>
        <v>0</v>
      </c>
      <c r="I244">
        <f>B244-G244</f>
        <v>0</v>
      </c>
      <c r="J244">
        <f>IF(AT243&lt;=0,0,IF(ROUND(AT243*(1+'Calc base'!H244),2)-MAX('Calc base'!C$12,ROUND('Calc base'!C$13*AT243,2))&lt;1,ROUND(AT243*(1+'Calc base'!H244),2),MAX('Calc base'!C$12,ROUND('Calc base'!C$13*AT243,2))))</f>
        <v>0</v>
      </c>
      <c r="K244">
        <f>IF(AU243&lt;=0,0,IF(ROUND(AU243*(1+'Calc base'!I244),2)-MAX('Calc base'!D$12,ROUND('Calc base'!D$13*AU243,2))&lt;1,ROUND(AU243*(1+'Calc base'!I244),2),MAX('Calc base'!D$12,ROUND('Calc base'!D$13*AU243,2))))</f>
        <v>0</v>
      </c>
      <c r="L244">
        <f>IF(AV243&lt;=0,0,IF(ROUND(AV243*(1+'Calc base'!J244),2)-MAX('Calc base'!E$12,ROUND('Calc base'!E$13*AV243,2))&lt;1,ROUND(AV243*(1+'Calc base'!J244),2),MAX('Calc base'!E$12,ROUND('Calc base'!E$13*AV243,2))))</f>
        <v>0</v>
      </c>
      <c r="M244">
        <f>IF(AW243&lt;=0,0,IF(ROUND(AW243*(1+'Calc base'!K244),2)-MAX('Calc base'!F$12,ROUND('Calc base'!F$13*AW243,2))&lt;1,ROUND(AW243*(1+'Calc base'!K244),2),MAX('Calc base'!F$12,ROUND('Calc base'!F$13*AW243,2))))</f>
        <v>0</v>
      </c>
      <c r="N244">
        <f>IF(AX243&lt;=0,0,IF(ROUND(AX243*(1+'Calc base'!L244),2)-MAX('Calc base'!G$12,ROUND('Calc base'!G$13*AX243,2))&lt;1,ROUND(AX243*(1+'Calc base'!L244),2),MAX('Calc base'!G$12,ROUND('Calc base'!G$13*AX243,2))))</f>
        <v>0</v>
      </c>
      <c r="O244">
        <f>IF(AY243&lt;=0,0,IF(ROUND(AY243*(1+'Calc base'!M244),2)-MAX('Calc base'!H$12,ROUND('Calc base'!H$13*AY243,2))&lt;1,ROUND(AY243*(1+'Calc base'!M244),2),MAX('Calc base'!H$12,ROUND('Calc base'!H$13*AY243,2))))</f>
        <v>0</v>
      </c>
      <c r="P244">
        <f>IF(AZ243&lt;=0,0,IF(ROUND(AZ243*(1+'Calc base'!N244),2)-MAX('Calc base'!I$12,ROUND('Calc base'!I$13*AZ243,2))&lt;1,ROUND(AZ243*(1+'Calc base'!N244),2),MAX('Calc base'!I$12,ROUND('Calc base'!I$13*AZ243,2))))</f>
        <v>0</v>
      </c>
      <c r="Q244">
        <f>IF(BA243&lt;=0,0,IF(ROUND(BA243*(1+'Calc base'!O244),2)-MAX('Calc base'!J$12,ROUND('Calc base'!J$13*BA243,2))&lt;1,ROUND(BA243*(1+'Calc base'!O244),2),MAX('Calc base'!J$12,ROUND('Calc base'!J$13*BA243,2))))</f>
        <v>0</v>
      </c>
      <c r="R244">
        <f>IF(BB243&lt;=0,0,IF(ROUND(BB243*(1+'Calc base'!P244),2)-MAX('Calc base'!K$12,ROUND('Calc base'!K$13*BB243,2))&lt;1,ROUND(BB243*(1+'Calc base'!P244),2),MAX('Calc base'!K$12,ROUND('Calc base'!K$13*BB243,2))))</f>
        <v>0</v>
      </c>
      <c r="S244">
        <f>IF(BC243&lt;=0,0,IF(ROUND(BC243*(1+'Calc base'!Q244),2)-MAX('Calc base'!L$12,ROUND('Calc base'!L$13*BC243,2))&lt;1,ROUND(BC243*(1+'Calc base'!Q244),2),MAX('Calc base'!L$12,ROUND('Calc base'!L$13*BC243,2))))</f>
        <v>0</v>
      </c>
      <c r="T244">
        <f>IF(BD243&lt;=0,0,IF(ROUND(BD243*(1+'Calc base'!R244),2)-MAX('Calc base'!M$12,ROUND('Calc base'!M$13*BD243,2))&lt;1,ROUND(BD243*(1+'Calc base'!R244),2),MAX('Calc base'!M$12,ROUND('Calc base'!M$13*BD243,2))))</f>
        <v>0</v>
      </c>
      <c r="U244">
        <f>IF(BE243&lt;=0,0,IF(ROUND(BE243*(1+'Calc base'!S244),2)-MAX('Calc base'!N$12,ROUND('Calc base'!N$13*BE243,2))&lt;1,ROUND(BE243*(1+'Calc base'!S244),2),MAX('Calc base'!N$12,ROUND('Calc base'!N$13*BE243,2))))</f>
        <v>0</v>
      </c>
      <c r="V244">
        <f>MAX(0,ROUND(AT243*(1+'Calc base'!H244),2)-J244-'Calc base'!T244)</f>
        <v>0</v>
      </c>
      <c r="W244">
        <f>MAX(0,ROUND(AU243*(1+'Calc base'!I244),2)-K244-'Calc base'!U244)</f>
        <v>0</v>
      </c>
      <c r="X244">
        <f>MAX(0,ROUND(AV243*(1+'Calc base'!J244),2)-L244-'Calc base'!V244)</f>
        <v>0</v>
      </c>
      <c r="Y244">
        <f>MAX(0,ROUND(AW243*(1+'Calc base'!K244),2)-M244-'Calc base'!W244)</f>
        <v>0</v>
      </c>
      <c r="Z244">
        <f>MAX(0,ROUND(AX243*(1+'Calc base'!L244),2)-N244-'Calc base'!X244)</f>
        <v>0</v>
      </c>
      <c r="AA244">
        <f>MAX(0,ROUND(AY243*(1+'Calc base'!M244),2)-O244-'Calc base'!Y244)</f>
        <v>0</v>
      </c>
      <c r="AB244">
        <f>MAX(0,ROUND(AZ243*(1+'Calc base'!N244),2)-P244-'Calc base'!Z244)</f>
        <v>0</v>
      </c>
      <c r="AC244">
        <f>MAX(0,ROUND(BA243*(1+'Calc base'!O244),2)-Q244-'Calc base'!AA244)</f>
        <v>0</v>
      </c>
      <c r="AD244">
        <f>MAX(0,ROUND(BB243*(1+'Calc base'!P244),2)-R244-'Calc base'!AB244)</f>
        <v>0</v>
      </c>
      <c r="AE244">
        <f>MAX(0,ROUND(BC243*(1+'Calc base'!Q244),2)-S244-'Calc base'!AC244)</f>
        <v>0</v>
      </c>
      <c r="AF244">
        <f>MAX(0,ROUND(BD243*(1+'Calc base'!R244),2)-T244-'Calc base'!AD244)</f>
        <v>0</v>
      </c>
      <c r="AG244">
        <f>MAX(0,ROUND(BE243*(1+'Calc base'!S244),2)-U244-'Calc base'!AE244)</f>
        <v>0</v>
      </c>
      <c r="AH244">
        <f>IF('Calc base'!C$14=0,0,MIN(V244,MAX(0,$E244-SUMIFS($V244:$AG244,'Calc base'!$C$17:$N$17,"&lt;"&amp;'Calc base'!C$17,'Calc base'!$C$14:$N$14,1))))</f>
        <v>0</v>
      </c>
      <c r="AI244">
        <f>IF('Calc base'!D$14=0,0,MIN(W244,MAX(0,$E244-SUMIFS($V244:$AG244,'Calc base'!$C$17:$N$17,"&lt;"&amp;'Calc base'!D$17,'Calc base'!$C$14:$N$14,1))))</f>
        <v>0</v>
      </c>
      <c r="AJ244">
        <f>IF('Calc base'!E$14=0,0,MIN(X244,MAX(0,$E244-SUMIFS($V244:$AG244,'Calc base'!$C$17:$N$17,"&lt;"&amp;'Calc base'!E$17,'Calc base'!$C$14:$N$14,1))))</f>
        <v>0</v>
      </c>
      <c r="AK244">
        <f>IF('Calc base'!F$14=0,0,MIN(Y244,MAX(0,$E244-SUMIFS($V244:$AG244,'Calc base'!$C$17:$N$17,"&lt;"&amp;'Calc base'!F$17,'Calc base'!$C$14:$N$14,1))))</f>
        <v>0</v>
      </c>
      <c r="AL244">
        <f>IF('Calc base'!G$14=0,0,MIN(Z244,MAX(0,$E244-SUMIFS($V244:$AG244,'Calc base'!$C$17:$N$17,"&lt;"&amp;'Calc base'!G$17,'Calc base'!$C$14:$N$14,1))))</f>
        <v>0</v>
      </c>
      <c r="AM244">
        <f>IF('Calc base'!H$14=0,0,MIN(AA244,MAX(0,$E244-SUMIFS($V244:$AG244,'Calc base'!$C$17:$N$17,"&lt;"&amp;'Calc base'!H$17,'Calc base'!$C$14:$N$14,1))))</f>
        <v>0</v>
      </c>
      <c r="AN244">
        <f>IF('Calc base'!I$14=0,0,MIN(AB244,MAX(0,$E244-SUMIFS($V244:$AG244,'Calc base'!$C$17:$N$17,"&lt;"&amp;'Calc base'!I$17,'Calc base'!$C$14:$N$14,1))))</f>
        <v>0</v>
      </c>
      <c r="AO244">
        <f>IF('Calc base'!J$14=0,0,MIN(AC244,MAX(0,$E244-SUMIFS($V244:$AG244,'Calc base'!$C$17:$N$17,"&lt;"&amp;'Calc base'!J$17,'Calc base'!$C$14:$N$14,1))))</f>
        <v>0</v>
      </c>
      <c r="AP244">
        <f>IF('Calc base'!K$14=0,0,MIN(AD244,MAX(0,$E244-SUMIFS($V244:$AG244,'Calc base'!$C$17:$N$17,"&lt;"&amp;'Calc base'!K$17,'Calc base'!$C$14:$N$14,1))))</f>
        <v>0</v>
      </c>
      <c r="AQ244">
        <f>IF('Calc base'!L$14=0,0,MIN(AE244,MAX(0,$E244-SUMIFS($V244:$AG244,'Calc base'!$C$17:$N$17,"&lt;"&amp;'Calc base'!L$17,'Calc base'!$C$14:$N$14,1))))</f>
        <v>0</v>
      </c>
      <c r="AR244">
        <f>IF('Calc base'!M$14=0,0,MIN(AF244,MAX(0,$E244-SUMIFS($V244:$AG244,'Calc base'!$C$17:$N$17,"&lt;"&amp;'Calc base'!M$17,'Calc base'!$C$14:$N$14,1))))</f>
        <v>0</v>
      </c>
      <c r="AS244">
        <f>IF('Calc base'!N$14=0,0,MIN(AG244,MAX(0,$E244-SUMIFS($V244:$AG244,'Calc base'!$C$17:$N$17,"&lt;"&amp;'Calc base'!N$17,'Calc base'!$C$14:$N$14,1))))</f>
        <v>0</v>
      </c>
      <c r="AT244">
        <f>V244-AH244</f>
        <v>0</v>
      </c>
      <c r="AU244">
        <f>W244-AI244</f>
        <v>0</v>
      </c>
      <c r="AV244">
        <f>X244-AJ244</f>
        <v>0</v>
      </c>
      <c r="AW244">
        <f>Y244-AK244</f>
        <v>0</v>
      </c>
      <c r="AX244">
        <f>Z244-AL244</f>
        <v>0</v>
      </c>
      <c r="AY244">
        <f>AA244-AM244</f>
        <v>0</v>
      </c>
      <c r="AZ244">
        <f>AB244-AN244</f>
        <v>0</v>
      </c>
      <c r="BA244">
        <f>AC244-AO244</f>
        <v>0</v>
      </c>
      <c r="BB244">
        <f>AD244-AP244</f>
        <v>0</v>
      </c>
      <c r="BC244">
        <f>AE244-AQ244</f>
        <v>0</v>
      </c>
      <c r="BD244">
        <f>AF244-AR244</f>
        <v>0</v>
      </c>
      <c r="BE244">
        <f>AG244-AS244</f>
        <v>0</v>
      </c>
    </row>
    <row r="245">
      <c r="A245" t="n">
        <v>215</v>
      </c>
      <c r="B245">
        <f>SUMPRODUCT(ROUND($AT244:$BE244*(1+'Calc base'!$H245:$S245),2))</f>
        <v>0</v>
      </c>
      <c r="C245">
        <f>SUM(J245:U245)</f>
        <v>0</v>
      </c>
      <c r="D245">
        <f>SUM(V245:AG245)</f>
        <v>0</v>
      </c>
      <c r="E245">
        <f>MAX(0,IF(Impostazioni!$B$7="No",'Calc base'!$C245-$C$31,'Calc base'!$C245-C245)+'Calc base'!$G245+'Calc base'!$F245-(B245-C245-D245))</f>
        <v>900</v>
      </c>
      <c r="F245">
        <f>SUM(AH245:AS245)</f>
        <v>0</v>
      </c>
      <c r="G245">
        <f>SUM(AT245:BE245)</f>
        <v>0</v>
      </c>
      <c r="H245">
        <f>B245-G244</f>
        <v>0</v>
      </c>
      <c r="I245">
        <f>B245-G245</f>
        <v>0</v>
      </c>
      <c r="J245">
        <f>IF(AT244&lt;=0,0,IF(ROUND(AT244*(1+'Calc base'!H245),2)-MAX('Calc base'!C$12,ROUND('Calc base'!C$13*AT244,2))&lt;1,ROUND(AT244*(1+'Calc base'!H245),2),MAX('Calc base'!C$12,ROUND('Calc base'!C$13*AT244,2))))</f>
        <v>0</v>
      </c>
      <c r="K245">
        <f>IF(AU244&lt;=0,0,IF(ROUND(AU244*(1+'Calc base'!I245),2)-MAX('Calc base'!D$12,ROUND('Calc base'!D$13*AU244,2))&lt;1,ROUND(AU244*(1+'Calc base'!I245),2),MAX('Calc base'!D$12,ROUND('Calc base'!D$13*AU244,2))))</f>
        <v>0</v>
      </c>
      <c r="L245">
        <f>IF(AV244&lt;=0,0,IF(ROUND(AV244*(1+'Calc base'!J245),2)-MAX('Calc base'!E$12,ROUND('Calc base'!E$13*AV244,2))&lt;1,ROUND(AV244*(1+'Calc base'!J245),2),MAX('Calc base'!E$12,ROUND('Calc base'!E$13*AV244,2))))</f>
        <v>0</v>
      </c>
      <c r="M245">
        <f>IF(AW244&lt;=0,0,IF(ROUND(AW244*(1+'Calc base'!K245),2)-MAX('Calc base'!F$12,ROUND('Calc base'!F$13*AW244,2))&lt;1,ROUND(AW244*(1+'Calc base'!K245),2),MAX('Calc base'!F$12,ROUND('Calc base'!F$13*AW244,2))))</f>
        <v>0</v>
      </c>
      <c r="N245">
        <f>IF(AX244&lt;=0,0,IF(ROUND(AX244*(1+'Calc base'!L245),2)-MAX('Calc base'!G$12,ROUND('Calc base'!G$13*AX244,2))&lt;1,ROUND(AX244*(1+'Calc base'!L245),2),MAX('Calc base'!G$12,ROUND('Calc base'!G$13*AX244,2))))</f>
        <v>0</v>
      </c>
      <c r="O245">
        <f>IF(AY244&lt;=0,0,IF(ROUND(AY244*(1+'Calc base'!M245),2)-MAX('Calc base'!H$12,ROUND('Calc base'!H$13*AY244,2))&lt;1,ROUND(AY244*(1+'Calc base'!M245),2),MAX('Calc base'!H$12,ROUND('Calc base'!H$13*AY244,2))))</f>
        <v>0</v>
      </c>
      <c r="P245">
        <f>IF(AZ244&lt;=0,0,IF(ROUND(AZ244*(1+'Calc base'!N245),2)-MAX('Calc base'!I$12,ROUND('Calc base'!I$13*AZ244,2))&lt;1,ROUND(AZ244*(1+'Calc base'!N245),2),MAX('Calc base'!I$12,ROUND('Calc base'!I$13*AZ244,2))))</f>
        <v>0</v>
      </c>
      <c r="Q245">
        <f>IF(BA244&lt;=0,0,IF(ROUND(BA244*(1+'Calc base'!O245),2)-MAX('Calc base'!J$12,ROUND('Calc base'!J$13*BA244,2))&lt;1,ROUND(BA244*(1+'Calc base'!O245),2),MAX('Calc base'!J$12,ROUND('Calc base'!J$13*BA244,2))))</f>
        <v>0</v>
      </c>
      <c r="R245">
        <f>IF(BB244&lt;=0,0,IF(ROUND(BB244*(1+'Calc base'!P245),2)-MAX('Calc base'!K$12,ROUND('Calc base'!K$13*BB244,2))&lt;1,ROUND(BB244*(1+'Calc base'!P245),2),MAX('Calc base'!K$12,ROUND('Calc base'!K$13*BB244,2))))</f>
        <v>0</v>
      </c>
      <c r="S245">
        <f>IF(BC244&lt;=0,0,IF(ROUND(BC244*(1+'Calc base'!Q245),2)-MAX('Calc base'!L$12,ROUND('Calc base'!L$13*BC244,2))&lt;1,ROUND(BC244*(1+'Calc base'!Q245),2),MAX('Calc base'!L$12,ROUND('Calc base'!L$13*BC244,2))))</f>
        <v>0</v>
      </c>
      <c r="T245">
        <f>IF(BD244&lt;=0,0,IF(ROUND(BD244*(1+'Calc base'!R245),2)-MAX('Calc base'!M$12,ROUND('Calc base'!M$13*BD244,2))&lt;1,ROUND(BD244*(1+'Calc base'!R245),2),MAX('Calc base'!M$12,ROUND('Calc base'!M$13*BD244,2))))</f>
        <v>0</v>
      </c>
      <c r="U245">
        <f>IF(BE244&lt;=0,0,IF(ROUND(BE244*(1+'Calc base'!S245),2)-MAX('Calc base'!N$12,ROUND('Calc base'!N$13*BE244,2))&lt;1,ROUND(BE244*(1+'Calc base'!S245),2),MAX('Calc base'!N$12,ROUND('Calc base'!N$13*BE244,2))))</f>
        <v>0</v>
      </c>
      <c r="V245">
        <f>MAX(0,ROUND(AT244*(1+'Calc base'!H245),2)-J245-'Calc base'!T245)</f>
        <v>0</v>
      </c>
      <c r="W245">
        <f>MAX(0,ROUND(AU244*(1+'Calc base'!I245),2)-K245-'Calc base'!U245)</f>
        <v>0</v>
      </c>
      <c r="X245">
        <f>MAX(0,ROUND(AV244*(1+'Calc base'!J245),2)-L245-'Calc base'!V245)</f>
        <v>0</v>
      </c>
      <c r="Y245">
        <f>MAX(0,ROUND(AW244*(1+'Calc base'!K245),2)-M245-'Calc base'!W245)</f>
        <v>0</v>
      </c>
      <c r="Z245">
        <f>MAX(0,ROUND(AX244*(1+'Calc base'!L245),2)-N245-'Calc base'!X245)</f>
        <v>0</v>
      </c>
      <c r="AA245">
        <f>MAX(0,ROUND(AY244*(1+'Calc base'!M245),2)-O245-'Calc base'!Y245)</f>
        <v>0</v>
      </c>
      <c r="AB245">
        <f>MAX(0,ROUND(AZ244*(1+'Calc base'!N245),2)-P245-'Calc base'!Z245)</f>
        <v>0</v>
      </c>
      <c r="AC245">
        <f>MAX(0,ROUND(BA244*(1+'Calc base'!O245),2)-Q245-'Calc base'!AA245)</f>
        <v>0</v>
      </c>
      <c r="AD245">
        <f>MAX(0,ROUND(BB244*(1+'Calc base'!P245),2)-R245-'Calc base'!AB245)</f>
        <v>0</v>
      </c>
      <c r="AE245">
        <f>MAX(0,ROUND(BC244*(1+'Calc base'!Q245),2)-S245-'Calc base'!AC245)</f>
        <v>0</v>
      </c>
      <c r="AF245">
        <f>MAX(0,ROUND(BD244*(1+'Calc base'!R245),2)-T245-'Calc base'!AD245)</f>
        <v>0</v>
      </c>
      <c r="AG245">
        <f>MAX(0,ROUND(BE244*(1+'Calc base'!S245),2)-U245-'Calc base'!AE245)</f>
        <v>0</v>
      </c>
      <c r="AH245">
        <f>IF('Calc base'!C$14=0,0,MIN(V245,MAX(0,$E245-SUMIFS($V245:$AG245,'Calc base'!$C$17:$N$17,"&lt;"&amp;'Calc base'!C$17,'Calc base'!$C$14:$N$14,1))))</f>
        <v>0</v>
      </c>
      <c r="AI245">
        <f>IF('Calc base'!D$14=0,0,MIN(W245,MAX(0,$E245-SUMIFS($V245:$AG245,'Calc base'!$C$17:$N$17,"&lt;"&amp;'Calc base'!D$17,'Calc base'!$C$14:$N$14,1))))</f>
        <v>0</v>
      </c>
      <c r="AJ245">
        <f>IF('Calc base'!E$14=0,0,MIN(X245,MAX(0,$E245-SUMIFS($V245:$AG245,'Calc base'!$C$17:$N$17,"&lt;"&amp;'Calc base'!E$17,'Calc base'!$C$14:$N$14,1))))</f>
        <v>0</v>
      </c>
      <c r="AK245">
        <f>IF('Calc base'!F$14=0,0,MIN(Y245,MAX(0,$E245-SUMIFS($V245:$AG245,'Calc base'!$C$17:$N$17,"&lt;"&amp;'Calc base'!F$17,'Calc base'!$C$14:$N$14,1))))</f>
        <v>0</v>
      </c>
      <c r="AL245">
        <f>IF('Calc base'!G$14=0,0,MIN(Z245,MAX(0,$E245-SUMIFS($V245:$AG245,'Calc base'!$C$17:$N$17,"&lt;"&amp;'Calc base'!G$17,'Calc base'!$C$14:$N$14,1))))</f>
        <v>0</v>
      </c>
      <c r="AM245">
        <f>IF('Calc base'!H$14=0,0,MIN(AA245,MAX(0,$E245-SUMIFS($V245:$AG245,'Calc base'!$C$17:$N$17,"&lt;"&amp;'Calc base'!H$17,'Calc base'!$C$14:$N$14,1))))</f>
        <v>0</v>
      </c>
      <c r="AN245">
        <f>IF('Calc base'!I$14=0,0,MIN(AB245,MAX(0,$E245-SUMIFS($V245:$AG245,'Calc base'!$C$17:$N$17,"&lt;"&amp;'Calc base'!I$17,'Calc base'!$C$14:$N$14,1))))</f>
        <v>0</v>
      </c>
      <c r="AO245">
        <f>IF('Calc base'!J$14=0,0,MIN(AC245,MAX(0,$E245-SUMIFS($V245:$AG245,'Calc base'!$C$17:$N$17,"&lt;"&amp;'Calc base'!J$17,'Calc base'!$C$14:$N$14,1))))</f>
        <v>0</v>
      </c>
      <c r="AP245">
        <f>IF('Calc base'!K$14=0,0,MIN(AD245,MAX(0,$E245-SUMIFS($V245:$AG245,'Calc base'!$C$17:$N$17,"&lt;"&amp;'Calc base'!K$17,'Calc base'!$C$14:$N$14,1))))</f>
        <v>0</v>
      </c>
      <c r="AQ245">
        <f>IF('Calc base'!L$14=0,0,MIN(AE245,MAX(0,$E245-SUMIFS($V245:$AG245,'Calc base'!$C$17:$N$17,"&lt;"&amp;'Calc base'!L$17,'Calc base'!$C$14:$N$14,1))))</f>
        <v>0</v>
      </c>
      <c r="AR245">
        <f>IF('Calc base'!M$14=0,0,MIN(AF245,MAX(0,$E245-SUMIFS($V245:$AG245,'Calc base'!$C$17:$N$17,"&lt;"&amp;'Calc base'!M$17,'Calc base'!$C$14:$N$14,1))))</f>
        <v>0</v>
      </c>
      <c r="AS245">
        <f>IF('Calc base'!N$14=0,0,MIN(AG245,MAX(0,$E245-SUMIFS($V245:$AG245,'Calc base'!$C$17:$N$17,"&lt;"&amp;'Calc base'!N$17,'Calc base'!$C$14:$N$14,1))))</f>
        <v>0</v>
      </c>
      <c r="AT245">
        <f>V245-AH245</f>
        <v>0</v>
      </c>
      <c r="AU245">
        <f>W245-AI245</f>
        <v>0</v>
      </c>
      <c r="AV245">
        <f>X245-AJ245</f>
        <v>0</v>
      </c>
      <c r="AW245">
        <f>Y245-AK245</f>
        <v>0</v>
      </c>
      <c r="AX245">
        <f>Z245-AL245</f>
        <v>0</v>
      </c>
      <c r="AY245">
        <f>AA245-AM245</f>
        <v>0</v>
      </c>
      <c r="AZ245">
        <f>AB245-AN245</f>
        <v>0</v>
      </c>
      <c r="BA245">
        <f>AC245-AO245</f>
        <v>0</v>
      </c>
      <c r="BB245">
        <f>AD245-AP245</f>
        <v>0</v>
      </c>
      <c r="BC245">
        <f>AE245-AQ245</f>
        <v>0</v>
      </c>
      <c r="BD245">
        <f>AF245-AR245</f>
        <v>0</v>
      </c>
      <c r="BE245">
        <f>AG245-AS245</f>
        <v>0</v>
      </c>
    </row>
    <row r="246">
      <c r="A246" t="n">
        <v>216</v>
      </c>
      <c r="B246">
        <f>SUMPRODUCT(ROUND($AT245:$BE245*(1+'Calc base'!$H246:$S246),2))</f>
        <v>0</v>
      </c>
      <c r="C246">
        <f>SUM(J246:U246)</f>
        <v>0</v>
      </c>
      <c r="D246">
        <f>SUM(V246:AG246)</f>
        <v>0</v>
      </c>
      <c r="E246">
        <f>MAX(0,IF(Impostazioni!$B$7="No",'Calc base'!$C246-$C$31,'Calc base'!$C246-C246)+'Calc base'!$G246+'Calc base'!$F246-(B246-C246-D246))</f>
        <v>900</v>
      </c>
      <c r="F246">
        <f>SUM(AH246:AS246)</f>
        <v>0</v>
      </c>
      <c r="G246">
        <f>SUM(AT246:BE246)</f>
        <v>0</v>
      </c>
      <c r="H246">
        <f>B246-G245</f>
        <v>0</v>
      </c>
      <c r="I246">
        <f>B246-G246</f>
        <v>0</v>
      </c>
      <c r="J246">
        <f>IF(AT245&lt;=0,0,IF(ROUND(AT245*(1+'Calc base'!H246),2)-MAX('Calc base'!C$12,ROUND('Calc base'!C$13*AT245,2))&lt;1,ROUND(AT245*(1+'Calc base'!H246),2),MAX('Calc base'!C$12,ROUND('Calc base'!C$13*AT245,2))))</f>
        <v>0</v>
      </c>
      <c r="K246">
        <f>IF(AU245&lt;=0,0,IF(ROUND(AU245*(1+'Calc base'!I246),2)-MAX('Calc base'!D$12,ROUND('Calc base'!D$13*AU245,2))&lt;1,ROUND(AU245*(1+'Calc base'!I246),2),MAX('Calc base'!D$12,ROUND('Calc base'!D$13*AU245,2))))</f>
        <v>0</v>
      </c>
      <c r="L246">
        <f>IF(AV245&lt;=0,0,IF(ROUND(AV245*(1+'Calc base'!J246),2)-MAX('Calc base'!E$12,ROUND('Calc base'!E$13*AV245,2))&lt;1,ROUND(AV245*(1+'Calc base'!J246),2),MAX('Calc base'!E$12,ROUND('Calc base'!E$13*AV245,2))))</f>
        <v>0</v>
      </c>
      <c r="M246">
        <f>IF(AW245&lt;=0,0,IF(ROUND(AW245*(1+'Calc base'!K246),2)-MAX('Calc base'!F$12,ROUND('Calc base'!F$13*AW245,2))&lt;1,ROUND(AW245*(1+'Calc base'!K246),2),MAX('Calc base'!F$12,ROUND('Calc base'!F$13*AW245,2))))</f>
        <v>0</v>
      </c>
      <c r="N246">
        <f>IF(AX245&lt;=0,0,IF(ROUND(AX245*(1+'Calc base'!L246),2)-MAX('Calc base'!G$12,ROUND('Calc base'!G$13*AX245,2))&lt;1,ROUND(AX245*(1+'Calc base'!L246),2),MAX('Calc base'!G$12,ROUND('Calc base'!G$13*AX245,2))))</f>
        <v>0</v>
      </c>
      <c r="O246">
        <f>IF(AY245&lt;=0,0,IF(ROUND(AY245*(1+'Calc base'!M246),2)-MAX('Calc base'!H$12,ROUND('Calc base'!H$13*AY245,2))&lt;1,ROUND(AY245*(1+'Calc base'!M246),2),MAX('Calc base'!H$12,ROUND('Calc base'!H$13*AY245,2))))</f>
        <v>0</v>
      </c>
      <c r="P246">
        <f>IF(AZ245&lt;=0,0,IF(ROUND(AZ245*(1+'Calc base'!N246),2)-MAX('Calc base'!I$12,ROUND('Calc base'!I$13*AZ245,2))&lt;1,ROUND(AZ245*(1+'Calc base'!N246),2),MAX('Calc base'!I$12,ROUND('Calc base'!I$13*AZ245,2))))</f>
        <v>0</v>
      </c>
      <c r="Q246">
        <f>IF(BA245&lt;=0,0,IF(ROUND(BA245*(1+'Calc base'!O246),2)-MAX('Calc base'!J$12,ROUND('Calc base'!J$13*BA245,2))&lt;1,ROUND(BA245*(1+'Calc base'!O246),2),MAX('Calc base'!J$12,ROUND('Calc base'!J$13*BA245,2))))</f>
        <v>0</v>
      </c>
      <c r="R246">
        <f>IF(BB245&lt;=0,0,IF(ROUND(BB245*(1+'Calc base'!P246),2)-MAX('Calc base'!K$12,ROUND('Calc base'!K$13*BB245,2))&lt;1,ROUND(BB245*(1+'Calc base'!P246),2),MAX('Calc base'!K$12,ROUND('Calc base'!K$13*BB245,2))))</f>
        <v>0</v>
      </c>
      <c r="S246">
        <f>IF(BC245&lt;=0,0,IF(ROUND(BC245*(1+'Calc base'!Q246),2)-MAX('Calc base'!L$12,ROUND('Calc base'!L$13*BC245,2))&lt;1,ROUND(BC245*(1+'Calc base'!Q246),2),MAX('Calc base'!L$12,ROUND('Calc base'!L$13*BC245,2))))</f>
        <v>0</v>
      </c>
      <c r="T246">
        <f>IF(BD245&lt;=0,0,IF(ROUND(BD245*(1+'Calc base'!R246),2)-MAX('Calc base'!M$12,ROUND('Calc base'!M$13*BD245,2))&lt;1,ROUND(BD245*(1+'Calc base'!R246),2),MAX('Calc base'!M$12,ROUND('Calc base'!M$13*BD245,2))))</f>
        <v>0</v>
      </c>
      <c r="U246">
        <f>IF(BE245&lt;=0,0,IF(ROUND(BE245*(1+'Calc base'!S246),2)-MAX('Calc base'!N$12,ROUND('Calc base'!N$13*BE245,2))&lt;1,ROUND(BE245*(1+'Calc base'!S246),2),MAX('Calc base'!N$12,ROUND('Calc base'!N$13*BE245,2))))</f>
        <v>0</v>
      </c>
      <c r="V246">
        <f>MAX(0,ROUND(AT245*(1+'Calc base'!H246),2)-J246-'Calc base'!T246)</f>
        <v>0</v>
      </c>
      <c r="W246">
        <f>MAX(0,ROUND(AU245*(1+'Calc base'!I246),2)-K246-'Calc base'!U246)</f>
        <v>0</v>
      </c>
      <c r="X246">
        <f>MAX(0,ROUND(AV245*(1+'Calc base'!J246),2)-L246-'Calc base'!V246)</f>
        <v>0</v>
      </c>
      <c r="Y246">
        <f>MAX(0,ROUND(AW245*(1+'Calc base'!K246),2)-M246-'Calc base'!W246)</f>
        <v>0</v>
      </c>
      <c r="Z246">
        <f>MAX(0,ROUND(AX245*(1+'Calc base'!L246),2)-N246-'Calc base'!X246)</f>
        <v>0</v>
      </c>
      <c r="AA246">
        <f>MAX(0,ROUND(AY245*(1+'Calc base'!M246),2)-O246-'Calc base'!Y246)</f>
        <v>0</v>
      </c>
      <c r="AB246">
        <f>MAX(0,ROUND(AZ245*(1+'Calc base'!N246),2)-P246-'Calc base'!Z246)</f>
        <v>0</v>
      </c>
      <c r="AC246">
        <f>MAX(0,ROUND(BA245*(1+'Calc base'!O246),2)-Q246-'Calc base'!AA246)</f>
        <v>0</v>
      </c>
      <c r="AD246">
        <f>MAX(0,ROUND(BB245*(1+'Calc base'!P246),2)-R246-'Calc base'!AB246)</f>
        <v>0</v>
      </c>
      <c r="AE246">
        <f>MAX(0,ROUND(BC245*(1+'Calc base'!Q246),2)-S246-'Calc base'!AC246)</f>
        <v>0</v>
      </c>
      <c r="AF246">
        <f>MAX(0,ROUND(BD245*(1+'Calc base'!R246),2)-T246-'Calc base'!AD246)</f>
        <v>0</v>
      </c>
      <c r="AG246">
        <f>MAX(0,ROUND(BE245*(1+'Calc base'!S246),2)-U246-'Calc base'!AE246)</f>
        <v>0</v>
      </c>
      <c r="AH246">
        <f>IF('Calc base'!C$14=0,0,MIN(V246,MAX(0,$E246-SUMIFS($V246:$AG246,'Calc base'!$C$17:$N$17,"&lt;"&amp;'Calc base'!C$17,'Calc base'!$C$14:$N$14,1))))</f>
        <v>0</v>
      </c>
      <c r="AI246">
        <f>IF('Calc base'!D$14=0,0,MIN(W246,MAX(0,$E246-SUMIFS($V246:$AG246,'Calc base'!$C$17:$N$17,"&lt;"&amp;'Calc base'!D$17,'Calc base'!$C$14:$N$14,1))))</f>
        <v>0</v>
      </c>
      <c r="AJ246">
        <f>IF('Calc base'!E$14=0,0,MIN(X246,MAX(0,$E246-SUMIFS($V246:$AG246,'Calc base'!$C$17:$N$17,"&lt;"&amp;'Calc base'!E$17,'Calc base'!$C$14:$N$14,1))))</f>
        <v>0</v>
      </c>
      <c r="AK246">
        <f>IF('Calc base'!F$14=0,0,MIN(Y246,MAX(0,$E246-SUMIFS($V246:$AG246,'Calc base'!$C$17:$N$17,"&lt;"&amp;'Calc base'!F$17,'Calc base'!$C$14:$N$14,1))))</f>
        <v>0</v>
      </c>
      <c r="AL246">
        <f>IF('Calc base'!G$14=0,0,MIN(Z246,MAX(0,$E246-SUMIFS($V246:$AG246,'Calc base'!$C$17:$N$17,"&lt;"&amp;'Calc base'!G$17,'Calc base'!$C$14:$N$14,1))))</f>
        <v>0</v>
      </c>
      <c r="AM246">
        <f>IF('Calc base'!H$14=0,0,MIN(AA246,MAX(0,$E246-SUMIFS($V246:$AG246,'Calc base'!$C$17:$N$17,"&lt;"&amp;'Calc base'!H$17,'Calc base'!$C$14:$N$14,1))))</f>
        <v>0</v>
      </c>
      <c r="AN246">
        <f>IF('Calc base'!I$14=0,0,MIN(AB246,MAX(0,$E246-SUMIFS($V246:$AG246,'Calc base'!$C$17:$N$17,"&lt;"&amp;'Calc base'!I$17,'Calc base'!$C$14:$N$14,1))))</f>
        <v>0</v>
      </c>
      <c r="AO246">
        <f>IF('Calc base'!J$14=0,0,MIN(AC246,MAX(0,$E246-SUMIFS($V246:$AG246,'Calc base'!$C$17:$N$17,"&lt;"&amp;'Calc base'!J$17,'Calc base'!$C$14:$N$14,1))))</f>
        <v>0</v>
      </c>
      <c r="AP246">
        <f>IF('Calc base'!K$14=0,0,MIN(AD246,MAX(0,$E246-SUMIFS($V246:$AG246,'Calc base'!$C$17:$N$17,"&lt;"&amp;'Calc base'!K$17,'Calc base'!$C$14:$N$14,1))))</f>
        <v>0</v>
      </c>
      <c r="AQ246">
        <f>IF('Calc base'!L$14=0,0,MIN(AE246,MAX(0,$E246-SUMIFS($V246:$AG246,'Calc base'!$C$17:$N$17,"&lt;"&amp;'Calc base'!L$17,'Calc base'!$C$14:$N$14,1))))</f>
        <v>0</v>
      </c>
      <c r="AR246">
        <f>IF('Calc base'!M$14=0,0,MIN(AF246,MAX(0,$E246-SUMIFS($V246:$AG246,'Calc base'!$C$17:$N$17,"&lt;"&amp;'Calc base'!M$17,'Calc base'!$C$14:$N$14,1))))</f>
        <v>0</v>
      </c>
      <c r="AS246">
        <f>IF('Calc base'!N$14=0,0,MIN(AG246,MAX(0,$E246-SUMIFS($V246:$AG246,'Calc base'!$C$17:$N$17,"&lt;"&amp;'Calc base'!N$17,'Calc base'!$C$14:$N$14,1))))</f>
        <v>0</v>
      </c>
      <c r="AT246">
        <f>V246-AH246</f>
        <v>0</v>
      </c>
      <c r="AU246">
        <f>W246-AI246</f>
        <v>0</v>
      </c>
      <c r="AV246">
        <f>X246-AJ246</f>
        <v>0</v>
      </c>
      <c r="AW246">
        <f>Y246-AK246</f>
        <v>0</v>
      </c>
      <c r="AX246">
        <f>Z246-AL246</f>
        <v>0</v>
      </c>
      <c r="AY246">
        <f>AA246-AM246</f>
        <v>0</v>
      </c>
      <c r="AZ246">
        <f>AB246-AN246</f>
        <v>0</v>
      </c>
      <c r="BA246">
        <f>AC246-AO246</f>
        <v>0</v>
      </c>
      <c r="BB246">
        <f>AD246-AP246</f>
        <v>0</v>
      </c>
      <c r="BC246">
        <f>AE246-AQ246</f>
        <v>0</v>
      </c>
      <c r="BD246">
        <f>AF246-AR246</f>
        <v>0</v>
      </c>
      <c r="BE246">
        <f>AG246-AS246</f>
        <v>0</v>
      </c>
    </row>
    <row r="247">
      <c r="A247" t="n">
        <v>217</v>
      </c>
      <c r="B247">
        <f>SUMPRODUCT(ROUND($AT246:$BE246*(1+'Calc base'!$H247:$S247),2))</f>
        <v>0</v>
      </c>
      <c r="C247">
        <f>SUM(J247:U247)</f>
        <v>0</v>
      </c>
      <c r="D247">
        <f>SUM(V247:AG247)</f>
        <v>0</v>
      </c>
      <c r="E247">
        <f>MAX(0,IF(Impostazioni!$B$7="No",'Calc base'!$C247-$C$31,'Calc base'!$C247-C247)+'Calc base'!$G247+'Calc base'!$F247-(B247-C247-D247))</f>
        <v>900</v>
      </c>
      <c r="F247">
        <f>SUM(AH247:AS247)</f>
        <v>0</v>
      </c>
      <c r="G247">
        <f>SUM(AT247:BE247)</f>
        <v>0</v>
      </c>
      <c r="H247">
        <f>B247-G246</f>
        <v>0</v>
      </c>
      <c r="I247">
        <f>B247-G247</f>
        <v>0</v>
      </c>
      <c r="J247">
        <f>IF(AT246&lt;=0,0,IF(ROUND(AT246*(1+'Calc base'!H247),2)-MAX('Calc base'!C$12,ROUND('Calc base'!C$13*AT246,2))&lt;1,ROUND(AT246*(1+'Calc base'!H247),2),MAX('Calc base'!C$12,ROUND('Calc base'!C$13*AT246,2))))</f>
        <v>0</v>
      </c>
      <c r="K247">
        <f>IF(AU246&lt;=0,0,IF(ROUND(AU246*(1+'Calc base'!I247),2)-MAX('Calc base'!D$12,ROUND('Calc base'!D$13*AU246,2))&lt;1,ROUND(AU246*(1+'Calc base'!I247),2),MAX('Calc base'!D$12,ROUND('Calc base'!D$13*AU246,2))))</f>
        <v>0</v>
      </c>
      <c r="L247">
        <f>IF(AV246&lt;=0,0,IF(ROUND(AV246*(1+'Calc base'!J247),2)-MAX('Calc base'!E$12,ROUND('Calc base'!E$13*AV246,2))&lt;1,ROUND(AV246*(1+'Calc base'!J247),2),MAX('Calc base'!E$12,ROUND('Calc base'!E$13*AV246,2))))</f>
        <v>0</v>
      </c>
      <c r="M247">
        <f>IF(AW246&lt;=0,0,IF(ROUND(AW246*(1+'Calc base'!K247),2)-MAX('Calc base'!F$12,ROUND('Calc base'!F$13*AW246,2))&lt;1,ROUND(AW246*(1+'Calc base'!K247),2),MAX('Calc base'!F$12,ROUND('Calc base'!F$13*AW246,2))))</f>
        <v>0</v>
      </c>
      <c r="N247">
        <f>IF(AX246&lt;=0,0,IF(ROUND(AX246*(1+'Calc base'!L247),2)-MAX('Calc base'!G$12,ROUND('Calc base'!G$13*AX246,2))&lt;1,ROUND(AX246*(1+'Calc base'!L247),2),MAX('Calc base'!G$12,ROUND('Calc base'!G$13*AX246,2))))</f>
        <v>0</v>
      </c>
      <c r="O247">
        <f>IF(AY246&lt;=0,0,IF(ROUND(AY246*(1+'Calc base'!M247),2)-MAX('Calc base'!H$12,ROUND('Calc base'!H$13*AY246,2))&lt;1,ROUND(AY246*(1+'Calc base'!M247),2),MAX('Calc base'!H$12,ROUND('Calc base'!H$13*AY246,2))))</f>
        <v>0</v>
      </c>
      <c r="P247">
        <f>IF(AZ246&lt;=0,0,IF(ROUND(AZ246*(1+'Calc base'!N247),2)-MAX('Calc base'!I$12,ROUND('Calc base'!I$13*AZ246,2))&lt;1,ROUND(AZ246*(1+'Calc base'!N247),2),MAX('Calc base'!I$12,ROUND('Calc base'!I$13*AZ246,2))))</f>
        <v>0</v>
      </c>
      <c r="Q247">
        <f>IF(BA246&lt;=0,0,IF(ROUND(BA246*(1+'Calc base'!O247),2)-MAX('Calc base'!J$12,ROUND('Calc base'!J$13*BA246,2))&lt;1,ROUND(BA246*(1+'Calc base'!O247),2),MAX('Calc base'!J$12,ROUND('Calc base'!J$13*BA246,2))))</f>
        <v>0</v>
      </c>
      <c r="R247">
        <f>IF(BB246&lt;=0,0,IF(ROUND(BB246*(1+'Calc base'!P247),2)-MAX('Calc base'!K$12,ROUND('Calc base'!K$13*BB246,2))&lt;1,ROUND(BB246*(1+'Calc base'!P247),2),MAX('Calc base'!K$12,ROUND('Calc base'!K$13*BB246,2))))</f>
        <v>0</v>
      </c>
      <c r="S247">
        <f>IF(BC246&lt;=0,0,IF(ROUND(BC246*(1+'Calc base'!Q247),2)-MAX('Calc base'!L$12,ROUND('Calc base'!L$13*BC246,2))&lt;1,ROUND(BC246*(1+'Calc base'!Q247),2),MAX('Calc base'!L$12,ROUND('Calc base'!L$13*BC246,2))))</f>
        <v>0</v>
      </c>
      <c r="T247">
        <f>IF(BD246&lt;=0,0,IF(ROUND(BD246*(1+'Calc base'!R247),2)-MAX('Calc base'!M$12,ROUND('Calc base'!M$13*BD246,2))&lt;1,ROUND(BD246*(1+'Calc base'!R247),2),MAX('Calc base'!M$12,ROUND('Calc base'!M$13*BD246,2))))</f>
        <v>0</v>
      </c>
      <c r="U247">
        <f>IF(BE246&lt;=0,0,IF(ROUND(BE246*(1+'Calc base'!S247),2)-MAX('Calc base'!N$12,ROUND('Calc base'!N$13*BE246,2))&lt;1,ROUND(BE246*(1+'Calc base'!S247),2),MAX('Calc base'!N$12,ROUND('Calc base'!N$13*BE246,2))))</f>
        <v>0</v>
      </c>
      <c r="V247">
        <f>MAX(0,ROUND(AT246*(1+'Calc base'!H247),2)-J247-'Calc base'!T247)</f>
        <v>0</v>
      </c>
      <c r="W247">
        <f>MAX(0,ROUND(AU246*(1+'Calc base'!I247),2)-K247-'Calc base'!U247)</f>
        <v>0</v>
      </c>
      <c r="X247">
        <f>MAX(0,ROUND(AV246*(1+'Calc base'!J247),2)-L247-'Calc base'!V247)</f>
        <v>0</v>
      </c>
      <c r="Y247">
        <f>MAX(0,ROUND(AW246*(1+'Calc base'!K247),2)-M247-'Calc base'!W247)</f>
        <v>0</v>
      </c>
      <c r="Z247">
        <f>MAX(0,ROUND(AX246*(1+'Calc base'!L247),2)-N247-'Calc base'!X247)</f>
        <v>0</v>
      </c>
      <c r="AA247">
        <f>MAX(0,ROUND(AY246*(1+'Calc base'!M247),2)-O247-'Calc base'!Y247)</f>
        <v>0</v>
      </c>
      <c r="AB247">
        <f>MAX(0,ROUND(AZ246*(1+'Calc base'!N247),2)-P247-'Calc base'!Z247)</f>
        <v>0</v>
      </c>
      <c r="AC247">
        <f>MAX(0,ROUND(BA246*(1+'Calc base'!O247),2)-Q247-'Calc base'!AA247)</f>
        <v>0</v>
      </c>
      <c r="AD247">
        <f>MAX(0,ROUND(BB246*(1+'Calc base'!P247),2)-R247-'Calc base'!AB247)</f>
        <v>0</v>
      </c>
      <c r="AE247">
        <f>MAX(0,ROUND(BC246*(1+'Calc base'!Q247),2)-S247-'Calc base'!AC247)</f>
        <v>0</v>
      </c>
      <c r="AF247">
        <f>MAX(0,ROUND(BD246*(1+'Calc base'!R247),2)-T247-'Calc base'!AD247)</f>
        <v>0</v>
      </c>
      <c r="AG247">
        <f>MAX(0,ROUND(BE246*(1+'Calc base'!S247),2)-U247-'Calc base'!AE247)</f>
        <v>0</v>
      </c>
      <c r="AH247">
        <f>IF('Calc base'!C$14=0,0,MIN(V247,MAX(0,$E247-SUMIFS($V247:$AG247,'Calc base'!$C$17:$N$17,"&lt;"&amp;'Calc base'!C$17,'Calc base'!$C$14:$N$14,1))))</f>
        <v>0</v>
      </c>
      <c r="AI247">
        <f>IF('Calc base'!D$14=0,0,MIN(W247,MAX(0,$E247-SUMIFS($V247:$AG247,'Calc base'!$C$17:$N$17,"&lt;"&amp;'Calc base'!D$17,'Calc base'!$C$14:$N$14,1))))</f>
        <v>0</v>
      </c>
      <c r="AJ247">
        <f>IF('Calc base'!E$14=0,0,MIN(X247,MAX(0,$E247-SUMIFS($V247:$AG247,'Calc base'!$C$17:$N$17,"&lt;"&amp;'Calc base'!E$17,'Calc base'!$C$14:$N$14,1))))</f>
        <v>0</v>
      </c>
      <c r="AK247">
        <f>IF('Calc base'!F$14=0,0,MIN(Y247,MAX(0,$E247-SUMIFS($V247:$AG247,'Calc base'!$C$17:$N$17,"&lt;"&amp;'Calc base'!F$17,'Calc base'!$C$14:$N$14,1))))</f>
        <v>0</v>
      </c>
      <c r="AL247">
        <f>IF('Calc base'!G$14=0,0,MIN(Z247,MAX(0,$E247-SUMIFS($V247:$AG247,'Calc base'!$C$17:$N$17,"&lt;"&amp;'Calc base'!G$17,'Calc base'!$C$14:$N$14,1))))</f>
        <v>0</v>
      </c>
      <c r="AM247">
        <f>IF('Calc base'!H$14=0,0,MIN(AA247,MAX(0,$E247-SUMIFS($V247:$AG247,'Calc base'!$C$17:$N$17,"&lt;"&amp;'Calc base'!H$17,'Calc base'!$C$14:$N$14,1))))</f>
        <v>0</v>
      </c>
      <c r="AN247">
        <f>IF('Calc base'!I$14=0,0,MIN(AB247,MAX(0,$E247-SUMIFS($V247:$AG247,'Calc base'!$C$17:$N$17,"&lt;"&amp;'Calc base'!I$17,'Calc base'!$C$14:$N$14,1))))</f>
        <v>0</v>
      </c>
      <c r="AO247">
        <f>IF('Calc base'!J$14=0,0,MIN(AC247,MAX(0,$E247-SUMIFS($V247:$AG247,'Calc base'!$C$17:$N$17,"&lt;"&amp;'Calc base'!J$17,'Calc base'!$C$14:$N$14,1))))</f>
        <v>0</v>
      </c>
      <c r="AP247">
        <f>IF('Calc base'!K$14=0,0,MIN(AD247,MAX(0,$E247-SUMIFS($V247:$AG247,'Calc base'!$C$17:$N$17,"&lt;"&amp;'Calc base'!K$17,'Calc base'!$C$14:$N$14,1))))</f>
        <v>0</v>
      </c>
      <c r="AQ247">
        <f>IF('Calc base'!L$14=0,0,MIN(AE247,MAX(0,$E247-SUMIFS($V247:$AG247,'Calc base'!$C$17:$N$17,"&lt;"&amp;'Calc base'!L$17,'Calc base'!$C$14:$N$14,1))))</f>
        <v>0</v>
      </c>
      <c r="AR247">
        <f>IF('Calc base'!M$14=0,0,MIN(AF247,MAX(0,$E247-SUMIFS($V247:$AG247,'Calc base'!$C$17:$N$17,"&lt;"&amp;'Calc base'!M$17,'Calc base'!$C$14:$N$14,1))))</f>
        <v>0</v>
      </c>
      <c r="AS247">
        <f>IF('Calc base'!N$14=0,0,MIN(AG247,MAX(0,$E247-SUMIFS($V247:$AG247,'Calc base'!$C$17:$N$17,"&lt;"&amp;'Calc base'!N$17,'Calc base'!$C$14:$N$14,1))))</f>
        <v>0</v>
      </c>
      <c r="AT247">
        <f>V247-AH247</f>
        <v>0</v>
      </c>
      <c r="AU247">
        <f>W247-AI247</f>
        <v>0</v>
      </c>
      <c r="AV247">
        <f>X247-AJ247</f>
        <v>0</v>
      </c>
      <c r="AW247">
        <f>Y247-AK247</f>
        <v>0</v>
      </c>
      <c r="AX247">
        <f>Z247-AL247</f>
        <v>0</v>
      </c>
      <c r="AY247">
        <f>AA247-AM247</f>
        <v>0</v>
      </c>
      <c r="AZ247">
        <f>AB247-AN247</f>
        <v>0</v>
      </c>
      <c r="BA247">
        <f>AC247-AO247</f>
        <v>0</v>
      </c>
      <c r="BB247">
        <f>AD247-AP247</f>
        <v>0</v>
      </c>
      <c r="BC247">
        <f>AE247-AQ247</f>
        <v>0</v>
      </c>
      <c r="BD247">
        <f>AF247-AR247</f>
        <v>0</v>
      </c>
      <c r="BE247">
        <f>AG247-AS247</f>
        <v>0</v>
      </c>
    </row>
    <row r="248">
      <c r="A248" t="n">
        <v>218</v>
      </c>
      <c r="B248">
        <f>SUMPRODUCT(ROUND($AT247:$BE247*(1+'Calc base'!$H248:$S248),2))</f>
        <v>0</v>
      </c>
      <c r="C248">
        <f>SUM(J248:U248)</f>
        <v>0</v>
      </c>
      <c r="D248">
        <f>SUM(V248:AG248)</f>
        <v>0</v>
      </c>
      <c r="E248">
        <f>MAX(0,IF(Impostazioni!$B$7="No",'Calc base'!$C248-$C$31,'Calc base'!$C248-C248)+'Calc base'!$G248+'Calc base'!$F248-(B248-C248-D248))</f>
        <v>900</v>
      </c>
      <c r="F248">
        <f>SUM(AH248:AS248)</f>
        <v>0</v>
      </c>
      <c r="G248">
        <f>SUM(AT248:BE248)</f>
        <v>0</v>
      </c>
      <c r="H248">
        <f>B248-G247</f>
        <v>0</v>
      </c>
      <c r="I248">
        <f>B248-G248</f>
        <v>0</v>
      </c>
      <c r="J248">
        <f>IF(AT247&lt;=0,0,IF(ROUND(AT247*(1+'Calc base'!H248),2)-MAX('Calc base'!C$12,ROUND('Calc base'!C$13*AT247,2))&lt;1,ROUND(AT247*(1+'Calc base'!H248),2),MAX('Calc base'!C$12,ROUND('Calc base'!C$13*AT247,2))))</f>
        <v>0</v>
      </c>
      <c r="K248">
        <f>IF(AU247&lt;=0,0,IF(ROUND(AU247*(1+'Calc base'!I248),2)-MAX('Calc base'!D$12,ROUND('Calc base'!D$13*AU247,2))&lt;1,ROUND(AU247*(1+'Calc base'!I248),2),MAX('Calc base'!D$12,ROUND('Calc base'!D$13*AU247,2))))</f>
        <v>0</v>
      </c>
      <c r="L248">
        <f>IF(AV247&lt;=0,0,IF(ROUND(AV247*(1+'Calc base'!J248),2)-MAX('Calc base'!E$12,ROUND('Calc base'!E$13*AV247,2))&lt;1,ROUND(AV247*(1+'Calc base'!J248),2),MAX('Calc base'!E$12,ROUND('Calc base'!E$13*AV247,2))))</f>
        <v>0</v>
      </c>
      <c r="M248">
        <f>IF(AW247&lt;=0,0,IF(ROUND(AW247*(1+'Calc base'!K248),2)-MAX('Calc base'!F$12,ROUND('Calc base'!F$13*AW247,2))&lt;1,ROUND(AW247*(1+'Calc base'!K248),2),MAX('Calc base'!F$12,ROUND('Calc base'!F$13*AW247,2))))</f>
        <v>0</v>
      </c>
      <c r="N248">
        <f>IF(AX247&lt;=0,0,IF(ROUND(AX247*(1+'Calc base'!L248),2)-MAX('Calc base'!G$12,ROUND('Calc base'!G$13*AX247,2))&lt;1,ROUND(AX247*(1+'Calc base'!L248),2),MAX('Calc base'!G$12,ROUND('Calc base'!G$13*AX247,2))))</f>
        <v>0</v>
      </c>
      <c r="O248">
        <f>IF(AY247&lt;=0,0,IF(ROUND(AY247*(1+'Calc base'!M248),2)-MAX('Calc base'!H$12,ROUND('Calc base'!H$13*AY247,2))&lt;1,ROUND(AY247*(1+'Calc base'!M248),2),MAX('Calc base'!H$12,ROUND('Calc base'!H$13*AY247,2))))</f>
        <v>0</v>
      </c>
      <c r="P248">
        <f>IF(AZ247&lt;=0,0,IF(ROUND(AZ247*(1+'Calc base'!N248),2)-MAX('Calc base'!I$12,ROUND('Calc base'!I$13*AZ247,2))&lt;1,ROUND(AZ247*(1+'Calc base'!N248),2),MAX('Calc base'!I$12,ROUND('Calc base'!I$13*AZ247,2))))</f>
        <v>0</v>
      </c>
      <c r="Q248">
        <f>IF(BA247&lt;=0,0,IF(ROUND(BA247*(1+'Calc base'!O248),2)-MAX('Calc base'!J$12,ROUND('Calc base'!J$13*BA247,2))&lt;1,ROUND(BA247*(1+'Calc base'!O248),2),MAX('Calc base'!J$12,ROUND('Calc base'!J$13*BA247,2))))</f>
        <v>0</v>
      </c>
      <c r="R248">
        <f>IF(BB247&lt;=0,0,IF(ROUND(BB247*(1+'Calc base'!P248),2)-MAX('Calc base'!K$12,ROUND('Calc base'!K$13*BB247,2))&lt;1,ROUND(BB247*(1+'Calc base'!P248),2),MAX('Calc base'!K$12,ROUND('Calc base'!K$13*BB247,2))))</f>
        <v>0</v>
      </c>
      <c r="S248">
        <f>IF(BC247&lt;=0,0,IF(ROUND(BC247*(1+'Calc base'!Q248),2)-MAX('Calc base'!L$12,ROUND('Calc base'!L$13*BC247,2))&lt;1,ROUND(BC247*(1+'Calc base'!Q248),2),MAX('Calc base'!L$12,ROUND('Calc base'!L$13*BC247,2))))</f>
        <v>0</v>
      </c>
      <c r="T248">
        <f>IF(BD247&lt;=0,0,IF(ROUND(BD247*(1+'Calc base'!R248),2)-MAX('Calc base'!M$12,ROUND('Calc base'!M$13*BD247,2))&lt;1,ROUND(BD247*(1+'Calc base'!R248),2),MAX('Calc base'!M$12,ROUND('Calc base'!M$13*BD247,2))))</f>
        <v>0</v>
      </c>
      <c r="U248">
        <f>IF(BE247&lt;=0,0,IF(ROUND(BE247*(1+'Calc base'!S248),2)-MAX('Calc base'!N$12,ROUND('Calc base'!N$13*BE247,2))&lt;1,ROUND(BE247*(1+'Calc base'!S248),2),MAX('Calc base'!N$12,ROUND('Calc base'!N$13*BE247,2))))</f>
        <v>0</v>
      </c>
      <c r="V248">
        <f>MAX(0,ROUND(AT247*(1+'Calc base'!H248),2)-J248-'Calc base'!T248)</f>
        <v>0</v>
      </c>
      <c r="W248">
        <f>MAX(0,ROUND(AU247*(1+'Calc base'!I248),2)-K248-'Calc base'!U248)</f>
        <v>0</v>
      </c>
      <c r="X248">
        <f>MAX(0,ROUND(AV247*(1+'Calc base'!J248),2)-L248-'Calc base'!V248)</f>
        <v>0</v>
      </c>
      <c r="Y248">
        <f>MAX(0,ROUND(AW247*(1+'Calc base'!K248),2)-M248-'Calc base'!W248)</f>
        <v>0</v>
      </c>
      <c r="Z248">
        <f>MAX(0,ROUND(AX247*(1+'Calc base'!L248),2)-N248-'Calc base'!X248)</f>
        <v>0</v>
      </c>
      <c r="AA248">
        <f>MAX(0,ROUND(AY247*(1+'Calc base'!M248),2)-O248-'Calc base'!Y248)</f>
        <v>0</v>
      </c>
      <c r="AB248">
        <f>MAX(0,ROUND(AZ247*(1+'Calc base'!N248),2)-P248-'Calc base'!Z248)</f>
        <v>0</v>
      </c>
      <c r="AC248">
        <f>MAX(0,ROUND(BA247*(1+'Calc base'!O248),2)-Q248-'Calc base'!AA248)</f>
        <v>0</v>
      </c>
      <c r="AD248">
        <f>MAX(0,ROUND(BB247*(1+'Calc base'!P248),2)-R248-'Calc base'!AB248)</f>
        <v>0</v>
      </c>
      <c r="AE248">
        <f>MAX(0,ROUND(BC247*(1+'Calc base'!Q248),2)-S248-'Calc base'!AC248)</f>
        <v>0</v>
      </c>
      <c r="AF248">
        <f>MAX(0,ROUND(BD247*(1+'Calc base'!R248),2)-T248-'Calc base'!AD248)</f>
        <v>0</v>
      </c>
      <c r="AG248">
        <f>MAX(0,ROUND(BE247*(1+'Calc base'!S248),2)-U248-'Calc base'!AE248)</f>
        <v>0</v>
      </c>
      <c r="AH248">
        <f>IF('Calc base'!C$14=0,0,MIN(V248,MAX(0,$E248-SUMIFS($V248:$AG248,'Calc base'!$C$17:$N$17,"&lt;"&amp;'Calc base'!C$17,'Calc base'!$C$14:$N$14,1))))</f>
        <v>0</v>
      </c>
      <c r="AI248">
        <f>IF('Calc base'!D$14=0,0,MIN(W248,MAX(0,$E248-SUMIFS($V248:$AG248,'Calc base'!$C$17:$N$17,"&lt;"&amp;'Calc base'!D$17,'Calc base'!$C$14:$N$14,1))))</f>
        <v>0</v>
      </c>
      <c r="AJ248">
        <f>IF('Calc base'!E$14=0,0,MIN(X248,MAX(0,$E248-SUMIFS($V248:$AG248,'Calc base'!$C$17:$N$17,"&lt;"&amp;'Calc base'!E$17,'Calc base'!$C$14:$N$14,1))))</f>
        <v>0</v>
      </c>
      <c r="AK248">
        <f>IF('Calc base'!F$14=0,0,MIN(Y248,MAX(0,$E248-SUMIFS($V248:$AG248,'Calc base'!$C$17:$N$17,"&lt;"&amp;'Calc base'!F$17,'Calc base'!$C$14:$N$14,1))))</f>
        <v>0</v>
      </c>
      <c r="AL248">
        <f>IF('Calc base'!G$14=0,0,MIN(Z248,MAX(0,$E248-SUMIFS($V248:$AG248,'Calc base'!$C$17:$N$17,"&lt;"&amp;'Calc base'!G$17,'Calc base'!$C$14:$N$14,1))))</f>
        <v>0</v>
      </c>
      <c r="AM248">
        <f>IF('Calc base'!H$14=0,0,MIN(AA248,MAX(0,$E248-SUMIFS($V248:$AG248,'Calc base'!$C$17:$N$17,"&lt;"&amp;'Calc base'!H$17,'Calc base'!$C$14:$N$14,1))))</f>
        <v>0</v>
      </c>
      <c r="AN248">
        <f>IF('Calc base'!I$14=0,0,MIN(AB248,MAX(0,$E248-SUMIFS($V248:$AG248,'Calc base'!$C$17:$N$17,"&lt;"&amp;'Calc base'!I$17,'Calc base'!$C$14:$N$14,1))))</f>
        <v>0</v>
      </c>
      <c r="AO248">
        <f>IF('Calc base'!J$14=0,0,MIN(AC248,MAX(0,$E248-SUMIFS($V248:$AG248,'Calc base'!$C$17:$N$17,"&lt;"&amp;'Calc base'!J$17,'Calc base'!$C$14:$N$14,1))))</f>
        <v>0</v>
      </c>
      <c r="AP248">
        <f>IF('Calc base'!K$14=0,0,MIN(AD248,MAX(0,$E248-SUMIFS($V248:$AG248,'Calc base'!$C$17:$N$17,"&lt;"&amp;'Calc base'!K$17,'Calc base'!$C$14:$N$14,1))))</f>
        <v>0</v>
      </c>
      <c r="AQ248">
        <f>IF('Calc base'!L$14=0,0,MIN(AE248,MAX(0,$E248-SUMIFS($V248:$AG248,'Calc base'!$C$17:$N$17,"&lt;"&amp;'Calc base'!L$17,'Calc base'!$C$14:$N$14,1))))</f>
        <v>0</v>
      </c>
      <c r="AR248">
        <f>IF('Calc base'!M$14=0,0,MIN(AF248,MAX(0,$E248-SUMIFS($V248:$AG248,'Calc base'!$C$17:$N$17,"&lt;"&amp;'Calc base'!M$17,'Calc base'!$C$14:$N$14,1))))</f>
        <v>0</v>
      </c>
      <c r="AS248">
        <f>IF('Calc base'!N$14=0,0,MIN(AG248,MAX(0,$E248-SUMIFS($V248:$AG248,'Calc base'!$C$17:$N$17,"&lt;"&amp;'Calc base'!N$17,'Calc base'!$C$14:$N$14,1))))</f>
        <v>0</v>
      </c>
      <c r="AT248">
        <f>V248-AH248</f>
        <v>0</v>
      </c>
      <c r="AU248">
        <f>W248-AI248</f>
        <v>0</v>
      </c>
      <c r="AV248">
        <f>X248-AJ248</f>
        <v>0</v>
      </c>
      <c r="AW248">
        <f>Y248-AK248</f>
        <v>0</v>
      </c>
      <c r="AX248">
        <f>Z248-AL248</f>
        <v>0</v>
      </c>
      <c r="AY248">
        <f>AA248-AM248</f>
        <v>0</v>
      </c>
      <c r="AZ248">
        <f>AB248-AN248</f>
        <v>0</v>
      </c>
      <c r="BA248">
        <f>AC248-AO248</f>
        <v>0</v>
      </c>
      <c r="BB248">
        <f>AD248-AP248</f>
        <v>0</v>
      </c>
      <c r="BC248">
        <f>AE248-AQ248</f>
        <v>0</v>
      </c>
      <c r="BD248">
        <f>AF248-AR248</f>
        <v>0</v>
      </c>
      <c r="BE248">
        <f>AG248-AS248</f>
        <v>0</v>
      </c>
    </row>
    <row r="249">
      <c r="A249" t="n">
        <v>219</v>
      </c>
      <c r="B249">
        <f>SUMPRODUCT(ROUND($AT248:$BE248*(1+'Calc base'!$H249:$S249),2))</f>
        <v>0</v>
      </c>
      <c r="C249">
        <f>SUM(J249:U249)</f>
        <v>0</v>
      </c>
      <c r="D249">
        <f>SUM(V249:AG249)</f>
        <v>0</v>
      </c>
      <c r="E249">
        <f>MAX(0,IF(Impostazioni!$B$7="No",'Calc base'!$C249-$C$31,'Calc base'!$C249-C249)+'Calc base'!$G249+'Calc base'!$F249-(B249-C249-D249))</f>
        <v>900</v>
      </c>
      <c r="F249">
        <f>SUM(AH249:AS249)</f>
        <v>0</v>
      </c>
      <c r="G249">
        <f>SUM(AT249:BE249)</f>
        <v>0</v>
      </c>
      <c r="H249">
        <f>B249-G248</f>
        <v>0</v>
      </c>
      <c r="I249">
        <f>B249-G249</f>
        <v>0</v>
      </c>
      <c r="J249">
        <f>IF(AT248&lt;=0,0,IF(ROUND(AT248*(1+'Calc base'!H249),2)-MAX('Calc base'!C$12,ROUND('Calc base'!C$13*AT248,2))&lt;1,ROUND(AT248*(1+'Calc base'!H249),2),MAX('Calc base'!C$12,ROUND('Calc base'!C$13*AT248,2))))</f>
        <v>0</v>
      </c>
      <c r="K249">
        <f>IF(AU248&lt;=0,0,IF(ROUND(AU248*(1+'Calc base'!I249),2)-MAX('Calc base'!D$12,ROUND('Calc base'!D$13*AU248,2))&lt;1,ROUND(AU248*(1+'Calc base'!I249),2),MAX('Calc base'!D$12,ROUND('Calc base'!D$13*AU248,2))))</f>
        <v>0</v>
      </c>
      <c r="L249">
        <f>IF(AV248&lt;=0,0,IF(ROUND(AV248*(1+'Calc base'!J249),2)-MAX('Calc base'!E$12,ROUND('Calc base'!E$13*AV248,2))&lt;1,ROUND(AV248*(1+'Calc base'!J249),2),MAX('Calc base'!E$12,ROUND('Calc base'!E$13*AV248,2))))</f>
        <v>0</v>
      </c>
      <c r="M249">
        <f>IF(AW248&lt;=0,0,IF(ROUND(AW248*(1+'Calc base'!K249),2)-MAX('Calc base'!F$12,ROUND('Calc base'!F$13*AW248,2))&lt;1,ROUND(AW248*(1+'Calc base'!K249),2),MAX('Calc base'!F$12,ROUND('Calc base'!F$13*AW248,2))))</f>
        <v>0</v>
      </c>
      <c r="N249">
        <f>IF(AX248&lt;=0,0,IF(ROUND(AX248*(1+'Calc base'!L249),2)-MAX('Calc base'!G$12,ROUND('Calc base'!G$13*AX248,2))&lt;1,ROUND(AX248*(1+'Calc base'!L249),2),MAX('Calc base'!G$12,ROUND('Calc base'!G$13*AX248,2))))</f>
        <v>0</v>
      </c>
      <c r="O249">
        <f>IF(AY248&lt;=0,0,IF(ROUND(AY248*(1+'Calc base'!M249),2)-MAX('Calc base'!H$12,ROUND('Calc base'!H$13*AY248,2))&lt;1,ROUND(AY248*(1+'Calc base'!M249),2),MAX('Calc base'!H$12,ROUND('Calc base'!H$13*AY248,2))))</f>
        <v>0</v>
      </c>
      <c r="P249">
        <f>IF(AZ248&lt;=0,0,IF(ROUND(AZ248*(1+'Calc base'!N249),2)-MAX('Calc base'!I$12,ROUND('Calc base'!I$13*AZ248,2))&lt;1,ROUND(AZ248*(1+'Calc base'!N249),2),MAX('Calc base'!I$12,ROUND('Calc base'!I$13*AZ248,2))))</f>
        <v>0</v>
      </c>
      <c r="Q249">
        <f>IF(BA248&lt;=0,0,IF(ROUND(BA248*(1+'Calc base'!O249),2)-MAX('Calc base'!J$12,ROUND('Calc base'!J$13*BA248,2))&lt;1,ROUND(BA248*(1+'Calc base'!O249),2),MAX('Calc base'!J$12,ROUND('Calc base'!J$13*BA248,2))))</f>
        <v>0</v>
      </c>
      <c r="R249">
        <f>IF(BB248&lt;=0,0,IF(ROUND(BB248*(1+'Calc base'!P249),2)-MAX('Calc base'!K$12,ROUND('Calc base'!K$13*BB248,2))&lt;1,ROUND(BB248*(1+'Calc base'!P249),2),MAX('Calc base'!K$12,ROUND('Calc base'!K$13*BB248,2))))</f>
        <v>0</v>
      </c>
      <c r="S249">
        <f>IF(BC248&lt;=0,0,IF(ROUND(BC248*(1+'Calc base'!Q249),2)-MAX('Calc base'!L$12,ROUND('Calc base'!L$13*BC248,2))&lt;1,ROUND(BC248*(1+'Calc base'!Q249),2),MAX('Calc base'!L$12,ROUND('Calc base'!L$13*BC248,2))))</f>
        <v>0</v>
      </c>
      <c r="T249">
        <f>IF(BD248&lt;=0,0,IF(ROUND(BD248*(1+'Calc base'!R249),2)-MAX('Calc base'!M$12,ROUND('Calc base'!M$13*BD248,2))&lt;1,ROUND(BD248*(1+'Calc base'!R249),2),MAX('Calc base'!M$12,ROUND('Calc base'!M$13*BD248,2))))</f>
        <v>0</v>
      </c>
      <c r="U249">
        <f>IF(BE248&lt;=0,0,IF(ROUND(BE248*(1+'Calc base'!S249),2)-MAX('Calc base'!N$12,ROUND('Calc base'!N$13*BE248,2))&lt;1,ROUND(BE248*(1+'Calc base'!S249),2),MAX('Calc base'!N$12,ROUND('Calc base'!N$13*BE248,2))))</f>
        <v>0</v>
      </c>
      <c r="V249">
        <f>MAX(0,ROUND(AT248*(1+'Calc base'!H249),2)-J249-'Calc base'!T249)</f>
        <v>0</v>
      </c>
      <c r="W249">
        <f>MAX(0,ROUND(AU248*(1+'Calc base'!I249),2)-K249-'Calc base'!U249)</f>
        <v>0</v>
      </c>
      <c r="X249">
        <f>MAX(0,ROUND(AV248*(1+'Calc base'!J249),2)-L249-'Calc base'!V249)</f>
        <v>0</v>
      </c>
      <c r="Y249">
        <f>MAX(0,ROUND(AW248*(1+'Calc base'!K249),2)-M249-'Calc base'!W249)</f>
        <v>0</v>
      </c>
      <c r="Z249">
        <f>MAX(0,ROUND(AX248*(1+'Calc base'!L249),2)-N249-'Calc base'!X249)</f>
        <v>0</v>
      </c>
      <c r="AA249">
        <f>MAX(0,ROUND(AY248*(1+'Calc base'!M249),2)-O249-'Calc base'!Y249)</f>
        <v>0</v>
      </c>
      <c r="AB249">
        <f>MAX(0,ROUND(AZ248*(1+'Calc base'!N249),2)-P249-'Calc base'!Z249)</f>
        <v>0</v>
      </c>
      <c r="AC249">
        <f>MAX(0,ROUND(BA248*(1+'Calc base'!O249),2)-Q249-'Calc base'!AA249)</f>
        <v>0</v>
      </c>
      <c r="AD249">
        <f>MAX(0,ROUND(BB248*(1+'Calc base'!P249),2)-R249-'Calc base'!AB249)</f>
        <v>0</v>
      </c>
      <c r="AE249">
        <f>MAX(0,ROUND(BC248*(1+'Calc base'!Q249),2)-S249-'Calc base'!AC249)</f>
        <v>0</v>
      </c>
      <c r="AF249">
        <f>MAX(0,ROUND(BD248*(1+'Calc base'!R249),2)-T249-'Calc base'!AD249)</f>
        <v>0</v>
      </c>
      <c r="AG249">
        <f>MAX(0,ROUND(BE248*(1+'Calc base'!S249),2)-U249-'Calc base'!AE249)</f>
        <v>0</v>
      </c>
      <c r="AH249">
        <f>IF('Calc base'!C$14=0,0,MIN(V249,MAX(0,$E249-SUMIFS($V249:$AG249,'Calc base'!$C$17:$N$17,"&lt;"&amp;'Calc base'!C$17,'Calc base'!$C$14:$N$14,1))))</f>
        <v>0</v>
      </c>
      <c r="AI249">
        <f>IF('Calc base'!D$14=0,0,MIN(W249,MAX(0,$E249-SUMIFS($V249:$AG249,'Calc base'!$C$17:$N$17,"&lt;"&amp;'Calc base'!D$17,'Calc base'!$C$14:$N$14,1))))</f>
        <v>0</v>
      </c>
      <c r="AJ249">
        <f>IF('Calc base'!E$14=0,0,MIN(X249,MAX(0,$E249-SUMIFS($V249:$AG249,'Calc base'!$C$17:$N$17,"&lt;"&amp;'Calc base'!E$17,'Calc base'!$C$14:$N$14,1))))</f>
        <v>0</v>
      </c>
      <c r="AK249">
        <f>IF('Calc base'!F$14=0,0,MIN(Y249,MAX(0,$E249-SUMIFS($V249:$AG249,'Calc base'!$C$17:$N$17,"&lt;"&amp;'Calc base'!F$17,'Calc base'!$C$14:$N$14,1))))</f>
        <v>0</v>
      </c>
      <c r="AL249">
        <f>IF('Calc base'!G$14=0,0,MIN(Z249,MAX(0,$E249-SUMIFS($V249:$AG249,'Calc base'!$C$17:$N$17,"&lt;"&amp;'Calc base'!G$17,'Calc base'!$C$14:$N$14,1))))</f>
        <v>0</v>
      </c>
      <c r="AM249">
        <f>IF('Calc base'!H$14=0,0,MIN(AA249,MAX(0,$E249-SUMIFS($V249:$AG249,'Calc base'!$C$17:$N$17,"&lt;"&amp;'Calc base'!H$17,'Calc base'!$C$14:$N$14,1))))</f>
        <v>0</v>
      </c>
      <c r="AN249">
        <f>IF('Calc base'!I$14=0,0,MIN(AB249,MAX(0,$E249-SUMIFS($V249:$AG249,'Calc base'!$C$17:$N$17,"&lt;"&amp;'Calc base'!I$17,'Calc base'!$C$14:$N$14,1))))</f>
        <v>0</v>
      </c>
      <c r="AO249">
        <f>IF('Calc base'!J$14=0,0,MIN(AC249,MAX(0,$E249-SUMIFS($V249:$AG249,'Calc base'!$C$17:$N$17,"&lt;"&amp;'Calc base'!J$17,'Calc base'!$C$14:$N$14,1))))</f>
        <v>0</v>
      </c>
      <c r="AP249">
        <f>IF('Calc base'!K$14=0,0,MIN(AD249,MAX(0,$E249-SUMIFS($V249:$AG249,'Calc base'!$C$17:$N$17,"&lt;"&amp;'Calc base'!K$17,'Calc base'!$C$14:$N$14,1))))</f>
        <v>0</v>
      </c>
      <c r="AQ249">
        <f>IF('Calc base'!L$14=0,0,MIN(AE249,MAX(0,$E249-SUMIFS($V249:$AG249,'Calc base'!$C$17:$N$17,"&lt;"&amp;'Calc base'!L$17,'Calc base'!$C$14:$N$14,1))))</f>
        <v>0</v>
      </c>
      <c r="AR249">
        <f>IF('Calc base'!M$14=0,0,MIN(AF249,MAX(0,$E249-SUMIFS($V249:$AG249,'Calc base'!$C$17:$N$17,"&lt;"&amp;'Calc base'!M$17,'Calc base'!$C$14:$N$14,1))))</f>
        <v>0</v>
      </c>
      <c r="AS249">
        <f>IF('Calc base'!N$14=0,0,MIN(AG249,MAX(0,$E249-SUMIFS($V249:$AG249,'Calc base'!$C$17:$N$17,"&lt;"&amp;'Calc base'!N$17,'Calc base'!$C$14:$N$14,1))))</f>
        <v>0</v>
      </c>
      <c r="AT249">
        <f>V249-AH249</f>
        <v>0</v>
      </c>
      <c r="AU249">
        <f>W249-AI249</f>
        <v>0</v>
      </c>
      <c r="AV249">
        <f>X249-AJ249</f>
        <v>0</v>
      </c>
      <c r="AW249">
        <f>Y249-AK249</f>
        <v>0</v>
      </c>
      <c r="AX249">
        <f>Z249-AL249</f>
        <v>0</v>
      </c>
      <c r="AY249">
        <f>AA249-AM249</f>
        <v>0</v>
      </c>
      <c r="AZ249">
        <f>AB249-AN249</f>
        <v>0</v>
      </c>
      <c r="BA249">
        <f>AC249-AO249</f>
        <v>0</v>
      </c>
      <c r="BB249">
        <f>AD249-AP249</f>
        <v>0</v>
      </c>
      <c r="BC249">
        <f>AE249-AQ249</f>
        <v>0</v>
      </c>
      <c r="BD249">
        <f>AF249-AR249</f>
        <v>0</v>
      </c>
      <c r="BE249">
        <f>AG249-AS249</f>
        <v>0</v>
      </c>
    </row>
    <row r="250">
      <c r="A250" t="n">
        <v>220</v>
      </c>
      <c r="B250">
        <f>SUMPRODUCT(ROUND($AT249:$BE249*(1+'Calc base'!$H250:$S250),2))</f>
        <v>0</v>
      </c>
      <c r="C250">
        <f>SUM(J250:U250)</f>
        <v>0</v>
      </c>
      <c r="D250">
        <f>SUM(V250:AG250)</f>
        <v>0</v>
      </c>
      <c r="E250">
        <f>MAX(0,IF(Impostazioni!$B$7="No",'Calc base'!$C250-$C$31,'Calc base'!$C250-C250)+'Calc base'!$G250+'Calc base'!$F250-(B250-C250-D250))</f>
        <v>900</v>
      </c>
      <c r="F250">
        <f>SUM(AH250:AS250)</f>
        <v>0</v>
      </c>
      <c r="G250">
        <f>SUM(AT250:BE250)</f>
        <v>0</v>
      </c>
      <c r="H250">
        <f>B250-G249</f>
        <v>0</v>
      </c>
      <c r="I250">
        <f>B250-G250</f>
        <v>0</v>
      </c>
      <c r="J250">
        <f>IF(AT249&lt;=0,0,IF(ROUND(AT249*(1+'Calc base'!H250),2)-MAX('Calc base'!C$12,ROUND('Calc base'!C$13*AT249,2))&lt;1,ROUND(AT249*(1+'Calc base'!H250),2),MAX('Calc base'!C$12,ROUND('Calc base'!C$13*AT249,2))))</f>
        <v>0</v>
      </c>
      <c r="K250">
        <f>IF(AU249&lt;=0,0,IF(ROUND(AU249*(1+'Calc base'!I250),2)-MAX('Calc base'!D$12,ROUND('Calc base'!D$13*AU249,2))&lt;1,ROUND(AU249*(1+'Calc base'!I250),2),MAX('Calc base'!D$12,ROUND('Calc base'!D$13*AU249,2))))</f>
        <v>0</v>
      </c>
      <c r="L250">
        <f>IF(AV249&lt;=0,0,IF(ROUND(AV249*(1+'Calc base'!J250),2)-MAX('Calc base'!E$12,ROUND('Calc base'!E$13*AV249,2))&lt;1,ROUND(AV249*(1+'Calc base'!J250),2),MAX('Calc base'!E$12,ROUND('Calc base'!E$13*AV249,2))))</f>
        <v>0</v>
      </c>
      <c r="M250">
        <f>IF(AW249&lt;=0,0,IF(ROUND(AW249*(1+'Calc base'!K250),2)-MAX('Calc base'!F$12,ROUND('Calc base'!F$13*AW249,2))&lt;1,ROUND(AW249*(1+'Calc base'!K250),2),MAX('Calc base'!F$12,ROUND('Calc base'!F$13*AW249,2))))</f>
        <v>0</v>
      </c>
      <c r="N250">
        <f>IF(AX249&lt;=0,0,IF(ROUND(AX249*(1+'Calc base'!L250),2)-MAX('Calc base'!G$12,ROUND('Calc base'!G$13*AX249,2))&lt;1,ROUND(AX249*(1+'Calc base'!L250),2),MAX('Calc base'!G$12,ROUND('Calc base'!G$13*AX249,2))))</f>
        <v>0</v>
      </c>
      <c r="O250">
        <f>IF(AY249&lt;=0,0,IF(ROUND(AY249*(1+'Calc base'!M250),2)-MAX('Calc base'!H$12,ROUND('Calc base'!H$13*AY249,2))&lt;1,ROUND(AY249*(1+'Calc base'!M250),2),MAX('Calc base'!H$12,ROUND('Calc base'!H$13*AY249,2))))</f>
        <v>0</v>
      </c>
      <c r="P250">
        <f>IF(AZ249&lt;=0,0,IF(ROUND(AZ249*(1+'Calc base'!N250),2)-MAX('Calc base'!I$12,ROUND('Calc base'!I$13*AZ249,2))&lt;1,ROUND(AZ249*(1+'Calc base'!N250),2),MAX('Calc base'!I$12,ROUND('Calc base'!I$13*AZ249,2))))</f>
        <v>0</v>
      </c>
      <c r="Q250">
        <f>IF(BA249&lt;=0,0,IF(ROUND(BA249*(1+'Calc base'!O250),2)-MAX('Calc base'!J$12,ROUND('Calc base'!J$13*BA249,2))&lt;1,ROUND(BA249*(1+'Calc base'!O250),2),MAX('Calc base'!J$12,ROUND('Calc base'!J$13*BA249,2))))</f>
        <v>0</v>
      </c>
      <c r="R250">
        <f>IF(BB249&lt;=0,0,IF(ROUND(BB249*(1+'Calc base'!P250),2)-MAX('Calc base'!K$12,ROUND('Calc base'!K$13*BB249,2))&lt;1,ROUND(BB249*(1+'Calc base'!P250),2),MAX('Calc base'!K$12,ROUND('Calc base'!K$13*BB249,2))))</f>
        <v>0</v>
      </c>
      <c r="S250">
        <f>IF(BC249&lt;=0,0,IF(ROUND(BC249*(1+'Calc base'!Q250),2)-MAX('Calc base'!L$12,ROUND('Calc base'!L$13*BC249,2))&lt;1,ROUND(BC249*(1+'Calc base'!Q250),2),MAX('Calc base'!L$12,ROUND('Calc base'!L$13*BC249,2))))</f>
        <v>0</v>
      </c>
      <c r="T250">
        <f>IF(BD249&lt;=0,0,IF(ROUND(BD249*(1+'Calc base'!R250),2)-MAX('Calc base'!M$12,ROUND('Calc base'!M$13*BD249,2))&lt;1,ROUND(BD249*(1+'Calc base'!R250),2),MAX('Calc base'!M$12,ROUND('Calc base'!M$13*BD249,2))))</f>
        <v>0</v>
      </c>
      <c r="U250">
        <f>IF(BE249&lt;=0,0,IF(ROUND(BE249*(1+'Calc base'!S250),2)-MAX('Calc base'!N$12,ROUND('Calc base'!N$13*BE249,2))&lt;1,ROUND(BE249*(1+'Calc base'!S250),2),MAX('Calc base'!N$12,ROUND('Calc base'!N$13*BE249,2))))</f>
        <v>0</v>
      </c>
      <c r="V250">
        <f>MAX(0,ROUND(AT249*(1+'Calc base'!H250),2)-J250-'Calc base'!T250)</f>
        <v>0</v>
      </c>
      <c r="W250">
        <f>MAX(0,ROUND(AU249*(1+'Calc base'!I250),2)-K250-'Calc base'!U250)</f>
        <v>0</v>
      </c>
      <c r="X250">
        <f>MAX(0,ROUND(AV249*(1+'Calc base'!J250),2)-L250-'Calc base'!V250)</f>
        <v>0</v>
      </c>
      <c r="Y250">
        <f>MAX(0,ROUND(AW249*(1+'Calc base'!K250),2)-M250-'Calc base'!W250)</f>
        <v>0</v>
      </c>
      <c r="Z250">
        <f>MAX(0,ROUND(AX249*(1+'Calc base'!L250),2)-N250-'Calc base'!X250)</f>
        <v>0</v>
      </c>
      <c r="AA250">
        <f>MAX(0,ROUND(AY249*(1+'Calc base'!M250),2)-O250-'Calc base'!Y250)</f>
        <v>0</v>
      </c>
      <c r="AB250">
        <f>MAX(0,ROUND(AZ249*(1+'Calc base'!N250),2)-P250-'Calc base'!Z250)</f>
        <v>0</v>
      </c>
      <c r="AC250">
        <f>MAX(0,ROUND(BA249*(1+'Calc base'!O250),2)-Q250-'Calc base'!AA250)</f>
        <v>0</v>
      </c>
      <c r="AD250">
        <f>MAX(0,ROUND(BB249*(1+'Calc base'!P250),2)-R250-'Calc base'!AB250)</f>
        <v>0</v>
      </c>
      <c r="AE250">
        <f>MAX(0,ROUND(BC249*(1+'Calc base'!Q250),2)-S250-'Calc base'!AC250)</f>
        <v>0</v>
      </c>
      <c r="AF250">
        <f>MAX(0,ROUND(BD249*(1+'Calc base'!R250),2)-T250-'Calc base'!AD250)</f>
        <v>0</v>
      </c>
      <c r="AG250">
        <f>MAX(0,ROUND(BE249*(1+'Calc base'!S250),2)-U250-'Calc base'!AE250)</f>
        <v>0</v>
      </c>
      <c r="AH250">
        <f>IF('Calc base'!C$14=0,0,MIN(V250,MAX(0,$E250-SUMIFS($V250:$AG250,'Calc base'!$C$17:$N$17,"&lt;"&amp;'Calc base'!C$17,'Calc base'!$C$14:$N$14,1))))</f>
        <v>0</v>
      </c>
      <c r="AI250">
        <f>IF('Calc base'!D$14=0,0,MIN(W250,MAX(0,$E250-SUMIFS($V250:$AG250,'Calc base'!$C$17:$N$17,"&lt;"&amp;'Calc base'!D$17,'Calc base'!$C$14:$N$14,1))))</f>
        <v>0</v>
      </c>
      <c r="AJ250">
        <f>IF('Calc base'!E$14=0,0,MIN(X250,MAX(0,$E250-SUMIFS($V250:$AG250,'Calc base'!$C$17:$N$17,"&lt;"&amp;'Calc base'!E$17,'Calc base'!$C$14:$N$14,1))))</f>
        <v>0</v>
      </c>
      <c r="AK250">
        <f>IF('Calc base'!F$14=0,0,MIN(Y250,MAX(0,$E250-SUMIFS($V250:$AG250,'Calc base'!$C$17:$N$17,"&lt;"&amp;'Calc base'!F$17,'Calc base'!$C$14:$N$14,1))))</f>
        <v>0</v>
      </c>
      <c r="AL250">
        <f>IF('Calc base'!G$14=0,0,MIN(Z250,MAX(0,$E250-SUMIFS($V250:$AG250,'Calc base'!$C$17:$N$17,"&lt;"&amp;'Calc base'!G$17,'Calc base'!$C$14:$N$14,1))))</f>
        <v>0</v>
      </c>
      <c r="AM250">
        <f>IF('Calc base'!H$14=0,0,MIN(AA250,MAX(0,$E250-SUMIFS($V250:$AG250,'Calc base'!$C$17:$N$17,"&lt;"&amp;'Calc base'!H$17,'Calc base'!$C$14:$N$14,1))))</f>
        <v>0</v>
      </c>
      <c r="AN250">
        <f>IF('Calc base'!I$14=0,0,MIN(AB250,MAX(0,$E250-SUMIFS($V250:$AG250,'Calc base'!$C$17:$N$17,"&lt;"&amp;'Calc base'!I$17,'Calc base'!$C$14:$N$14,1))))</f>
        <v>0</v>
      </c>
      <c r="AO250">
        <f>IF('Calc base'!J$14=0,0,MIN(AC250,MAX(0,$E250-SUMIFS($V250:$AG250,'Calc base'!$C$17:$N$17,"&lt;"&amp;'Calc base'!J$17,'Calc base'!$C$14:$N$14,1))))</f>
        <v>0</v>
      </c>
      <c r="AP250">
        <f>IF('Calc base'!K$14=0,0,MIN(AD250,MAX(0,$E250-SUMIFS($V250:$AG250,'Calc base'!$C$17:$N$17,"&lt;"&amp;'Calc base'!K$17,'Calc base'!$C$14:$N$14,1))))</f>
        <v>0</v>
      </c>
      <c r="AQ250">
        <f>IF('Calc base'!L$14=0,0,MIN(AE250,MAX(0,$E250-SUMIFS($V250:$AG250,'Calc base'!$C$17:$N$17,"&lt;"&amp;'Calc base'!L$17,'Calc base'!$C$14:$N$14,1))))</f>
        <v>0</v>
      </c>
      <c r="AR250">
        <f>IF('Calc base'!M$14=0,0,MIN(AF250,MAX(0,$E250-SUMIFS($V250:$AG250,'Calc base'!$C$17:$N$17,"&lt;"&amp;'Calc base'!M$17,'Calc base'!$C$14:$N$14,1))))</f>
        <v>0</v>
      </c>
      <c r="AS250">
        <f>IF('Calc base'!N$14=0,0,MIN(AG250,MAX(0,$E250-SUMIFS($V250:$AG250,'Calc base'!$C$17:$N$17,"&lt;"&amp;'Calc base'!N$17,'Calc base'!$C$14:$N$14,1))))</f>
        <v>0</v>
      </c>
      <c r="AT250">
        <f>V250-AH250</f>
        <v>0</v>
      </c>
      <c r="AU250">
        <f>W250-AI250</f>
        <v>0</v>
      </c>
      <c r="AV250">
        <f>X250-AJ250</f>
        <v>0</v>
      </c>
      <c r="AW250">
        <f>Y250-AK250</f>
        <v>0</v>
      </c>
      <c r="AX250">
        <f>Z250-AL250</f>
        <v>0</v>
      </c>
      <c r="AY250">
        <f>AA250-AM250</f>
        <v>0</v>
      </c>
      <c r="AZ250">
        <f>AB250-AN250</f>
        <v>0</v>
      </c>
      <c r="BA250">
        <f>AC250-AO250</f>
        <v>0</v>
      </c>
      <c r="BB250">
        <f>AD250-AP250</f>
        <v>0</v>
      </c>
      <c r="BC250">
        <f>AE250-AQ250</f>
        <v>0</v>
      </c>
      <c r="BD250">
        <f>AF250-AR250</f>
        <v>0</v>
      </c>
      <c r="BE250">
        <f>AG250-AS250</f>
        <v>0</v>
      </c>
    </row>
    <row r="251">
      <c r="A251" t="n">
        <v>221</v>
      </c>
      <c r="B251">
        <f>SUMPRODUCT(ROUND($AT250:$BE250*(1+'Calc base'!$H251:$S251),2))</f>
        <v>0</v>
      </c>
      <c r="C251">
        <f>SUM(J251:U251)</f>
        <v>0</v>
      </c>
      <c r="D251">
        <f>SUM(V251:AG251)</f>
        <v>0</v>
      </c>
      <c r="E251">
        <f>MAX(0,IF(Impostazioni!$B$7="No",'Calc base'!$C251-$C$31,'Calc base'!$C251-C251)+'Calc base'!$G251+'Calc base'!$F251-(B251-C251-D251))</f>
        <v>900</v>
      </c>
      <c r="F251">
        <f>SUM(AH251:AS251)</f>
        <v>0</v>
      </c>
      <c r="G251">
        <f>SUM(AT251:BE251)</f>
        <v>0</v>
      </c>
      <c r="H251">
        <f>B251-G250</f>
        <v>0</v>
      </c>
      <c r="I251">
        <f>B251-G251</f>
        <v>0</v>
      </c>
      <c r="J251">
        <f>IF(AT250&lt;=0,0,IF(ROUND(AT250*(1+'Calc base'!H251),2)-MAX('Calc base'!C$12,ROUND('Calc base'!C$13*AT250,2))&lt;1,ROUND(AT250*(1+'Calc base'!H251),2),MAX('Calc base'!C$12,ROUND('Calc base'!C$13*AT250,2))))</f>
        <v>0</v>
      </c>
      <c r="K251">
        <f>IF(AU250&lt;=0,0,IF(ROUND(AU250*(1+'Calc base'!I251),2)-MAX('Calc base'!D$12,ROUND('Calc base'!D$13*AU250,2))&lt;1,ROUND(AU250*(1+'Calc base'!I251),2),MAX('Calc base'!D$12,ROUND('Calc base'!D$13*AU250,2))))</f>
        <v>0</v>
      </c>
      <c r="L251">
        <f>IF(AV250&lt;=0,0,IF(ROUND(AV250*(1+'Calc base'!J251),2)-MAX('Calc base'!E$12,ROUND('Calc base'!E$13*AV250,2))&lt;1,ROUND(AV250*(1+'Calc base'!J251),2),MAX('Calc base'!E$12,ROUND('Calc base'!E$13*AV250,2))))</f>
        <v>0</v>
      </c>
      <c r="M251">
        <f>IF(AW250&lt;=0,0,IF(ROUND(AW250*(1+'Calc base'!K251),2)-MAX('Calc base'!F$12,ROUND('Calc base'!F$13*AW250,2))&lt;1,ROUND(AW250*(1+'Calc base'!K251),2),MAX('Calc base'!F$12,ROUND('Calc base'!F$13*AW250,2))))</f>
        <v>0</v>
      </c>
      <c r="N251">
        <f>IF(AX250&lt;=0,0,IF(ROUND(AX250*(1+'Calc base'!L251),2)-MAX('Calc base'!G$12,ROUND('Calc base'!G$13*AX250,2))&lt;1,ROUND(AX250*(1+'Calc base'!L251),2),MAX('Calc base'!G$12,ROUND('Calc base'!G$13*AX250,2))))</f>
        <v>0</v>
      </c>
      <c r="O251">
        <f>IF(AY250&lt;=0,0,IF(ROUND(AY250*(1+'Calc base'!M251),2)-MAX('Calc base'!H$12,ROUND('Calc base'!H$13*AY250,2))&lt;1,ROUND(AY250*(1+'Calc base'!M251),2),MAX('Calc base'!H$12,ROUND('Calc base'!H$13*AY250,2))))</f>
        <v>0</v>
      </c>
      <c r="P251">
        <f>IF(AZ250&lt;=0,0,IF(ROUND(AZ250*(1+'Calc base'!N251),2)-MAX('Calc base'!I$12,ROUND('Calc base'!I$13*AZ250,2))&lt;1,ROUND(AZ250*(1+'Calc base'!N251),2),MAX('Calc base'!I$12,ROUND('Calc base'!I$13*AZ250,2))))</f>
        <v>0</v>
      </c>
      <c r="Q251">
        <f>IF(BA250&lt;=0,0,IF(ROUND(BA250*(1+'Calc base'!O251),2)-MAX('Calc base'!J$12,ROUND('Calc base'!J$13*BA250,2))&lt;1,ROUND(BA250*(1+'Calc base'!O251),2),MAX('Calc base'!J$12,ROUND('Calc base'!J$13*BA250,2))))</f>
        <v>0</v>
      </c>
      <c r="R251">
        <f>IF(BB250&lt;=0,0,IF(ROUND(BB250*(1+'Calc base'!P251),2)-MAX('Calc base'!K$12,ROUND('Calc base'!K$13*BB250,2))&lt;1,ROUND(BB250*(1+'Calc base'!P251),2),MAX('Calc base'!K$12,ROUND('Calc base'!K$13*BB250,2))))</f>
        <v>0</v>
      </c>
      <c r="S251">
        <f>IF(BC250&lt;=0,0,IF(ROUND(BC250*(1+'Calc base'!Q251),2)-MAX('Calc base'!L$12,ROUND('Calc base'!L$13*BC250,2))&lt;1,ROUND(BC250*(1+'Calc base'!Q251),2),MAX('Calc base'!L$12,ROUND('Calc base'!L$13*BC250,2))))</f>
        <v>0</v>
      </c>
      <c r="T251">
        <f>IF(BD250&lt;=0,0,IF(ROUND(BD250*(1+'Calc base'!R251),2)-MAX('Calc base'!M$12,ROUND('Calc base'!M$13*BD250,2))&lt;1,ROUND(BD250*(1+'Calc base'!R251),2),MAX('Calc base'!M$12,ROUND('Calc base'!M$13*BD250,2))))</f>
        <v>0</v>
      </c>
      <c r="U251">
        <f>IF(BE250&lt;=0,0,IF(ROUND(BE250*(1+'Calc base'!S251),2)-MAX('Calc base'!N$12,ROUND('Calc base'!N$13*BE250,2))&lt;1,ROUND(BE250*(1+'Calc base'!S251),2),MAX('Calc base'!N$12,ROUND('Calc base'!N$13*BE250,2))))</f>
        <v>0</v>
      </c>
      <c r="V251">
        <f>MAX(0,ROUND(AT250*(1+'Calc base'!H251),2)-J251-'Calc base'!T251)</f>
        <v>0</v>
      </c>
      <c r="W251">
        <f>MAX(0,ROUND(AU250*(1+'Calc base'!I251),2)-K251-'Calc base'!U251)</f>
        <v>0</v>
      </c>
      <c r="X251">
        <f>MAX(0,ROUND(AV250*(1+'Calc base'!J251),2)-L251-'Calc base'!V251)</f>
        <v>0</v>
      </c>
      <c r="Y251">
        <f>MAX(0,ROUND(AW250*(1+'Calc base'!K251),2)-M251-'Calc base'!W251)</f>
        <v>0</v>
      </c>
      <c r="Z251">
        <f>MAX(0,ROUND(AX250*(1+'Calc base'!L251),2)-N251-'Calc base'!X251)</f>
        <v>0</v>
      </c>
      <c r="AA251">
        <f>MAX(0,ROUND(AY250*(1+'Calc base'!M251),2)-O251-'Calc base'!Y251)</f>
        <v>0</v>
      </c>
      <c r="AB251">
        <f>MAX(0,ROUND(AZ250*(1+'Calc base'!N251),2)-P251-'Calc base'!Z251)</f>
        <v>0</v>
      </c>
      <c r="AC251">
        <f>MAX(0,ROUND(BA250*(1+'Calc base'!O251),2)-Q251-'Calc base'!AA251)</f>
        <v>0</v>
      </c>
      <c r="AD251">
        <f>MAX(0,ROUND(BB250*(1+'Calc base'!P251),2)-R251-'Calc base'!AB251)</f>
        <v>0</v>
      </c>
      <c r="AE251">
        <f>MAX(0,ROUND(BC250*(1+'Calc base'!Q251),2)-S251-'Calc base'!AC251)</f>
        <v>0</v>
      </c>
      <c r="AF251">
        <f>MAX(0,ROUND(BD250*(1+'Calc base'!R251),2)-T251-'Calc base'!AD251)</f>
        <v>0</v>
      </c>
      <c r="AG251">
        <f>MAX(0,ROUND(BE250*(1+'Calc base'!S251),2)-U251-'Calc base'!AE251)</f>
        <v>0</v>
      </c>
      <c r="AH251">
        <f>IF('Calc base'!C$14=0,0,MIN(V251,MAX(0,$E251-SUMIFS($V251:$AG251,'Calc base'!$C$17:$N$17,"&lt;"&amp;'Calc base'!C$17,'Calc base'!$C$14:$N$14,1))))</f>
        <v>0</v>
      </c>
      <c r="AI251">
        <f>IF('Calc base'!D$14=0,0,MIN(W251,MAX(0,$E251-SUMIFS($V251:$AG251,'Calc base'!$C$17:$N$17,"&lt;"&amp;'Calc base'!D$17,'Calc base'!$C$14:$N$14,1))))</f>
        <v>0</v>
      </c>
      <c r="AJ251">
        <f>IF('Calc base'!E$14=0,0,MIN(X251,MAX(0,$E251-SUMIFS($V251:$AG251,'Calc base'!$C$17:$N$17,"&lt;"&amp;'Calc base'!E$17,'Calc base'!$C$14:$N$14,1))))</f>
        <v>0</v>
      </c>
      <c r="AK251">
        <f>IF('Calc base'!F$14=0,0,MIN(Y251,MAX(0,$E251-SUMIFS($V251:$AG251,'Calc base'!$C$17:$N$17,"&lt;"&amp;'Calc base'!F$17,'Calc base'!$C$14:$N$14,1))))</f>
        <v>0</v>
      </c>
      <c r="AL251">
        <f>IF('Calc base'!G$14=0,0,MIN(Z251,MAX(0,$E251-SUMIFS($V251:$AG251,'Calc base'!$C$17:$N$17,"&lt;"&amp;'Calc base'!G$17,'Calc base'!$C$14:$N$14,1))))</f>
        <v>0</v>
      </c>
      <c r="AM251">
        <f>IF('Calc base'!H$14=0,0,MIN(AA251,MAX(0,$E251-SUMIFS($V251:$AG251,'Calc base'!$C$17:$N$17,"&lt;"&amp;'Calc base'!H$17,'Calc base'!$C$14:$N$14,1))))</f>
        <v>0</v>
      </c>
      <c r="AN251">
        <f>IF('Calc base'!I$14=0,0,MIN(AB251,MAX(0,$E251-SUMIFS($V251:$AG251,'Calc base'!$C$17:$N$17,"&lt;"&amp;'Calc base'!I$17,'Calc base'!$C$14:$N$14,1))))</f>
        <v>0</v>
      </c>
      <c r="AO251">
        <f>IF('Calc base'!J$14=0,0,MIN(AC251,MAX(0,$E251-SUMIFS($V251:$AG251,'Calc base'!$C$17:$N$17,"&lt;"&amp;'Calc base'!J$17,'Calc base'!$C$14:$N$14,1))))</f>
        <v>0</v>
      </c>
      <c r="AP251">
        <f>IF('Calc base'!K$14=0,0,MIN(AD251,MAX(0,$E251-SUMIFS($V251:$AG251,'Calc base'!$C$17:$N$17,"&lt;"&amp;'Calc base'!K$17,'Calc base'!$C$14:$N$14,1))))</f>
        <v>0</v>
      </c>
      <c r="AQ251">
        <f>IF('Calc base'!L$14=0,0,MIN(AE251,MAX(0,$E251-SUMIFS($V251:$AG251,'Calc base'!$C$17:$N$17,"&lt;"&amp;'Calc base'!L$17,'Calc base'!$C$14:$N$14,1))))</f>
        <v>0</v>
      </c>
      <c r="AR251">
        <f>IF('Calc base'!M$14=0,0,MIN(AF251,MAX(0,$E251-SUMIFS($V251:$AG251,'Calc base'!$C$17:$N$17,"&lt;"&amp;'Calc base'!M$17,'Calc base'!$C$14:$N$14,1))))</f>
        <v>0</v>
      </c>
      <c r="AS251">
        <f>IF('Calc base'!N$14=0,0,MIN(AG251,MAX(0,$E251-SUMIFS($V251:$AG251,'Calc base'!$C$17:$N$17,"&lt;"&amp;'Calc base'!N$17,'Calc base'!$C$14:$N$14,1))))</f>
        <v>0</v>
      </c>
      <c r="AT251">
        <f>V251-AH251</f>
        <v>0</v>
      </c>
      <c r="AU251">
        <f>W251-AI251</f>
        <v>0</v>
      </c>
      <c r="AV251">
        <f>X251-AJ251</f>
        <v>0</v>
      </c>
      <c r="AW251">
        <f>Y251-AK251</f>
        <v>0</v>
      </c>
      <c r="AX251">
        <f>Z251-AL251</f>
        <v>0</v>
      </c>
      <c r="AY251">
        <f>AA251-AM251</f>
        <v>0</v>
      </c>
      <c r="AZ251">
        <f>AB251-AN251</f>
        <v>0</v>
      </c>
      <c r="BA251">
        <f>AC251-AO251</f>
        <v>0</v>
      </c>
      <c r="BB251">
        <f>AD251-AP251</f>
        <v>0</v>
      </c>
      <c r="BC251">
        <f>AE251-AQ251</f>
        <v>0</v>
      </c>
      <c r="BD251">
        <f>AF251-AR251</f>
        <v>0</v>
      </c>
      <c r="BE251">
        <f>AG251-AS251</f>
        <v>0</v>
      </c>
    </row>
    <row r="252">
      <c r="A252" t="n">
        <v>222</v>
      </c>
      <c r="B252">
        <f>SUMPRODUCT(ROUND($AT251:$BE251*(1+'Calc base'!$H252:$S252),2))</f>
        <v>0</v>
      </c>
      <c r="C252">
        <f>SUM(J252:U252)</f>
        <v>0</v>
      </c>
      <c r="D252">
        <f>SUM(V252:AG252)</f>
        <v>0</v>
      </c>
      <c r="E252">
        <f>MAX(0,IF(Impostazioni!$B$7="No",'Calc base'!$C252-$C$31,'Calc base'!$C252-C252)+'Calc base'!$G252+'Calc base'!$F252-(B252-C252-D252))</f>
        <v>900</v>
      </c>
      <c r="F252">
        <f>SUM(AH252:AS252)</f>
        <v>0</v>
      </c>
      <c r="G252">
        <f>SUM(AT252:BE252)</f>
        <v>0</v>
      </c>
      <c r="H252">
        <f>B252-G251</f>
        <v>0</v>
      </c>
      <c r="I252">
        <f>B252-G252</f>
        <v>0</v>
      </c>
      <c r="J252">
        <f>IF(AT251&lt;=0,0,IF(ROUND(AT251*(1+'Calc base'!H252),2)-MAX('Calc base'!C$12,ROUND('Calc base'!C$13*AT251,2))&lt;1,ROUND(AT251*(1+'Calc base'!H252),2),MAX('Calc base'!C$12,ROUND('Calc base'!C$13*AT251,2))))</f>
        <v>0</v>
      </c>
      <c r="K252">
        <f>IF(AU251&lt;=0,0,IF(ROUND(AU251*(1+'Calc base'!I252),2)-MAX('Calc base'!D$12,ROUND('Calc base'!D$13*AU251,2))&lt;1,ROUND(AU251*(1+'Calc base'!I252),2),MAX('Calc base'!D$12,ROUND('Calc base'!D$13*AU251,2))))</f>
        <v>0</v>
      </c>
      <c r="L252">
        <f>IF(AV251&lt;=0,0,IF(ROUND(AV251*(1+'Calc base'!J252),2)-MAX('Calc base'!E$12,ROUND('Calc base'!E$13*AV251,2))&lt;1,ROUND(AV251*(1+'Calc base'!J252),2),MAX('Calc base'!E$12,ROUND('Calc base'!E$13*AV251,2))))</f>
        <v>0</v>
      </c>
      <c r="M252">
        <f>IF(AW251&lt;=0,0,IF(ROUND(AW251*(1+'Calc base'!K252),2)-MAX('Calc base'!F$12,ROUND('Calc base'!F$13*AW251,2))&lt;1,ROUND(AW251*(1+'Calc base'!K252),2),MAX('Calc base'!F$12,ROUND('Calc base'!F$13*AW251,2))))</f>
        <v>0</v>
      </c>
      <c r="N252">
        <f>IF(AX251&lt;=0,0,IF(ROUND(AX251*(1+'Calc base'!L252),2)-MAX('Calc base'!G$12,ROUND('Calc base'!G$13*AX251,2))&lt;1,ROUND(AX251*(1+'Calc base'!L252),2),MAX('Calc base'!G$12,ROUND('Calc base'!G$13*AX251,2))))</f>
        <v>0</v>
      </c>
      <c r="O252">
        <f>IF(AY251&lt;=0,0,IF(ROUND(AY251*(1+'Calc base'!M252),2)-MAX('Calc base'!H$12,ROUND('Calc base'!H$13*AY251,2))&lt;1,ROUND(AY251*(1+'Calc base'!M252),2),MAX('Calc base'!H$12,ROUND('Calc base'!H$13*AY251,2))))</f>
        <v>0</v>
      </c>
      <c r="P252">
        <f>IF(AZ251&lt;=0,0,IF(ROUND(AZ251*(1+'Calc base'!N252),2)-MAX('Calc base'!I$12,ROUND('Calc base'!I$13*AZ251,2))&lt;1,ROUND(AZ251*(1+'Calc base'!N252),2),MAX('Calc base'!I$12,ROUND('Calc base'!I$13*AZ251,2))))</f>
        <v>0</v>
      </c>
      <c r="Q252">
        <f>IF(BA251&lt;=0,0,IF(ROUND(BA251*(1+'Calc base'!O252),2)-MAX('Calc base'!J$12,ROUND('Calc base'!J$13*BA251,2))&lt;1,ROUND(BA251*(1+'Calc base'!O252),2),MAX('Calc base'!J$12,ROUND('Calc base'!J$13*BA251,2))))</f>
        <v>0</v>
      </c>
      <c r="R252">
        <f>IF(BB251&lt;=0,0,IF(ROUND(BB251*(1+'Calc base'!P252),2)-MAX('Calc base'!K$12,ROUND('Calc base'!K$13*BB251,2))&lt;1,ROUND(BB251*(1+'Calc base'!P252),2),MAX('Calc base'!K$12,ROUND('Calc base'!K$13*BB251,2))))</f>
        <v>0</v>
      </c>
      <c r="S252">
        <f>IF(BC251&lt;=0,0,IF(ROUND(BC251*(1+'Calc base'!Q252),2)-MAX('Calc base'!L$12,ROUND('Calc base'!L$13*BC251,2))&lt;1,ROUND(BC251*(1+'Calc base'!Q252),2),MAX('Calc base'!L$12,ROUND('Calc base'!L$13*BC251,2))))</f>
        <v>0</v>
      </c>
      <c r="T252">
        <f>IF(BD251&lt;=0,0,IF(ROUND(BD251*(1+'Calc base'!R252),2)-MAX('Calc base'!M$12,ROUND('Calc base'!M$13*BD251,2))&lt;1,ROUND(BD251*(1+'Calc base'!R252),2),MAX('Calc base'!M$12,ROUND('Calc base'!M$13*BD251,2))))</f>
        <v>0</v>
      </c>
      <c r="U252">
        <f>IF(BE251&lt;=0,0,IF(ROUND(BE251*(1+'Calc base'!S252),2)-MAX('Calc base'!N$12,ROUND('Calc base'!N$13*BE251,2))&lt;1,ROUND(BE251*(1+'Calc base'!S252),2),MAX('Calc base'!N$12,ROUND('Calc base'!N$13*BE251,2))))</f>
        <v>0</v>
      </c>
      <c r="V252">
        <f>MAX(0,ROUND(AT251*(1+'Calc base'!H252),2)-J252-'Calc base'!T252)</f>
        <v>0</v>
      </c>
      <c r="W252">
        <f>MAX(0,ROUND(AU251*(1+'Calc base'!I252),2)-K252-'Calc base'!U252)</f>
        <v>0</v>
      </c>
      <c r="X252">
        <f>MAX(0,ROUND(AV251*(1+'Calc base'!J252),2)-L252-'Calc base'!V252)</f>
        <v>0</v>
      </c>
      <c r="Y252">
        <f>MAX(0,ROUND(AW251*(1+'Calc base'!K252),2)-M252-'Calc base'!W252)</f>
        <v>0</v>
      </c>
      <c r="Z252">
        <f>MAX(0,ROUND(AX251*(1+'Calc base'!L252),2)-N252-'Calc base'!X252)</f>
        <v>0</v>
      </c>
      <c r="AA252">
        <f>MAX(0,ROUND(AY251*(1+'Calc base'!M252),2)-O252-'Calc base'!Y252)</f>
        <v>0</v>
      </c>
      <c r="AB252">
        <f>MAX(0,ROUND(AZ251*(1+'Calc base'!N252),2)-P252-'Calc base'!Z252)</f>
        <v>0</v>
      </c>
      <c r="AC252">
        <f>MAX(0,ROUND(BA251*(1+'Calc base'!O252),2)-Q252-'Calc base'!AA252)</f>
        <v>0</v>
      </c>
      <c r="AD252">
        <f>MAX(0,ROUND(BB251*(1+'Calc base'!P252),2)-R252-'Calc base'!AB252)</f>
        <v>0</v>
      </c>
      <c r="AE252">
        <f>MAX(0,ROUND(BC251*(1+'Calc base'!Q252),2)-S252-'Calc base'!AC252)</f>
        <v>0</v>
      </c>
      <c r="AF252">
        <f>MAX(0,ROUND(BD251*(1+'Calc base'!R252),2)-T252-'Calc base'!AD252)</f>
        <v>0</v>
      </c>
      <c r="AG252">
        <f>MAX(0,ROUND(BE251*(1+'Calc base'!S252),2)-U252-'Calc base'!AE252)</f>
        <v>0</v>
      </c>
      <c r="AH252">
        <f>IF('Calc base'!C$14=0,0,MIN(V252,MAX(0,$E252-SUMIFS($V252:$AG252,'Calc base'!$C$17:$N$17,"&lt;"&amp;'Calc base'!C$17,'Calc base'!$C$14:$N$14,1))))</f>
        <v>0</v>
      </c>
      <c r="AI252">
        <f>IF('Calc base'!D$14=0,0,MIN(W252,MAX(0,$E252-SUMIFS($V252:$AG252,'Calc base'!$C$17:$N$17,"&lt;"&amp;'Calc base'!D$17,'Calc base'!$C$14:$N$14,1))))</f>
        <v>0</v>
      </c>
      <c r="AJ252">
        <f>IF('Calc base'!E$14=0,0,MIN(X252,MAX(0,$E252-SUMIFS($V252:$AG252,'Calc base'!$C$17:$N$17,"&lt;"&amp;'Calc base'!E$17,'Calc base'!$C$14:$N$14,1))))</f>
        <v>0</v>
      </c>
      <c r="AK252">
        <f>IF('Calc base'!F$14=0,0,MIN(Y252,MAX(0,$E252-SUMIFS($V252:$AG252,'Calc base'!$C$17:$N$17,"&lt;"&amp;'Calc base'!F$17,'Calc base'!$C$14:$N$14,1))))</f>
        <v>0</v>
      </c>
      <c r="AL252">
        <f>IF('Calc base'!G$14=0,0,MIN(Z252,MAX(0,$E252-SUMIFS($V252:$AG252,'Calc base'!$C$17:$N$17,"&lt;"&amp;'Calc base'!G$17,'Calc base'!$C$14:$N$14,1))))</f>
        <v>0</v>
      </c>
      <c r="AM252">
        <f>IF('Calc base'!H$14=0,0,MIN(AA252,MAX(0,$E252-SUMIFS($V252:$AG252,'Calc base'!$C$17:$N$17,"&lt;"&amp;'Calc base'!H$17,'Calc base'!$C$14:$N$14,1))))</f>
        <v>0</v>
      </c>
      <c r="AN252">
        <f>IF('Calc base'!I$14=0,0,MIN(AB252,MAX(0,$E252-SUMIFS($V252:$AG252,'Calc base'!$C$17:$N$17,"&lt;"&amp;'Calc base'!I$17,'Calc base'!$C$14:$N$14,1))))</f>
        <v>0</v>
      </c>
      <c r="AO252">
        <f>IF('Calc base'!J$14=0,0,MIN(AC252,MAX(0,$E252-SUMIFS($V252:$AG252,'Calc base'!$C$17:$N$17,"&lt;"&amp;'Calc base'!J$17,'Calc base'!$C$14:$N$14,1))))</f>
        <v>0</v>
      </c>
      <c r="AP252">
        <f>IF('Calc base'!K$14=0,0,MIN(AD252,MAX(0,$E252-SUMIFS($V252:$AG252,'Calc base'!$C$17:$N$17,"&lt;"&amp;'Calc base'!K$17,'Calc base'!$C$14:$N$14,1))))</f>
        <v>0</v>
      </c>
      <c r="AQ252">
        <f>IF('Calc base'!L$14=0,0,MIN(AE252,MAX(0,$E252-SUMIFS($V252:$AG252,'Calc base'!$C$17:$N$17,"&lt;"&amp;'Calc base'!L$17,'Calc base'!$C$14:$N$14,1))))</f>
        <v>0</v>
      </c>
      <c r="AR252">
        <f>IF('Calc base'!M$14=0,0,MIN(AF252,MAX(0,$E252-SUMIFS($V252:$AG252,'Calc base'!$C$17:$N$17,"&lt;"&amp;'Calc base'!M$17,'Calc base'!$C$14:$N$14,1))))</f>
        <v>0</v>
      </c>
      <c r="AS252">
        <f>IF('Calc base'!N$14=0,0,MIN(AG252,MAX(0,$E252-SUMIFS($V252:$AG252,'Calc base'!$C$17:$N$17,"&lt;"&amp;'Calc base'!N$17,'Calc base'!$C$14:$N$14,1))))</f>
        <v>0</v>
      </c>
      <c r="AT252">
        <f>V252-AH252</f>
        <v>0</v>
      </c>
      <c r="AU252">
        <f>W252-AI252</f>
        <v>0</v>
      </c>
      <c r="AV252">
        <f>X252-AJ252</f>
        <v>0</v>
      </c>
      <c r="AW252">
        <f>Y252-AK252</f>
        <v>0</v>
      </c>
      <c r="AX252">
        <f>Z252-AL252</f>
        <v>0</v>
      </c>
      <c r="AY252">
        <f>AA252-AM252</f>
        <v>0</v>
      </c>
      <c r="AZ252">
        <f>AB252-AN252</f>
        <v>0</v>
      </c>
      <c r="BA252">
        <f>AC252-AO252</f>
        <v>0</v>
      </c>
      <c r="BB252">
        <f>AD252-AP252</f>
        <v>0</v>
      </c>
      <c r="BC252">
        <f>AE252-AQ252</f>
        <v>0</v>
      </c>
      <c r="BD252">
        <f>AF252-AR252</f>
        <v>0</v>
      </c>
      <c r="BE252">
        <f>AG252-AS252</f>
        <v>0</v>
      </c>
    </row>
    <row r="253">
      <c r="A253" t="n">
        <v>223</v>
      </c>
      <c r="B253">
        <f>SUMPRODUCT(ROUND($AT252:$BE252*(1+'Calc base'!$H253:$S253),2))</f>
        <v>0</v>
      </c>
      <c r="C253">
        <f>SUM(J253:U253)</f>
        <v>0</v>
      </c>
      <c r="D253">
        <f>SUM(V253:AG253)</f>
        <v>0</v>
      </c>
      <c r="E253">
        <f>MAX(0,IF(Impostazioni!$B$7="No",'Calc base'!$C253-$C$31,'Calc base'!$C253-C253)+'Calc base'!$G253+'Calc base'!$F253-(B253-C253-D253))</f>
        <v>900</v>
      </c>
      <c r="F253">
        <f>SUM(AH253:AS253)</f>
        <v>0</v>
      </c>
      <c r="G253">
        <f>SUM(AT253:BE253)</f>
        <v>0</v>
      </c>
      <c r="H253">
        <f>B253-G252</f>
        <v>0</v>
      </c>
      <c r="I253">
        <f>B253-G253</f>
        <v>0</v>
      </c>
      <c r="J253">
        <f>IF(AT252&lt;=0,0,IF(ROUND(AT252*(1+'Calc base'!H253),2)-MAX('Calc base'!C$12,ROUND('Calc base'!C$13*AT252,2))&lt;1,ROUND(AT252*(1+'Calc base'!H253),2),MAX('Calc base'!C$12,ROUND('Calc base'!C$13*AT252,2))))</f>
        <v>0</v>
      </c>
      <c r="K253">
        <f>IF(AU252&lt;=0,0,IF(ROUND(AU252*(1+'Calc base'!I253),2)-MAX('Calc base'!D$12,ROUND('Calc base'!D$13*AU252,2))&lt;1,ROUND(AU252*(1+'Calc base'!I253),2),MAX('Calc base'!D$12,ROUND('Calc base'!D$13*AU252,2))))</f>
        <v>0</v>
      </c>
      <c r="L253">
        <f>IF(AV252&lt;=0,0,IF(ROUND(AV252*(1+'Calc base'!J253),2)-MAX('Calc base'!E$12,ROUND('Calc base'!E$13*AV252,2))&lt;1,ROUND(AV252*(1+'Calc base'!J253),2),MAX('Calc base'!E$12,ROUND('Calc base'!E$13*AV252,2))))</f>
        <v>0</v>
      </c>
      <c r="M253">
        <f>IF(AW252&lt;=0,0,IF(ROUND(AW252*(1+'Calc base'!K253),2)-MAX('Calc base'!F$12,ROUND('Calc base'!F$13*AW252,2))&lt;1,ROUND(AW252*(1+'Calc base'!K253),2),MAX('Calc base'!F$12,ROUND('Calc base'!F$13*AW252,2))))</f>
        <v>0</v>
      </c>
      <c r="N253">
        <f>IF(AX252&lt;=0,0,IF(ROUND(AX252*(1+'Calc base'!L253),2)-MAX('Calc base'!G$12,ROUND('Calc base'!G$13*AX252,2))&lt;1,ROUND(AX252*(1+'Calc base'!L253),2),MAX('Calc base'!G$12,ROUND('Calc base'!G$13*AX252,2))))</f>
        <v>0</v>
      </c>
      <c r="O253">
        <f>IF(AY252&lt;=0,0,IF(ROUND(AY252*(1+'Calc base'!M253),2)-MAX('Calc base'!H$12,ROUND('Calc base'!H$13*AY252,2))&lt;1,ROUND(AY252*(1+'Calc base'!M253),2),MAX('Calc base'!H$12,ROUND('Calc base'!H$13*AY252,2))))</f>
        <v>0</v>
      </c>
      <c r="P253">
        <f>IF(AZ252&lt;=0,0,IF(ROUND(AZ252*(1+'Calc base'!N253),2)-MAX('Calc base'!I$12,ROUND('Calc base'!I$13*AZ252,2))&lt;1,ROUND(AZ252*(1+'Calc base'!N253),2),MAX('Calc base'!I$12,ROUND('Calc base'!I$13*AZ252,2))))</f>
        <v>0</v>
      </c>
      <c r="Q253">
        <f>IF(BA252&lt;=0,0,IF(ROUND(BA252*(1+'Calc base'!O253),2)-MAX('Calc base'!J$12,ROUND('Calc base'!J$13*BA252,2))&lt;1,ROUND(BA252*(1+'Calc base'!O253),2),MAX('Calc base'!J$12,ROUND('Calc base'!J$13*BA252,2))))</f>
        <v>0</v>
      </c>
      <c r="R253">
        <f>IF(BB252&lt;=0,0,IF(ROUND(BB252*(1+'Calc base'!P253),2)-MAX('Calc base'!K$12,ROUND('Calc base'!K$13*BB252,2))&lt;1,ROUND(BB252*(1+'Calc base'!P253),2),MAX('Calc base'!K$12,ROUND('Calc base'!K$13*BB252,2))))</f>
        <v>0</v>
      </c>
      <c r="S253">
        <f>IF(BC252&lt;=0,0,IF(ROUND(BC252*(1+'Calc base'!Q253),2)-MAX('Calc base'!L$12,ROUND('Calc base'!L$13*BC252,2))&lt;1,ROUND(BC252*(1+'Calc base'!Q253),2),MAX('Calc base'!L$12,ROUND('Calc base'!L$13*BC252,2))))</f>
        <v>0</v>
      </c>
      <c r="T253">
        <f>IF(BD252&lt;=0,0,IF(ROUND(BD252*(1+'Calc base'!R253),2)-MAX('Calc base'!M$12,ROUND('Calc base'!M$13*BD252,2))&lt;1,ROUND(BD252*(1+'Calc base'!R253),2),MAX('Calc base'!M$12,ROUND('Calc base'!M$13*BD252,2))))</f>
        <v>0</v>
      </c>
      <c r="U253">
        <f>IF(BE252&lt;=0,0,IF(ROUND(BE252*(1+'Calc base'!S253),2)-MAX('Calc base'!N$12,ROUND('Calc base'!N$13*BE252,2))&lt;1,ROUND(BE252*(1+'Calc base'!S253),2),MAX('Calc base'!N$12,ROUND('Calc base'!N$13*BE252,2))))</f>
        <v>0</v>
      </c>
      <c r="V253">
        <f>MAX(0,ROUND(AT252*(1+'Calc base'!H253),2)-J253-'Calc base'!T253)</f>
        <v>0</v>
      </c>
      <c r="W253">
        <f>MAX(0,ROUND(AU252*(1+'Calc base'!I253),2)-K253-'Calc base'!U253)</f>
        <v>0</v>
      </c>
      <c r="X253">
        <f>MAX(0,ROUND(AV252*(1+'Calc base'!J253),2)-L253-'Calc base'!V253)</f>
        <v>0</v>
      </c>
      <c r="Y253">
        <f>MAX(0,ROUND(AW252*(1+'Calc base'!K253),2)-M253-'Calc base'!W253)</f>
        <v>0</v>
      </c>
      <c r="Z253">
        <f>MAX(0,ROUND(AX252*(1+'Calc base'!L253),2)-N253-'Calc base'!X253)</f>
        <v>0</v>
      </c>
      <c r="AA253">
        <f>MAX(0,ROUND(AY252*(1+'Calc base'!M253),2)-O253-'Calc base'!Y253)</f>
        <v>0</v>
      </c>
      <c r="AB253">
        <f>MAX(0,ROUND(AZ252*(1+'Calc base'!N253),2)-P253-'Calc base'!Z253)</f>
        <v>0</v>
      </c>
      <c r="AC253">
        <f>MAX(0,ROUND(BA252*(1+'Calc base'!O253),2)-Q253-'Calc base'!AA253)</f>
        <v>0</v>
      </c>
      <c r="AD253">
        <f>MAX(0,ROUND(BB252*(1+'Calc base'!P253),2)-R253-'Calc base'!AB253)</f>
        <v>0</v>
      </c>
      <c r="AE253">
        <f>MAX(0,ROUND(BC252*(1+'Calc base'!Q253),2)-S253-'Calc base'!AC253)</f>
        <v>0</v>
      </c>
      <c r="AF253">
        <f>MAX(0,ROUND(BD252*(1+'Calc base'!R253),2)-T253-'Calc base'!AD253)</f>
        <v>0</v>
      </c>
      <c r="AG253">
        <f>MAX(0,ROUND(BE252*(1+'Calc base'!S253),2)-U253-'Calc base'!AE253)</f>
        <v>0</v>
      </c>
      <c r="AH253">
        <f>IF('Calc base'!C$14=0,0,MIN(V253,MAX(0,$E253-SUMIFS($V253:$AG253,'Calc base'!$C$17:$N$17,"&lt;"&amp;'Calc base'!C$17,'Calc base'!$C$14:$N$14,1))))</f>
        <v>0</v>
      </c>
      <c r="AI253">
        <f>IF('Calc base'!D$14=0,0,MIN(W253,MAX(0,$E253-SUMIFS($V253:$AG253,'Calc base'!$C$17:$N$17,"&lt;"&amp;'Calc base'!D$17,'Calc base'!$C$14:$N$14,1))))</f>
        <v>0</v>
      </c>
      <c r="AJ253">
        <f>IF('Calc base'!E$14=0,0,MIN(X253,MAX(0,$E253-SUMIFS($V253:$AG253,'Calc base'!$C$17:$N$17,"&lt;"&amp;'Calc base'!E$17,'Calc base'!$C$14:$N$14,1))))</f>
        <v>0</v>
      </c>
      <c r="AK253">
        <f>IF('Calc base'!F$14=0,0,MIN(Y253,MAX(0,$E253-SUMIFS($V253:$AG253,'Calc base'!$C$17:$N$17,"&lt;"&amp;'Calc base'!F$17,'Calc base'!$C$14:$N$14,1))))</f>
        <v>0</v>
      </c>
      <c r="AL253">
        <f>IF('Calc base'!G$14=0,0,MIN(Z253,MAX(0,$E253-SUMIFS($V253:$AG253,'Calc base'!$C$17:$N$17,"&lt;"&amp;'Calc base'!G$17,'Calc base'!$C$14:$N$14,1))))</f>
        <v>0</v>
      </c>
      <c r="AM253">
        <f>IF('Calc base'!H$14=0,0,MIN(AA253,MAX(0,$E253-SUMIFS($V253:$AG253,'Calc base'!$C$17:$N$17,"&lt;"&amp;'Calc base'!H$17,'Calc base'!$C$14:$N$14,1))))</f>
        <v>0</v>
      </c>
      <c r="AN253">
        <f>IF('Calc base'!I$14=0,0,MIN(AB253,MAX(0,$E253-SUMIFS($V253:$AG253,'Calc base'!$C$17:$N$17,"&lt;"&amp;'Calc base'!I$17,'Calc base'!$C$14:$N$14,1))))</f>
        <v>0</v>
      </c>
      <c r="AO253">
        <f>IF('Calc base'!J$14=0,0,MIN(AC253,MAX(0,$E253-SUMIFS($V253:$AG253,'Calc base'!$C$17:$N$17,"&lt;"&amp;'Calc base'!J$17,'Calc base'!$C$14:$N$14,1))))</f>
        <v>0</v>
      </c>
      <c r="AP253">
        <f>IF('Calc base'!K$14=0,0,MIN(AD253,MAX(0,$E253-SUMIFS($V253:$AG253,'Calc base'!$C$17:$N$17,"&lt;"&amp;'Calc base'!K$17,'Calc base'!$C$14:$N$14,1))))</f>
        <v>0</v>
      </c>
      <c r="AQ253">
        <f>IF('Calc base'!L$14=0,0,MIN(AE253,MAX(0,$E253-SUMIFS($V253:$AG253,'Calc base'!$C$17:$N$17,"&lt;"&amp;'Calc base'!L$17,'Calc base'!$C$14:$N$14,1))))</f>
        <v>0</v>
      </c>
      <c r="AR253">
        <f>IF('Calc base'!M$14=0,0,MIN(AF253,MAX(0,$E253-SUMIFS($V253:$AG253,'Calc base'!$C$17:$N$17,"&lt;"&amp;'Calc base'!M$17,'Calc base'!$C$14:$N$14,1))))</f>
        <v>0</v>
      </c>
      <c r="AS253">
        <f>IF('Calc base'!N$14=0,0,MIN(AG253,MAX(0,$E253-SUMIFS($V253:$AG253,'Calc base'!$C$17:$N$17,"&lt;"&amp;'Calc base'!N$17,'Calc base'!$C$14:$N$14,1))))</f>
        <v>0</v>
      </c>
      <c r="AT253">
        <f>V253-AH253</f>
        <v>0</v>
      </c>
      <c r="AU253">
        <f>W253-AI253</f>
        <v>0</v>
      </c>
      <c r="AV253">
        <f>X253-AJ253</f>
        <v>0</v>
      </c>
      <c r="AW253">
        <f>Y253-AK253</f>
        <v>0</v>
      </c>
      <c r="AX253">
        <f>Z253-AL253</f>
        <v>0</v>
      </c>
      <c r="AY253">
        <f>AA253-AM253</f>
        <v>0</v>
      </c>
      <c r="AZ253">
        <f>AB253-AN253</f>
        <v>0</v>
      </c>
      <c r="BA253">
        <f>AC253-AO253</f>
        <v>0</v>
      </c>
      <c r="BB253">
        <f>AD253-AP253</f>
        <v>0</v>
      </c>
      <c r="BC253">
        <f>AE253-AQ253</f>
        <v>0</v>
      </c>
      <c r="BD253">
        <f>AF253-AR253</f>
        <v>0</v>
      </c>
      <c r="BE253">
        <f>AG253-AS253</f>
        <v>0</v>
      </c>
    </row>
    <row r="254">
      <c r="A254" t="n">
        <v>224</v>
      </c>
      <c r="B254">
        <f>SUMPRODUCT(ROUND($AT253:$BE253*(1+'Calc base'!$H254:$S254),2))</f>
        <v>0</v>
      </c>
      <c r="C254">
        <f>SUM(J254:U254)</f>
        <v>0</v>
      </c>
      <c r="D254">
        <f>SUM(V254:AG254)</f>
        <v>0</v>
      </c>
      <c r="E254">
        <f>MAX(0,IF(Impostazioni!$B$7="No",'Calc base'!$C254-$C$31,'Calc base'!$C254-C254)+'Calc base'!$G254+'Calc base'!$F254-(B254-C254-D254))</f>
        <v>900</v>
      </c>
      <c r="F254">
        <f>SUM(AH254:AS254)</f>
        <v>0</v>
      </c>
      <c r="G254">
        <f>SUM(AT254:BE254)</f>
        <v>0</v>
      </c>
      <c r="H254">
        <f>B254-G253</f>
        <v>0</v>
      </c>
      <c r="I254">
        <f>B254-G254</f>
        <v>0</v>
      </c>
      <c r="J254">
        <f>IF(AT253&lt;=0,0,IF(ROUND(AT253*(1+'Calc base'!H254),2)-MAX('Calc base'!C$12,ROUND('Calc base'!C$13*AT253,2))&lt;1,ROUND(AT253*(1+'Calc base'!H254),2),MAX('Calc base'!C$12,ROUND('Calc base'!C$13*AT253,2))))</f>
        <v>0</v>
      </c>
      <c r="K254">
        <f>IF(AU253&lt;=0,0,IF(ROUND(AU253*(1+'Calc base'!I254),2)-MAX('Calc base'!D$12,ROUND('Calc base'!D$13*AU253,2))&lt;1,ROUND(AU253*(1+'Calc base'!I254),2),MAX('Calc base'!D$12,ROUND('Calc base'!D$13*AU253,2))))</f>
        <v>0</v>
      </c>
      <c r="L254">
        <f>IF(AV253&lt;=0,0,IF(ROUND(AV253*(1+'Calc base'!J254),2)-MAX('Calc base'!E$12,ROUND('Calc base'!E$13*AV253,2))&lt;1,ROUND(AV253*(1+'Calc base'!J254),2),MAX('Calc base'!E$12,ROUND('Calc base'!E$13*AV253,2))))</f>
        <v>0</v>
      </c>
      <c r="M254">
        <f>IF(AW253&lt;=0,0,IF(ROUND(AW253*(1+'Calc base'!K254),2)-MAX('Calc base'!F$12,ROUND('Calc base'!F$13*AW253,2))&lt;1,ROUND(AW253*(1+'Calc base'!K254),2),MAX('Calc base'!F$12,ROUND('Calc base'!F$13*AW253,2))))</f>
        <v>0</v>
      </c>
      <c r="N254">
        <f>IF(AX253&lt;=0,0,IF(ROUND(AX253*(1+'Calc base'!L254),2)-MAX('Calc base'!G$12,ROUND('Calc base'!G$13*AX253,2))&lt;1,ROUND(AX253*(1+'Calc base'!L254),2),MAX('Calc base'!G$12,ROUND('Calc base'!G$13*AX253,2))))</f>
        <v>0</v>
      </c>
      <c r="O254">
        <f>IF(AY253&lt;=0,0,IF(ROUND(AY253*(1+'Calc base'!M254),2)-MAX('Calc base'!H$12,ROUND('Calc base'!H$13*AY253,2))&lt;1,ROUND(AY253*(1+'Calc base'!M254),2),MAX('Calc base'!H$12,ROUND('Calc base'!H$13*AY253,2))))</f>
        <v>0</v>
      </c>
      <c r="P254">
        <f>IF(AZ253&lt;=0,0,IF(ROUND(AZ253*(1+'Calc base'!N254),2)-MAX('Calc base'!I$12,ROUND('Calc base'!I$13*AZ253,2))&lt;1,ROUND(AZ253*(1+'Calc base'!N254),2),MAX('Calc base'!I$12,ROUND('Calc base'!I$13*AZ253,2))))</f>
        <v>0</v>
      </c>
      <c r="Q254">
        <f>IF(BA253&lt;=0,0,IF(ROUND(BA253*(1+'Calc base'!O254),2)-MAX('Calc base'!J$12,ROUND('Calc base'!J$13*BA253,2))&lt;1,ROUND(BA253*(1+'Calc base'!O254),2),MAX('Calc base'!J$12,ROUND('Calc base'!J$13*BA253,2))))</f>
        <v>0</v>
      </c>
      <c r="R254">
        <f>IF(BB253&lt;=0,0,IF(ROUND(BB253*(1+'Calc base'!P254),2)-MAX('Calc base'!K$12,ROUND('Calc base'!K$13*BB253,2))&lt;1,ROUND(BB253*(1+'Calc base'!P254),2),MAX('Calc base'!K$12,ROUND('Calc base'!K$13*BB253,2))))</f>
        <v>0</v>
      </c>
      <c r="S254">
        <f>IF(BC253&lt;=0,0,IF(ROUND(BC253*(1+'Calc base'!Q254),2)-MAX('Calc base'!L$12,ROUND('Calc base'!L$13*BC253,2))&lt;1,ROUND(BC253*(1+'Calc base'!Q254),2),MAX('Calc base'!L$12,ROUND('Calc base'!L$13*BC253,2))))</f>
        <v>0</v>
      </c>
      <c r="T254">
        <f>IF(BD253&lt;=0,0,IF(ROUND(BD253*(1+'Calc base'!R254),2)-MAX('Calc base'!M$12,ROUND('Calc base'!M$13*BD253,2))&lt;1,ROUND(BD253*(1+'Calc base'!R254),2),MAX('Calc base'!M$12,ROUND('Calc base'!M$13*BD253,2))))</f>
        <v>0</v>
      </c>
      <c r="U254">
        <f>IF(BE253&lt;=0,0,IF(ROUND(BE253*(1+'Calc base'!S254),2)-MAX('Calc base'!N$12,ROUND('Calc base'!N$13*BE253,2))&lt;1,ROUND(BE253*(1+'Calc base'!S254),2),MAX('Calc base'!N$12,ROUND('Calc base'!N$13*BE253,2))))</f>
        <v>0</v>
      </c>
      <c r="V254">
        <f>MAX(0,ROUND(AT253*(1+'Calc base'!H254),2)-J254-'Calc base'!T254)</f>
        <v>0</v>
      </c>
      <c r="W254">
        <f>MAX(0,ROUND(AU253*(1+'Calc base'!I254),2)-K254-'Calc base'!U254)</f>
        <v>0</v>
      </c>
      <c r="X254">
        <f>MAX(0,ROUND(AV253*(1+'Calc base'!J254),2)-L254-'Calc base'!V254)</f>
        <v>0</v>
      </c>
      <c r="Y254">
        <f>MAX(0,ROUND(AW253*(1+'Calc base'!K254),2)-M254-'Calc base'!W254)</f>
        <v>0</v>
      </c>
      <c r="Z254">
        <f>MAX(0,ROUND(AX253*(1+'Calc base'!L254),2)-N254-'Calc base'!X254)</f>
        <v>0</v>
      </c>
      <c r="AA254">
        <f>MAX(0,ROUND(AY253*(1+'Calc base'!M254),2)-O254-'Calc base'!Y254)</f>
        <v>0</v>
      </c>
      <c r="AB254">
        <f>MAX(0,ROUND(AZ253*(1+'Calc base'!N254),2)-P254-'Calc base'!Z254)</f>
        <v>0</v>
      </c>
      <c r="AC254">
        <f>MAX(0,ROUND(BA253*(1+'Calc base'!O254),2)-Q254-'Calc base'!AA254)</f>
        <v>0</v>
      </c>
      <c r="AD254">
        <f>MAX(0,ROUND(BB253*(1+'Calc base'!P254),2)-R254-'Calc base'!AB254)</f>
        <v>0</v>
      </c>
      <c r="AE254">
        <f>MAX(0,ROUND(BC253*(1+'Calc base'!Q254),2)-S254-'Calc base'!AC254)</f>
        <v>0</v>
      </c>
      <c r="AF254">
        <f>MAX(0,ROUND(BD253*(1+'Calc base'!R254),2)-T254-'Calc base'!AD254)</f>
        <v>0</v>
      </c>
      <c r="AG254">
        <f>MAX(0,ROUND(BE253*(1+'Calc base'!S254),2)-U254-'Calc base'!AE254)</f>
        <v>0</v>
      </c>
      <c r="AH254">
        <f>IF('Calc base'!C$14=0,0,MIN(V254,MAX(0,$E254-SUMIFS($V254:$AG254,'Calc base'!$C$17:$N$17,"&lt;"&amp;'Calc base'!C$17,'Calc base'!$C$14:$N$14,1))))</f>
        <v>0</v>
      </c>
      <c r="AI254">
        <f>IF('Calc base'!D$14=0,0,MIN(W254,MAX(0,$E254-SUMIFS($V254:$AG254,'Calc base'!$C$17:$N$17,"&lt;"&amp;'Calc base'!D$17,'Calc base'!$C$14:$N$14,1))))</f>
        <v>0</v>
      </c>
      <c r="AJ254">
        <f>IF('Calc base'!E$14=0,0,MIN(X254,MAX(0,$E254-SUMIFS($V254:$AG254,'Calc base'!$C$17:$N$17,"&lt;"&amp;'Calc base'!E$17,'Calc base'!$C$14:$N$14,1))))</f>
        <v>0</v>
      </c>
      <c r="AK254">
        <f>IF('Calc base'!F$14=0,0,MIN(Y254,MAX(0,$E254-SUMIFS($V254:$AG254,'Calc base'!$C$17:$N$17,"&lt;"&amp;'Calc base'!F$17,'Calc base'!$C$14:$N$14,1))))</f>
        <v>0</v>
      </c>
      <c r="AL254">
        <f>IF('Calc base'!G$14=0,0,MIN(Z254,MAX(0,$E254-SUMIFS($V254:$AG254,'Calc base'!$C$17:$N$17,"&lt;"&amp;'Calc base'!G$17,'Calc base'!$C$14:$N$14,1))))</f>
        <v>0</v>
      </c>
      <c r="AM254">
        <f>IF('Calc base'!H$14=0,0,MIN(AA254,MAX(0,$E254-SUMIFS($V254:$AG254,'Calc base'!$C$17:$N$17,"&lt;"&amp;'Calc base'!H$17,'Calc base'!$C$14:$N$14,1))))</f>
        <v>0</v>
      </c>
      <c r="AN254">
        <f>IF('Calc base'!I$14=0,0,MIN(AB254,MAX(0,$E254-SUMIFS($V254:$AG254,'Calc base'!$C$17:$N$17,"&lt;"&amp;'Calc base'!I$17,'Calc base'!$C$14:$N$14,1))))</f>
        <v>0</v>
      </c>
      <c r="AO254">
        <f>IF('Calc base'!J$14=0,0,MIN(AC254,MAX(0,$E254-SUMIFS($V254:$AG254,'Calc base'!$C$17:$N$17,"&lt;"&amp;'Calc base'!J$17,'Calc base'!$C$14:$N$14,1))))</f>
        <v>0</v>
      </c>
      <c r="AP254">
        <f>IF('Calc base'!K$14=0,0,MIN(AD254,MAX(0,$E254-SUMIFS($V254:$AG254,'Calc base'!$C$17:$N$17,"&lt;"&amp;'Calc base'!K$17,'Calc base'!$C$14:$N$14,1))))</f>
        <v>0</v>
      </c>
      <c r="AQ254">
        <f>IF('Calc base'!L$14=0,0,MIN(AE254,MAX(0,$E254-SUMIFS($V254:$AG254,'Calc base'!$C$17:$N$17,"&lt;"&amp;'Calc base'!L$17,'Calc base'!$C$14:$N$14,1))))</f>
        <v>0</v>
      </c>
      <c r="AR254">
        <f>IF('Calc base'!M$14=0,0,MIN(AF254,MAX(0,$E254-SUMIFS($V254:$AG254,'Calc base'!$C$17:$N$17,"&lt;"&amp;'Calc base'!M$17,'Calc base'!$C$14:$N$14,1))))</f>
        <v>0</v>
      </c>
      <c r="AS254">
        <f>IF('Calc base'!N$14=0,0,MIN(AG254,MAX(0,$E254-SUMIFS($V254:$AG254,'Calc base'!$C$17:$N$17,"&lt;"&amp;'Calc base'!N$17,'Calc base'!$C$14:$N$14,1))))</f>
        <v>0</v>
      </c>
      <c r="AT254">
        <f>V254-AH254</f>
        <v>0</v>
      </c>
      <c r="AU254">
        <f>W254-AI254</f>
        <v>0</v>
      </c>
      <c r="AV254">
        <f>X254-AJ254</f>
        <v>0</v>
      </c>
      <c r="AW254">
        <f>Y254-AK254</f>
        <v>0</v>
      </c>
      <c r="AX254">
        <f>Z254-AL254</f>
        <v>0</v>
      </c>
      <c r="AY254">
        <f>AA254-AM254</f>
        <v>0</v>
      </c>
      <c r="AZ254">
        <f>AB254-AN254</f>
        <v>0</v>
      </c>
      <c r="BA254">
        <f>AC254-AO254</f>
        <v>0</v>
      </c>
      <c r="BB254">
        <f>AD254-AP254</f>
        <v>0</v>
      </c>
      <c r="BC254">
        <f>AE254-AQ254</f>
        <v>0</v>
      </c>
      <c r="BD254">
        <f>AF254-AR254</f>
        <v>0</v>
      </c>
      <c r="BE254">
        <f>AG254-AS254</f>
        <v>0</v>
      </c>
    </row>
    <row r="255">
      <c r="A255" t="n">
        <v>225</v>
      </c>
      <c r="B255">
        <f>SUMPRODUCT(ROUND($AT254:$BE254*(1+'Calc base'!$H255:$S255),2))</f>
        <v>0</v>
      </c>
      <c r="C255">
        <f>SUM(J255:U255)</f>
        <v>0</v>
      </c>
      <c r="D255">
        <f>SUM(V255:AG255)</f>
        <v>0</v>
      </c>
      <c r="E255">
        <f>MAX(0,IF(Impostazioni!$B$7="No",'Calc base'!$C255-$C$31,'Calc base'!$C255-C255)+'Calc base'!$G255+'Calc base'!$F255-(B255-C255-D255))</f>
        <v>900</v>
      </c>
      <c r="F255">
        <f>SUM(AH255:AS255)</f>
        <v>0</v>
      </c>
      <c r="G255">
        <f>SUM(AT255:BE255)</f>
        <v>0</v>
      </c>
      <c r="H255">
        <f>B255-G254</f>
        <v>0</v>
      </c>
      <c r="I255">
        <f>B255-G255</f>
        <v>0</v>
      </c>
      <c r="J255">
        <f>IF(AT254&lt;=0,0,IF(ROUND(AT254*(1+'Calc base'!H255),2)-MAX('Calc base'!C$12,ROUND('Calc base'!C$13*AT254,2))&lt;1,ROUND(AT254*(1+'Calc base'!H255),2),MAX('Calc base'!C$12,ROUND('Calc base'!C$13*AT254,2))))</f>
        <v>0</v>
      </c>
      <c r="K255">
        <f>IF(AU254&lt;=0,0,IF(ROUND(AU254*(1+'Calc base'!I255),2)-MAX('Calc base'!D$12,ROUND('Calc base'!D$13*AU254,2))&lt;1,ROUND(AU254*(1+'Calc base'!I255),2),MAX('Calc base'!D$12,ROUND('Calc base'!D$13*AU254,2))))</f>
        <v>0</v>
      </c>
      <c r="L255">
        <f>IF(AV254&lt;=0,0,IF(ROUND(AV254*(1+'Calc base'!J255),2)-MAX('Calc base'!E$12,ROUND('Calc base'!E$13*AV254,2))&lt;1,ROUND(AV254*(1+'Calc base'!J255),2),MAX('Calc base'!E$12,ROUND('Calc base'!E$13*AV254,2))))</f>
        <v>0</v>
      </c>
      <c r="M255">
        <f>IF(AW254&lt;=0,0,IF(ROUND(AW254*(1+'Calc base'!K255),2)-MAX('Calc base'!F$12,ROUND('Calc base'!F$13*AW254,2))&lt;1,ROUND(AW254*(1+'Calc base'!K255),2),MAX('Calc base'!F$12,ROUND('Calc base'!F$13*AW254,2))))</f>
        <v>0</v>
      </c>
      <c r="N255">
        <f>IF(AX254&lt;=0,0,IF(ROUND(AX254*(1+'Calc base'!L255),2)-MAX('Calc base'!G$12,ROUND('Calc base'!G$13*AX254,2))&lt;1,ROUND(AX254*(1+'Calc base'!L255),2),MAX('Calc base'!G$12,ROUND('Calc base'!G$13*AX254,2))))</f>
        <v>0</v>
      </c>
      <c r="O255">
        <f>IF(AY254&lt;=0,0,IF(ROUND(AY254*(1+'Calc base'!M255),2)-MAX('Calc base'!H$12,ROUND('Calc base'!H$13*AY254,2))&lt;1,ROUND(AY254*(1+'Calc base'!M255),2),MAX('Calc base'!H$12,ROUND('Calc base'!H$13*AY254,2))))</f>
        <v>0</v>
      </c>
      <c r="P255">
        <f>IF(AZ254&lt;=0,0,IF(ROUND(AZ254*(1+'Calc base'!N255),2)-MAX('Calc base'!I$12,ROUND('Calc base'!I$13*AZ254,2))&lt;1,ROUND(AZ254*(1+'Calc base'!N255),2),MAX('Calc base'!I$12,ROUND('Calc base'!I$13*AZ254,2))))</f>
        <v>0</v>
      </c>
      <c r="Q255">
        <f>IF(BA254&lt;=0,0,IF(ROUND(BA254*(1+'Calc base'!O255),2)-MAX('Calc base'!J$12,ROUND('Calc base'!J$13*BA254,2))&lt;1,ROUND(BA254*(1+'Calc base'!O255),2),MAX('Calc base'!J$12,ROUND('Calc base'!J$13*BA254,2))))</f>
        <v>0</v>
      </c>
      <c r="R255">
        <f>IF(BB254&lt;=0,0,IF(ROUND(BB254*(1+'Calc base'!P255),2)-MAX('Calc base'!K$12,ROUND('Calc base'!K$13*BB254,2))&lt;1,ROUND(BB254*(1+'Calc base'!P255),2),MAX('Calc base'!K$12,ROUND('Calc base'!K$13*BB254,2))))</f>
        <v>0</v>
      </c>
      <c r="S255">
        <f>IF(BC254&lt;=0,0,IF(ROUND(BC254*(1+'Calc base'!Q255),2)-MAX('Calc base'!L$12,ROUND('Calc base'!L$13*BC254,2))&lt;1,ROUND(BC254*(1+'Calc base'!Q255),2),MAX('Calc base'!L$12,ROUND('Calc base'!L$13*BC254,2))))</f>
        <v>0</v>
      </c>
      <c r="T255">
        <f>IF(BD254&lt;=0,0,IF(ROUND(BD254*(1+'Calc base'!R255),2)-MAX('Calc base'!M$12,ROUND('Calc base'!M$13*BD254,2))&lt;1,ROUND(BD254*(1+'Calc base'!R255),2),MAX('Calc base'!M$12,ROUND('Calc base'!M$13*BD254,2))))</f>
        <v>0</v>
      </c>
      <c r="U255">
        <f>IF(BE254&lt;=0,0,IF(ROUND(BE254*(1+'Calc base'!S255),2)-MAX('Calc base'!N$12,ROUND('Calc base'!N$13*BE254,2))&lt;1,ROUND(BE254*(1+'Calc base'!S255),2),MAX('Calc base'!N$12,ROUND('Calc base'!N$13*BE254,2))))</f>
        <v>0</v>
      </c>
      <c r="V255">
        <f>MAX(0,ROUND(AT254*(1+'Calc base'!H255),2)-J255-'Calc base'!T255)</f>
        <v>0</v>
      </c>
      <c r="W255">
        <f>MAX(0,ROUND(AU254*(1+'Calc base'!I255),2)-K255-'Calc base'!U255)</f>
        <v>0</v>
      </c>
      <c r="X255">
        <f>MAX(0,ROUND(AV254*(1+'Calc base'!J255),2)-L255-'Calc base'!V255)</f>
        <v>0</v>
      </c>
      <c r="Y255">
        <f>MAX(0,ROUND(AW254*(1+'Calc base'!K255),2)-M255-'Calc base'!W255)</f>
        <v>0</v>
      </c>
      <c r="Z255">
        <f>MAX(0,ROUND(AX254*(1+'Calc base'!L255),2)-N255-'Calc base'!X255)</f>
        <v>0</v>
      </c>
      <c r="AA255">
        <f>MAX(0,ROUND(AY254*(1+'Calc base'!M255),2)-O255-'Calc base'!Y255)</f>
        <v>0</v>
      </c>
      <c r="AB255">
        <f>MAX(0,ROUND(AZ254*(1+'Calc base'!N255),2)-P255-'Calc base'!Z255)</f>
        <v>0</v>
      </c>
      <c r="AC255">
        <f>MAX(0,ROUND(BA254*(1+'Calc base'!O255),2)-Q255-'Calc base'!AA255)</f>
        <v>0</v>
      </c>
      <c r="AD255">
        <f>MAX(0,ROUND(BB254*(1+'Calc base'!P255),2)-R255-'Calc base'!AB255)</f>
        <v>0</v>
      </c>
      <c r="AE255">
        <f>MAX(0,ROUND(BC254*(1+'Calc base'!Q255),2)-S255-'Calc base'!AC255)</f>
        <v>0</v>
      </c>
      <c r="AF255">
        <f>MAX(0,ROUND(BD254*(1+'Calc base'!R255),2)-T255-'Calc base'!AD255)</f>
        <v>0</v>
      </c>
      <c r="AG255">
        <f>MAX(0,ROUND(BE254*(1+'Calc base'!S255),2)-U255-'Calc base'!AE255)</f>
        <v>0</v>
      </c>
      <c r="AH255">
        <f>IF('Calc base'!C$14=0,0,MIN(V255,MAX(0,$E255-SUMIFS($V255:$AG255,'Calc base'!$C$17:$N$17,"&lt;"&amp;'Calc base'!C$17,'Calc base'!$C$14:$N$14,1))))</f>
        <v>0</v>
      </c>
      <c r="AI255">
        <f>IF('Calc base'!D$14=0,0,MIN(W255,MAX(0,$E255-SUMIFS($V255:$AG255,'Calc base'!$C$17:$N$17,"&lt;"&amp;'Calc base'!D$17,'Calc base'!$C$14:$N$14,1))))</f>
        <v>0</v>
      </c>
      <c r="AJ255">
        <f>IF('Calc base'!E$14=0,0,MIN(X255,MAX(0,$E255-SUMIFS($V255:$AG255,'Calc base'!$C$17:$N$17,"&lt;"&amp;'Calc base'!E$17,'Calc base'!$C$14:$N$14,1))))</f>
        <v>0</v>
      </c>
      <c r="AK255">
        <f>IF('Calc base'!F$14=0,0,MIN(Y255,MAX(0,$E255-SUMIFS($V255:$AG255,'Calc base'!$C$17:$N$17,"&lt;"&amp;'Calc base'!F$17,'Calc base'!$C$14:$N$14,1))))</f>
        <v>0</v>
      </c>
      <c r="AL255">
        <f>IF('Calc base'!G$14=0,0,MIN(Z255,MAX(0,$E255-SUMIFS($V255:$AG255,'Calc base'!$C$17:$N$17,"&lt;"&amp;'Calc base'!G$17,'Calc base'!$C$14:$N$14,1))))</f>
        <v>0</v>
      </c>
      <c r="AM255">
        <f>IF('Calc base'!H$14=0,0,MIN(AA255,MAX(0,$E255-SUMIFS($V255:$AG255,'Calc base'!$C$17:$N$17,"&lt;"&amp;'Calc base'!H$17,'Calc base'!$C$14:$N$14,1))))</f>
        <v>0</v>
      </c>
      <c r="AN255">
        <f>IF('Calc base'!I$14=0,0,MIN(AB255,MAX(0,$E255-SUMIFS($V255:$AG255,'Calc base'!$C$17:$N$17,"&lt;"&amp;'Calc base'!I$17,'Calc base'!$C$14:$N$14,1))))</f>
        <v>0</v>
      </c>
      <c r="AO255">
        <f>IF('Calc base'!J$14=0,0,MIN(AC255,MAX(0,$E255-SUMIFS($V255:$AG255,'Calc base'!$C$17:$N$17,"&lt;"&amp;'Calc base'!J$17,'Calc base'!$C$14:$N$14,1))))</f>
        <v>0</v>
      </c>
      <c r="AP255">
        <f>IF('Calc base'!K$14=0,0,MIN(AD255,MAX(0,$E255-SUMIFS($V255:$AG255,'Calc base'!$C$17:$N$17,"&lt;"&amp;'Calc base'!K$17,'Calc base'!$C$14:$N$14,1))))</f>
        <v>0</v>
      </c>
      <c r="AQ255">
        <f>IF('Calc base'!L$14=0,0,MIN(AE255,MAX(0,$E255-SUMIFS($V255:$AG255,'Calc base'!$C$17:$N$17,"&lt;"&amp;'Calc base'!L$17,'Calc base'!$C$14:$N$14,1))))</f>
        <v>0</v>
      </c>
      <c r="AR255">
        <f>IF('Calc base'!M$14=0,0,MIN(AF255,MAX(0,$E255-SUMIFS($V255:$AG255,'Calc base'!$C$17:$N$17,"&lt;"&amp;'Calc base'!M$17,'Calc base'!$C$14:$N$14,1))))</f>
        <v>0</v>
      </c>
      <c r="AS255">
        <f>IF('Calc base'!N$14=0,0,MIN(AG255,MAX(0,$E255-SUMIFS($V255:$AG255,'Calc base'!$C$17:$N$17,"&lt;"&amp;'Calc base'!N$17,'Calc base'!$C$14:$N$14,1))))</f>
        <v>0</v>
      </c>
      <c r="AT255">
        <f>V255-AH255</f>
        <v>0</v>
      </c>
      <c r="AU255">
        <f>W255-AI255</f>
        <v>0</v>
      </c>
      <c r="AV255">
        <f>X255-AJ255</f>
        <v>0</v>
      </c>
      <c r="AW255">
        <f>Y255-AK255</f>
        <v>0</v>
      </c>
      <c r="AX255">
        <f>Z255-AL255</f>
        <v>0</v>
      </c>
      <c r="AY255">
        <f>AA255-AM255</f>
        <v>0</v>
      </c>
      <c r="AZ255">
        <f>AB255-AN255</f>
        <v>0</v>
      </c>
      <c r="BA255">
        <f>AC255-AO255</f>
        <v>0</v>
      </c>
      <c r="BB255">
        <f>AD255-AP255</f>
        <v>0</v>
      </c>
      <c r="BC255">
        <f>AE255-AQ255</f>
        <v>0</v>
      </c>
      <c r="BD255">
        <f>AF255-AR255</f>
        <v>0</v>
      </c>
      <c r="BE255">
        <f>AG255-AS255</f>
        <v>0</v>
      </c>
    </row>
    <row r="256">
      <c r="A256" t="n">
        <v>226</v>
      </c>
      <c r="B256">
        <f>SUMPRODUCT(ROUND($AT255:$BE255*(1+'Calc base'!$H256:$S256),2))</f>
        <v>0</v>
      </c>
      <c r="C256">
        <f>SUM(J256:U256)</f>
        <v>0</v>
      </c>
      <c r="D256">
        <f>SUM(V256:AG256)</f>
        <v>0</v>
      </c>
      <c r="E256">
        <f>MAX(0,IF(Impostazioni!$B$7="No",'Calc base'!$C256-$C$31,'Calc base'!$C256-C256)+'Calc base'!$G256+'Calc base'!$F256-(B256-C256-D256))</f>
        <v>900</v>
      </c>
      <c r="F256">
        <f>SUM(AH256:AS256)</f>
        <v>0</v>
      </c>
      <c r="G256">
        <f>SUM(AT256:BE256)</f>
        <v>0</v>
      </c>
      <c r="H256">
        <f>B256-G255</f>
        <v>0</v>
      </c>
      <c r="I256">
        <f>B256-G256</f>
        <v>0</v>
      </c>
      <c r="J256">
        <f>IF(AT255&lt;=0,0,IF(ROUND(AT255*(1+'Calc base'!H256),2)-MAX('Calc base'!C$12,ROUND('Calc base'!C$13*AT255,2))&lt;1,ROUND(AT255*(1+'Calc base'!H256),2),MAX('Calc base'!C$12,ROUND('Calc base'!C$13*AT255,2))))</f>
        <v>0</v>
      </c>
      <c r="K256">
        <f>IF(AU255&lt;=0,0,IF(ROUND(AU255*(1+'Calc base'!I256),2)-MAX('Calc base'!D$12,ROUND('Calc base'!D$13*AU255,2))&lt;1,ROUND(AU255*(1+'Calc base'!I256),2),MAX('Calc base'!D$12,ROUND('Calc base'!D$13*AU255,2))))</f>
        <v>0</v>
      </c>
      <c r="L256">
        <f>IF(AV255&lt;=0,0,IF(ROUND(AV255*(1+'Calc base'!J256),2)-MAX('Calc base'!E$12,ROUND('Calc base'!E$13*AV255,2))&lt;1,ROUND(AV255*(1+'Calc base'!J256),2),MAX('Calc base'!E$12,ROUND('Calc base'!E$13*AV255,2))))</f>
        <v>0</v>
      </c>
      <c r="M256">
        <f>IF(AW255&lt;=0,0,IF(ROUND(AW255*(1+'Calc base'!K256),2)-MAX('Calc base'!F$12,ROUND('Calc base'!F$13*AW255,2))&lt;1,ROUND(AW255*(1+'Calc base'!K256),2),MAX('Calc base'!F$12,ROUND('Calc base'!F$13*AW255,2))))</f>
        <v>0</v>
      </c>
      <c r="N256">
        <f>IF(AX255&lt;=0,0,IF(ROUND(AX255*(1+'Calc base'!L256),2)-MAX('Calc base'!G$12,ROUND('Calc base'!G$13*AX255,2))&lt;1,ROUND(AX255*(1+'Calc base'!L256),2),MAX('Calc base'!G$12,ROUND('Calc base'!G$13*AX255,2))))</f>
        <v>0</v>
      </c>
      <c r="O256">
        <f>IF(AY255&lt;=0,0,IF(ROUND(AY255*(1+'Calc base'!M256),2)-MAX('Calc base'!H$12,ROUND('Calc base'!H$13*AY255,2))&lt;1,ROUND(AY255*(1+'Calc base'!M256),2),MAX('Calc base'!H$12,ROUND('Calc base'!H$13*AY255,2))))</f>
        <v>0</v>
      </c>
      <c r="P256">
        <f>IF(AZ255&lt;=0,0,IF(ROUND(AZ255*(1+'Calc base'!N256),2)-MAX('Calc base'!I$12,ROUND('Calc base'!I$13*AZ255,2))&lt;1,ROUND(AZ255*(1+'Calc base'!N256),2),MAX('Calc base'!I$12,ROUND('Calc base'!I$13*AZ255,2))))</f>
        <v>0</v>
      </c>
      <c r="Q256">
        <f>IF(BA255&lt;=0,0,IF(ROUND(BA255*(1+'Calc base'!O256),2)-MAX('Calc base'!J$12,ROUND('Calc base'!J$13*BA255,2))&lt;1,ROUND(BA255*(1+'Calc base'!O256),2),MAX('Calc base'!J$12,ROUND('Calc base'!J$13*BA255,2))))</f>
        <v>0</v>
      </c>
      <c r="R256">
        <f>IF(BB255&lt;=0,0,IF(ROUND(BB255*(1+'Calc base'!P256),2)-MAX('Calc base'!K$12,ROUND('Calc base'!K$13*BB255,2))&lt;1,ROUND(BB255*(1+'Calc base'!P256),2),MAX('Calc base'!K$12,ROUND('Calc base'!K$13*BB255,2))))</f>
        <v>0</v>
      </c>
      <c r="S256">
        <f>IF(BC255&lt;=0,0,IF(ROUND(BC255*(1+'Calc base'!Q256),2)-MAX('Calc base'!L$12,ROUND('Calc base'!L$13*BC255,2))&lt;1,ROUND(BC255*(1+'Calc base'!Q256),2),MAX('Calc base'!L$12,ROUND('Calc base'!L$13*BC255,2))))</f>
        <v>0</v>
      </c>
      <c r="T256">
        <f>IF(BD255&lt;=0,0,IF(ROUND(BD255*(1+'Calc base'!R256),2)-MAX('Calc base'!M$12,ROUND('Calc base'!M$13*BD255,2))&lt;1,ROUND(BD255*(1+'Calc base'!R256),2),MAX('Calc base'!M$12,ROUND('Calc base'!M$13*BD255,2))))</f>
        <v>0</v>
      </c>
      <c r="U256">
        <f>IF(BE255&lt;=0,0,IF(ROUND(BE255*(1+'Calc base'!S256),2)-MAX('Calc base'!N$12,ROUND('Calc base'!N$13*BE255,2))&lt;1,ROUND(BE255*(1+'Calc base'!S256),2),MAX('Calc base'!N$12,ROUND('Calc base'!N$13*BE255,2))))</f>
        <v>0</v>
      </c>
      <c r="V256">
        <f>MAX(0,ROUND(AT255*(1+'Calc base'!H256),2)-J256-'Calc base'!T256)</f>
        <v>0</v>
      </c>
      <c r="W256">
        <f>MAX(0,ROUND(AU255*(1+'Calc base'!I256),2)-K256-'Calc base'!U256)</f>
        <v>0</v>
      </c>
      <c r="X256">
        <f>MAX(0,ROUND(AV255*(1+'Calc base'!J256),2)-L256-'Calc base'!V256)</f>
        <v>0</v>
      </c>
      <c r="Y256">
        <f>MAX(0,ROUND(AW255*(1+'Calc base'!K256),2)-M256-'Calc base'!W256)</f>
        <v>0</v>
      </c>
      <c r="Z256">
        <f>MAX(0,ROUND(AX255*(1+'Calc base'!L256),2)-N256-'Calc base'!X256)</f>
        <v>0</v>
      </c>
      <c r="AA256">
        <f>MAX(0,ROUND(AY255*(1+'Calc base'!M256),2)-O256-'Calc base'!Y256)</f>
        <v>0</v>
      </c>
      <c r="AB256">
        <f>MAX(0,ROUND(AZ255*(1+'Calc base'!N256),2)-P256-'Calc base'!Z256)</f>
        <v>0</v>
      </c>
      <c r="AC256">
        <f>MAX(0,ROUND(BA255*(1+'Calc base'!O256),2)-Q256-'Calc base'!AA256)</f>
        <v>0</v>
      </c>
      <c r="AD256">
        <f>MAX(0,ROUND(BB255*(1+'Calc base'!P256),2)-R256-'Calc base'!AB256)</f>
        <v>0</v>
      </c>
      <c r="AE256">
        <f>MAX(0,ROUND(BC255*(1+'Calc base'!Q256),2)-S256-'Calc base'!AC256)</f>
        <v>0</v>
      </c>
      <c r="AF256">
        <f>MAX(0,ROUND(BD255*(1+'Calc base'!R256),2)-T256-'Calc base'!AD256)</f>
        <v>0</v>
      </c>
      <c r="AG256">
        <f>MAX(0,ROUND(BE255*(1+'Calc base'!S256),2)-U256-'Calc base'!AE256)</f>
        <v>0</v>
      </c>
      <c r="AH256">
        <f>IF('Calc base'!C$14=0,0,MIN(V256,MAX(0,$E256-SUMIFS($V256:$AG256,'Calc base'!$C$17:$N$17,"&lt;"&amp;'Calc base'!C$17,'Calc base'!$C$14:$N$14,1))))</f>
        <v>0</v>
      </c>
      <c r="AI256">
        <f>IF('Calc base'!D$14=0,0,MIN(W256,MAX(0,$E256-SUMIFS($V256:$AG256,'Calc base'!$C$17:$N$17,"&lt;"&amp;'Calc base'!D$17,'Calc base'!$C$14:$N$14,1))))</f>
        <v>0</v>
      </c>
      <c r="AJ256">
        <f>IF('Calc base'!E$14=0,0,MIN(X256,MAX(0,$E256-SUMIFS($V256:$AG256,'Calc base'!$C$17:$N$17,"&lt;"&amp;'Calc base'!E$17,'Calc base'!$C$14:$N$14,1))))</f>
        <v>0</v>
      </c>
      <c r="AK256">
        <f>IF('Calc base'!F$14=0,0,MIN(Y256,MAX(0,$E256-SUMIFS($V256:$AG256,'Calc base'!$C$17:$N$17,"&lt;"&amp;'Calc base'!F$17,'Calc base'!$C$14:$N$14,1))))</f>
        <v>0</v>
      </c>
      <c r="AL256">
        <f>IF('Calc base'!G$14=0,0,MIN(Z256,MAX(0,$E256-SUMIFS($V256:$AG256,'Calc base'!$C$17:$N$17,"&lt;"&amp;'Calc base'!G$17,'Calc base'!$C$14:$N$14,1))))</f>
        <v>0</v>
      </c>
      <c r="AM256">
        <f>IF('Calc base'!H$14=0,0,MIN(AA256,MAX(0,$E256-SUMIFS($V256:$AG256,'Calc base'!$C$17:$N$17,"&lt;"&amp;'Calc base'!H$17,'Calc base'!$C$14:$N$14,1))))</f>
        <v>0</v>
      </c>
      <c r="AN256">
        <f>IF('Calc base'!I$14=0,0,MIN(AB256,MAX(0,$E256-SUMIFS($V256:$AG256,'Calc base'!$C$17:$N$17,"&lt;"&amp;'Calc base'!I$17,'Calc base'!$C$14:$N$14,1))))</f>
        <v>0</v>
      </c>
      <c r="AO256">
        <f>IF('Calc base'!J$14=0,0,MIN(AC256,MAX(0,$E256-SUMIFS($V256:$AG256,'Calc base'!$C$17:$N$17,"&lt;"&amp;'Calc base'!J$17,'Calc base'!$C$14:$N$14,1))))</f>
        <v>0</v>
      </c>
      <c r="AP256">
        <f>IF('Calc base'!K$14=0,0,MIN(AD256,MAX(0,$E256-SUMIFS($V256:$AG256,'Calc base'!$C$17:$N$17,"&lt;"&amp;'Calc base'!K$17,'Calc base'!$C$14:$N$14,1))))</f>
        <v>0</v>
      </c>
      <c r="AQ256">
        <f>IF('Calc base'!L$14=0,0,MIN(AE256,MAX(0,$E256-SUMIFS($V256:$AG256,'Calc base'!$C$17:$N$17,"&lt;"&amp;'Calc base'!L$17,'Calc base'!$C$14:$N$14,1))))</f>
        <v>0</v>
      </c>
      <c r="AR256">
        <f>IF('Calc base'!M$14=0,0,MIN(AF256,MAX(0,$E256-SUMIFS($V256:$AG256,'Calc base'!$C$17:$N$17,"&lt;"&amp;'Calc base'!M$17,'Calc base'!$C$14:$N$14,1))))</f>
        <v>0</v>
      </c>
      <c r="AS256">
        <f>IF('Calc base'!N$14=0,0,MIN(AG256,MAX(0,$E256-SUMIFS($V256:$AG256,'Calc base'!$C$17:$N$17,"&lt;"&amp;'Calc base'!N$17,'Calc base'!$C$14:$N$14,1))))</f>
        <v>0</v>
      </c>
      <c r="AT256">
        <f>V256-AH256</f>
        <v>0</v>
      </c>
      <c r="AU256">
        <f>W256-AI256</f>
        <v>0</v>
      </c>
      <c r="AV256">
        <f>X256-AJ256</f>
        <v>0</v>
      </c>
      <c r="AW256">
        <f>Y256-AK256</f>
        <v>0</v>
      </c>
      <c r="AX256">
        <f>Z256-AL256</f>
        <v>0</v>
      </c>
      <c r="AY256">
        <f>AA256-AM256</f>
        <v>0</v>
      </c>
      <c r="AZ256">
        <f>AB256-AN256</f>
        <v>0</v>
      </c>
      <c r="BA256">
        <f>AC256-AO256</f>
        <v>0</v>
      </c>
      <c r="BB256">
        <f>AD256-AP256</f>
        <v>0</v>
      </c>
      <c r="BC256">
        <f>AE256-AQ256</f>
        <v>0</v>
      </c>
      <c r="BD256">
        <f>AF256-AR256</f>
        <v>0</v>
      </c>
      <c r="BE256">
        <f>AG256-AS256</f>
        <v>0</v>
      </c>
    </row>
    <row r="257">
      <c r="A257" t="n">
        <v>227</v>
      </c>
      <c r="B257">
        <f>SUMPRODUCT(ROUND($AT256:$BE256*(1+'Calc base'!$H257:$S257),2))</f>
        <v>0</v>
      </c>
      <c r="C257">
        <f>SUM(J257:U257)</f>
        <v>0</v>
      </c>
      <c r="D257">
        <f>SUM(V257:AG257)</f>
        <v>0</v>
      </c>
      <c r="E257">
        <f>MAX(0,IF(Impostazioni!$B$7="No",'Calc base'!$C257-$C$31,'Calc base'!$C257-C257)+'Calc base'!$G257+'Calc base'!$F257-(B257-C257-D257))</f>
        <v>900</v>
      </c>
      <c r="F257">
        <f>SUM(AH257:AS257)</f>
        <v>0</v>
      </c>
      <c r="G257">
        <f>SUM(AT257:BE257)</f>
        <v>0</v>
      </c>
      <c r="H257">
        <f>B257-G256</f>
        <v>0</v>
      </c>
      <c r="I257">
        <f>B257-G257</f>
        <v>0</v>
      </c>
      <c r="J257">
        <f>IF(AT256&lt;=0,0,IF(ROUND(AT256*(1+'Calc base'!H257),2)-MAX('Calc base'!C$12,ROUND('Calc base'!C$13*AT256,2))&lt;1,ROUND(AT256*(1+'Calc base'!H257),2),MAX('Calc base'!C$12,ROUND('Calc base'!C$13*AT256,2))))</f>
        <v>0</v>
      </c>
      <c r="K257">
        <f>IF(AU256&lt;=0,0,IF(ROUND(AU256*(1+'Calc base'!I257),2)-MAX('Calc base'!D$12,ROUND('Calc base'!D$13*AU256,2))&lt;1,ROUND(AU256*(1+'Calc base'!I257),2),MAX('Calc base'!D$12,ROUND('Calc base'!D$13*AU256,2))))</f>
        <v>0</v>
      </c>
      <c r="L257">
        <f>IF(AV256&lt;=0,0,IF(ROUND(AV256*(1+'Calc base'!J257),2)-MAX('Calc base'!E$12,ROUND('Calc base'!E$13*AV256,2))&lt;1,ROUND(AV256*(1+'Calc base'!J257),2),MAX('Calc base'!E$12,ROUND('Calc base'!E$13*AV256,2))))</f>
        <v>0</v>
      </c>
      <c r="M257">
        <f>IF(AW256&lt;=0,0,IF(ROUND(AW256*(1+'Calc base'!K257),2)-MAX('Calc base'!F$12,ROUND('Calc base'!F$13*AW256,2))&lt;1,ROUND(AW256*(1+'Calc base'!K257),2),MAX('Calc base'!F$12,ROUND('Calc base'!F$13*AW256,2))))</f>
        <v>0</v>
      </c>
      <c r="N257">
        <f>IF(AX256&lt;=0,0,IF(ROUND(AX256*(1+'Calc base'!L257),2)-MAX('Calc base'!G$12,ROUND('Calc base'!G$13*AX256,2))&lt;1,ROUND(AX256*(1+'Calc base'!L257),2),MAX('Calc base'!G$12,ROUND('Calc base'!G$13*AX256,2))))</f>
        <v>0</v>
      </c>
      <c r="O257">
        <f>IF(AY256&lt;=0,0,IF(ROUND(AY256*(1+'Calc base'!M257),2)-MAX('Calc base'!H$12,ROUND('Calc base'!H$13*AY256,2))&lt;1,ROUND(AY256*(1+'Calc base'!M257),2),MAX('Calc base'!H$12,ROUND('Calc base'!H$13*AY256,2))))</f>
        <v>0</v>
      </c>
      <c r="P257">
        <f>IF(AZ256&lt;=0,0,IF(ROUND(AZ256*(1+'Calc base'!N257),2)-MAX('Calc base'!I$12,ROUND('Calc base'!I$13*AZ256,2))&lt;1,ROUND(AZ256*(1+'Calc base'!N257),2),MAX('Calc base'!I$12,ROUND('Calc base'!I$13*AZ256,2))))</f>
        <v>0</v>
      </c>
      <c r="Q257">
        <f>IF(BA256&lt;=0,0,IF(ROUND(BA256*(1+'Calc base'!O257),2)-MAX('Calc base'!J$12,ROUND('Calc base'!J$13*BA256,2))&lt;1,ROUND(BA256*(1+'Calc base'!O257),2),MAX('Calc base'!J$12,ROUND('Calc base'!J$13*BA256,2))))</f>
        <v>0</v>
      </c>
      <c r="R257">
        <f>IF(BB256&lt;=0,0,IF(ROUND(BB256*(1+'Calc base'!P257),2)-MAX('Calc base'!K$12,ROUND('Calc base'!K$13*BB256,2))&lt;1,ROUND(BB256*(1+'Calc base'!P257),2),MAX('Calc base'!K$12,ROUND('Calc base'!K$13*BB256,2))))</f>
        <v>0</v>
      </c>
      <c r="S257">
        <f>IF(BC256&lt;=0,0,IF(ROUND(BC256*(1+'Calc base'!Q257),2)-MAX('Calc base'!L$12,ROUND('Calc base'!L$13*BC256,2))&lt;1,ROUND(BC256*(1+'Calc base'!Q257),2),MAX('Calc base'!L$12,ROUND('Calc base'!L$13*BC256,2))))</f>
        <v>0</v>
      </c>
      <c r="T257">
        <f>IF(BD256&lt;=0,0,IF(ROUND(BD256*(1+'Calc base'!R257),2)-MAX('Calc base'!M$12,ROUND('Calc base'!M$13*BD256,2))&lt;1,ROUND(BD256*(1+'Calc base'!R257),2),MAX('Calc base'!M$12,ROUND('Calc base'!M$13*BD256,2))))</f>
        <v>0</v>
      </c>
      <c r="U257">
        <f>IF(BE256&lt;=0,0,IF(ROUND(BE256*(1+'Calc base'!S257),2)-MAX('Calc base'!N$12,ROUND('Calc base'!N$13*BE256,2))&lt;1,ROUND(BE256*(1+'Calc base'!S257),2),MAX('Calc base'!N$12,ROUND('Calc base'!N$13*BE256,2))))</f>
        <v>0</v>
      </c>
      <c r="V257">
        <f>MAX(0,ROUND(AT256*(1+'Calc base'!H257),2)-J257-'Calc base'!T257)</f>
        <v>0</v>
      </c>
      <c r="W257">
        <f>MAX(0,ROUND(AU256*(1+'Calc base'!I257),2)-K257-'Calc base'!U257)</f>
        <v>0</v>
      </c>
      <c r="X257">
        <f>MAX(0,ROUND(AV256*(1+'Calc base'!J257),2)-L257-'Calc base'!V257)</f>
        <v>0</v>
      </c>
      <c r="Y257">
        <f>MAX(0,ROUND(AW256*(1+'Calc base'!K257),2)-M257-'Calc base'!W257)</f>
        <v>0</v>
      </c>
      <c r="Z257">
        <f>MAX(0,ROUND(AX256*(1+'Calc base'!L257),2)-N257-'Calc base'!X257)</f>
        <v>0</v>
      </c>
      <c r="AA257">
        <f>MAX(0,ROUND(AY256*(1+'Calc base'!M257),2)-O257-'Calc base'!Y257)</f>
        <v>0</v>
      </c>
      <c r="AB257">
        <f>MAX(0,ROUND(AZ256*(1+'Calc base'!N257),2)-P257-'Calc base'!Z257)</f>
        <v>0</v>
      </c>
      <c r="AC257">
        <f>MAX(0,ROUND(BA256*(1+'Calc base'!O257),2)-Q257-'Calc base'!AA257)</f>
        <v>0</v>
      </c>
      <c r="AD257">
        <f>MAX(0,ROUND(BB256*(1+'Calc base'!P257),2)-R257-'Calc base'!AB257)</f>
        <v>0</v>
      </c>
      <c r="AE257">
        <f>MAX(0,ROUND(BC256*(1+'Calc base'!Q257),2)-S257-'Calc base'!AC257)</f>
        <v>0</v>
      </c>
      <c r="AF257">
        <f>MAX(0,ROUND(BD256*(1+'Calc base'!R257),2)-T257-'Calc base'!AD257)</f>
        <v>0</v>
      </c>
      <c r="AG257">
        <f>MAX(0,ROUND(BE256*(1+'Calc base'!S257),2)-U257-'Calc base'!AE257)</f>
        <v>0</v>
      </c>
      <c r="AH257">
        <f>IF('Calc base'!C$14=0,0,MIN(V257,MAX(0,$E257-SUMIFS($V257:$AG257,'Calc base'!$C$17:$N$17,"&lt;"&amp;'Calc base'!C$17,'Calc base'!$C$14:$N$14,1))))</f>
        <v>0</v>
      </c>
      <c r="AI257">
        <f>IF('Calc base'!D$14=0,0,MIN(W257,MAX(0,$E257-SUMIFS($V257:$AG257,'Calc base'!$C$17:$N$17,"&lt;"&amp;'Calc base'!D$17,'Calc base'!$C$14:$N$14,1))))</f>
        <v>0</v>
      </c>
      <c r="AJ257">
        <f>IF('Calc base'!E$14=0,0,MIN(X257,MAX(0,$E257-SUMIFS($V257:$AG257,'Calc base'!$C$17:$N$17,"&lt;"&amp;'Calc base'!E$17,'Calc base'!$C$14:$N$14,1))))</f>
        <v>0</v>
      </c>
      <c r="AK257">
        <f>IF('Calc base'!F$14=0,0,MIN(Y257,MAX(0,$E257-SUMIFS($V257:$AG257,'Calc base'!$C$17:$N$17,"&lt;"&amp;'Calc base'!F$17,'Calc base'!$C$14:$N$14,1))))</f>
        <v>0</v>
      </c>
      <c r="AL257">
        <f>IF('Calc base'!G$14=0,0,MIN(Z257,MAX(0,$E257-SUMIFS($V257:$AG257,'Calc base'!$C$17:$N$17,"&lt;"&amp;'Calc base'!G$17,'Calc base'!$C$14:$N$14,1))))</f>
        <v>0</v>
      </c>
      <c r="AM257">
        <f>IF('Calc base'!H$14=0,0,MIN(AA257,MAX(0,$E257-SUMIFS($V257:$AG257,'Calc base'!$C$17:$N$17,"&lt;"&amp;'Calc base'!H$17,'Calc base'!$C$14:$N$14,1))))</f>
        <v>0</v>
      </c>
      <c r="AN257">
        <f>IF('Calc base'!I$14=0,0,MIN(AB257,MAX(0,$E257-SUMIFS($V257:$AG257,'Calc base'!$C$17:$N$17,"&lt;"&amp;'Calc base'!I$17,'Calc base'!$C$14:$N$14,1))))</f>
        <v>0</v>
      </c>
      <c r="AO257">
        <f>IF('Calc base'!J$14=0,0,MIN(AC257,MAX(0,$E257-SUMIFS($V257:$AG257,'Calc base'!$C$17:$N$17,"&lt;"&amp;'Calc base'!J$17,'Calc base'!$C$14:$N$14,1))))</f>
        <v>0</v>
      </c>
      <c r="AP257">
        <f>IF('Calc base'!K$14=0,0,MIN(AD257,MAX(0,$E257-SUMIFS($V257:$AG257,'Calc base'!$C$17:$N$17,"&lt;"&amp;'Calc base'!K$17,'Calc base'!$C$14:$N$14,1))))</f>
        <v>0</v>
      </c>
      <c r="AQ257">
        <f>IF('Calc base'!L$14=0,0,MIN(AE257,MAX(0,$E257-SUMIFS($V257:$AG257,'Calc base'!$C$17:$N$17,"&lt;"&amp;'Calc base'!L$17,'Calc base'!$C$14:$N$14,1))))</f>
        <v>0</v>
      </c>
      <c r="AR257">
        <f>IF('Calc base'!M$14=0,0,MIN(AF257,MAX(0,$E257-SUMIFS($V257:$AG257,'Calc base'!$C$17:$N$17,"&lt;"&amp;'Calc base'!M$17,'Calc base'!$C$14:$N$14,1))))</f>
        <v>0</v>
      </c>
      <c r="AS257">
        <f>IF('Calc base'!N$14=0,0,MIN(AG257,MAX(0,$E257-SUMIFS($V257:$AG257,'Calc base'!$C$17:$N$17,"&lt;"&amp;'Calc base'!N$17,'Calc base'!$C$14:$N$14,1))))</f>
        <v>0</v>
      </c>
      <c r="AT257">
        <f>V257-AH257</f>
        <v>0</v>
      </c>
      <c r="AU257">
        <f>W257-AI257</f>
        <v>0</v>
      </c>
      <c r="AV257">
        <f>X257-AJ257</f>
        <v>0</v>
      </c>
      <c r="AW257">
        <f>Y257-AK257</f>
        <v>0</v>
      </c>
      <c r="AX257">
        <f>Z257-AL257</f>
        <v>0</v>
      </c>
      <c r="AY257">
        <f>AA257-AM257</f>
        <v>0</v>
      </c>
      <c r="AZ257">
        <f>AB257-AN257</f>
        <v>0</v>
      </c>
      <c r="BA257">
        <f>AC257-AO257</f>
        <v>0</v>
      </c>
      <c r="BB257">
        <f>AD257-AP257</f>
        <v>0</v>
      </c>
      <c r="BC257">
        <f>AE257-AQ257</f>
        <v>0</v>
      </c>
      <c r="BD257">
        <f>AF257-AR257</f>
        <v>0</v>
      </c>
      <c r="BE257">
        <f>AG257-AS257</f>
        <v>0</v>
      </c>
    </row>
    <row r="258">
      <c r="A258" t="n">
        <v>228</v>
      </c>
      <c r="B258">
        <f>SUMPRODUCT(ROUND($AT257:$BE257*(1+'Calc base'!$H258:$S258),2))</f>
        <v>0</v>
      </c>
      <c r="C258">
        <f>SUM(J258:U258)</f>
        <v>0</v>
      </c>
      <c r="D258">
        <f>SUM(V258:AG258)</f>
        <v>0</v>
      </c>
      <c r="E258">
        <f>MAX(0,IF(Impostazioni!$B$7="No",'Calc base'!$C258-$C$31,'Calc base'!$C258-C258)+'Calc base'!$G258+'Calc base'!$F258-(B258-C258-D258))</f>
        <v>900</v>
      </c>
      <c r="F258">
        <f>SUM(AH258:AS258)</f>
        <v>0</v>
      </c>
      <c r="G258">
        <f>SUM(AT258:BE258)</f>
        <v>0</v>
      </c>
      <c r="H258">
        <f>B258-G257</f>
        <v>0</v>
      </c>
      <c r="I258">
        <f>B258-G258</f>
        <v>0</v>
      </c>
      <c r="J258">
        <f>IF(AT257&lt;=0,0,IF(ROUND(AT257*(1+'Calc base'!H258),2)-MAX('Calc base'!C$12,ROUND('Calc base'!C$13*AT257,2))&lt;1,ROUND(AT257*(1+'Calc base'!H258),2),MAX('Calc base'!C$12,ROUND('Calc base'!C$13*AT257,2))))</f>
        <v>0</v>
      </c>
      <c r="K258">
        <f>IF(AU257&lt;=0,0,IF(ROUND(AU257*(1+'Calc base'!I258),2)-MAX('Calc base'!D$12,ROUND('Calc base'!D$13*AU257,2))&lt;1,ROUND(AU257*(1+'Calc base'!I258),2),MAX('Calc base'!D$12,ROUND('Calc base'!D$13*AU257,2))))</f>
        <v>0</v>
      </c>
      <c r="L258">
        <f>IF(AV257&lt;=0,0,IF(ROUND(AV257*(1+'Calc base'!J258),2)-MAX('Calc base'!E$12,ROUND('Calc base'!E$13*AV257,2))&lt;1,ROUND(AV257*(1+'Calc base'!J258),2),MAX('Calc base'!E$12,ROUND('Calc base'!E$13*AV257,2))))</f>
        <v>0</v>
      </c>
      <c r="M258">
        <f>IF(AW257&lt;=0,0,IF(ROUND(AW257*(1+'Calc base'!K258),2)-MAX('Calc base'!F$12,ROUND('Calc base'!F$13*AW257,2))&lt;1,ROUND(AW257*(1+'Calc base'!K258),2),MAX('Calc base'!F$12,ROUND('Calc base'!F$13*AW257,2))))</f>
        <v>0</v>
      </c>
      <c r="N258">
        <f>IF(AX257&lt;=0,0,IF(ROUND(AX257*(1+'Calc base'!L258),2)-MAX('Calc base'!G$12,ROUND('Calc base'!G$13*AX257,2))&lt;1,ROUND(AX257*(1+'Calc base'!L258),2),MAX('Calc base'!G$12,ROUND('Calc base'!G$13*AX257,2))))</f>
        <v>0</v>
      </c>
      <c r="O258">
        <f>IF(AY257&lt;=0,0,IF(ROUND(AY257*(1+'Calc base'!M258),2)-MAX('Calc base'!H$12,ROUND('Calc base'!H$13*AY257,2))&lt;1,ROUND(AY257*(1+'Calc base'!M258),2),MAX('Calc base'!H$12,ROUND('Calc base'!H$13*AY257,2))))</f>
        <v>0</v>
      </c>
      <c r="P258">
        <f>IF(AZ257&lt;=0,0,IF(ROUND(AZ257*(1+'Calc base'!N258),2)-MAX('Calc base'!I$12,ROUND('Calc base'!I$13*AZ257,2))&lt;1,ROUND(AZ257*(1+'Calc base'!N258),2),MAX('Calc base'!I$12,ROUND('Calc base'!I$13*AZ257,2))))</f>
        <v>0</v>
      </c>
      <c r="Q258">
        <f>IF(BA257&lt;=0,0,IF(ROUND(BA257*(1+'Calc base'!O258),2)-MAX('Calc base'!J$12,ROUND('Calc base'!J$13*BA257,2))&lt;1,ROUND(BA257*(1+'Calc base'!O258),2),MAX('Calc base'!J$12,ROUND('Calc base'!J$13*BA257,2))))</f>
        <v>0</v>
      </c>
      <c r="R258">
        <f>IF(BB257&lt;=0,0,IF(ROUND(BB257*(1+'Calc base'!P258),2)-MAX('Calc base'!K$12,ROUND('Calc base'!K$13*BB257,2))&lt;1,ROUND(BB257*(1+'Calc base'!P258),2),MAX('Calc base'!K$12,ROUND('Calc base'!K$13*BB257,2))))</f>
        <v>0</v>
      </c>
      <c r="S258">
        <f>IF(BC257&lt;=0,0,IF(ROUND(BC257*(1+'Calc base'!Q258),2)-MAX('Calc base'!L$12,ROUND('Calc base'!L$13*BC257,2))&lt;1,ROUND(BC257*(1+'Calc base'!Q258),2),MAX('Calc base'!L$12,ROUND('Calc base'!L$13*BC257,2))))</f>
        <v>0</v>
      </c>
      <c r="T258">
        <f>IF(BD257&lt;=0,0,IF(ROUND(BD257*(1+'Calc base'!R258),2)-MAX('Calc base'!M$12,ROUND('Calc base'!M$13*BD257,2))&lt;1,ROUND(BD257*(1+'Calc base'!R258),2),MAX('Calc base'!M$12,ROUND('Calc base'!M$13*BD257,2))))</f>
        <v>0</v>
      </c>
      <c r="U258">
        <f>IF(BE257&lt;=0,0,IF(ROUND(BE257*(1+'Calc base'!S258),2)-MAX('Calc base'!N$12,ROUND('Calc base'!N$13*BE257,2))&lt;1,ROUND(BE257*(1+'Calc base'!S258),2),MAX('Calc base'!N$12,ROUND('Calc base'!N$13*BE257,2))))</f>
        <v>0</v>
      </c>
      <c r="V258">
        <f>MAX(0,ROUND(AT257*(1+'Calc base'!H258),2)-J258-'Calc base'!T258)</f>
        <v>0</v>
      </c>
      <c r="W258">
        <f>MAX(0,ROUND(AU257*(1+'Calc base'!I258),2)-K258-'Calc base'!U258)</f>
        <v>0</v>
      </c>
      <c r="X258">
        <f>MAX(0,ROUND(AV257*(1+'Calc base'!J258),2)-L258-'Calc base'!V258)</f>
        <v>0</v>
      </c>
      <c r="Y258">
        <f>MAX(0,ROUND(AW257*(1+'Calc base'!K258),2)-M258-'Calc base'!W258)</f>
        <v>0</v>
      </c>
      <c r="Z258">
        <f>MAX(0,ROUND(AX257*(1+'Calc base'!L258),2)-N258-'Calc base'!X258)</f>
        <v>0</v>
      </c>
      <c r="AA258">
        <f>MAX(0,ROUND(AY257*(1+'Calc base'!M258),2)-O258-'Calc base'!Y258)</f>
        <v>0</v>
      </c>
      <c r="AB258">
        <f>MAX(0,ROUND(AZ257*(1+'Calc base'!N258),2)-P258-'Calc base'!Z258)</f>
        <v>0</v>
      </c>
      <c r="AC258">
        <f>MAX(0,ROUND(BA257*(1+'Calc base'!O258),2)-Q258-'Calc base'!AA258)</f>
        <v>0</v>
      </c>
      <c r="AD258">
        <f>MAX(0,ROUND(BB257*(1+'Calc base'!P258),2)-R258-'Calc base'!AB258)</f>
        <v>0</v>
      </c>
      <c r="AE258">
        <f>MAX(0,ROUND(BC257*(1+'Calc base'!Q258),2)-S258-'Calc base'!AC258)</f>
        <v>0</v>
      </c>
      <c r="AF258">
        <f>MAX(0,ROUND(BD257*(1+'Calc base'!R258),2)-T258-'Calc base'!AD258)</f>
        <v>0</v>
      </c>
      <c r="AG258">
        <f>MAX(0,ROUND(BE257*(1+'Calc base'!S258),2)-U258-'Calc base'!AE258)</f>
        <v>0</v>
      </c>
      <c r="AH258">
        <f>IF('Calc base'!C$14=0,0,MIN(V258,MAX(0,$E258-SUMIFS($V258:$AG258,'Calc base'!$C$17:$N$17,"&lt;"&amp;'Calc base'!C$17,'Calc base'!$C$14:$N$14,1))))</f>
        <v>0</v>
      </c>
      <c r="AI258">
        <f>IF('Calc base'!D$14=0,0,MIN(W258,MAX(0,$E258-SUMIFS($V258:$AG258,'Calc base'!$C$17:$N$17,"&lt;"&amp;'Calc base'!D$17,'Calc base'!$C$14:$N$14,1))))</f>
        <v>0</v>
      </c>
      <c r="AJ258">
        <f>IF('Calc base'!E$14=0,0,MIN(X258,MAX(0,$E258-SUMIFS($V258:$AG258,'Calc base'!$C$17:$N$17,"&lt;"&amp;'Calc base'!E$17,'Calc base'!$C$14:$N$14,1))))</f>
        <v>0</v>
      </c>
      <c r="AK258">
        <f>IF('Calc base'!F$14=0,0,MIN(Y258,MAX(0,$E258-SUMIFS($V258:$AG258,'Calc base'!$C$17:$N$17,"&lt;"&amp;'Calc base'!F$17,'Calc base'!$C$14:$N$14,1))))</f>
        <v>0</v>
      </c>
      <c r="AL258">
        <f>IF('Calc base'!G$14=0,0,MIN(Z258,MAX(0,$E258-SUMIFS($V258:$AG258,'Calc base'!$C$17:$N$17,"&lt;"&amp;'Calc base'!G$17,'Calc base'!$C$14:$N$14,1))))</f>
        <v>0</v>
      </c>
      <c r="AM258">
        <f>IF('Calc base'!H$14=0,0,MIN(AA258,MAX(0,$E258-SUMIFS($V258:$AG258,'Calc base'!$C$17:$N$17,"&lt;"&amp;'Calc base'!H$17,'Calc base'!$C$14:$N$14,1))))</f>
        <v>0</v>
      </c>
      <c r="AN258">
        <f>IF('Calc base'!I$14=0,0,MIN(AB258,MAX(0,$E258-SUMIFS($V258:$AG258,'Calc base'!$C$17:$N$17,"&lt;"&amp;'Calc base'!I$17,'Calc base'!$C$14:$N$14,1))))</f>
        <v>0</v>
      </c>
      <c r="AO258">
        <f>IF('Calc base'!J$14=0,0,MIN(AC258,MAX(0,$E258-SUMIFS($V258:$AG258,'Calc base'!$C$17:$N$17,"&lt;"&amp;'Calc base'!J$17,'Calc base'!$C$14:$N$14,1))))</f>
        <v>0</v>
      </c>
      <c r="AP258">
        <f>IF('Calc base'!K$14=0,0,MIN(AD258,MAX(0,$E258-SUMIFS($V258:$AG258,'Calc base'!$C$17:$N$17,"&lt;"&amp;'Calc base'!K$17,'Calc base'!$C$14:$N$14,1))))</f>
        <v>0</v>
      </c>
      <c r="AQ258">
        <f>IF('Calc base'!L$14=0,0,MIN(AE258,MAX(0,$E258-SUMIFS($V258:$AG258,'Calc base'!$C$17:$N$17,"&lt;"&amp;'Calc base'!L$17,'Calc base'!$C$14:$N$14,1))))</f>
        <v>0</v>
      </c>
      <c r="AR258">
        <f>IF('Calc base'!M$14=0,0,MIN(AF258,MAX(0,$E258-SUMIFS($V258:$AG258,'Calc base'!$C$17:$N$17,"&lt;"&amp;'Calc base'!M$17,'Calc base'!$C$14:$N$14,1))))</f>
        <v>0</v>
      </c>
      <c r="AS258">
        <f>IF('Calc base'!N$14=0,0,MIN(AG258,MAX(0,$E258-SUMIFS($V258:$AG258,'Calc base'!$C$17:$N$17,"&lt;"&amp;'Calc base'!N$17,'Calc base'!$C$14:$N$14,1))))</f>
        <v>0</v>
      </c>
      <c r="AT258">
        <f>V258-AH258</f>
        <v>0</v>
      </c>
      <c r="AU258">
        <f>W258-AI258</f>
        <v>0</v>
      </c>
      <c r="AV258">
        <f>X258-AJ258</f>
        <v>0</v>
      </c>
      <c r="AW258">
        <f>Y258-AK258</f>
        <v>0</v>
      </c>
      <c r="AX258">
        <f>Z258-AL258</f>
        <v>0</v>
      </c>
      <c r="AY258">
        <f>AA258-AM258</f>
        <v>0</v>
      </c>
      <c r="AZ258">
        <f>AB258-AN258</f>
        <v>0</v>
      </c>
      <c r="BA258">
        <f>AC258-AO258</f>
        <v>0</v>
      </c>
      <c r="BB258">
        <f>AD258-AP258</f>
        <v>0</v>
      </c>
      <c r="BC258">
        <f>AE258-AQ258</f>
        <v>0</v>
      </c>
      <c r="BD258">
        <f>AF258-AR258</f>
        <v>0</v>
      </c>
      <c r="BE258">
        <f>AG258-AS258</f>
        <v>0</v>
      </c>
    </row>
    <row r="259">
      <c r="A259" t="n">
        <v>229</v>
      </c>
      <c r="B259">
        <f>SUMPRODUCT(ROUND($AT258:$BE258*(1+'Calc base'!$H259:$S259),2))</f>
        <v>0</v>
      </c>
      <c r="C259">
        <f>SUM(J259:U259)</f>
        <v>0</v>
      </c>
      <c r="D259">
        <f>SUM(V259:AG259)</f>
        <v>0</v>
      </c>
      <c r="E259">
        <f>MAX(0,IF(Impostazioni!$B$7="No",'Calc base'!$C259-$C$31,'Calc base'!$C259-C259)+'Calc base'!$G259+'Calc base'!$F259-(B259-C259-D259))</f>
        <v>900</v>
      </c>
      <c r="F259">
        <f>SUM(AH259:AS259)</f>
        <v>0</v>
      </c>
      <c r="G259">
        <f>SUM(AT259:BE259)</f>
        <v>0</v>
      </c>
      <c r="H259">
        <f>B259-G258</f>
        <v>0</v>
      </c>
      <c r="I259">
        <f>B259-G259</f>
        <v>0</v>
      </c>
      <c r="J259">
        <f>IF(AT258&lt;=0,0,IF(ROUND(AT258*(1+'Calc base'!H259),2)-MAX('Calc base'!C$12,ROUND('Calc base'!C$13*AT258,2))&lt;1,ROUND(AT258*(1+'Calc base'!H259),2),MAX('Calc base'!C$12,ROUND('Calc base'!C$13*AT258,2))))</f>
        <v>0</v>
      </c>
      <c r="K259">
        <f>IF(AU258&lt;=0,0,IF(ROUND(AU258*(1+'Calc base'!I259),2)-MAX('Calc base'!D$12,ROUND('Calc base'!D$13*AU258,2))&lt;1,ROUND(AU258*(1+'Calc base'!I259),2),MAX('Calc base'!D$12,ROUND('Calc base'!D$13*AU258,2))))</f>
        <v>0</v>
      </c>
      <c r="L259">
        <f>IF(AV258&lt;=0,0,IF(ROUND(AV258*(1+'Calc base'!J259),2)-MAX('Calc base'!E$12,ROUND('Calc base'!E$13*AV258,2))&lt;1,ROUND(AV258*(1+'Calc base'!J259),2),MAX('Calc base'!E$12,ROUND('Calc base'!E$13*AV258,2))))</f>
        <v>0</v>
      </c>
      <c r="M259">
        <f>IF(AW258&lt;=0,0,IF(ROUND(AW258*(1+'Calc base'!K259),2)-MAX('Calc base'!F$12,ROUND('Calc base'!F$13*AW258,2))&lt;1,ROUND(AW258*(1+'Calc base'!K259),2),MAX('Calc base'!F$12,ROUND('Calc base'!F$13*AW258,2))))</f>
        <v>0</v>
      </c>
      <c r="N259">
        <f>IF(AX258&lt;=0,0,IF(ROUND(AX258*(1+'Calc base'!L259),2)-MAX('Calc base'!G$12,ROUND('Calc base'!G$13*AX258,2))&lt;1,ROUND(AX258*(1+'Calc base'!L259),2),MAX('Calc base'!G$12,ROUND('Calc base'!G$13*AX258,2))))</f>
        <v>0</v>
      </c>
      <c r="O259">
        <f>IF(AY258&lt;=0,0,IF(ROUND(AY258*(1+'Calc base'!M259),2)-MAX('Calc base'!H$12,ROUND('Calc base'!H$13*AY258,2))&lt;1,ROUND(AY258*(1+'Calc base'!M259),2),MAX('Calc base'!H$12,ROUND('Calc base'!H$13*AY258,2))))</f>
        <v>0</v>
      </c>
      <c r="P259">
        <f>IF(AZ258&lt;=0,0,IF(ROUND(AZ258*(1+'Calc base'!N259),2)-MAX('Calc base'!I$12,ROUND('Calc base'!I$13*AZ258,2))&lt;1,ROUND(AZ258*(1+'Calc base'!N259),2),MAX('Calc base'!I$12,ROUND('Calc base'!I$13*AZ258,2))))</f>
        <v>0</v>
      </c>
      <c r="Q259">
        <f>IF(BA258&lt;=0,0,IF(ROUND(BA258*(1+'Calc base'!O259),2)-MAX('Calc base'!J$12,ROUND('Calc base'!J$13*BA258,2))&lt;1,ROUND(BA258*(1+'Calc base'!O259),2),MAX('Calc base'!J$12,ROUND('Calc base'!J$13*BA258,2))))</f>
        <v>0</v>
      </c>
      <c r="R259">
        <f>IF(BB258&lt;=0,0,IF(ROUND(BB258*(1+'Calc base'!P259),2)-MAX('Calc base'!K$12,ROUND('Calc base'!K$13*BB258,2))&lt;1,ROUND(BB258*(1+'Calc base'!P259),2),MAX('Calc base'!K$12,ROUND('Calc base'!K$13*BB258,2))))</f>
        <v>0</v>
      </c>
      <c r="S259">
        <f>IF(BC258&lt;=0,0,IF(ROUND(BC258*(1+'Calc base'!Q259),2)-MAX('Calc base'!L$12,ROUND('Calc base'!L$13*BC258,2))&lt;1,ROUND(BC258*(1+'Calc base'!Q259),2),MAX('Calc base'!L$12,ROUND('Calc base'!L$13*BC258,2))))</f>
        <v>0</v>
      </c>
      <c r="T259">
        <f>IF(BD258&lt;=0,0,IF(ROUND(BD258*(1+'Calc base'!R259),2)-MAX('Calc base'!M$12,ROUND('Calc base'!M$13*BD258,2))&lt;1,ROUND(BD258*(1+'Calc base'!R259),2),MAX('Calc base'!M$12,ROUND('Calc base'!M$13*BD258,2))))</f>
        <v>0</v>
      </c>
      <c r="U259">
        <f>IF(BE258&lt;=0,0,IF(ROUND(BE258*(1+'Calc base'!S259),2)-MAX('Calc base'!N$12,ROUND('Calc base'!N$13*BE258,2))&lt;1,ROUND(BE258*(1+'Calc base'!S259),2),MAX('Calc base'!N$12,ROUND('Calc base'!N$13*BE258,2))))</f>
        <v>0</v>
      </c>
      <c r="V259">
        <f>MAX(0,ROUND(AT258*(1+'Calc base'!H259),2)-J259-'Calc base'!T259)</f>
        <v>0</v>
      </c>
      <c r="W259">
        <f>MAX(0,ROUND(AU258*(1+'Calc base'!I259),2)-K259-'Calc base'!U259)</f>
        <v>0</v>
      </c>
      <c r="X259">
        <f>MAX(0,ROUND(AV258*(1+'Calc base'!J259),2)-L259-'Calc base'!V259)</f>
        <v>0</v>
      </c>
      <c r="Y259">
        <f>MAX(0,ROUND(AW258*(1+'Calc base'!K259),2)-M259-'Calc base'!W259)</f>
        <v>0</v>
      </c>
      <c r="Z259">
        <f>MAX(0,ROUND(AX258*(1+'Calc base'!L259),2)-N259-'Calc base'!X259)</f>
        <v>0</v>
      </c>
      <c r="AA259">
        <f>MAX(0,ROUND(AY258*(1+'Calc base'!M259),2)-O259-'Calc base'!Y259)</f>
        <v>0</v>
      </c>
      <c r="AB259">
        <f>MAX(0,ROUND(AZ258*(1+'Calc base'!N259),2)-P259-'Calc base'!Z259)</f>
        <v>0</v>
      </c>
      <c r="AC259">
        <f>MAX(0,ROUND(BA258*(1+'Calc base'!O259),2)-Q259-'Calc base'!AA259)</f>
        <v>0</v>
      </c>
      <c r="AD259">
        <f>MAX(0,ROUND(BB258*(1+'Calc base'!P259),2)-R259-'Calc base'!AB259)</f>
        <v>0</v>
      </c>
      <c r="AE259">
        <f>MAX(0,ROUND(BC258*(1+'Calc base'!Q259),2)-S259-'Calc base'!AC259)</f>
        <v>0</v>
      </c>
      <c r="AF259">
        <f>MAX(0,ROUND(BD258*(1+'Calc base'!R259),2)-T259-'Calc base'!AD259)</f>
        <v>0</v>
      </c>
      <c r="AG259">
        <f>MAX(0,ROUND(BE258*(1+'Calc base'!S259),2)-U259-'Calc base'!AE259)</f>
        <v>0</v>
      </c>
      <c r="AH259">
        <f>IF('Calc base'!C$14=0,0,MIN(V259,MAX(0,$E259-SUMIFS($V259:$AG259,'Calc base'!$C$17:$N$17,"&lt;"&amp;'Calc base'!C$17,'Calc base'!$C$14:$N$14,1))))</f>
        <v>0</v>
      </c>
      <c r="AI259">
        <f>IF('Calc base'!D$14=0,0,MIN(W259,MAX(0,$E259-SUMIFS($V259:$AG259,'Calc base'!$C$17:$N$17,"&lt;"&amp;'Calc base'!D$17,'Calc base'!$C$14:$N$14,1))))</f>
        <v>0</v>
      </c>
      <c r="AJ259">
        <f>IF('Calc base'!E$14=0,0,MIN(X259,MAX(0,$E259-SUMIFS($V259:$AG259,'Calc base'!$C$17:$N$17,"&lt;"&amp;'Calc base'!E$17,'Calc base'!$C$14:$N$14,1))))</f>
        <v>0</v>
      </c>
      <c r="AK259">
        <f>IF('Calc base'!F$14=0,0,MIN(Y259,MAX(0,$E259-SUMIFS($V259:$AG259,'Calc base'!$C$17:$N$17,"&lt;"&amp;'Calc base'!F$17,'Calc base'!$C$14:$N$14,1))))</f>
        <v>0</v>
      </c>
      <c r="AL259">
        <f>IF('Calc base'!G$14=0,0,MIN(Z259,MAX(0,$E259-SUMIFS($V259:$AG259,'Calc base'!$C$17:$N$17,"&lt;"&amp;'Calc base'!G$17,'Calc base'!$C$14:$N$14,1))))</f>
        <v>0</v>
      </c>
      <c r="AM259">
        <f>IF('Calc base'!H$14=0,0,MIN(AA259,MAX(0,$E259-SUMIFS($V259:$AG259,'Calc base'!$C$17:$N$17,"&lt;"&amp;'Calc base'!H$17,'Calc base'!$C$14:$N$14,1))))</f>
        <v>0</v>
      </c>
      <c r="AN259">
        <f>IF('Calc base'!I$14=0,0,MIN(AB259,MAX(0,$E259-SUMIFS($V259:$AG259,'Calc base'!$C$17:$N$17,"&lt;"&amp;'Calc base'!I$17,'Calc base'!$C$14:$N$14,1))))</f>
        <v>0</v>
      </c>
      <c r="AO259">
        <f>IF('Calc base'!J$14=0,0,MIN(AC259,MAX(0,$E259-SUMIFS($V259:$AG259,'Calc base'!$C$17:$N$17,"&lt;"&amp;'Calc base'!J$17,'Calc base'!$C$14:$N$14,1))))</f>
        <v>0</v>
      </c>
      <c r="AP259">
        <f>IF('Calc base'!K$14=0,0,MIN(AD259,MAX(0,$E259-SUMIFS($V259:$AG259,'Calc base'!$C$17:$N$17,"&lt;"&amp;'Calc base'!K$17,'Calc base'!$C$14:$N$14,1))))</f>
        <v>0</v>
      </c>
      <c r="AQ259">
        <f>IF('Calc base'!L$14=0,0,MIN(AE259,MAX(0,$E259-SUMIFS($V259:$AG259,'Calc base'!$C$17:$N$17,"&lt;"&amp;'Calc base'!L$17,'Calc base'!$C$14:$N$14,1))))</f>
        <v>0</v>
      </c>
      <c r="AR259">
        <f>IF('Calc base'!M$14=0,0,MIN(AF259,MAX(0,$E259-SUMIFS($V259:$AG259,'Calc base'!$C$17:$N$17,"&lt;"&amp;'Calc base'!M$17,'Calc base'!$C$14:$N$14,1))))</f>
        <v>0</v>
      </c>
      <c r="AS259">
        <f>IF('Calc base'!N$14=0,0,MIN(AG259,MAX(0,$E259-SUMIFS($V259:$AG259,'Calc base'!$C$17:$N$17,"&lt;"&amp;'Calc base'!N$17,'Calc base'!$C$14:$N$14,1))))</f>
        <v>0</v>
      </c>
      <c r="AT259">
        <f>V259-AH259</f>
        <v>0</v>
      </c>
      <c r="AU259">
        <f>W259-AI259</f>
        <v>0</v>
      </c>
      <c r="AV259">
        <f>X259-AJ259</f>
        <v>0</v>
      </c>
      <c r="AW259">
        <f>Y259-AK259</f>
        <v>0</v>
      </c>
      <c r="AX259">
        <f>Z259-AL259</f>
        <v>0</v>
      </c>
      <c r="AY259">
        <f>AA259-AM259</f>
        <v>0</v>
      </c>
      <c r="AZ259">
        <f>AB259-AN259</f>
        <v>0</v>
      </c>
      <c r="BA259">
        <f>AC259-AO259</f>
        <v>0</v>
      </c>
      <c r="BB259">
        <f>AD259-AP259</f>
        <v>0</v>
      </c>
      <c r="BC259">
        <f>AE259-AQ259</f>
        <v>0</v>
      </c>
      <c r="BD259">
        <f>AF259-AR259</f>
        <v>0</v>
      </c>
      <c r="BE259">
        <f>AG259-AS259</f>
        <v>0</v>
      </c>
    </row>
    <row r="260">
      <c r="A260" t="n">
        <v>230</v>
      </c>
      <c r="B260">
        <f>SUMPRODUCT(ROUND($AT259:$BE259*(1+'Calc base'!$H260:$S260),2))</f>
        <v>0</v>
      </c>
      <c r="C260">
        <f>SUM(J260:U260)</f>
        <v>0</v>
      </c>
      <c r="D260">
        <f>SUM(V260:AG260)</f>
        <v>0</v>
      </c>
      <c r="E260">
        <f>MAX(0,IF(Impostazioni!$B$7="No",'Calc base'!$C260-$C$31,'Calc base'!$C260-C260)+'Calc base'!$G260+'Calc base'!$F260-(B260-C260-D260))</f>
        <v>900</v>
      </c>
      <c r="F260">
        <f>SUM(AH260:AS260)</f>
        <v>0</v>
      </c>
      <c r="G260">
        <f>SUM(AT260:BE260)</f>
        <v>0</v>
      </c>
      <c r="H260">
        <f>B260-G259</f>
        <v>0</v>
      </c>
      <c r="I260">
        <f>B260-G260</f>
        <v>0</v>
      </c>
      <c r="J260">
        <f>IF(AT259&lt;=0,0,IF(ROUND(AT259*(1+'Calc base'!H260),2)-MAX('Calc base'!C$12,ROUND('Calc base'!C$13*AT259,2))&lt;1,ROUND(AT259*(1+'Calc base'!H260),2),MAX('Calc base'!C$12,ROUND('Calc base'!C$13*AT259,2))))</f>
        <v>0</v>
      </c>
      <c r="K260">
        <f>IF(AU259&lt;=0,0,IF(ROUND(AU259*(1+'Calc base'!I260),2)-MAX('Calc base'!D$12,ROUND('Calc base'!D$13*AU259,2))&lt;1,ROUND(AU259*(1+'Calc base'!I260),2),MAX('Calc base'!D$12,ROUND('Calc base'!D$13*AU259,2))))</f>
        <v>0</v>
      </c>
      <c r="L260">
        <f>IF(AV259&lt;=0,0,IF(ROUND(AV259*(1+'Calc base'!J260),2)-MAX('Calc base'!E$12,ROUND('Calc base'!E$13*AV259,2))&lt;1,ROUND(AV259*(1+'Calc base'!J260),2),MAX('Calc base'!E$12,ROUND('Calc base'!E$13*AV259,2))))</f>
        <v>0</v>
      </c>
      <c r="M260">
        <f>IF(AW259&lt;=0,0,IF(ROUND(AW259*(1+'Calc base'!K260),2)-MAX('Calc base'!F$12,ROUND('Calc base'!F$13*AW259,2))&lt;1,ROUND(AW259*(1+'Calc base'!K260),2),MAX('Calc base'!F$12,ROUND('Calc base'!F$13*AW259,2))))</f>
        <v>0</v>
      </c>
      <c r="N260">
        <f>IF(AX259&lt;=0,0,IF(ROUND(AX259*(1+'Calc base'!L260),2)-MAX('Calc base'!G$12,ROUND('Calc base'!G$13*AX259,2))&lt;1,ROUND(AX259*(1+'Calc base'!L260),2),MAX('Calc base'!G$12,ROUND('Calc base'!G$13*AX259,2))))</f>
        <v>0</v>
      </c>
      <c r="O260">
        <f>IF(AY259&lt;=0,0,IF(ROUND(AY259*(1+'Calc base'!M260),2)-MAX('Calc base'!H$12,ROUND('Calc base'!H$13*AY259,2))&lt;1,ROUND(AY259*(1+'Calc base'!M260),2),MAX('Calc base'!H$12,ROUND('Calc base'!H$13*AY259,2))))</f>
        <v>0</v>
      </c>
      <c r="P260">
        <f>IF(AZ259&lt;=0,0,IF(ROUND(AZ259*(1+'Calc base'!N260),2)-MAX('Calc base'!I$12,ROUND('Calc base'!I$13*AZ259,2))&lt;1,ROUND(AZ259*(1+'Calc base'!N260),2),MAX('Calc base'!I$12,ROUND('Calc base'!I$13*AZ259,2))))</f>
        <v>0</v>
      </c>
      <c r="Q260">
        <f>IF(BA259&lt;=0,0,IF(ROUND(BA259*(1+'Calc base'!O260),2)-MAX('Calc base'!J$12,ROUND('Calc base'!J$13*BA259,2))&lt;1,ROUND(BA259*(1+'Calc base'!O260),2),MAX('Calc base'!J$12,ROUND('Calc base'!J$13*BA259,2))))</f>
        <v>0</v>
      </c>
      <c r="R260">
        <f>IF(BB259&lt;=0,0,IF(ROUND(BB259*(1+'Calc base'!P260),2)-MAX('Calc base'!K$12,ROUND('Calc base'!K$13*BB259,2))&lt;1,ROUND(BB259*(1+'Calc base'!P260),2),MAX('Calc base'!K$12,ROUND('Calc base'!K$13*BB259,2))))</f>
        <v>0</v>
      </c>
      <c r="S260">
        <f>IF(BC259&lt;=0,0,IF(ROUND(BC259*(1+'Calc base'!Q260),2)-MAX('Calc base'!L$12,ROUND('Calc base'!L$13*BC259,2))&lt;1,ROUND(BC259*(1+'Calc base'!Q260),2),MAX('Calc base'!L$12,ROUND('Calc base'!L$13*BC259,2))))</f>
        <v>0</v>
      </c>
      <c r="T260">
        <f>IF(BD259&lt;=0,0,IF(ROUND(BD259*(1+'Calc base'!R260),2)-MAX('Calc base'!M$12,ROUND('Calc base'!M$13*BD259,2))&lt;1,ROUND(BD259*(1+'Calc base'!R260),2),MAX('Calc base'!M$12,ROUND('Calc base'!M$13*BD259,2))))</f>
        <v>0</v>
      </c>
      <c r="U260">
        <f>IF(BE259&lt;=0,0,IF(ROUND(BE259*(1+'Calc base'!S260),2)-MAX('Calc base'!N$12,ROUND('Calc base'!N$13*BE259,2))&lt;1,ROUND(BE259*(1+'Calc base'!S260),2),MAX('Calc base'!N$12,ROUND('Calc base'!N$13*BE259,2))))</f>
        <v>0</v>
      </c>
      <c r="V260">
        <f>MAX(0,ROUND(AT259*(1+'Calc base'!H260),2)-J260-'Calc base'!T260)</f>
        <v>0</v>
      </c>
      <c r="W260">
        <f>MAX(0,ROUND(AU259*(1+'Calc base'!I260),2)-K260-'Calc base'!U260)</f>
        <v>0</v>
      </c>
      <c r="X260">
        <f>MAX(0,ROUND(AV259*(1+'Calc base'!J260),2)-L260-'Calc base'!V260)</f>
        <v>0</v>
      </c>
      <c r="Y260">
        <f>MAX(0,ROUND(AW259*(1+'Calc base'!K260),2)-M260-'Calc base'!W260)</f>
        <v>0</v>
      </c>
      <c r="Z260">
        <f>MAX(0,ROUND(AX259*(1+'Calc base'!L260),2)-N260-'Calc base'!X260)</f>
        <v>0</v>
      </c>
      <c r="AA260">
        <f>MAX(0,ROUND(AY259*(1+'Calc base'!M260),2)-O260-'Calc base'!Y260)</f>
        <v>0</v>
      </c>
      <c r="AB260">
        <f>MAX(0,ROUND(AZ259*(1+'Calc base'!N260),2)-P260-'Calc base'!Z260)</f>
        <v>0</v>
      </c>
      <c r="AC260">
        <f>MAX(0,ROUND(BA259*(1+'Calc base'!O260),2)-Q260-'Calc base'!AA260)</f>
        <v>0</v>
      </c>
      <c r="AD260">
        <f>MAX(0,ROUND(BB259*(1+'Calc base'!P260),2)-R260-'Calc base'!AB260)</f>
        <v>0</v>
      </c>
      <c r="AE260">
        <f>MAX(0,ROUND(BC259*(1+'Calc base'!Q260),2)-S260-'Calc base'!AC260)</f>
        <v>0</v>
      </c>
      <c r="AF260">
        <f>MAX(0,ROUND(BD259*(1+'Calc base'!R260),2)-T260-'Calc base'!AD260)</f>
        <v>0</v>
      </c>
      <c r="AG260">
        <f>MAX(0,ROUND(BE259*(1+'Calc base'!S260),2)-U260-'Calc base'!AE260)</f>
        <v>0</v>
      </c>
      <c r="AH260">
        <f>IF('Calc base'!C$14=0,0,MIN(V260,MAX(0,$E260-SUMIFS($V260:$AG260,'Calc base'!$C$17:$N$17,"&lt;"&amp;'Calc base'!C$17,'Calc base'!$C$14:$N$14,1))))</f>
        <v>0</v>
      </c>
      <c r="AI260">
        <f>IF('Calc base'!D$14=0,0,MIN(W260,MAX(0,$E260-SUMIFS($V260:$AG260,'Calc base'!$C$17:$N$17,"&lt;"&amp;'Calc base'!D$17,'Calc base'!$C$14:$N$14,1))))</f>
        <v>0</v>
      </c>
      <c r="AJ260">
        <f>IF('Calc base'!E$14=0,0,MIN(X260,MAX(0,$E260-SUMIFS($V260:$AG260,'Calc base'!$C$17:$N$17,"&lt;"&amp;'Calc base'!E$17,'Calc base'!$C$14:$N$14,1))))</f>
        <v>0</v>
      </c>
      <c r="AK260">
        <f>IF('Calc base'!F$14=0,0,MIN(Y260,MAX(0,$E260-SUMIFS($V260:$AG260,'Calc base'!$C$17:$N$17,"&lt;"&amp;'Calc base'!F$17,'Calc base'!$C$14:$N$14,1))))</f>
        <v>0</v>
      </c>
      <c r="AL260">
        <f>IF('Calc base'!G$14=0,0,MIN(Z260,MAX(0,$E260-SUMIFS($V260:$AG260,'Calc base'!$C$17:$N$17,"&lt;"&amp;'Calc base'!G$17,'Calc base'!$C$14:$N$14,1))))</f>
        <v>0</v>
      </c>
      <c r="AM260">
        <f>IF('Calc base'!H$14=0,0,MIN(AA260,MAX(0,$E260-SUMIFS($V260:$AG260,'Calc base'!$C$17:$N$17,"&lt;"&amp;'Calc base'!H$17,'Calc base'!$C$14:$N$14,1))))</f>
        <v>0</v>
      </c>
      <c r="AN260">
        <f>IF('Calc base'!I$14=0,0,MIN(AB260,MAX(0,$E260-SUMIFS($V260:$AG260,'Calc base'!$C$17:$N$17,"&lt;"&amp;'Calc base'!I$17,'Calc base'!$C$14:$N$14,1))))</f>
        <v>0</v>
      </c>
      <c r="AO260">
        <f>IF('Calc base'!J$14=0,0,MIN(AC260,MAX(0,$E260-SUMIFS($V260:$AG260,'Calc base'!$C$17:$N$17,"&lt;"&amp;'Calc base'!J$17,'Calc base'!$C$14:$N$14,1))))</f>
        <v>0</v>
      </c>
      <c r="AP260">
        <f>IF('Calc base'!K$14=0,0,MIN(AD260,MAX(0,$E260-SUMIFS($V260:$AG260,'Calc base'!$C$17:$N$17,"&lt;"&amp;'Calc base'!K$17,'Calc base'!$C$14:$N$14,1))))</f>
        <v>0</v>
      </c>
      <c r="AQ260">
        <f>IF('Calc base'!L$14=0,0,MIN(AE260,MAX(0,$E260-SUMIFS($V260:$AG260,'Calc base'!$C$17:$N$17,"&lt;"&amp;'Calc base'!L$17,'Calc base'!$C$14:$N$14,1))))</f>
        <v>0</v>
      </c>
      <c r="AR260">
        <f>IF('Calc base'!M$14=0,0,MIN(AF260,MAX(0,$E260-SUMIFS($V260:$AG260,'Calc base'!$C$17:$N$17,"&lt;"&amp;'Calc base'!M$17,'Calc base'!$C$14:$N$14,1))))</f>
        <v>0</v>
      </c>
      <c r="AS260">
        <f>IF('Calc base'!N$14=0,0,MIN(AG260,MAX(0,$E260-SUMIFS($V260:$AG260,'Calc base'!$C$17:$N$17,"&lt;"&amp;'Calc base'!N$17,'Calc base'!$C$14:$N$14,1))))</f>
        <v>0</v>
      </c>
      <c r="AT260">
        <f>V260-AH260</f>
        <v>0</v>
      </c>
      <c r="AU260">
        <f>W260-AI260</f>
        <v>0</v>
      </c>
      <c r="AV260">
        <f>X260-AJ260</f>
        <v>0</v>
      </c>
      <c r="AW260">
        <f>Y260-AK260</f>
        <v>0</v>
      </c>
      <c r="AX260">
        <f>Z260-AL260</f>
        <v>0</v>
      </c>
      <c r="AY260">
        <f>AA260-AM260</f>
        <v>0</v>
      </c>
      <c r="AZ260">
        <f>AB260-AN260</f>
        <v>0</v>
      </c>
      <c r="BA260">
        <f>AC260-AO260</f>
        <v>0</v>
      </c>
      <c r="BB260">
        <f>AD260-AP260</f>
        <v>0</v>
      </c>
      <c r="BC260">
        <f>AE260-AQ260</f>
        <v>0</v>
      </c>
      <c r="BD260">
        <f>AF260-AR260</f>
        <v>0</v>
      </c>
      <c r="BE260">
        <f>AG260-AS260</f>
        <v>0</v>
      </c>
    </row>
    <row r="261">
      <c r="A261" t="n">
        <v>231</v>
      </c>
      <c r="B261">
        <f>SUMPRODUCT(ROUND($AT260:$BE260*(1+'Calc base'!$H261:$S261),2))</f>
        <v>0</v>
      </c>
      <c r="C261">
        <f>SUM(J261:U261)</f>
        <v>0</v>
      </c>
      <c r="D261">
        <f>SUM(V261:AG261)</f>
        <v>0</v>
      </c>
      <c r="E261">
        <f>MAX(0,IF(Impostazioni!$B$7="No",'Calc base'!$C261-$C$31,'Calc base'!$C261-C261)+'Calc base'!$G261+'Calc base'!$F261-(B261-C261-D261))</f>
        <v>900</v>
      </c>
      <c r="F261">
        <f>SUM(AH261:AS261)</f>
        <v>0</v>
      </c>
      <c r="G261">
        <f>SUM(AT261:BE261)</f>
        <v>0</v>
      </c>
      <c r="H261">
        <f>B261-G260</f>
        <v>0</v>
      </c>
      <c r="I261">
        <f>B261-G261</f>
        <v>0</v>
      </c>
      <c r="J261">
        <f>IF(AT260&lt;=0,0,IF(ROUND(AT260*(1+'Calc base'!H261),2)-MAX('Calc base'!C$12,ROUND('Calc base'!C$13*AT260,2))&lt;1,ROUND(AT260*(1+'Calc base'!H261),2),MAX('Calc base'!C$12,ROUND('Calc base'!C$13*AT260,2))))</f>
        <v>0</v>
      </c>
      <c r="K261">
        <f>IF(AU260&lt;=0,0,IF(ROUND(AU260*(1+'Calc base'!I261),2)-MAX('Calc base'!D$12,ROUND('Calc base'!D$13*AU260,2))&lt;1,ROUND(AU260*(1+'Calc base'!I261),2),MAX('Calc base'!D$12,ROUND('Calc base'!D$13*AU260,2))))</f>
        <v>0</v>
      </c>
      <c r="L261">
        <f>IF(AV260&lt;=0,0,IF(ROUND(AV260*(1+'Calc base'!J261),2)-MAX('Calc base'!E$12,ROUND('Calc base'!E$13*AV260,2))&lt;1,ROUND(AV260*(1+'Calc base'!J261),2),MAX('Calc base'!E$12,ROUND('Calc base'!E$13*AV260,2))))</f>
        <v>0</v>
      </c>
      <c r="M261">
        <f>IF(AW260&lt;=0,0,IF(ROUND(AW260*(1+'Calc base'!K261),2)-MAX('Calc base'!F$12,ROUND('Calc base'!F$13*AW260,2))&lt;1,ROUND(AW260*(1+'Calc base'!K261),2),MAX('Calc base'!F$12,ROUND('Calc base'!F$13*AW260,2))))</f>
        <v>0</v>
      </c>
      <c r="N261">
        <f>IF(AX260&lt;=0,0,IF(ROUND(AX260*(1+'Calc base'!L261),2)-MAX('Calc base'!G$12,ROUND('Calc base'!G$13*AX260,2))&lt;1,ROUND(AX260*(1+'Calc base'!L261),2),MAX('Calc base'!G$12,ROUND('Calc base'!G$13*AX260,2))))</f>
        <v>0</v>
      </c>
      <c r="O261">
        <f>IF(AY260&lt;=0,0,IF(ROUND(AY260*(1+'Calc base'!M261),2)-MAX('Calc base'!H$12,ROUND('Calc base'!H$13*AY260,2))&lt;1,ROUND(AY260*(1+'Calc base'!M261),2),MAX('Calc base'!H$12,ROUND('Calc base'!H$13*AY260,2))))</f>
        <v>0</v>
      </c>
      <c r="P261">
        <f>IF(AZ260&lt;=0,0,IF(ROUND(AZ260*(1+'Calc base'!N261),2)-MAX('Calc base'!I$12,ROUND('Calc base'!I$13*AZ260,2))&lt;1,ROUND(AZ260*(1+'Calc base'!N261),2),MAX('Calc base'!I$12,ROUND('Calc base'!I$13*AZ260,2))))</f>
        <v>0</v>
      </c>
      <c r="Q261">
        <f>IF(BA260&lt;=0,0,IF(ROUND(BA260*(1+'Calc base'!O261),2)-MAX('Calc base'!J$12,ROUND('Calc base'!J$13*BA260,2))&lt;1,ROUND(BA260*(1+'Calc base'!O261),2),MAX('Calc base'!J$12,ROUND('Calc base'!J$13*BA260,2))))</f>
        <v>0</v>
      </c>
      <c r="R261">
        <f>IF(BB260&lt;=0,0,IF(ROUND(BB260*(1+'Calc base'!P261),2)-MAX('Calc base'!K$12,ROUND('Calc base'!K$13*BB260,2))&lt;1,ROUND(BB260*(1+'Calc base'!P261),2),MAX('Calc base'!K$12,ROUND('Calc base'!K$13*BB260,2))))</f>
        <v>0</v>
      </c>
      <c r="S261">
        <f>IF(BC260&lt;=0,0,IF(ROUND(BC260*(1+'Calc base'!Q261),2)-MAX('Calc base'!L$12,ROUND('Calc base'!L$13*BC260,2))&lt;1,ROUND(BC260*(1+'Calc base'!Q261),2),MAX('Calc base'!L$12,ROUND('Calc base'!L$13*BC260,2))))</f>
        <v>0</v>
      </c>
      <c r="T261">
        <f>IF(BD260&lt;=0,0,IF(ROUND(BD260*(1+'Calc base'!R261),2)-MAX('Calc base'!M$12,ROUND('Calc base'!M$13*BD260,2))&lt;1,ROUND(BD260*(1+'Calc base'!R261),2),MAX('Calc base'!M$12,ROUND('Calc base'!M$13*BD260,2))))</f>
        <v>0</v>
      </c>
      <c r="U261">
        <f>IF(BE260&lt;=0,0,IF(ROUND(BE260*(1+'Calc base'!S261),2)-MAX('Calc base'!N$12,ROUND('Calc base'!N$13*BE260,2))&lt;1,ROUND(BE260*(1+'Calc base'!S261),2),MAX('Calc base'!N$12,ROUND('Calc base'!N$13*BE260,2))))</f>
        <v>0</v>
      </c>
      <c r="V261">
        <f>MAX(0,ROUND(AT260*(1+'Calc base'!H261),2)-J261-'Calc base'!T261)</f>
        <v>0</v>
      </c>
      <c r="W261">
        <f>MAX(0,ROUND(AU260*(1+'Calc base'!I261),2)-K261-'Calc base'!U261)</f>
        <v>0</v>
      </c>
      <c r="X261">
        <f>MAX(0,ROUND(AV260*(1+'Calc base'!J261),2)-L261-'Calc base'!V261)</f>
        <v>0</v>
      </c>
      <c r="Y261">
        <f>MAX(0,ROUND(AW260*(1+'Calc base'!K261),2)-M261-'Calc base'!W261)</f>
        <v>0</v>
      </c>
      <c r="Z261">
        <f>MAX(0,ROUND(AX260*(1+'Calc base'!L261),2)-N261-'Calc base'!X261)</f>
        <v>0</v>
      </c>
      <c r="AA261">
        <f>MAX(0,ROUND(AY260*(1+'Calc base'!M261),2)-O261-'Calc base'!Y261)</f>
        <v>0</v>
      </c>
      <c r="AB261">
        <f>MAX(0,ROUND(AZ260*(1+'Calc base'!N261),2)-P261-'Calc base'!Z261)</f>
        <v>0</v>
      </c>
      <c r="AC261">
        <f>MAX(0,ROUND(BA260*(1+'Calc base'!O261),2)-Q261-'Calc base'!AA261)</f>
        <v>0</v>
      </c>
      <c r="AD261">
        <f>MAX(0,ROUND(BB260*(1+'Calc base'!P261),2)-R261-'Calc base'!AB261)</f>
        <v>0</v>
      </c>
      <c r="AE261">
        <f>MAX(0,ROUND(BC260*(1+'Calc base'!Q261),2)-S261-'Calc base'!AC261)</f>
        <v>0</v>
      </c>
      <c r="AF261">
        <f>MAX(0,ROUND(BD260*(1+'Calc base'!R261),2)-T261-'Calc base'!AD261)</f>
        <v>0</v>
      </c>
      <c r="AG261">
        <f>MAX(0,ROUND(BE260*(1+'Calc base'!S261),2)-U261-'Calc base'!AE261)</f>
        <v>0</v>
      </c>
      <c r="AH261">
        <f>IF('Calc base'!C$14=0,0,MIN(V261,MAX(0,$E261-SUMIFS($V261:$AG261,'Calc base'!$C$17:$N$17,"&lt;"&amp;'Calc base'!C$17,'Calc base'!$C$14:$N$14,1))))</f>
        <v>0</v>
      </c>
      <c r="AI261">
        <f>IF('Calc base'!D$14=0,0,MIN(W261,MAX(0,$E261-SUMIFS($V261:$AG261,'Calc base'!$C$17:$N$17,"&lt;"&amp;'Calc base'!D$17,'Calc base'!$C$14:$N$14,1))))</f>
        <v>0</v>
      </c>
      <c r="AJ261">
        <f>IF('Calc base'!E$14=0,0,MIN(X261,MAX(0,$E261-SUMIFS($V261:$AG261,'Calc base'!$C$17:$N$17,"&lt;"&amp;'Calc base'!E$17,'Calc base'!$C$14:$N$14,1))))</f>
        <v>0</v>
      </c>
      <c r="AK261">
        <f>IF('Calc base'!F$14=0,0,MIN(Y261,MAX(0,$E261-SUMIFS($V261:$AG261,'Calc base'!$C$17:$N$17,"&lt;"&amp;'Calc base'!F$17,'Calc base'!$C$14:$N$14,1))))</f>
        <v>0</v>
      </c>
      <c r="AL261">
        <f>IF('Calc base'!G$14=0,0,MIN(Z261,MAX(0,$E261-SUMIFS($V261:$AG261,'Calc base'!$C$17:$N$17,"&lt;"&amp;'Calc base'!G$17,'Calc base'!$C$14:$N$14,1))))</f>
        <v>0</v>
      </c>
      <c r="AM261">
        <f>IF('Calc base'!H$14=0,0,MIN(AA261,MAX(0,$E261-SUMIFS($V261:$AG261,'Calc base'!$C$17:$N$17,"&lt;"&amp;'Calc base'!H$17,'Calc base'!$C$14:$N$14,1))))</f>
        <v>0</v>
      </c>
      <c r="AN261">
        <f>IF('Calc base'!I$14=0,0,MIN(AB261,MAX(0,$E261-SUMIFS($V261:$AG261,'Calc base'!$C$17:$N$17,"&lt;"&amp;'Calc base'!I$17,'Calc base'!$C$14:$N$14,1))))</f>
        <v>0</v>
      </c>
      <c r="AO261">
        <f>IF('Calc base'!J$14=0,0,MIN(AC261,MAX(0,$E261-SUMIFS($V261:$AG261,'Calc base'!$C$17:$N$17,"&lt;"&amp;'Calc base'!J$17,'Calc base'!$C$14:$N$14,1))))</f>
        <v>0</v>
      </c>
      <c r="AP261">
        <f>IF('Calc base'!K$14=0,0,MIN(AD261,MAX(0,$E261-SUMIFS($V261:$AG261,'Calc base'!$C$17:$N$17,"&lt;"&amp;'Calc base'!K$17,'Calc base'!$C$14:$N$14,1))))</f>
        <v>0</v>
      </c>
      <c r="AQ261">
        <f>IF('Calc base'!L$14=0,0,MIN(AE261,MAX(0,$E261-SUMIFS($V261:$AG261,'Calc base'!$C$17:$N$17,"&lt;"&amp;'Calc base'!L$17,'Calc base'!$C$14:$N$14,1))))</f>
        <v>0</v>
      </c>
      <c r="AR261">
        <f>IF('Calc base'!M$14=0,0,MIN(AF261,MAX(0,$E261-SUMIFS($V261:$AG261,'Calc base'!$C$17:$N$17,"&lt;"&amp;'Calc base'!M$17,'Calc base'!$C$14:$N$14,1))))</f>
        <v>0</v>
      </c>
      <c r="AS261">
        <f>IF('Calc base'!N$14=0,0,MIN(AG261,MAX(0,$E261-SUMIFS($V261:$AG261,'Calc base'!$C$17:$N$17,"&lt;"&amp;'Calc base'!N$17,'Calc base'!$C$14:$N$14,1))))</f>
        <v>0</v>
      </c>
      <c r="AT261">
        <f>V261-AH261</f>
        <v>0</v>
      </c>
      <c r="AU261">
        <f>W261-AI261</f>
        <v>0</v>
      </c>
      <c r="AV261">
        <f>X261-AJ261</f>
        <v>0</v>
      </c>
      <c r="AW261">
        <f>Y261-AK261</f>
        <v>0</v>
      </c>
      <c r="AX261">
        <f>Z261-AL261</f>
        <v>0</v>
      </c>
      <c r="AY261">
        <f>AA261-AM261</f>
        <v>0</v>
      </c>
      <c r="AZ261">
        <f>AB261-AN261</f>
        <v>0</v>
      </c>
      <c r="BA261">
        <f>AC261-AO261</f>
        <v>0</v>
      </c>
      <c r="BB261">
        <f>AD261-AP261</f>
        <v>0</v>
      </c>
      <c r="BC261">
        <f>AE261-AQ261</f>
        <v>0</v>
      </c>
      <c r="BD261">
        <f>AF261-AR261</f>
        <v>0</v>
      </c>
      <c r="BE261">
        <f>AG261-AS261</f>
        <v>0</v>
      </c>
    </row>
    <row r="262">
      <c r="A262" t="n">
        <v>232</v>
      </c>
      <c r="B262">
        <f>SUMPRODUCT(ROUND($AT261:$BE261*(1+'Calc base'!$H262:$S262),2))</f>
        <v>0</v>
      </c>
      <c r="C262">
        <f>SUM(J262:U262)</f>
        <v>0</v>
      </c>
      <c r="D262">
        <f>SUM(V262:AG262)</f>
        <v>0</v>
      </c>
      <c r="E262">
        <f>MAX(0,IF(Impostazioni!$B$7="No",'Calc base'!$C262-$C$31,'Calc base'!$C262-C262)+'Calc base'!$G262+'Calc base'!$F262-(B262-C262-D262))</f>
        <v>900</v>
      </c>
      <c r="F262">
        <f>SUM(AH262:AS262)</f>
        <v>0</v>
      </c>
      <c r="G262">
        <f>SUM(AT262:BE262)</f>
        <v>0</v>
      </c>
      <c r="H262">
        <f>B262-G261</f>
        <v>0</v>
      </c>
      <c r="I262">
        <f>B262-G262</f>
        <v>0</v>
      </c>
      <c r="J262">
        <f>IF(AT261&lt;=0,0,IF(ROUND(AT261*(1+'Calc base'!H262),2)-MAX('Calc base'!C$12,ROUND('Calc base'!C$13*AT261,2))&lt;1,ROUND(AT261*(1+'Calc base'!H262),2),MAX('Calc base'!C$12,ROUND('Calc base'!C$13*AT261,2))))</f>
        <v>0</v>
      </c>
      <c r="K262">
        <f>IF(AU261&lt;=0,0,IF(ROUND(AU261*(1+'Calc base'!I262),2)-MAX('Calc base'!D$12,ROUND('Calc base'!D$13*AU261,2))&lt;1,ROUND(AU261*(1+'Calc base'!I262),2),MAX('Calc base'!D$12,ROUND('Calc base'!D$13*AU261,2))))</f>
        <v>0</v>
      </c>
      <c r="L262">
        <f>IF(AV261&lt;=0,0,IF(ROUND(AV261*(1+'Calc base'!J262),2)-MAX('Calc base'!E$12,ROUND('Calc base'!E$13*AV261,2))&lt;1,ROUND(AV261*(1+'Calc base'!J262),2),MAX('Calc base'!E$12,ROUND('Calc base'!E$13*AV261,2))))</f>
        <v>0</v>
      </c>
      <c r="M262">
        <f>IF(AW261&lt;=0,0,IF(ROUND(AW261*(1+'Calc base'!K262),2)-MAX('Calc base'!F$12,ROUND('Calc base'!F$13*AW261,2))&lt;1,ROUND(AW261*(1+'Calc base'!K262),2),MAX('Calc base'!F$12,ROUND('Calc base'!F$13*AW261,2))))</f>
        <v>0</v>
      </c>
      <c r="N262">
        <f>IF(AX261&lt;=0,0,IF(ROUND(AX261*(1+'Calc base'!L262),2)-MAX('Calc base'!G$12,ROUND('Calc base'!G$13*AX261,2))&lt;1,ROUND(AX261*(1+'Calc base'!L262),2),MAX('Calc base'!G$12,ROUND('Calc base'!G$13*AX261,2))))</f>
        <v>0</v>
      </c>
      <c r="O262">
        <f>IF(AY261&lt;=0,0,IF(ROUND(AY261*(1+'Calc base'!M262),2)-MAX('Calc base'!H$12,ROUND('Calc base'!H$13*AY261,2))&lt;1,ROUND(AY261*(1+'Calc base'!M262),2),MAX('Calc base'!H$12,ROUND('Calc base'!H$13*AY261,2))))</f>
        <v>0</v>
      </c>
      <c r="P262">
        <f>IF(AZ261&lt;=0,0,IF(ROUND(AZ261*(1+'Calc base'!N262),2)-MAX('Calc base'!I$12,ROUND('Calc base'!I$13*AZ261,2))&lt;1,ROUND(AZ261*(1+'Calc base'!N262),2),MAX('Calc base'!I$12,ROUND('Calc base'!I$13*AZ261,2))))</f>
        <v>0</v>
      </c>
      <c r="Q262">
        <f>IF(BA261&lt;=0,0,IF(ROUND(BA261*(1+'Calc base'!O262),2)-MAX('Calc base'!J$12,ROUND('Calc base'!J$13*BA261,2))&lt;1,ROUND(BA261*(1+'Calc base'!O262),2),MAX('Calc base'!J$12,ROUND('Calc base'!J$13*BA261,2))))</f>
        <v>0</v>
      </c>
      <c r="R262">
        <f>IF(BB261&lt;=0,0,IF(ROUND(BB261*(1+'Calc base'!P262),2)-MAX('Calc base'!K$12,ROUND('Calc base'!K$13*BB261,2))&lt;1,ROUND(BB261*(1+'Calc base'!P262),2),MAX('Calc base'!K$12,ROUND('Calc base'!K$13*BB261,2))))</f>
        <v>0</v>
      </c>
      <c r="S262">
        <f>IF(BC261&lt;=0,0,IF(ROUND(BC261*(1+'Calc base'!Q262),2)-MAX('Calc base'!L$12,ROUND('Calc base'!L$13*BC261,2))&lt;1,ROUND(BC261*(1+'Calc base'!Q262),2),MAX('Calc base'!L$12,ROUND('Calc base'!L$13*BC261,2))))</f>
        <v>0</v>
      </c>
      <c r="T262">
        <f>IF(BD261&lt;=0,0,IF(ROUND(BD261*(1+'Calc base'!R262),2)-MAX('Calc base'!M$12,ROUND('Calc base'!M$13*BD261,2))&lt;1,ROUND(BD261*(1+'Calc base'!R262),2),MAX('Calc base'!M$12,ROUND('Calc base'!M$13*BD261,2))))</f>
        <v>0</v>
      </c>
      <c r="U262">
        <f>IF(BE261&lt;=0,0,IF(ROUND(BE261*(1+'Calc base'!S262),2)-MAX('Calc base'!N$12,ROUND('Calc base'!N$13*BE261,2))&lt;1,ROUND(BE261*(1+'Calc base'!S262),2),MAX('Calc base'!N$12,ROUND('Calc base'!N$13*BE261,2))))</f>
        <v>0</v>
      </c>
      <c r="V262">
        <f>MAX(0,ROUND(AT261*(1+'Calc base'!H262),2)-J262-'Calc base'!T262)</f>
        <v>0</v>
      </c>
      <c r="W262">
        <f>MAX(0,ROUND(AU261*(1+'Calc base'!I262),2)-K262-'Calc base'!U262)</f>
        <v>0</v>
      </c>
      <c r="X262">
        <f>MAX(0,ROUND(AV261*(1+'Calc base'!J262),2)-L262-'Calc base'!V262)</f>
        <v>0</v>
      </c>
      <c r="Y262">
        <f>MAX(0,ROUND(AW261*(1+'Calc base'!K262),2)-M262-'Calc base'!W262)</f>
        <v>0</v>
      </c>
      <c r="Z262">
        <f>MAX(0,ROUND(AX261*(1+'Calc base'!L262),2)-N262-'Calc base'!X262)</f>
        <v>0</v>
      </c>
      <c r="AA262">
        <f>MAX(0,ROUND(AY261*(1+'Calc base'!M262),2)-O262-'Calc base'!Y262)</f>
        <v>0</v>
      </c>
      <c r="AB262">
        <f>MAX(0,ROUND(AZ261*(1+'Calc base'!N262),2)-P262-'Calc base'!Z262)</f>
        <v>0</v>
      </c>
      <c r="AC262">
        <f>MAX(0,ROUND(BA261*(1+'Calc base'!O262),2)-Q262-'Calc base'!AA262)</f>
        <v>0</v>
      </c>
      <c r="AD262">
        <f>MAX(0,ROUND(BB261*(1+'Calc base'!P262),2)-R262-'Calc base'!AB262)</f>
        <v>0</v>
      </c>
      <c r="AE262">
        <f>MAX(0,ROUND(BC261*(1+'Calc base'!Q262),2)-S262-'Calc base'!AC262)</f>
        <v>0</v>
      </c>
      <c r="AF262">
        <f>MAX(0,ROUND(BD261*(1+'Calc base'!R262),2)-T262-'Calc base'!AD262)</f>
        <v>0</v>
      </c>
      <c r="AG262">
        <f>MAX(0,ROUND(BE261*(1+'Calc base'!S262),2)-U262-'Calc base'!AE262)</f>
        <v>0</v>
      </c>
      <c r="AH262">
        <f>IF('Calc base'!C$14=0,0,MIN(V262,MAX(0,$E262-SUMIFS($V262:$AG262,'Calc base'!$C$17:$N$17,"&lt;"&amp;'Calc base'!C$17,'Calc base'!$C$14:$N$14,1))))</f>
        <v>0</v>
      </c>
      <c r="AI262">
        <f>IF('Calc base'!D$14=0,0,MIN(W262,MAX(0,$E262-SUMIFS($V262:$AG262,'Calc base'!$C$17:$N$17,"&lt;"&amp;'Calc base'!D$17,'Calc base'!$C$14:$N$14,1))))</f>
        <v>0</v>
      </c>
      <c r="AJ262">
        <f>IF('Calc base'!E$14=0,0,MIN(X262,MAX(0,$E262-SUMIFS($V262:$AG262,'Calc base'!$C$17:$N$17,"&lt;"&amp;'Calc base'!E$17,'Calc base'!$C$14:$N$14,1))))</f>
        <v>0</v>
      </c>
      <c r="AK262">
        <f>IF('Calc base'!F$14=0,0,MIN(Y262,MAX(0,$E262-SUMIFS($V262:$AG262,'Calc base'!$C$17:$N$17,"&lt;"&amp;'Calc base'!F$17,'Calc base'!$C$14:$N$14,1))))</f>
        <v>0</v>
      </c>
      <c r="AL262">
        <f>IF('Calc base'!G$14=0,0,MIN(Z262,MAX(0,$E262-SUMIFS($V262:$AG262,'Calc base'!$C$17:$N$17,"&lt;"&amp;'Calc base'!G$17,'Calc base'!$C$14:$N$14,1))))</f>
        <v>0</v>
      </c>
      <c r="AM262">
        <f>IF('Calc base'!H$14=0,0,MIN(AA262,MAX(0,$E262-SUMIFS($V262:$AG262,'Calc base'!$C$17:$N$17,"&lt;"&amp;'Calc base'!H$17,'Calc base'!$C$14:$N$14,1))))</f>
        <v>0</v>
      </c>
      <c r="AN262">
        <f>IF('Calc base'!I$14=0,0,MIN(AB262,MAX(0,$E262-SUMIFS($V262:$AG262,'Calc base'!$C$17:$N$17,"&lt;"&amp;'Calc base'!I$17,'Calc base'!$C$14:$N$14,1))))</f>
        <v>0</v>
      </c>
      <c r="AO262">
        <f>IF('Calc base'!J$14=0,0,MIN(AC262,MAX(0,$E262-SUMIFS($V262:$AG262,'Calc base'!$C$17:$N$17,"&lt;"&amp;'Calc base'!J$17,'Calc base'!$C$14:$N$14,1))))</f>
        <v>0</v>
      </c>
      <c r="AP262">
        <f>IF('Calc base'!K$14=0,0,MIN(AD262,MAX(0,$E262-SUMIFS($V262:$AG262,'Calc base'!$C$17:$N$17,"&lt;"&amp;'Calc base'!K$17,'Calc base'!$C$14:$N$14,1))))</f>
        <v>0</v>
      </c>
      <c r="AQ262">
        <f>IF('Calc base'!L$14=0,0,MIN(AE262,MAX(0,$E262-SUMIFS($V262:$AG262,'Calc base'!$C$17:$N$17,"&lt;"&amp;'Calc base'!L$17,'Calc base'!$C$14:$N$14,1))))</f>
        <v>0</v>
      </c>
      <c r="AR262">
        <f>IF('Calc base'!M$14=0,0,MIN(AF262,MAX(0,$E262-SUMIFS($V262:$AG262,'Calc base'!$C$17:$N$17,"&lt;"&amp;'Calc base'!M$17,'Calc base'!$C$14:$N$14,1))))</f>
        <v>0</v>
      </c>
      <c r="AS262">
        <f>IF('Calc base'!N$14=0,0,MIN(AG262,MAX(0,$E262-SUMIFS($V262:$AG262,'Calc base'!$C$17:$N$17,"&lt;"&amp;'Calc base'!N$17,'Calc base'!$C$14:$N$14,1))))</f>
        <v>0</v>
      </c>
      <c r="AT262">
        <f>V262-AH262</f>
        <v>0</v>
      </c>
      <c r="AU262">
        <f>W262-AI262</f>
        <v>0</v>
      </c>
      <c r="AV262">
        <f>X262-AJ262</f>
        <v>0</v>
      </c>
      <c r="AW262">
        <f>Y262-AK262</f>
        <v>0</v>
      </c>
      <c r="AX262">
        <f>Z262-AL262</f>
        <v>0</v>
      </c>
      <c r="AY262">
        <f>AA262-AM262</f>
        <v>0</v>
      </c>
      <c r="AZ262">
        <f>AB262-AN262</f>
        <v>0</v>
      </c>
      <c r="BA262">
        <f>AC262-AO262</f>
        <v>0</v>
      </c>
      <c r="BB262">
        <f>AD262-AP262</f>
        <v>0</v>
      </c>
      <c r="BC262">
        <f>AE262-AQ262</f>
        <v>0</v>
      </c>
      <c r="BD262">
        <f>AF262-AR262</f>
        <v>0</v>
      </c>
      <c r="BE262">
        <f>AG262-AS262</f>
        <v>0</v>
      </c>
    </row>
    <row r="263">
      <c r="A263" t="n">
        <v>233</v>
      </c>
      <c r="B263">
        <f>SUMPRODUCT(ROUND($AT262:$BE262*(1+'Calc base'!$H263:$S263),2))</f>
        <v>0</v>
      </c>
      <c r="C263">
        <f>SUM(J263:U263)</f>
        <v>0</v>
      </c>
      <c r="D263">
        <f>SUM(V263:AG263)</f>
        <v>0</v>
      </c>
      <c r="E263">
        <f>MAX(0,IF(Impostazioni!$B$7="No",'Calc base'!$C263-$C$31,'Calc base'!$C263-C263)+'Calc base'!$G263+'Calc base'!$F263-(B263-C263-D263))</f>
        <v>900</v>
      </c>
      <c r="F263">
        <f>SUM(AH263:AS263)</f>
        <v>0</v>
      </c>
      <c r="G263">
        <f>SUM(AT263:BE263)</f>
        <v>0</v>
      </c>
      <c r="H263">
        <f>B263-G262</f>
        <v>0</v>
      </c>
      <c r="I263">
        <f>B263-G263</f>
        <v>0</v>
      </c>
      <c r="J263">
        <f>IF(AT262&lt;=0,0,IF(ROUND(AT262*(1+'Calc base'!H263),2)-MAX('Calc base'!C$12,ROUND('Calc base'!C$13*AT262,2))&lt;1,ROUND(AT262*(1+'Calc base'!H263),2),MAX('Calc base'!C$12,ROUND('Calc base'!C$13*AT262,2))))</f>
        <v>0</v>
      </c>
      <c r="K263">
        <f>IF(AU262&lt;=0,0,IF(ROUND(AU262*(1+'Calc base'!I263),2)-MAX('Calc base'!D$12,ROUND('Calc base'!D$13*AU262,2))&lt;1,ROUND(AU262*(1+'Calc base'!I263),2),MAX('Calc base'!D$12,ROUND('Calc base'!D$13*AU262,2))))</f>
        <v>0</v>
      </c>
      <c r="L263">
        <f>IF(AV262&lt;=0,0,IF(ROUND(AV262*(1+'Calc base'!J263),2)-MAX('Calc base'!E$12,ROUND('Calc base'!E$13*AV262,2))&lt;1,ROUND(AV262*(1+'Calc base'!J263),2),MAX('Calc base'!E$12,ROUND('Calc base'!E$13*AV262,2))))</f>
        <v>0</v>
      </c>
      <c r="M263">
        <f>IF(AW262&lt;=0,0,IF(ROUND(AW262*(1+'Calc base'!K263),2)-MAX('Calc base'!F$12,ROUND('Calc base'!F$13*AW262,2))&lt;1,ROUND(AW262*(1+'Calc base'!K263),2),MAX('Calc base'!F$12,ROUND('Calc base'!F$13*AW262,2))))</f>
        <v>0</v>
      </c>
      <c r="N263">
        <f>IF(AX262&lt;=0,0,IF(ROUND(AX262*(1+'Calc base'!L263),2)-MAX('Calc base'!G$12,ROUND('Calc base'!G$13*AX262,2))&lt;1,ROUND(AX262*(1+'Calc base'!L263),2),MAX('Calc base'!G$12,ROUND('Calc base'!G$13*AX262,2))))</f>
        <v>0</v>
      </c>
      <c r="O263">
        <f>IF(AY262&lt;=0,0,IF(ROUND(AY262*(1+'Calc base'!M263),2)-MAX('Calc base'!H$12,ROUND('Calc base'!H$13*AY262,2))&lt;1,ROUND(AY262*(1+'Calc base'!M263),2),MAX('Calc base'!H$12,ROUND('Calc base'!H$13*AY262,2))))</f>
        <v>0</v>
      </c>
      <c r="P263">
        <f>IF(AZ262&lt;=0,0,IF(ROUND(AZ262*(1+'Calc base'!N263),2)-MAX('Calc base'!I$12,ROUND('Calc base'!I$13*AZ262,2))&lt;1,ROUND(AZ262*(1+'Calc base'!N263),2),MAX('Calc base'!I$12,ROUND('Calc base'!I$13*AZ262,2))))</f>
        <v>0</v>
      </c>
      <c r="Q263">
        <f>IF(BA262&lt;=0,0,IF(ROUND(BA262*(1+'Calc base'!O263),2)-MAX('Calc base'!J$12,ROUND('Calc base'!J$13*BA262,2))&lt;1,ROUND(BA262*(1+'Calc base'!O263),2),MAX('Calc base'!J$12,ROUND('Calc base'!J$13*BA262,2))))</f>
        <v>0</v>
      </c>
      <c r="R263">
        <f>IF(BB262&lt;=0,0,IF(ROUND(BB262*(1+'Calc base'!P263),2)-MAX('Calc base'!K$12,ROUND('Calc base'!K$13*BB262,2))&lt;1,ROUND(BB262*(1+'Calc base'!P263),2),MAX('Calc base'!K$12,ROUND('Calc base'!K$13*BB262,2))))</f>
        <v>0</v>
      </c>
      <c r="S263">
        <f>IF(BC262&lt;=0,0,IF(ROUND(BC262*(1+'Calc base'!Q263),2)-MAX('Calc base'!L$12,ROUND('Calc base'!L$13*BC262,2))&lt;1,ROUND(BC262*(1+'Calc base'!Q263),2),MAX('Calc base'!L$12,ROUND('Calc base'!L$13*BC262,2))))</f>
        <v>0</v>
      </c>
      <c r="T263">
        <f>IF(BD262&lt;=0,0,IF(ROUND(BD262*(1+'Calc base'!R263),2)-MAX('Calc base'!M$12,ROUND('Calc base'!M$13*BD262,2))&lt;1,ROUND(BD262*(1+'Calc base'!R263),2),MAX('Calc base'!M$12,ROUND('Calc base'!M$13*BD262,2))))</f>
        <v>0</v>
      </c>
      <c r="U263">
        <f>IF(BE262&lt;=0,0,IF(ROUND(BE262*(1+'Calc base'!S263),2)-MAX('Calc base'!N$12,ROUND('Calc base'!N$13*BE262,2))&lt;1,ROUND(BE262*(1+'Calc base'!S263),2),MAX('Calc base'!N$12,ROUND('Calc base'!N$13*BE262,2))))</f>
        <v>0</v>
      </c>
      <c r="V263">
        <f>MAX(0,ROUND(AT262*(1+'Calc base'!H263),2)-J263-'Calc base'!T263)</f>
        <v>0</v>
      </c>
      <c r="W263">
        <f>MAX(0,ROUND(AU262*(1+'Calc base'!I263),2)-K263-'Calc base'!U263)</f>
        <v>0</v>
      </c>
      <c r="X263">
        <f>MAX(0,ROUND(AV262*(1+'Calc base'!J263),2)-L263-'Calc base'!V263)</f>
        <v>0</v>
      </c>
      <c r="Y263">
        <f>MAX(0,ROUND(AW262*(1+'Calc base'!K263),2)-M263-'Calc base'!W263)</f>
        <v>0</v>
      </c>
      <c r="Z263">
        <f>MAX(0,ROUND(AX262*(1+'Calc base'!L263),2)-N263-'Calc base'!X263)</f>
        <v>0</v>
      </c>
      <c r="AA263">
        <f>MAX(0,ROUND(AY262*(1+'Calc base'!M263),2)-O263-'Calc base'!Y263)</f>
        <v>0</v>
      </c>
      <c r="AB263">
        <f>MAX(0,ROUND(AZ262*(1+'Calc base'!N263),2)-P263-'Calc base'!Z263)</f>
        <v>0</v>
      </c>
      <c r="AC263">
        <f>MAX(0,ROUND(BA262*(1+'Calc base'!O263),2)-Q263-'Calc base'!AA263)</f>
        <v>0</v>
      </c>
      <c r="AD263">
        <f>MAX(0,ROUND(BB262*(1+'Calc base'!P263),2)-R263-'Calc base'!AB263)</f>
        <v>0</v>
      </c>
      <c r="AE263">
        <f>MAX(0,ROUND(BC262*(1+'Calc base'!Q263),2)-S263-'Calc base'!AC263)</f>
        <v>0</v>
      </c>
      <c r="AF263">
        <f>MAX(0,ROUND(BD262*(1+'Calc base'!R263),2)-T263-'Calc base'!AD263)</f>
        <v>0</v>
      </c>
      <c r="AG263">
        <f>MAX(0,ROUND(BE262*(1+'Calc base'!S263),2)-U263-'Calc base'!AE263)</f>
        <v>0</v>
      </c>
      <c r="AH263">
        <f>IF('Calc base'!C$14=0,0,MIN(V263,MAX(0,$E263-SUMIFS($V263:$AG263,'Calc base'!$C$17:$N$17,"&lt;"&amp;'Calc base'!C$17,'Calc base'!$C$14:$N$14,1))))</f>
        <v>0</v>
      </c>
      <c r="AI263">
        <f>IF('Calc base'!D$14=0,0,MIN(W263,MAX(0,$E263-SUMIFS($V263:$AG263,'Calc base'!$C$17:$N$17,"&lt;"&amp;'Calc base'!D$17,'Calc base'!$C$14:$N$14,1))))</f>
        <v>0</v>
      </c>
      <c r="AJ263">
        <f>IF('Calc base'!E$14=0,0,MIN(X263,MAX(0,$E263-SUMIFS($V263:$AG263,'Calc base'!$C$17:$N$17,"&lt;"&amp;'Calc base'!E$17,'Calc base'!$C$14:$N$14,1))))</f>
        <v>0</v>
      </c>
      <c r="AK263">
        <f>IF('Calc base'!F$14=0,0,MIN(Y263,MAX(0,$E263-SUMIFS($V263:$AG263,'Calc base'!$C$17:$N$17,"&lt;"&amp;'Calc base'!F$17,'Calc base'!$C$14:$N$14,1))))</f>
        <v>0</v>
      </c>
      <c r="AL263">
        <f>IF('Calc base'!G$14=0,0,MIN(Z263,MAX(0,$E263-SUMIFS($V263:$AG263,'Calc base'!$C$17:$N$17,"&lt;"&amp;'Calc base'!G$17,'Calc base'!$C$14:$N$14,1))))</f>
        <v>0</v>
      </c>
      <c r="AM263">
        <f>IF('Calc base'!H$14=0,0,MIN(AA263,MAX(0,$E263-SUMIFS($V263:$AG263,'Calc base'!$C$17:$N$17,"&lt;"&amp;'Calc base'!H$17,'Calc base'!$C$14:$N$14,1))))</f>
        <v>0</v>
      </c>
      <c r="AN263">
        <f>IF('Calc base'!I$14=0,0,MIN(AB263,MAX(0,$E263-SUMIFS($V263:$AG263,'Calc base'!$C$17:$N$17,"&lt;"&amp;'Calc base'!I$17,'Calc base'!$C$14:$N$14,1))))</f>
        <v>0</v>
      </c>
      <c r="AO263">
        <f>IF('Calc base'!J$14=0,0,MIN(AC263,MAX(0,$E263-SUMIFS($V263:$AG263,'Calc base'!$C$17:$N$17,"&lt;"&amp;'Calc base'!J$17,'Calc base'!$C$14:$N$14,1))))</f>
        <v>0</v>
      </c>
      <c r="AP263">
        <f>IF('Calc base'!K$14=0,0,MIN(AD263,MAX(0,$E263-SUMIFS($V263:$AG263,'Calc base'!$C$17:$N$17,"&lt;"&amp;'Calc base'!K$17,'Calc base'!$C$14:$N$14,1))))</f>
        <v>0</v>
      </c>
      <c r="AQ263">
        <f>IF('Calc base'!L$14=0,0,MIN(AE263,MAX(0,$E263-SUMIFS($V263:$AG263,'Calc base'!$C$17:$N$17,"&lt;"&amp;'Calc base'!L$17,'Calc base'!$C$14:$N$14,1))))</f>
        <v>0</v>
      </c>
      <c r="AR263">
        <f>IF('Calc base'!M$14=0,0,MIN(AF263,MAX(0,$E263-SUMIFS($V263:$AG263,'Calc base'!$C$17:$N$17,"&lt;"&amp;'Calc base'!M$17,'Calc base'!$C$14:$N$14,1))))</f>
        <v>0</v>
      </c>
      <c r="AS263">
        <f>IF('Calc base'!N$14=0,0,MIN(AG263,MAX(0,$E263-SUMIFS($V263:$AG263,'Calc base'!$C$17:$N$17,"&lt;"&amp;'Calc base'!N$17,'Calc base'!$C$14:$N$14,1))))</f>
        <v>0</v>
      </c>
      <c r="AT263">
        <f>V263-AH263</f>
        <v>0</v>
      </c>
      <c r="AU263">
        <f>W263-AI263</f>
        <v>0</v>
      </c>
      <c r="AV263">
        <f>X263-AJ263</f>
        <v>0</v>
      </c>
      <c r="AW263">
        <f>Y263-AK263</f>
        <v>0</v>
      </c>
      <c r="AX263">
        <f>Z263-AL263</f>
        <v>0</v>
      </c>
      <c r="AY263">
        <f>AA263-AM263</f>
        <v>0</v>
      </c>
      <c r="AZ263">
        <f>AB263-AN263</f>
        <v>0</v>
      </c>
      <c r="BA263">
        <f>AC263-AO263</f>
        <v>0</v>
      </c>
      <c r="BB263">
        <f>AD263-AP263</f>
        <v>0</v>
      </c>
      <c r="BC263">
        <f>AE263-AQ263</f>
        <v>0</v>
      </c>
      <c r="BD263">
        <f>AF263-AR263</f>
        <v>0</v>
      </c>
      <c r="BE263">
        <f>AG263-AS263</f>
        <v>0</v>
      </c>
    </row>
    <row r="264">
      <c r="A264" t="n">
        <v>234</v>
      </c>
      <c r="B264">
        <f>SUMPRODUCT(ROUND($AT263:$BE263*(1+'Calc base'!$H264:$S264),2))</f>
        <v>0</v>
      </c>
      <c r="C264">
        <f>SUM(J264:U264)</f>
        <v>0</v>
      </c>
      <c r="D264">
        <f>SUM(V264:AG264)</f>
        <v>0</v>
      </c>
      <c r="E264">
        <f>MAX(0,IF(Impostazioni!$B$7="No",'Calc base'!$C264-$C$31,'Calc base'!$C264-C264)+'Calc base'!$G264+'Calc base'!$F264-(B264-C264-D264))</f>
        <v>900</v>
      </c>
      <c r="F264">
        <f>SUM(AH264:AS264)</f>
        <v>0</v>
      </c>
      <c r="G264">
        <f>SUM(AT264:BE264)</f>
        <v>0</v>
      </c>
      <c r="H264">
        <f>B264-G263</f>
        <v>0</v>
      </c>
      <c r="I264">
        <f>B264-G264</f>
        <v>0</v>
      </c>
      <c r="J264">
        <f>IF(AT263&lt;=0,0,IF(ROUND(AT263*(1+'Calc base'!H264),2)-MAX('Calc base'!C$12,ROUND('Calc base'!C$13*AT263,2))&lt;1,ROUND(AT263*(1+'Calc base'!H264),2),MAX('Calc base'!C$12,ROUND('Calc base'!C$13*AT263,2))))</f>
        <v>0</v>
      </c>
      <c r="K264">
        <f>IF(AU263&lt;=0,0,IF(ROUND(AU263*(1+'Calc base'!I264),2)-MAX('Calc base'!D$12,ROUND('Calc base'!D$13*AU263,2))&lt;1,ROUND(AU263*(1+'Calc base'!I264),2),MAX('Calc base'!D$12,ROUND('Calc base'!D$13*AU263,2))))</f>
        <v>0</v>
      </c>
      <c r="L264">
        <f>IF(AV263&lt;=0,0,IF(ROUND(AV263*(1+'Calc base'!J264),2)-MAX('Calc base'!E$12,ROUND('Calc base'!E$13*AV263,2))&lt;1,ROUND(AV263*(1+'Calc base'!J264),2),MAX('Calc base'!E$12,ROUND('Calc base'!E$13*AV263,2))))</f>
        <v>0</v>
      </c>
      <c r="M264">
        <f>IF(AW263&lt;=0,0,IF(ROUND(AW263*(1+'Calc base'!K264),2)-MAX('Calc base'!F$12,ROUND('Calc base'!F$13*AW263,2))&lt;1,ROUND(AW263*(1+'Calc base'!K264),2),MAX('Calc base'!F$12,ROUND('Calc base'!F$13*AW263,2))))</f>
        <v>0</v>
      </c>
      <c r="N264">
        <f>IF(AX263&lt;=0,0,IF(ROUND(AX263*(1+'Calc base'!L264),2)-MAX('Calc base'!G$12,ROUND('Calc base'!G$13*AX263,2))&lt;1,ROUND(AX263*(1+'Calc base'!L264),2),MAX('Calc base'!G$12,ROUND('Calc base'!G$13*AX263,2))))</f>
        <v>0</v>
      </c>
      <c r="O264">
        <f>IF(AY263&lt;=0,0,IF(ROUND(AY263*(1+'Calc base'!M264),2)-MAX('Calc base'!H$12,ROUND('Calc base'!H$13*AY263,2))&lt;1,ROUND(AY263*(1+'Calc base'!M264),2),MAX('Calc base'!H$12,ROUND('Calc base'!H$13*AY263,2))))</f>
        <v>0</v>
      </c>
      <c r="P264">
        <f>IF(AZ263&lt;=0,0,IF(ROUND(AZ263*(1+'Calc base'!N264),2)-MAX('Calc base'!I$12,ROUND('Calc base'!I$13*AZ263,2))&lt;1,ROUND(AZ263*(1+'Calc base'!N264),2),MAX('Calc base'!I$12,ROUND('Calc base'!I$13*AZ263,2))))</f>
        <v>0</v>
      </c>
      <c r="Q264">
        <f>IF(BA263&lt;=0,0,IF(ROUND(BA263*(1+'Calc base'!O264),2)-MAX('Calc base'!J$12,ROUND('Calc base'!J$13*BA263,2))&lt;1,ROUND(BA263*(1+'Calc base'!O264),2),MAX('Calc base'!J$12,ROUND('Calc base'!J$13*BA263,2))))</f>
        <v>0</v>
      </c>
      <c r="R264">
        <f>IF(BB263&lt;=0,0,IF(ROUND(BB263*(1+'Calc base'!P264),2)-MAX('Calc base'!K$12,ROUND('Calc base'!K$13*BB263,2))&lt;1,ROUND(BB263*(1+'Calc base'!P264),2),MAX('Calc base'!K$12,ROUND('Calc base'!K$13*BB263,2))))</f>
        <v>0</v>
      </c>
      <c r="S264">
        <f>IF(BC263&lt;=0,0,IF(ROUND(BC263*(1+'Calc base'!Q264),2)-MAX('Calc base'!L$12,ROUND('Calc base'!L$13*BC263,2))&lt;1,ROUND(BC263*(1+'Calc base'!Q264),2),MAX('Calc base'!L$12,ROUND('Calc base'!L$13*BC263,2))))</f>
        <v>0</v>
      </c>
      <c r="T264">
        <f>IF(BD263&lt;=0,0,IF(ROUND(BD263*(1+'Calc base'!R264),2)-MAX('Calc base'!M$12,ROUND('Calc base'!M$13*BD263,2))&lt;1,ROUND(BD263*(1+'Calc base'!R264),2),MAX('Calc base'!M$12,ROUND('Calc base'!M$13*BD263,2))))</f>
        <v>0</v>
      </c>
      <c r="U264">
        <f>IF(BE263&lt;=0,0,IF(ROUND(BE263*(1+'Calc base'!S264),2)-MAX('Calc base'!N$12,ROUND('Calc base'!N$13*BE263,2))&lt;1,ROUND(BE263*(1+'Calc base'!S264),2),MAX('Calc base'!N$12,ROUND('Calc base'!N$13*BE263,2))))</f>
        <v>0</v>
      </c>
      <c r="V264">
        <f>MAX(0,ROUND(AT263*(1+'Calc base'!H264),2)-J264-'Calc base'!T264)</f>
        <v>0</v>
      </c>
      <c r="W264">
        <f>MAX(0,ROUND(AU263*(1+'Calc base'!I264),2)-K264-'Calc base'!U264)</f>
        <v>0</v>
      </c>
      <c r="X264">
        <f>MAX(0,ROUND(AV263*(1+'Calc base'!J264),2)-L264-'Calc base'!V264)</f>
        <v>0</v>
      </c>
      <c r="Y264">
        <f>MAX(0,ROUND(AW263*(1+'Calc base'!K264),2)-M264-'Calc base'!W264)</f>
        <v>0</v>
      </c>
      <c r="Z264">
        <f>MAX(0,ROUND(AX263*(1+'Calc base'!L264),2)-N264-'Calc base'!X264)</f>
        <v>0</v>
      </c>
      <c r="AA264">
        <f>MAX(0,ROUND(AY263*(1+'Calc base'!M264),2)-O264-'Calc base'!Y264)</f>
        <v>0</v>
      </c>
      <c r="AB264">
        <f>MAX(0,ROUND(AZ263*(1+'Calc base'!N264),2)-P264-'Calc base'!Z264)</f>
        <v>0</v>
      </c>
      <c r="AC264">
        <f>MAX(0,ROUND(BA263*(1+'Calc base'!O264),2)-Q264-'Calc base'!AA264)</f>
        <v>0</v>
      </c>
      <c r="AD264">
        <f>MAX(0,ROUND(BB263*(1+'Calc base'!P264),2)-R264-'Calc base'!AB264)</f>
        <v>0</v>
      </c>
      <c r="AE264">
        <f>MAX(0,ROUND(BC263*(1+'Calc base'!Q264),2)-S264-'Calc base'!AC264)</f>
        <v>0</v>
      </c>
      <c r="AF264">
        <f>MAX(0,ROUND(BD263*(1+'Calc base'!R264),2)-T264-'Calc base'!AD264)</f>
        <v>0</v>
      </c>
      <c r="AG264">
        <f>MAX(0,ROUND(BE263*(1+'Calc base'!S264),2)-U264-'Calc base'!AE264)</f>
        <v>0</v>
      </c>
      <c r="AH264">
        <f>IF('Calc base'!C$14=0,0,MIN(V264,MAX(0,$E264-SUMIFS($V264:$AG264,'Calc base'!$C$17:$N$17,"&lt;"&amp;'Calc base'!C$17,'Calc base'!$C$14:$N$14,1))))</f>
        <v>0</v>
      </c>
      <c r="AI264">
        <f>IF('Calc base'!D$14=0,0,MIN(W264,MAX(0,$E264-SUMIFS($V264:$AG264,'Calc base'!$C$17:$N$17,"&lt;"&amp;'Calc base'!D$17,'Calc base'!$C$14:$N$14,1))))</f>
        <v>0</v>
      </c>
      <c r="AJ264">
        <f>IF('Calc base'!E$14=0,0,MIN(X264,MAX(0,$E264-SUMIFS($V264:$AG264,'Calc base'!$C$17:$N$17,"&lt;"&amp;'Calc base'!E$17,'Calc base'!$C$14:$N$14,1))))</f>
        <v>0</v>
      </c>
      <c r="AK264">
        <f>IF('Calc base'!F$14=0,0,MIN(Y264,MAX(0,$E264-SUMIFS($V264:$AG264,'Calc base'!$C$17:$N$17,"&lt;"&amp;'Calc base'!F$17,'Calc base'!$C$14:$N$14,1))))</f>
        <v>0</v>
      </c>
      <c r="AL264">
        <f>IF('Calc base'!G$14=0,0,MIN(Z264,MAX(0,$E264-SUMIFS($V264:$AG264,'Calc base'!$C$17:$N$17,"&lt;"&amp;'Calc base'!G$17,'Calc base'!$C$14:$N$14,1))))</f>
        <v>0</v>
      </c>
      <c r="AM264">
        <f>IF('Calc base'!H$14=0,0,MIN(AA264,MAX(0,$E264-SUMIFS($V264:$AG264,'Calc base'!$C$17:$N$17,"&lt;"&amp;'Calc base'!H$17,'Calc base'!$C$14:$N$14,1))))</f>
        <v>0</v>
      </c>
      <c r="AN264">
        <f>IF('Calc base'!I$14=0,0,MIN(AB264,MAX(0,$E264-SUMIFS($V264:$AG264,'Calc base'!$C$17:$N$17,"&lt;"&amp;'Calc base'!I$17,'Calc base'!$C$14:$N$14,1))))</f>
        <v>0</v>
      </c>
      <c r="AO264">
        <f>IF('Calc base'!J$14=0,0,MIN(AC264,MAX(0,$E264-SUMIFS($V264:$AG264,'Calc base'!$C$17:$N$17,"&lt;"&amp;'Calc base'!J$17,'Calc base'!$C$14:$N$14,1))))</f>
        <v>0</v>
      </c>
      <c r="AP264">
        <f>IF('Calc base'!K$14=0,0,MIN(AD264,MAX(0,$E264-SUMIFS($V264:$AG264,'Calc base'!$C$17:$N$17,"&lt;"&amp;'Calc base'!K$17,'Calc base'!$C$14:$N$14,1))))</f>
        <v>0</v>
      </c>
      <c r="AQ264">
        <f>IF('Calc base'!L$14=0,0,MIN(AE264,MAX(0,$E264-SUMIFS($V264:$AG264,'Calc base'!$C$17:$N$17,"&lt;"&amp;'Calc base'!L$17,'Calc base'!$C$14:$N$14,1))))</f>
        <v>0</v>
      </c>
      <c r="AR264">
        <f>IF('Calc base'!M$14=0,0,MIN(AF264,MAX(0,$E264-SUMIFS($V264:$AG264,'Calc base'!$C$17:$N$17,"&lt;"&amp;'Calc base'!M$17,'Calc base'!$C$14:$N$14,1))))</f>
        <v>0</v>
      </c>
      <c r="AS264">
        <f>IF('Calc base'!N$14=0,0,MIN(AG264,MAX(0,$E264-SUMIFS($V264:$AG264,'Calc base'!$C$17:$N$17,"&lt;"&amp;'Calc base'!N$17,'Calc base'!$C$14:$N$14,1))))</f>
        <v>0</v>
      </c>
      <c r="AT264">
        <f>V264-AH264</f>
        <v>0</v>
      </c>
      <c r="AU264">
        <f>W264-AI264</f>
        <v>0</v>
      </c>
      <c r="AV264">
        <f>X264-AJ264</f>
        <v>0</v>
      </c>
      <c r="AW264">
        <f>Y264-AK264</f>
        <v>0</v>
      </c>
      <c r="AX264">
        <f>Z264-AL264</f>
        <v>0</v>
      </c>
      <c r="AY264">
        <f>AA264-AM264</f>
        <v>0</v>
      </c>
      <c r="AZ264">
        <f>AB264-AN264</f>
        <v>0</v>
      </c>
      <c r="BA264">
        <f>AC264-AO264</f>
        <v>0</v>
      </c>
      <c r="BB264">
        <f>AD264-AP264</f>
        <v>0</v>
      </c>
      <c r="BC264">
        <f>AE264-AQ264</f>
        <v>0</v>
      </c>
      <c r="BD264">
        <f>AF264-AR264</f>
        <v>0</v>
      </c>
      <c r="BE264">
        <f>AG264-AS264</f>
        <v>0</v>
      </c>
    </row>
    <row r="265">
      <c r="A265" t="n">
        <v>235</v>
      </c>
      <c r="B265">
        <f>SUMPRODUCT(ROUND($AT264:$BE264*(1+'Calc base'!$H265:$S265),2))</f>
        <v>0</v>
      </c>
      <c r="C265">
        <f>SUM(J265:U265)</f>
        <v>0</v>
      </c>
      <c r="D265">
        <f>SUM(V265:AG265)</f>
        <v>0</v>
      </c>
      <c r="E265">
        <f>MAX(0,IF(Impostazioni!$B$7="No",'Calc base'!$C265-$C$31,'Calc base'!$C265-C265)+'Calc base'!$G265+'Calc base'!$F265-(B265-C265-D265))</f>
        <v>900</v>
      </c>
      <c r="F265">
        <f>SUM(AH265:AS265)</f>
        <v>0</v>
      </c>
      <c r="G265">
        <f>SUM(AT265:BE265)</f>
        <v>0</v>
      </c>
      <c r="H265">
        <f>B265-G264</f>
        <v>0</v>
      </c>
      <c r="I265">
        <f>B265-G265</f>
        <v>0</v>
      </c>
      <c r="J265">
        <f>IF(AT264&lt;=0,0,IF(ROUND(AT264*(1+'Calc base'!H265),2)-MAX('Calc base'!C$12,ROUND('Calc base'!C$13*AT264,2))&lt;1,ROUND(AT264*(1+'Calc base'!H265),2),MAX('Calc base'!C$12,ROUND('Calc base'!C$13*AT264,2))))</f>
        <v>0</v>
      </c>
      <c r="K265">
        <f>IF(AU264&lt;=0,0,IF(ROUND(AU264*(1+'Calc base'!I265),2)-MAX('Calc base'!D$12,ROUND('Calc base'!D$13*AU264,2))&lt;1,ROUND(AU264*(1+'Calc base'!I265),2),MAX('Calc base'!D$12,ROUND('Calc base'!D$13*AU264,2))))</f>
        <v>0</v>
      </c>
      <c r="L265">
        <f>IF(AV264&lt;=0,0,IF(ROUND(AV264*(1+'Calc base'!J265),2)-MAX('Calc base'!E$12,ROUND('Calc base'!E$13*AV264,2))&lt;1,ROUND(AV264*(1+'Calc base'!J265),2),MAX('Calc base'!E$12,ROUND('Calc base'!E$13*AV264,2))))</f>
        <v>0</v>
      </c>
      <c r="M265">
        <f>IF(AW264&lt;=0,0,IF(ROUND(AW264*(1+'Calc base'!K265),2)-MAX('Calc base'!F$12,ROUND('Calc base'!F$13*AW264,2))&lt;1,ROUND(AW264*(1+'Calc base'!K265),2),MAX('Calc base'!F$12,ROUND('Calc base'!F$13*AW264,2))))</f>
        <v>0</v>
      </c>
      <c r="N265">
        <f>IF(AX264&lt;=0,0,IF(ROUND(AX264*(1+'Calc base'!L265),2)-MAX('Calc base'!G$12,ROUND('Calc base'!G$13*AX264,2))&lt;1,ROUND(AX264*(1+'Calc base'!L265),2),MAX('Calc base'!G$12,ROUND('Calc base'!G$13*AX264,2))))</f>
        <v>0</v>
      </c>
      <c r="O265">
        <f>IF(AY264&lt;=0,0,IF(ROUND(AY264*(1+'Calc base'!M265),2)-MAX('Calc base'!H$12,ROUND('Calc base'!H$13*AY264,2))&lt;1,ROUND(AY264*(1+'Calc base'!M265),2),MAX('Calc base'!H$12,ROUND('Calc base'!H$13*AY264,2))))</f>
        <v>0</v>
      </c>
      <c r="P265">
        <f>IF(AZ264&lt;=0,0,IF(ROUND(AZ264*(1+'Calc base'!N265),2)-MAX('Calc base'!I$12,ROUND('Calc base'!I$13*AZ264,2))&lt;1,ROUND(AZ264*(1+'Calc base'!N265),2),MAX('Calc base'!I$12,ROUND('Calc base'!I$13*AZ264,2))))</f>
        <v>0</v>
      </c>
      <c r="Q265">
        <f>IF(BA264&lt;=0,0,IF(ROUND(BA264*(1+'Calc base'!O265),2)-MAX('Calc base'!J$12,ROUND('Calc base'!J$13*BA264,2))&lt;1,ROUND(BA264*(1+'Calc base'!O265),2),MAX('Calc base'!J$12,ROUND('Calc base'!J$13*BA264,2))))</f>
        <v>0</v>
      </c>
      <c r="R265">
        <f>IF(BB264&lt;=0,0,IF(ROUND(BB264*(1+'Calc base'!P265),2)-MAX('Calc base'!K$12,ROUND('Calc base'!K$13*BB264,2))&lt;1,ROUND(BB264*(1+'Calc base'!P265),2),MAX('Calc base'!K$12,ROUND('Calc base'!K$13*BB264,2))))</f>
        <v>0</v>
      </c>
      <c r="S265">
        <f>IF(BC264&lt;=0,0,IF(ROUND(BC264*(1+'Calc base'!Q265),2)-MAX('Calc base'!L$12,ROUND('Calc base'!L$13*BC264,2))&lt;1,ROUND(BC264*(1+'Calc base'!Q265),2),MAX('Calc base'!L$12,ROUND('Calc base'!L$13*BC264,2))))</f>
        <v>0</v>
      </c>
      <c r="T265">
        <f>IF(BD264&lt;=0,0,IF(ROUND(BD264*(1+'Calc base'!R265),2)-MAX('Calc base'!M$12,ROUND('Calc base'!M$13*BD264,2))&lt;1,ROUND(BD264*(1+'Calc base'!R265),2),MAX('Calc base'!M$12,ROUND('Calc base'!M$13*BD264,2))))</f>
        <v>0</v>
      </c>
      <c r="U265">
        <f>IF(BE264&lt;=0,0,IF(ROUND(BE264*(1+'Calc base'!S265),2)-MAX('Calc base'!N$12,ROUND('Calc base'!N$13*BE264,2))&lt;1,ROUND(BE264*(1+'Calc base'!S265),2),MAX('Calc base'!N$12,ROUND('Calc base'!N$13*BE264,2))))</f>
        <v>0</v>
      </c>
      <c r="V265">
        <f>MAX(0,ROUND(AT264*(1+'Calc base'!H265),2)-J265-'Calc base'!T265)</f>
        <v>0</v>
      </c>
      <c r="W265">
        <f>MAX(0,ROUND(AU264*(1+'Calc base'!I265),2)-K265-'Calc base'!U265)</f>
        <v>0</v>
      </c>
      <c r="X265">
        <f>MAX(0,ROUND(AV264*(1+'Calc base'!J265),2)-L265-'Calc base'!V265)</f>
        <v>0</v>
      </c>
      <c r="Y265">
        <f>MAX(0,ROUND(AW264*(1+'Calc base'!K265),2)-M265-'Calc base'!W265)</f>
        <v>0</v>
      </c>
      <c r="Z265">
        <f>MAX(0,ROUND(AX264*(1+'Calc base'!L265),2)-N265-'Calc base'!X265)</f>
        <v>0</v>
      </c>
      <c r="AA265">
        <f>MAX(0,ROUND(AY264*(1+'Calc base'!M265),2)-O265-'Calc base'!Y265)</f>
        <v>0</v>
      </c>
      <c r="AB265">
        <f>MAX(0,ROUND(AZ264*(1+'Calc base'!N265),2)-P265-'Calc base'!Z265)</f>
        <v>0</v>
      </c>
      <c r="AC265">
        <f>MAX(0,ROUND(BA264*(1+'Calc base'!O265),2)-Q265-'Calc base'!AA265)</f>
        <v>0</v>
      </c>
      <c r="AD265">
        <f>MAX(0,ROUND(BB264*(1+'Calc base'!P265),2)-R265-'Calc base'!AB265)</f>
        <v>0</v>
      </c>
      <c r="AE265">
        <f>MAX(0,ROUND(BC264*(1+'Calc base'!Q265),2)-S265-'Calc base'!AC265)</f>
        <v>0</v>
      </c>
      <c r="AF265">
        <f>MAX(0,ROUND(BD264*(1+'Calc base'!R265),2)-T265-'Calc base'!AD265)</f>
        <v>0</v>
      </c>
      <c r="AG265">
        <f>MAX(0,ROUND(BE264*(1+'Calc base'!S265),2)-U265-'Calc base'!AE265)</f>
        <v>0</v>
      </c>
      <c r="AH265">
        <f>IF('Calc base'!C$14=0,0,MIN(V265,MAX(0,$E265-SUMIFS($V265:$AG265,'Calc base'!$C$17:$N$17,"&lt;"&amp;'Calc base'!C$17,'Calc base'!$C$14:$N$14,1))))</f>
        <v>0</v>
      </c>
      <c r="AI265">
        <f>IF('Calc base'!D$14=0,0,MIN(W265,MAX(0,$E265-SUMIFS($V265:$AG265,'Calc base'!$C$17:$N$17,"&lt;"&amp;'Calc base'!D$17,'Calc base'!$C$14:$N$14,1))))</f>
        <v>0</v>
      </c>
      <c r="AJ265">
        <f>IF('Calc base'!E$14=0,0,MIN(X265,MAX(0,$E265-SUMIFS($V265:$AG265,'Calc base'!$C$17:$N$17,"&lt;"&amp;'Calc base'!E$17,'Calc base'!$C$14:$N$14,1))))</f>
        <v>0</v>
      </c>
      <c r="AK265">
        <f>IF('Calc base'!F$14=0,0,MIN(Y265,MAX(0,$E265-SUMIFS($V265:$AG265,'Calc base'!$C$17:$N$17,"&lt;"&amp;'Calc base'!F$17,'Calc base'!$C$14:$N$14,1))))</f>
        <v>0</v>
      </c>
      <c r="AL265">
        <f>IF('Calc base'!G$14=0,0,MIN(Z265,MAX(0,$E265-SUMIFS($V265:$AG265,'Calc base'!$C$17:$N$17,"&lt;"&amp;'Calc base'!G$17,'Calc base'!$C$14:$N$14,1))))</f>
        <v>0</v>
      </c>
      <c r="AM265">
        <f>IF('Calc base'!H$14=0,0,MIN(AA265,MAX(0,$E265-SUMIFS($V265:$AG265,'Calc base'!$C$17:$N$17,"&lt;"&amp;'Calc base'!H$17,'Calc base'!$C$14:$N$14,1))))</f>
        <v>0</v>
      </c>
      <c r="AN265">
        <f>IF('Calc base'!I$14=0,0,MIN(AB265,MAX(0,$E265-SUMIFS($V265:$AG265,'Calc base'!$C$17:$N$17,"&lt;"&amp;'Calc base'!I$17,'Calc base'!$C$14:$N$14,1))))</f>
        <v>0</v>
      </c>
      <c r="AO265">
        <f>IF('Calc base'!J$14=0,0,MIN(AC265,MAX(0,$E265-SUMIFS($V265:$AG265,'Calc base'!$C$17:$N$17,"&lt;"&amp;'Calc base'!J$17,'Calc base'!$C$14:$N$14,1))))</f>
        <v>0</v>
      </c>
      <c r="AP265">
        <f>IF('Calc base'!K$14=0,0,MIN(AD265,MAX(0,$E265-SUMIFS($V265:$AG265,'Calc base'!$C$17:$N$17,"&lt;"&amp;'Calc base'!K$17,'Calc base'!$C$14:$N$14,1))))</f>
        <v>0</v>
      </c>
      <c r="AQ265">
        <f>IF('Calc base'!L$14=0,0,MIN(AE265,MAX(0,$E265-SUMIFS($V265:$AG265,'Calc base'!$C$17:$N$17,"&lt;"&amp;'Calc base'!L$17,'Calc base'!$C$14:$N$14,1))))</f>
        <v>0</v>
      </c>
      <c r="AR265">
        <f>IF('Calc base'!M$14=0,0,MIN(AF265,MAX(0,$E265-SUMIFS($V265:$AG265,'Calc base'!$C$17:$N$17,"&lt;"&amp;'Calc base'!M$17,'Calc base'!$C$14:$N$14,1))))</f>
        <v>0</v>
      </c>
      <c r="AS265">
        <f>IF('Calc base'!N$14=0,0,MIN(AG265,MAX(0,$E265-SUMIFS($V265:$AG265,'Calc base'!$C$17:$N$17,"&lt;"&amp;'Calc base'!N$17,'Calc base'!$C$14:$N$14,1))))</f>
        <v>0</v>
      </c>
      <c r="AT265">
        <f>V265-AH265</f>
        <v>0</v>
      </c>
      <c r="AU265">
        <f>W265-AI265</f>
        <v>0</v>
      </c>
      <c r="AV265">
        <f>X265-AJ265</f>
        <v>0</v>
      </c>
      <c r="AW265">
        <f>Y265-AK265</f>
        <v>0</v>
      </c>
      <c r="AX265">
        <f>Z265-AL265</f>
        <v>0</v>
      </c>
      <c r="AY265">
        <f>AA265-AM265</f>
        <v>0</v>
      </c>
      <c r="AZ265">
        <f>AB265-AN265</f>
        <v>0</v>
      </c>
      <c r="BA265">
        <f>AC265-AO265</f>
        <v>0</v>
      </c>
      <c r="BB265">
        <f>AD265-AP265</f>
        <v>0</v>
      </c>
      <c r="BC265">
        <f>AE265-AQ265</f>
        <v>0</v>
      </c>
      <c r="BD265">
        <f>AF265-AR265</f>
        <v>0</v>
      </c>
      <c r="BE265">
        <f>AG265-AS265</f>
        <v>0</v>
      </c>
    </row>
    <row r="266">
      <c r="A266" t="n">
        <v>236</v>
      </c>
      <c r="B266">
        <f>SUMPRODUCT(ROUND($AT265:$BE265*(1+'Calc base'!$H266:$S266),2))</f>
        <v>0</v>
      </c>
      <c r="C266">
        <f>SUM(J266:U266)</f>
        <v>0</v>
      </c>
      <c r="D266">
        <f>SUM(V266:AG266)</f>
        <v>0</v>
      </c>
      <c r="E266">
        <f>MAX(0,IF(Impostazioni!$B$7="No",'Calc base'!$C266-$C$31,'Calc base'!$C266-C266)+'Calc base'!$G266+'Calc base'!$F266-(B266-C266-D266))</f>
        <v>900</v>
      </c>
      <c r="F266">
        <f>SUM(AH266:AS266)</f>
        <v>0</v>
      </c>
      <c r="G266">
        <f>SUM(AT266:BE266)</f>
        <v>0</v>
      </c>
      <c r="H266">
        <f>B266-G265</f>
        <v>0</v>
      </c>
      <c r="I266">
        <f>B266-G266</f>
        <v>0</v>
      </c>
      <c r="J266">
        <f>IF(AT265&lt;=0,0,IF(ROUND(AT265*(1+'Calc base'!H266),2)-MAX('Calc base'!C$12,ROUND('Calc base'!C$13*AT265,2))&lt;1,ROUND(AT265*(1+'Calc base'!H266),2),MAX('Calc base'!C$12,ROUND('Calc base'!C$13*AT265,2))))</f>
        <v>0</v>
      </c>
      <c r="K266">
        <f>IF(AU265&lt;=0,0,IF(ROUND(AU265*(1+'Calc base'!I266),2)-MAX('Calc base'!D$12,ROUND('Calc base'!D$13*AU265,2))&lt;1,ROUND(AU265*(1+'Calc base'!I266),2),MAX('Calc base'!D$12,ROUND('Calc base'!D$13*AU265,2))))</f>
        <v>0</v>
      </c>
      <c r="L266">
        <f>IF(AV265&lt;=0,0,IF(ROUND(AV265*(1+'Calc base'!J266),2)-MAX('Calc base'!E$12,ROUND('Calc base'!E$13*AV265,2))&lt;1,ROUND(AV265*(1+'Calc base'!J266),2),MAX('Calc base'!E$12,ROUND('Calc base'!E$13*AV265,2))))</f>
        <v>0</v>
      </c>
      <c r="M266">
        <f>IF(AW265&lt;=0,0,IF(ROUND(AW265*(1+'Calc base'!K266),2)-MAX('Calc base'!F$12,ROUND('Calc base'!F$13*AW265,2))&lt;1,ROUND(AW265*(1+'Calc base'!K266),2),MAX('Calc base'!F$12,ROUND('Calc base'!F$13*AW265,2))))</f>
        <v>0</v>
      </c>
      <c r="N266">
        <f>IF(AX265&lt;=0,0,IF(ROUND(AX265*(1+'Calc base'!L266),2)-MAX('Calc base'!G$12,ROUND('Calc base'!G$13*AX265,2))&lt;1,ROUND(AX265*(1+'Calc base'!L266),2),MAX('Calc base'!G$12,ROUND('Calc base'!G$13*AX265,2))))</f>
        <v>0</v>
      </c>
      <c r="O266">
        <f>IF(AY265&lt;=0,0,IF(ROUND(AY265*(1+'Calc base'!M266),2)-MAX('Calc base'!H$12,ROUND('Calc base'!H$13*AY265,2))&lt;1,ROUND(AY265*(1+'Calc base'!M266),2),MAX('Calc base'!H$12,ROUND('Calc base'!H$13*AY265,2))))</f>
        <v>0</v>
      </c>
      <c r="P266">
        <f>IF(AZ265&lt;=0,0,IF(ROUND(AZ265*(1+'Calc base'!N266),2)-MAX('Calc base'!I$12,ROUND('Calc base'!I$13*AZ265,2))&lt;1,ROUND(AZ265*(1+'Calc base'!N266),2),MAX('Calc base'!I$12,ROUND('Calc base'!I$13*AZ265,2))))</f>
        <v>0</v>
      </c>
      <c r="Q266">
        <f>IF(BA265&lt;=0,0,IF(ROUND(BA265*(1+'Calc base'!O266),2)-MAX('Calc base'!J$12,ROUND('Calc base'!J$13*BA265,2))&lt;1,ROUND(BA265*(1+'Calc base'!O266),2),MAX('Calc base'!J$12,ROUND('Calc base'!J$13*BA265,2))))</f>
        <v>0</v>
      </c>
      <c r="R266">
        <f>IF(BB265&lt;=0,0,IF(ROUND(BB265*(1+'Calc base'!P266),2)-MAX('Calc base'!K$12,ROUND('Calc base'!K$13*BB265,2))&lt;1,ROUND(BB265*(1+'Calc base'!P266),2),MAX('Calc base'!K$12,ROUND('Calc base'!K$13*BB265,2))))</f>
        <v>0</v>
      </c>
      <c r="S266">
        <f>IF(BC265&lt;=0,0,IF(ROUND(BC265*(1+'Calc base'!Q266),2)-MAX('Calc base'!L$12,ROUND('Calc base'!L$13*BC265,2))&lt;1,ROUND(BC265*(1+'Calc base'!Q266),2),MAX('Calc base'!L$12,ROUND('Calc base'!L$13*BC265,2))))</f>
        <v>0</v>
      </c>
      <c r="T266">
        <f>IF(BD265&lt;=0,0,IF(ROUND(BD265*(1+'Calc base'!R266),2)-MAX('Calc base'!M$12,ROUND('Calc base'!M$13*BD265,2))&lt;1,ROUND(BD265*(1+'Calc base'!R266),2),MAX('Calc base'!M$12,ROUND('Calc base'!M$13*BD265,2))))</f>
        <v>0</v>
      </c>
      <c r="U266">
        <f>IF(BE265&lt;=0,0,IF(ROUND(BE265*(1+'Calc base'!S266),2)-MAX('Calc base'!N$12,ROUND('Calc base'!N$13*BE265,2))&lt;1,ROUND(BE265*(1+'Calc base'!S266),2),MAX('Calc base'!N$12,ROUND('Calc base'!N$13*BE265,2))))</f>
        <v>0</v>
      </c>
      <c r="V266">
        <f>MAX(0,ROUND(AT265*(1+'Calc base'!H266),2)-J266-'Calc base'!T266)</f>
        <v>0</v>
      </c>
      <c r="W266">
        <f>MAX(0,ROUND(AU265*(1+'Calc base'!I266),2)-K266-'Calc base'!U266)</f>
        <v>0</v>
      </c>
      <c r="X266">
        <f>MAX(0,ROUND(AV265*(1+'Calc base'!J266),2)-L266-'Calc base'!V266)</f>
        <v>0</v>
      </c>
      <c r="Y266">
        <f>MAX(0,ROUND(AW265*(1+'Calc base'!K266),2)-M266-'Calc base'!W266)</f>
        <v>0</v>
      </c>
      <c r="Z266">
        <f>MAX(0,ROUND(AX265*(1+'Calc base'!L266),2)-N266-'Calc base'!X266)</f>
        <v>0</v>
      </c>
      <c r="AA266">
        <f>MAX(0,ROUND(AY265*(1+'Calc base'!M266),2)-O266-'Calc base'!Y266)</f>
        <v>0</v>
      </c>
      <c r="AB266">
        <f>MAX(0,ROUND(AZ265*(1+'Calc base'!N266),2)-P266-'Calc base'!Z266)</f>
        <v>0</v>
      </c>
      <c r="AC266">
        <f>MAX(0,ROUND(BA265*(1+'Calc base'!O266),2)-Q266-'Calc base'!AA266)</f>
        <v>0</v>
      </c>
      <c r="AD266">
        <f>MAX(0,ROUND(BB265*(1+'Calc base'!P266),2)-R266-'Calc base'!AB266)</f>
        <v>0</v>
      </c>
      <c r="AE266">
        <f>MAX(0,ROUND(BC265*(1+'Calc base'!Q266),2)-S266-'Calc base'!AC266)</f>
        <v>0</v>
      </c>
      <c r="AF266">
        <f>MAX(0,ROUND(BD265*(1+'Calc base'!R266),2)-T266-'Calc base'!AD266)</f>
        <v>0</v>
      </c>
      <c r="AG266">
        <f>MAX(0,ROUND(BE265*(1+'Calc base'!S266),2)-U266-'Calc base'!AE266)</f>
        <v>0</v>
      </c>
      <c r="AH266">
        <f>IF('Calc base'!C$14=0,0,MIN(V266,MAX(0,$E266-SUMIFS($V266:$AG266,'Calc base'!$C$17:$N$17,"&lt;"&amp;'Calc base'!C$17,'Calc base'!$C$14:$N$14,1))))</f>
        <v>0</v>
      </c>
      <c r="AI266">
        <f>IF('Calc base'!D$14=0,0,MIN(W266,MAX(0,$E266-SUMIFS($V266:$AG266,'Calc base'!$C$17:$N$17,"&lt;"&amp;'Calc base'!D$17,'Calc base'!$C$14:$N$14,1))))</f>
        <v>0</v>
      </c>
      <c r="AJ266">
        <f>IF('Calc base'!E$14=0,0,MIN(X266,MAX(0,$E266-SUMIFS($V266:$AG266,'Calc base'!$C$17:$N$17,"&lt;"&amp;'Calc base'!E$17,'Calc base'!$C$14:$N$14,1))))</f>
        <v>0</v>
      </c>
      <c r="AK266">
        <f>IF('Calc base'!F$14=0,0,MIN(Y266,MAX(0,$E266-SUMIFS($V266:$AG266,'Calc base'!$C$17:$N$17,"&lt;"&amp;'Calc base'!F$17,'Calc base'!$C$14:$N$14,1))))</f>
        <v>0</v>
      </c>
      <c r="AL266">
        <f>IF('Calc base'!G$14=0,0,MIN(Z266,MAX(0,$E266-SUMIFS($V266:$AG266,'Calc base'!$C$17:$N$17,"&lt;"&amp;'Calc base'!G$17,'Calc base'!$C$14:$N$14,1))))</f>
        <v>0</v>
      </c>
      <c r="AM266">
        <f>IF('Calc base'!H$14=0,0,MIN(AA266,MAX(0,$E266-SUMIFS($V266:$AG266,'Calc base'!$C$17:$N$17,"&lt;"&amp;'Calc base'!H$17,'Calc base'!$C$14:$N$14,1))))</f>
        <v>0</v>
      </c>
      <c r="AN266">
        <f>IF('Calc base'!I$14=0,0,MIN(AB266,MAX(0,$E266-SUMIFS($V266:$AG266,'Calc base'!$C$17:$N$17,"&lt;"&amp;'Calc base'!I$17,'Calc base'!$C$14:$N$14,1))))</f>
        <v>0</v>
      </c>
      <c r="AO266">
        <f>IF('Calc base'!J$14=0,0,MIN(AC266,MAX(0,$E266-SUMIFS($V266:$AG266,'Calc base'!$C$17:$N$17,"&lt;"&amp;'Calc base'!J$17,'Calc base'!$C$14:$N$14,1))))</f>
        <v>0</v>
      </c>
      <c r="AP266">
        <f>IF('Calc base'!K$14=0,0,MIN(AD266,MAX(0,$E266-SUMIFS($V266:$AG266,'Calc base'!$C$17:$N$17,"&lt;"&amp;'Calc base'!K$17,'Calc base'!$C$14:$N$14,1))))</f>
        <v>0</v>
      </c>
      <c r="AQ266">
        <f>IF('Calc base'!L$14=0,0,MIN(AE266,MAX(0,$E266-SUMIFS($V266:$AG266,'Calc base'!$C$17:$N$17,"&lt;"&amp;'Calc base'!L$17,'Calc base'!$C$14:$N$14,1))))</f>
        <v>0</v>
      </c>
      <c r="AR266">
        <f>IF('Calc base'!M$14=0,0,MIN(AF266,MAX(0,$E266-SUMIFS($V266:$AG266,'Calc base'!$C$17:$N$17,"&lt;"&amp;'Calc base'!M$17,'Calc base'!$C$14:$N$14,1))))</f>
        <v>0</v>
      </c>
      <c r="AS266">
        <f>IF('Calc base'!N$14=0,0,MIN(AG266,MAX(0,$E266-SUMIFS($V266:$AG266,'Calc base'!$C$17:$N$17,"&lt;"&amp;'Calc base'!N$17,'Calc base'!$C$14:$N$14,1))))</f>
        <v>0</v>
      </c>
      <c r="AT266">
        <f>V266-AH266</f>
        <v>0</v>
      </c>
      <c r="AU266">
        <f>W266-AI266</f>
        <v>0</v>
      </c>
      <c r="AV266">
        <f>X266-AJ266</f>
        <v>0</v>
      </c>
      <c r="AW266">
        <f>Y266-AK266</f>
        <v>0</v>
      </c>
      <c r="AX266">
        <f>Z266-AL266</f>
        <v>0</v>
      </c>
      <c r="AY266">
        <f>AA266-AM266</f>
        <v>0</v>
      </c>
      <c r="AZ266">
        <f>AB266-AN266</f>
        <v>0</v>
      </c>
      <c r="BA266">
        <f>AC266-AO266</f>
        <v>0</v>
      </c>
      <c r="BB266">
        <f>AD266-AP266</f>
        <v>0</v>
      </c>
      <c r="BC266">
        <f>AE266-AQ266</f>
        <v>0</v>
      </c>
      <c r="BD266">
        <f>AF266-AR266</f>
        <v>0</v>
      </c>
      <c r="BE266">
        <f>AG266-AS266</f>
        <v>0</v>
      </c>
    </row>
    <row r="267">
      <c r="A267" t="n">
        <v>237</v>
      </c>
      <c r="B267">
        <f>SUMPRODUCT(ROUND($AT266:$BE266*(1+'Calc base'!$H267:$S267),2))</f>
        <v>0</v>
      </c>
      <c r="C267">
        <f>SUM(J267:U267)</f>
        <v>0</v>
      </c>
      <c r="D267">
        <f>SUM(V267:AG267)</f>
        <v>0</v>
      </c>
      <c r="E267">
        <f>MAX(0,IF(Impostazioni!$B$7="No",'Calc base'!$C267-$C$31,'Calc base'!$C267-C267)+'Calc base'!$G267+'Calc base'!$F267-(B267-C267-D267))</f>
        <v>900</v>
      </c>
      <c r="F267">
        <f>SUM(AH267:AS267)</f>
        <v>0</v>
      </c>
      <c r="G267">
        <f>SUM(AT267:BE267)</f>
        <v>0</v>
      </c>
      <c r="H267">
        <f>B267-G266</f>
        <v>0</v>
      </c>
      <c r="I267">
        <f>B267-G267</f>
        <v>0</v>
      </c>
      <c r="J267">
        <f>IF(AT266&lt;=0,0,IF(ROUND(AT266*(1+'Calc base'!H267),2)-MAX('Calc base'!C$12,ROUND('Calc base'!C$13*AT266,2))&lt;1,ROUND(AT266*(1+'Calc base'!H267),2),MAX('Calc base'!C$12,ROUND('Calc base'!C$13*AT266,2))))</f>
        <v>0</v>
      </c>
      <c r="K267">
        <f>IF(AU266&lt;=0,0,IF(ROUND(AU266*(1+'Calc base'!I267),2)-MAX('Calc base'!D$12,ROUND('Calc base'!D$13*AU266,2))&lt;1,ROUND(AU266*(1+'Calc base'!I267),2),MAX('Calc base'!D$12,ROUND('Calc base'!D$13*AU266,2))))</f>
        <v>0</v>
      </c>
      <c r="L267">
        <f>IF(AV266&lt;=0,0,IF(ROUND(AV266*(1+'Calc base'!J267),2)-MAX('Calc base'!E$12,ROUND('Calc base'!E$13*AV266,2))&lt;1,ROUND(AV266*(1+'Calc base'!J267),2),MAX('Calc base'!E$12,ROUND('Calc base'!E$13*AV266,2))))</f>
        <v>0</v>
      </c>
      <c r="M267">
        <f>IF(AW266&lt;=0,0,IF(ROUND(AW266*(1+'Calc base'!K267),2)-MAX('Calc base'!F$12,ROUND('Calc base'!F$13*AW266,2))&lt;1,ROUND(AW266*(1+'Calc base'!K267),2),MAX('Calc base'!F$12,ROUND('Calc base'!F$13*AW266,2))))</f>
        <v>0</v>
      </c>
      <c r="N267">
        <f>IF(AX266&lt;=0,0,IF(ROUND(AX266*(1+'Calc base'!L267),2)-MAX('Calc base'!G$12,ROUND('Calc base'!G$13*AX266,2))&lt;1,ROUND(AX266*(1+'Calc base'!L267),2),MAX('Calc base'!G$12,ROUND('Calc base'!G$13*AX266,2))))</f>
        <v>0</v>
      </c>
      <c r="O267">
        <f>IF(AY266&lt;=0,0,IF(ROUND(AY266*(1+'Calc base'!M267),2)-MAX('Calc base'!H$12,ROUND('Calc base'!H$13*AY266,2))&lt;1,ROUND(AY266*(1+'Calc base'!M267),2),MAX('Calc base'!H$12,ROUND('Calc base'!H$13*AY266,2))))</f>
        <v>0</v>
      </c>
      <c r="P267">
        <f>IF(AZ266&lt;=0,0,IF(ROUND(AZ266*(1+'Calc base'!N267),2)-MAX('Calc base'!I$12,ROUND('Calc base'!I$13*AZ266,2))&lt;1,ROUND(AZ266*(1+'Calc base'!N267),2),MAX('Calc base'!I$12,ROUND('Calc base'!I$13*AZ266,2))))</f>
        <v>0</v>
      </c>
      <c r="Q267">
        <f>IF(BA266&lt;=0,0,IF(ROUND(BA266*(1+'Calc base'!O267),2)-MAX('Calc base'!J$12,ROUND('Calc base'!J$13*BA266,2))&lt;1,ROUND(BA266*(1+'Calc base'!O267),2),MAX('Calc base'!J$12,ROUND('Calc base'!J$13*BA266,2))))</f>
        <v>0</v>
      </c>
      <c r="R267">
        <f>IF(BB266&lt;=0,0,IF(ROUND(BB266*(1+'Calc base'!P267),2)-MAX('Calc base'!K$12,ROUND('Calc base'!K$13*BB266,2))&lt;1,ROUND(BB266*(1+'Calc base'!P267),2),MAX('Calc base'!K$12,ROUND('Calc base'!K$13*BB266,2))))</f>
        <v>0</v>
      </c>
      <c r="S267">
        <f>IF(BC266&lt;=0,0,IF(ROUND(BC266*(1+'Calc base'!Q267),2)-MAX('Calc base'!L$12,ROUND('Calc base'!L$13*BC266,2))&lt;1,ROUND(BC266*(1+'Calc base'!Q267),2),MAX('Calc base'!L$12,ROUND('Calc base'!L$13*BC266,2))))</f>
        <v>0</v>
      </c>
      <c r="T267">
        <f>IF(BD266&lt;=0,0,IF(ROUND(BD266*(1+'Calc base'!R267),2)-MAX('Calc base'!M$12,ROUND('Calc base'!M$13*BD266,2))&lt;1,ROUND(BD266*(1+'Calc base'!R267),2),MAX('Calc base'!M$12,ROUND('Calc base'!M$13*BD266,2))))</f>
        <v>0</v>
      </c>
      <c r="U267">
        <f>IF(BE266&lt;=0,0,IF(ROUND(BE266*(1+'Calc base'!S267),2)-MAX('Calc base'!N$12,ROUND('Calc base'!N$13*BE266,2))&lt;1,ROUND(BE266*(1+'Calc base'!S267),2),MAX('Calc base'!N$12,ROUND('Calc base'!N$13*BE266,2))))</f>
        <v>0</v>
      </c>
      <c r="V267">
        <f>MAX(0,ROUND(AT266*(1+'Calc base'!H267),2)-J267-'Calc base'!T267)</f>
        <v>0</v>
      </c>
      <c r="W267">
        <f>MAX(0,ROUND(AU266*(1+'Calc base'!I267),2)-K267-'Calc base'!U267)</f>
        <v>0</v>
      </c>
      <c r="X267">
        <f>MAX(0,ROUND(AV266*(1+'Calc base'!J267),2)-L267-'Calc base'!V267)</f>
        <v>0</v>
      </c>
      <c r="Y267">
        <f>MAX(0,ROUND(AW266*(1+'Calc base'!K267),2)-M267-'Calc base'!W267)</f>
        <v>0</v>
      </c>
      <c r="Z267">
        <f>MAX(0,ROUND(AX266*(1+'Calc base'!L267),2)-N267-'Calc base'!X267)</f>
        <v>0</v>
      </c>
      <c r="AA267">
        <f>MAX(0,ROUND(AY266*(1+'Calc base'!M267),2)-O267-'Calc base'!Y267)</f>
        <v>0</v>
      </c>
      <c r="AB267">
        <f>MAX(0,ROUND(AZ266*(1+'Calc base'!N267),2)-P267-'Calc base'!Z267)</f>
        <v>0</v>
      </c>
      <c r="AC267">
        <f>MAX(0,ROUND(BA266*(1+'Calc base'!O267),2)-Q267-'Calc base'!AA267)</f>
        <v>0</v>
      </c>
      <c r="AD267">
        <f>MAX(0,ROUND(BB266*(1+'Calc base'!P267),2)-R267-'Calc base'!AB267)</f>
        <v>0</v>
      </c>
      <c r="AE267">
        <f>MAX(0,ROUND(BC266*(1+'Calc base'!Q267),2)-S267-'Calc base'!AC267)</f>
        <v>0</v>
      </c>
      <c r="AF267">
        <f>MAX(0,ROUND(BD266*(1+'Calc base'!R267),2)-T267-'Calc base'!AD267)</f>
        <v>0</v>
      </c>
      <c r="AG267">
        <f>MAX(0,ROUND(BE266*(1+'Calc base'!S267),2)-U267-'Calc base'!AE267)</f>
        <v>0</v>
      </c>
      <c r="AH267">
        <f>IF('Calc base'!C$14=0,0,MIN(V267,MAX(0,$E267-SUMIFS($V267:$AG267,'Calc base'!$C$17:$N$17,"&lt;"&amp;'Calc base'!C$17,'Calc base'!$C$14:$N$14,1))))</f>
        <v>0</v>
      </c>
      <c r="AI267">
        <f>IF('Calc base'!D$14=0,0,MIN(W267,MAX(0,$E267-SUMIFS($V267:$AG267,'Calc base'!$C$17:$N$17,"&lt;"&amp;'Calc base'!D$17,'Calc base'!$C$14:$N$14,1))))</f>
        <v>0</v>
      </c>
      <c r="AJ267">
        <f>IF('Calc base'!E$14=0,0,MIN(X267,MAX(0,$E267-SUMIFS($V267:$AG267,'Calc base'!$C$17:$N$17,"&lt;"&amp;'Calc base'!E$17,'Calc base'!$C$14:$N$14,1))))</f>
        <v>0</v>
      </c>
      <c r="AK267">
        <f>IF('Calc base'!F$14=0,0,MIN(Y267,MAX(0,$E267-SUMIFS($V267:$AG267,'Calc base'!$C$17:$N$17,"&lt;"&amp;'Calc base'!F$17,'Calc base'!$C$14:$N$14,1))))</f>
        <v>0</v>
      </c>
      <c r="AL267">
        <f>IF('Calc base'!G$14=0,0,MIN(Z267,MAX(0,$E267-SUMIFS($V267:$AG267,'Calc base'!$C$17:$N$17,"&lt;"&amp;'Calc base'!G$17,'Calc base'!$C$14:$N$14,1))))</f>
        <v>0</v>
      </c>
      <c r="AM267">
        <f>IF('Calc base'!H$14=0,0,MIN(AA267,MAX(0,$E267-SUMIFS($V267:$AG267,'Calc base'!$C$17:$N$17,"&lt;"&amp;'Calc base'!H$17,'Calc base'!$C$14:$N$14,1))))</f>
        <v>0</v>
      </c>
      <c r="AN267">
        <f>IF('Calc base'!I$14=0,0,MIN(AB267,MAX(0,$E267-SUMIFS($V267:$AG267,'Calc base'!$C$17:$N$17,"&lt;"&amp;'Calc base'!I$17,'Calc base'!$C$14:$N$14,1))))</f>
        <v>0</v>
      </c>
      <c r="AO267">
        <f>IF('Calc base'!J$14=0,0,MIN(AC267,MAX(0,$E267-SUMIFS($V267:$AG267,'Calc base'!$C$17:$N$17,"&lt;"&amp;'Calc base'!J$17,'Calc base'!$C$14:$N$14,1))))</f>
        <v>0</v>
      </c>
      <c r="AP267">
        <f>IF('Calc base'!K$14=0,0,MIN(AD267,MAX(0,$E267-SUMIFS($V267:$AG267,'Calc base'!$C$17:$N$17,"&lt;"&amp;'Calc base'!K$17,'Calc base'!$C$14:$N$14,1))))</f>
        <v>0</v>
      </c>
      <c r="AQ267">
        <f>IF('Calc base'!L$14=0,0,MIN(AE267,MAX(0,$E267-SUMIFS($V267:$AG267,'Calc base'!$C$17:$N$17,"&lt;"&amp;'Calc base'!L$17,'Calc base'!$C$14:$N$14,1))))</f>
        <v>0</v>
      </c>
      <c r="AR267">
        <f>IF('Calc base'!M$14=0,0,MIN(AF267,MAX(0,$E267-SUMIFS($V267:$AG267,'Calc base'!$C$17:$N$17,"&lt;"&amp;'Calc base'!M$17,'Calc base'!$C$14:$N$14,1))))</f>
        <v>0</v>
      </c>
      <c r="AS267">
        <f>IF('Calc base'!N$14=0,0,MIN(AG267,MAX(0,$E267-SUMIFS($V267:$AG267,'Calc base'!$C$17:$N$17,"&lt;"&amp;'Calc base'!N$17,'Calc base'!$C$14:$N$14,1))))</f>
        <v>0</v>
      </c>
      <c r="AT267">
        <f>V267-AH267</f>
        <v>0</v>
      </c>
      <c r="AU267">
        <f>W267-AI267</f>
        <v>0</v>
      </c>
      <c r="AV267">
        <f>X267-AJ267</f>
        <v>0</v>
      </c>
      <c r="AW267">
        <f>Y267-AK267</f>
        <v>0</v>
      </c>
      <c r="AX267">
        <f>Z267-AL267</f>
        <v>0</v>
      </c>
      <c r="AY267">
        <f>AA267-AM267</f>
        <v>0</v>
      </c>
      <c r="AZ267">
        <f>AB267-AN267</f>
        <v>0</v>
      </c>
      <c r="BA267">
        <f>AC267-AO267</f>
        <v>0</v>
      </c>
      <c r="BB267">
        <f>AD267-AP267</f>
        <v>0</v>
      </c>
      <c r="BC267">
        <f>AE267-AQ267</f>
        <v>0</v>
      </c>
      <c r="BD267">
        <f>AF267-AR267</f>
        <v>0</v>
      </c>
      <c r="BE267">
        <f>AG267-AS267</f>
        <v>0</v>
      </c>
    </row>
    <row r="268">
      <c r="A268" t="n">
        <v>238</v>
      </c>
      <c r="B268">
        <f>SUMPRODUCT(ROUND($AT267:$BE267*(1+'Calc base'!$H268:$S268),2))</f>
        <v>0</v>
      </c>
      <c r="C268">
        <f>SUM(J268:U268)</f>
        <v>0</v>
      </c>
      <c r="D268">
        <f>SUM(V268:AG268)</f>
        <v>0</v>
      </c>
      <c r="E268">
        <f>MAX(0,IF(Impostazioni!$B$7="No",'Calc base'!$C268-$C$31,'Calc base'!$C268-C268)+'Calc base'!$G268+'Calc base'!$F268-(B268-C268-D268))</f>
        <v>900</v>
      </c>
      <c r="F268">
        <f>SUM(AH268:AS268)</f>
        <v>0</v>
      </c>
      <c r="G268">
        <f>SUM(AT268:BE268)</f>
        <v>0</v>
      </c>
      <c r="H268">
        <f>B268-G267</f>
        <v>0</v>
      </c>
      <c r="I268">
        <f>B268-G268</f>
        <v>0</v>
      </c>
      <c r="J268">
        <f>IF(AT267&lt;=0,0,IF(ROUND(AT267*(1+'Calc base'!H268),2)-MAX('Calc base'!C$12,ROUND('Calc base'!C$13*AT267,2))&lt;1,ROUND(AT267*(1+'Calc base'!H268),2),MAX('Calc base'!C$12,ROUND('Calc base'!C$13*AT267,2))))</f>
        <v>0</v>
      </c>
      <c r="K268">
        <f>IF(AU267&lt;=0,0,IF(ROUND(AU267*(1+'Calc base'!I268),2)-MAX('Calc base'!D$12,ROUND('Calc base'!D$13*AU267,2))&lt;1,ROUND(AU267*(1+'Calc base'!I268),2),MAX('Calc base'!D$12,ROUND('Calc base'!D$13*AU267,2))))</f>
        <v>0</v>
      </c>
      <c r="L268">
        <f>IF(AV267&lt;=0,0,IF(ROUND(AV267*(1+'Calc base'!J268),2)-MAX('Calc base'!E$12,ROUND('Calc base'!E$13*AV267,2))&lt;1,ROUND(AV267*(1+'Calc base'!J268),2),MAX('Calc base'!E$12,ROUND('Calc base'!E$13*AV267,2))))</f>
        <v>0</v>
      </c>
      <c r="M268">
        <f>IF(AW267&lt;=0,0,IF(ROUND(AW267*(1+'Calc base'!K268),2)-MAX('Calc base'!F$12,ROUND('Calc base'!F$13*AW267,2))&lt;1,ROUND(AW267*(1+'Calc base'!K268),2),MAX('Calc base'!F$12,ROUND('Calc base'!F$13*AW267,2))))</f>
        <v>0</v>
      </c>
      <c r="N268">
        <f>IF(AX267&lt;=0,0,IF(ROUND(AX267*(1+'Calc base'!L268),2)-MAX('Calc base'!G$12,ROUND('Calc base'!G$13*AX267,2))&lt;1,ROUND(AX267*(1+'Calc base'!L268),2),MAX('Calc base'!G$12,ROUND('Calc base'!G$13*AX267,2))))</f>
        <v>0</v>
      </c>
      <c r="O268">
        <f>IF(AY267&lt;=0,0,IF(ROUND(AY267*(1+'Calc base'!M268),2)-MAX('Calc base'!H$12,ROUND('Calc base'!H$13*AY267,2))&lt;1,ROUND(AY267*(1+'Calc base'!M268),2),MAX('Calc base'!H$12,ROUND('Calc base'!H$13*AY267,2))))</f>
        <v>0</v>
      </c>
      <c r="P268">
        <f>IF(AZ267&lt;=0,0,IF(ROUND(AZ267*(1+'Calc base'!N268),2)-MAX('Calc base'!I$12,ROUND('Calc base'!I$13*AZ267,2))&lt;1,ROUND(AZ267*(1+'Calc base'!N268),2),MAX('Calc base'!I$12,ROUND('Calc base'!I$13*AZ267,2))))</f>
        <v>0</v>
      </c>
      <c r="Q268">
        <f>IF(BA267&lt;=0,0,IF(ROUND(BA267*(1+'Calc base'!O268),2)-MAX('Calc base'!J$12,ROUND('Calc base'!J$13*BA267,2))&lt;1,ROUND(BA267*(1+'Calc base'!O268),2),MAX('Calc base'!J$12,ROUND('Calc base'!J$13*BA267,2))))</f>
        <v>0</v>
      </c>
      <c r="R268">
        <f>IF(BB267&lt;=0,0,IF(ROUND(BB267*(1+'Calc base'!P268),2)-MAX('Calc base'!K$12,ROUND('Calc base'!K$13*BB267,2))&lt;1,ROUND(BB267*(1+'Calc base'!P268),2),MAX('Calc base'!K$12,ROUND('Calc base'!K$13*BB267,2))))</f>
        <v>0</v>
      </c>
      <c r="S268">
        <f>IF(BC267&lt;=0,0,IF(ROUND(BC267*(1+'Calc base'!Q268),2)-MAX('Calc base'!L$12,ROUND('Calc base'!L$13*BC267,2))&lt;1,ROUND(BC267*(1+'Calc base'!Q268),2),MAX('Calc base'!L$12,ROUND('Calc base'!L$13*BC267,2))))</f>
        <v>0</v>
      </c>
      <c r="T268">
        <f>IF(BD267&lt;=0,0,IF(ROUND(BD267*(1+'Calc base'!R268),2)-MAX('Calc base'!M$12,ROUND('Calc base'!M$13*BD267,2))&lt;1,ROUND(BD267*(1+'Calc base'!R268),2),MAX('Calc base'!M$12,ROUND('Calc base'!M$13*BD267,2))))</f>
        <v>0</v>
      </c>
      <c r="U268">
        <f>IF(BE267&lt;=0,0,IF(ROUND(BE267*(1+'Calc base'!S268),2)-MAX('Calc base'!N$12,ROUND('Calc base'!N$13*BE267,2))&lt;1,ROUND(BE267*(1+'Calc base'!S268),2),MAX('Calc base'!N$12,ROUND('Calc base'!N$13*BE267,2))))</f>
        <v>0</v>
      </c>
      <c r="V268">
        <f>MAX(0,ROUND(AT267*(1+'Calc base'!H268),2)-J268-'Calc base'!T268)</f>
        <v>0</v>
      </c>
      <c r="W268">
        <f>MAX(0,ROUND(AU267*(1+'Calc base'!I268),2)-K268-'Calc base'!U268)</f>
        <v>0</v>
      </c>
      <c r="X268">
        <f>MAX(0,ROUND(AV267*(1+'Calc base'!J268),2)-L268-'Calc base'!V268)</f>
        <v>0</v>
      </c>
      <c r="Y268">
        <f>MAX(0,ROUND(AW267*(1+'Calc base'!K268),2)-M268-'Calc base'!W268)</f>
        <v>0</v>
      </c>
      <c r="Z268">
        <f>MAX(0,ROUND(AX267*(1+'Calc base'!L268),2)-N268-'Calc base'!X268)</f>
        <v>0</v>
      </c>
      <c r="AA268">
        <f>MAX(0,ROUND(AY267*(1+'Calc base'!M268),2)-O268-'Calc base'!Y268)</f>
        <v>0</v>
      </c>
      <c r="AB268">
        <f>MAX(0,ROUND(AZ267*(1+'Calc base'!N268),2)-P268-'Calc base'!Z268)</f>
        <v>0</v>
      </c>
      <c r="AC268">
        <f>MAX(0,ROUND(BA267*(1+'Calc base'!O268),2)-Q268-'Calc base'!AA268)</f>
        <v>0</v>
      </c>
      <c r="AD268">
        <f>MAX(0,ROUND(BB267*(1+'Calc base'!P268),2)-R268-'Calc base'!AB268)</f>
        <v>0</v>
      </c>
      <c r="AE268">
        <f>MAX(0,ROUND(BC267*(1+'Calc base'!Q268),2)-S268-'Calc base'!AC268)</f>
        <v>0</v>
      </c>
      <c r="AF268">
        <f>MAX(0,ROUND(BD267*(1+'Calc base'!R268),2)-T268-'Calc base'!AD268)</f>
        <v>0</v>
      </c>
      <c r="AG268">
        <f>MAX(0,ROUND(BE267*(1+'Calc base'!S268),2)-U268-'Calc base'!AE268)</f>
        <v>0</v>
      </c>
      <c r="AH268">
        <f>IF('Calc base'!C$14=0,0,MIN(V268,MAX(0,$E268-SUMIFS($V268:$AG268,'Calc base'!$C$17:$N$17,"&lt;"&amp;'Calc base'!C$17,'Calc base'!$C$14:$N$14,1))))</f>
        <v>0</v>
      </c>
      <c r="AI268">
        <f>IF('Calc base'!D$14=0,0,MIN(W268,MAX(0,$E268-SUMIFS($V268:$AG268,'Calc base'!$C$17:$N$17,"&lt;"&amp;'Calc base'!D$17,'Calc base'!$C$14:$N$14,1))))</f>
        <v>0</v>
      </c>
      <c r="AJ268">
        <f>IF('Calc base'!E$14=0,0,MIN(X268,MAX(0,$E268-SUMIFS($V268:$AG268,'Calc base'!$C$17:$N$17,"&lt;"&amp;'Calc base'!E$17,'Calc base'!$C$14:$N$14,1))))</f>
        <v>0</v>
      </c>
      <c r="AK268">
        <f>IF('Calc base'!F$14=0,0,MIN(Y268,MAX(0,$E268-SUMIFS($V268:$AG268,'Calc base'!$C$17:$N$17,"&lt;"&amp;'Calc base'!F$17,'Calc base'!$C$14:$N$14,1))))</f>
        <v>0</v>
      </c>
      <c r="AL268">
        <f>IF('Calc base'!G$14=0,0,MIN(Z268,MAX(0,$E268-SUMIFS($V268:$AG268,'Calc base'!$C$17:$N$17,"&lt;"&amp;'Calc base'!G$17,'Calc base'!$C$14:$N$14,1))))</f>
        <v>0</v>
      </c>
      <c r="AM268">
        <f>IF('Calc base'!H$14=0,0,MIN(AA268,MAX(0,$E268-SUMIFS($V268:$AG268,'Calc base'!$C$17:$N$17,"&lt;"&amp;'Calc base'!H$17,'Calc base'!$C$14:$N$14,1))))</f>
        <v>0</v>
      </c>
      <c r="AN268">
        <f>IF('Calc base'!I$14=0,0,MIN(AB268,MAX(0,$E268-SUMIFS($V268:$AG268,'Calc base'!$C$17:$N$17,"&lt;"&amp;'Calc base'!I$17,'Calc base'!$C$14:$N$14,1))))</f>
        <v>0</v>
      </c>
      <c r="AO268">
        <f>IF('Calc base'!J$14=0,0,MIN(AC268,MAX(0,$E268-SUMIFS($V268:$AG268,'Calc base'!$C$17:$N$17,"&lt;"&amp;'Calc base'!J$17,'Calc base'!$C$14:$N$14,1))))</f>
        <v>0</v>
      </c>
      <c r="AP268">
        <f>IF('Calc base'!K$14=0,0,MIN(AD268,MAX(0,$E268-SUMIFS($V268:$AG268,'Calc base'!$C$17:$N$17,"&lt;"&amp;'Calc base'!K$17,'Calc base'!$C$14:$N$14,1))))</f>
        <v>0</v>
      </c>
      <c r="AQ268">
        <f>IF('Calc base'!L$14=0,0,MIN(AE268,MAX(0,$E268-SUMIFS($V268:$AG268,'Calc base'!$C$17:$N$17,"&lt;"&amp;'Calc base'!L$17,'Calc base'!$C$14:$N$14,1))))</f>
        <v>0</v>
      </c>
      <c r="AR268">
        <f>IF('Calc base'!M$14=0,0,MIN(AF268,MAX(0,$E268-SUMIFS($V268:$AG268,'Calc base'!$C$17:$N$17,"&lt;"&amp;'Calc base'!M$17,'Calc base'!$C$14:$N$14,1))))</f>
        <v>0</v>
      </c>
      <c r="AS268">
        <f>IF('Calc base'!N$14=0,0,MIN(AG268,MAX(0,$E268-SUMIFS($V268:$AG268,'Calc base'!$C$17:$N$17,"&lt;"&amp;'Calc base'!N$17,'Calc base'!$C$14:$N$14,1))))</f>
        <v>0</v>
      </c>
      <c r="AT268">
        <f>V268-AH268</f>
        <v>0</v>
      </c>
      <c r="AU268">
        <f>W268-AI268</f>
        <v>0</v>
      </c>
      <c r="AV268">
        <f>X268-AJ268</f>
        <v>0</v>
      </c>
      <c r="AW268">
        <f>Y268-AK268</f>
        <v>0</v>
      </c>
      <c r="AX268">
        <f>Z268-AL268</f>
        <v>0</v>
      </c>
      <c r="AY268">
        <f>AA268-AM268</f>
        <v>0</v>
      </c>
      <c r="AZ268">
        <f>AB268-AN268</f>
        <v>0</v>
      </c>
      <c r="BA268">
        <f>AC268-AO268</f>
        <v>0</v>
      </c>
      <c r="BB268">
        <f>AD268-AP268</f>
        <v>0</v>
      </c>
      <c r="BC268">
        <f>AE268-AQ268</f>
        <v>0</v>
      </c>
      <c r="BD268">
        <f>AF268-AR268</f>
        <v>0</v>
      </c>
      <c r="BE268">
        <f>AG268-AS268</f>
        <v>0</v>
      </c>
    </row>
    <row r="269">
      <c r="A269" t="n">
        <v>239</v>
      </c>
      <c r="B269">
        <f>SUMPRODUCT(ROUND($AT268:$BE268*(1+'Calc base'!$H269:$S269),2))</f>
        <v>0</v>
      </c>
      <c r="C269">
        <f>SUM(J269:U269)</f>
        <v>0</v>
      </c>
      <c r="D269">
        <f>SUM(V269:AG269)</f>
        <v>0</v>
      </c>
      <c r="E269">
        <f>MAX(0,IF(Impostazioni!$B$7="No",'Calc base'!$C269-$C$31,'Calc base'!$C269-C269)+'Calc base'!$G269+'Calc base'!$F269-(B269-C269-D269))</f>
        <v>900</v>
      </c>
      <c r="F269">
        <f>SUM(AH269:AS269)</f>
        <v>0</v>
      </c>
      <c r="G269">
        <f>SUM(AT269:BE269)</f>
        <v>0</v>
      </c>
      <c r="H269">
        <f>B269-G268</f>
        <v>0</v>
      </c>
      <c r="I269">
        <f>B269-G269</f>
        <v>0</v>
      </c>
      <c r="J269">
        <f>IF(AT268&lt;=0,0,IF(ROUND(AT268*(1+'Calc base'!H269),2)-MAX('Calc base'!C$12,ROUND('Calc base'!C$13*AT268,2))&lt;1,ROUND(AT268*(1+'Calc base'!H269),2),MAX('Calc base'!C$12,ROUND('Calc base'!C$13*AT268,2))))</f>
        <v>0</v>
      </c>
      <c r="K269">
        <f>IF(AU268&lt;=0,0,IF(ROUND(AU268*(1+'Calc base'!I269),2)-MAX('Calc base'!D$12,ROUND('Calc base'!D$13*AU268,2))&lt;1,ROUND(AU268*(1+'Calc base'!I269),2),MAX('Calc base'!D$12,ROUND('Calc base'!D$13*AU268,2))))</f>
        <v>0</v>
      </c>
      <c r="L269">
        <f>IF(AV268&lt;=0,0,IF(ROUND(AV268*(1+'Calc base'!J269),2)-MAX('Calc base'!E$12,ROUND('Calc base'!E$13*AV268,2))&lt;1,ROUND(AV268*(1+'Calc base'!J269),2),MAX('Calc base'!E$12,ROUND('Calc base'!E$13*AV268,2))))</f>
        <v>0</v>
      </c>
      <c r="M269">
        <f>IF(AW268&lt;=0,0,IF(ROUND(AW268*(1+'Calc base'!K269),2)-MAX('Calc base'!F$12,ROUND('Calc base'!F$13*AW268,2))&lt;1,ROUND(AW268*(1+'Calc base'!K269),2),MAX('Calc base'!F$12,ROUND('Calc base'!F$13*AW268,2))))</f>
        <v>0</v>
      </c>
      <c r="N269">
        <f>IF(AX268&lt;=0,0,IF(ROUND(AX268*(1+'Calc base'!L269),2)-MAX('Calc base'!G$12,ROUND('Calc base'!G$13*AX268,2))&lt;1,ROUND(AX268*(1+'Calc base'!L269),2),MAX('Calc base'!G$12,ROUND('Calc base'!G$13*AX268,2))))</f>
        <v>0</v>
      </c>
      <c r="O269">
        <f>IF(AY268&lt;=0,0,IF(ROUND(AY268*(1+'Calc base'!M269),2)-MAX('Calc base'!H$12,ROUND('Calc base'!H$13*AY268,2))&lt;1,ROUND(AY268*(1+'Calc base'!M269),2),MAX('Calc base'!H$12,ROUND('Calc base'!H$13*AY268,2))))</f>
        <v>0</v>
      </c>
      <c r="P269">
        <f>IF(AZ268&lt;=0,0,IF(ROUND(AZ268*(1+'Calc base'!N269),2)-MAX('Calc base'!I$12,ROUND('Calc base'!I$13*AZ268,2))&lt;1,ROUND(AZ268*(1+'Calc base'!N269),2),MAX('Calc base'!I$12,ROUND('Calc base'!I$13*AZ268,2))))</f>
        <v>0</v>
      </c>
      <c r="Q269">
        <f>IF(BA268&lt;=0,0,IF(ROUND(BA268*(1+'Calc base'!O269),2)-MAX('Calc base'!J$12,ROUND('Calc base'!J$13*BA268,2))&lt;1,ROUND(BA268*(1+'Calc base'!O269),2),MAX('Calc base'!J$12,ROUND('Calc base'!J$13*BA268,2))))</f>
        <v>0</v>
      </c>
      <c r="R269">
        <f>IF(BB268&lt;=0,0,IF(ROUND(BB268*(1+'Calc base'!P269),2)-MAX('Calc base'!K$12,ROUND('Calc base'!K$13*BB268,2))&lt;1,ROUND(BB268*(1+'Calc base'!P269),2),MAX('Calc base'!K$12,ROUND('Calc base'!K$13*BB268,2))))</f>
        <v>0</v>
      </c>
      <c r="S269">
        <f>IF(BC268&lt;=0,0,IF(ROUND(BC268*(1+'Calc base'!Q269),2)-MAX('Calc base'!L$12,ROUND('Calc base'!L$13*BC268,2))&lt;1,ROUND(BC268*(1+'Calc base'!Q269),2),MAX('Calc base'!L$12,ROUND('Calc base'!L$13*BC268,2))))</f>
        <v>0</v>
      </c>
      <c r="T269">
        <f>IF(BD268&lt;=0,0,IF(ROUND(BD268*(1+'Calc base'!R269),2)-MAX('Calc base'!M$12,ROUND('Calc base'!M$13*BD268,2))&lt;1,ROUND(BD268*(1+'Calc base'!R269),2),MAX('Calc base'!M$12,ROUND('Calc base'!M$13*BD268,2))))</f>
        <v>0</v>
      </c>
      <c r="U269">
        <f>IF(BE268&lt;=0,0,IF(ROUND(BE268*(1+'Calc base'!S269),2)-MAX('Calc base'!N$12,ROUND('Calc base'!N$13*BE268,2))&lt;1,ROUND(BE268*(1+'Calc base'!S269),2),MAX('Calc base'!N$12,ROUND('Calc base'!N$13*BE268,2))))</f>
        <v>0</v>
      </c>
      <c r="V269">
        <f>MAX(0,ROUND(AT268*(1+'Calc base'!H269),2)-J269-'Calc base'!T269)</f>
        <v>0</v>
      </c>
      <c r="W269">
        <f>MAX(0,ROUND(AU268*(1+'Calc base'!I269),2)-K269-'Calc base'!U269)</f>
        <v>0</v>
      </c>
      <c r="X269">
        <f>MAX(0,ROUND(AV268*(1+'Calc base'!J269),2)-L269-'Calc base'!V269)</f>
        <v>0</v>
      </c>
      <c r="Y269">
        <f>MAX(0,ROUND(AW268*(1+'Calc base'!K269),2)-M269-'Calc base'!W269)</f>
        <v>0</v>
      </c>
      <c r="Z269">
        <f>MAX(0,ROUND(AX268*(1+'Calc base'!L269),2)-N269-'Calc base'!X269)</f>
        <v>0</v>
      </c>
      <c r="AA269">
        <f>MAX(0,ROUND(AY268*(1+'Calc base'!M269),2)-O269-'Calc base'!Y269)</f>
        <v>0</v>
      </c>
      <c r="AB269">
        <f>MAX(0,ROUND(AZ268*(1+'Calc base'!N269),2)-P269-'Calc base'!Z269)</f>
        <v>0</v>
      </c>
      <c r="AC269">
        <f>MAX(0,ROUND(BA268*(1+'Calc base'!O269),2)-Q269-'Calc base'!AA269)</f>
        <v>0</v>
      </c>
      <c r="AD269">
        <f>MAX(0,ROUND(BB268*(1+'Calc base'!P269),2)-R269-'Calc base'!AB269)</f>
        <v>0</v>
      </c>
      <c r="AE269">
        <f>MAX(0,ROUND(BC268*(1+'Calc base'!Q269),2)-S269-'Calc base'!AC269)</f>
        <v>0</v>
      </c>
      <c r="AF269">
        <f>MAX(0,ROUND(BD268*(1+'Calc base'!R269),2)-T269-'Calc base'!AD269)</f>
        <v>0</v>
      </c>
      <c r="AG269">
        <f>MAX(0,ROUND(BE268*(1+'Calc base'!S269),2)-U269-'Calc base'!AE269)</f>
        <v>0</v>
      </c>
      <c r="AH269">
        <f>IF('Calc base'!C$14=0,0,MIN(V269,MAX(0,$E269-SUMIFS($V269:$AG269,'Calc base'!$C$17:$N$17,"&lt;"&amp;'Calc base'!C$17,'Calc base'!$C$14:$N$14,1))))</f>
        <v>0</v>
      </c>
      <c r="AI269">
        <f>IF('Calc base'!D$14=0,0,MIN(W269,MAX(0,$E269-SUMIFS($V269:$AG269,'Calc base'!$C$17:$N$17,"&lt;"&amp;'Calc base'!D$17,'Calc base'!$C$14:$N$14,1))))</f>
        <v>0</v>
      </c>
      <c r="AJ269">
        <f>IF('Calc base'!E$14=0,0,MIN(X269,MAX(0,$E269-SUMIFS($V269:$AG269,'Calc base'!$C$17:$N$17,"&lt;"&amp;'Calc base'!E$17,'Calc base'!$C$14:$N$14,1))))</f>
        <v>0</v>
      </c>
      <c r="AK269">
        <f>IF('Calc base'!F$14=0,0,MIN(Y269,MAX(0,$E269-SUMIFS($V269:$AG269,'Calc base'!$C$17:$N$17,"&lt;"&amp;'Calc base'!F$17,'Calc base'!$C$14:$N$14,1))))</f>
        <v>0</v>
      </c>
      <c r="AL269">
        <f>IF('Calc base'!G$14=0,0,MIN(Z269,MAX(0,$E269-SUMIFS($V269:$AG269,'Calc base'!$C$17:$N$17,"&lt;"&amp;'Calc base'!G$17,'Calc base'!$C$14:$N$14,1))))</f>
        <v>0</v>
      </c>
      <c r="AM269">
        <f>IF('Calc base'!H$14=0,0,MIN(AA269,MAX(0,$E269-SUMIFS($V269:$AG269,'Calc base'!$C$17:$N$17,"&lt;"&amp;'Calc base'!H$17,'Calc base'!$C$14:$N$14,1))))</f>
        <v>0</v>
      </c>
      <c r="AN269">
        <f>IF('Calc base'!I$14=0,0,MIN(AB269,MAX(0,$E269-SUMIFS($V269:$AG269,'Calc base'!$C$17:$N$17,"&lt;"&amp;'Calc base'!I$17,'Calc base'!$C$14:$N$14,1))))</f>
        <v>0</v>
      </c>
      <c r="AO269">
        <f>IF('Calc base'!J$14=0,0,MIN(AC269,MAX(0,$E269-SUMIFS($V269:$AG269,'Calc base'!$C$17:$N$17,"&lt;"&amp;'Calc base'!J$17,'Calc base'!$C$14:$N$14,1))))</f>
        <v>0</v>
      </c>
      <c r="AP269">
        <f>IF('Calc base'!K$14=0,0,MIN(AD269,MAX(0,$E269-SUMIFS($V269:$AG269,'Calc base'!$C$17:$N$17,"&lt;"&amp;'Calc base'!K$17,'Calc base'!$C$14:$N$14,1))))</f>
        <v>0</v>
      </c>
      <c r="AQ269">
        <f>IF('Calc base'!L$14=0,0,MIN(AE269,MAX(0,$E269-SUMIFS($V269:$AG269,'Calc base'!$C$17:$N$17,"&lt;"&amp;'Calc base'!L$17,'Calc base'!$C$14:$N$14,1))))</f>
        <v>0</v>
      </c>
      <c r="AR269">
        <f>IF('Calc base'!M$14=0,0,MIN(AF269,MAX(0,$E269-SUMIFS($V269:$AG269,'Calc base'!$C$17:$N$17,"&lt;"&amp;'Calc base'!M$17,'Calc base'!$C$14:$N$14,1))))</f>
        <v>0</v>
      </c>
      <c r="AS269">
        <f>IF('Calc base'!N$14=0,0,MIN(AG269,MAX(0,$E269-SUMIFS($V269:$AG269,'Calc base'!$C$17:$N$17,"&lt;"&amp;'Calc base'!N$17,'Calc base'!$C$14:$N$14,1))))</f>
        <v>0</v>
      </c>
      <c r="AT269">
        <f>V269-AH269</f>
        <v>0</v>
      </c>
      <c r="AU269">
        <f>W269-AI269</f>
        <v>0</v>
      </c>
      <c r="AV269">
        <f>X269-AJ269</f>
        <v>0</v>
      </c>
      <c r="AW269">
        <f>Y269-AK269</f>
        <v>0</v>
      </c>
      <c r="AX269">
        <f>Z269-AL269</f>
        <v>0</v>
      </c>
      <c r="AY269">
        <f>AA269-AM269</f>
        <v>0</v>
      </c>
      <c r="AZ269">
        <f>AB269-AN269</f>
        <v>0</v>
      </c>
      <c r="BA269">
        <f>AC269-AO269</f>
        <v>0</v>
      </c>
      <c r="BB269">
        <f>AD269-AP269</f>
        <v>0</v>
      </c>
      <c r="BC269">
        <f>AE269-AQ269</f>
        <v>0</v>
      </c>
      <c r="BD269">
        <f>AF269-AR269</f>
        <v>0</v>
      </c>
      <c r="BE269">
        <f>AG269-AS269</f>
        <v>0</v>
      </c>
    </row>
    <row r="270">
      <c r="A270" t="n">
        <v>240</v>
      </c>
      <c r="B270">
        <f>SUMPRODUCT(ROUND($AT269:$BE269*(1+'Calc base'!$H270:$S270),2))</f>
        <v>0</v>
      </c>
      <c r="C270">
        <f>SUM(J270:U270)</f>
        <v>0</v>
      </c>
      <c r="D270">
        <f>SUM(V270:AG270)</f>
        <v>0</v>
      </c>
      <c r="E270">
        <f>MAX(0,IF(Impostazioni!$B$7="No",'Calc base'!$C270-$C$31,'Calc base'!$C270-C270)+'Calc base'!$G270+'Calc base'!$F270-(B270-C270-D270))</f>
        <v>900</v>
      </c>
      <c r="F270">
        <f>SUM(AH270:AS270)</f>
        <v>0</v>
      </c>
      <c r="G270">
        <f>SUM(AT270:BE270)</f>
        <v>0</v>
      </c>
      <c r="H270">
        <f>B270-G269</f>
        <v>0</v>
      </c>
      <c r="I270">
        <f>B270-G270</f>
        <v>0</v>
      </c>
      <c r="J270">
        <f>IF(AT269&lt;=0,0,IF(ROUND(AT269*(1+'Calc base'!H270),2)-MAX('Calc base'!C$12,ROUND('Calc base'!C$13*AT269,2))&lt;1,ROUND(AT269*(1+'Calc base'!H270),2),MAX('Calc base'!C$12,ROUND('Calc base'!C$13*AT269,2))))</f>
        <v>0</v>
      </c>
      <c r="K270">
        <f>IF(AU269&lt;=0,0,IF(ROUND(AU269*(1+'Calc base'!I270),2)-MAX('Calc base'!D$12,ROUND('Calc base'!D$13*AU269,2))&lt;1,ROUND(AU269*(1+'Calc base'!I270),2),MAX('Calc base'!D$12,ROUND('Calc base'!D$13*AU269,2))))</f>
        <v>0</v>
      </c>
      <c r="L270">
        <f>IF(AV269&lt;=0,0,IF(ROUND(AV269*(1+'Calc base'!J270),2)-MAX('Calc base'!E$12,ROUND('Calc base'!E$13*AV269,2))&lt;1,ROUND(AV269*(1+'Calc base'!J270),2),MAX('Calc base'!E$12,ROUND('Calc base'!E$13*AV269,2))))</f>
        <v>0</v>
      </c>
      <c r="M270">
        <f>IF(AW269&lt;=0,0,IF(ROUND(AW269*(1+'Calc base'!K270),2)-MAX('Calc base'!F$12,ROUND('Calc base'!F$13*AW269,2))&lt;1,ROUND(AW269*(1+'Calc base'!K270),2),MAX('Calc base'!F$12,ROUND('Calc base'!F$13*AW269,2))))</f>
        <v>0</v>
      </c>
      <c r="N270">
        <f>IF(AX269&lt;=0,0,IF(ROUND(AX269*(1+'Calc base'!L270),2)-MAX('Calc base'!G$12,ROUND('Calc base'!G$13*AX269,2))&lt;1,ROUND(AX269*(1+'Calc base'!L270),2),MAX('Calc base'!G$12,ROUND('Calc base'!G$13*AX269,2))))</f>
        <v>0</v>
      </c>
      <c r="O270">
        <f>IF(AY269&lt;=0,0,IF(ROUND(AY269*(1+'Calc base'!M270),2)-MAX('Calc base'!H$12,ROUND('Calc base'!H$13*AY269,2))&lt;1,ROUND(AY269*(1+'Calc base'!M270),2),MAX('Calc base'!H$12,ROUND('Calc base'!H$13*AY269,2))))</f>
        <v>0</v>
      </c>
      <c r="P270">
        <f>IF(AZ269&lt;=0,0,IF(ROUND(AZ269*(1+'Calc base'!N270),2)-MAX('Calc base'!I$12,ROUND('Calc base'!I$13*AZ269,2))&lt;1,ROUND(AZ269*(1+'Calc base'!N270),2),MAX('Calc base'!I$12,ROUND('Calc base'!I$13*AZ269,2))))</f>
        <v>0</v>
      </c>
      <c r="Q270">
        <f>IF(BA269&lt;=0,0,IF(ROUND(BA269*(1+'Calc base'!O270),2)-MAX('Calc base'!J$12,ROUND('Calc base'!J$13*BA269,2))&lt;1,ROUND(BA269*(1+'Calc base'!O270),2),MAX('Calc base'!J$12,ROUND('Calc base'!J$13*BA269,2))))</f>
        <v>0</v>
      </c>
      <c r="R270">
        <f>IF(BB269&lt;=0,0,IF(ROUND(BB269*(1+'Calc base'!P270),2)-MAX('Calc base'!K$12,ROUND('Calc base'!K$13*BB269,2))&lt;1,ROUND(BB269*(1+'Calc base'!P270),2),MAX('Calc base'!K$12,ROUND('Calc base'!K$13*BB269,2))))</f>
        <v>0</v>
      </c>
      <c r="S270">
        <f>IF(BC269&lt;=0,0,IF(ROUND(BC269*(1+'Calc base'!Q270),2)-MAX('Calc base'!L$12,ROUND('Calc base'!L$13*BC269,2))&lt;1,ROUND(BC269*(1+'Calc base'!Q270),2),MAX('Calc base'!L$12,ROUND('Calc base'!L$13*BC269,2))))</f>
        <v>0</v>
      </c>
      <c r="T270">
        <f>IF(BD269&lt;=0,0,IF(ROUND(BD269*(1+'Calc base'!R270),2)-MAX('Calc base'!M$12,ROUND('Calc base'!M$13*BD269,2))&lt;1,ROUND(BD269*(1+'Calc base'!R270),2),MAX('Calc base'!M$12,ROUND('Calc base'!M$13*BD269,2))))</f>
        <v>0</v>
      </c>
      <c r="U270">
        <f>IF(BE269&lt;=0,0,IF(ROUND(BE269*(1+'Calc base'!S270),2)-MAX('Calc base'!N$12,ROUND('Calc base'!N$13*BE269,2))&lt;1,ROUND(BE269*(1+'Calc base'!S270),2),MAX('Calc base'!N$12,ROUND('Calc base'!N$13*BE269,2))))</f>
        <v>0</v>
      </c>
      <c r="V270">
        <f>MAX(0,ROUND(AT269*(1+'Calc base'!H270),2)-J270-'Calc base'!T270)</f>
        <v>0</v>
      </c>
      <c r="W270">
        <f>MAX(0,ROUND(AU269*(1+'Calc base'!I270),2)-K270-'Calc base'!U270)</f>
        <v>0</v>
      </c>
      <c r="X270">
        <f>MAX(0,ROUND(AV269*(1+'Calc base'!J270),2)-L270-'Calc base'!V270)</f>
        <v>0</v>
      </c>
      <c r="Y270">
        <f>MAX(0,ROUND(AW269*(1+'Calc base'!K270),2)-M270-'Calc base'!W270)</f>
        <v>0</v>
      </c>
      <c r="Z270">
        <f>MAX(0,ROUND(AX269*(1+'Calc base'!L270),2)-N270-'Calc base'!X270)</f>
        <v>0</v>
      </c>
      <c r="AA270">
        <f>MAX(0,ROUND(AY269*(1+'Calc base'!M270),2)-O270-'Calc base'!Y270)</f>
        <v>0</v>
      </c>
      <c r="AB270">
        <f>MAX(0,ROUND(AZ269*(1+'Calc base'!N270),2)-P270-'Calc base'!Z270)</f>
        <v>0</v>
      </c>
      <c r="AC270">
        <f>MAX(0,ROUND(BA269*(1+'Calc base'!O270),2)-Q270-'Calc base'!AA270)</f>
        <v>0</v>
      </c>
      <c r="AD270">
        <f>MAX(0,ROUND(BB269*(1+'Calc base'!P270),2)-R270-'Calc base'!AB270)</f>
        <v>0</v>
      </c>
      <c r="AE270">
        <f>MAX(0,ROUND(BC269*(1+'Calc base'!Q270),2)-S270-'Calc base'!AC270)</f>
        <v>0</v>
      </c>
      <c r="AF270">
        <f>MAX(0,ROUND(BD269*(1+'Calc base'!R270),2)-T270-'Calc base'!AD270)</f>
        <v>0</v>
      </c>
      <c r="AG270">
        <f>MAX(0,ROUND(BE269*(1+'Calc base'!S270),2)-U270-'Calc base'!AE270)</f>
        <v>0</v>
      </c>
      <c r="AH270">
        <f>IF('Calc base'!C$14=0,0,MIN(V270,MAX(0,$E270-SUMIFS($V270:$AG270,'Calc base'!$C$17:$N$17,"&lt;"&amp;'Calc base'!C$17,'Calc base'!$C$14:$N$14,1))))</f>
        <v>0</v>
      </c>
      <c r="AI270">
        <f>IF('Calc base'!D$14=0,0,MIN(W270,MAX(0,$E270-SUMIFS($V270:$AG270,'Calc base'!$C$17:$N$17,"&lt;"&amp;'Calc base'!D$17,'Calc base'!$C$14:$N$14,1))))</f>
        <v>0</v>
      </c>
      <c r="AJ270">
        <f>IF('Calc base'!E$14=0,0,MIN(X270,MAX(0,$E270-SUMIFS($V270:$AG270,'Calc base'!$C$17:$N$17,"&lt;"&amp;'Calc base'!E$17,'Calc base'!$C$14:$N$14,1))))</f>
        <v>0</v>
      </c>
      <c r="AK270">
        <f>IF('Calc base'!F$14=0,0,MIN(Y270,MAX(0,$E270-SUMIFS($V270:$AG270,'Calc base'!$C$17:$N$17,"&lt;"&amp;'Calc base'!F$17,'Calc base'!$C$14:$N$14,1))))</f>
        <v>0</v>
      </c>
      <c r="AL270">
        <f>IF('Calc base'!G$14=0,0,MIN(Z270,MAX(0,$E270-SUMIFS($V270:$AG270,'Calc base'!$C$17:$N$17,"&lt;"&amp;'Calc base'!G$17,'Calc base'!$C$14:$N$14,1))))</f>
        <v>0</v>
      </c>
      <c r="AM270">
        <f>IF('Calc base'!H$14=0,0,MIN(AA270,MAX(0,$E270-SUMIFS($V270:$AG270,'Calc base'!$C$17:$N$17,"&lt;"&amp;'Calc base'!H$17,'Calc base'!$C$14:$N$14,1))))</f>
        <v>0</v>
      </c>
      <c r="AN270">
        <f>IF('Calc base'!I$14=0,0,MIN(AB270,MAX(0,$E270-SUMIFS($V270:$AG270,'Calc base'!$C$17:$N$17,"&lt;"&amp;'Calc base'!I$17,'Calc base'!$C$14:$N$14,1))))</f>
        <v>0</v>
      </c>
      <c r="AO270">
        <f>IF('Calc base'!J$14=0,0,MIN(AC270,MAX(0,$E270-SUMIFS($V270:$AG270,'Calc base'!$C$17:$N$17,"&lt;"&amp;'Calc base'!J$17,'Calc base'!$C$14:$N$14,1))))</f>
        <v>0</v>
      </c>
      <c r="AP270">
        <f>IF('Calc base'!K$14=0,0,MIN(AD270,MAX(0,$E270-SUMIFS($V270:$AG270,'Calc base'!$C$17:$N$17,"&lt;"&amp;'Calc base'!K$17,'Calc base'!$C$14:$N$14,1))))</f>
        <v>0</v>
      </c>
      <c r="AQ270">
        <f>IF('Calc base'!L$14=0,0,MIN(AE270,MAX(0,$E270-SUMIFS($V270:$AG270,'Calc base'!$C$17:$N$17,"&lt;"&amp;'Calc base'!L$17,'Calc base'!$C$14:$N$14,1))))</f>
        <v>0</v>
      </c>
      <c r="AR270">
        <f>IF('Calc base'!M$14=0,0,MIN(AF270,MAX(0,$E270-SUMIFS($V270:$AG270,'Calc base'!$C$17:$N$17,"&lt;"&amp;'Calc base'!M$17,'Calc base'!$C$14:$N$14,1))))</f>
        <v>0</v>
      </c>
      <c r="AS270">
        <f>IF('Calc base'!N$14=0,0,MIN(AG270,MAX(0,$E270-SUMIFS($V270:$AG270,'Calc base'!$C$17:$N$17,"&lt;"&amp;'Calc base'!N$17,'Calc base'!$C$14:$N$14,1))))</f>
        <v>0</v>
      </c>
      <c r="AT270">
        <f>V270-AH270</f>
        <v>0</v>
      </c>
      <c r="AU270">
        <f>W270-AI270</f>
        <v>0</v>
      </c>
      <c r="AV270">
        <f>X270-AJ270</f>
        <v>0</v>
      </c>
      <c r="AW270">
        <f>Y270-AK270</f>
        <v>0</v>
      </c>
      <c r="AX270">
        <f>Z270-AL270</f>
        <v>0</v>
      </c>
      <c r="AY270">
        <f>AA270-AM270</f>
        <v>0</v>
      </c>
      <c r="AZ270">
        <f>AB270-AN270</f>
        <v>0</v>
      </c>
      <c r="BA270">
        <f>AC270-AO270</f>
        <v>0</v>
      </c>
      <c r="BB270">
        <f>AD270-AP270</f>
        <v>0</v>
      </c>
      <c r="BC270">
        <f>AE270-AQ270</f>
        <v>0</v>
      </c>
      <c r="BD270">
        <f>AF270-AR270</f>
        <v>0</v>
      </c>
      <c r="BE270">
        <f>AG270-AS270</f>
        <v>0</v>
      </c>
    </row>
    <row r="271">
      <c r="A271" t="n">
        <v>241</v>
      </c>
      <c r="B271">
        <f>SUMPRODUCT(ROUND($AT270:$BE270*(1+'Calc base'!$H271:$S271),2))</f>
        <v>0</v>
      </c>
      <c r="C271">
        <f>SUM(J271:U271)</f>
        <v>0</v>
      </c>
      <c r="D271">
        <f>SUM(V271:AG271)</f>
        <v>0</v>
      </c>
      <c r="E271">
        <f>MAX(0,IF(Impostazioni!$B$7="No",'Calc base'!$C271-$C$31,'Calc base'!$C271-C271)+'Calc base'!$G271+'Calc base'!$F271-(B271-C271-D271))</f>
        <v>900</v>
      </c>
      <c r="F271">
        <f>SUM(AH271:AS271)</f>
        <v>0</v>
      </c>
      <c r="G271">
        <f>SUM(AT271:BE271)</f>
        <v>0</v>
      </c>
      <c r="H271">
        <f>B271-G270</f>
        <v>0</v>
      </c>
      <c r="I271">
        <f>B271-G271</f>
        <v>0</v>
      </c>
      <c r="J271">
        <f>IF(AT270&lt;=0,0,IF(ROUND(AT270*(1+'Calc base'!H271),2)-MAX('Calc base'!C$12,ROUND('Calc base'!C$13*AT270,2))&lt;1,ROUND(AT270*(1+'Calc base'!H271),2),MAX('Calc base'!C$12,ROUND('Calc base'!C$13*AT270,2))))</f>
        <v>0</v>
      </c>
      <c r="K271">
        <f>IF(AU270&lt;=0,0,IF(ROUND(AU270*(1+'Calc base'!I271),2)-MAX('Calc base'!D$12,ROUND('Calc base'!D$13*AU270,2))&lt;1,ROUND(AU270*(1+'Calc base'!I271),2),MAX('Calc base'!D$12,ROUND('Calc base'!D$13*AU270,2))))</f>
        <v>0</v>
      </c>
      <c r="L271">
        <f>IF(AV270&lt;=0,0,IF(ROUND(AV270*(1+'Calc base'!J271),2)-MAX('Calc base'!E$12,ROUND('Calc base'!E$13*AV270,2))&lt;1,ROUND(AV270*(1+'Calc base'!J271),2),MAX('Calc base'!E$12,ROUND('Calc base'!E$13*AV270,2))))</f>
        <v>0</v>
      </c>
      <c r="M271">
        <f>IF(AW270&lt;=0,0,IF(ROUND(AW270*(1+'Calc base'!K271),2)-MAX('Calc base'!F$12,ROUND('Calc base'!F$13*AW270,2))&lt;1,ROUND(AW270*(1+'Calc base'!K271),2),MAX('Calc base'!F$12,ROUND('Calc base'!F$13*AW270,2))))</f>
        <v>0</v>
      </c>
      <c r="N271">
        <f>IF(AX270&lt;=0,0,IF(ROUND(AX270*(1+'Calc base'!L271),2)-MAX('Calc base'!G$12,ROUND('Calc base'!G$13*AX270,2))&lt;1,ROUND(AX270*(1+'Calc base'!L271),2),MAX('Calc base'!G$12,ROUND('Calc base'!G$13*AX270,2))))</f>
        <v>0</v>
      </c>
      <c r="O271">
        <f>IF(AY270&lt;=0,0,IF(ROUND(AY270*(1+'Calc base'!M271),2)-MAX('Calc base'!H$12,ROUND('Calc base'!H$13*AY270,2))&lt;1,ROUND(AY270*(1+'Calc base'!M271),2),MAX('Calc base'!H$12,ROUND('Calc base'!H$13*AY270,2))))</f>
        <v>0</v>
      </c>
      <c r="P271">
        <f>IF(AZ270&lt;=0,0,IF(ROUND(AZ270*(1+'Calc base'!N271),2)-MAX('Calc base'!I$12,ROUND('Calc base'!I$13*AZ270,2))&lt;1,ROUND(AZ270*(1+'Calc base'!N271),2),MAX('Calc base'!I$12,ROUND('Calc base'!I$13*AZ270,2))))</f>
        <v>0</v>
      </c>
      <c r="Q271">
        <f>IF(BA270&lt;=0,0,IF(ROUND(BA270*(1+'Calc base'!O271),2)-MAX('Calc base'!J$12,ROUND('Calc base'!J$13*BA270,2))&lt;1,ROUND(BA270*(1+'Calc base'!O271),2),MAX('Calc base'!J$12,ROUND('Calc base'!J$13*BA270,2))))</f>
        <v>0</v>
      </c>
      <c r="R271">
        <f>IF(BB270&lt;=0,0,IF(ROUND(BB270*(1+'Calc base'!P271),2)-MAX('Calc base'!K$12,ROUND('Calc base'!K$13*BB270,2))&lt;1,ROUND(BB270*(1+'Calc base'!P271),2),MAX('Calc base'!K$12,ROUND('Calc base'!K$13*BB270,2))))</f>
        <v>0</v>
      </c>
      <c r="S271">
        <f>IF(BC270&lt;=0,0,IF(ROUND(BC270*(1+'Calc base'!Q271),2)-MAX('Calc base'!L$12,ROUND('Calc base'!L$13*BC270,2))&lt;1,ROUND(BC270*(1+'Calc base'!Q271),2),MAX('Calc base'!L$12,ROUND('Calc base'!L$13*BC270,2))))</f>
        <v>0</v>
      </c>
      <c r="T271">
        <f>IF(BD270&lt;=0,0,IF(ROUND(BD270*(1+'Calc base'!R271),2)-MAX('Calc base'!M$12,ROUND('Calc base'!M$13*BD270,2))&lt;1,ROUND(BD270*(1+'Calc base'!R271),2),MAX('Calc base'!M$12,ROUND('Calc base'!M$13*BD270,2))))</f>
        <v>0</v>
      </c>
      <c r="U271">
        <f>IF(BE270&lt;=0,0,IF(ROUND(BE270*(1+'Calc base'!S271),2)-MAX('Calc base'!N$12,ROUND('Calc base'!N$13*BE270,2))&lt;1,ROUND(BE270*(1+'Calc base'!S271),2),MAX('Calc base'!N$12,ROUND('Calc base'!N$13*BE270,2))))</f>
        <v>0</v>
      </c>
      <c r="V271">
        <f>MAX(0,ROUND(AT270*(1+'Calc base'!H271),2)-J271-'Calc base'!T271)</f>
        <v>0</v>
      </c>
      <c r="W271">
        <f>MAX(0,ROUND(AU270*(1+'Calc base'!I271),2)-K271-'Calc base'!U271)</f>
        <v>0</v>
      </c>
      <c r="X271">
        <f>MAX(0,ROUND(AV270*(1+'Calc base'!J271),2)-L271-'Calc base'!V271)</f>
        <v>0</v>
      </c>
      <c r="Y271">
        <f>MAX(0,ROUND(AW270*(1+'Calc base'!K271),2)-M271-'Calc base'!W271)</f>
        <v>0</v>
      </c>
      <c r="Z271">
        <f>MAX(0,ROUND(AX270*(1+'Calc base'!L271),2)-N271-'Calc base'!X271)</f>
        <v>0</v>
      </c>
      <c r="AA271">
        <f>MAX(0,ROUND(AY270*(1+'Calc base'!M271),2)-O271-'Calc base'!Y271)</f>
        <v>0</v>
      </c>
      <c r="AB271">
        <f>MAX(0,ROUND(AZ270*(1+'Calc base'!N271),2)-P271-'Calc base'!Z271)</f>
        <v>0</v>
      </c>
      <c r="AC271">
        <f>MAX(0,ROUND(BA270*(1+'Calc base'!O271),2)-Q271-'Calc base'!AA271)</f>
        <v>0</v>
      </c>
      <c r="AD271">
        <f>MAX(0,ROUND(BB270*(1+'Calc base'!P271),2)-R271-'Calc base'!AB271)</f>
        <v>0</v>
      </c>
      <c r="AE271">
        <f>MAX(0,ROUND(BC270*(1+'Calc base'!Q271),2)-S271-'Calc base'!AC271)</f>
        <v>0</v>
      </c>
      <c r="AF271">
        <f>MAX(0,ROUND(BD270*(1+'Calc base'!R271),2)-T271-'Calc base'!AD271)</f>
        <v>0</v>
      </c>
      <c r="AG271">
        <f>MAX(0,ROUND(BE270*(1+'Calc base'!S271),2)-U271-'Calc base'!AE271)</f>
        <v>0</v>
      </c>
      <c r="AH271">
        <f>IF('Calc base'!C$14=0,0,MIN(V271,MAX(0,$E271-SUMIFS($V271:$AG271,'Calc base'!$C$17:$N$17,"&lt;"&amp;'Calc base'!C$17,'Calc base'!$C$14:$N$14,1))))</f>
        <v>0</v>
      </c>
      <c r="AI271">
        <f>IF('Calc base'!D$14=0,0,MIN(W271,MAX(0,$E271-SUMIFS($V271:$AG271,'Calc base'!$C$17:$N$17,"&lt;"&amp;'Calc base'!D$17,'Calc base'!$C$14:$N$14,1))))</f>
        <v>0</v>
      </c>
      <c r="AJ271">
        <f>IF('Calc base'!E$14=0,0,MIN(X271,MAX(0,$E271-SUMIFS($V271:$AG271,'Calc base'!$C$17:$N$17,"&lt;"&amp;'Calc base'!E$17,'Calc base'!$C$14:$N$14,1))))</f>
        <v>0</v>
      </c>
      <c r="AK271">
        <f>IF('Calc base'!F$14=0,0,MIN(Y271,MAX(0,$E271-SUMIFS($V271:$AG271,'Calc base'!$C$17:$N$17,"&lt;"&amp;'Calc base'!F$17,'Calc base'!$C$14:$N$14,1))))</f>
        <v>0</v>
      </c>
      <c r="AL271">
        <f>IF('Calc base'!G$14=0,0,MIN(Z271,MAX(0,$E271-SUMIFS($V271:$AG271,'Calc base'!$C$17:$N$17,"&lt;"&amp;'Calc base'!G$17,'Calc base'!$C$14:$N$14,1))))</f>
        <v>0</v>
      </c>
      <c r="AM271">
        <f>IF('Calc base'!H$14=0,0,MIN(AA271,MAX(0,$E271-SUMIFS($V271:$AG271,'Calc base'!$C$17:$N$17,"&lt;"&amp;'Calc base'!H$17,'Calc base'!$C$14:$N$14,1))))</f>
        <v>0</v>
      </c>
      <c r="AN271">
        <f>IF('Calc base'!I$14=0,0,MIN(AB271,MAX(0,$E271-SUMIFS($V271:$AG271,'Calc base'!$C$17:$N$17,"&lt;"&amp;'Calc base'!I$17,'Calc base'!$C$14:$N$14,1))))</f>
        <v>0</v>
      </c>
      <c r="AO271">
        <f>IF('Calc base'!J$14=0,0,MIN(AC271,MAX(0,$E271-SUMIFS($V271:$AG271,'Calc base'!$C$17:$N$17,"&lt;"&amp;'Calc base'!J$17,'Calc base'!$C$14:$N$14,1))))</f>
        <v>0</v>
      </c>
      <c r="AP271">
        <f>IF('Calc base'!K$14=0,0,MIN(AD271,MAX(0,$E271-SUMIFS($V271:$AG271,'Calc base'!$C$17:$N$17,"&lt;"&amp;'Calc base'!K$17,'Calc base'!$C$14:$N$14,1))))</f>
        <v>0</v>
      </c>
      <c r="AQ271">
        <f>IF('Calc base'!L$14=0,0,MIN(AE271,MAX(0,$E271-SUMIFS($V271:$AG271,'Calc base'!$C$17:$N$17,"&lt;"&amp;'Calc base'!L$17,'Calc base'!$C$14:$N$14,1))))</f>
        <v>0</v>
      </c>
      <c r="AR271">
        <f>IF('Calc base'!M$14=0,0,MIN(AF271,MAX(0,$E271-SUMIFS($V271:$AG271,'Calc base'!$C$17:$N$17,"&lt;"&amp;'Calc base'!M$17,'Calc base'!$C$14:$N$14,1))))</f>
        <v>0</v>
      </c>
      <c r="AS271">
        <f>IF('Calc base'!N$14=0,0,MIN(AG271,MAX(0,$E271-SUMIFS($V271:$AG271,'Calc base'!$C$17:$N$17,"&lt;"&amp;'Calc base'!N$17,'Calc base'!$C$14:$N$14,1))))</f>
        <v>0</v>
      </c>
      <c r="AT271">
        <f>V271-AH271</f>
        <v>0</v>
      </c>
      <c r="AU271">
        <f>W271-AI271</f>
        <v>0</v>
      </c>
      <c r="AV271">
        <f>X271-AJ271</f>
        <v>0</v>
      </c>
      <c r="AW271">
        <f>Y271-AK271</f>
        <v>0</v>
      </c>
      <c r="AX271">
        <f>Z271-AL271</f>
        <v>0</v>
      </c>
      <c r="AY271">
        <f>AA271-AM271</f>
        <v>0</v>
      </c>
      <c r="AZ271">
        <f>AB271-AN271</f>
        <v>0</v>
      </c>
      <c r="BA271">
        <f>AC271-AO271</f>
        <v>0</v>
      </c>
      <c r="BB271">
        <f>AD271-AP271</f>
        <v>0</v>
      </c>
      <c r="BC271">
        <f>AE271-AQ271</f>
        <v>0</v>
      </c>
      <c r="BD271">
        <f>AF271-AR271</f>
        <v>0</v>
      </c>
      <c r="BE271">
        <f>AG271-AS271</f>
        <v>0</v>
      </c>
    </row>
    <row r="272">
      <c r="A272" t="n">
        <v>242</v>
      </c>
      <c r="B272">
        <f>SUMPRODUCT(ROUND($AT271:$BE271*(1+'Calc base'!$H272:$S272),2))</f>
        <v>0</v>
      </c>
      <c r="C272">
        <f>SUM(J272:U272)</f>
        <v>0</v>
      </c>
      <c r="D272">
        <f>SUM(V272:AG272)</f>
        <v>0</v>
      </c>
      <c r="E272">
        <f>MAX(0,IF(Impostazioni!$B$7="No",'Calc base'!$C272-$C$31,'Calc base'!$C272-C272)+'Calc base'!$G272+'Calc base'!$F272-(B272-C272-D272))</f>
        <v>900</v>
      </c>
      <c r="F272">
        <f>SUM(AH272:AS272)</f>
        <v>0</v>
      </c>
      <c r="G272">
        <f>SUM(AT272:BE272)</f>
        <v>0</v>
      </c>
      <c r="H272">
        <f>B272-G271</f>
        <v>0</v>
      </c>
      <c r="I272">
        <f>B272-G272</f>
        <v>0</v>
      </c>
      <c r="J272">
        <f>IF(AT271&lt;=0,0,IF(ROUND(AT271*(1+'Calc base'!H272),2)-MAX('Calc base'!C$12,ROUND('Calc base'!C$13*AT271,2))&lt;1,ROUND(AT271*(1+'Calc base'!H272),2),MAX('Calc base'!C$12,ROUND('Calc base'!C$13*AT271,2))))</f>
        <v>0</v>
      </c>
      <c r="K272">
        <f>IF(AU271&lt;=0,0,IF(ROUND(AU271*(1+'Calc base'!I272),2)-MAX('Calc base'!D$12,ROUND('Calc base'!D$13*AU271,2))&lt;1,ROUND(AU271*(1+'Calc base'!I272),2),MAX('Calc base'!D$12,ROUND('Calc base'!D$13*AU271,2))))</f>
        <v>0</v>
      </c>
      <c r="L272">
        <f>IF(AV271&lt;=0,0,IF(ROUND(AV271*(1+'Calc base'!J272),2)-MAX('Calc base'!E$12,ROUND('Calc base'!E$13*AV271,2))&lt;1,ROUND(AV271*(1+'Calc base'!J272),2),MAX('Calc base'!E$12,ROUND('Calc base'!E$13*AV271,2))))</f>
        <v>0</v>
      </c>
      <c r="M272">
        <f>IF(AW271&lt;=0,0,IF(ROUND(AW271*(1+'Calc base'!K272),2)-MAX('Calc base'!F$12,ROUND('Calc base'!F$13*AW271,2))&lt;1,ROUND(AW271*(1+'Calc base'!K272),2),MAX('Calc base'!F$12,ROUND('Calc base'!F$13*AW271,2))))</f>
        <v>0</v>
      </c>
      <c r="N272">
        <f>IF(AX271&lt;=0,0,IF(ROUND(AX271*(1+'Calc base'!L272),2)-MAX('Calc base'!G$12,ROUND('Calc base'!G$13*AX271,2))&lt;1,ROUND(AX271*(1+'Calc base'!L272),2),MAX('Calc base'!G$12,ROUND('Calc base'!G$13*AX271,2))))</f>
        <v>0</v>
      </c>
      <c r="O272">
        <f>IF(AY271&lt;=0,0,IF(ROUND(AY271*(1+'Calc base'!M272),2)-MAX('Calc base'!H$12,ROUND('Calc base'!H$13*AY271,2))&lt;1,ROUND(AY271*(1+'Calc base'!M272),2),MAX('Calc base'!H$12,ROUND('Calc base'!H$13*AY271,2))))</f>
        <v>0</v>
      </c>
      <c r="P272">
        <f>IF(AZ271&lt;=0,0,IF(ROUND(AZ271*(1+'Calc base'!N272),2)-MAX('Calc base'!I$12,ROUND('Calc base'!I$13*AZ271,2))&lt;1,ROUND(AZ271*(1+'Calc base'!N272),2),MAX('Calc base'!I$12,ROUND('Calc base'!I$13*AZ271,2))))</f>
        <v>0</v>
      </c>
      <c r="Q272">
        <f>IF(BA271&lt;=0,0,IF(ROUND(BA271*(1+'Calc base'!O272),2)-MAX('Calc base'!J$12,ROUND('Calc base'!J$13*BA271,2))&lt;1,ROUND(BA271*(1+'Calc base'!O272),2),MAX('Calc base'!J$12,ROUND('Calc base'!J$13*BA271,2))))</f>
        <v>0</v>
      </c>
      <c r="R272">
        <f>IF(BB271&lt;=0,0,IF(ROUND(BB271*(1+'Calc base'!P272),2)-MAX('Calc base'!K$12,ROUND('Calc base'!K$13*BB271,2))&lt;1,ROUND(BB271*(1+'Calc base'!P272),2),MAX('Calc base'!K$12,ROUND('Calc base'!K$13*BB271,2))))</f>
        <v>0</v>
      </c>
      <c r="S272">
        <f>IF(BC271&lt;=0,0,IF(ROUND(BC271*(1+'Calc base'!Q272),2)-MAX('Calc base'!L$12,ROUND('Calc base'!L$13*BC271,2))&lt;1,ROUND(BC271*(1+'Calc base'!Q272),2),MAX('Calc base'!L$12,ROUND('Calc base'!L$13*BC271,2))))</f>
        <v>0</v>
      </c>
      <c r="T272">
        <f>IF(BD271&lt;=0,0,IF(ROUND(BD271*(1+'Calc base'!R272),2)-MAX('Calc base'!M$12,ROUND('Calc base'!M$13*BD271,2))&lt;1,ROUND(BD271*(1+'Calc base'!R272),2),MAX('Calc base'!M$12,ROUND('Calc base'!M$13*BD271,2))))</f>
        <v>0</v>
      </c>
      <c r="U272">
        <f>IF(BE271&lt;=0,0,IF(ROUND(BE271*(1+'Calc base'!S272),2)-MAX('Calc base'!N$12,ROUND('Calc base'!N$13*BE271,2))&lt;1,ROUND(BE271*(1+'Calc base'!S272),2),MAX('Calc base'!N$12,ROUND('Calc base'!N$13*BE271,2))))</f>
        <v>0</v>
      </c>
      <c r="V272">
        <f>MAX(0,ROUND(AT271*(1+'Calc base'!H272),2)-J272-'Calc base'!T272)</f>
        <v>0</v>
      </c>
      <c r="W272">
        <f>MAX(0,ROUND(AU271*(1+'Calc base'!I272),2)-K272-'Calc base'!U272)</f>
        <v>0</v>
      </c>
      <c r="X272">
        <f>MAX(0,ROUND(AV271*(1+'Calc base'!J272),2)-L272-'Calc base'!V272)</f>
        <v>0</v>
      </c>
      <c r="Y272">
        <f>MAX(0,ROUND(AW271*(1+'Calc base'!K272),2)-M272-'Calc base'!W272)</f>
        <v>0</v>
      </c>
      <c r="Z272">
        <f>MAX(0,ROUND(AX271*(1+'Calc base'!L272),2)-N272-'Calc base'!X272)</f>
        <v>0</v>
      </c>
      <c r="AA272">
        <f>MAX(0,ROUND(AY271*(1+'Calc base'!M272),2)-O272-'Calc base'!Y272)</f>
        <v>0</v>
      </c>
      <c r="AB272">
        <f>MAX(0,ROUND(AZ271*(1+'Calc base'!N272),2)-P272-'Calc base'!Z272)</f>
        <v>0</v>
      </c>
      <c r="AC272">
        <f>MAX(0,ROUND(BA271*(1+'Calc base'!O272),2)-Q272-'Calc base'!AA272)</f>
        <v>0</v>
      </c>
      <c r="AD272">
        <f>MAX(0,ROUND(BB271*(1+'Calc base'!P272),2)-R272-'Calc base'!AB272)</f>
        <v>0</v>
      </c>
      <c r="AE272">
        <f>MAX(0,ROUND(BC271*(1+'Calc base'!Q272),2)-S272-'Calc base'!AC272)</f>
        <v>0</v>
      </c>
      <c r="AF272">
        <f>MAX(0,ROUND(BD271*(1+'Calc base'!R272),2)-T272-'Calc base'!AD272)</f>
        <v>0</v>
      </c>
      <c r="AG272">
        <f>MAX(0,ROUND(BE271*(1+'Calc base'!S272),2)-U272-'Calc base'!AE272)</f>
        <v>0</v>
      </c>
      <c r="AH272">
        <f>IF('Calc base'!C$14=0,0,MIN(V272,MAX(0,$E272-SUMIFS($V272:$AG272,'Calc base'!$C$17:$N$17,"&lt;"&amp;'Calc base'!C$17,'Calc base'!$C$14:$N$14,1))))</f>
        <v>0</v>
      </c>
      <c r="AI272">
        <f>IF('Calc base'!D$14=0,0,MIN(W272,MAX(0,$E272-SUMIFS($V272:$AG272,'Calc base'!$C$17:$N$17,"&lt;"&amp;'Calc base'!D$17,'Calc base'!$C$14:$N$14,1))))</f>
        <v>0</v>
      </c>
      <c r="AJ272">
        <f>IF('Calc base'!E$14=0,0,MIN(X272,MAX(0,$E272-SUMIFS($V272:$AG272,'Calc base'!$C$17:$N$17,"&lt;"&amp;'Calc base'!E$17,'Calc base'!$C$14:$N$14,1))))</f>
        <v>0</v>
      </c>
      <c r="AK272">
        <f>IF('Calc base'!F$14=0,0,MIN(Y272,MAX(0,$E272-SUMIFS($V272:$AG272,'Calc base'!$C$17:$N$17,"&lt;"&amp;'Calc base'!F$17,'Calc base'!$C$14:$N$14,1))))</f>
        <v>0</v>
      </c>
      <c r="AL272">
        <f>IF('Calc base'!G$14=0,0,MIN(Z272,MAX(0,$E272-SUMIFS($V272:$AG272,'Calc base'!$C$17:$N$17,"&lt;"&amp;'Calc base'!G$17,'Calc base'!$C$14:$N$14,1))))</f>
        <v>0</v>
      </c>
      <c r="AM272">
        <f>IF('Calc base'!H$14=0,0,MIN(AA272,MAX(0,$E272-SUMIFS($V272:$AG272,'Calc base'!$C$17:$N$17,"&lt;"&amp;'Calc base'!H$17,'Calc base'!$C$14:$N$14,1))))</f>
        <v>0</v>
      </c>
      <c r="AN272">
        <f>IF('Calc base'!I$14=0,0,MIN(AB272,MAX(0,$E272-SUMIFS($V272:$AG272,'Calc base'!$C$17:$N$17,"&lt;"&amp;'Calc base'!I$17,'Calc base'!$C$14:$N$14,1))))</f>
        <v>0</v>
      </c>
      <c r="AO272">
        <f>IF('Calc base'!J$14=0,0,MIN(AC272,MAX(0,$E272-SUMIFS($V272:$AG272,'Calc base'!$C$17:$N$17,"&lt;"&amp;'Calc base'!J$17,'Calc base'!$C$14:$N$14,1))))</f>
        <v>0</v>
      </c>
      <c r="AP272">
        <f>IF('Calc base'!K$14=0,0,MIN(AD272,MAX(0,$E272-SUMIFS($V272:$AG272,'Calc base'!$C$17:$N$17,"&lt;"&amp;'Calc base'!K$17,'Calc base'!$C$14:$N$14,1))))</f>
        <v>0</v>
      </c>
      <c r="AQ272">
        <f>IF('Calc base'!L$14=0,0,MIN(AE272,MAX(0,$E272-SUMIFS($V272:$AG272,'Calc base'!$C$17:$N$17,"&lt;"&amp;'Calc base'!L$17,'Calc base'!$C$14:$N$14,1))))</f>
        <v>0</v>
      </c>
      <c r="AR272">
        <f>IF('Calc base'!M$14=0,0,MIN(AF272,MAX(0,$E272-SUMIFS($V272:$AG272,'Calc base'!$C$17:$N$17,"&lt;"&amp;'Calc base'!M$17,'Calc base'!$C$14:$N$14,1))))</f>
        <v>0</v>
      </c>
      <c r="AS272">
        <f>IF('Calc base'!N$14=0,0,MIN(AG272,MAX(0,$E272-SUMIFS($V272:$AG272,'Calc base'!$C$17:$N$17,"&lt;"&amp;'Calc base'!N$17,'Calc base'!$C$14:$N$14,1))))</f>
        <v>0</v>
      </c>
      <c r="AT272">
        <f>V272-AH272</f>
        <v>0</v>
      </c>
      <c r="AU272">
        <f>W272-AI272</f>
        <v>0</v>
      </c>
      <c r="AV272">
        <f>X272-AJ272</f>
        <v>0</v>
      </c>
      <c r="AW272">
        <f>Y272-AK272</f>
        <v>0</v>
      </c>
      <c r="AX272">
        <f>Z272-AL272</f>
        <v>0</v>
      </c>
      <c r="AY272">
        <f>AA272-AM272</f>
        <v>0</v>
      </c>
      <c r="AZ272">
        <f>AB272-AN272</f>
        <v>0</v>
      </c>
      <c r="BA272">
        <f>AC272-AO272</f>
        <v>0</v>
      </c>
      <c r="BB272">
        <f>AD272-AP272</f>
        <v>0</v>
      </c>
      <c r="BC272">
        <f>AE272-AQ272</f>
        <v>0</v>
      </c>
      <c r="BD272">
        <f>AF272-AR272</f>
        <v>0</v>
      </c>
      <c r="BE272">
        <f>AG272-AS272</f>
        <v>0</v>
      </c>
    </row>
    <row r="273">
      <c r="A273" t="n">
        <v>243</v>
      </c>
      <c r="B273">
        <f>SUMPRODUCT(ROUND($AT272:$BE272*(1+'Calc base'!$H273:$S273),2))</f>
        <v>0</v>
      </c>
      <c r="C273">
        <f>SUM(J273:U273)</f>
        <v>0</v>
      </c>
      <c r="D273">
        <f>SUM(V273:AG273)</f>
        <v>0</v>
      </c>
      <c r="E273">
        <f>MAX(0,IF(Impostazioni!$B$7="No",'Calc base'!$C273-$C$31,'Calc base'!$C273-C273)+'Calc base'!$G273+'Calc base'!$F273-(B273-C273-D273))</f>
        <v>900</v>
      </c>
      <c r="F273">
        <f>SUM(AH273:AS273)</f>
        <v>0</v>
      </c>
      <c r="G273">
        <f>SUM(AT273:BE273)</f>
        <v>0</v>
      </c>
      <c r="H273">
        <f>B273-G272</f>
        <v>0</v>
      </c>
      <c r="I273">
        <f>B273-G273</f>
        <v>0</v>
      </c>
      <c r="J273">
        <f>IF(AT272&lt;=0,0,IF(ROUND(AT272*(1+'Calc base'!H273),2)-MAX('Calc base'!C$12,ROUND('Calc base'!C$13*AT272,2))&lt;1,ROUND(AT272*(1+'Calc base'!H273),2),MAX('Calc base'!C$12,ROUND('Calc base'!C$13*AT272,2))))</f>
        <v>0</v>
      </c>
      <c r="K273">
        <f>IF(AU272&lt;=0,0,IF(ROUND(AU272*(1+'Calc base'!I273),2)-MAX('Calc base'!D$12,ROUND('Calc base'!D$13*AU272,2))&lt;1,ROUND(AU272*(1+'Calc base'!I273),2),MAX('Calc base'!D$12,ROUND('Calc base'!D$13*AU272,2))))</f>
        <v>0</v>
      </c>
      <c r="L273">
        <f>IF(AV272&lt;=0,0,IF(ROUND(AV272*(1+'Calc base'!J273),2)-MAX('Calc base'!E$12,ROUND('Calc base'!E$13*AV272,2))&lt;1,ROUND(AV272*(1+'Calc base'!J273),2),MAX('Calc base'!E$12,ROUND('Calc base'!E$13*AV272,2))))</f>
        <v>0</v>
      </c>
      <c r="M273">
        <f>IF(AW272&lt;=0,0,IF(ROUND(AW272*(1+'Calc base'!K273),2)-MAX('Calc base'!F$12,ROUND('Calc base'!F$13*AW272,2))&lt;1,ROUND(AW272*(1+'Calc base'!K273),2),MAX('Calc base'!F$12,ROUND('Calc base'!F$13*AW272,2))))</f>
        <v>0</v>
      </c>
      <c r="N273">
        <f>IF(AX272&lt;=0,0,IF(ROUND(AX272*(1+'Calc base'!L273),2)-MAX('Calc base'!G$12,ROUND('Calc base'!G$13*AX272,2))&lt;1,ROUND(AX272*(1+'Calc base'!L273),2),MAX('Calc base'!G$12,ROUND('Calc base'!G$13*AX272,2))))</f>
        <v>0</v>
      </c>
      <c r="O273">
        <f>IF(AY272&lt;=0,0,IF(ROUND(AY272*(1+'Calc base'!M273),2)-MAX('Calc base'!H$12,ROUND('Calc base'!H$13*AY272,2))&lt;1,ROUND(AY272*(1+'Calc base'!M273),2),MAX('Calc base'!H$12,ROUND('Calc base'!H$13*AY272,2))))</f>
        <v>0</v>
      </c>
      <c r="P273">
        <f>IF(AZ272&lt;=0,0,IF(ROUND(AZ272*(1+'Calc base'!N273),2)-MAX('Calc base'!I$12,ROUND('Calc base'!I$13*AZ272,2))&lt;1,ROUND(AZ272*(1+'Calc base'!N273),2),MAX('Calc base'!I$12,ROUND('Calc base'!I$13*AZ272,2))))</f>
        <v>0</v>
      </c>
      <c r="Q273">
        <f>IF(BA272&lt;=0,0,IF(ROUND(BA272*(1+'Calc base'!O273),2)-MAX('Calc base'!J$12,ROUND('Calc base'!J$13*BA272,2))&lt;1,ROUND(BA272*(1+'Calc base'!O273),2),MAX('Calc base'!J$12,ROUND('Calc base'!J$13*BA272,2))))</f>
        <v>0</v>
      </c>
      <c r="R273">
        <f>IF(BB272&lt;=0,0,IF(ROUND(BB272*(1+'Calc base'!P273),2)-MAX('Calc base'!K$12,ROUND('Calc base'!K$13*BB272,2))&lt;1,ROUND(BB272*(1+'Calc base'!P273),2),MAX('Calc base'!K$12,ROUND('Calc base'!K$13*BB272,2))))</f>
        <v>0</v>
      </c>
      <c r="S273">
        <f>IF(BC272&lt;=0,0,IF(ROUND(BC272*(1+'Calc base'!Q273),2)-MAX('Calc base'!L$12,ROUND('Calc base'!L$13*BC272,2))&lt;1,ROUND(BC272*(1+'Calc base'!Q273),2),MAX('Calc base'!L$12,ROUND('Calc base'!L$13*BC272,2))))</f>
        <v>0</v>
      </c>
      <c r="T273">
        <f>IF(BD272&lt;=0,0,IF(ROUND(BD272*(1+'Calc base'!R273),2)-MAX('Calc base'!M$12,ROUND('Calc base'!M$13*BD272,2))&lt;1,ROUND(BD272*(1+'Calc base'!R273),2),MAX('Calc base'!M$12,ROUND('Calc base'!M$13*BD272,2))))</f>
        <v>0</v>
      </c>
      <c r="U273">
        <f>IF(BE272&lt;=0,0,IF(ROUND(BE272*(1+'Calc base'!S273),2)-MAX('Calc base'!N$12,ROUND('Calc base'!N$13*BE272,2))&lt;1,ROUND(BE272*(1+'Calc base'!S273),2),MAX('Calc base'!N$12,ROUND('Calc base'!N$13*BE272,2))))</f>
        <v>0</v>
      </c>
      <c r="V273">
        <f>MAX(0,ROUND(AT272*(1+'Calc base'!H273),2)-J273-'Calc base'!T273)</f>
        <v>0</v>
      </c>
      <c r="W273">
        <f>MAX(0,ROUND(AU272*(1+'Calc base'!I273),2)-K273-'Calc base'!U273)</f>
        <v>0</v>
      </c>
      <c r="X273">
        <f>MAX(0,ROUND(AV272*(1+'Calc base'!J273),2)-L273-'Calc base'!V273)</f>
        <v>0</v>
      </c>
      <c r="Y273">
        <f>MAX(0,ROUND(AW272*(1+'Calc base'!K273),2)-M273-'Calc base'!W273)</f>
        <v>0</v>
      </c>
      <c r="Z273">
        <f>MAX(0,ROUND(AX272*(1+'Calc base'!L273),2)-N273-'Calc base'!X273)</f>
        <v>0</v>
      </c>
      <c r="AA273">
        <f>MAX(0,ROUND(AY272*(1+'Calc base'!M273),2)-O273-'Calc base'!Y273)</f>
        <v>0</v>
      </c>
      <c r="AB273">
        <f>MAX(0,ROUND(AZ272*(1+'Calc base'!N273),2)-P273-'Calc base'!Z273)</f>
        <v>0</v>
      </c>
      <c r="AC273">
        <f>MAX(0,ROUND(BA272*(1+'Calc base'!O273),2)-Q273-'Calc base'!AA273)</f>
        <v>0</v>
      </c>
      <c r="AD273">
        <f>MAX(0,ROUND(BB272*(1+'Calc base'!P273),2)-R273-'Calc base'!AB273)</f>
        <v>0</v>
      </c>
      <c r="AE273">
        <f>MAX(0,ROUND(BC272*(1+'Calc base'!Q273),2)-S273-'Calc base'!AC273)</f>
        <v>0</v>
      </c>
      <c r="AF273">
        <f>MAX(0,ROUND(BD272*(1+'Calc base'!R273),2)-T273-'Calc base'!AD273)</f>
        <v>0</v>
      </c>
      <c r="AG273">
        <f>MAX(0,ROUND(BE272*(1+'Calc base'!S273),2)-U273-'Calc base'!AE273)</f>
        <v>0</v>
      </c>
      <c r="AH273">
        <f>IF('Calc base'!C$14=0,0,MIN(V273,MAX(0,$E273-SUMIFS($V273:$AG273,'Calc base'!$C$17:$N$17,"&lt;"&amp;'Calc base'!C$17,'Calc base'!$C$14:$N$14,1))))</f>
        <v>0</v>
      </c>
      <c r="AI273">
        <f>IF('Calc base'!D$14=0,0,MIN(W273,MAX(0,$E273-SUMIFS($V273:$AG273,'Calc base'!$C$17:$N$17,"&lt;"&amp;'Calc base'!D$17,'Calc base'!$C$14:$N$14,1))))</f>
        <v>0</v>
      </c>
      <c r="AJ273">
        <f>IF('Calc base'!E$14=0,0,MIN(X273,MAX(0,$E273-SUMIFS($V273:$AG273,'Calc base'!$C$17:$N$17,"&lt;"&amp;'Calc base'!E$17,'Calc base'!$C$14:$N$14,1))))</f>
        <v>0</v>
      </c>
      <c r="AK273">
        <f>IF('Calc base'!F$14=0,0,MIN(Y273,MAX(0,$E273-SUMIFS($V273:$AG273,'Calc base'!$C$17:$N$17,"&lt;"&amp;'Calc base'!F$17,'Calc base'!$C$14:$N$14,1))))</f>
        <v>0</v>
      </c>
      <c r="AL273">
        <f>IF('Calc base'!G$14=0,0,MIN(Z273,MAX(0,$E273-SUMIFS($V273:$AG273,'Calc base'!$C$17:$N$17,"&lt;"&amp;'Calc base'!G$17,'Calc base'!$C$14:$N$14,1))))</f>
        <v>0</v>
      </c>
      <c r="AM273">
        <f>IF('Calc base'!H$14=0,0,MIN(AA273,MAX(0,$E273-SUMIFS($V273:$AG273,'Calc base'!$C$17:$N$17,"&lt;"&amp;'Calc base'!H$17,'Calc base'!$C$14:$N$14,1))))</f>
        <v>0</v>
      </c>
      <c r="AN273">
        <f>IF('Calc base'!I$14=0,0,MIN(AB273,MAX(0,$E273-SUMIFS($V273:$AG273,'Calc base'!$C$17:$N$17,"&lt;"&amp;'Calc base'!I$17,'Calc base'!$C$14:$N$14,1))))</f>
        <v>0</v>
      </c>
      <c r="AO273">
        <f>IF('Calc base'!J$14=0,0,MIN(AC273,MAX(0,$E273-SUMIFS($V273:$AG273,'Calc base'!$C$17:$N$17,"&lt;"&amp;'Calc base'!J$17,'Calc base'!$C$14:$N$14,1))))</f>
        <v>0</v>
      </c>
      <c r="AP273">
        <f>IF('Calc base'!K$14=0,0,MIN(AD273,MAX(0,$E273-SUMIFS($V273:$AG273,'Calc base'!$C$17:$N$17,"&lt;"&amp;'Calc base'!K$17,'Calc base'!$C$14:$N$14,1))))</f>
        <v>0</v>
      </c>
      <c r="AQ273">
        <f>IF('Calc base'!L$14=0,0,MIN(AE273,MAX(0,$E273-SUMIFS($V273:$AG273,'Calc base'!$C$17:$N$17,"&lt;"&amp;'Calc base'!L$17,'Calc base'!$C$14:$N$14,1))))</f>
        <v>0</v>
      </c>
      <c r="AR273">
        <f>IF('Calc base'!M$14=0,0,MIN(AF273,MAX(0,$E273-SUMIFS($V273:$AG273,'Calc base'!$C$17:$N$17,"&lt;"&amp;'Calc base'!M$17,'Calc base'!$C$14:$N$14,1))))</f>
        <v>0</v>
      </c>
      <c r="AS273">
        <f>IF('Calc base'!N$14=0,0,MIN(AG273,MAX(0,$E273-SUMIFS($V273:$AG273,'Calc base'!$C$17:$N$17,"&lt;"&amp;'Calc base'!N$17,'Calc base'!$C$14:$N$14,1))))</f>
        <v>0</v>
      </c>
      <c r="AT273">
        <f>V273-AH273</f>
        <v>0</v>
      </c>
      <c r="AU273">
        <f>W273-AI273</f>
        <v>0</v>
      </c>
      <c r="AV273">
        <f>X273-AJ273</f>
        <v>0</v>
      </c>
      <c r="AW273">
        <f>Y273-AK273</f>
        <v>0</v>
      </c>
      <c r="AX273">
        <f>Z273-AL273</f>
        <v>0</v>
      </c>
      <c r="AY273">
        <f>AA273-AM273</f>
        <v>0</v>
      </c>
      <c r="AZ273">
        <f>AB273-AN273</f>
        <v>0</v>
      </c>
      <c r="BA273">
        <f>AC273-AO273</f>
        <v>0</v>
      </c>
      <c r="BB273">
        <f>AD273-AP273</f>
        <v>0</v>
      </c>
      <c r="BC273">
        <f>AE273-AQ273</f>
        <v>0</v>
      </c>
      <c r="BD273">
        <f>AF273-AR273</f>
        <v>0</v>
      </c>
      <c r="BE273">
        <f>AG273-AS273</f>
        <v>0</v>
      </c>
    </row>
    <row r="274">
      <c r="A274" t="n">
        <v>244</v>
      </c>
      <c r="B274">
        <f>SUMPRODUCT(ROUND($AT273:$BE273*(1+'Calc base'!$H274:$S274),2))</f>
        <v>0</v>
      </c>
      <c r="C274">
        <f>SUM(J274:U274)</f>
        <v>0</v>
      </c>
      <c r="D274">
        <f>SUM(V274:AG274)</f>
        <v>0</v>
      </c>
      <c r="E274">
        <f>MAX(0,IF(Impostazioni!$B$7="No",'Calc base'!$C274-$C$31,'Calc base'!$C274-C274)+'Calc base'!$G274+'Calc base'!$F274-(B274-C274-D274))</f>
        <v>900</v>
      </c>
      <c r="F274">
        <f>SUM(AH274:AS274)</f>
        <v>0</v>
      </c>
      <c r="G274">
        <f>SUM(AT274:BE274)</f>
        <v>0</v>
      </c>
      <c r="H274">
        <f>B274-G273</f>
        <v>0</v>
      </c>
      <c r="I274">
        <f>B274-G274</f>
        <v>0</v>
      </c>
      <c r="J274">
        <f>IF(AT273&lt;=0,0,IF(ROUND(AT273*(1+'Calc base'!H274),2)-MAX('Calc base'!C$12,ROUND('Calc base'!C$13*AT273,2))&lt;1,ROUND(AT273*(1+'Calc base'!H274),2),MAX('Calc base'!C$12,ROUND('Calc base'!C$13*AT273,2))))</f>
        <v>0</v>
      </c>
      <c r="K274">
        <f>IF(AU273&lt;=0,0,IF(ROUND(AU273*(1+'Calc base'!I274),2)-MAX('Calc base'!D$12,ROUND('Calc base'!D$13*AU273,2))&lt;1,ROUND(AU273*(1+'Calc base'!I274),2),MAX('Calc base'!D$12,ROUND('Calc base'!D$13*AU273,2))))</f>
        <v>0</v>
      </c>
      <c r="L274">
        <f>IF(AV273&lt;=0,0,IF(ROUND(AV273*(1+'Calc base'!J274),2)-MAX('Calc base'!E$12,ROUND('Calc base'!E$13*AV273,2))&lt;1,ROUND(AV273*(1+'Calc base'!J274),2),MAX('Calc base'!E$12,ROUND('Calc base'!E$13*AV273,2))))</f>
        <v>0</v>
      </c>
      <c r="M274">
        <f>IF(AW273&lt;=0,0,IF(ROUND(AW273*(1+'Calc base'!K274),2)-MAX('Calc base'!F$12,ROUND('Calc base'!F$13*AW273,2))&lt;1,ROUND(AW273*(1+'Calc base'!K274),2),MAX('Calc base'!F$12,ROUND('Calc base'!F$13*AW273,2))))</f>
        <v>0</v>
      </c>
      <c r="N274">
        <f>IF(AX273&lt;=0,0,IF(ROUND(AX273*(1+'Calc base'!L274),2)-MAX('Calc base'!G$12,ROUND('Calc base'!G$13*AX273,2))&lt;1,ROUND(AX273*(1+'Calc base'!L274),2),MAX('Calc base'!G$12,ROUND('Calc base'!G$13*AX273,2))))</f>
        <v>0</v>
      </c>
      <c r="O274">
        <f>IF(AY273&lt;=0,0,IF(ROUND(AY273*(1+'Calc base'!M274),2)-MAX('Calc base'!H$12,ROUND('Calc base'!H$13*AY273,2))&lt;1,ROUND(AY273*(1+'Calc base'!M274),2),MAX('Calc base'!H$12,ROUND('Calc base'!H$13*AY273,2))))</f>
        <v>0</v>
      </c>
      <c r="P274">
        <f>IF(AZ273&lt;=0,0,IF(ROUND(AZ273*(1+'Calc base'!N274),2)-MAX('Calc base'!I$12,ROUND('Calc base'!I$13*AZ273,2))&lt;1,ROUND(AZ273*(1+'Calc base'!N274),2),MAX('Calc base'!I$12,ROUND('Calc base'!I$13*AZ273,2))))</f>
        <v>0</v>
      </c>
      <c r="Q274">
        <f>IF(BA273&lt;=0,0,IF(ROUND(BA273*(1+'Calc base'!O274),2)-MAX('Calc base'!J$12,ROUND('Calc base'!J$13*BA273,2))&lt;1,ROUND(BA273*(1+'Calc base'!O274),2),MAX('Calc base'!J$12,ROUND('Calc base'!J$13*BA273,2))))</f>
        <v>0</v>
      </c>
      <c r="R274">
        <f>IF(BB273&lt;=0,0,IF(ROUND(BB273*(1+'Calc base'!P274),2)-MAX('Calc base'!K$12,ROUND('Calc base'!K$13*BB273,2))&lt;1,ROUND(BB273*(1+'Calc base'!P274),2),MAX('Calc base'!K$12,ROUND('Calc base'!K$13*BB273,2))))</f>
        <v>0</v>
      </c>
      <c r="S274">
        <f>IF(BC273&lt;=0,0,IF(ROUND(BC273*(1+'Calc base'!Q274),2)-MAX('Calc base'!L$12,ROUND('Calc base'!L$13*BC273,2))&lt;1,ROUND(BC273*(1+'Calc base'!Q274),2),MAX('Calc base'!L$12,ROUND('Calc base'!L$13*BC273,2))))</f>
        <v>0</v>
      </c>
      <c r="T274">
        <f>IF(BD273&lt;=0,0,IF(ROUND(BD273*(1+'Calc base'!R274),2)-MAX('Calc base'!M$12,ROUND('Calc base'!M$13*BD273,2))&lt;1,ROUND(BD273*(1+'Calc base'!R274),2),MAX('Calc base'!M$12,ROUND('Calc base'!M$13*BD273,2))))</f>
        <v>0</v>
      </c>
      <c r="U274">
        <f>IF(BE273&lt;=0,0,IF(ROUND(BE273*(1+'Calc base'!S274),2)-MAX('Calc base'!N$12,ROUND('Calc base'!N$13*BE273,2))&lt;1,ROUND(BE273*(1+'Calc base'!S274),2),MAX('Calc base'!N$12,ROUND('Calc base'!N$13*BE273,2))))</f>
        <v>0</v>
      </c>
      <c r="V274">
        <f>MAX(0,ROUND(AT273*(1+'Calc base'!H274),2)-J274-'Calc base'!T274)</f>
        <v>0</v>
      </c>
      <c r="W274">
        <f>MAX(0,ROUND(AU273*(1+'Calc base'!I274),2)-K274-'Calc base'!U274)</f>
        <v>0</v>
      </c>
      <c r="X274">
        <f>MAX(0,ROUND(AV273*(1+'Calc base'!J274),2)-L274-'Calc base'!V274)</f>
        <v>0</v>
      </c>
      <c r="Y274">
        <f>MAX(0,ROUND(AW273*(1+'Calc base'!K274),2)-M274-'Calc base'!W274)</f>
        <v>0</v>
      </c>
      <c r="Z274">
        <f>MAX(0,ROUND(AX273*(1+'Calc base'!L274),2)-N274-'Calc base'!X274)</f>
        <v>0</v>
      </c>
      <c r="AA274">
        <f>MAX(0,ROUND(AY273*(1+'Calc base'!M274),2)-O274-'Calc base'!Y274)</f>
        <v>0</v>
      </c>
      <c r="AB274">
        <f>MAX(0,ROUND(AZ273*(1+'Calc base'!N274),2)-P274-'Calc base'!Z274)</f>
        <v>0</v>
      </c>
      <c r="AC274">
        <f>MAX(0,ROUND(BA273*(1+'Calc base'!O274),2)-Q274-'Calc base'!AA274)</f>
        <v>0</v>
      </c>
      <c r="AD274">
        <f>MAX(0,ROUND(BB273*(1+'Calc base'!P274),2)-R274-'Calc base'!AB274)</f>
        <v>0</v>
      </c>
      <c r="AE274">
        <f>MAX(0,ROUND(BC273*(1+'Calc base'!Q274),2)-S274-'Calc base'!AC274)</f>
        <v>0</v>
      </c>
      <c r="AF274">
        <f>MAX(0,ROUND(BD273*(1+'Calc base'!R274),2)-T274-'Calc base'!AD274)</f>
        <v>0</v>
      </c>
      <c r="AG274">
        <f>MAX(0,ROUND(BE273*(1+'Calc base'!S274),2)-U274-'Calc base'!AE274)</f>
        <v>0</v>
      </c>
      <c r="AH274">
        <f>IF('Calc base'!C$14=0,0,MIN(V274,MAX(0,$E274-SUMIFS($V274:$AG274,'Calc base'!$C$17:$N$17,"&lt;"&amp;'Calc base'!C$17,'Calc base'!$C$14:$N$14,1))))</f>
        <v>0</v>
      </c>
      <c r="AI274">
        <f>IF('Calc base'!D$14=0,0,MIN(W274,MAX(0,$E274-SUMIFS($V274:$AG274,'Calc base'!$C$17:$N$17,"&lt;"&amp;'Calc base'!D$17,'Calc base'!$C$14:$N$14,1))))</f>
        <v>0</v>
      </c>
      <c r="AJ274">
        <f>IF('Calc base'!E$14=0,0,MIN(X274,MAX(0,$E274-SUMIFS($V274:$AG274,'Calc base'!$C$17:$N$17,"&lt;"&amp;'Calc base'!E$17,'Calc base'!$C$14:$N$14,1))))</f>
        <v>0</v>
      </c>
      <c r="AK274">
        <f>IF('Calc base'!F$14=0,0,MIN(Y274,MAX(0,$E274-SUMIFS($V274:$AG274,'Calc base'!$C$17:$N$17,"&lt;"&amp;'Calc base'!F$17,'Calc base'!$C$14:$N$14,1))))</f>
        <v>0</v>
      </c>
      <c r="AL274">
        <f>IF('Calc base'!G$14=0,0,MIN(Z274,MAX(0,$E274-SUMIFS($V274:$AG274,'Calc base'!$C$17:$N$17,"&lt;"&amp;'Calc base'!G$17,'Calc base'!$C$14:$N$14,1))))</f>
        <v>0</v>
      </c>
      <c r="AM274">
        <f>IF('Calc base'!H$14=0,0,MIN(AA274,MAX(0,$E274-SUMIFS($V274:$AG274,'Calc base'!$C$17:$N$17,"&lt;"&amp;'Calc base'!H$17,'Calc base'!$C$14:$N$14,1))))</f>
        <v>0</v>
      </c>
      <c r="AN274">
        <f>IF('Calc base'!I$14=0,0,MIN(AB274,MAX(0,$E274-SUMIFS($V274:$AG274,'Calc base'!$C$17:$N$17,"&lt;"&amp;'Calc base'!I$17,'Calc base'!$C$14:$N$14,1))))</f>
        <v>0</v>
      </c>
      <c r="AO274">
        <f>IF('Calc base'!J$14=0,0,MIN(AC274,MAX(0,$E274-SUMIFS($V274:$AG274,'Calc base'!$C$17:$N$17,"&lt;"&amp;'Calc base'!J$17,'Calc base'!$C$14:$N$14,1))))</f>
        <v>0</v>
      </c>
      <c r="AP274">
        <f>IF('Calc base'!K$14=0,0,MIN(AD274,MAX(0,$E274-SUMIFS($V274:$AG274,'Calc base'!$C$17:$N$17,"&lt;"&amp;'Calc base'!K$17,'Calc base'!$C$14:$N$14,1))))</f>
        <v>0</v>
      </c>
      <c r="AQ274">
        <f>IF('Calc base'!L$14=0,0,MIN(AE274,MAX(0,$E274-SUMIFS($V274:$AG274,'Calc base'!$C$17:$N$17,"&lt;"&amp;'Calc base'!L$17,'Calc base'!$C$14:$N$14,1))))</f>
        <v>0</v>
      </c>
      <c r="AR274">
        <f>IF('Calc base'!M$14=0,0,MIN(AF274,MAX(0,$E274-SUMIFS($V274:$AG274,'Calc base'!$C$17:$N$17,"&lt;"&amp;'Calc base'!M$17,'Calc base'!$C$14:$N$14,1))))</f>
        <v>0</v>
      </c>
      <c r="AS274">
        <f>IF('Calc base'!N$14=0,0,MIN(AG274,MAX(0,$E274-SUMIFS($V274:$AG274,'Calc base'!$C$17:$N$17,"&lt;"&amp;'Calc base'!N$17,'Calc base'!$C$14:$N$14,1))))</f>
        <v>0</v>
      </c>
      <c r="AT274">
        <f>V274-AH274</f>
        <v>0</v>
      </c>
      <c r="AU274">
        <f>W274-AI274</f>
        <v>0</v>
      </c>
      <c r="AV274">
        <f>X274-AJ274</f>
        <v>0</v>
      </c>
      <c r="AW274">
        <f>Y274-AK274</f>
        <v>0</v>
      </c>
      <c r="AX274">
        <f>Z274-AL274</f>
        <v>0</v>
      </c>
      <c r="AY274">
        <f>AA274-AM274</f>
        <v>0</v>
      </c>
      <c r="AZ274">
        <f>AB274-AN274</f>
        <v>0</v>
      </c>
      <c r="BA274">
        <f>AC274-AO274</f>
        <v>0</v>
      </c>
      <c r="BB274">
        <f>AD274-AP274</f>
        <v>0</v>
      </c>
      <c r="BC274">
        <f>AE274-AQ274</f>
        <v>0</v>
      </c>
      <c r="BD274">
        <f>AF274-AR274</f>
        <v>0</v>
      </c>
      <c r="BE274">
        <f>AG274-AS274</f>
        <v>0</v>
      </c>
    </row>
    <row r="275">
      <c r="A275" t="n">
        <v>245</v>
      </c>
      <c r="B275">
        <f>SUMPRODUCT(ROUND($AT274:$BE274*(1+'Calc base'!$H275:$S275),2))</f>
        <v>0</v>
      </c>
      <c r="C275">
        <f>SUM(J275:U275)</f>
        <v>0</v>
      </c>
      <c r="D275">
        <f>SUM(V275:AG275)</f>
        <v>0</v>
      </c>
      <c r="E275">
        <f>MAX(0,IF(Impostazioni!$B$7="No",'Calc base'!$C275-$C$31,'Calc base'!$C275-C275)+'Calc base'!$G275+'Calc base'!$F275-(B275-C275-D275))</f>
        <v>900</v>
      </c>
      <c r="F275">
        <f>SUM(AH275:AS275)</f>
        <v>0</v>
      </c>
      <c r="G275">
        <f>SUM(AT275:BE275)</f>
        <v>0</v>
      </c>
      <c r="H275">
        <f>B275-G274</f>
        <v>0</v>
      </c>
      <c r="I275">
        <f>B275-G275</f>
        <v>0</v>
      </c>
      <c r="J275">
        <f>IF(AT274&lt;=0,0,IF(ROUND(AT274*(1+'Calc base'!H275),2)-MAX('Calc base'!C$12,ROUND('Calc base'!C$13*AT274,2))&lt;1,ROUND(AT274*(1+'Calc base'!H275),2),MAX('Calc base'!C$12,ROUND('Calc base'!C$13*AT274,2))))</f>
        <v>0</v>
      </c>
      <c r="K275">
        <f>IF(AU274&lt;=0,0,IF(ROUND(AU274*(1+'Calc base'!I275),2)-MAX('Calc base'!D$12,ROUND('Calc base'!D$13*AU274,2))&lt;1,ROUND(AU274*(1+'Calc base'!I275),2),MAX('Calc base'!D$12,ROUND('Calc base'!D$13*AU274,2))))</f>
        <v>0</v>
      </c>
      <c r="L275">
        <f>IF(AV274&lt;=0,0,IF(ROUND(AV274*(1+'Calc base'!J275),2)-MAX('Calc base'!E$12,ROUND('Calc base'!E$13*AV274,2))&lt;1,ROUND(AV274*(1+'Calc base'!J275),2),MAX('Calc base'!E$12,ROUND('Calc base'!E$13*AV274,2))))</f>
        <v>0</v>
      </c>
      <c r="M275">
        <f>IF(AW274&lt;=0,0,IF(ROUND(AW274*(1+'Calc base'!K275),2)-MAX('Calc base'!F$12,ROUND('Calc base'!F$13*AW274,2))&lt;1,ROUND(AW274*(1+'Calc base'!K275),2),MAX('Calc base'!F$12,ROUND('Calc base'!F$13*AW274,2))))</f>
        <v>0</v>
      </c>
      <c r="N275">
        <f>IF(AX274&lt;=0,0,IF(ROUND(AX274*(1+'Calc base'!L275),2)-MAX('Calc base'!G$12,ROUND('Calc base'!G$13*AX274,2))&lt;1,ROUND(AX274*(1+'Calc base'!L275),2),MAX('Calc base'!G$12,ROUND('Calc base'!G$13*AX274,2))))</f>
        <v>0</v>
      </c>
      <c r="O275">
        <f>IF(AY274&lt;=0,0,IF(ROUND(AY274*(1+'Calc base'!M275),2)-MAX('Calc base'!H$12,ROUND('Calc base'!H$13*AY274,2))&lt;1,ROUND(AY274*(1+'Calc base'!M275),2),MAX('Calc base'!H$12,ROUND('Calc base'!H$13*AY274,2))))</f>
        <v>0</v>
      </c>
      <c r="P275">
        <f>IF(AZ274&lt;=0,0,IF(ROUND(AZ274*(1+'Calc base'!N275),2)-MAX('Calc base'!I$12,ROUND('Calc base'!I$13*AZ274,2))&lt;1,ROUND(AZ274*(1+'Calc base'!N275),2),MAX('Calc base'!I$12,ROUND('Calc base'!I$13*AZ274,2))))</f>
        <v>0</v>
      </c>
      <c r="Q275">
        <f>IF(BA274&lt;=0,0,IF(ROUND(BA274*(1+'Calc base'!O275),2)-MAX('Calc base'!J$12,ROUND('Calc base'!J$13*BA274,2))&lt;1,ROUND(BA274*(1+'Calc base'!O275),2),MAX('Calc base'!J$12,ROUND('Calc base'!J$13*BA274,2))))</f>
        <v>0</v>
      </c>
      <c r="R275">
        <f>IF(BB274&lt;=0,0,IF(ROUND(BB274*(1+'Calc base'!P275),2)-MAX('Calc base'!K$12,ROUND('Calc base'!K$13*BB274,2))&lt;1,ROUND(BB274*(1+'Calc base'!P275),2),MAX('Calc base'!K$12,ROUND('Calc base'!K$13*BB274,2))))</f>
        <v>0</v>
      </c>
      <c r="S275">
        <f>IF(BC274&lt;=0,0,IF(ROUND(BC274*(1+'Calc base'!Q275),2)-MAX('Calc base'!L$12,ROUND('Calc base'!L$13*BC274,2))&lt;1,ROUND(BC274*(1+'Calc base'!Q275),2),MAX('Calc base'!L$12,ROUND('Calc base'!L$13*BC274,2))))</f>
        <v>0</v>
      </c>
      <c r="T275">
        <f>IF(BD274&lt;=0,0,IF(ROUND(BD274*(1+'Calc base'!R275),2)-MAX('Calc base'!M$12,ROUND('Calc base'!M$13*BD274,2))&lt;1,ROUND(BD274*(1+'Calc base'!R275),2),MAX('Calc base'!M$12,ROUND('Calc base'!M$13*BD274,2))))</f>
        <v>0</v>
      </c>
      <c r="U275">
        <f>IF(BE274&lt;=0,0,IF(ROUND(BE274*(1+'Calc base'!S275),2)-MAX('Calc base'!N$12,ROUND('Calc base'!N$13*BE274,2))&lt;1,ROUND(BE274*(1+'Calc base'!S275),2),MAX('Calc base'!N$12,ROUND('Calc base'!N$13*BE274,2))))</f>
        <v>0</v>
      </c>
      <c r="V275">
        <f>MAX(0,ROUND(AT274*(1+'Calc base'!H275),2)-J275-'Calc base'!T275)</f>
        <v>0</v>
      </c>
      <c r="W275">
        <f>MAX(0,ROUND(AU274*(1+'Calc base'!I275),2)-K275-'Calc base'!U275)</f>
        <v>0</v>
      </c>
      <c r="X275">
        <f>MAX(0,ROUND(AV274*(1+'Calc base'!J275),2)-L275-'Calc base'!V275)</f>
        <v>0</v>
      </c>
      <c r="Y275">
        <f>MAX(0,ROUND(AW274*(1+'Calc base'!K275),2)-M275-'Calc base'!W275)</f>
        <v>0</v>
      </c>
      <c r="Z275">
        <f>MAX(0,ROUND(AX274*(1+'Calc base'!L275),2)-N275-'Calc base'!X275)</f>
        <v>0</v>
      </c>
      <c r="AA275">
        <f>MAX(0,ROUND(AY274*(1+'Calc base'!M275),2)-O275-'Calc base'!Y275)</f>
        <v>0</v>
      </c>
      <c r="AB275">
        <f>MAX(0,ROUND(AZ274*(1+'Calc base'!N275),2)-P275-'Calc base'!Z275)</f>
        <v>0</v>
      </c>
      <c r="AC275">
        <f>MAX(0,ROUND(BA274*(1+'Calc base'!O275),2)-Q275-'Calc base'!AA275)</f>
        <v>0</v>
      </c>
      <c r="AD275">
        <f>MAX(0,ROUND(BB274*(1+'Calc base'!P275),2)-R275-'Calc base'!AB275)</f>
        <v>0</v>
      </c>
      <c r="AE275">
        <f>MAX(0,ROUND(BC274*(1+'Calc base'!Q275),2)-S275-'Calc base'!AC275)</f>
        <v>0</v>
      </c>
      <c r="AF275">
        <f>MAX(0,ROUND(BD274*(1+'Calc base'!R275),2)-T275-'Calc base'!AD275)</f>
        <v>0</v>
      </c>
      <c r="AG275">
        <f>MAX(0,ROUND(BE274*(1+'Calc base'!S275),2)-U275-'Calc base'!AE275)</f>
        <v>0</v>
      </c>
      <c r="AH275">
        <f>IF('Calc base'!C$14=0,0,MIN(V275,MAX(0,$E275-SUMIFS($V275:$AG275,'Calc base'!$C$17:$N$17,"&lt;"&amp;'Calc base'!C$17,'Calc base'!$C$14:$N$14,1))))</f>
        <v>0</v>
      </c>
      <c r="AI275">
        <f>IF('Calc base'!D$14=0,0,MIN(W275,MAX(0,$E275-SUMIFS($V275:$AG275,'Calc base'!$C$17:$N$17,"&lt;"&amp;'Calc base'!D$17,'Calc base'!$C$14:$N$14,1))))</f>
        <v>0</v>
      </c>
      <c r="AJ275">
        <f>IF('Calc base'!E$14=0,0,MIN(X275,MAX(0,$E275-SUMIFS($V275:$AG275,'Calc base'!$C$17:$N$17,"&lt;"&amp;'Calc base'!E$17,'Calc base'!$C$14:$N$14,1))))</f>
        <v>0</v>
      </c>
      <c r="AK275">
        <f>IF('Calc base'!F$14=0,0,MIN(Y275,MAX(0,$E275-SUMIFS($V275:$AG275,'Calc base'!$C$17:$N$17,"&lt;"&amp;'Calc base'!F$17,'Calc base'!$C$14:$N$14,1))))</f>
        <v>0</v>
      </c>
      <c r="AL275">
        <f>IF('Calc base'!G$14=0,0,MIN(Z275,MAX(0,$E275-SUMIFS($V275:$AG275,'Calc base'!$C$17:$N$17,"&lt;"&amp;'Calc base'!G$17,'Calc base'!$C$14:$N$14,1))))</f>
        <v>0</v>
      </c>
      <c r="AM275">
        <f>IF('Calc base'!H$14=0,0,MIN(AA275,MAX(0,$E275-SUMIFS($V275:$AG275,'Calc base'!$C$17:$N$17,"&lt;"&amp;'Calc base'!H$17,'Calc base'!$C$14:$N$14,1))))</f>
        <v>0</v>
      </c>
      <c r="AN275">
        <f>IF('Calc base'!I$14=0,0,MIN(AB275,MAX(0,$E275-SUMIFS($V275:$AG275,'Calc base'!$C$17:$N$17,"&lt;"&amp;'Calc base'!I$17,'Calc base'!$C$14:$N$14,1))))</f>
        <v>0</v>
      </c>
      <c r="AO275">
        <f>IF('Calc base'!J$14=0,0,MIN(AC275,MAX(0,$E275-SUMIFS($V275:$AG275,'Calc base'!$C$17:$N$17,"&lt;"&amp;'Calc base'!J$17,'Calc base'!$C$14:$N$14,1))))</f>
        <v>0</v>
      </c>
      <c r="AP275">
        <f>IF('Calc base'!K$14=0,0,MIN(AD275,MAX(0,$E275-SUMIFS($V275:$AG275,'Calc base'!$C$17:$N$17,"&lt;"&amp;'Calc base'!K$17,'Calc base'!$C$14:$N$14,1))))</f>
        <v>0</v>
      </c>
      <c r="AQ275">
        <f>IF('Calc base'!L$14=0,0,MIN(AE275,MAX(0,$E275-SUMIFS($V275:$AG275,'Calc base'!$C$17:$N$17,"&lt;"&amp;'Calc base'!L$17,'Calc base'!$C$14:$N$14,1))))</f>
        <v>0</v>
      </c>
      <c r="AR275">
        <f>IF('Calc base'!M$14=0,0,MIN(AF275,MAX(0,$E275-SUMIFS($V275:$AG275,'Calc base'!$C$17:$N$17,"&lt;"&amp;'Calc base'!M$17,'Calc base'!$C$14:$N$14,1))))</f>
        <v>0</v>
      </c>
      <c r="AS275">
        <f>IF('Calc base'!N$14=0,0,MIN(AG275,MAX(0,$E275-SUMIFS($V275:$AG275,'Calc base'!$C$17:$N$17,"&lt;"&amp;'Calc base'!N$17,'Calc base'!$C$14:$N$14,1))))</f>
        <v>0</v>
      </c>
      <c r="AT275">
        <f>V275-AH275</f>
        <v>0</v>
      </c>
      <c r="AU275">
        <f>W275-AI275</f>
        <v>0</v>
      </c>
      <c r="AV275">
        <f>X275-AJ275</f>
        <v>0</v>
      </c>
      <c r="AW275">
        <f>Y275-AK275</f>
        <v>0</v>
      </c>
      <c r="AX275">
        <f>Z275-AL275</f>
        <v>0</v>
      </c>
      <c r="AY275">
        <f>AA275-AM275</f>
        <v>0</v>
      </c>
      <c r="AZ275">
        <f>AB275-AN275</f>
        <v>0</v>
      </c>
      <c r="BA275">
        <f>AC275-AO275</f>
        <v>0</v>
      </c>
      <c r="BB275">
        <f>AD275-AP275</f>
        <v>0</v>
      </c>
      <c r="BC275">
        <f>AE275-AQ275</f>
        <v>0</v>
      </c>
      <c r="BD275">
        <f>AF275-AR275</f>
        <v>0</v>
      </c>
      <c r="BE275">
        <f>AG275-AS275</f>
        <v>0</v>
      </c>
    </row>
    <row r="276">
      <c r="A276" t="n">
        <v>246</v>
      </c>
      <c r="B276">
        <f>SUMPRODUCT(ROUND($AT275:$BE275*(1+'Calc base'!$H276:$S276),2))</f>
        <v>0</v>
      </c>
      <c r="C276">
        <f>SUM(J276:U276)</f>
        <v>0</v>
      </c>
      <c r="D276">
        <f>SUM(V276:AG276)</f>
        <v>0</v>
      </c>
      <c r="E276">
        <f>MAX(0,IF(Impostazioni!$B$7="No",'Calc base'!$C276-$C$31,'Calc base'!$C276-C276)+'Calc base'!$G276+'Calc base'!$F276-(B276-C276-D276))</f>
        <v>900</v>
      </c>
      <c r="F276">
        <f>SUM(AH276:AS276)</f>
        <v>0</v>
      </c>
      <c r="G276">
        <f>SUM(AT276:BE276)</f>
        <v>0</v>
      </c>
      <c r="H276">
        <f>B276-G275</f>
        <v>0</v>
      </c>
      <c r="I276">
        <f>B276-G276</f>
        <v>0</v>
      </c>
      <c r="J276">
        <f>IF(AT275&lt;=0,0,IF(ROUND(AT275*(1+'Calc base'!H276),2)-MAX('Calc base'!C$12,ROUND('Calc base'!C$13*AT275,2))&lt;1,ROUND(AT275*(1+'Calc base'!H276),2),MAX('Calc base'!C$12,ROUND('Calc base'!C$13*AT275,2))))</f>
        <v>0</v>
      </c>
      <c r="K276">
        <f>IF(AU275&lt;=0,0,IF(ROUND(AU275*(1+'Calc base'!I276),2)-MAX('Calc base'!D$12,ROUND('Calc base'!D$13*AU275,2))&lt;1,ROUND(AU275*(1+'Calc base'!I276),2),MAX('Calc base'!D$12,ROUND('Calc base'!D$13*AU275,2))))</f>
        <v>0</v>
      </c>
      <c r="L276">
        <f>IF(AV275&lt;=0,0,IF(ROUND(AV275*(1+'Calc base'!J276),2)-MAX('Calc base'!E$12,ROUND('Calc base'!E$13*AV275,2))&lt;1,ROUND(AV275*(1+'Calc base'!J276),2),MAX('Calc base'!E$12,ROUND('Calc base'!E$13*AV275,2))))</f>
        <v>0</v>
      </c>
      <c r="M276">
        <f>IF(AW275&lt;=0,0,IF(ROUND(AW275*(1+'Calc base'!K276),2)-MAX('Calc base'!F$12,ROUND('Calc base'!F$13*AW275,2))&lt;1,ROUND(AW275*(1+'Calc base'!K276),2),MAX('Calc base'!F$12,ROUND('Calc base'!F$13*AW275,2))))</f>
        <v>0</v>
      </c>
      <c r="N276">
        <f>IF(AX275&lt;=0,0,IF(ROUND(AX275*(1+'Calc base'!L276),2)-MAX('Calc base'!G$12,ROUND('Calc base'!G$13*AX275,2))&lt;1,ROUND(AX275*(1+'Calc base'!L276),2),MAX('Calc base'!G$12,ROUND('Calc base'!G$13*AX275,2))))</f>
        <v>0</v>
      </c>
      <c r="O276">
        <f>IF(AY275&lt;=0,0,IF(ROUND(AY275*(1+'Calc base'!M276),2)-MAX('Calc base'!H$12,ROUND('Calc base'!H$13*AY275,2))&lt;1,ROUND(AY275*(1+'Calc base'!M276),2),MAX('Calc base'!H$12,ROUND('Calc base'!H$13*AY275,2))))</f>
        <v>0</v>
      </c>
      <c r="P276">
        <f>IF(AZ275&lt;=0,0,IF(ROUND(AZ275*(1+'Calc base'!N276),2)-MAX('Calc base'!I$12,ROUND('Calc base'!I$13*AZ275,2))&lt;1,ROUND(AZ275*(1+'Calc base'!N276),2),MAX('Calc base'!I$12,ROUND('Calc base'!I$13*AZ275,2))))</f>
        <v>0</v>
      </c>
      <c r="Q276">
        <f>IF(BA275&lt;=0,0,IF(ROUND(BA275*(1+'Calc base'!O276),2)-MAX('Calc base'!J$12,ROUND('Calc base'!J$13*BA275,2))&lt;1,ROUND(BA275*(1+'Calc base'!O276),2),MAX('Calc base'!J$12,ROUND('Calc base'!J$13*BA275,2))))</f>
        <v>0</v>
      </c>
      <c r="R276">
        <f>IF(BB275&lt;=0,0,IF(ROUND(BB275*(1+'Calc base'!P276),2)-MAX('Calc base'!K$12,ROUND('Calc base'!K$13*BB275,2))&lt;1,ROUND(BB275*(1+'Calc base'!P276),2),MAX('Calc base'!K$12,ROUND('Calc base'!K$13*BB275,2))))</f>
        <v>0</v>
      </c>
      <c r="S276">
        <f>IF(BC275&lt;=0,0,IF(ROUND(BC275*(1+'Calc base'!Q276),2)-MAX('Calc base'!L$12,ROUND('Calc base'!L$13*BC275,2))&lt;1,ROUND(BC275*(1+'Calc base'!Q276),2),MAX('Calc base'!L$12,ROUND('Calc base'!L$13*BC275,2))))</f>
        <v>0</v>
      </c>
      <c r="T276">
        <f>IF(BD275&lt;=0,0,IF(ROUND(BD275*(1+'Calc base'!R276),2)-MAX('Calc base'!M$12,ROUND('Calc base'!M$13*BD275,2))&lt;1,ROUND(BD275*(1+'Calc base'!R276),2),MAX('Calc base'!M$12,ROUND('Calc base'!M$13*BD275,2))))</f>
        <v>0</v>
      </c>
      <c r="U276">
        <f>IF(BE275&lt;=0,0,IF(ROUND(BE275*(1+'Calc base'!S276),2)-MAX('Calc base'!N$12,ROUND('Calc base'!N$13*BE275,2))&lt;1,ROUND(BE275*(1+'Calc base'!S276),2),MAX('Calc base'!N$12,ROUND('Calc base'!N$13*BE275,2))))</f>
        <v>0</v>
      </c>
      <c r="V276">
        <f>MAX(0,ROUND(AT275*(1+'Calc base'!H276),2)-J276-'Calc base'!T276)</f>
        <v>0</v>
      </c>
      <c r="W276">
        <f>MAX(0,ROUND(AU275*(1+'Calc base'!I276),2)-K276-'Calc base'!U276)</f>
        <v>0</v>
      </c>
      <c r="X276">
        <f>MAX(0,ROUND(AV275*(1+'Calc base'!J276),2)-L276-'Calc base'!V276)</f>
        <v>0</v>
      </c>
      <c r="Y276">
        <f>MAX(0,ROUND(AW275*(1+'Calc base'!K276),2)-M276-'Calc base'!W276)</f>
        <v>0</v>
      </c>
      <c r="Z276">
        <f>MAX(0,ROUND(AX275*(1+'Calc base'!L276),2)-N276-'Calc base'!X276)</f>
        <v>0</v>
      </c>
      <c r="AA276">
        <f>MAX(0,ROUND(AY275*(1+'Calc base'!M276),2)-O276-'Calc base'!Y276)</f>
        <v>0</v>
      </c>
      <c r="AB276">
        <f>MAX(0,ROUND(AZ275*(1+'Calc base'!N276),2)-P276-'Calc base'!Z276)</f>
        <v>0</v>
      </c>
      <c r="AC276">
        <f>MAX(0,ROUND(BA275*(1+'Calc base'!O276),2)-Q276-'Calc base'!AA276)</f>
        <v>0</v>
      </c>
      <c r="AD276">
        <f>MAX(0,ROUND(BB275*(1+'Calc base'!P276),2)-R276-'Calc base'!AB276)</f>
        <v>0</v>
      </c>
      <c r="AE276">
        <f>MAX(0,ROUND(BC275*(1+'Calc base'!Q276),2)-S276-'Calc base'!AC276)</f>
        <v>0</v>
      </c>
      <c r="AF276">
        <f>MAX(0,ROUND(BD275*(1+'Calc base'!R276),2)-T276-'Calc base'!AD276)</f>
        <v>0</v>
      </c>
      <c r="AG276">
        <f>MAX(0,ROUND(BE275*(1+'Calc base'!S276),2)-U276-'Calc base'!AE276)</f>
        <v>0</v>
      </c>
      <c r="AH276">
        <f>IF('Calc base'!C$14=0,0,MIN(V276,MAX(0,$E276-SUMIFS($V276:$AG276,'Calc base'!$C$17:$N$17,"&lt;"&amp;'Calc base'!C$17,'Calc base'!$C$14:$N$14,1))))</f>
        <v>0</v>
      </c>
      <c r="AI276">
        <f>IF('Calc base'!D$14=0,0,MIN(W276,MAX(0,$E276-SUMIFS($V276:$AG276,'Calc base'!$C$17:$N$17,"&lt;"&amp;'Calc base'!D$17,'Calc base'!$C$14:$N$14,1))))</f>
        <v>0</v>
      </c>
      <c r="AJ276">
        <f>IF('Calc base'!E$14=0,0,MIN(X276,MAX(0,$E276-SUMIFS($V276:$AG276,'Calc base'!$C$17:$N$17,"&lt;"&amp;'Calc base'!E$17,'Calc base'!$C$14:$N$14,1))))</f>
        <v>0</v>
      </c>
      <c r="AK276">
        <f>IF('Calc base'!F$14=0,0,MIN(Y276,MAX(0,$E276-SUMIFS($V276:$AG276,'Calc base'!$C$17:$N$17,"&lt;"&amp;'Calc base'!F$17,'Calc base'!$C$14:$N$14,1))))</f>
        <v>0</v>
      </c>
      <c r="AL276">
        <f>IF('Calc base'!G$14=0,0,MIN(Z276,MAX(0,$E276-SUMIFS($V276:$AG276,'Calc base'!$C$17:$N$17,"&lt;"&amp;'Calc base'!G$17,'Calc base'!$C$14:$N$14,1))))</f>
        <v>0</v>
      </c>
      <c r="AM276">
        <f>IF('Calc base'!H$14=0,0,MIN(AA276,MAX(0,$E276-SUMIFS($V276:$AG276,'Calc base'!$C$17:$N$17,"&lt;"&amp;'Calc base'!H$17,'Calc base'!$C$14:$N$14,1))))</f>
        <v>0</v>
      </c>
      <c r="AN276">
        <f>IF('Calc base'!I$14=0,0,MIN(AB276,MAX(0,$E276-SUMIFS($V276:$AG276,'Calc base'!$C$17:$N$17,"&lt;"&amp;'Calc base'!I$17,'Calc base'!$C$14:$N$14,1))))</f>
        <v>0</v>
      </c>
      <c r="AO276">
        <f>IF('Calc base'!J$14=0,0,MIN(AC276,MAX(0,$E276-SUMIFS($V276:$AG276,'Calc base'!$C$17:$N$17,"&lt;"&amp;'Calc base'!J$17,'Calc base'!$C$14:$N$14,1))))</f>
        <v>0</v>
      </c>
      <c r="AP276">
        <f>IF('Calc base'!K$14=0,0,MIN(AD276,MAX(0,$E276-SUMIFS($V276:$AG276,'Calc base'!$C$17:$N$17,"&lt;"&amp;'Calc base'!K$17,'Calc base'!$C$14:$N$14,1))))</f>
        <v>0</v>
      </c>
      <c r="AQ276">
        <f>IF('Calc base'!L$14=0,0,MIN(AE276,MAX(0,$E276-SUMIFS($V276:$AG276,'Calc base'!$C$17:$N$17,"&lt;"&amp;'Calc base'!L$17,'Calc base'!$C$14:$N$14,1))))</f>
        <v>0</v>
      </c>
      <c r="AR276">
        <f>IF('Calc base'!M$14=0,0,MIN(AF276,MAX(0,$E276-SUMIFS($V276:$AG276,'Calc base'!$C$17:$N$17,"&lt;"&amp;'Calc base'!M$17,'Calc base'!$C$14:$N$14,1))))</f>
        <v>0</v>
      </c>
      <c r="AS276">
        <f>IF('Calc base'!N$14=0,0,MIN(AG276,MAX(0,$E276-SUMIFS($V276:$AG276,'Calc base'!$C$17:$N$17,"&lt;"&amp;'Calc base'!N$17,'Calc base'!$C$14:$N$14,1))))</f>
        <v>0</v>
      </c>
      <c r="AT276">
        <f>V276-AH276</f>
        <v>0</v>
      </c>
      <c r="AU276">
        <f>W276-AI276</f>
        <v>0</v>
      </c>
      <c r="AV276">
        <f>X276-AJ276</f>
        <v>0</v>
      </c>
      <c r="AW276">
        <f>Y276-AK276</f>
        <v>0</v>
      </c>
      <c r="AX276">
        <f>Z276-AL276</f>
        <v>0</v>
      </c>
      <c r="AY276">
        <f>AA276-AM276</f>
        <v>0</v>
      </c>
      <c r="AZ276">
        <f>AB276-AN276</f>
        <v>0</v>
      </c>
      <c r="BA276">
        <f>AC276-AO276</f>
        <v>0</v>
      </c>
      <c r="BB276">
        <f>AD276-AP276</f>
        <v>0</v>
      </c>
      <c r="BC276">
        <f>AE276-AQ276</f>
        <v>0</v>
      </c>
      <c r="BD276">
        <f>AF276-AR276</f>
        <v>0</v>
      </c>
      <c r="BE276">
        <f>AG276-AS276</f>
        <v>0</v>
      </c>
    </row>
    <row r="277">
      <c r="A277" t="n">
        <v>247</v>
      </c>
      <c r="B277">
        <f>SUMPRODUCT(ROUND($AT276:$BE276*(1+'Calc base'!$H277:$S277),2))</f>
        <v>0</v>
      </c>
      <c r="C277">
        <f>SUM(J277:U277)</f>
        <v>0</v>
      </c>
      <c r="D277">
        <f>SUM(V277:AG277)</f>
        <v>0</v>
      </c>
      <c r="E277">
        <f>MAX(0,IF(Impostazioni!$B$7="No",'Calc base'!$C277-$C$31,'Calc base'!$C277-C277)+'Calc base'!$G277+'Calc base'!$F277-(B277-C277-D277))</f>
        <v>900</v>
      </c>
      <c r="F277">
        <f>SUM(AH277:AS277)</f>
        <v>0</v>
      </c>
      <c r="G277">
        <f>SUM(AT277:BE277)</f>
        <v>0</v>
      </c>
      <c r="H277">
        <f>B277-G276</f>
        <v>0</v>
      </c>
      <c r="I277">
        <f>B277-G277</f>
        <v>0</v>
      </c>
      <c r="J277">
        <f>IF(AT276&lt;=0,0,IF(ROUND(AT276*(1+'Calc base'!H277),2)-MAX('Calc base'!C$12,ROUND('Calc base'!C$13*AT276,2))&lt;1,ROUND(AT276*(1+'Calc base'!H277),2),MAX('Calc base'!C$12,ROUND('Calc base'!C$13*AT276,2))))</f>
        <v>0</v>
      </c>
      <c r="K277">
        <f>IF(AU276&lt;=0,0,IF(ROUND(AU276*(1+'Calc base'!I277),2)-MAX('Calc base'!D$12,ROUND('Calc base'!D$13*AU276,2))&lt;1,ROUND(AU276*(1+'Calc base'!I277),2),MAX('Calc base'!D$12,ROUND('Calc base'!D$13*AU276,2))))</f>
        <v>0</v>
      </c>
      <c r="L277">
        <f>IF(AV276&lt;=0,0,IF(ROUND(AV276*(1+'Calc base'!J277),2)-MAX('Calc base'!E$12,ROUND('Calc base'!E$13*AV276,2))&lt;1,ROUND(AV276*(1+'Calc base'!J277),2),MAX('Calc base'!E$12,ROUND('Calc base'!E$13*AV276,2))))</f>
        <v>0</v>
      </c>
      <c r="M277">
        <f>IF(AW276&lt;=0,0,IF(ROUND(AW276*(1+'Calc base'!K277),2)-MAX('Calc base'!F$12,ROUND('Calc base'!F$13*AW276,2))&lt;1,ROUND(AW276*(1+'Calc base'!K277),2),MAX('Calc base'!F$12,ROUND('Calc base'!F$13*AW276,2))))</f>
        <v>0</v>
      </c>
      <c r="N277">
        <f>IF(AX276&lt;=0,0,IF(ROUND(AX276*(1+'Calc base'!L277),2)-MAX('Calc base'!G$12,ROUND('Calc base'!G$13*AX276,2))&lt;1,ROUND(AX276*(1+'Calc base'!L277),2),MAX('Calc base'!G$12,ROUND('Calc base'!G$13*AX276,2))))</f>
        <v>0</v>
      </c>
      <c r="O277">
        <f>IF(AY276&lt;=0,0,IF(ROUND(AY276*(1+'Calc base'!M277),2)-MAX('Calc base'!H$12,ROUND('Calc base'!H$13*AY276,2))&lt;1,ROUND(AY276*(1+'Calc base'!M277),2),MAX('Calc base'!H$12,ROUND('Calc base'!H$13*AY276,2))))</f>
        <v>0</v>
      </c>
      <c r="P277">
        <f>IF(AZ276&lt;=0,0,IF(ROUND(AZ276*(1+'Calc base'!N277),2)-MAX('Calc base'!I$12,ROUND('Calc base'!I$13*AZ276,2))&lt;1,ROUND(AZ276*(1+'Calc base'!N277),2),MAX('Calc base'!I$12,ROUND('Calc base'!I$13*AZ276,2))))</f>
        <v>0</v>
      </c>
      <c r="Q277">
        <f>IF(BA276&lt;=0,0,IF(ROUND(BA276*(1+'Calc base'!O277),2)-MAX('Calc base'!J$12,ROUND('Calc base'!J$13*BA276,2))&lt;1,ROUND(BA276*(1+'Calc base'!O277),2),MAX('Calc base'!J$12,ROUND('Calc base'!J$13*BA276,2))))</f>
        <v>0</v>
      </c>
      <c r="R277">
        <f>IF(BB276&lt;=0,0,IF(ROUND(BB276*(1+'Calc base'!P277),2)-MAX('Calc base'!K$12,ROUND('Calc base'!K$13*BB276,2))&lt;1,ROUND(BB276*(1+'Calc base'!P277),2),MAX('Calc base'!K$12,ROUND('Calc base'!K$13*BB276,2))))</f>
        <v>0</v>
      </c>
      <c r="S277">
        <f>IF(BC276&lt;=0,0,IF(ROUND(BC276*(1+'Calc base'!Q277),2)-MAX('Calc base'!L$12,ROUND('Calc base'!L$13*BC276,2))&lt;1,ROUND(BC276*(1+'Calc base'!Q277),2),MAX('Calc base'!L$12,ROUND('Calc base'!L$13*BC276,2))))</f>
        <v>0</v>
      </c>
      <c r="T277">
        <f>IF(BD276&lt;=0,0,IF(ROUND(BD276*(1+'Calc base'!R277),2)-MAX('Calc base'!M$12,ROUND('Calc base'!M$13*BD276,2))&lt;1,ROUND(BD276*(1+'Calc base'!R277),2),MAX('Calc base'!M$12,ROUND('Calc base'!M$13*BD276,2))))</f>
        <v>0</v>
      </c>
      <c r="U277">
        <f>IF(BE276&lt;=0,0,IF(ROUND(BE276*(1+'Calc base'!S277),2)-MAX('Calc base'!N$12,ROUND('Calc base'!N$13*BE276,2))&lt;1,ROUND(BE276*(1+'Calc base'!S277),2),MAX('Calc base'!N$12,ROUND('Calc base'!N$13*BE276,2))))</f>
        <v>0</v>
      </c>
      <c r="V277">
        <f>MAX(0,ROUND(AT276*(1+'Calc base'!H277),2)-J277-'Calc base'!T277)</f>
        <v>0</v>
      </c>
      <c r="W277">
        <f>MAX(0,ROUND(AU276*(1+'Calc base'!I277),2)-K277-'Calc base'!U277)</f>
        <v>0</v>
      </c>
      <c r="X277">
        <f>MAX(0,ROUND(AV276*(1+'Calc base'!J277),2)-L277-'Calc base'!V277)</f>
        <v>0</v>
      </c>
      <c r="Y277">
        <f>MAX(0,ROUND(AW276*(1+'Calc base'!K277),2)-M277-'Calc base'!W277)</f>
        <v>0</v>
      </c>
      <c r="Z277">
        <f>MAX(0,ROUND(AX276*(1+'Calc base'!L277),2)-N277-'Calc base'!X277)</f>
        <v>0</v>
      </c>
      <c r="AA277">
        <f>MAX(0,ROUND(AY276*(1+'Calc base'!M277),2)-O277-'Calc base'!Y277)</f>
        <v>0</v>
      </c>
      <c r="AB277">
        <f>MAX(0,ROUND(AZ276*(1+'Calc base'!N277),2)-P277-'Calc base'!Z277)</f>
        <v>0</v>
      </c>
      <c r="AC277">
        <f>MAX(0,ROUND(BA276*(1+'Calc base'!O277),2)-Q277-'Calc base'!AA277)</f>
        <v>0</v>
      </c>
      <c r="AD277">
        <f>MAX(0,ROUND(BB276*(1+'Calc base'!P277),2)-R277-'Calc base'!AB277)</f>
        <v>0</v>
      </c>
      <c r="AE277">
        <f>MAX(0,ROUND(BC276*(1+'Calc base'!Q277),2)-S277-'Calc base'!AC277)</f>
        <v>0</v>
      </c>
      <c r="AF277">
        <f>MAX(0,ROUND(BD276*(1+'Calc base'!R277),2)-T277-'Calc base'!AD277)</f>
        <v>0</v>
      </c>
      <c r="AG277">
        <f>MAX(0,ROUND(BE276*(1+'Calc base'!S277),2)-U277-'Calc base'!AE277)</f>
        <v>0</v>
      </c>
      <c r="AH277">
        <f>IF('Calc base'!C$14=0,0,MIN(V277,MAX(0,$E277-SUMIFS($V277:$AG277,'Calc base'!$C$17:$N$17,"&lt;"&amp;'Calc base'!C$17,'Calc base'!$C$14:$N$14,1))))</f>
        <v>0</v>
      </c>
      <c r="AI277">
        <f>IF('Calc base'!D$14=0,0,MIN(W277,MAX(0,$E277-SUMIFS($V277:$AG277,'Calc base'!$C$17:$N$17,"&lt;"&amp;'Calc base'!D$17,'Calc base'!$C$14:$N$14,1))))</f>
        <v>0</v>
      </c>
      <c r="AJ277">
        <f>IF('Calc base'!E$14=0,0,MIN(X277,MAX(0,$E277-SUMIFS($V277:$AG277,'Calc base'!$C$17:$N$17,"&lt;"&amp;'Calc base'!E$17,'Calc base'!$C$14:$N$14,1))))</f>
        <v>0</v>
      </c>
      <c r="AK277">
        <f>IF('Calc base'!F$14=0,0,MIN(Y277,MAX(0,$E277-SUMIFS($V277:$AG277,'Calc base'!$C$17:$N$17,"&lt;"&amp;'Calc base'!F$17,'Calc base'!$C$14:$N$14,1))))</f>
        <v>0</v>
      </c>
      <c r="AL277">
        <f>IF('Calc base'!G$14=0,0,MIN(Z277,MAX(0,$E277-SUMIFS($V277:$AG277,'Calc base'!$C$17:$N$17,"&lt;"&amp;'Calc base'!G$17,'Calc base'!$C$14:$N$14,1))))</f>
        <v>0</v>
      </c>
      <c r="AM277">
        <f>IF('Calc base'!H$14=0,0,MIN(AA277,MAX(0,$E277-SUMIFS($V277:$AG277,'Calc base'!$C$17:$N$17,"&lt;"&amp;'Calc base'!H$17,'Calc base'!$C$14:$N$14,1))))</f>
        <v>0</v>
      </c>
      <c r="AN277">
        <f>IF('Calc base'!I$14=0,0,MIN(AB277,MAX(0,$E277-SUMIFS($V277:$AG277,'Calc base'!$C$17:$N$17,"&lt;"&amp;'Calc base'!I$17,'Calc base'!$C$14:$N$14,1))))</f>
        <v>0</v>
      </c>
      <c r="AO277">
        <f>IF('Calc base'!J$14=0,0,MIN(AC277,MAX(0,$E277-SUMIFS($V277:$AG277,'Calc base'!$C$17:$N$17,"&lt;"&amp;'Calc base'!J$17,'Calc base'!$C$14:$N$14,1))))</f>
        <v>0</v>
      </c>
      <c r="AP277">
        <f>IF('Calc base'!K$14=0,0,MIN(AD277,MAX(0,$E277-SUMIFS($V277:$AG277,'Calc base'!$C$17:$N$17,"&lt;"&amp;'Calc base'!K$17,'Calc base'!$C$14:$N$14,1))))</f>
        <v>0</v>
      </c>
      <c r="AQ277">
        <f>IF('Calc base'!L$14=0,0,MIN(AE277,MAX(0,$E277-SUMIFS($V277:$AG277,'Calc base'!$C$17:$N$17,"&lt;"&amp;'Calc base'!L$17,'Calc base'!$C$14:$N$14,1))))</f>
        <v>0</v>
      </c>
      <c r="AR277">
        <f>IF('Calc base'!M$14=0,0,MIN(AF277,MAX(0,$E277-SUMIFS($V277:$AG277,'Calc base'!$C$17:$N$17,"&lt;"&amp;'Calc base'!M$17,'Calc base'!$C$14:$N$14,1))))</f>
        <v>0</v>
      </c>
      <c r="AS277">
        <f>IF('Calc base'!N$14=0,0,MIN(AG277,MAX(0,$E277-SUMIFS($V277:$AG277,'Calc base'!$C$17:$N$17,"&lt;"&amp;'Calc base'!N$17,'Calc base'!$C$14:$N$14,1))))</f>
        <v>0</v>
      </c>
      <c r="AT277">
        <f>V277-AH277</f>
        <v>0</v>
      </c>
      <c r="AU277">
        <f>W277-AI277</f>
        <v>0</v>
      </c>
      <c r="AV277">
        <f>X277-AJ277</f>
        <v>0</v>
      </c>
      <c r="AW277">
        <f>Y277-AK277</f>
        <v>0</v>
      </c>
      <c r="AX277">
        <f>Z277-AL277</f>
        <v>0</v>
      </c>
      <c r="AY277">
        <f>AA277-AM277</f>
        <v>0</v>
      </c>
      <c r="AZ277">
        <f>AB277-AN277</f>
        <v>0</v>
      </c>
      <c r="BA277">
        <f>AC277-AO277</f>
        <v>0</v>
      </c>
      <c r="BB277">
        <f>AD277-AP277</f>
        <v>0</v>
      </c>
      <c r="BC277">
        <f>AE277-AQ277</f>
        <v>0</v>
      </c>
      <c r="BD277">
        <f>AF277-AR277</f>
        <v>0</v>
      </c>
      <c r="BE277">
        <f>AG277-AS277</f>
        <v>0</v>
      </c>
    </row>
    <row r="278">
      <c r="A278" t="n">
        <v>248</v>
      </c>
      <c r="B278">
        <f>SUMPRODUCT(ROUND($AT277:$BE277*(1+'Calc base'!$H278:$S278),2))</f>
        <v>0</v>
      </c>
      <c r="C278">
        <f>SUM(J278:U278)</f>
        <v>0</v>
      </c>
      <c r="D278">
        <f>SUM(V278:AG278)</f>
        <v>0</v>
      </c>
      <c r="E278">
        <f>MAX(0,IF(Impostazioni!$B$7="No",'Calc base'!$C278-$C$31,'Calc base'!$C278-C278)+'Calc base'!$G278+'Calc base'!$F278-(B278-C278-D278))</f>
        <v>900</v>
      </c>
      <c r="F278">
        <f>SUM(AH278:AS278)</f>
        <v>0</v>
      </c>
      <c r="G278">
        <f>SUM(AT278:BE278)</f>
        <v>0</v>
      </c>
      <c r="H278">
        <f>B278-G277</f>
        <v>0</v>
      </c>
      <c r="I278">
        <f>B278-G278</f>
        <v>0</v>
      </c>
      <c r="J278">
        <f>IF(AT277&lt;=0,0,IF(ROUND(AT277*(1+'Calc base'!H278),2)-MAX('Calc base'!C$12,ROUND('Calc base'!C$13*AT277,2))&lt;1,ROUND(AT277*(1+'Calc base'!H278),2),MAX('Calc base'!C$12,ROUND('Calc base'!C$13*AT277,2))))</f>
        <v>0</v>
      </c>
      <c r="K278">
        <f>IF(AU277&lt;=0,0,IF(ROUND(AU277*(1+'Calc base'!I278),2)-MAX('Calc base'!D$12,ROUND('Calc base'!D$13*AU277,2))&lt;1,ROUND(AU277*(1+'Calc base'!I278),2),MAX('Calc base'!D$12,ROUND('Calc base'!D$13*AU277,2))))</f>
        <v>0</v>
      </c>
      <c r="L278">
        <f>IF(AV277&lt;=0,0,IF(ROUND(AV277*(1+'Calc base'!J278),2)-MAX('Calc base'!E$12,ROUND('Calc base'!E$13*AV277,2))&lt;1,ROUND(AV277*(1+'Calc base'!J278),2),MAX('Calc base'!E$12,ROUND('Calc base'!E$13*AV277,2))))</f>
        <v>0</v>
      </c>
      <c r="M278">
        <f>IF(AW277&lt;=0,0,IF(ROUND(AW277*(1+'Calc base'!K278),2)-MAX('Calc base'!F$12,ROUND('Calc base'!F$13*AW277,2))&lt;1,ROUND(AW277*(1+'Calc base'!K278),2),MAX('Calc base'!F$12,ROUND('Calc base'!F$13*AW277,2))))</f>
        <v>0</v>
      </c>
      <c r="N278">
        <f>IF(AX277&lt;=0,0,IF(ROUND(AX277*(1+'Calc base'!L278),2)-MAX('Calc base'!G$12,ROUND('Calc base'!G$13*AX277,2))&lt;1,ROUND(AX277*(1+'Calc base'!L278),2),MAX('Calc base'!G$12,ROUND('Calc base'!G$13*AX277,2))))</f>
        <v>0</v>
      </c>
      <c r="O278">
        <f>IF(AY277&lt;=0,0,IF(ROUND(AY277*(1+'Calc base'!M278),2)-MAX('Calc base'!H$12,ROUND('Calc base'!H$13*AY277,2))&lt;1,ROUND(AY277*(1+'Calc base'!M278),2),MAX('Calc base'!H$12,ROUND('Calc base'!H$13*AY277,2))))</f>
        <v>0</v>
      </c>
      <c r="P278">
        <f>IF(AZ277&lt;=0,0,IF(ROUND(AZ277*(1+'Calc base'!N278),2)-MAX('Calc base'!I$12,ROUND('Calc base'!I$13*AZ277,2))&lt;1,ROUND(AZ277*(1+'Calc base'!N278),2),MAX('Calc base'!I$12,ROUND('Calc base'!I$13*AZ277,2))))</f>
        <v>0</v>
      </c>
      <c r="Q278">
        <f>IF(BA277&lt;=0,0,IF(ROUND(BA277*(1+'Calc base'!O278),2)-MAX('Calc base'!J$12,ROUND('Calc base'!J$13*BA277,2))&lt;1,ROUND(BA277*(1+'Calc base'!O278),2),MAX('Calc base'!J$12,ROUND('Calc base'!J$13*BA277,2))))</f>
        <v>0</v>
      </c>
      <c r="R278">
        <f>IF(BB277&lt;=0,0,IF(ROUND(BB277*(1+'Calc base'!P278),2)-MAX('Calc base'!K$12,ROUND('Calc base'!K$13*BB277,2))&lt;1,ROUND(BB277*(1+'Calc base'!P278),2),MAX('Calc base'!K$12,ROUND('Calc base'!K$13*BB277,2))))</f>
        <v>0</v>
      </c>
      <c r="S278">
        <f>IF(BC277&lt;=0,0,IF(ROUND(BC277*(1+'Calc base'!Q278),2)-MAX('Calc base'!L$12,ROUND('Calc base'!L$13*BC277,2))&lt;1,ROUND(BC277*(1+'Calc base'!Q278),2),MAX('Calc base'!L$12,ROUND('Calc base'!L$13*BC277,2))))</f>
        <v>0</v>
      </c>
      <c r="T278">
        <f>IF(BD277&lt;=0,0,IF(ROUND(BD277*(1+'Calc base'!R278),2)-MAX('Calc base'!M$12,ROUND('Calc base'!M$13*BD277,2))&lt;1,ROUND(BD277*(1+'Calc base'!R278),2),MAX('Calc base'!M$12,ROUND('Calc base'!M$13*BD277,2))))</f>
        <v>0</v>
      </c>
      <c r="U278">
        <f>IF(BE277&lt;=0,0,IF(ROUND(BE277*(1+'Calc base'!S278),2)-MAX('Calc base'!N$12,ROUND('Calc base'!N$13*BE277,2))&lt;1,ROUND(BE277*(1+'Calc base'!S278),2),MAX('Calc base'!N$12,ROUND('Calc base'!N$13*BE277,2))))</f>
        <v>0</v>
      </c>
      <c r="V278">
        <f>MAX(0,ROUND(AT277*(1+'Calc base'!H278),2)-J278-'Calc base'!T278)</f>
        <v>0</v>
      </c>
      <c r="W278">
        <f>MAX(0,ROUND(AU277*(1+'Calc base'!I278),2)-K278-'Calc base'!U278)</f>
        <v>0</v>
      </c>
      <c r="X278">
        <f>MAX(0,ROUND(AV277*(1+'Calc base'!J278),2)-L278-'Calc base'!V278)</f>
        <v>0</v>
      </c>
      <c r="Y278">
        <f>MAX(0,ROUND(AW277*(1+'Calc base'!K278),2)-M278-'Calc base'!W278)</f>
        <v>0</v>
      </c>
      <c r="Z278">
        <f>MAX(0,ROUND(AX277*(1+'Calc base'!L278),2)-N278-'Calc base'!X278)</f>
        <v>0</v>
      </c>
      <c r="AA278">
        <f>MAX(0,ROUND(AY277*(1+'Calc base'!M278),2)-O278-'Calc base'!Y278)</f>
        <v>0</v>
      </c>
      <c r="AB278">
        <f>MAX(0,ROUND(AZ277*(1+'Calc base'!N278),2)-P278-'Calc base'!Z278)</f>
        <v>0</v>
      </c>
      <c r="AC278">
        <f>MAX(0,ROUND(BA277*(1+'Calc base'!O278),2)-Q278-'Calc base'!AA278)</f>
        <v>0</v>
      </c>
      <c r="AD278">
        <f>MAX(0,ROUND(BB277*(1+'Calc base'!P278),2)-R278-'Calc base'!AB278)</f>
        <v>0</v>
      </c>
      <c r="AE278">
        <f>MAX(0,ROUND(BC277*(1+'Calc base'!Q278),2)-S278-'Calc base'!AC278)</f>
        <v>0</v>
      </c>
      <c r="AF278">
        <f>MAX(0,ROUND(BD277*(1+'Calc base'!R278),2)-T278-'Calc base'!AD278)</f>
        <v>0</v>
      </c>
      <c r="AG278">
        <f>MAX(0,ROUND(BE277*(1+'Calc base'!S278),2)-U278-'Calc base'!AE278)</f>
        <v>0</v>
      </c>
      <c r="AH278">
        <f>IF('Calc base'!C$14=0,0,MIN(V278,MAX(0,$E278-SUMIFS($V278:$AG278,'Calc base'!$C$17:$N$17,"&lt;"&amp;'Calc base'!C$17,'Calc base'!$C$14:$N$14,1))))</f>
        <v>0</v>
      </c>
      <c r="AI278">
        <f>IF('Calc base'!D$14=0,0,MIN(W278,MAX(0,$E278-SUMIFS($V278:$AG278,'Calc base'!$C$17:$N$17,"&lt;"&amp;'Calc base'!D$17,'Calc base'!$C$14:$N$14,1))))</f>
        <v>0</v>
      </c>
      <c r="AJ278">
        <f>IF('Calc base'!E$14=0,0,MIN(X278,MAX(0,$E278-SUMIFS($V278:$AG278,'Calc base'!$C$17:$N$17,"&lt;"&amp;'Calc base'!E$17,'Calc base'!$C$14:$N$14,1))))</f>
        <v>0</v>
      </c>
      <c r="AK278">
        <f>IF('Calc base'!F$14=0,0,MIN(Y278,MAX(0,$E278-SUMIFS($V278:$AG278,'Calc base'!$C$17:$N$17,"&lt;"&amp;'Calc base'!F$17,'Calc base'!$C$14:$N$14,1))))</f>
        <v>0</v>
      </c>
      <c r="AL278">
        <f>IF('Calc base'!G$14=0,0,MIN(Z278,MAX(0,$E278-SUMIFS($V278:$AG278,'Calc base'!$C$17:$N$17,"&lt;"&amp;'Calc base'!G$17,'Calc base'!$C$14:$N$14,1))))</f>
        <v>0</v>
      </c>
      <c r="AM278">
        <f>IF('Calc base'!H$14=0,0,MIN(AA278,MAX(0,$E278-SUMIFS($V278:$AG278,'Calc base'!$C$17:$N$17,"&lt;"&amp;'Calc base'!H$17,'Calc base'!$C$14:$N$14,1))))</f>
        <v>0</v>
      </c>
      <c r="AN278">
        <f>IF('Calc base'!I$14=0,0,MIN(AB278,MAX(0,$E278-SUMIFS($V278:$AG278,'Calc base'!$C$17:$N$17,"&lt;"&amp;'Calc base'!I$17,'Calc base'!$C$14:$N$14,1))))</f>
        <v>0</v>
      </c>
      <c r="AO278">
        <f>IF('Calc base'!J$14=0,0,MIN(AC278,MAX(0,$E278-SUMIFS($V278:$AG278,'Calc base'!$C$17:$N$17,"&lt;"&amp;'Calc base'!J$17,'Calc base'!$C$14:$N$14,1))))</f>
        <v>0</v>
      </c>
      <c r="AP278">
        <f>IF('Calc base'!K$14=0,0,MIN(AD278,MAX(0,$E278-SUMIFS($V278:$AG278,'Calc base'!$C$17:$N$17,"&lt;"&amp;'Calc base'!K$17,'Calc base'!$C$14:$N$14,1))))</f>
        <v>0</v>
      </c>
      <c r="AQ278">
        <f>IF('Calc base'!L$14=0,0,MIN(AE278,MAX(0,$E278-SUMIFS($V278:$AG278,'Calc base'!$C$17:$N$17,"&lt;"&amp;'Calc base'!L$17,'Calc base'!$C$14:$N$14,1))))</f>
        <v>0</v>
      </c>
      <c r="AR278">
        <f>IF('Calc base'!M$14=0,0,MIN(AF278,MAX(0,$E278-SUMIFS($V278:$AG278,'Calc base'!$C$17:$N$17,"&lt;"&amp;'Calc base'!M$17,'Calc base'!$C$14:$N$14,1))))</f>
        <v>0</v>
      </c>
      <c r="AS278">
        <f>IF('Calc base'!N$14=0,0,MIN(AG278,MAX(0,$E278-SUMIFS($V278:$AG278,'Calc base'!$C$17:$N$17,"&lt;"&amp;'Calc base'!N$17,'Calc base'!$C$14:$N$14,1))))</f>
        <v>0</v>
      </c>
      <c r="AT278">
        <f>V278-AH278</f>
        <v>0</v>
      </c>
      <c r="AU278">
        <f>W278-AI278</f>
        <v>0</v>
      </c>
      <c r="AV278">
        <f>X278-AJ278</f>
        <v>0</v>
      </c>
      <c r="AW278">
        <f>Y278-AK278</f>
        <v>0</v>
      </c>
      <c r="AX278">
        <f>Z278-AL278</f>
        <v>0</v>
      </c>
      <c r="AY278">
        <f>AA278-AM278</f>
        <v>0</v>
      </c>
      <c r="AZ278">
        <f>AB278-AN278</f>
        <v>0</v>
      </c>
      <c r="BA278">
        <f>AC278-AO278</f>
        <v>0</v>
      </c>
      <c r="BB278">
        <f>AD278-AP278</f>
        <v>0</v>
      </c>
      <c r="BC278">
        <f>AE278-AQ278</f>
        <v>0</v>
      </c>
      <c r="BD278">
        <f>AF278-AR278</f>
        <v>0</v>
      </c>
      <c r="BE278">
        <f>AG278-AS278</f>
        <v>0</v>
      </c>
    </row>
    <row r="279">
      <c r="A279" t="n">
        <v>249</v>
      </c>
      <c r="B279">
        <f>SUMPRODUCT(ROUND($AT278:$BE278*(1+'Calc base'!$H279:$S279),2))</f>
        <v>0</v>
      </c>
      <c r="C279">
        <f>SUM(J279:U279)</f>
        <v>0</v>
      </c>
      <c r="D279">
        <f>SUM(V279:AG279)</f>
        <v>0</v>
      </c>
      <c r="E279">
        <f>MAX(0,IF(Impostazioni!$B$7="No",'Calc base'!$C279-$C$31,'Calc base'!$C279-C279)+'Calc base'!$G279+'Calc base'!$F279-(B279-C279-D279))</f>
        <v>900</v>
      </c>
      <c r="F279">
        <f>SUM(AH279:AS279)</f>
        <v>0</v>
      </c>
      <c r="G279">
        <f>SUM(AT279:BE279)</f>
        <v>0</v>
      </c>
      <c r="H279">
        <f>B279-G278</f>
        <v>0</v>
      </c>
      <c r="I279">
        <f>B279-G279</f>
        <v>0</v>
      </c>
      <c r="J279">
        <f>IF(AT278&lt;=0,0,IF(ROUND(AT278*(1+'Calc base'!H279),2)-MAX('Calc base'!C$12,ROUND('Calc base'!C$13*AT278,2))&lt;1,ROUND(AT278*(1+'Calc base'!H279),2),MAX('Calc base'!C$12,ROUND('Calc base'!C$13*AT278,2))))</f>
        <v>0</v>
      </c>
      <c r="K279">
        <f>IF(AU278&lt;=0,0,IF(ROUND(AU278*(1+'Calc base'!I279),2)-MAX('Calc base'!D$12,ROUND('Calc base'!D$13*AU278,2))&lt;1,ROUND(AU278*(1+'Calc base'!I279),2),MAX('Calc base'!D$12,ROUND('Calc base'!D$13*AU278,2))))</f>
        <v>0</v>
      </c>
      <c r="L279">
        <f>IF(AV278&lt;=0,0,IF(ROUND(AV278*(1+'Calc base'!J279),2)-MAX('Calc base'!E$12,ROUND('Calc base'!E$13*AV278,2))&lt;1,ROUND(AV278*(1+'Calc base'!J279),2),MAX('Calc base'!E$12,ROUND('Calc base'!E$13*AV278,2))))</f>
        <v>0</v>
      </c>
      <c r="M279">
        <f>IF(AW278&lt;=0,0,IF(ROUND(AW278*(1+'Calc base'!K279),2)-MAX('Calc base'!F$12,ROUND('Calc base'!F$13*AW278,2))&lt;1,ROUND(AW278*(1+'Calc base'!K279),2),MAX('Calc base'!F$12,ROUND('Calc base'!F$13*AW278,2))))</f>
        <v>0</v>
      </c>
      <c r="N279">
        <f>IF(AX278&lt;=0,0,IF(ROUND(AX278*(1+'Calc base'!L279),2)-MAX('Calc base'!G$12,ROUND('Calc base'!G$13*AX278,2))&lt;1,ROUND(AX278*(1+'Calc base'!L279),2),MAX('Calc base'!G$12,ROUND('Calc base'!G$13*AX278,2))))</f>
        <v>0</v>
      </c>
      <c r="O279">
        <f>IF(AY278&lt;=0,0,IF(ROUND(AY278*(1+'Calc base'!M279),2)-MAX('Calc base'!H$12,ROUND('Calc base'!H$13*AY278,2))&lt;1,ROUND(AY278*(1+'Calc base'!M279),2),MAX('Calc base'!H$12,ROUND('Calc base'!H$13*AY278,2))))</f>
        <v>0</v>
      </c>
      <c r="P279">
        <f>IF(AZ278&lt;=0,0,IF(ROUND(AZ278*(1+'Calc base'!N279),2)-MAX('Calc base'!I$12,ROUND('Calc base'!I$13*AZ278,2))&lt;1,ROUND(AZ278*(1+'Calc base'!N279),2),MAX('Calc base'!I$12,ROUND('Calc base'!I$13*AZ278,2))))</f>
        <v>0</v>
      </c>
      <c r="Q279">
        <f>IF(BA278&lt;=0,0,IF(ROUND(BA278*(1+'Calc base'!O279),2)-MAX('Calc base'!J$12,ROUND('Calc base'!J$13*BA278,2))&lt;1,ROUND(BA278*(1+'Calc base'!O279),2),MAX('Calc base'!J$12,ROUND('Calc base'!J$13*BA278,2))))</f>
        <v>0</v>
      </c>
      <c r="R279">
        <f>IF(BB278&lt;=0,0,IF(ROUND(BB278*(1+'Calc base'!P279),2)-MAX('Calc base'!K$12,ROUND('Calc base'!K$13*BB278,2))&lt;1,ROUND(BB278*(1+'Calc base'!P279),2),MAX('Calc base'!K$12,ROUND('Calc base'!K$13*BB278,2))))</f>
        <v>0</v>
      </c>
      <c r="S279">
        <f>IF(BC278&lt;=0,0,IF(ROUND(BC278*(1+'Calc base'!Q279),2)-MAX('Calc base'!L$12,ROUND('Calc base'!L$13*BC278,2))&lt;1,ROUND(BC278*(1+'Calc base'!Q279),2),MAX('Calc base'!L$12,ROUND('Calc base'!L$13*BC278,2))))</f>
        <v>0</v>
      </c>
      <c r="T279">
        <f>IF(BD278&lt;=0,0,IF(ROUND(BD278*(1+'Calc base'!R279),2)-MAX('Calc base'!M$12,ROUND('Calc base'!M$13*BD278,2))&lt;1,ROUND(BD278*(1+'Calc base'!R279),2),MAX('Calc base'!M$12,ROUND('Calc base'!M$13*BD278,2))))</f>
        <v>0</v>
      </c>
      <c r="U279">
        <f>IF(BE278&lt;=0,0,IF(ROUND(BE278*(1+'Calc base'!S279),2)-MAX('Calc base'!N$12,ROUND('Calc base'!N$13*BE278,2))&lt;1,ROUND(BE278*(1+'Calc base'!S279),2),MAX('Calc base'!N$12,ROUND('Calc base'!N$13*BE278,2))))</f>
        <v>0</v>
      </c>
      <c r="V279">
        <f>MAX(0,ROUND(AT278*(1+'Calc base'!H279),2)-J279-'Calc base'!T279)</f>
        <v>0</v>
      </c>
      <c r="W279">
        <f>MAX(0,ROUND(AU278*(1+'Calc base'!I279),2)-K279-'Calc base'!U279)</f>
        <v>0</v>
      </c>
      <c r="X279">
        <f>MAX(0,ROUND(AV278*(1+'Calc base'!J279),2)-L279-'Calc base'!V279)</f>
        <v>0</v>
      </c>
      <c r="Y279">
        <f>MAX(0,ROUND(AW278*(1+'Calc base'!K279),2)-M279-'Calc base'!W279)</f>
        <v>0</v>
      </c>
      <c r="Z279">
        <f>MAX(0,ROUND(AX278*(1+'Calc base'!L279),2)-N279-'Calc base'!X279)</f>
        <v>0</v>
      </c>
      <c r="AA279">
        <f>MAX(0,ROUND(AY278*(1+'Calc base'!M279),2)-O279-'Calc base'!Y279)</f>
        <v>0</v>
      </c>
      <c r="AB279">
        <f>MAX(0,ROUND(AZ278*(1+'Calc base'!N279),2)-P279-'Calc base'!Z279)</f>
        <v>0</v>
      </c>
      <c r="AC279">
        <f>MAX(0,ROUND(BA278*(1+'Calc base'!O279),2)-Q279-'Calc base'!AA279)</f>
        <v>0</v>
      </c>
      <c r="AD279">
        <f>MAX(0,ROUND(BB278*(1+'Calc base'!P279),2)-R279-'Calc base'!AB279)</f>
        <v>0</v>
      </c>
      <c r="AE279">
        <f>MAX(0,ROUND(BC278*(1+'Calc base'!Q279),2)-S279-'Calc base'!AC279)</f>
        <v>0</v>
      </c>
      <c r="AF279">
        <f>MAX(0,ROUND(BD278*(1+'Calc base'!R279),2)-T279-'Calc base'!AD279)</f>
        <v>0</v>
      </c>
      <c r="AG279">
        <f>MAX(0,ROUND(BE278*(1+'Calc base'!S279),2)-U279-'Calc base'!AE279)</f>
        <v>0</v>
      </c>
      <c r="AH279">
        <f>IF('Calc base'!C$14=0,0,MIN(V279,MAX(0,$E279-SUMIFS($V279:$AG279,'Calc base'!$C$17:$N$17,"&lt;"&amp;'Calc base'!C$17,'Calc base'!$C$14:$N$14,1))))</f>
        <v>0</v>
      </c>
      <c r="AI279">
        <f>IF('Calc base'!D$14=0,0,MIN(W279,MAX(0,$E279-SUMIFS($V279:$AG279,'Calc base'!$C$17:$N$17,"&lt;"&amp;'Calc base'!D$17,'Calc base'!$C$14:$N$14,1))))</f>
        <v>0</v>
      </c>
      <c r="AJ279">
        <f>IF('Calc base'!E$14=0,0,MIN(X279,MAX(0,$E279-SUMIFS($V279:$AG279,'Calc base'!$C$17:$N$17,"&lt;"&amp;'Calc base'!E$17,'Calc base'!$C$14:$N$14,1))))</f>
        <v>0</v>
      </c>
      <c r="AK279">
        <f>IF('Calc base'!F$14=0,0,MIN(Y279,MAX(0,$E279-SUMIFS($V279:$AG279,'Calc base'!$C$17:$N$17,"&lt;"&amp;'Calc base'!F$17,'Calc base'!$C$14:$N$14,1))))</f>
        <v>0</v>
      </c>
      <c r="AL279">
        <f>IF('Calc base'!G$14=0,0,MIN(Z279,MAX(0,$E279-SUMIFS($V279:$AG279,'Calc base'!$C$17:$N$17,"&lt;"&amp;'Calc base'!G$17,'Calc base'!$C$14:$N$14,1))))</f>
        <v>0</v>
      </c>
      <c r="AM279">
        <f>IF('Calc base'!H$14=0,0,MIN(AA279,MAX(0,$E279-SUMIFS($V279:$AG279,'Calc base'!$C$17:$N$17,"&lt;"&amp;'Calc base'!H$17,'Calc base'!$C$14:$N$14,1))))</f>
        <v>0</v>
      </c>
      <c r="AN279">
        <f>IF('Calc base'!I$14=0,0,MIN(AB279,MAX(0,$E279-SUMIFS($V279:$AG279,'Calc base'!$C$17:$N$17,"&lt;"&amp;'Calc base'!I$17,'Calc base'!$C$14:$N$14,1))))</f>
        <v>0</v>
      </c>
      <c r="AO279">
        <f>IF('Calc base'!J$14=0,0,MIN(AC279,MAX(0,$E279-SUMIFS($V279:$AG279,'Calc base'!$C$17:$N$17,"&lt;"&amp;'Calc base'!J$17,'Calc base'!$C$14:$N$14,1))))</f>
        <v>0</v>
      </c>
      <c r="AP279">
        <f>IF('Calc base'!K$14=0,0,MIN(AD279,MAX(0,$E279-SUMIFS($V279:$AG279,'Calc base'!$C$17:$N$17,"&lt;"&amp;'Calc base'!K$17,'Calc base'!$C$14:$N$14,1))))</f>
        <v>0</v>
      </c>
      <c r="AQ279">
        <f>IF('Calc base'!L$14=0,0,MIN(AE279,MAX(0,$E279-SUMIFS($V279:$AG279,'Calc base'!$C$17:$N$17,"&lt;"&amp;'Calc base'!L$17,'Calc base'!$C$14:$N$14,1))))</f>
        <v>0</v>
      </c>
      <c r="AR279">
        <f>IF('Calc base'!M$14=0,0,MIN(AF279,MAX(0,$E279-SUMIFS($V279:$AG279,'Calc base'!$C$17:$N$17,"&lt;"&amp;'Calc base'!M$17,'Calc base'!$C$14:$N$14,1))))</f>
        <v>0</v>
      </c>
      <c r="AS279">
        <f>IF('Calc base'!N$14=0,0,MIN(AG279,MAX(0,$E279-SUMIFS($V279:$AG279,'Calc base'!$C$17:$N$17,"&lt;"&amp;'Calc base'!N$17,'Calc base'!$C$14:$N$14,1))))</f>
        <v>0</v>
      </c>
      <c r="AT279">
        <f>V279-AH279</f>
        <v>0</v>
      </c>
      <c r="AU279">
        <f>W279-AI279</f>
        <v>0</v>
      </c>
      <c r="AV279">
        <f>X279-AJ279</f>
        <v>0</v>
      </c>
      <c r="AW279">
        <f>Y279-AK279</f>
        <v>0</v>
      </c>
      <c r="AX279">
        <f>Z279-AL279</f>
        <v>0</v>
      </c>
      <c r="AY279">
        <f>AA279-AM279</f>
        <v>0</v>
      </c>
      <c r="AZ279">
        <f>AB279-AN279</f>
        <v>0</v>
      </c>
      <c r="BA279">
        <f>AC279-AO279</f>
        <v>0</v>
      </c>
      <c r="BB279">
        <f>AD279-AP279</f>
        <v>0</v>
      </c>
      <c r="BC279">
        <f>AE279-AQ279</f>
        <v>0</v>
      </c>
      <c r="BD279">
        <f>AF279-AR279</f>
        <v>0</v>
      </c>
      <c r="BE279">
        <f>AG279-AS279</f>
        <v>0</v>
      </c>
    </row>
    <row r="280">
      <c r="A280" t="n">
        <v>250</v>
      </c>
      <c r="B280">
        <f>SUMPRODUCT(ROUND($AT279:$BE279*(1+'Calc base'!$H280:$S280),2))</f>
        <v>0</v>
      </c>
      <c r="C280">
        <f>SUM(J280:U280)</f>
        <v>0</v>
      </c>
      <c r="D280">
        <f>SUM(V280:AG280)</f>
        <v>0</v>
      </c>
      <c r="E280">
        <f>MAX(0,IF(Impostazioni!$B$7="No",'Calc base'!$C280-$C$31,'Calc base'!$C280-C280)+'Calc base'!$G280+'Calc base'!$F280-(B280-C280-D280))</f>
        <v>900</v>
      </c>
      <c r="F280">
        <f>SUM(AH280:AS280)</f>
        <v>0</v>
      </c>
      <c r="G280">
        <f>SUM(AT280:BE280)</f>
        <v>0</v>
      </c>
      <c r="H280">
        <f>B280-G279</f>
        <v>0</v>
      </c>
      <c r="I280">
        <f>B280-G280</f>
        <v>0</v>
      </c>
      <c r="J280">
        <f>IF(AT279&lt;=0,0,IF(ROUND(AT279*(1+'Calc base'!H280),2)-MAX('Calc base'!C$12,ROUND('Calc base'!C$13*AT279,2))&lt;1,ROUND(AT279*(1+'Calc base'!H280),2),MAX('Calc base'!C$12,ROUND('Calc base'!C$13*AT279,2))))</f>
        <v>0</v>
      </c>
      <c r="K280">
        <f>IF(AU279&lt;=0,0,IF(ROUND(AU279*(1+'Calc base'!I280),2)-MAX('Calc base'!D$12,ROUND('Calc base'!D$13*AU279,2))&lt;1,ROUND(AU279*(1+'Calc base'!I280),2),MAX('Calc base'!D$12,ROUND('Calc base'!D$13*AU279,2))))</f>
        <v>0</v>
      </c>
      <c r="L280">
        <f>IF(AV279&lt;=0,0,IF(ROUND(AV279*(1+'Calc base'!J280),2)-MAX('Calc base'!E$12,ROUND('Calc base'!E$13*AV279,2))&lt;1,ROUND(AV279*(1+'Calc base'!J280),2),MAX('Calc base'!E$12,ROUND('Calc base'!E$13*AV279,2))))</f>
        <v>0</v>
      </c>
      <c r="M280">
        <f>IF(AW279&lt;=0,0,IF(ROUND(AW279*(1+'Calc base'!K280),2)-MAX('Calc base'!F$12,ROUND('Calc base'!F$13*AW279,2))&lt;1,ROUND(AW279*(1+'Calc base'!K280),2),MAX('Calc base'!F$12,ROUND('Calc base'!F$13*AW279,2))))</f>
        <v>0</v>
      </c>
      <c r="N280">
        <f>IF(AX279&lt;=0,0,IF(ROUND(AX279*(1+'Calc base'!L280),2)-MAX('Calc base'!G$12,ROUND('Calc base'!G$13*AX279,2))&lt;1,ROUND(AX279*(1+'Calc base'!L280),2),MAX('Calc base'!G$12,ROUND('Calc base'!G$13*AX279,2))))</f>
        <v>0</v>
      </c>
      <c r="O280">
        <f>IF(AY279&lt;=0,0,IF(ROUND(AY279*(1+'Calc base'!M280),2)-MAX('Calc base'!H$12,ROUND('Calc base'!H$13*AY279,2))&lt;1,ROUND(AY279*(1+'Calc base'!M280),2),MAX('Calc base'!H$12,ROUND('Calc base'!H$13*AY279,2))))</f>
        <v>0</v>
      </c>
      <c r="P280">
        <f>IF(AZ279&lt;=0,0,IF(ROUND(AZ279*(1+'Calc base'!N280),2)-MAX('Calc base'!I$12,ROUND('Calc base'!I$13*AZ279,2))&lt;1,ROUND(AZ279*(1+'Calc base'!N280),2),MAX('Calc base'!I$12,ROUND('Calc base'!I$13*AZ279,2))))</f>
        <v>0</v>
      </c>
      <c r="Q280">
        <f>IF(BA279&lt;=0,0,IF(ROUND(BA279*(1+'Calc base'!O280),2)-MAX('Calc base'!J$12,ROUND('Calc base'!J$13*BA279,2))&lt;1,ROUND(BA279*(1+'Calc base'!O280),2),MAX('Calc base'!J$12,ROUND('Calc base'!J$13*BA279,2))))</f>
        <v>0</v>
      </c>
      <c r="R280">
        <f>IF(BB279&lt;=0,0,IF(ROUND(BB279*(1+'Calc base'!P280),2)-MAX('Calc base'!K$12,ROUND('Calc base'!K$13*BB279,2))&lt;1,ROUND(BB279*(1+'Calc base'!P280),2),MAX('Calc base'!K$12,ROUND('Calc base'!K$13*BB279,2))))</f>
        <v>0</v>
      </c>
      <c r="S280">
        <f>IF(BC279&lt;=0,0,IF(ROUND(BC279*(1+'Calc base'!Q280),2)-MAX('Calc base'!L$12,ROUND('Calc base'!L$13*BC279,2))&lt;1,ROUND(BC279*(1+'Calc base'!Q280),2),MAX('Calc base'!L$12,ROUND('Calc base'!L$13*BC279,2))))</f>
        <v>0</v>
      </c>
      <c r="T280">
        <f>IF(BD279&lt;=0,0,IF(ROUND(BD279*(1+'Calc base'!R280),2)-MAX('Calc base'!M$12,ROUND('Calc base'!M$13*BD279,2))&lt;1,ROUND(BD279*(1+'Calc base'!R280),2),MAX('Calc base'!M$12,ROUND('Calc base'!M$13*BD279,2))))</f>
        <v>0</v>
      </c>
      <c r="U280">
        <f>IF(BE279&lt;=0,0,IF(ROUND(BE279*(1+'Calc base'!S280),2)-MAX('Calc base'!N$12,ROUND('Calc base'!N$13*BE279,2))&lt;1,ROUND(BE279*(1+'Calc base'!S280),2),MAX('Calc base'!N$12,ROUND('Calc base'!N$13*BE279,2))))</f>
        <v>0</v>
      </c>
      <c r="V280">
        <f>MAX(0,ROUND(AT279*(1+'Calc base'!H280),2)-J280-'Calc base'!T280)</f>
        <v>0</v>
      </c>
      <c r="W280">
        <f>MAX(0,ROUND(AU279*(1+'Calc base'!I280),2)-K280-'Calc base'!U280)</f>
        <v>0</v>
      </c>
      <c r="X280">
        <f>MAX(0,ROUND(AV279*(1+'Calc base'!J280),2)-L280-'Calc base'!V280)</f>
        <v>0</v>
      </c>
      <c r="Y280">
        <f>MAX(0,ROUND(AW279*(1+'Calc base'!K280),2)-M280-'Calc base'!W280)</f>
        <v>0</v>
      </c>
      <c r="Z280">
        <f>MAX(0,ROUND(AX279*(1+'Calc base'!L280),2)-N280-'Calc base'!X280)</f>
        <v>0</v>
      </c>
      <c r="AA280">
        <f>MAX(0,ROUND(AY279*(1+'Calc base'!M280),2)-O280-'Calc base'!Y280)</f>
        <v>0</v>
      </c>
      <c r="AB280">
        <f>MAX(0,ROUND(AZ279*(1+'Calc base'!N280),2)-P280-'Calc base'!Z280)</f>
        <v>0</v>
      </c>
      <c r="AC280">
        <f>MAX(0,ROUND(BA279*(1+'Calc base'!O280),2)-Q280-'Calc base'!AA280)</f>
        <v>0</v>
      </c>
      <c r="AD280">
        <f>MAX(0,ROUND(BB279*(1+'Calc base'!P280),2)-R280-'Calc base'!AB280)</f>
        <v>0</v>
      </c>
      <c r="AE280">
        <f>MAX(0,ROUND(BC279*(1+'Calc base'!Q280),2)-S280-'Calc base'!AC280)</f>
        <v>0</v>
      </c>
      <c r="AF280">
        <f>MAX(0,ROUND(BD279*(1+'Calc base'!R280),2)-T280-'Calc base'!AD280)</f>
        <v>0</v>
      </c>
      <c r="AG280">
        <f>MAX(0,ROUND(BE279*(1+'Calc base'!S280),2)-U280-'Calc base'!AE280)</f>
        <v>0</v>
      </c>
      <c r="AH280">
        <f>IF('Calc base'!C$14=0,0,MIN(V280,MAX(0,$E280-SUMIFS($V280:$AG280,'Calc base'!$C$17:$N$17,"&lt;"&amp;'Calc base'!C$17,'Calc base'!$C$14:$N$14,1))))</f>
        <v>0</v>
      </c>
      <c r="AI280">
        <f>IF('Calc base'!D$14=0,0,MIN(W280,MAX(0,$E280-SUMIFS($V280:$AG280,'Calc base'!$C$17:$N$17,"&lt;"&amp;'Calc base'!D$17,'Calc base'!$C$14:$N$14,1))))</f>
        <v>0</v>
      </c>
      <c r="AJ280">
        <f>IF('Calc base'!E$14=0,0,MIN(X280,MAX(0,$E280-SUMIFS($V280:$AG280,'Calc base'!$C$17:$N$17,"&lt;"&amp;'Calc base'!E$17,'Calc base'!$C$14:$N$14,1))))</f>
        <v>0</v>
      </c>
      <c r="AK280">
        <f>IF('Calc base'!F$14=0,0,MIN(Y280,MAX(0,$E280-SUMIFS($V280:$AG280,'Calc base'!$C$17:$N$17,"&lt;"&amp;'Calc base'!F$17,'Calc base'!$C$14:$N$14,1))))</f>
        <v>0</v>
      </c>
      <c r="AL280">
        <f>IF('Calc base'!G$14=0,0,MIN(Z280,MAX(0,$E280-SUMIFS($V280:$AG280,'Calc base'!$C$17:$N$17,"&lt;"&amp;'Calc base'!G$17,'Calc base'!$C$14:$N$14,1))))</f>
        <v>0</v>
      </c>
      <c r="AM280">
        <f>IF('Calc base'!H$14=0,0,MIN(AA280,MAX(0,$E280-SUMIFS($V280:$AG280,'Calc base'!$C$17:$N$17,"&lt;"&amp;'Calc base'!H$17,'Calc base'!$C$14:$N$14,1))))</f>
        <v>0</v>
      </c>
      <c r="AN280">
        <f>IF('Calc base'!I$14=0,0,MIN(AB280,MAX(0,$E280-SUMIFS($V280:$AG280,'Calc base'!$C$17:$N$17,"&lt;"&amp;'Calc base'!I$17,'Calc base'!$C$14:$N$14,1))))</f>
        <v>0</v>
      </c>
      <c r="AO280">
        <f>IF('Calc base'!J$14=0,0,MIN(AC280,MAX(0,$E280-SUMIFS($V280:$AG280,'Calc base'!$C$17:$N$17,"&lt;"&amp;'Calc base'!J$17,'Calc base'!$C$14:$N$14,1))))</f>
        <v>0</v>
      </c>
      <c r="AP280">
        <f>IF('Calc base'!K$14=0,0,MIN(AD280,MAX(0,$E280-SUMIFS($V280:$AG280,'Calc base'!$C$17:$N$17,"&lt;"&amp;'Calc base'!K$17,'Calc base'!$C$14:$N$14,1))))</f>
        <v>0</v>
      </c>
      <c r="AQ280">
        <f>IF('Calc base'!L$14=0,0,MIN(AE280,MAX(0,$E280-SUMIFS($V280:$AG280,'Calc base'!$C$17:$N$17,"&lt;"&amp;'Calc base'!L$17,'Calc base'!$C$14:$N$14,1))))</f>
        <v>0</v>
      </c>
      <c r="AR280">
        <f>IF('Calc base'!M$14=0,0,MIN(AF280,MAX(0,$E280-SUMIFS($V280:$AG280,'Calc base'!$C$17:$N$17,"&lt;"&amp;'Calc base'!M$17,'Calc base'!$C$14:$N$14,1))))</f>
        <v>0</v>
      </c>
      <c r="AS280">
        <f>IF('Calc base'!N$14=0,0,MIN(AG280,MAX(0,$E280-SUMIFS($V280:$AG280,'Calc base'!$C$17:$N$17,"&lt;"&amp;'Calc base'!N$17,'Calc base'!$C$14:$N$14,1))))</f>
        <v>0</v>
      </c>
      <c r="AT280">
        <f>V280-AH280</f>
        <v>0</v>
      </c>
      <c r="AU280">
        <f>W280-AI280</f>
        <v>0</v>
      </c>
      <c r="AV280">
        <f>X280-AJ280</f>
        <v>0</v>
      </c>
      <c r="AW280">
        <f>Y280-AK280</f>
        <v>0</v>
      </c>
      <c r="AX280">
        <f>Z280-AL280</f>
        <v>0</v>
      </c>
      <c r="AY280">
        <f>AA280-AM280</f>
        <v>0</v>
      </c>
      <c r="AZ280">
        <f>AB280-AN280</f>
        <v>0</v>
      </c>
      <c r="BA280">
        <f>AC280-AO280</f>
        <v>0</v>
      </c>
      <c r="BB280">
        <f>AD280-AP280</f>
        <v>0</v>
      </c>
      <c r="BC280">
        <f>AE280-AQ280</f>
        <v>0</v>
      </c>
      <c r="BD280">
        <f>AF280-AR280</f>
        <v>0</v>
      </c>
      <c r="BE280">
        <f>AG280-AS280</f>
        <v>0</v>
      </c>
    </row>
    <row r="281">
      <c r="A281" t="n">
        <v>251</v>
      </c>
      <c r="B281">
        <f>SUMPRODUCT(ROUND($AT280:$BE280*(1+'Calc base'!$H281:$S281),2))</f>
        <v>0</v>
      </c>
      <c r="C281">
        <f>SUM(J281:U281)</f>
        <v>0</v>
      </c>
      <c r="D281">
        <f>SUM(V281:AG281)</f>
        <v>0</v>
      </c>
      <c r="E281">
        <f>MAX(0,IF(Impostazioni!$B$7="No",'Calc base'!$C281-$C$31,'Calc base'!$C281-C281)+'Calc base'!$G281+'Calc base'!$F281-(B281-C281-D281))</f>
        <v>900</v>
      </c>
      <c r="F281">
        <f>SUM(AH281:AS281)</f>
        <v>0</v>
      </c>
      <c r="G281">
        <f>SUM(AT281:BE281)</f>
        <v>0</v>
      </c>
      <c r="H281">
        <f>B281-G280</f>
        <v>0</v>
      </c>
      <c r="I281">
        <f>B281-G281</f>
        <v>0</v>
      </c>
      <c r="J281">
        <f>IF(AT280&lt;=0,0,IF(ROUND(AT280*(1+'Calc base'!H281),2)-MAX('Calc base'!C$12,ROUND('Calc base'!C$13*AT280,2))&lt;1,ROUND(AT280*(1+'Calc base'!H281),2),MAX('Calc base'!C$12,ROUND('Calc base'!C$13*AT280,2))))</f>
        <v>0</v>
      </c>
      <c r="K281">
        <f>IF(AU280&lt;=0,0,IF(ROUND(AU280*(1+'Calc base'!I281),2)-MAX('Calc base'!D$12,ROUND('Calc base'!D$13*AU280,2))&lt;1,ROUND(AU280*(1+'Calc base'!I281),2),MAX('Calc base'!D$12,ROUND('Calc base'!D$13*AU280,2))))</f>
        <v>0</v>
      </c>
      <c r="L281">
        <f>IF(AV280&lt;=0,0,IF(ROUND(AV280*(1+'Calc base'!J281),2)-MAX('Calc base'!E$12,ROUND('Calc base'!E$13*AV280,2))&lt;1,ROUND(AV280*(1+'Calc base'!J281),2),MAX('Calc base'!E$12,ROUND('Calc base'!E$13*AV280,2))))</f>
        <v>0</v>
      </c>
      <c r="M281">
        <f>IF(AW280&lt;=0,0,IF(ROUND(AW280*(1+'Calc base'!K281),2)-MAX('Calc base'!F$12,ROUND('Calc base'!F$13*AW280,2))&lt;1,ROUND(AW280*(1+'Calc base'!K281),2),MAX('Calc base'!F$12,ROUND('Calc base'!F$13*AW280,2))))</f>
        <v>0</v>
      </c>
      <c r="N281">
        <f>IF(AX280&lt;=0,0,IF(ROUND(AX280*(1+'Calc base'!L281),2)-MAX('Calc base'!G$12,ROUND('Calc base'!G$13*AX280,2))&lt;1,ROUND(AX280*(1+'Calc base'!L281),2),MAX('Calc base'!G$12,ROUND('Calc base'!G$13*AX280,2))))</f>
        <v>0</v>
      </c>
      <c r="O281">
        <f>IF(AY280&lt;=0,0,IF(ROUND(AY280*(1+'Calc base'!M281),2)-MAX('Calc base'!H$12,ROUND('Calc base'!H$13*AY280,2))&lt;1,ROUND(AY280*(1+'Calc base'!M281),2),MAX('Calc base'!H$12,ROUND('Calc base'!H$13*AY280,2))))</f>
        <v>0</v>
      </c>
      <c r="P281">
        <f>IF(AZ280&lt;=0,0,IF(ROUND(AZ280*(1+'Calc base'!N281),2)-MAX('Calc base'!I$12,ROUND('Calc base'!I$13*AZ280,2))&lt;1,ROUND(AZ280*(1+'Calc base'!N281),2),MAX('Calc base'!I$12,ROUND('Calc base'!I$13*AZ280,2))))</f>
        <v>0</v>
      </c>
      <c r="Q281">
        <f>IF(BA280&lt;=0,0,IF(ROUND(BA280*(1+'Calc base'!O281),2)-MAX('Calc base'!J$12,ROUND('Calc base'!J$13*BA280,2))&lt;1,ROUND(BA280*(1+'Calc base'!O281),2),MAX('Calc base'!J$12,ROUND('Calc base'!J$13*BA280,2))))</f>
        <v>0</v>
      </c>
      <c r="R281">
        <f>IF(BB280&lt;=0,0,IF(ROUND(BB280*(1+'Calc base'!P281),2)-MAX('Calc base'!K$12,ROUND('Calc base'!K$13*BB280,2))&lt;1,ROUND(BB280*(1+'Calc base'!P281),2),MAX('Calc base'!K$12,ROUND('Calc base'!K$13*BB280,2))))</f>
        <v>0</v>
      </c>
      <c r="S281">
        <f>IF(BC280&lt;=0,0,IF(ROUND(BC280*(1+'Calc base'!Q281),2)-MAX('Calc base'!L$12,ROUND('Calc base'!L$13*BC280,2))&lt;1,ROUND(BC280*(1+'Calc base'!Q281),2),MAX('Calc base'!L$12,ROUND('Calc base'!L$13*BC280,2))))</f>
        <v>0</v>
      </c>
      <c r="T281">
        <f>IF(BD280&lt;=0,0,IF(ROUND(BD280*(1+'Calc base'!R281),2)-MAX('Calc base'!M$12,ROUND('Calc base'!M$13*BD280,2))&lt;1,ROUND(BD280*(1+'Calc base'!R281),2),MAX('Calc base'!M$12,ROUND('Calc base'!M$13*BD280,2))))</f>
        <v>0</v>
      </c>
      <c r="U281">
        <f>IF(BE280&lt;=0,0,IF(ROUND(BE280*(1+'Calc base'!S281),2)-MAX('Calc base'!N$12,ROUND('Calc base'!N$13*BE280,2))&lt;1,ROUND(BE280*(1+'Calc base'!S281),2),MAX('Calc base'!N$12,ROUND('Calc base'!N$13*BE280,2))))</f>
        <v>0</v>
      </c>
      <c r="V281">
        <f>MAX(0,ROUND(AT280*(1+'Calc base'!H281),2)-J281-'Calc base'!T281)</f>
        <v>0</v>
      </c>
      <c r="W281">
        <f>MAX(0,ROUND(AU280*(1+'Calc base'!I281),2)-K281-'Calc base'!U281)</f>
        <v>0</v>
      </c>
      <c r="X281">
        <f>MAX(0,ROUND(AV280*(1+'Calc base'!J281),2)-L281-'Calc base'!V281)</f>
        <v>0</v>
      </c>
      <c r="Y281">
        <f>MAX(0,ROUND(AW280*(1+'Calc base'!K281),2)-M281-'Calc base'!W281)</f>
        <v>0</v>
      </c>
      <c r="Z281">
        <f>MAX(0,ROUND(AX280*(1+'Calc base'!L281),2)-N281-'Calc base'!X281)</f>
        <v>0</v>
      </c>
      <c r="AA281">
        <f>MAX(0,ROUND(AY280*(1+'Calc base'!M281),2)-O281-'Calc base'!Y281)</f>
        <v>0</v>
      </c>
      <c r="AB281">
        <f>MAX(0,ROUND(AZ280*(1+'Calc base'!N281),2)-P281-'Calc base'!Z281)</f>
        <v>0</v>
      </c>
      <c r="AC281">
        <f>MAX(0,ROUND(BA280*(1+'Calc base'!O281),2)-Q281-'Calc base'!AA281)</f>
        <v>0</v>
      </c>
      <c r="AD281">
        <f>MAX(0,ROUND(BB280*(1+'Calc base'!P281),2)-R281-'Calc base'!AB281)</f>
        <v>0</v>
      </c>
      <c r="AE281">
        <f>MAX(0,ROUND(BC280*(1+'Calc base'!Q281),2)-S281-'Calc base'!AC281)</f>
        <v>0</v>
      </c>
      <c r="AF281">
        <f>MAX(0,ROUND(BD280*(1+'Calc base'!R281),2)-T281-'Calc base'!AD281)</f>
        <v>0</v>
      </c>
      <c r="AG281">
        <f>MAX(0,ROUND(BE280*(1+'Calc base'!S281),2)-U281-'Calc base'!AE281)</f>
        <v>0</v>
      </c>
      <c r="AH281">
        <f>IF('Calc base'!C$14=0,0,MIN(V281,MAX(0,$E281-SUMIFS($V281:$AG281,'Calc base'!$C$17:$N$17,"&lt;"&amp;'Calc base'!C$17,'Calc base'!$C$14:$N$14,1))))</f>
        <v>0</v>
      </c>
      <c r="AI281">
        <f>IF('Calc base'!D$14=0,0,MIN(W281,MAX(0,$E281-SUMIFS($V281:$AG281,'Calc base'!$C$17:$N$17,"&lt;"&amp;'Calc base'!D$17,'Calc base'!$C$14:$N$14,1))))</f>
        <v>0</v>
      </c>
      <c r="AJ281">
        <f>IF('Calc base'!E$14=0,0,MIN(X281,MAX(0,$E281-SUMIFS($V281:$AG281,'Calc base'!$C$17:$N$17,"&lt;"&amp;'Calc base'!E$17,'Calc base'!$C$14:$N$14,1))))</f>
        <v>0</v>
      </c>
      <c r="AK281">
        <f>IF('Calc base'!F$14=0,0,MIN(Y281,MAX(0,$E281-SUMIFS($V281:$AG281,'Calc base'!$C$17:$N$17,"&lt;"&amp;'Calc base'!F$17,'Calc base'!$C$14:$N$14,1))))</f>
        <v>0</v>
      </c>
      <c r="AL281">
        <f>IF('Calc base'!G$14=0,0,MIN(Z281,MAX(0,$E281-SUMIFS($V281:$AG281,'Calc base'!$C$17:$N$17,"&lt;"&amp;'Calc base'!G$17,'Calc base'!$C$14:$N$14,1))))</f>
        <v>0</v>
      </c>
      <c r="AM281">
        <f>IF('Calc base'!H$14=0,0,MIN(AA281,MAX(0,$E281-SUMIFS($V281:$AG281,'Calc base'!$C$17:$N$17,"&lt;"&amp;'Calc base'!H$17,'Calc base'!$C$14:$N$14,1))))</f>
        <v>0</v>
      </c>
      <c r="AN281">
        <f>IF('Calc base'!I$14=0,0,MIN(AB281,MAX(0,$E281-SUMIFS($V281:$AG281,'Calc base'!$C$17:$N$17,"&lt;"&amp;'Calc base'!I$17,'Calc base'!$C$14:$N$14,1))))</f>
        <v>0</v>
      </c>
      <c r="AO281">
        <f>IF('Calc base'!J$14=0,0,MIN(AC281,MAX(0,$E281-SUMIFS($V281:$AG281,'Calc base'!$C$17:$N$17,"&lt;"&amp;'Calc base'!J$17,'Calc base'!$C$14:$N$14,1))))</f>
        <v>0</v>
      </c>
      <c r="AP281">
        <f>IF('Calc base'!K$14=0,0,MIN(AD281,MAX(0,$E281-SUMIFS($V281:$AG281,'Calc base'!$C$17:$N$17,"&lt;"&amp;'Calc base'!K$17,'Calc base'!$C$14:$N$14,1))))</f>
        <v>0</v>
      </c>
      <c r="AQ281">
        <f>IF('Calc base'!L$14=0,0,MIN(AE281,MAX(0,$E281-SUMIFS($V281:$AG281,'Calc base'!$C$17:$N$17,"&lt;"&amp;'Calc base'!L$17,'Calc base'!$C$14:$N$14,1))))</f>
        <v>0</v>
      </c>
      <c r="AR281">
        <f>IF('Calc base'!M$14=0,0,MIN(AF281,MAX(0,$E281-SUMIFS($V281:$AG281,'Calc base'!$C$17:$N$17,"&lt;"&amp;'Calc base'!M$17,'Calc base'!$C$14:$N$14,1))))</f>
        <v>0</v>
      </c>
      <c r="AS281">
        <f>IF('Calc base'!N$14=0,0,MIN(AG281,MAX(0,$E281-SUMIFS($V281:$AG281,'Calc base'!$C$17:$N$17,"&lt;"&amp;'Calc base'!N$17,'Calc base'!$C$14:$N$14,1))))</f>
        <v>0</v>
      </c>
      <c r="AT281">
        <f>V281-AH281</f>
        <v>0</v>
      </c>
      <c r="AU281">
        <f>W281-AI281</f>
        <v>0</v>
      </c>
      <c r="AV281">
        <f>X281-AJ281</f>
        <v>0</v>
      </c>
      <c r="AW281">
        <f>Y281-AK281</f>
        <v>0</v>
      </c>
      <c r="AX281">
        <f>Z281-AL281</f>
        <v>0</v>
      </c>
      <c r="AY281">
        <f>AA281-AM281</f>
        <v>0</v>
      </c>
      <c r="AZ281">
        <f>AB281-AN281</f>
        <v>0</v>
      </c>
      <c r="BA281">
        <f>AC281-AO281</f>
        <v>0</v>
      </c>
      <c r="BB281">
        <f>AD281-AP281</f>
        <v>0</v>
      </c>
      <c r="BC281">
        <f>AE281-AQ281</f>
        <v>0</v>
      </c>
      <c r="BD281">
        <f>AF281-AR281</f>
        <v>0</v>
      </c>
      <c r="BE281">
        <f>AG281-AS281</f>
        <v>0</v>
      </c>
    </row>
    <row r="282">
      <c r="A282" t="n">
        <v>252</v>
      </c>
      <c r="B282">
        <f>SUMPRODUCT(ROUND($AT281:$BE281*(1+'Calc base'!$H282:$S282),2))</f>
        <v>0</v>
      </c>
      <c r="C282">
        <f>SUM(J282:U282)</f>
        <v>0</v>
      </c>
      <c r="D282">
        <f>SUM(V282:AG282)</f>
        <v>0</v>
      </c>
      <c r="E282">
        <f>MAX(0,IF(Impostazioni!$B$7="No",'Calc base'!$C282-$C$31,'Calc base'!$C282-C282)+'Calc base'!$G282+'Calc base'!$F282-(B282-C282-D282))</f>
        <v>900</v>
      </c>
      <c r="F282">
        <f>SUM(AH282:AS282)</f>
        <v>0</v>
      </c>
      <c r="G282">
        <f>SUM(AT282:BE282)</f>
        <v>0</v>
      </c>
      <c r="H282">
        <f>B282-G281</f>
        <v>0</v>
      </c>
      <c r="I282">
        <f>B282-G282</f>
        <v>0</v>
      </c>
      <c r="J282">
        <f>IF(AT281&lt;=0,0,IF(ROUND(AT281*(1+'Calc base'!H282),2)-MAX('Calc base'!C$12,ROUND('Calc base'!C$13*AT281,2))&lt;1,ROUND(AT281*(1+'Calc base'!H282),2),MAX('Calc base'!C$12,ROUND('Calc base'!C$13*AT281,2))))</f>
        <v>0</v>
      </c>
      <c r="K282">
        <f>IF(AU281&lt;=0,0,IF(ROUND(AU281*(1+'Calc base'!I282),2)-MAX('Calc base'!D$12,ROUND('Calc base'!D$13*AU281,2))&lt;1,ROUND(AU281*(1+'Calc base'!I282),2),MAX('Calc base'!D$12,ROUND('Calc base'!D$13*AU281,2))))</f>
        <v>0</v>
      </c>
      <c r="L282">
        <f>IF(AV281&lt;=0,0,IF(ROUND(AV281*(1+'Calc base'!J282),2)-MAX('Calc base'!E$12,ROUND('Calc base'!E$13*AV281,2))&lt;1,ROUND(AV281*(1+'Calc base'!J282),2),MAX('Calc base'!E$12,ROUND('Calc base'!E$13*AV281,2))))</f>
        <v>0</v>
      </c>
      <c r="M282">
        <f>IF(AW281&lt;=0,0,IF(ROUND(AW281*(1+'Calc base'!K282),2)-MAX('Calc base'!F$12,ROUND('Calc base'!F$13*AW281,2))&lt;1,ROUND(AW281*(1+'Calc base'!K282),2),MAX('Calc base'!F$12,ROUND('Calc base'!F$13*AW281,2))))</f>
        <v>0</v>
      </c>
      <c r="N282">
        <f>IF(AX281&lt;=0,0,IF(ROUND(AX281*(1+'Calc base'!L282),2)-MAX('Calc base'!G$12,ROUND('Calc base'!G$13*AX281,2))&lt;1,ROUND(AX281*(1+'Calc base'!L282),2),MAX('Calc base'!G$12,ROUND('Calc base'!G$13*AX281,2))))</f>
        <v>0</v>
      </c>
      <c r="O282">
        <f>IF(AY281&lt;=0,0,IF(ROUND(AY281*(1+'Calc base'!M282),2)-MAX('Calc base'!H$12,ROUND('Calc base'!H$13*AY281,2))&lt;1,ROUND(AY281*(1+'Calc base'!M282),2),MAX('Calc base'!H$12,ROUND('Calc base'!H$13*AY281,2))))</f>
        <v>0</v>
      </c>
      <c r="P282">
        <f>IF(AZ281&lt;=0,0,IF(ROUND(AZ281*(1+'Calc base'!N282),2)-MAX('Calc base'!I$12,ROUND('Calc base'!I$13*AZ281,2))&lt;1,ROUND(AZ281*(1+'Calc base'!N282),2),MAX('Calc base'!I$12,ROUND('Calc base'!I$13*AZ281,2))))</f>
        <v>0</v>
      </c>
      <c r="Q282">
        <f>IF(BA281&lt;=0,0,IF(ROUND(BA281*(1+'Calc base'!O282),2)-MAX('Calc base'!J$12,ROUND('Calc base'!J$13*BA281,2))&lt;1,ROUND(BA281*(1+'Calc base'!O282),2),MAX('Calc base'!J$12,ROUND('Calc base'!J$13*BA281,2))))</f>
        <v>0</v>
      </c>
      <c r="R282">
        <f>IF(BB281&lt;=0,0,IF(ROUND(BB281*(1+'Calc base'!P282),2)-MAX('Calc base'!K$12,ROUND('Calc base'!K$13*BB281,2))&lt;1,ROUND(BB281*(1+'Calc base'!P282),2),MAX('Calc base'!K$12,ROUND('Calc base'!K$13*BB281,2))))</f>
        <v>0</v>
      </c>
      <c r="S282">
        <f>IF(BC281&lt;=0,0,IF(ROUND(BC281*(1+'Calc base'!Q282),2)-MAX('Calc base'!L$12,ROUND('Calc base'!L$13*BC281,2))&lt;1,ROUND(BC281*(1+'Calc base'!Q282),2),MAX('Calc base'!L$12,ROUND('Calc base'!L$13*BC281,2))))</f>
        <v>0</v>
      </c>
      <c r="T282">
        <f>IF(BD281&lt;=0,0,IF(ROUND(BD281*(1+'Calc base'!R282),2)-MAX('Calc base'!M$12,ROUND('Calc base'!M$13*BD281,2))&lt;1,ROUND(BD281*(1+'Calc base'!R282),2),MAX('Calc base'!M$12,ROUND('Calc base'!M$13*BD281,2))))</f>
        <v>0</v>
      </c>
      <c r="U282">
        <f>IF(BE281&lt;=0,0,IF(ROUND(BE281*(1+'Calc base'!S282),2)-MAX('Calc base'!N$12,ROUND('Calc base'!N$13*BE281,2))&lt;1,ROUND(BE281*(1+'Calc base'!S282),2),MAX('Calc base'!N$12,ROUND('Calc base'!N$13*BE281,2))))</f>
        <v>0</v>
      </c>
      <c r="V282">
        <f>MAX(0,ROUND(AT281*(1+'Calc base'!H282),2)-J282-'Calc base'!T282)</f>
        <v>0</v>
      </c>
      <c r="W282">
        <f>MAX(0,ROUND(AU281*(1+'Calc base'!I282),2)-K282-'Calc base'!U282)</f>
        <v>0</v>
      </c>
      <c r="X282">
        <f>MAX(0,ROUND(AV281*(1+'Calc base'!J282),2)-L282-'Calc base'!V282)</f>
        <v>0</v>
      </c>
      <c r="Y282">
        <f>MAX(0,ROUND(AW281*(1+'Calc base'!K282),2)-M282-'Calc base'!W282)</f>
        <v>0</v>
      </c>
      <c r="Z282">
        <f>MAX(0,ROUND(AX281*(1+'Calc base'!L282),2)-N282-'Calc base'!X282)</f>
        <v>0</v>
      </c>
      <c r="AA282">
        <f>MAX(0,ROUND(AY281*(1+'Calc base'!M282),2)-O282-'Calc base'!Y282)</f>
        <v>0</v>
      </c>
      <c r="AB282">
        <f>MAX(0,ROUND(AZ281*(1+'Calc base'!N282),2)-P282-'Calc base'!Z282)</f>
        <v>0</v>
      </c>
      <c r="AC282">
        <f>MAX(0,ROUND(BA281*(1+'Calc base'!O282),2)-Q282-'Calc base'!AA282)</f>
        <v>0</v>
      </c>
      <c r="AD282">
        <f>MAX(0,ROUND(BB281*(1+'Calc base'!P282),2)-R282-'Calc base'!AB282)</f>
        <v>0</v>
      </c>
      <c r="AE282">
        <f>MAX(0,ROUND(BC281*(1+'Calc base'!Q282),2)-S282-'Calc base'!AC282)</f>
        <v>0</v>
      </c>
      <c r="AF282">
        <f>MAX(0,ROUND(BD281*(1+'Calc base'!R282),2)-T282-'Calc base'!AD282)</f>
        <v>0</v>
      </c>
      <c r="AG282">
        <f>MAX(0,ROUND(BE281*(1+'Calc base'!S282),2)-U282-'Calc base'!AE282)</f>
        <v>0</v>
      </c>
      <c r="AH282">
        <f>IF('Calc base'!C$14=0,0,MIN(V282,MAX(0,$E282-SUMIFS($V282:$AG282,'Calc base'!$C$17:$N$17,"&lt;"&amp;'Calc base'!C$17,'Calc base'!$C$14:$N$14,1))))</f>
        <v>0</v>
      </c>
      <c r="AI282">
        <f>IF('Calc base'!D$14=0,0,MIN(W282,MAX(0,$E282-SUMIFS($V282:$AG282,'Calc base'!$C$17:$N$17,"&lt;"&amp;'Calc base'!D$17,'Calc base'!$C$14:$N$14,1))))</f>
        <v>0</v>
      </c>
      <c r="AJ282">
        <f>IF('Calc base'!E$14=0,0,MIN(X282,MAX(0,$E282-SUMIFS($V282:$AG282,'Calc base'!$C$17:$N$17,"&lt;"&amp;'Calc base'!E$17,'Calc base'!$C$14:$N$14,1))))</f>
        <v>0</v>
      </c>
      <c r="AK282">
        <f>IF('Calc base'!F$14=0,0,MIN(Y282,MAX(0,$E282-SUMIFS($V282:$AG282,'Calc base'!$C$17:$N$17,"&lt;"&amp;'Calc base'!F$17,'Calc base'!$C$14:$N$14,1))))</f>
        <v>0</v>
      </c>
      <c r="AL282">
        <f>IF('Calc base'!G$14=0,0,MIN(Z282,MAX(0,$E282-SUMIFS($V282:$AG282,'Calc base'!$C$17:$N$17,"&lt;"&amp;'Calc base'!G$17,'Calc base'!$C$14:$N$14,1))))</f>
        <v>0</v>
      </c>
      <c r="AM282">
        <f>IF('Calc base'!H$14=0,0,MIN(AA282,MAX(0,$E282-SUMIFS($V282:$AG282,'Calc base'!$C$17:$N$17,"&lt;"&amp;'Calc base'!H$17,'Calc base'!$C$14:$N$14,1))))</f>
        <v>0</v>
      </c>
      <c r="AN282">
        <f>IF('Calc base'!I$14=0,0,MIN(AB282,MAX(0,$E282-SUMIFS($V282:$AG282,'Calc base'!$C$17:$N$17,"&lt;"&amp;'Calc base'!I$17,'Calc base'!$C$14:$N$14,1))))</f>
        <v>0</v>
      </c>
      <c r="AO282">
        <f>IF('Calc base'!J$14=0,0,MIN(AC282,MAX(0,$E282-SUMIFS($V282:$AG282,'Calc base'!$C$17:$N$17,"&lt;"&amp;'Calc base'!J$17,'Calc base'!$C$14:$N$14,1))))</f>
        <v>0</v>
      </c>
      <c r="AP282">
        <f>IF('Calc base'!K$14=0,0,MIN(AD282,MAX(0,$E282-SUMIFS($V282:$AG282,'Calc base'!$C$17:$N$17,"&lt;"&amp;'Calc base'!K$17,'Calc base'!$C$14:$N$14,1))))</f>
        <v>0</v>
      </c>
      <c r="AQ282">
        <f>IF('Calc base'!L$14=0,0,MIN(AE282,MAX(0,$E282-SUMIFS($V282:$AG282,'Calc base'!$C$17:$N$17,"&lt;"&amp;'Calc base'!L$17,'Calc base'!$C$14:$N$14,1))))</f>
        <v>0</v>
      </c>
      <c r="AR282">
        <f>IF('Calc base'!M$14=0,0,MIN(AF282,MAX(0,$E282-SUMIFS($V282:$AG282,'Calc base'!$C$17:$N$17,"&lt;"&amp;'Calc base'!M$17,'Calc base'!$C$14:$N$14,1))))</f>
        <v>0</v>
      </c>
      <c r="AS282">
        <f>IF('Calc base'!N$14=0,0,MIN(AG282,MAX(0,$E282-SUMIFS($V282:$AG282,'Calc base'!$C$17:$N$17,"&lt;"&amp;'Calc base'!N$17,'Calc base'!$C$14:$N$14,1))))</f>
        <v>0</v>
      </c>
      <c r="AT282">
        <f>V282-AH282</f>
        <v>0</v>
      </c>
      <c r="AU282">
        <f>W282-AI282</f>
        <v>0</v>
      </c>
      <c r="AV282">
        <f>X282-AJ282</f>
        <v>0</v>
      </c>
      <c r="AW282">
        <f>Y282-AK282</f>
        <v>0</v>
      </c>
      <c r="AX282">
        <f>Z282-AL282</f>
        <v>0</v>
      </c>
      <c r="AY282">
        <f>AA282-AM282</f>
        <v>0</v>
      </c>
      <c r="AZ282">
        <f>AB282-AN282</f>
        <v>0</v>
      </c>
      <c r="BA282">
        <f>AC282-AO282</f>
        <v>0</v>
      </c>
      <c r="BB282">
        <f>AD282-AP282</f>
        <v>0</v>
      </c>
      <c r="BC282">
        <f>AE282-AQ282</f>
        <v>0</v>
      </c>
      <c r="BD282">
        <f>AF282-AR282</f>
        <v>0</v>
      </c>
      <c r="BE282">
        <f>AG282-AS282</f>
        <v>0</v>
      </c>
    </row>
    <row r="283">
      <c r="A283" t="n">
        <v>253</v>
      </c>
      <c r="B283">
        <f>SUMPRODUCT(ROUND($AT282:$BE282*(1+'Calc base'!$H283:$S283),2))</f>
        <v>0</v>
      </c>
      <c r="C283">
        <f>SUM(J283:U283)</f>
        <v>0</v>
      </c>
      <c r="D283">
        <f>SUM(V283:AG283)</f>
        <v>0</v>
      </c>
      <c r="E283">
        <f>MAX(0,IF(Impostazioni!$B$7="No",'Calc base'!$C283-$C$31,'Calc base'!$C283-C283)+'Calc base'!$G283+'Calc base'!$F283-(B283-C283-D283))</f>
        <v>900</v>
      </c>
      <c r="F283">
        <f>SUM(AH283:AS283)</f>
        <v>0</v>
      </c>
      <c r="G283">
        <f>SUM(AT283:BE283)</f>
        <v>0</v>
      </c>
      <c r="H283">
        <f>B283-G282</f>
        <v>0</v>
      </c>
      <c r="I283">
        <f>B283-G283</f>
        <v>0</v>
      </c>
      <c r="J283">
        <f>IF(AT282&lt;=0,0,IF(ROUND(AT282*(1+'Calc base'!H283),2)-MAX('Calc base'!C$12,ROUND('Calc base'!C$13*AT282,2))&lt;1,ROUND(AT282*(1+'Calc base'!H283),2),MAX('Calc base'!C$12,ROUND('Calc base'!C$13*AT282,2))))</f>
        <v>0</v>
      </c>
      <c r="K283">
        <f>IF(AU282&lt;=0,0,IF(ROUND(AU282*(1+'Calc base'!I283),2)-MAX('Calc base'!D$12,ROUND('Calc base'!D$13*AU282,2))&lt;1,ROUND(AU282*(1+'Calc base'!I283),2),MAX('Calc base'!D$12,ROUND('Calc base'!D$13*AU282,2))))</f>
        <v>0</v>
      </c>
      <c r="L283">
        <f>IF(AV282&lt;=0,0,IF(ROUND(AV282*(1+'Calc base'!J283),2)-MAX('Calc base'!E$12,ROUND('Calc base'!E$13*AV282,2))&lt;1,ROUND(AV282*(1+'Calc base'!J283),2),MAX('Calc base'!E$12,ROUND('Calc base'!E$13*AV282,2))))</f>
        <v>0</v>
      </c>
      <c r="M283">
        <f>IF(AW282&lt;=0,0,IF(ROUND(AW282*(1+'Calc base'!K283),2)-MAX('Calc base'!F$12,ROUND('Calc base'!F$13*AW282,2))&lt;1,ROUND(AW282*(1+'Calc base'!K283),2),MAX('Calc base'!F$12,ROUND('Calc base'!F$13*AW282,2))))</f>
        <v>0</v>
      </c>
      <c r="N283">
        <f>IF(AX282&lt;=0,0,IF(ROUND(AX282*(1+'Calc base'!L283),2)-MAX('Calc base'!G$12,ROUND('Calc base'!G$13*AX282,2))&lt;1,ROUND(AX282*(1+'Calc base'!L283),2),MAX('Calc base'!G$12,ROUND('Calc base'!G$13*AX282,2))))</f>
        <v>0</v>
      </c>
      <c r="O283">
        <f>IF(AY282&lt;=0,0,IF(ROUND(AY282*(1+'Calc base'!M283),2)-MAX('Calc base'!H$12,ROUND('Calc base'!H$13*AY282,2))&lt;1,ROUND(AY282*(1+'Calc base'!M283),2),MAX('Calc base'!H$12,ROUND('Calc base'!H$13*AY282,2))))</f>
        <v>0</v>
      </c>
      <c r="P283">
        <f>IF(AZ282&lt;=0,0,IF(ROUND(AZ282*(1+'Calc base'!N283),2)-MAX('Calc base'!I$12,ROUND('Calc base'!I$13*AZ282,2))&lt;1,ROUND(AZ282*(1+'Calc base'!N283),2),MAX('Calc base'!I$12,ROUND('Calc base'!I$13*AZ282,2))))</f>
        <v>0</v>
      </c>
      <c r="Q283">
        <f>IF(BA282&lt;=0,0,IF(ROUND(BA282*(1+'Calc base'!O283),2)-MAX('Calc base'!J$12,ROUND('Calc base'!J$13*BA282,2))&lt;1,ROUND(BA282*(1+'Calc base'!O283),2),MAX('Calc base'!J$12,ROUND('Calc base'!J$13*BA282,2))))</f>
        <v>0</v>
      </c>
      <c r="R283">
        <f>IF(BB282&lt;=0,0,IF(ROUND(BB282*(1+'Calc base'!P283),2)-MAX('Calc base'!K$12,ROUND('Calc base'!K$13*BB282,2))&lt;1,ROUND(BB282*(1+'Calc base'!P283),2),MAX('Calc base'!K$12,ROUND('Calc base'!K$13*BB282,2))))</f>
        <v>0</v>
      </c>
      <c r="S283">
        <f>IF(BC282&lt;=0,0,IF(ROUND(BC282*(1+'Calc base'!Q283),2)-MAX('Calc base'!L$12,ROUND('Calc base'!L$13*BC282,2))&lt;1,ROUND(BC282*(1+'Calc base'!Q283),2),MAX('Calc base'!L$12,ROUND('Calc base'!L$13*BC282,2))))</f>
        <v>0</v>
      </c>
      <c r="T283">
        <f>IF(BD282&lt;=0,0,IF(ROUND(BD282*(1+'Calc base'!R283),2)-MAX('Calc base'!M$12,ROUND('Calc base'!M$13*BD282,2))&lt;1,ROUND(BD282*(1+'Calc base'!R283),2),MAX('Calc base'!M$12,ROUND('Calc base'!M$13*BD282,2))))</f>
        <v>0</v>
      </c>
      <c r="U283">
        <f>IF(BE282&lt;=0,0,IF(ROUND(BE282*(1+'Calc base'!S283),2)-MAX('Calc base'!N$12,ROUND('Calc base'!N$13*BE282,2))&lt;1,ROUND(BE282*(1+'Calc base'!S283),2),MAX('Calc base'!N$12,ROUND('Calc base'!N$13*BE282,2))))</f>
        <v>0</v>
      </c>
      <c r="V283">
        <f>MAX(0,ROUND(AT282*(1+'Calc base'!H283),2)-J283-'Calc base'!T283)</f>
        <v>0</v>
      </c>
      <c r="W283">
        <f>MAX(0,ROUND(AU282*(1+'Calc base'!I283),2)-K283-'Calc base'!U283)</f>
        <v>0</v>
      </c>
      <c r="X283">
        <f>MAX(0,ROUND(AV282*(1+'Calc base'!J283),2)-L283-'Calc base'!V283)</f>
        <v>0</v>
      </c>
      <c r="Y283">
        <f>MAX(0,ROUND(AW282*(1+'Calc base'!K283),2)-M283-'Calc base'!W283)</f>
        <v>0</v>
      </c>
      <c r="Z283">
        <f>MAX(0,ROUND(AX282*(1+'Calc base'!L283),2)-N283-'Calc base'!X283)</f>
        <v>0</v>
      </c>
      <c r="AA283">
        <f>MAX(0,ROUND(AY282*(1+'Calc base'!M283),2)-O283-'Calc base'!Y283)</f>
        <v>0</v>
      </c>
      <c r="AB283">
        <f>MAX(0,ROUND(AZ282*(1+'Calc base'!N283),2)-P283-'Calc base'!Z283)</f>
        <v>0</v>
      </c>
      <c r="AC283">
        <f>MAX(0,ROUND(BA282*(1+'Calc base'!O283),2)-Q283-'Calc base'!AA283)</f>
        <v>0</v>
      </c>
      <c r="AD283">
        <f>MAX(0,ROUND(BB282*(1+'Calc base'!P283),2)-R283-'Calc base'!AB283)</f>
        <v>0</v>
      </c>
      <c r="AE283">
        <f>MAX(0,ROUND(BC282*(1+'Calc base'!Q283),2)-S283-'Calc base'!AC283)</f>
        <v>0</v>
      </c>
      <c r="AF283">
        <f>MAX(0,ROUND(BD282*(1+'Calc base'!R283),2)-T283-'Calc base'!AD283)</f>
        <v>0</v>
      </c>
      <c r="AG283">
        <f>MAX(0,ROUND(BE282*(1+'Calc base'!S283),2)-U283-'Calc base'!AE283)</f>
        <v>0</v>
      </c>
      <c r="AH283">
        <f>IF('Calc base'!C$14=0,0,MIN(V283,MAX(0,$E283-SUMIFS($V283:$AG283,'Calc base'!$C$17:$N$17,"&lt;"&amp;'Calc base'!C$17,'Calc base'!$C$14:$N$14,1))))</f>
        <v>0</v>
      </c>
      <c r="AI283">
        <f>IF('Calc base'!D$14=0,0,MIN(W283,MAX(0,$E283-SUMIFS($V283:$AG283,'Calc base'!$C$17:$N$17,"&lt;"&amp;'Calc base'!D$17,'Calc base'!$C$14:$N$14,1))))</f>
        <v>0</v>
      </c>
      <c r="AJ283">
        <f>IF('Calc base'!E$14=0,0,MIN(X283,MAX(0,$E283-SUMIFS($V283:$AG283,'Calc base'!$C$17:$N$17,"&lt;"&amp;'Calc base'!E$17,'Calc base'!$C$14:$N$14,1))))</f>
        <v>0</v>
      </c>
      <c r="AK283">
        <f>IF('Calc base'!F$14=0,0,MIN(Y283,MAX(0,$E283-SUMIFS($V283:$AG283,'Calc base'!$C$17:$N$17,"&lt;"&amp;'Calc base'!F$17,'Calc base'!$C$14:$N$14,1))))</f>
        <v>0</v>
      </c>
      <c r="AL283">
        <f>IF('Calc base'!G$14=0,0,MIN(Z283,MAX(0,$E283-SUMIFS($V283:$AG283,'Calc base'!$C$17:$N$17,"&lt;"&amp;'Calc base'!G$17,'Calc base'!$C$14:$N$14,1))))</f>
        <v>0</v>
      </c>
      <c r="AM283">
        <f>IF('Calc base'!H$14=0,0,MIN(AA283,MAX(0,$E283-SUMIFS($V283:$AG283,'Calc base'!$C$17:$N$17,"&lt;"&amp;'Calc base'!H$17,'Calc base'!$C$14:$N$14,1))))</f>
        <v>0</v>
      </c>
      <c r="AN283">
        <f>IF('Calc base'!I$14=0,0,MIN(AB283,MAX(0,$E283-SUMIFS($V283:$AG283,'Calc base'!$C$17:$N$17,"&lt;"&amp;'Calc base'!I$17,'Calc base'!$C$14:$N$14,1))))</f>
        <v>0</v>
      </c>
      <c r="AO283">
        <f>IF('Calc base'!J$14=0,0,MIN(AC283,MAX(0,$E283-SUMIFS($V283:$AG283,'Calc base'!$C$17:$N$17,"&lt;"&amp;'Calc base'!J$17,'Calc base'!$C$14:$N$14,1))))</f>
        <v>0</v>
      </c>
      <c r="AP283">
        <f>IF('Calc base'!K$14=0,0,MIN(AD283,MAX(0,$E283-SUMIFS($V283:$AG283,'Calc base'!$C$17:$N$17,"&lt;"&amp;'Calc base'!K$17,'Calc base'!$C$14:$N$14,1))))</f>
        <v>0</v>
      </c>
      <c r="AQ283">
        <f>IF('Calc base'!L$14=0,0,MIN(AE283,MAX(0,$E283-SUMIFS($V283:$AG283,'Calc base'!$C$17:$N$17,"&lt;"&amp;'Calc base'!L$17,'Calc base'!$C$14:$N$14,1))))</f>
        <v>0</v>
      </c>
      <c r="AR283">
        <f>IF('Calc base'!M$14=0,0,MIN(AF283,MAX(0,$E283-SUMIFS($V283:$AG283,'Calc base'!$C$17:$N$17,"&lt;"&amp;'Calc base'!M$17,'Calc base'!$C$14:$N$14,1))))</f>
        <v>0</v>
      </c>
      <c r="AS283">
        <f>IF('Calc base'!N$14=0,0,MIN(AG283,MAX(0,$E283-SUMIFS($V283:$AG283,'Calc base'!$C$17:$N$17,"&lt;"&amp;'Calc base'!N$17,'Calc base'!$C$14:$N$14,1))))</f>
        <v>0</v>
      </c>
      <c r="AT283">
        <f>V283-AH283</f>
        <v>0</v>
      </c>
      <c r="AU283">
        <f>W283-AI283</f>
        <v>0</v>
      </c>
      <c r="AV283">
        <f>X283-AJ283</f>
        <v>0</v>
      </c>
      <c r="AW283">
        <f>Y283-AK283</f>
        <v>0</v>
      </c>
      <c r="AX283">
        <f>Z283-AL283</f>
        <v>0</v>
      </c>
      <c r="AY283">
        <f>AA283-AM283</f>
        <v>0</v>
      </c>
      <c r="AZ283">
        <f>AB283-AN283</f>
        <v>0</v>
      </c>
      <c r="BA283">
        <f>AC283-AO283</f>
        <v>0</v>
      </c>
      <c r="BB283">
        <f>AD283-AP283</f>
        <v>0</v>
      </c>
      <c r="BC283">
        <f>AE283-AQ283</f>
        <v>0</v>
      </c>
      <c r="BD283">
        <f>AF283-AR283</f>
        <v>0</v>
      </c>
      <c r="BE283">
        <f>AG283-AS283</f>
        <v>0</v>
      </c>
    </row>
    <row r="284">
      <c r="A284" t="n">
        <v>254</v>
      </c>
      <c r="B284">
        <f>SUMPRODUCT(ROUND($AT283:$BE283*(1+'Calc base'!$H284:$S284),2))</f>
        <v>0</v>
      </c>
      <c r="C284">
        <f>SUM(J284:U284)</f>
        <v>0</v>
      </c>
      <c r="D284">
        <f>SUM(V284:AG284)</f>
        <v>0</v>
      </c>
      <c r="E284">
        <f>MAX(0,IF(Impostazioni!$B$7="No",'Calc base'!$C284-$C$31,'Calc base'!$C284-C284)+'Calc base'!$G284+'Calc base'!$F284-(B284-C284-D284))</f>
        <v>900</v>
      </c>
      <c r="F284">
        <f>SUM(AH284:AS284)</f>
        <v>0</v>
      </c>
      <c r="G284">
        <f>SUM(AT284:BE284)</f>
        <v>0</v>
      </c>
      <c r="H284">
        <f>B284-G283</f>
        <v>0</v>
      </c>
      <c r="I284">
        <f>B284-G284</f>
        <v>0</v>
      </c>
      <c r="J284">
        <f>IF(AT283&lt;=0,0,IF(ROUND(AT283*(1+'Calc base'!H284),2)-MAX('Calc base'!C$12,ROUND('Calc base'!C$13*AT283,2))&lt;1,ROUND(AT283*(1+'Calc base'!H284),2),MAX('Calc base'!C$12,ROUND('Calc base'!C$13*AT283,2))))</f>
        <v>0</v>
      </c>
      <c r="K284">
        <f>IF(AU283&lt;=0,0,IF(ROUND(AU283*(1+'Calc base'!I284),2)-MAX('Calc base'!D$12,ROUND('Calc base'!D$13*AU283,2))&lt;1,ROUND(AU283*(1+'Calc base'!I284),2),MAX('Calc base'!D$12,ROUND('Calc base'!D$13*AU283,2))))</f>
        <v>0</v>
      </c>
      <c r="L284">
        <f>IF(AV283&lt;=0,0,IF(ROUND(AV283*(1+'Calc base'!J284),2)-MAX('Calc base'!E$12,ROUND('Calc base'!E$13*AV283,2))&lt;1,ROUND(AV283*(1+'Calc base'!J284),2),MAX('Calc base'!E$12,ROUND('Calc base'!E$13*AV283,2))))</f>
        <v>0</v>
      </c>
      <c r="M284">
        <f>IF(AW283&lt;=0,0,IF(ROUND(AW283*(1+'Calc base'!K284),2)-MAX('Calc base'!F$12,ROUND('Calc base'!F$13*AW283,2))&lt;1,ROUND(AW283*(1+'Calc base'!K284),2),MAX('Calc base'!F$12,ROUND('Calc base'!F$13*AW283,2))))</f>
        <v>0</v>
      </c>
      <c r="N284">
        <f>IF(AX283&lt;=0,0,IF(ROUND(AX283*(1+'Calc base'!L284),2)-MAX('Calc base'!G$12,ROUND('Calc base'!G$13*AX283,2))&lt;1,ROUND(AX283*(1+'Calc base'!L284),2),MAX('Calc base'!G$12,ROUND('Calc base'!G$13*AX283,2))))</f>
        <v>0</v>
      </c>
      <c r="O284">
        <f>IF(AY283&lt;=0,0,IF(ROUND(AY283*(1+'Calc base'!M284),2)-MAX('Calc base'!H$12,ROUND('Calc base'!H$13*AY283,2))&lt;1,ROUND(AY283*(1+'Calc base'!M284),2),MAX('Calc base'!H$12,ROUND('Calc base'!H$13*AY283,2))))</f>
        <v>0</v>
      </c>
      <c r="P284">
        <f>IF(AZ283&lt;=0,0,IF(ROUND(AZ283*(1+'Calc base'!N284),2)-MAX('Calc base'!I$12,ROUND('Calc base'!I$13*AZ283,2))&lt;1,ROUND(AZ283*(1+'Calc base'!N284),2),MAX('Calc base'!I$12,ROUND('Calc base'!I$13*AZ283,2))))</f>
        <v>0</v>
      </c>
      <c r="Q284">
        <f>IF(BA283&lt;=0,0,IF(ROUND(BA283*(1+'Calc base'!O284),2)-MAX('Calc base'!J$12,ROUND('Calc base'!J$13*BA283,2))&lt;1,ROUND(BA283*(1+'Calc base'!O284),2),MAX('Calc base'!J$12,ROUND('Calc base'!J$13*BA283,2))))</f>
        <v>0</v>
      </c>
      <c r="R284">
        <f>IF(BB283&lt;=0,0,IF(ROUND(BB283*(1+'Calc base'!P284),2)-MAX('Calc base'!K$12,ROUND('Calc base'!K$13*BB283,2))&lt;1,ROUND(BB283*(1+'Calc base'!P284),2),MAX('Calc base'!K$12,ROUND('Calc base'!K$13*BB283,2))))</f>
        <v>0</v>
      </c>
      <c r="S284">
        <f>IF(BC283&lt;=0,0,IF(ROUND(BC283*(1+'Calc base'!Q284),2)-MAX('Calc base'!L$12,ROUND('Calc base'!L$13*BC283,2))&lt;1,ROUND(BC283*(1+'Calc base'!Q284),2),MAX('Calc base'!L$12,ROUND('Calc base'!L$13*BC283,2))))</f>
        <v>0</v>
      </c>
      <c r="T284">
        <f>IF(BD283&lt;=0,0,IF(ROUND(BD283*(1+'Calc base'!R284),2)-MAX('Calc base'!M$12,ROUND('Calc base'!M$13*BD283,2))&lt;1,ROUND(BD283*(1+'Calc base'!R284),2),MAX('Calc base'!M$12,ROUND('Calc base'!M$13*BD283,2))))</f>
        <v>0</v>
      </c>
      <c r="U284">
        <f>IF(BE283&lt;=0,0,IF(ROUND(BE283*(1+'Calc base'!S284),2)-MAX('Calc base'!N$12,ROUND('Calc base'!N$13*BE283,2))&lt;1,ROUND(BE283*(1+'Calc base'!S284),2),MAX('Calc base'!N$12,ROUND('Calc base'!N$13*BE283,2))))</f>
        <v>0</v>
      </c>
      <c r="V284">
        <f>MAX(0,ROUND(AT283*(1+'Calc base'!H284),2)-J284-'Calc base'!T284)</f>
        <v>0</v>
      </c>
      <c r="W284">
        <f>MAX(0,ROUND(AU283*(1+'Calc base'!I284),2)-K284-'Calc base'!U284)</f>
        <v>0</v>
      </c>
      <c r="X284">
        <f>MAX(0,ROUND(AV283*(1+'Calc base'!J284),2)-L284-'Calc base'!V284)</f>
        <v>0</v>
      </c>
      <c r="Y284">
        <f>MAX(0,ROUND(AW283*(1+'Calc base'!K284),2)-M284-'Calc base'!W284)</f>
        <v>0</v>
      </c>
      <c r="Z284">
        <f>MAX(0,ROUND(AX283*(1+'Calc base'!L284),2)-N284-'Calc base'!X284)</f>
        <v>0</v>
      </c>
      <c r="AA284">
        <f>MAX(0,ROUND(AY283*(1+'Calc base'!M284),2)-O284-'Calc base'!Y284)</f>
        <v>0</v>
      </c>
      <c r="AB284">
        <f>MAX(0,ROUND(AZ283*(1+'Calc base'!N284),2)-P284-'Calc base'!Z284)</f>
        <v>0</v>
      </c>
      <c r="AC284">
        <f>MAX(0,ROUND(BA283*(1+'Calc base'!O284),2)-Q284-'Calc base'!AA284)</f>
        <v>0</v>
      </c>
      <c r="AD284">
        <f>MAX(0,ROUND(BB283*(1+'Calc base'!P284),2)-R284-'Calc base'!AB284)</f>
        <v>0</v>
      </c>
      <c r="AE284">
        <f>MAX(0,ROUND(BC283*(1+'Calc base'!Q284),2)-S284-'Calc base'!AC284)</f>
        <v>0</v>
      </c>
      <c r="AF284">
        <f>MAX(0,ROUND(BD283*(1+'Calc base'!R284),2)-T284-'Calc base'!AD284)</f>
        <v>0</v>
      </c>
      <c r="AG284">
        <f>MAX(0,ROUND(BE283*(1+'Calc base'!S284),2)-U284-'Calc base'!AE284)</f>
        <v>0</v>
      </c>
      <c r="AH284">
        <f>IF('Calc base'!C$14=0,0,MIN(V284,MAX(0,$E284-SUMIFS($V284:$AG284,'Calc base'!$C$17:$N$17,"&lt;"&amp;'Calc base'!C$17,'Calc base'!$C$14:$N$14,1))))</f>
        <v>0</v>
      </c>
      <c r="AI284">
        <f>IF('Calc base'!D$14=0,0,MIN(W284,MAX(0,$E284-SUMIFS($V284:$AG284,'Calc base'!$C$17:$N$17,"&lt;"&amp;'Calc base'!D$17,'Calc base'!$C$14:$N$14,1))))</f>
        <v>0</v>
      </c>
      <c r="AJ284">
        <f>IF('Calc base'!E$14=0,0,MIN(X284,MAX(0,$E284-SUMIFS($V284:$AG284,'Calc base'!$C$17:$N$17,"&lt;"&amp;'Calc base'!E$17,'Calc base'!$C$14:$N$14,1))))</f>
        <v>0</v>
      </c>
      <c r="AK284">
        <f>IF('Calc base'!F$14=0,0,MIN(Y284,MAX(0,$E284-SUMIFS($V284:$AG284,'Calc base'!$C$17:$N$17,"&lt;"&amp;'Calc base'!F$17,'Calc base'!$C$14:$N$14,1))))</f>
        <v>0</v>
      </c>
      <c r="AL284">
        <f>IF('Calc base'!G$14=0,0,MIN(Z284,MAX(0,$E284-SUMIFS($V284:$AG284,'Calc base'!$C$17:$N$17,"&lt;"&amp;'Calc base'!G$17,'Calc base'!$C$14:$N$14,1))))</f>
        <v>0</v>
      </c>
      <c r="AM284">
        <f>IF('Calc base'!H$14=0,0,MIN(AA284,MAX(0,$E284-SUMIFS($V284:$AG284,'Calc base'!$C$17:$N$17,"&lt;"&amp;'Calc base'!H$17,'Calc base'!$C$14:$N$14,1))))</f>
        <v>0</v>
      </c>
      <c r="AN284">
        <f>IF('Calc base'!I$14=0,0,MIN(AB284,MAX(0,$E284-SUMIFS($V284:$AG284,'Calc base'!$C$17:$N$17,"&lt;"&amp;'Calc base'!I$17,'Calc base'!$C$14:$N$14,1))))</f>
        <v>0</v>
      </c>
      <c r="AO284">
        <f>IF('Calc base'!J$14=0,0,MIN(AC284,MAX(0,$E284-SUMIFS($V284:$AG284,'Calc base'!$C$17:$N$17,"&lt;"&amp;'Calc base'!J$17,'Calc base'!$C$14:$N$14,1))))</f>
        <v>0</v>
      </c>
      <c r="AP284">
        <f>IF('Calc base'!K$14=0,0,MIN(AD284,MAX(0,$E284-SUMIFS($V284:$AG284,'Calc base'!$C$17:$N$17,"&lt;"&amp;'Calc base'!K$17,'Calc base'!$C$14:$N$14,1))))</f>
        <v>0</v>
      </c>
      <c r="AQ284">
        <f>IF('Calc base'!L$14=0,0,MIN(AE284,MAX(0,$E284-SUMIFS($V284:$AG284,'Calc base'!$C$17:$N$17,"&lt;"&amp;'Calc base'!L$17,'Calc base'!$C$14:$N$14,1))))</f>
        <v>0</v>
      </c>
      <c r="AR284">
        <f>IF('Calc base'!M$14=0,0,MIN(AF284,MAX(0,$E284-SUMIFS($V284:$AG284,'Calc base'!$C$17:$N$17,"&lt;"&amp;'Calc base'!M$17,'Calc base'!$C$14:$N$14,1))))</f>
        <v>0</v>
      </c>
      <c r="AS284">
        <f>IF('Calc base'!N$14=0,0,MIN(AG284,MAX(0,$E284-SUMIFS($V284:$AG284,'Calc base'!$C$17:$N$17,"&lt;"&amp;'Calc base'!N$17,'Calc base'!$C$14:$N$14,1))))</f>
        <v>0</v>
      </c>
      <c r="AT284">
        <f>V284-AH284</f>
        <v>0</v>
      </c>
      <c r="AU284">
        <f>W284-AI284</f>
        <v>0</v>
      </c>
      <c r="AV284">
        <f>X284-AJ284</f>
        <v>0</v>
      </c>
      <c r="AW284">
        <f>Y284-AK284</f>
        <v>0</v>
      </c>
      <c r="AX284">
        <f>Z284-AL284</f>
        <v>0</v>
      </c>
      <c r="AY284">
        <f>AA284-AM284</f>
        <v>0</v>
      </c>
      <c r="AZ284">
        <f>AB284-AN284</f>
        <v>0</v>
      </c>
      <c r="BA284">
        <f>AC284-AO284</f>
        <v>0</v>
      </c>
      <c r="BB284">
        <f>AD284-AP284</f>
        <v>0</v>
      </c>
      <c r="BC284">
        <f>AE284-AQ284</f>
        <v>0</v>
      </c>
      <c r="BD284">
        <f>AF284-AR284</f>
        <v>0</v>
      </c>
      <c r="BE284">
        <f>AG284-AS284</f>
        <v>0</v>
      </c>
    </row>
    <row r="285">
      <c r="A285" t="n">
        <v>255</v>
      </c>
      <c r="B285">
        <f>SUMPRODUCT(ROUND($AT284:$BE284*(1+'Calc base'!$H285:$S285),2))</f>
        <v>0</v>
      </c>
      <c r="C285">
        <f>SUM(J285:U285)</f>
        <v>0</v>
      </c>
      <c r="D285">
        <f>SUM(V285:AG285)</f>
        <v>0</v>
      </c>
      <c r="E285">
        <f>MAX(0,IF(Impostazioni!$B$7="No",'Calc base'!$C285-$C$31,'Calc base'!$C285-C285)+'Calc base'!$G285+'Calc base'!$F285-(B285-C285-D285))</f>
        <v>900</v>
      </c>
      <c r="F285">
        <f>SUM(AH285:AS285)</f>
        <v>0</v>
      </c>
      <c r="G285">
        <f>SUM(AT285:BE285)</f>
        <v>0</v>
      </c>
      <c r="H285">
        <f>B285-G284</f>
        <v>0</v>
      </c>
      <c r="I285">
        <f>B285-G285</f>
        <v>0</v>
      </c>
      <c r="J285">
        <f>IF(AT284&lt;=0,0,IF(ROUND(AT284*(1+'Calc base'!H285),2)-MAX('Calc base'!C$12,ROUND('Calc base'!C$13*AT284,2))&lt;1,ROUND(AT284*(1+'Calc base'!H285),2),MAX('Calc base'!C$12,ROUND('Calc base'!C$13*AT284,2))))</f>
        <v>0</v>
      </c>
      <c r="K285">
        <f>IF(AU284&lt;=0,0,IF(ROUND(AU284*(1+'Calc base'!I285),2)-MAX('Calc base'!D$12,ROUND('Calc base'!D$13*AU284,2))&lt;1,ROUND(AU284*(1+'Calc base'!I285),2),MAX('Calc base'!D$12,ROUND('Calc base'!D$13*AU284,2))))</f>
        <v>0</v>
      </c>
      <c r="L285">
        <f>IF(AV284&lt;=0,0,IF(ROUND(AV284*(1+'Calc base'!J285),2)-MAX('Calc base'!E$12,ROUND('Calc base'!E$13*AV284,2))&lt;1,ROUND(AV284*(1+'Calc base'!J285),2),MAX('Calc base'!E$12,ROUND('Calc base'!E$13*AV284,2))))</f>
        <v>0</v>
      </c>
      <c r="M285">
        <f>IF(AW284&lt;=0,0,IF(ROUND(AW284*(1+'Calc base'!K285),2)-MAX('Calc base'!F$12,ROUND('Calc base'!F$13*AW284,2))&lt;1,ROUND(AW284*(1+'Calc base'!K285),2),MAX('Calc base'!F$12,ROUND('Calc base'!F$13*AW284,2))))</f>
        <v>0</v>
      </c>
      <c r="N285">
        <f>IF(AX284&lt;=0,0,IF(ROUND(AX284*(1+'Calc base'!L285),2)-MAX('Calc base'!G$12,ROUND('Calc base'!G$13*AX284,2))&lt;1,ROUND(AX284*(1+'Calc base'!L285),2),MAX('Calc base'!G$12,ROUND('Calc base'!G$13*AX284,2))))</f>
        <v>0</v>
      </c>
      <c r="O285">
        <f>IF(AY284&lt;=0,0,IF(ROUND(AY284*(1+'Calc base'!M285),2)-MAX('Calc base'!H$12,ROUND('Calc base'!H$13*AY284,2))&lt;1,ROUND(AY284*(1+'Calc base'!M285),2),MAX('Calc base'!H$12,ROUND('Calc base'!H$13*AY284,2))))</f>
        <v>0</v>
      </c>
      <c r="P285">
        <f>IF(AZ284&lt;=0,0,IF(ROUND(AZ284*(1+'Calc base'!N285),2)-MAX('Calc base'!I$12,ROUND('Calc base'!I$13*AZ284,2))&lt;1,ROUND(AZ284*(1+'Calc base'!N285),2),MAX('Calc base'!I$12,ROUND('Calc base'!I$13*AZ284,2))))</f>
        <v>0</v>
      </c>
      <c r="Q285">
        <f>IF(BA284&lt;=0,0,IF(ROUND(BA284*(1+'Calc base'!O285),2)-MAX('Calc base'!J$12,ROUND('Calc base'!J$13*BA284,2))&lt;1,ROUND(BA284*(1+'Calc base'!O285),2),MAX('Calc base'!J$12,ROUND('Calc base'!J$13*BA284,2))))</f>
        <v>0</v>
      </c>
      <c r="R285">
        <f>IF(BB284&lt;=0,0,IF(ROUND(BB284*(1+'Calc base'!P285),2)-MAX('Calc base'!K$12,ROUND('Calc base'!K$13*BB284,2))&lt;1,ROUND(BB284*(1+'Calc base'!P285),2),MAX('Calc base'!K$12,ROUND('Calc base'!K$13*BB284,2))))</f>
        <v>0</v>
      </c>
      <c r="S285">
        <f>IF(BC284&lt;=0,0,IF(ROUND(BC284*(1+'Calc base'!Q285),2)-MAX('Calc base'!L$12,ROUND('Calc base'!L$13*BC284,2))&lt;1,ROUND(BC284*(1+'Calc base'!Q285),2),MAX('Calc base'!L$12,ROUND('Calc base'!L$13*BC284,2))))</f>
        <v>0</v>
      </c>
      <c r="T285">
        <f>IF(BD284&lt;=0,0,IF(ROUND(BD284*(1+'Calc base'!R285),2)-MAX('Calc base'!M$12,ROUND('Calc base'!M$13*BD284,2))&lt;1,ROUND(BD284*(1+'Calc base'!R285),2),MAX('Calc base'!M$12,ROUND('Calc base'!M$13*BD284,2))))</f>
        <v>0</v>
      </c>
      <c r="U285">
        <f>IF(BE284&lt;=0,0,IF(ROUND(BE284*(1+'Calc base'!S285),2)-MAX('Calc base'!N$12,ROUND('Calc base'!N$13*BE284,2))&lt;1,ROUND(BE284*(1+'Calc base'!S285),2),MAX('Calc base'!N$12,ROUND('Calc base'!N$13*BE284,2))))</f>
        <v>0</v>
      </c>
      <c r="V285">
        <f>MAX(0,ROUND(AT284*(1+'Calc base'!H285),2)-J285-'Calc base'!T285)</f>
        <v>0</v>
      </c>
      <c r="W285">
        <f>MAX(0,ROUND(AU284*(1+'Calc base'!I285),2)-K285-'Calc base'!U285)</f>
        <v>0</v>
      </c>
      <c r="X285">
        <f>MAX(0,ROUND(AV284*(1+'Calc base'!J285),2)-L285-'Calc base'!V285)</f>
        <v>0</v>
      </c>
      <c r="Y285">
        <f>MAX(0,ROUND(AW284*(1+'Calc base'!K285),2)-M285-'Calc base'!W285)</f>
        <v>0</v>
      </c>
      <c r="Z285">
        <f>MAX(0,ROUND(AX284*(1+'Calc base'!L285),2)-N285-'Calc base'!X285)</f>
        <v>0</v>
      </c>
      <c r="AA285">
        <f>MAX(0,ROUND(AY284*(1+'Calc base'!M285),2)-O285-'Calc base'!Y285)</f>
        <v>0</v>
      </c>
      <c r="AB285">
        <f>MAX(0,ROUND(AZ284*(1+'Calc base'!N285),2)-P285-'Calc base'!Z285)</f>
        <v>0</v>
      </c>
      <c r="AC285">
        <f>MAX(0,ROUND(BA284*(1+'Calc base'!O285),2)-Q285-'Calc base'!AA285)</f>
        <v>0</v>
      </c>
      <c r="AD285">
        <f>MAX(0,ROUND(BB284*(1+'Calc base'!P285),2)-R285-'Calc base'!AB285)</f>
        <v>0</v>
      </c>
      <c r="AE285">
        <f>MAX(0,ROUND(BC284*(1+'Calc base'!Q285),2)-S285-'Calc base'!AC285)</f>
        <v>0</v>
      </c>
      <c r="AF285">
        <f>MAX(0,ROUND(BD284*(1+'Calc base'!R285),2)-T285-'Calc base'!AD285)</f>
        <v>0</v>
      </c>
      <c r="AG285">
        <f>MAX(0,ROUND(BE284*(1+'Calc base'!S285),2)-U285-'Calc base'!AE285)</f>
        <v>0</v>
      </c>
      <c r="AH285">
        <f>IF('Calc base'!C$14=0,0,MIN(V285,MAX(0,$E285-SUMIFS($V285:$AG285,'Calc base'!$C$17:$N$17,"&lt;"&amp;'Calc base'!C$17,'Calc base'!$C$14:$N$14,1))))</f>
        <v>0</v>
      </c>
      <c r="AI285">
        <f>IF('Calc base'!D$14=0,0,MIN(W285,MAX(0,$E285-SUMIFS($V285:$AG285,'Calc base'!$C$17:$N$17,"&lt;"&amp;'Calc base'!D$17,'Calc base'!$C$14:$N$14,1))))</f>
        <v>0</v>
      </c>
      <c r="AJ285">
        <f>IF('Calc base'!E$14=0,0,MIN(X285,MAX(0,$E285-SUMIFS($V285:$AG285,'Calc base'!$C$17:$N$17,"&lt;"&amp;'Calc base'!E$17,'Calc base'!$C$14:$N$14,1))))</f>
        <v>0</v>
      </c>
      <c r="AK285">
        <f>IF('Calc base'!F$14=0,0,MIN(Y285,MAX(0,$E285-SUMIFS($V285:$AG285,'Calc base'!$C$17:$N$17,"&lt;"&amp;'Calc base'!F$17,'Calc base'!$C$14:$N$14,1))))</f>
        <v>0</v>
      </c>
      <c r="AL285">
        <f>IF('Calc base'!G$14=0,0,MIN(Z285,MAX(0,$E285-SUMIFS($V285:$AG285,'Calc base'!$C$17:$N$17,"&lt;"&amp;'Calc base'!G$17,'Calc base'!$C$14:$N$14,1))))</f>
        <v>0</v>
      </c>
      <c r="AM285">
        <f>IF('Calc base'!H$14=0,0,MIN(AA285,MAX(0,$E285-SUMIFS($V285:$AG285,'Calc base'!$C$17:$N$17,"&lt;"&amp;'Calc base'!H$17,'Calc base'!$C$14:$N$14,1))))</f>
        <v>0</v>
      </c>
      <c r="AN285">
        <f>IF('Calc base'!I$14=0,0,MIN(AB285,MAX(0,$E285-SUMIFS($V285:$AG285,'Calc base'!$C$17:$N$17,"&lt;"&amp;'Calc base'!I$17,'Calc base'!$C$14:$N$14,1))))</f>
        <v>0</v>
      </c>
      <c r="AO285">
        <f>IF('Calc base'!J$14=0,0,MIN(AC285,MAX(0,$E285-SUMIFS($V285:$AG285,'Calc base'!$C$17:$N$17,"&lt;"&amp;'Calc base'!J$17,'Calc base'!$C$14:$N$14,1))))</f>
        <v>0</v>
      </c>
      <c r="AP285">
        <f>IF('Calc base'!K$14=0,0,MIN(AD285,MAX(0,$E285-SUMIFS($V285:$AG285,'Calc base'!$C$17:$N$17,"&lt;"&amp;'Calc base'!K$17,'Calc base'!$C$14:$N$14,1))))</f>
        <v>0</v>
      </c>
      <c r="AQ285">
        <f>IF('Calc base'!L$14=0,0,MIN(AE285,MAX(0,$E285-SUMIFS($V285:$AG285,'Calc base'!$C$17:$N$17,"&lt;"&amp;'Calc base'!L$17,'Calc base'!$C$14:$N$14,1))))</f>
        <v>0</v>
      </c>
      <c r="AR285">
        <f>IF('Calc base'!M$14=0,0,MIN(AF285,MAX(0,$E285-SUMIFS($V285:$AG285,'Calc base'!$C$17:$N$17,"&lt;"&amp;'Calc base'!M$17,'Calc base'!$C$14:$N$14,1))))</f>
        <v>0</v>
      </c>
      <c r="AS285">
        <f>IF('Calc base'!N$14=0,0,MIN(AG285,MAX(0,$E285-SUMIFS($V285:$AG285,'Calc base'!$C$17:$N$17,"&lt;"&amp;'Calc base'!N$17,'Calc base'!$C$14:$N$14,1))))</f>
        <v>0</v>
      </c>
      <c r="AT285">
        <f>V285-AH285</f>
        <v>0</v>
      </c>
      <c r="AU285">
        <f>W285-AI285</f>
        <v>0</v>
      </c>
      <c r="AV285">
        <f>X285-AJ285</f>
        <v>0</v>
      </c>
      <c r="AW285">
        <f>Y285-AK285</f>
        <v>0</v>
      </c>
      <c r="AX285">
        <f>Z285-AL285</f>
        <v>0</v>
      </c>
      <c r="AY285">
        <f>AA285-AM285</f>
        <v>0</v>
      </c>
      <c r="AZ285">
        <f>AB285-AN285</f>
        <v>0</v>
      </c>
      <c r="BA285">
        <f>AC285-AO285</f>
        <v>0</v>
      </c>
      <c r="BB285">
        <f>AD285-AP285</f>
        <v>0</v>
      </c>
      <c r="BC285">
        <f>AE285-AQ285</f>
        <v>0</v>
      </c>
      <c r="BD285">
        <f>AF285-AR285</f>
        <v>0</v>
      </c>
      <c r="BE285">
        <f>AG285-AS285</f>
        <v>0</v>
      </c>
    </row>
    <row r="286">
      <c r="A286" t="n">
        <v>256</v>
      </c>
      <c r="B286">
        <f>SUMPRODUCT(ROUND($AT285:$BE285*(1+'Calc base'!$H286:$S286),2))</f>
        <v>0</v>
      </c>
      <c r="C286">
        <f>SUM(J286:U286)</f>
        <v>0</v>
      </c>
      <c r="D286">
        <f>SUM(V286:AG286)</f>
        <v>0</v>
      </c>
      <c r="E286">
        <f>MAX(0,IF(Impostazioni!$B$7="No",'Calc base'!$C286-$C$31,'Calc base'!$C286-C286)+'Calc base'!$G286+'Calc base'!$F286-(B286-C286-D286))</f>
        <v>900</v>
      </c>
      <c r="F286">
        <f>SUM(AH286:AS286)</f>
        <v>0</v>
      </c>
      <c r="G286">
        <f>SUM(AT286:BE286)</f>
        <v>0</v>
      </c>
      <c r="H286">
        <f>B286-G285</f>
        <v>0</v>
      </c>
      <c r="I286">
        <f>B286-G286</f>
        <v>0</v>
      </c>
      <c r="J286">
        <f>IF(AT285&lt;=0,0,IF(ROUND(AT285*(1+'Calc base'!H286),2)-MAX('Calc base'!C$12,ROUND('Calc base'!C$13*AT285,2))&lt;1,ROUND(AT285*(1+'Calc base'!H286),2),MAX('Calc base'!C$12,ROUND('Calc base'!C$13*AT285,2))))</f>
        <v>0</v>
      </c>
      <c r="K286">
        <f>IF(AU285&lt;=0,0,IF(ROUND(AU285*(1+'Calc base'!I286),2)-MAX('Calc base'!D$12,ROUND('Calc base'!D$13*AU285,2))&lt;1,ROUND(AU285*(1+'Calc base'!I286),2),MAX('Calc base'!D$12,ROUND('Calc base'!D$13*AU285,2))))</f>
        <v>0</v>
      </c>
      <c r="L286">
        <f>IF(AV285&lt;=0,0,IF(ROUND(AV285*(1+'Calc base'!J286),2)-MAX('Calc base'!E$12,ROUND('Calc base'!E$13*AV285,2))&lt;1,ROUND(AV285*(1+'Calc base'!J286),2),MAX('Calc base'!E$12,ROUND('Calc base'!E$13*AV285,2))))</f>
        <v>0</v>
      </c>
      <c r="M286">
        <f>IF(AW285&lt;=0,0,IF(ROUND(AW285*(1+'Calc base'!K286),2)-MAX('Calc base'!F$12,ROUND('Calc base'!F$13*AW285,2))&lt;1,ROUND(AW285*(1+'Calc base'!K286),2),MAX('Calc base'!F$12,ROUND('Calc base'!F$13*AW285,2))))</f>
        <v>0</v>
      </c>
      <c r="N286">
        <f>IF(AX285&lt;=0,0,IF(ROUND(AX285*(1+'Calc base'!L286),2)-MAX('Calc base'!G$12,ROUND('Calc base'!G$13*AX285,2))&lt;1,ROUND(AX285*(1+'Calc base'!L286),2),MAX('Calc base'!G$12,ROUND('Calc base'!G$13*AX285,2))))</f>
        <v>0</v>
      </c>
      <c r="O286">
        <f>IF(AY285&lt;=0,0,IF(ROUND(AY285*(1+'Calc base'!M286),2)-MAX('Calc base'!H$12,ROUND('Calc base'!H$13*AY285,2))&lt;1,ROUND(AY285*(1+'Calc base'!M286),2),MAX('Calc base'!H$12,ROUND('Calc base'!H$13*AY285,2))))</f>
        <v>0</v>
      </c>
      <c r="P286">
        <f>IF(AZ285&lt;=0,0,IF(ROUND(AZ285*(1+'Calc base'!N286),2)-MAX('Calc base'!I$12,ROUND('Calc base'!I$13*AZ285,2))&lt;1,ROUND(AZ285*(1+'Calc base'!N286),2),MAX('Calc base'!I$12,ROUND('Calc base'!I$13*AZ285,2))))</f>
        <v>0</v>
      </c>
      <c r="Q286">
        <f>IF(BA285&lt;=0,0,IF(ROUND(BA285*(1+'Calc base'!O286),2)-MAX('Calc base'!J$12,ROUND('Calc base'!J$13*BA285,2))&lt;1,ROUND(BA285*(1+'Calc base'!O286),2),MAX('Calc base'!J$12,ROUND('Calc base'!J$13*BA285,2))))</f>
        <v>0</v>
      </c>
      <c r="R286">
        <f>IF(BB285&lt;=0,0,IF(ROUND(BB285*(1+'Calc base'!P286),2)-MAX('Calc base'!K$12,ROUND('Calc base'!K$13*BB285,2))&lt;1,ROUND(BB285*(1+'Calc base'!P286),2),MAX('Calc base'!K$12,ROUND('Calc base'!K$13*BB285,2))))</f>
        <v>0</v>
      </c>
      <c r="S286">
        <f>IF(BC285&lt;=0,0,IF(ROUND(BC285*(1+'Calc base'!Q286),2)-MAX('Calc base'!L$12,ROUND('Calc base'!L$13*BC285,2))&lt;1,ROUND(BC285*(1+'Calc base'!Q286),2),MAX('Calc base'!L$12,ROUND('Calc base'!L$13*BC285,2))))</f>
        <v>0</v>
      </c>
      <c r="T286">
        <f>IF(BD285&lt;=0,0,IF(ROUND(BD285*(1+'Calc base'!R286),2)-MAX('Calc base'!M$12,ROUND('Calc base'!M$13*BD285,2))&lt;1,ROUND(BD285*(1+'Calc base'!R286),2),MAX('Calc base'!M$12,ROUND('Calc base'!M$13*BD285,2))))</f>
        <v>0</v>
      </c>
      <c r="U286">
        <f>IF(BE285&lt;=0,0,IF(ROUND(BE285*(1+'Calc base'!S286),2)-MAX('Calc base'!N$12,ROUND('Calc base'!N$13*BE285,2))&lt;1,ROUND(BE285*(1+'Calc base'!S286),2),MAX('Calc base'!N$12,ROUND('Calc base'!N$13*BE285,2))))</f>
        <v>0</v>
      </c>
      <c r="V286">
        <f>MAX(0,ROUND(AT285*(1+'Calc base'!H286),2)-J286-'Calc base'!T286)</f>
        <v>0</v>
      </c>
      <c r="W286">
        <f>MAX(0,ROUND(AU285*(1+'Calc base'!I286),2)-K286-'Calc base'!U286)</f>
        <v>0</v>
      </c>
      <c r="X286">
        <f>MAX(0,ROUND(AV285*(1+'Calc base'!J286),2)-L286-'Calc base'!V286)</f>
        <v>0</v>
      </c>
      <c r="Y286">
        <f>MAX(0,ROUND(AW285*(1+'Calc base'!K286),2)-M286-'Calc base'!W286)</f>
        <v>0</v>
      </c>
      <c r="Z286">
        <f>MAX(0,ROUND(AX285*(1+'Calc base'!L286),2)-N286-'Calc base'!X286)</f>
        <v>0</v>
      </c>
      <c r="AA286">
        <f>MAX(0,ROUND(AY285*(1+'Calc base'!M286),2)-O286-'Calc base'!Y286)</f>
        <v>0</v>
      </c>
      <c r="AB286">
        <f>MAX(0,ROUND(AZ285*(1+'Calc base'!N286),2)-P286-'Calc base'!Z286)</f>
        <v>0</v>
      </c>
      <c r="AC286">
        <f>MAX(0,ROUND(BA285*(1+'Calc base'!O286),2)-Q286-'Calc base'!AA286)</f>
        <v>0</v>
      </c>
      <c r="AD286">
        <f>MAX(0,ROUND(BB285*(1+'Calc base'!P286),2)-R286-'Calc base'!AB286)</f>
        <v>0</v>
      </c>
      <c r="AE286">
        <f>MAX(0,ROUND(BC285*(1+'Calc base'!Q286),2)-S286-'Calc base'!AC286)</f>
        <v>0</v>
      </c>
      <c r="AF286">
        <f>MAX(0,ROUND(BD285*(1+'Calc base'!R286),2)-T286-'Calc base'!AD286)</f>
        <v>0</v>
      </c>
      <c r="AG286">
        <f>MAX(0,ROUND(BE285*(1+'Calc base'!S286),2)-U286-'Calc base'!AE286)</f>
        <v>0</v>
      </c>
      <c r="AH286">
        <f>IF('Calc base'!C$14=0,0,MIN(V286,MAX(0,$E286-SUMIFS($V286:$AG286,'Calc base'!$C$17:$N$17,"&lt;"&amp;'Calc base'!C$17,'Calc base'!$C$14:$N$14,1))))</f>
        <v>0</v>
      </c>
      <c r="AI286">
        <f>IF('Calc base'!D$14=0,0,MIN(W286,MAX(0,$E286-SUMIFS($V286:$AG286,'Calc base'!$C$17:$N$17,"&lt;"&amp;'Calc base'!D$17,'Calc base'!$C$14:$N$14,1))))</f>
        <v>0</v>
      </c>
      <c r="AJ286">
        <f>IF('Calc base'!E$14=0,0,MIN(X286,MAX(0,$E286-SUMIFS($V286:$AG286,'Calc base'!$C$17:$N$17,"&lt;"&amp;'Calc base'!E$17,'Calc base'!$C$14:$N$14,1))))</f>
        <v>0</v>
      </c>
      <c r="AK286">
        <f>IF('Calc base'!F$14=0,0,MIN(Y286,MAX(0,$E286-SUMIFS($V286:$AG286,'Calc base'!$C$17:$N$17,"&lt;"&amp;'Calc base'!F$17,'Calc base'!$C$14:$N$14,1))))</f>
        <v>0</v>
      </c>
      <c r="AL286">
        <f>IF('Calc base'!G$14=0,0,MIN(Z286,MAX(0,$E286-SUMIFS($V286:$AG286,'Calc base'!$C$17:$N$17,"&lt;"&amp;'Calc base'!G$17,'Calc base'!$C$14:$N$14,1))))</f>
        <v>0</v>
      </c>
      <c r="AM286">
        <f>IF('Calc base'!H$14=0,0,MIN(AA286,MAX(0,$E286-SUMIFS($V286:$AG286,'Calc base'!$C$17:$N$17,"&lt;"&amp;'Calc base'!H$17,'Calc base'!$C$14:$N$14,1))))</f>
        <v>0</v>
      </c>
      <c r="AN286">
        <f>IF('Calc base'!I$14=0,0,MIN(AB286,MAX(0,$E286-SUMIFS($V286:$AG286,'Calc base'!$C$17:$N$17,"&lt;"&amp;'Calc base'!I$17,'Calc base'!$C$14:$N$14,1))))</f>
        <v>0</v>
      </c>
      <c r="AO286">
        <f>IF('Calc base'!J$14=0,0,MIN(AC286,MAX(0,$E286-SUMIFS($V286:$AG286,'Calc base'!$C$17:$N$17,"&lt;"&amp;'Calc base'!J$17,'Calc base'!$C$14:$N$14,1))))</f>
        <v>0</v>
      </c>
      <c r="AP286">
        <f>IF('Calc base'!K$14=0,0,MIN(AD286,MAX(0,$E286-SUMIFS($V286:$AG286,'Calc base'!$C$17:$N$17,"&lt;"&amp;'Calc base'!K$17,'Calc base'!$C$14:$N$14,1))))</f>
        <v>0</v>
      </c>
      <c r="AQ286">
        <f>IF('Calc base'!L$14=0,0,MIN(AE286,MAX(0,$E286-SUMIFS($V286:$AG286,'Calc base'!$C$17:$N$17,"&lt;"&amp;'Calc base'!L$17,'Calc base'!$C$14:$N$14,1))))</f>
        <v>0</v>
      </c>
      <c r="AR286">
        <f>IF('Calc base'!M$14=0,0,MIN(AF286,MAX(0,$E286-SUMIFS($V286:$AG286,'Calc base'!$C$17:$N$17,"&lt;"&amp;'Calc base'!M$17,'Calc base'!$C$14:$N$14,1))))</f>
        <v>0</v>
      </c>
      <c r="AS286">
        <f>IF('Calc base'!N$14=0,0,MIN(AG286,MAX(0,$E286-SUMIFS($V286:$AG286,'Calc base'!$C$17:$N$17,"&lt;"&amp;'Calc base'!N$17,'Calc base'!$C$14:$N$14,1))))</f>
        <v>0</v>
      </c>
      <c r="AT286">
        <f>V286-AH286</f>
        <v>0</v>
      </c>
      <c r="AU286">
        <f>W286-AI286</f>
        <v>0</v>
      </c>
      <c r="AV286">
        <f>X286-AJ286</f>
        <v>0</v>
      </c>
      <c r="AW286">
        <f>Y286-AK286</f>
        <v>0</v>
      </c>
      <c r="AX286">
        <f>Z286-AL286</f>
        <v>0</v>
      </c>
      <c r="AY286">
        <f>AA286-AM286</f>
        <v>0</v>
      </c>
      <c r="AZ286">
        <f>AB286-AN286</f>
        <v>0</v>
      </c>
      <c r="BA286">
        <f>AC286-AO286</f>
        <v>0</v>
      </c>
      <c r="BB286">
        <f>AD286-AP286</f>
        <v>0</v>
      </c>
      <c r="BC286">
        <f>AE286-AQ286</f>
        <v>0</v>
      </c>
      <c r="BD286">
        <f>AF286-AR286</f>
        <v>0</v>
      </c>
      <c r="BE286">
        <f>AG286-AS286</f>
        <v>0</v>
      </c>
    </row>
    <row r="287">
      <c r="A287" t="n">
        <v>257</v>
      </c>
      <c r="B287">
        <f>SUMPRODUCT(ROUND($AT286:$BE286*(1+'Calc base'!$H287:$S287),2))</f>
        <v>0</v>
      </c>
      <c r="C287">
        <f>SUM(J287:U287)</f>
        <v>0</v>
      </c>
      <c r="D287">
        <f>SUM(V287:AG287)</f>
        <v>0</v>
      </c>
      <c r="E287">
        <f>MAX(0,IF(Impostazioni!$B$7="No",'Calc base'!$C287-$C$31,'Calc base'!$C287-C287)+'Calc base'!$G287+'Calc base'!$F287-(B287-C287-D287))</f>
        <v>900</v>
      </c>
      <c r="F287">
        <f>SUM(AH287:AS287)</f>
        <v>0</v>
      </c>
      <c r="G287">
        <f>SUM(AT287:BE287)</f>
        <v>0</v>
      </c>
      <c r="H287">
        <f>B287-G286</f>
        <v>0</v>
      </c>
      <c r="I287">
        <f>B287-G287</f>
        <v>0</v>
      </c>
      <c r="J287">
        <f>IF(AT286&lt;=0,0,IF(ROUND(AT286*(1+'Calc base'!H287),2)-MAX('Calc base'!C$12,ROUND('Calc base'!C$13*AT286,2))&lt;1,ROUND(AT286*(1+'Calc base'!H287),2),MAX('Calc base'!C$12,ROUND('Calc base'!C$13*AT286,2))))</f>
        <v>0</v>
      </c>
      <c r="K287">
        <f>IF(AU286&lt;=0,0,IF(ROUND(AU286*(1+'Calc base'!I287),2)-MAX('Calc base'!D$12,ROUND('Calc base'!D$13*AU286,2))&lt;1,ROUND(AU286*(1+'Calc base'!I287),2),MAX('Calc base'!D$12,ROUND('Calc base'!D$13*AU286,2))))</f>
        <v>0</v>
      </c>
      <c r="L287">
        <f>IF(AV286&lt;=0,0,IF(ROUND(AV286*(1+'Calc base'!J287),2)-MAX('Calc base'!E$12,ROUND('Calc base'!E$13*AV286,2))&lt;1,ROUND(AV286*(1+'Calc base'!J287),2),MAX('Calc base'!E$12,ROUND('Calc base'!E$13*AV286,2))))</f>
        <v>0</v>
      </c>
      <c r="M287">
        <f>IF(AW286&lt;=0,0,IF(ROUND(AW286*(1+'Calc base'!K287),2)-MAX('Calc base'!F$12,ROUND('Calc base'!F$13*AW286,2))&lt;1,ROUND(AW286*(1+'Calc base'!K287),2),MAX('Calc base'!F$12,ROUND('Calc base'!F$13*AW286,2))))</f>
        <v>0</v>
      </c>
      <c r="N287">
        <f>IF(AX286&lt;=0,0,IF(ROUND(AX286*(1+'Calc base'!L287),2)-MAX('Calc base'!G$12,ROUND('Calc base'!G$13*AX286,2))&lt;1,ROUND(AX286*(1+'Calc base'!L287),2),MAX('Calc base'!G$12,ROUND('Calc base'!G$13*AX286,2))))</f>
        <v>0</v>
      </c>
      <c r="O287">
        <f>IF(AY286&lt;=0,0,IF(ROUND(AY286*(1+'Calc base'!M287),2)-MAX('Calc base'!H$12,ROUND('Calc base'!H$13*AY286,2))&lt;1,ROUND(AY286*(1+'Calc base'!M287),2),MAX('Calc base'!H$12,ROUND('Calc base'!H$13*AY286,2))))</f>
        <v>0</v>
      </c>
      <c r="P287">
        <f>IF(AZ286&lt;=0,0,IF(ROUND(AZ286*(1+'Calc base'!N287),2)-MAX('Calc base'!I$12,ROUND('Calc base'!I$13*AZ286,2))&lt;1,ROUND(AZ286*(1+'Calc base'!N287),2),MAX('Calc base'!I$12,ROUND('Calc base'!I$13*AZ286,2))))</f>
        <v>0</v>
      </c>
      <c r="Q287">
        <f>IF(BA286&lt;=0,0,IF(ROUND(BA286*(1+'Calc base'!O287),2)-MAX('Calc base'!J$12,ROUND('Calc base'!J$13*BA286,2))&lt;1,ROUND(BA286*(1+'Calc base'!O287),2),MAX('Calc base'!J$12,ROUND('Calc base'!J$13*BA286,2))))</f>
        <v>0</v>
      </c>
      <c r="R287">
        <f>IF(BB286&lt;=0,0,IF(ROUND(BB286*(1+'Calc base'!P287),2)-MAX('Calc base'!K$12,ROUND('Calc base'!K$13*BB286,2))&lt;1,ROUND(BB286*(1+'Calc base'!P287),2),MAX('Calc base'!K$12,ROUND('Calc base'!K$13*BB286,2))))</f>
        <v>0</v>
      </c>
      <c r="S287">
        <f>IF(BC286&lt;=0,0,IF(ROUND(BC286*(1+'Calc base'!Q287),2)-MAX('Calc base'!L$12,ROUND('Calc base'!L$13*BC286,2))&lt;1,ROUND(BC286*(1+'Calc base'!Q287),2),MAX('Calc base'!L$12,ROUND('Calc base'!L$13*BC286,2))))</f>
        <v>0</v>
      </c>
      <c r="T287">
        <f>IF(BD286&lt;=0,0,IF(ROUND(BD286*(1+'Calc base'!R287),2)-MAX('Calc base'!M$12,ROUND('Calc base'!M$13*BD286,2))&lt;1,ROUND(BD286*(1+'Calc base'!R287),2),MAX('Calc base'!M$12,ROUND('Calc base'!M$13*BD286,2))))</f>
        <v>0</v>
      </c>
      <c r="U287">
        <f>IF(BE286&lt;=0,0,IF(ROUND(BE286*(1+'Calc base'!S287),2)-MAX('Calc base'!N$12,ROUND('Calc base'!N$13*BE286,2))&lt;1,ROUND(BE286*(1+'Calc base'!S287),2),MAX('Calc base'!N$12,ROUND('Calc base'!N$13*BE286,2))))</f>
        <v>0</v>
      </c>
      <c r="V287">
        <f>MAX(0,ROUND(AT286*(1+'Calc base'!H287),2)-J287-'Calc base'!T287)</f>
        <v>0</v>
      </c>
      <c r="W287">
        <f>MAX(0,ROUND(AU286*(1+'Calc base'!I287),2)-K287-'Calc base'!U287)</f>
        <v>0</v>
      </c>
      <c r="X287">
        <f>MAX(0,ROUND(AV286*(1+'Calc base'!J287),2)-L287-'Calc base'!V287)</f>
        <v>0</v>
      </c>
      <c r="Y287">
        <f>MAX(0,ROUND(AW286*(1+'Calc base'!K287),2)-M287-'Calc base'!W287)</f>
        <v>0</v>
      </c>
      <c r="Z287">
        <f>MAX(0,ROUND(AX286*(1+'Calc base'!L287),2)-N287-'Calc base'!X287)</f>
        <v>0</v>
      </c>
      <c r="AA287">
        <f>MAX(0,ROUND(AY286*(1+'Calc base'!M287),2)-O287-'Calc base'!Y287)</f>
        <v>0</v>
      </c>
      <c r="AB287">
        <f>MAX(0,ROUND(AZ286*(1+'Calc base'!N287),2)-P287-'Calc base'!Z287)</f>
        <v>0</v>
      </c>
      <c r="AC287">
        <f>MAX(0,ROUND(BA286*(1+'Calc base'!O287),2)-Q287-'Calc base'!AA287)</f>
        <v>0</v>
      </c>
      <c r="AD287">
        <f>MAX(0,ROUND(BB286*(1+'Calc base'!P287),2)-R287-'Calc base'!AB287)</f>
        <v>0</v>
      </c>
      <c r="AE287">
        <f>MAX(0,ROUND(BC286*(1+'Calc base'!Q287),2)-S287-'Calc base'!AC287)</f>
        <v>0</v>
      </c>
      <c r="AF287">
        <f>MAX(0,ROUND(BD286*(1+'Calc base'!R287),2)-T287-'Calc base'!AD287)</f>
        <v>0</v>
      </c>
      <c r="AG287">
        <f>MAX(0,ROUND(BE286*(1+'Calc base'!S287),2)-U287-'Calc base'!AE287)</f>
        <v>0</v>
      </c>
      <c r="AH287">
        <f>IF('Calc base'!C$14=0,0,MIN(V287,MAX(0,$E287-SUMIFS($V287:$AG287,'Calc base'!$C$17:$N$17,"&lt;"&amp;'Calc base'!C$17,'Calc base'!$C$14:$N$14,1))))</f>
        <v>0</v>
      </c>
      <c r="AI287">
        <f>IF('Calc base'!D$14=0,0,MIN(W287,MAX(0,$E287-SUMIFS($V287:$AG287,'Calc base'!$C$17:$N$17,"&lt;"&amp;'Calc base'!D$17,'Calc base'!$C$14:$N$14,1))))</f>
        <v>0</v>
      </c>
      <c r="AJ287">
        <f>IF('Calc base'!E$14=0,0,MIN(X287,MAX(0,$E287-SUMIFS($V287:$AG287,'Calc base'!$C$17:$N$17,"&lt;"&amp;'Calc base'!E$17,'Calc base'!$C$14:$N$14,1))))</f>
        <v>0</v>
      </c>
      <c r="AK287">
        <f>IF('Calc base'!F$14=0,0,MIN(Y287,MAX(0,$E287-SUMIFS($V287:$AG287,'Calc base'!$C$17:$N$17,"&lt;"&amp;'Calc base'!F$17,'Calc base'!$C$14:$N$14,1))))</f>
        <v>0</v>
      </c>
      <c r="AL287">
        <f>IF('Calc base'!G$14=0,0,MIN(Z287,MAX(0,$E287-SUMIFS($V287:$AG287,'Calc base'!$C$17:$N$17,"&lt;"&amp;'Calc base'!G$17,'Calc base'!$C$14:$N$14,1))))</f>
        <v>0</v>
      </c>
      <c r="AM287">
        <f>IF('Calc base'!H$14=0,0,MIN(AA287,MAX(0,$E287-SUMIFS($V287:$AG287,'Calc base'!$C$17:$N$17,"&lt;"&amp;'Calc base'!H$17,'Calc base'!$C$14:$N$14,1))))</f>
        <v>0</v>
      </c>
      <c r="AN287">
        <f>IF('Calc base'!I$14=0,0,MIN(AB287,MAX(0,$E287-SUMIFS($V287:$AG287,'Calc base'!$C$17:$N$17,"&lt;"&amp;'Calc base'!I$17,'Calc base'!$C$14:$N$14,1))))</f>
        <v>0</v>
      </c>
      <c r="AO287">
        <f>IF('Calc base'!J$14=0,0,MIN(AC287,MAX(0,$E287-SUMIFS($V287:$AG287,'Calc base'!$C$17:$N$17,"&lt;"&amp;'Calc base'!J$17,'Calc base'!$C$14:$N$14,1))))</f>
        <v>0</v>
      </c>
      <c r="AP287">
        <f>IF('Calc base'!K$14=0,0,MIN(AD287,MAX(0,$E287-SUMIFS($V287:$AG287,'Calc base'!$C$17:$N$17,"&lt;"&amp;'Calc base'!K$17,'Calc base'!$C$14:$N$14,1))))</f>
        <v>0</v>
      </c>
      <c r="AQ287">
        <f>IF('Calc base'!L$14=0,0,MIN(AE287,MAX(0,$E287-SUMIFS($V287:$AG287,'Calc base'!$C$17:$N$17,"&lt;"&amp;'Calc base'!L$17,'Calc base'!$C$14:$N$14,1))))</f>
        <v>0</v>
      </c>
      <c r="AR287">
        <f>IF('Calc base'!M$14=0,0,MIN(AF287,MAX(0,$E287-SUMIFS($V287:$AG287,'Calc base'!$C$17:$N$17,"&lt;"&amp;'Calc base'!M$17,'Calc base'!$C$14:$N$14,1))))</f>
        <v>0</v>
      </c>
      <c r="AS287">
        <f>IF('Calc base'!N$14=0,0,MIN(AG287,MAX(0,$E287-SUMIFS($V287:$AG287,'Calc base'!$C$17:$N$17,"&lt;"&amp;'Calc base'!N$17,'Calc base'!$C$14:$N$14,1))))</f>
        <v>0</v>
      </c>
      <c r="AT287">
        <f>V287-AH287</f>
        <v>0</v>
      </c>
      <c r="AU287">
        <f>W287-AI287</f>
        <v>0</v>
      </c>
      <c r="AV287">
        <f>X287-AJ287</f>
        <v>0</v>
      </c>
      <c r="AW287">
        <f>Y287-AK287</f>
        <v>0</v>
      </c>
      <c r="AX287">
        <f>Z287-AL287</f>
        <v>0</v>
      </c>
      <c r="AY287">
        <f>AA287-AM287</f>
        <v>0</v>
      </c>
      <c r="AZ287">
        <f>AB287-AN287</f>
        <v>0</v>
      </c>
      <c r="BA287">
        <f>AC287-AO287</f>
        <v>0</v>
      </c>
      <c r="BB287">
        <f>AD287-AP287</f>
        <v>0</v>
      </c>
      <c r="BC287">
        <f>AE287-AQ287</f>
        <v>0</v>
      </c>
      <c r="BD287">
        <f>AF287-AR287</f>
        <v>0</v>
      </c>
      <c r="BE287">
        <f>AG287-AS287</f>
        <v>0</v>
      </c>
    </row>
    <row r="288">
      <c r="A288" t="n">
        <v>258</v>
      </c>
      <c r="B288">
        <f>SUMPRODUCT(ROUND($AT287:$BE287*(1+'Calc base'!$H288:$S288),2))</f>
        <v>0</v>
      </c>
      <c r="C288">
        <f>SUM(J288:U288)</f>
        <v>0</v>
      </c>
      <c r="D288">
        <f>SUM(V288:AG288)</f>
        <v>0</v>
      </c>
      <c r="E288">
        <f>MAX(0,IF(Impostazioni!$B$7="No",'Calc base'!$C288-$C$31,'Calc base'!$C288-C288)+'Calc base'!$G288+'Calc base'!$F288-(B288-C288-D288))</f>
        <v>900</v>
      </c>
      <c r="F288">
        <f>SUM(AH288:AS288)</f>
        <v>0</v>
      </c>
      <c r="G288">
        <f>SUM(AT288:BE288)</f>
        <v>0</v>
      </c>
      <c r="H288">
        <f>B288-G287</f>
        <v>0</v>
      </c>
      <c r="I288">
        <f>B288-G288</f>
        <v>0</v>
      </c>
      <c r="J288">
        <f>IF(AT287&lt;=0,0,IF(ROUND(AT287*(1+'Calc base'!H288),2)-MAX('Calc base'!C$12,ROUND('Calc base'!C$13*AT287,2))&lt;1,ROUND(AT287*(1+'Calc base'!H288),2),MAX('Calc base'!C$12,ROUND('Calc base'!C$13*AT287,2))))</f>
        <v>0</v>
      </c>
      <c r="K288">
        <f>IF(AU287&lt;=0,0,IF(ROUND(AU287*(1+'Calc base'!I288),2)-MAX('Calc base'!D$12,ROUND('Calc base'!D$13*AU287,2))&lt;1,ROUND(AU287*(1+'Calc base'!I288),2),MAX('Calc base'!D$12,ROUND('Calc base'!D$13*AU287,2))))</f>
        <v>0</v>
      </c>
      <c r="L288">
        <f>IF(AV287&lt;=0,0,IF(ROUND(AV287*(1+'Calc base'!J288),2)-MAX('Calc base'!E$12,ROUND('Calc base'!E$13*AV287,2))&lt;1,ROUND(AV287*(1+'Calc base'!J288),2),MAX('Calc base'!E$12,ROUND('Calc base'!E$13*AV287,2))))</f>
        <v>0</v>
      </c>
      <c r="M288">
        <f>IF(AW287&lt;=0,0,IF(ROUND(AW287*(1+'Calc base'!K288),2)-MAX('Calc base'!F$12,ROUND('Calc base'!F$13*AW287,2))&lt;1,ROUND(AW287*(1+'Calc base'!K288),2),MAX('Calc base'!F$12,ROUND('Calc base'!F$13*AW287,2))))</f>
        <v>0</v>
      </c>
      <c r="N288">
        <f>IF(AX287&lt;=0,0,IF(ROUND(AX287*(1+'Calc base'!L288),2)-MAX('Calc base'!G$12,ROUND('Calc base'!G$13*AX287,2))&lt;1,ROUND(AX287*(1+'Calc base'!L288),2),MAX('Calc base'!G$12,ROUND('Calc base'!G$13*AX287,2))))</f>
        <v>0</v>
      </c>
      <c r="O288">
        <f>IF(AY287&lt;=0,0,IF(ROUND(AY287*(1+'Calc base'!M288),2)-MAX('Calc base'!H$12,ROUND('Calc base'!H$13*AY287,2))&lt;1,ROUND(AY287*(1+'Calc base'!M288),2),MAX('Calc base'!H$12,ROUND('Calc base'!H$13*AY287,2))))</f>
        <v>0</v>
      </c>
      <c r="P288">
        <f>IF(AZ287&lt;=0,0,IF(ROUND(AZ287*(1+'Calc base'!N288),2)-MAX('Calc base'!I$12,ROUND('Calc base'!I$13*AZ287,2))&lt;1,ROUND(AZ287*(1+'Calc base'!N288),2),MAX('Calc base'!I$12,ROUND('Calc base'!I$13*AZ287,2))))</f>
        <v>0</v>
      </c>
      <c r="Q288">
        <f>IF(BA287&lt;=0,0,IF(ROUND(BA287*(1+'Calc base'!O288),2)-MAX('Calc base'!J$12,ROUND('Calc base'!J$13*BA287,2))&lt;1,ROUND(BA287*(1+'Calc base'!O288),2),MAX('Calc base'!J$12,ROUND('Calc base'!J$13*BA287,2))))</f>
        <v>0</v>
      </c>
      <c r="R288">
        <f>IF(BB287&lt;=0,0,IF(ROUND(BB287*(1+'Calc base'!P288),2)-MAX('Calc base'!K$12,ROUND('Calc base'!K$13*BB287,2))&lt;1,ROUND(BB287*(1+'Calc base'!P288),2),MAX('Calc base'!K$12,ROUND('Calc base'!K$13*BB287,2))))</f>
        <v>0</v>
      </c>
      <c r="S288">
        <f>IF(BC287&lt;=0,0,IF(ROUND(BC287*(1+'Calc base'!Q288),2)-MAX('Calc base'!L$12,ROUND('Calc base'!L$13*BC287,2))&lt;1,ROUND(BC287*(1+'Calc base'!Q288),2),MAX('Calc base'!L$12,ROUND('Calc base'!L$13*BC287,2))))</f>
        <v>0</v>
      </c>
      <c r="T288">
        <f>IF(BD287&lt;=0,0,IF(ROUND(BD287*(1+'Calc base'!R288),2)-MAX('Calc base'!M$12,ROUND('Calc base'!M$13*BD287,2))&lt;1,ROUND(BD287*(1+'Calc base'!R288),2),MAX('Calc base'!M$12,ROUND('Calc base'!M$13*BD287,2))))</f>
        <v>0</v>
      </c>
      <c r="U288">
        <f>IF(BE287&lt;=0,0,IF(ROUND(BE287*(1+'Calc base'!S288),2)-MAX('Calc base'!N$12,ROUND('Calc base'!N$13*BE287,2))&lt;1,ROUND(BE287*(1+'Calc base'!S288),2),MAX('Calc base'!N$12,ROUND('Calc base'!N$13*BE287,2))))</f>
        <v>0</v>
      </c>
      <c r="V288">
        <f>MAX(0,ROUND(AT287*(1+'Calc base'!H288),2)-J288-'Calc base'!T288)</f>
        <v>0</v>
      </c>
      <c r="W288">
        <f>MAX(0,ROUND(AU287*(1+'Calc base'!I288),2)-K288-'Calc base'!U288)</f>
        <v>0</v>
      </c>
      <c r="X288">
        <f>MAX(0,ROUND(AV287*(1+'Calc base'!J288),2)-L288-'Calc base'!V288)</f>
        <v>0</v>
      </c>
      <c r="Y288">
        <f>MAX(0,ROUND(AW287*(1+'Calc base'!K288),2)-M288-'Calc base'!W288)</f>
        <v>0</v>
      </c>
      <c r="Z288">
        <f>MAX(0,ROUND(AX287*(1+'Calc base'!L288),2)-N288-'Calc base'!X288)</f>
        <v>0</v>
      </c>
      <c r="AA288">
        <f>MAX(0,ROUND(AY287*(1+'Calc base'!M288),2)-O288-'Calc base'!Y288)</f>
        <v>0</v>
      </c>
      <c r="AB288">
        <f>MAX(0,ROUND(AZ287*(1+'Calc base'!N288),2)-P288-'Calc base'!Z288)</f>
        <v>0</v>
      </c>
      <c r="AC288">
        <f>MAX(0,ROUND(BA287*(1+'Calc base'!O288),2)-Q288-'Calc base'!AA288)</f>
        <v>0</v>
      </c>
      <c r="AD288">
        <f>MAX(0,ROUND(BB287*(1+'Calc base'!P288),2)-R288-'Calc base'!AB288)</f>
        <v>0</v>
      </c>
      <c r="AE288">
        <f>MAX(0,ROUND(BC287*(1+'Calc base'!Q288),2)-S288-'Calc base'!AC288)</f>
        <v>0</v>
      </c>
      <c r="AF288">
        <f>MAX(0,ROUND(BD287*(1+'Calc base'!R288),2)-T288-'Calc base'!AD288)</f>
        <v>0</v>
      </c>
      <c r="AG288">
        <f>MAX(0,ROUND(BE287*(1+'Calc base'!S288),2)-U288-'Calc base'!AE288)</f>
        <v>0</v>
      </c>
      <c r="AH288">
        <f>IF('Calc base'!C$14=0,0,MIN(V288,MAX(0,$E288-SUMIFS($V288:$AG288,'Calc base'!$C$17:$N$17,"&lt;"&amp;'Calc base'!C$17,'Calc base'!$C$14:$N$14,1))))</f>
        <v>0</v>
      </c>
      <c r="AI288">
        <f>IF('Calc base'!D$14=0,0,MIN(W288,MAX(0,$E288-SUMIFS($V288:$AG288,'Calc base'!$C$17:$N$17,"&lt;"&amp;'Calc base'!D$17,'Calc base'!$C$14:$N$14,1))))</f>
        <v>0</v>
      </c>
      <c r="AJ288">
        <f>IF('Calc base'!E$14=0,0,MIN(X288,MAX(0,$E288-SUMIFS($V288:$AG288,'Calc base'!$C$17:$N$17,"&lt;"&amp;'Calc base'!E$17,'Calc base'!$C$14:$N$14,1))))</f>
        <v>0</v>
      </c>
      <c r="AK288">
        <f>IF('Calc base'!F$14=0,0,MIN(Y288,MAX(0,$E288-SUMIFS($V288:$AG288,'Calc base'!$C$17:$N$17,"&lt;"&amp;'Calc base'!F$17,'Calc base'!$C$14:$N$14,1))))</f>
        <v>0</v>
      </c>
      <c r="AL288">
        <f>IF('Calc base'!G$14=0,0,MIN(Z288,MAX(0,$E288-SUMIFS($V288:$AG288,'Calc base'!$C$17:$N$17,"&lt;"&amp;'Calc base'!G$17,'Calc base'!$C$14:$N$14,1))))</f>
        <v>0</v>
      </c>
      <c r="AM288">
        <f>IF('Calc base'!H$14=0,0,MIN(AA288,MAX(0,$E288-SUMIFS($V288:$AG288,'Calc base'!$C$17:$N$17,"&lt;"&amp;'Calc base'!H$17,'Calc base'!$C$14:$N$14,1))))</f>
        <v>0</v>
      </c>
      <c r="AN288">
        <f>IF('Calc base'!I$14=0,0,MIN(AB288,MAX(0,$E288-SUMIFS($V288:$AG288,'Calc base'!$C$17:$N$17,"&lt;"&amp;'Calc base'!I$17,'Calc base'!$C$14:$N$14,1))))</f>
        <v>0</v>
      </c>
      <c r="AO288">
        <f>IF('Calc base'!J$14=0,0,MIN(AC288,MAX(0,$E288-SUMIFS($V288:$AG288,'Calc base'!$C$17:$N$17,"&lt;"&amp;'Calc base'!J$17,'Calc base'!$C$14:$N$14,1))))</f>
        <v>0</v>
      </c>
      <c r="AP288">
        <f>IF('Calc base'!K$14=0,0,MIN(AD288,MAX(0,$E288-SUMIFS($V288:$AG288,'Calc base'!$C$17:$N$17,"&lt;"&amp;'Calc base'!K$17,'Calc base'!$C$14:$N$14,1))))</f>
        <v>0</v>
      </c>
      <c r="AQ288">
        <f>IF('Calc base'!L$14=0,0,MIN(AE288,MAX(0,$E288-SUMIFS($V288:$AG288,'Calc base'!$C$17:$N$17,"&lt;"&amp;'Calc base'!L$17,'Calc base'!$C$14:$N$14,1))))</f>
        <v>0</v>
      </c>
      <c r="AR288">
        <f>IF('Calc base'!M$14=0,0,MIN(AF288,MAX(0,$E288-SUMIFS($V288:$AG288,'Calc base'!$C$17:$N$17,"&lt;"&amp;'Calc base'!M$17,'Calc base'!$C$14:$N$14,1))))</f>
        <v>0</v>
      </c>
      <c r="AS288">
        <f>IF('Calc base'!N$14=0,0,MIN(AG288,MAX(0,$E288-SUMIFS($V288:$AG288,'Calc base'!$C$17:$N$17,"&lt;"&amp;'Calc base'!N$17,'Calc base'!$C$14:$N$14,1))))</f>
        <v>0</v>
      </c>
      <c r="AT288">
        <f>V288-AH288</f>
        <v>0</v>
      </c>
      <c r="AU288">
        <f>W288-AI288</f>
        <v>0</v>
      </c>
      <c r="AV288">
        <f>X288-AJ288</f>
        <v>0</v>
      </c>
      <c r="AW288">
        <f>Y288-AK288</f>
        <v>0</v>
      </c>
      <c r="AX288">
        <f>Z288-AL288</f>
        <v>0</v>
      </c>
      <c r="AY288">
        <f>AA288-AM288</f>
        <v>0</v>
      </c>
      <c r="AZ288">
        <f>AB288-AN288</f>
        <v>0</v>
      </c>
      <c r="BA288">
        <f>AC288-AO288</f>
        <v>0</v>
      </c>
      <c r="BB288">
        <f>AD288-AP288</f>
        <v>0</v>
      </c>
      <c r="BC288">
        <f>AE288-AQ288</f>
        <v>0</v>
      </c>
      <c r="BD288">
        <f>AF288-AR288</f>
        <v>0</v>
      </c>
      <c r="BE288">
        <f>AG288-AS288</f>
        <v>0</v>
      </c>
    </row>
    <row r="289">
      <c r="A289" t="n">
        <v>259</v>
      </c>
      <c r="B289">
        <f>SUMPRODUCT(ROUND($AT288:$BE288*(1+'Calc base'!$H289:$S289),2))</f>
        <v>0</v>
      </c>
      <c r="C289">
        <f>SUM(J289:U289)</f>
        <v>0</v>
      </c>
      <c r="D289">
        <f>SUM(V289:AG289)</f>
        <v>0</v>
      </c>
      <c r="E289">
        <f>MAX(0,IF(Impostazioni!$B$7="No",'Calc base'!$C289-$C$31,'Calc base'!$C289-C289)+'Calc base'!$G289+'Calc base'!$F289-(B289-C289-D289))</f>
        <v>900</v>
      </c>
      <c r="F289">
        <f>SUM(AH289:AS289)</f>
        <v>0</v>
      </c>
      <c r="G289">
        <f>SUM(AT289:BE289)</f>
        <v>0</v>
      </c>
      <c r="H289">
        <f>B289-G288</f>
        <v>0</v>
      </c>
      <c r="I289">
        <f>B289-G289</f>
        <v>0</v>
      </c>
      <c r="J289">
        <f>IF(AT288&lt;=0,0,IF(ROUND(AT288*(1+'Calc base'!H289),2)-MAX('Calc base'!C$12,ROUND('Calc base'!C$13*AT288,2))&lt;1,ROUND(AT288*(1+'Calc base'!H289),2),MAX('Calc base'!C$12,ROUND('Calc base'!C$13*AT288,2))))</f>
        <v>0</v>
      </c>
      <c r="K289">
        <f>IF(AU288&lt;=0,0,IF(ROUND(AU288*(1+'Calc base'!I289),2)-MAX('Calc base'!D$12,ROUND('Calc base'!D$13*AU288,2))&lt;1,ROUND(AU288*(1+'Calc base'!I289),2),MAX('Calc base'!D$12,ROUND('Calc base'!D$13*AU288,2))))</f>
        <v>0</v>
      </c>
      <c r="L289">
        <f>IF(AV288&lt;=0,0,IF(ROUND(AV288*(1+'Calc base'!J289),2)-MAX('Calc base'!E$12,ROUND('Calc base'!E$13*AV288,2))&lt;1,ROUND(AV288*(1+'Calc base'!J289),2),MAX('Calc base'!E$12,ROUND('Calc base'!E$13*AV288,2))))</f>
        <v>0</v>
      </c>
      <c r="M289">
        <f>IF(AW288&lt;=0,0,IF(ROUND(AW288*(1+'Calc base'!K289),2)-MAX('Calc base'!F$12,ROUND('Calc base'!F$13*AW288,2))&lt;1,ROUND(AW288*(1+'Calc base'!K289),2),MAX('Calc base'!F$12,ROUND('Calc base'!F$13*AW288,2))))</f>
        <v>0</v>
      </c>
      <c r="N289">
        <f>IF(AX288&lt;=0,0,IF(ROUND(AX288*(1+'Calc base'!L289),2)-MAX('Calc base'!G$12,ROUND('Calc base'!G$13*AX288,2))&lt;1,ROUND(AX288*(1+'Calc base'!L289),2),MAX('Calc base'!G$12,ROUND('Calc base'!G$13*AX288,2))))</f>
        <v>0</v>
      </c>
      <c r="O289">
        <f>IF(AY288&lt;=0,0,IF(ROUND(AY288*(1+'Calc base'!M289),2)-MAX('Calc base'!H$12,ROUND('Calc base'!H$13*AY288,2))&lt;1,ROUND(AY288*(1+'Calc base'!M289),2),MAX('Calc base'!H$12,ROUND('Calc base'!H$13*AY288,2))))</f>
        <v>0</v>
      </c>
      <c r="P289">
        <f>IF(AZ288&lt;=0,0,IF(ROUND(AZ288*(1+'Calc base'!N289),2)-MAX('Calc base'!I$12,ROUND('Calc base'!I$13*AZ288,2))&lt;1,ROUND(AZ288*(1+'Calc base'!N289),2),MAX('Calc base'!I$12,ROUND('Calc base'!I$13*AZ288,2))))</f>
        <v>0</v>
      </c>
      <c r="Q289">
        <f>IF(BA288&lt;=0,0,IF(ROUND(BA288*(1+'Calc base'!O289),2)-MAX('Calc base'!J$12,ROUND('Calc base'!J$13*BA288,2))&lt;1,ROUND(BA288*(1+'Calc base'!O289),2),MAX('Calc base'!J$12,ROUND('Calc base'!J$13*BA288,2))))</f>
        <v>0</v>
      </c>
      <c r="R289">
        <f>IF(BB288&lt;=0,0,IF(ROUND(BB288*(1+'Calc base'!P289),2)-MAX('Calc base'!K$12,ROUND('Calc base'!K$13*BB288,2))&lt;1,ROUND(BB288*(1+'Calc base'!P289),2),MAX('Calc base'!K$12,ROUND('Calc base'!K$13*BB288,2))))</f>
        <v>0</v>
      </c>
      <c r="S289">
        <f>IF(BC288&lt;=0,0,IF(ROUND(BC288*(1+'Calc base'!Q289),2)-MAX('Calc base'!L$12,ROUND('Calc base'!L$13*BC288,2))&lt;1,ROUND(BC288*(1+'Calc base'!Q289),2),MAX('Calc base'!L$12,ROUND('Calc base'!L$13*BC288,2))))</f>
        <v>0</v>
      </c>
      <c r="T289">
        <f>IF(BD288&lt;=0,0,IF(ROUND(BD288*(1+'Calc base'!R289),2)-MAX('Calc base'!M$12,ROUND('Calc base'!M$13*BD288,2))&lt;1,ROUND(BD288*(1+'Calc base'!R289),2),MAX('Calc base'!M$12,ROUND('Calc base'!M$13*BD288,2))))</f>
        <v>0</v>
      </c>
      <c r="U289">
        <f>IF(BE288&lt;=0,0,IF(ROUND(BE288*(1+'Calc base'!S289),2)-MAX('Calc base'!N$12,ROUND('Calc base'!N$13*BE288,2))&lt;1,ROUND(BE288*(1+'Calc base'!S289),2),MAX('Calc base'!N$12,ROUND('Calc base'!N$13*BE288,2))))</f>
        <v>0</v>
      </c>
      <c r="V289">
        <f>MAX(0,ROUND(AT288*(1+'Calc base'!H289),2)-J289-'Calc base'!T289)</f>
        <v>0</v>
      </c>
      <c r="W289">
        <f>MAX(0,ROUND(AU288*(1+'Calc base'!I289),2)-K289-'Calc base'!U289)</f>
        <v>0</v>
      </c>
      <c r="X289">
        <f>MAX(0,ROUND(AV288*(1+'Calc base'!J289),2)-L289-'Calc base'!V289)</f>
        <v>0</v>
      </c>
      <c r="Y289">
        <f>MAX(0,ROUND(AW288*(1+'Calc base'!K289),2)-M289-'Calc base'!W289)</f>
        <v>0</v>
      </c>
      <c r="Z289">
        <f>MAX(0,ROUND(AX288*(1+'Calc base'!L289),2)-N289-'Calc base'!X289)</f>
        <v>0</v>
      </c>
      <c r="AA289">
        <f>MAX(0,ROUND(AY288*(1+'Calc base'!M289),2)-O289-'Calc base'!Y289)</f>
        <v>0</v>
      </c>
      <c r="AB289">
        <f>MAX(0,ROUND(AZ288*(1+'Calc base'!N289),2)-P289-'Calc base'!Z289)</f>
        <v>0</v>
      </c>
      <c r="AC289">
        <f>MAX(0,ROUND(BA288*(1+'Calc base'!O289),2)-Q289-'Calc base'!AA289)</f>
        <v>0</v>
      </c>
      <c r="AD289">
        <f>MAX(0,ROUND(BB288*(1+'Calc base'!P289),2)-R289-'Calc base'!AB289)</f>
        <v>0</v>
      </c>
      <c r="AE289">
        <f>MAX(0,ROUND(BC288*(1+'Calc base'!Q289),2)-S289-'Calc base'!AC289)</f>
        <v>0</v>
      </c>
      <c r="AF289">
        <f>MAX(0,ROUND(BD288*(1+'Calc base'!R289),2)-T289-'Calc base'!AD289)</f>
        <v>0</v>
      </c>
      <c r="AG289">
        <f>MAX(0,ROUND(BE288*(1+'Calc base'!S289),2)-U289-'Calc base'!AE289)</f>
        <v>0</v>
      </c>
      <c r="AH289">
        <f>IF('Calc base'!C$14=0,0,MIN(V289,MAX(0,$E289-SUMIFS($V289:$AG289,'Calc base'!$C$17:$N$17,"&lt;"&amp;'Calc base'!C$17,'Calc base'!$C$14:$N$14,1))))</f>
        <v>0</v>
      </c>
      <c r="AI289">
        <f>IF('Calc base'!D$14=0,0,MIN(W289,MAX(0,$E289-SUMIFS($V289:$AG289,'Calc base'!$C$17:$N$17,"&lt;"&amp;'Calc base'!D$17,'Calc base'!$C$14:$N$14,1))))</f>
        <v>0</v>
      </c>
      <c r="AJ289">
        <f>IF('Calc base'!E$14=0,0,MIN(X289,MAX(0,$E289-SUMIFS($V289:$AG289,'Calc base'!$C$17:$N$17,"&lt;"&amp;'Calc base'!E$17,'Calc base'!$C$14:$N$14,1))))</f>
        <v>0</v>
      </c>
      <c r="AK289">
        <f>IF('Calc base'!F$14=0,0,MIN(Y289,MAX(0,$E289-SUMIFS($V289:$AG289,'Calc base'!$C$17:$N$17,"&lt;"&amp;'Calc base'!F$17,'Calc base'!$C$14:$N$14,1))))</f>
        <v>0</v>
      </c>
      <c r="AL289">
        <f>IF('Calc base'!G$14=0,0,MIN(Z289,MAX(0,$E289-SUMIFS($V289:$AG289,'Calc base'!$C$17:$N$17,"&lt;"&amp;'Calc base'!G$17,'Calc base'!$C$14:$N$14,1))))</f>
        <v>0</v>
      </c>
      <c r="AM289">
        <f>IF('Calc base'!H$14=0,0,MIN(AA289,MAX(0,$E289-SUMIFS($V289:$AG289,'Calc base'!$C$17:$N$17,"&lt;"&amp;'Calc base'!H$17,'Calc base'!$C$14:$N$14,1))))</f>
        <v>0</v>
      </c>
      <c r="AN289">
        <f>IF('Calc base'!I$14=0,0,MIN(AB289,MAX(0,$E289-SUMIFS($V289:$AG289,'Calc base'!$C$17:$N$17,"&lt;"&amp;'Calc base'!I$17,'Calc base'!$C$14:$N$14,1))))</f>
        <v>0</v>
      </c>
      <c r="AO289">
        <f>IF('Calc base'!J$14=0,0,MIN(AC289,MAX(0,$E289-SUMIFS($V289:$AG289,'Calc base'!$C$17:$N$17,"&lt;"&amp;'Calc base'!J$17,'Calc base'!$C$14:$N$14,1))))</f>
        <v>0</v>
      </c>
      <c r="AP289">
        <f>IF('Calc base'!K$14=0,0,MIN(AD289,MAX(0,$E289-SUMIFS($V289:$AG289,'Calc base'!$C$17:$N$17,"&lt;"&amp;'Calc base'!K$17,'Calc base'!$C$14:$N$14,1))))</f>
        <v>0</v>
      </c>
      <c r="AQ289">
        <f>IF('Calc base'!L$14=0,0,MIN(AE289,MAX(0,$E289-SUMIFS($V289:$AG289,'Calc base'!$C$17:$N$17,"&lt;"&amp;'Calc base'!L$17,'Calc base'!$C$14:$N$14,1))))</f>
        <v>0</v>
      </c>
      <c r="AR289">
        <f>IF('Calc base'!M$14=0,0,MIN(AF289,MAX(0,$E289-SUMIFS($V289:$AG289,'Calc base'!$C$17:$N$17,"&lt;"&amp;'Calc base'!M$17,'Calc base'!$C$14:$N$14,1))))</f>
        <v>0</v>
      </c>
      <c r="AS289">
        <f>IF('Calc base'!N$14=0,0,MIN(AG289,MAX(0,$E289-SUMIFS($V289:$AG289,'Calc base'!$C$17:$N$17,"&lt;"&amp;'Calc base'!N$17,'Calc base'!$C$14:$N$14,1))))</f>
        <v>0</v>
      </c>
      <c r="AT289">
        <f>V289-AH289</f>
        <v>0</v>
      </c>
      <c r="AU289">
        <f>W289-AI289</f>
        <v>0</v>
      </c>
      <c r="AV289">
        <f>X289-AJ289</f>
        <v>0</v>
      </c>
      <c r="AW289">
        <f>Y289-AK289</f>
        <v>0</v>
      </c>
      <c r="AX289">
        <f>Z289-AL289</f>
        <v>0</v>
      </c>
      <c r="AY289">
        <f>AA289-AM289</f>
        <v>0</v>
      </c>
      <c r="AZ289">
        <f>AB289-AN289</f>
        <v>0</v>
      </c>
      <c r="BA289">
        <f>AC289-AO289</f>
        <v>0</v>
      </c>
      <c r="BB289">
        <f>AD289-AP289</f>
        <v>0</v>
      </c>
      <c r="BC289">
        <f>AE289-AQ289</f>
        <v>0</v>
      </c>
      <c r="BD289">
        <f>AF289-AR289</f>
        <v>0</v>
      </c>
      <c r="BE289">
        <f>AG289-AS289</f>
        <v>0</v>
      </c>
    </row>
    <row r="290">
      <c r="A290" t="n">
        <v>260</v>
      </c>
      <c r="B290">
        <f>SUMPRODUCT(ROUND($AT289:$BE289*(1+'Calc base'!$H290:$S290),2))</f>
        <v>0</v>
      </c>
      <c r="C290">
        <f>SUM(J290:U290)</f>
        <v>0</v>
      </c>
      <c r="D290">
        <f>SUM(V290:AG290)</f>
        <v>0</v>
      </c>
      <c r="E290">
        <f>MAX(0,IF(Impostazioni!$B$7="No",'Calc base'!$C290-$C$31,'Calc base'!$C290-C290)+'Calc base'!$G290+'Calc base'!$F290-(B290-C290-D290))</f>
        <v>900</v>
      </c>
      <c r="F290">
        <f>SUM(AH290:AS290)</f>
        <v>0</v>
      </c>
      <c r="G290">
        <f>SUM(AT290:BE290)</f>
        <v>0</v>
      </c>
      <c r="H290">
        <f>B290-G289</f>
        <v>0</v>
      </c>
      <c r="I290">
        <f>B290-G290</f>
        <v>0</v>
      </c>
      <c r="J290">
        <f>IF(AT289&lt;=0,0,IF(ROUND(AT289*(1+'Calc base'!H290),2)-MAX('Calc base'!C$12,ROUND('Calc base'!C$13*AT289,2))&lt;1,ROUND(AT289*(1+'Calc base'!H290),2),MAX('Calc base'!C$12,ROUND('Calc base'!C$13*AT289,2))))</f>
        <v>0</v>
      </c>
      <c r="K290">
        <f>IF(AU289&lt;=0,0,IF(ROUND(AU289*(1+'Calc base'!I290),2)-MAX('Calc base'!D$12,ROUND('Calc base'!D$13*AU289,2))&lt;1,ROUND(AU289*(1+'Calc base'!I290),2),MAX('Calc base'!D$12,ROUND('Calc base'!D$13*AU289,2))))</f>
        <v>0</v>
      </c>
      <c r="L290">
        <f>IF(AV289&lt;=0,0,IF(ROUND(AV289*(1+'Calc base'!J290),2)-MAX('Calc base'!E$12,ROUND('Calc base'!E$13*AV289,2))&lt;1,ROUND(AV289*(1+'Calc base'!J290),2),MAX('Calc base'!E$12,ROUND('Calc base'!E$13*AV289,2))))</f>
        <v>0</v>
      </c>
      <c r="M290">
        <f>IF(AW289&lt;=0,0,IF(ROUND(AW289*(1+'Calc base'!K290),2)-MAX('Calc base'!F$12,ROUND('Calc base'!F$13*AW289,2))&lt;1,ROUND(AW289*(1+'Calc base'!K290),2),MAX('Calc base'!F$12,ROUND('Calc base'!F$13*AW289,2))))</f>
        <v>0</v>
      </c>
      <c r="N290">
        <f>IF(AX289&lt;=0,0,IF(ROUND(AX289*(1+'Calc base'!L290),2)-MAX('Calc base'!G$12,ROUND('Calc base'!G$13*AX289,2))&lt;1,ROUND(AX289*(1+'Calc base'!L290),2),MAX('Calc base'!G$12,ROUND('Calc base'!G$13*AX289,2))))</f>
        <v>0</v>
      </c>
      <c r="O290">
        <f>IF(AY289&lt;=0,0,IF(ROUND(AY289*(1+'Calc base'!M290),2)-MAX('Calc base'!H$12,ROUND('Calc base'!H$13*AY289,2))&lt;1,ROUND(AY289*(1+'Calc base'!M290),2),MAX('Calc base'!H$12,ROUND('Calc base'!H$13*AY289,2))))</f>
        <v>0</v>
      </c>
      <c r="P290">
        <f>IF(AZ289&lt;=0,0,IF(ROUND(AZ289*(1+'Calc base'!N290),2)-MAX('Calc base'!I$12,ROUND('Calc base'!I$13*AZ289,2))&lt;1,ROUND(AZ289*(1+'Calc base'!N290),2),MAX('Calc base'!I$12,ROUND('Calc base'!I$13*AZ289,2))))</f>
        <v>0</v>
      </c>
      <c r="Q290">
        <f>IF(BA289&lt;=0,0,IF(ROUND(BA289*(1+'Calc base'!O290),2)-MAX('Calc base'!J$12,ROUND('Calc base'!J$13*BA289,2))&lt;1,ROUND(BA289*(1+'Calc base'!O290),2),MAX('Calc base'!J$12,ROUND('Calc base'!J$13*BA289,2))))</f>
        <v>0</v>
      </c>
      <c r="R290">
        <f>IF(BB289&lt;=0,0,IF(ROUND(BB289*(1+'Calc base'!P290),2)-MAX('Calc base'!K$12,ROUND('Calc base'!K$13*BB289,2))&lt;1,ROUND(BB289*(1+'Calc base'!P290),2),MAX('Calc base'!K$12,ROUND('Calc base'!K$13*BB289,2))))</f>
        <v>0</v>
      </c>
      <c r="S290">
        <f>IF(BC289&lt;=0,0,IF(ROUND(BC289*(1+'Calc base'!Q290),2)-MAX('Calc base'!L$12,ROUND('Calc base'!L$13*BC289,2))&lt;1,ROUND(BC289*(1+'Calc base'!Q290),2),MAX('Calc base'!L$12,ROUND('Calc base'!L$13*BC289,2))))</f>
        <v>0</v>
      </c>
      <c r="T290">
        <f>IF(BD289&lt;=0,0,IF(ROUND(BD289*(1+'Calc base'!R290),2)-MAX('Calc base'!M$12,ROUND('Calc base'!M$13*BD289,2))&lt;1,ROUND(BD289*(1+'Calc base'!R290),2),MAX('Calc base'!M$12,ROUND('Calc base'!M$13*BD289,2))))</f>
        <v>0</v>
      </c>
      <c r="U290">
        <f>IF(BE289&lt;=0,0,IF(ROUND(BE289*(1+'Calc base'!S290),2)-MAX('Calc base'!N$12,ROUND('Calc base'!N$13*BE289,2))&lt;1,ROUND(BE289*(1+'Calc base'!S290),2),MAX('Calc base'!N$12,ROUND('Calc base'!N$13*BE289,2))))</f>
        <v>0</v>
      </c>
      <c r="V290">
        <f>MAX(0,ROUND(AT289*(1+'Calc base'!H290),2)-J290-'Calc base'!T290)</f>
        <v>0</v>
      </c>
      <c r="W290">
        <f>MAX(0,ROUND(AU289*(1+'Calc base'!I290),2)-K290-'Calc base'!U290)</f>
        <v>0</v>
      </c>
      <c r="X290">
        <f>MAX(0,ROUND(AV289*(1+'Calc base'!J290),2)-L290-'Calc base'!V290)</f>
        <v>0</v>
      </c>
      <c r="Y290">
        <f>MAX(0,ROUND(AW289*(1+'Calc base'!K290),2)-M290-'Calc base'!W290)</f>
        <v>0</v>
      </c>
      <c r="Z290">
        <f>MAX(0,ROUND(AX289*(1+'Calc base'!L290),2)-N290-'Calc base'!X290)</f>
        <v>0</v>
      </c>
      <c r="AA290">
        <f>MAX(0,ROUND(AY289*(1+'Calc base'!M290),2)-O290-'Calc base'!Y290)</f>
        <v>0</v>
      </c>
      <c r="AB290">
        <f>MAX(0,ROUND(AZ289*(1+'Calc base'!N290),2)-P290-'Calc base'!Z290)</f>
        <v>0</v>
      </c>
      <c r="AC290">
        <f>MAX(0,ROUND(BA289*(1+'Calc base'!O290),2)-Q290-'Calc base'!AA290)</f>
        <v>0</v>
      </c>
      <c r="AD290">
        <f>MAX(0,ROUND(BB289*(1+'Calc base'!P290),2)-R290-'Calc base'!AB290)</f>
        <v>0</v>
      </c>
      <c r="AE290">
        <f>MAX(0,ROUND(BC289*(1+'Calc base'!Q290),2)-S290-'Calc base'!AC290)</f>
        <v>0</v>
      </c>
      <c r="AF290">
        <f>MAX(0,ROUND(BD289*(1+'Calc base'!R290),2)-T290-'Calc base'!AD290)</f>
        <v>0</v>
      </c>
      <c r="AG290">
        <f>MAX(0,ROUND(BE289*(1+'Calc base'!S290),2)-U290-'Calc base'!AE290)</f>
        <v>0</v>
      </c>
      <c r="AH290">
        <f>IF('Calc base'!C$14=0,0,MIN(V290,MAX(0,$E290-SUMIFS($V290:$AG290,'Calc base'!$C$17:$N$17,"&lt;"&amp;'Calc base'!C$17,'Calc base'!$C$14:$N$14,1))))</f>
        <v>0</v>
      </c>
      <c r="AI290">
        <f>IF('Calc base'!D$14=0,0,MIN(W290,MAX(0,$E290-SUMIFS($V290:$AG290,'Calc base'!$C$17:$N$17,"&lt;"&amp;'Calc base'!D$17,'Calc base'!$C$14:$N$14,1))))</f>
        <v>0</v>
      </c>
      <c r="AJ290">
        <f>IF('Calc base'!E$14=0,0,MIN(X290,MAX(0,$E290-SUMIFS($V290:$AG290,'Calc base'!$C$17:$N$17,"&lt;"&amp;'Calc base'!E$17,'Calc base'!$C$14:$N$14,1))))</f>
        <v>0</v>
      </c>
      <c r="AK290">
        <f>IF('Calc base'!F$14=0,0,MIN(Y290,MAX(0,$E290-SUMIFS($V290:$AG290,'Calc base'!$C$17:$N$17,"&lt;"&amp;'Calc base'!F$17,'Calc base'!$C$14:$N$14,1))))</f>
        <v>0</v>
      </c>
      <c r="AL290">
        <f>IF('Calc base'!G$14=0,0,MIN(Z290,MAX(0,$E290-SUMIFS($V290:$AG290,'Calc base'!$C$17:$N$17,"&lt;"&amp;'Calc base'!G$17,'Calc base'!$C$14:$N$14,1))))</f>
        <v>0</v>
      </c>
      <c r="AM290">
        <f>IF('Calc base'!H$14=0,0,MIN(AA290,MAX(0,$E290-SUMIFS($V290:$AG290,'Calc base'!$C$17:$N$17,"&lt;"&amp;'Calc base'!H$17,'Calc base'!$C$14:$N$14,1))))</f>
        <v>0</v>
      </c>
      <c r="AN290">
        <f>IF('Calc base'!I$14=0,0,MIN(AB290,MAX(0,$E290-SUMIFS($V290:$AG290,'Calc base'!$C$17:$N$17,"&lt;"&amp;'Calc base'!I$17,'Calc base'!$C$14:$N$14,1))))</f>
        <v>0</v>
      </c>
      <c r="AO290">
        <f>IF('Calc base'!J$14=0,0,MIN(AC290,MAX(0,$E290-SUMIFS($V290:$AG290,'Calc base'!$C$17:$N$17,"&lt;"&amp;'Calc base'!J$17,'Calc base'!$C$14:$N$14,1))))</f>
        <v>0</v>
      </c>
      <c r="AP290">
        <f>IF('Calc base'!K$14=0,0,MIN(AD290,MAX(0,$E290-SUMIFS($V290:$AG290,'Calc base'!$C$17:$N$17,"&lt;"&amp;'Calc base'!K$17,'Calc base'!$C$14:$N$14,1))))</f>
        <v>0</v>
      </c>
      <c r="AQ290">
        <f>IF('Calc base'!L$14=0,0,MIN(AE290,MAX(0,$E290-SUMIFS($V290:$AG290,'Calc base'!$C$17:$N$17,"&lt;"&amp;'Calc base'!L$17,'Calc base'!$C$14:$N$14,1))))</f>
        <v>0</v>
      </c>
      <c r="AR290">
        <f>IF('Calc base'!M$14=0,0,MIN(AF290,MAX(0,$E290-SUMIFS($V290:$AG290,'Calc base'!$C$17:$N$17,"&lt;"&amp;'Calc base'!M$17,'Calc base'!$C$14:$N$14,1))))</f>
        <v>0</v>
      </c>
      <c r="AS290">
        <f>IF('Calc base'!N$14=0,0,MIN(AG290,MAX(0,$E290-SUMIFS($V290:$AG290,'Calc base'!$C$17:$N$17,"&lt;"&amp;'Calc base'!N$17,'Calc base'!$C$14:$N$14,1))))</f>
        <v>0</v>
      </c>
      <c r="AT290">
        <f>V290-AH290</f>
        <v>0</v>
      </c>
      <c r="AU290">
        <f>W290-AI290</f>
        <v>0</v>
      </c>
      <c r="AV290">
        <f>X290-AJ290</f>
        <v>0</v>
      </c>
      <c r="AW290">
        <f>Y290-AK290</f>
        <v>0</v>
      </c>
      <c r="AX290">
        <f>Z290-AL290</f>
        <v>0</v>
      </c>
      <c r="AY290">
        <f>AA290-AM290</f>
        <v>0</v>
      </c>
      <c r="AZ290">
        <f>AB290-AN290</f>
        <v>0</v>
      </c>
      <c r="BA290">
        <f>AC290-AO290</f>
        <v>0</v>
      </c>
      <c r="BB290">
        <f>AD290-AP290</f>
        <v>0</v>
      </c>
      <c r="BC290">
        <f>AE290-AQ290</f>
        <v>0</v>
      </c>
      <c r="BD290">
        <f>AF290-AR290</f>
        <v>0</v>
      </c>
      <c r="BE290">
        <f>AG290-AS290</f>
        <v>0</v>
      </c>
    </row>
    <row r="291">
      <c r="A291" t="n">
        <v>261</v>
      </c>
      <c r="B291">
        <f>SUMPRODUCT(ROUND($AT290:$BE290*(1+'Calc base'!$H291:$S291),2))</f>
        <v>0</v>
      </c>
      <c r="C291">
        <f>SUM(J291:U291)</f>
        <v>0</v>
      </c>
      <c r="D291">
        <f>SUM(V291:AG291)</f>
        <v>0</v>
      </c>
      <c r="E291">
        <f>MAX(0,IF(Impostazioni!$B$7="No",'Calc base'!$C291-$C$31,'Calc base'!$C291-C291)+'Calc base'!$G291+'Calc base'!$F291-(B291-C291-D291))</f>
        <v>900</v>
      </c>
      <c r="F291">
        <f>SUM(AH291:AS291)</f>
        <v>0</v>
      </c>
      <c r="G291">
        <f>SUM(AT291:BE291)</f>
        <v>0</v>
      </c>
      <c r="H291">
        <f>B291-G290</f>
        <v>0</v>
      </c>
      <c r="I291">
        <f>B291-G291</f>
        <v>0</v>
      </c>
      <c r="J291">
        <f>IF(AT290&lt;=0,0,IF(ROUND(AT290*(1+'Calc base'!H291),2)-MAX('Calc base'!C$12,ROUND('Calc base'!C$13*AT290,2))&lt;1,ROUND(AT290*(1+'Calc base'!H291),2),MAX('Calc base'!C$12,ROUND('Calc base'!C$13*AT290,2))))</f>
        <v>0</v>
      </c>
      <c r="K291">
        <f>IF(AU290&lt;=0,0,IF(ROUND(AU290*(1+'Calc base'!I291),2)-MAX('Calc base'!D$12,ROUND('Calc base'!D$13*AU290,2))&lt;1,ROUND(AU290*(1+'Calc base'!I291),2),MAX('Calc base'!D$12,ROUND('Calc base'!D$13*AU290,2))))</f>
        <v>0</v>
      </c>
      <c r="L291">
        <f>IF(AV290&lt;=0,0,IF(ROUND(AV290*(1+'Calc base'!J291),2)-MAX('Calc base'!E$12,ROUND('Calc base'!E$13*AV290,2))&lt;1,ROUND(AV290*(1+'Calc base'!J291),2),MAX('Calc base'!E$12,ROUND('Calc base'!E$13*AV290,2))))</f>
        <v>0</v>
      </c>
      <c r="M291">
        <f>IF(AW290&lt;=0,0,IF(ROUND(AW290*(1+'Calc base'!K291),2)-MAX('Calc base'!F$12,ROUND('Calc base'!F$13*AW290,2))&lt;1,ROUND(AW290*(1+'Calc base'!K291),2),MAX('Calc base'!F$12,ROUND('Calc base'!F$13*AW290,2))))</f>
        <v>0</v>
      </c>
      <c r="N291">
        <f>IF(AX290&lt;=0,0,IF(ROUND(AX290*(1+'Calc base'!L291),2)-MAX('Calc base'!G$12,ROUND('Calc base'!G$13*AX290,2))&lt;1,ROUND(AX290*(1+'Calc base'!L291),2),MAX('Calc base'!G$12,ROUND('Calc base'!G$13*AX290,2))))</f>
        <v>0</v>
      </c>
      <c r="O291">
        <f>IF(AY290&lt;=0,0,IF(ROUND(AY290*(1+'Calc base'!M291),2)-MAX('Calc base'!H$12,ROUND('Calc base'!H$13*AY290,2))&lt;1,ROUND(AY290*(1+'Calc base'!M291),2),MAX('Calc base'!H$12,ROUND('Calc base'!H$13*AY290,2))))</f>
        <v>0</v>
      </c>
      <c r="P291">
        <f>IF(AZ290&lt;=0,0,IF(ROUND(AZ290*(1+'Calc base'!N291),2)-MAX('Calc base'!I$12,ROUND('Calc base'!I$13*AZ290,2))&lt;1,ROUND(AZ290*(1+'Calc base'!N291),2),MAX('Calc base'!I$12,ROUND('Calc base'!I$13*AZ290,2))))</f>
        <v>0</v>
      </c>
      <c r="Q291">
        <f>IF(BA290&lt;=0,0,IF(ROUND(BA290*(1+'Calc base'!O291),2)-MAX('Calc base'!J$12,ROUND('Calc base'!J$13*BA290,2))&lt;1,ROUND(BA290*(1+'Calc base'!O291),2),MAX('Calc base'!J$12,ROUND('Calc base'!J$13*BA290,2))))</f>
        <v>0</v>
      </c>
      <c r="R291">
        <f>IF(BB290&lt;=0,0,IF(ROUND(BB290*(1+'Calc base'!P291),2)-MAX('Calc base'!K$12,ROUND('Calc base'!K$13*BB290,2))&lt;1,ROUND(BB290*(1+'Calc base'!P291),2),MAX('Calc base'!K$12,ROUND('Calc base'!K$13*BB290,2))))</f>
        <v>0</v>
      </c>
      <c r="S291">
        <f>IF(BC290&lt;=0,0,IF(ROUND(BC290*(1+'Calc base'!Q291),2)-MAX('Calc base'!L$12,ROUND('Calc base'!L$13*BC290,2))&lt;1,ROUND(BC290*(1+'Calc base'!Q291),2),MAX('Calc base'!L$12,ROUND('Calc base'!L$13*BC290,2))))</f>
        <v>0</v>
      </c>
      <c r="T291">
        <f>IF(BD290&lt;=0,0,IF(ROUND(BD290*(1+'Calc base'!R291),2)-MAX('Calc base'!M$12,ROUND('Calc base'!M$13*BD290,2))&lt;1,ROUND(BD290*(1+'Calc base'!R291),2),MAX('Calc base'!M$12,ROUND('Calc base'!M$13*BD290,2))))</f>
        <v>0</v>
      </c>
      <c r="U291">
        <f>IF(BE290&lt;=0,0,IF(ROUND(BE290*(1+'Calc base'!S291),2)-MAX('Calc base'!N$12,ROUND('Calc base'!N$13*BE290,2))&lt;1,ROUND(BE290*(1+'Calc base'!S291),2),MAX('Calc base'!N$12,ROUND('Calc base'!N$13*BE290,2))))</f>
        <v>0</v>
      </c>
      <c r="V291">
        <f>MAX(0,ROUND(AT290*(1+'Calc base'!H291),2)-J291-'Calc base'!T291)</f>
        <v>0</v>
      </c>
      <c r="W291">
        <f>MAX(0,ROUND(AU290*(1+'Calc base'!I291),2)-K291-'Calc base'!U291)</f>
        <v>0</v>
      </c>
      <c r="X291">
        <f>MAX(0,ROUND(AV290*(1+'Calc base'!J291),2)-L291-'Calc base'!V291)</f>
        <v>0</v>
      </c>
      <c r="Y291">
        <f>MAX(0,ROUND(AW290*(1+'Calc base'!K291),2)-M291-'Calc base'!W291)</f>
        <v>0</v>
      </c>
      <c r="Z291">
        <f>MAX(0,ROUND(AX290*(1+'Calc base'!L291),2)-N291-'Calc base'!X291)</f>
        <v>0</v>
      </c>
      <c r="AA291">
        <f>MAX(0,ROUND(AY290*(1+'Calc base'!M291),2)-O291-'Calc base'!Y291)</f>
        <v>0</v>
      </c>
      <c r="AB291">
        <f>MAX(0,ROUND(AZ290*(1+'Calc base'!N291),2)-P291-'Calc base'!Z291)</f>
        <v>0</v>
      </c>
      <c r="AC291">
        <f>MAX(0,ROUND(BA290*(1+'Calc base'!O291),2)-Q291-'Calc base'!AA291)</f>
        <v>0</v>
      </c>
      <c r="AD291">
        <f>MAX(0,ROUND(BB290*(1+'Calc base'!P291),2)-R291-'Calc base'!AB291)</f>
        <v>0</v>
      </c>
      <c r="AE291">
        <f>MAX(0,ROUND(BC290*(1+'Calc base'!Q291),2)-S291-'Calc base'!AC291)</f>
        <v>0</v>
      </c>
      <c r="AF291">
        <f>MAX(0,ROUND(BD290*(1+'Calc base'!R291),2)-T291-'Calc base'!AD291)</f>
        <v>0</v>
      </c>
      <c r="AG291">
        <f>MAX(0,ROUND(BE290*(1+'Calc base'!S291),2)-U291-'Calc base'!AE291)</f>
        <v>0</v>
      </c>
      <c r="AH291">
        <f>IF('Calc base'!C$14=0,0,MIN(V291,MAX(0,$E291-SUMIFS($V291:$AG291,'Calc base'!$C$17:$N$17,"&lt;"&amp;'Calc base'!C$17,'Calc base'!$C$14:$N$14,1))))</f>
        <v>0</v>
      </c>
      <c r="AI291">
        <f>IF('Calc base'!D$14=0,0,MIN(W291,MAX(0,$E291-SUMIFS($V291:$AG291,'Calc base'!$C$17:$N$17,"&lt;"&amp;'Calc base'!D$17,'Calc base'!$C$14:$N$14,1))))</f>
        <v>0</v>
      </c>
      <c r="AJ291">
        <f>IF('Calc base'!E$14=0,0,MIN(X291,MAX(0,$E291-SUMIFS($V291:$AG291,'Calc base'!$C$17:$N$17,"&lt;"&amp;'Calc base'!E$17,'Calc base'!$C$14:$N$14,1))))</f>
        <v>0</v>
      </c>
      <c r="AK291">
        <f>IF('Calc base'!F$14=0,0,MIN(Y291,MAX(0,$E291-SUMIFS($V291:$AG291,'Calc base'!$C$17:$N$17,"&lt;"&amp;'Calc base'!F$17,'Calc base'!$C$14:$N$14,1))))</f>
        <v>0</v>
      </c>
      <c r="AL291">
        <f>IF('Calc base'!G$14=0,0,MIN(Z291,MAX(0,$E291-SUMIFS($V291:$AG291,'Calc base'!$C$17:$N$17,"&lt;"&amp;'Calc base'!G$17,'Calc base'!$C$14:$N$14,1))))</f>
        <v>0</v>
      </c>
      <c r="AM291">
        <f>IF('Calc base'!H$14=0,0,MIN(AA291,MAX(0,$E291-SUMIFS($V291:$AG291,'Calc base'!$C$17:$N$17,"&lt;"&amp;'Calc base'!H$17,'Calc base'!$C$14:$N$14,1))))</f>
        <v>0</v>
      </c>
      <c r="AN291">
        <f>IF('Calc base'!I$14=0,0,MIN(AB291,MAX(0,$E291-SUMIFS($V291:$AG291,'Calc base'!$C$17:$N$17,"&lt;"&amp;'Calc base'!I$17,'Calc base'!$C$14:$N$14,1))))</f>
        <v>0</v>
      </c>
      <c r="AO291">
        <f>IF('Calc base'!J$14=0,0,MIN(AC291,MAX(0,$E291-SUMIFS($V291:$AG291,'Calc base'!$C$17:$N$17,"&lt;"&amp;'Calc base'!J$17,'Calc base'!$C$14:$N$14,1))))</f>
        <v>0</v>
      </c>
      <c r="AP291">
        <f>IF('Calc base'!K$14=0,0,MIN(AD291,MAX(0,$E291-SUMIFS($V291:$AG291,'Calc base'!$C$17:$N$17,"&lt;"&amp;'Calc base'!K$17,'Calc base'!$C$14:$N$14,1))))</f>
        <v>0</v>
      </c>
      <c r="AQ291">
        <f>IF('Calc base'!L$14=0,0,MIN(AE291,MAX(0,$E291-SUMIFS($V291:$AG291,'Calc base'!$C$17:$N$17,"&lt;"&amp;'Calc base'!L$17,'Calc base'!$C$14:$N$14,1))))</f>
        <v>0</v>
      </c>
      <c r="AR291">
        <f>IF('Calc base'!M$14=0,0,MIN(AF291,MAX(0,$E291-SUMIFS($V291:$AG291,'Calc base'!$C$17:$N$17,"&lt;"&amp;'Calc base'!M$17,'Calc base'!$C$14:$N$14,1))))</f>
        <v>0</v>
      </c>
      <c r="AS291">
        <f>IF('Calc base'!N$14=0,0,MIN(AG291,MAX(0,$E291-SUMIFS($V291:$AG291,'Calc base'!$C$17:$N$17,"&lt;"&amp;'Calc base'!N$17,'Calc base'!$C$14:$N$14,1))))</f>
        <v>0</v>
      </c>
      <c r="AT291">
        <f>V291-AH291</f>
        <v>0</v>
      </c>
      <c r="AU291">
        <f>W291-AI291</f>
        <v>0</v>
      </c>
      <c r="AV291">
        <f>X291-AJ291</f>
        <v>0</v>
      </c>
      <c r="AW291">
        <f>Y291-AK291</f>
        <v>0</v>
      </c>
      <c r="AX291">
        <f>Z291-AL291</f>
        <v>0</v>
      </c>
      <c r="AY291">
        <f>AA291-AM291</f>
        <v>0</v>
      </c>
      <c r="AZ291">
        <f>AB291-AN291</f>
        <v>0</v>
      </c>
      <c r="BA291">
        <f>AC291-AO291</f>
        <v>0</v>
      </c>
      <c r="BB291">
        <f>AD291-AP291</f>
        <v>0</v>
      </c>
      <c r="BC291">
        <f>AE291-AQ291</f>
        <v>0</v>
      </c>
      <c r="BD291">
        <f>AF291-AR291</f>
        <v>0</v>
      </c>
      <c r="BE291">
        <f>AG291-AS291</f>
        <v>0</v>
      </c>
    </row>
    <row r="292">
      <c r="A292" t="n">
        <v>262</v>
      </c>
      <c r="B292">
        <f>SUMPRODUCT(ROUND($AT291:$BE291*(1+'Calc base'!$H292:$S292),2))</f>
        <v>0</v>
      </c>
      <c r="C292">
        <f>SUM(J292:U292)</f>
        <v>0</v>
      </c>
      <c r="D292">
        <f>SUM(V292:AG292)</f>
        <v>0</v>
      </c>
      <c r="E292">
        <f>MAX(0,IF(Impostazioni!$B$7="No",'Calc base'!$C292-$C$31,'Calc base'!$C292-C292)+'Calc base'!$G292+'Calc base'!$F292-(B292-C292-D292))</f>
        <v>900</v>
      </c>
      <c r="F292">
        <f>SUM(AH292:AS292)</f>
        <v>0</v>
      </c>
      <c r="G292">
        <f>SUM(AT292:BE292)</f>
        <v>0</v>
      </c>
      <c r="H292">
        <f>B292-G291</f>
        <v>0</v>
      </c>
      <c r="I292">
        <f>B292-G292</f>
        <v>0</v>
      </c>
      <c r="J292">
        <f>IF(AT291&lt;=0,0,IF(ROUND(AT291*(1+'Calc base'!H292),2)-MAX('Calc base'!C$12,ROUND('Calc base'!C$13*AT291,2))&lt;1,ROUND(AT291*(1+'Calc base'!H292),2),MAX('Calc base'!C$12,ROUND('Calc base'!C$13*AT291,2))))</f>
        <v>0</v>
      </c>
      <c r="K292">
        <f>IF(AU291&lt;=0,0,IF(ROUND(AU291*(1+'Calc base'!I292),2)-MAX('Calc base'!D$12,ROUND('Calc base'!D$13*AU291,2))&lt;1,ROUND(AU291*(1+'Calc base'!I292),2),MAX('Calc base'!D$12,ROUND('Calc base'!D$13*AU291,2))))</f>
        <v>0</v>
      </c>
      <c r="L292">
        <f>IF(AV291&lt;=0,0,IF(ROUND(AV291*(1+'Calc base'!J292),2)-MAX('Calc base'!E$12,ROUND('Calc base'!E$13*AV291,2))&lt;1,ROUND(AV291*(1+'Calc base'!J292),2),MAX('Calc base'!E$12,ROUND('Calc base'!E$13*AV291,2))))</f>
        <v>0</v>
      </c>
      <c r="M292">
        <f>IF(AW291&lt;=0,0,IF(ROUND(AW291*(1+'Calc base'!K292),2)-MAX('Calc base'!F$12,ROUND('Calc base'!F$13*AW291,2))&lt;1,ROUND(AW291*(1+'Calc base'!K292),2),MAX('Calc base'!F$12,ROUND('Calc base'!F$13*AW291,2))))</f>
        <v>0</v>
      </c>
      <c r="N292">
        <f>IF(AX291&lt;=0,0,IF(ROUND(AX291*(1+'Calc base'!L292),2)-MAX('Calc base'!G$12,ROUND('Calc base'!G$13*AX291,2))&lt;1,ROUND(AX291*(1+'Calc base'!L292),2),MAX('Calc base'!G$12,ROUND('Calc base'!G$13*AX291,2))))</f>
        <v>0</v>
      </c>
      <c r="O292">
        <f>IF(AY291&lt;=0,0,IF(ROUND(AY291*(1+'Calc base'!M292),2)-MAX('Calc base'!H$12,ROUND('Calc base'!H$13*AY291,2))&lt;1,ROUND(AY291*(1+'Calc base'!M292),2),MAX('Calc base'!H$12,ROUND('Calc base'!H$13*AY291,2))))</f>
        <v>0</v>
      </c>
      <c r="P292">
        <f>IF(AZ291&lt;=0,0,IF(ROUND(AZ291*(1+'Calc base'!N292),2)-MAX('Calc base'!I$12,ROUND('Calc base'!I$13*AZ291,2))&lt;1,ROUND(AZ291*(1+'Calc base'!N292),2),MAX('Calc base'!I$12,ROUND('Calc base'!I$13*AZ291,2))))</f>
        <v>0</v>
      </c>
      <c r="Q292">
        <f>IF(BA291&lt;=0,0,IF(ROUND(BA291*(1+'Calc base'!O292),2)-MAX('Calc base'!J$12,ROUND('Calc base'!J$13*BA291,2))&lt;1,ROUND(BA291*(1+'Calc base'!O292),2),MAX('Calc base'!J$12,ROUND('Calc base'!J$13*BA291,2))))</f>
        <v>0</v>
      </c>
      <c r="R292">
        <f>IF(BB291&lt;=0,0,IF(ROUND(BB291*(1+'Calc base'!P292),2)-MAX('Calc base'!K$12,ROUND('Calc base'!K$13*BB291,2))&lt;1,ROUND(BB291*(1+'Calc base'!P292),2),MAX('Calc base'!K$12,ROUND('Calc base'!K$13*BB291,2))))</f>
        <v>0</v>
      </c>
      <c r="S292">
        <f>IF(BC291&lt;=0,0,IF(ROUND(BC291*(1+'Calc base'!Q292),2)-MAX('Calc base'!L$12,ROUND('Calc base'!L$13*BC291,2))&lt;1,ROUND(BC291*(1+'Calc base'!Q292),2),MAX('Calc base'!L$12,ROUND('Calc base'!L$13*BC291,2))))</f>
        <v>0</v>
      </c>
      <c r="T292">
        <f>IF(BD291&lt;=0,0,IF(ROUND(BD291*(1+'Calc base'!R292),2)-MAX('Calc base'!M$12,ROUND('Calc base'!M$13*BD291,2))&lt;1,ROUND(BD291*(1+'Calc base'!R292),2),MAX('Calc base'!M$12,ROUND('Calc base'!M$13*BD291,2))))</f>
        <v>0</v>
      </c>
      <c r="U292">
        <f>IF(BE291&lt;=0,0,IF(ROUND(BE291*(1+'Calc base'!S292),2)-MAX('Calc base'!N$12,ROUND('Calc base'!N$13*BE291,2))&lt;1,ROUND(BE291*(1+'Calc base'!S292),2),MAX('Calc base'!N$12,ROUND('Calc base'!N$13*BE291,2))))</f>
        <v>0</v>
      </c>
      <c r="V292">
        <f>MAX(0,ROUND(AT291*(1+'Calc base'!H292),2)-J292-'Calc base'!T292)</f>
        <v>0</v>
      </c>
      <c r="W292">
        <f>MAX(0,ROUND(AU291*(1+'Calc base'!I292),2)-K292-'Calc base'!U292)</f>
        <v>0</v>
      </c>
      <c r="X292">
        <f>MAX(0,ROUND(AV291*(1+'Calc base'!J292),2)-L292-'Calc base'!V292)</f>
        <v>0</v>
      </c>
      <c r="Y292">
        <f>MAX(0,ROUND(AW291*(1+'Calc base'!K292),2)-M292-'Calc base'!W292)</f>
        <v>0</v>
      </c>
      <c r="Z292">
        <f>MAX(0,ROUND(AX291*(1+'Calc base'!L292),2)-N292-'Calc base'!X292)</f>
        <v>0</v>
      </c>
      <c r="AA292">
        <f>MAX(0,ROUND(AY291*(1+'Calc base'!M292),2)-O292-'Calc base'!Y292)</f>
        <v>0</v>
      </c>
      <c r="AB292">
        <f>MAX(0,ROUND(AZ291*(1+'Calc base'!N292),2)-P292-'Calc base'!Z292)</f>
        <v>0</v>
      </c>
      <c r="AC292">
        <f>MAX(0,ROUND(BA291*(1+'Calc base'!O292),2)-Q292-'Calc base'!AA292)</f>
        <v>0</v>
      </c>
      <c r="AD292">
        <f>MAX(0,ROUND(BB291*(1+'Calc base'!P292),2)-R292-'Calc base'!AB292)</f>
        <v>0</v>
      </c>
      <c r="AE292">
        <f>MAX(0,ROUND(BC291*(1+'Calc base'!Q292),2)-S292-'Calc base'!AC292)</f>
        <v>0</v>
      </c>
      <c r="AF292">
        <f>MAX(0,ROUND(BD291*(1+'Calc base'!R292),2)-T292-'Calc base'!AD292)</f>
        <v>0</v>
      </c>
      <c r="AG292">
        <f>MAX(0,ROUND(BE291*(1+'Calc base'!S292),2)-U292-'Calc base'!AE292)</f>
        <v>0</v>
      </c>
      <c r="AH292">
        <f>IF('Calc base'!C$14=0,0,MIN(V292,MAX(0,$E292-SUMIFS($V292:$AG292,'Calc base'!$C$17:$N$17,"&lt;"&amp;'Calc base'!C$17,'Calc base'!$C$14:$N$14,1))))</f>
        <v>0</v>
      </c>
      <c r="AI292">
        <f>IF('Calc base'!D$14=0,0,MIN(W292,MAX(0,$E292-SUMIFS($V292:$AG292,'Calc base'!$C$17:$N$17,"&lt;"&amp;'Calc base'!D$17,'Calc base'!$C$14:$N$14,1))))</f>
        <v>0</v>
      </c>
      <c r="AJ292">
        <f>IF('Calc base'!E$14=0,0,MIN(X292,MAX(0,$E292-SUMIFS($V292:$AG292,'Calc base'!$C$17:$N$17,"&lt;"&amp;'Calc base'!E$17,'Calc base'!$C$14:$N$14,1))))</f>
        <v>0</v>
      </c>
      <c r="AK292">
        <f>IF('Calc base'!F$14=0,0,MIN(Y292,MAX(0,$E292-SUMIFS($V292:$AG292,'Calc base'!$C$17:$N$17,"&lt;"&amp;'Calc base'!F$17,'Calc base'!$C$14:$N$14,1))))</f>
        <v>0</v>
      </c>
      <c r="AL292">
        <f>IF('Calc base'!G$14=0,0,MIN(Z292,MAX(0,$E292-SUMIFS($V292:$AG292,'Calc base'!$C$17:$N$17,"&lt;"&amp;'Calc base'!G$17,'Calc base'!$C$14:$N$14,1))))</f>
        <v>0</v>
      </c>
      <c r="AM292">
        <f>IF('Calc base'!H$14=0,0,MIN(AA292,MAX(0,$E292-SUMIFS($V292:$AG292,'Calc base'!$C$17:$N$17,"&lt;"&amp;'Calc base'!H$17,'Calc base'!$C$14:$N$14,1))))</f>
        <v>0</v>
      </c>
      <c r="AN292">
        <f>IF('Calc base'!I$14=0,0,MIN(AB292,MAX(0,$E292-SUMIFS($V292:$AG292,'Calc base'!$C$17:$N$17,"&lt;"&amp;'Calc base'!I$17,'Calc base'!$C$14:$N$14,1))))</f>
        <v>0</v>
      </c>
      <c r="AO292">
        <f>IF('Calc base'!J$14=0,0,MIN(AC292,MAX(0,$E292-SUMIFS($V292:$AG292,'Calc base'!$C$17:$N$17,"&lt;"&amp;'Calc base'!J$17,'Calc base'!$C$14:$N$14,1))))</f>
        <v>0</v>
      </c>
      <c r="AP292">
        <f>IF('Calc base'!K$14=0,0,MIN(AD292,MAX(0,$E292-SUMIFS($V292:$AG292,'Calc base'!$C$17:$N$17,"&lt;"&amp;'Calc base'!K$17,'Calc base'!$C$14:$N$14,1))))</f>
        <v>0</v>
      </c>
      <c r="AQ292">
        <f>IF('Calc base'!L$14=0,0,MIN(AE292,MAX(0,$E292-SUMIFS($V292:$AG292,'Calc base'!$C$17:$N$17,"&lt;"&amp;'Calc base'!L$17,'Calc base'!$C$14:$N$14,1))))</f>
        <v>0</v>
      </c>
      <c r="AR292">
        <f>IF('Calc base'!M$14=0,0,MIN(AF292,MAX(0,$E292-SUMIFS($V292:$AG292,'Calc base'!$C$17:$N$17,"&lt;"&amp;'Calc base'!M$17,'Calc base'!$C$14:$N$14,1))))</f>
        <v>0</v>
      </c>
      <c r="AS292">
        <f>IF('Calc base'!N$14=0,0,MIN(AG292,MAX(0,$E292-SUMIFS($V292:$AG292,'Calc base'!$C$17:$N$17,"&lt;"&amp;'Calc base'!N$17,'Calc base'!$C$14:$N$14,1))))</f>
        <v>0</v>
      </c>
      <c r="AT292">
        <f>V292-AH292</f>
        <v>0</v>
      </c>
      <c r="AU292">
        <f>W292-AI292</f>
        <v>0</v>
      </c>
      <c r="AV292">
        <f>X292-AJ292</f>
        <v>0</v>
      </c>
      <c r="AW292">
        <f>Y292-AK292</f>
        <v>0</v>
      </c>
      <c r="AX292">
        <f>Z292-AL292</f>
        <v>0</v>
      </c>
      <c r="AY292">
        <f>AA292-AM292</f>
        <v>0</v>
      </c>
      <c r="AZ292">
        <f>AB292-AN292</f>
        <v>0</v>
      </c>
      <c r="BA292">
        <f>AC292-AO292</f>
        <v>0</v>
      </c>
      <c r="BB292">
        <f>AD292-AP292</f>
        <v>0</v>
      </c>
      <c r="BC292">
        <f>AE292-AQ292</f>
        <v>0</v>
      </c>
      <c r="BD292">
        <f>AF292-AR292</f>
        <v>0</v>
      </c>
      <c r="BE292">
        <f>AG292-AS292</f>
        <v>0</v>
      </c>
    </row>
    <row r="293">
      <c r="A293" t="n">
        <v>263</v>
      </c>
      <c r="B293">
        <f>SUMPRODUCT(ROUND($AT292:$BE292*(1+'Calc base'!$H293:$S293),2))</f>
        <v>0</v>
      </c>
      <c r="C293">
        <f>SUM(J293:U293)</f>
        <v>0</v>
      </c>
      <c r="D293">
        <f>SUM(V293:AG293)</f>
        <v>0</v>
      </c>
      <c r="E293">
        <f>MAX(0,IF(Impostazioni!$B$7="No",'Calc base'!$C293-$C$31,'Calc base'!$C293-C293)+'Calc base'!$G293+'Calc base'!$F293-(B293-C293-D293))</f>
        <v>900</v>
      </c>
      <c r="F293">
        <f>SUM(AH293:AS293)</f>
        <v>0</v>
      </c>
      <c r="G293">
        <f>SUM(AT293:BE293)</f>
        <v>0</v>
      </c>
      <c r="H293">
        <f>B293-G292</f>
        <v>0</v>
      </c>
      <c r="I293">
        <f>B293-G293</f>
        <v>0</v>
      </c>
      <c r="J293">
        <f>IF(AT292&lt;=0,0,IF(ROUND(AT292*(1+'Calc base'!H293),2)-MAX('Calc base'!C$12,ROUND('Calc base'!C$13*AT292,2))&lt;1,ROUND(AT292*(1+'Calc base'!H293),2),MAX('Calc base'!C$12,ROUND('Calc base'!C$13*AT292,2))))</f>
        <v>0</v>
      </c>
      <c r="K293">
        <f>IF(AU292&lt;=0,0,IF(ROUND(AU292*(1+'Calc base'!I293),2)-MAX('Calc base'!D$12,ROUND('Calc base'!D$13*AU292,2))&lt;1,ROUND(AU292*(1+'Calc base'!I293),2),MAX('Calc base'!D$12,ROUND('Calc base'!D$13*AU292,2))))</f>
        <v>0</v>
      </c>
      <c r="L293">
        <f>IF(AV292&lt;=0,0,IF(ROUND(AV292*(1+'Calc base'!J293),2)-MAX('Calc base'!E$12,ROUND('Calc base'!E$13*AV292,2))&lt;1,ROUND(AV292*(1+'Calc base'!J293),2),MAX('Calc base'!E$12,ROUND('Calc base'!E$13*AV292,2))))</f>
        <v>0</v>
      </c>
      <c r="M293">
        <f>IF(AW292&lt;=0,0,IF(ROUND(AW292*(1+'Calc base'!K293),2)-MAX('Calc base'!F$12,ROUND('Calc base'!F$13*AW292,2))&lt;1,ROUND(AW292*(1+'Calc base'!K293),2),MAX('Calc base'!F$12,ROUND('Calc base'!F$13*AW292,2))))</f>
        <v>0</v>
      </c>
      <c r="N293">
        <f>IF(AX292&lt;=0,0,IF(ROUND(AX292*(1+'Calc base'!L293),2)-MAX('Calc base'!G$12,ROUND('Calc base'!G$13*AX292,2))&lt;1,ROUND(AX292*(1+'Calc base'!L293),2),MAX('Calc base'!G$12,ROUND('Calc base'!G$13*AX292,2))))</f>
        <v>0</v>
      </c>
      <c r="O293">
        <f>IF(AY292&lt;=0,0,IF(ROUND(AY292*(1+'Calc base'!M293),2)-MAX('Calc base'!H$12,ROUND('Calc base'!H$13*AY292,2))&lt;1,ROUND(AY292*(1+'Calc base'!M293),2),MAX('Calc base'!H$12,ROUND('Calc base'!H$13*AY292,2))))</f>
        <v>0</v>
      </c>
      <c r="P293">
        <f>IF(AZ292&lt;=0,0,IF(ROUND(AZ292*(1+'Calc base'!N293),2)-MAX('Calc base'!I$12,ROUND('Calc base'!I$13*AZ292,2))&lt;1,ROUND(AZ292*(1+'Calc base'!N293),2),MAX('Calc base'!I$12,ROUND('Calc base'!I$13*AZ292,2))))</f>
        <v>0</v>
      </c>
      <c r="Q293">
        <f>IF(BA292&lt;=0,0,IF(ROUND(BA292*(1+'Calc base'!O293),2)-MAX('Calc base'!J$12,ROUND('Calc base'!J$13*BA292,2))&lt;1,ROUND(BA292*(1+'Calc base'!O293),2),MAX('Calc base'!J$12,ROUND('Calc base'!J$13*BA292,2))))</f>
        <v>0</v>
      </c>
      <c r="R293">
        <f>IF(BB292&lt;=0,0,IF(ROUND(BB292*(1+'Calc base'!P293),2)-MAX('Calc base'!K$12,ROUND('Calc base'!K$13*BB292,2))&lt;1,ROUND(BB292*(1+'Calc base'!P293),2),MAX('Calc base'!K$12,ROUND('Calc base'!K$13*BB292,2))))</f>
        <v>0</v>
      </c>
      <c r="S293">
        <f>IF(BC292&lt;=0,0,IF(ROUND(BC292*(1+'Calc base'!Q293),2)-MAX('Calc base'!L$12,ROUND('Calc base'!L$13*BC292,2))&lt;1,ROUND(BC292*(1+'Calc base'!Q293),2),MAX('Calc base'!L$12,ROUND('Calc base'!L$13*BC292,2))))</f>
        <v>0</v>
      </c>
      <c r="T293">
        <f>IF(BD292&lt;=0,0,IF(ROUND(BD292*(1+'Calc base'!R293),2)-MAX('Calc base'!M$12,ROUND('Calc base'!M$13*BD292,2))&lt;1,ROUND(BD292*(1+'Calc base'!R293),2),MAX('Calc base'!M$12,ROUND('Calc base'!M$13*BD292,2))))</f>
        <v>0</v>
      </c>
      <c r="U293">
        <f>IF(BE292&lt;=0,0,IF(ROUND(BE292*(1+'Calc base'!S293),2)-MAX('Calc base'!N$12,ROUND('Calc base'!N$13*BE292,2))&lt;1,ROUND(BE292*(1+'Calc base'!S293),2),MAX('Calc base'!N$12,ROUND('Calc base'!N$13*BE292,2))))</f>
        <v>0</v>
      </c>
      <c r="V293">
        <f>MAX(0,ROUND(AT292*(1+'Calc base'!H293),2)-J293-'Calc base'!T293)</f>
        <v>0</v>
      </c>
      <c r="W293">
        <f>MAX(0,ROUND(AU292*(1+'Calc base'!I293),2)-K293-'Calc base'!U293)</f>
        <v>0</v>
      </c>
      <c r="X293">
        <f>MAX(0,ROUND(AV292*(1+'Calc base'!J293),2)-L293-'Calc base'!V293)</f>
        <v>0</v>
      </c>
      <c r="Y293">
        <f>MAX(0,ROUND(AW292*(1+'Calc base'!K293),2)-M293-'Calc base'!W293)</f>
        <v>0</v>
      </c>
      <c r="Z293">
        <f>MAX(0,ROUND(AX292*(1+'Calc base'!L293),2)-N293-'Calc base'!X293)</f>
        <v>0</v>
      </c>
      <c r="AA293">
        <f>MAX(0,ROUND(AY292*(1+'Calc base'!M293),2)-O293-'Calc base'!Y293)</f>
        <v>0</v>
      </c>
      <c r="AB293">
        <f>MAX(0,ROUND(AZ292*(1+'Calc base'!N293),2)-P293-'Calc base'!Z293)</f>
        <v>0</v>
      </c>
      <c r="AC293">
        <f>MAX(0,ROUND(BA292*(1+'Calc base'!O293),2)-Q293-'Calc base'!AA293)</f>
        <v>0</v>
      </c>
      <c r="AD293">
        <f>MAX(0,ROUND(BB292*(1+'Calc base'!P293),2)-R293-'Calc base'!AB293)</f>
        <v>0</v>
      </c>
      <c r="AE293">
        <f>MAX(0,ROUND(BC292*(1+'Calc base'!Q293),2)-S293-'Calc base'!AC293)</f>
        <v>0</v>
      </c>
      <c r="AF293">
        <f>MAX(0,ROUND(BD292*(1+'Calc base'!R293),2)-T293-'Calc base'!AD293)</f>
        <v>0</v>
      </c>
      <c r="AG293">
        <f>MAX(0,ROUND(BE292*(1+'Calc base'!S293),2)-U293-'Calc base'!AE293)</f>
        <v>0</v>
      </c>
      <c r="AH293">
        <f>IF('Calc base'!C$14=0,0,MIN(V293,MAX(0,$E293-SUMIFS($V293:$AG293,'Calc base'!$C$17:$N$17,"&lt;"&amp;'Calc base'!C$17,'Calc base'!$C$14:$N$14,1))))</f>
        <v>0</v>
      </c>
      <c r="AI293">
        <f>IF('Calc base'!D$14=0,0,MIN(W293,MAX(0,$E293-SUMIFS($V293:$AG293,'Calc base'!$C$17:$N$17,"&lt;"&amp;'Calc base'!D$17,'Calc base'!$C$14:$N$14,1))))</f>
        <v>0</v>
      </c>
      <c r="AJ293">
        <f>IF('Calc base'!E$14=0,0,MIN(X293,MAX(0,$E293-SUMIFS($V293:$AG293,'Calc base'!$C$17:$N$17,"&lt;"&amp;'Calc base'!E$17,'Calc base'!$C$14:$N$14,1))))</f>
        <v>0</v>
      </c>
      <c r="AK293">
        <f>IF('Calc base'!F$14=0,0,MIN(Y293,MAX(0,$E293-SUMIFS($V293:$AG293,'Calc base'!$C$17:$N$17,"&lt;"&amp;'Calc base'!F$17,'Calc base'!$C$14:$N$14,1))))</f>
        <v>0</v>
      </c>
      <c r="AL293">
        <f>IF('Calc base'!G$14=0,0,MIN(Z293,MAX(0,$E293-SUMIFS($V293:$AG293,'Calc base'!$C$17:$N$17,"&lt;"&amp;'Calc base'!G$17,'Calc base'!$C$14:$N$14,1))))</f>
        <v>0</v>
      </c>
      <c r="AM293">
        <f>IF('Calc base'!H$14=0,0,MIN(AA293,MAX(0,$E293-SUMIFS($V293:$AG293,'Calc base'!$C$17:$N$17,"&lt;"&amp;'Calc base'!H$17,'Calc base'!$C$14:$N$14,1))))</f>
        <v>0</v>
      </c>
      <c r="AN293">
        <f>IF('Calc base'!I$14=0,0,MIN(AB293,MAX(0,$E293-SUMIFS($V293:$AG293,'Calc base'!$C$17:$N$17,"&lt;"&amp;'Calc base'!I$17,'Calc base'!$C$14:$N$14,1))))</f>
        <v>0</v>
      </c>
      <c r="AO293">
        <f>IF('Calc base'!J$14=0,0,MIN(AC293,MAX(0,$E293-SUMIFS($V293:$AG293,'Calc base'!$C$17:$N$17,"&lt;"&amp;'Calc base'!J$17,'Calc base'!$C$14:$N$14,1))))</f>
        <v>0</v>
      </c>
      <c r="AP293">
        <f>IF('Calc base'!K$14=0,0,MIN(AD293,MAX(0,$E293-SUMIFS($V293:$AG293,'Calc base'!$C$17:$N$17,"&lt;"&amp;'Calc base'!K$17,'Calc base'!$C$14:$N$14,1))))</f>
        <v>0</v>
      </c>
      <c r="AQ293">
        <f>IF('Calc base'!L$14=0,0,MIN(AE293,MAX(0,$E293-SUMIFS($V293:$AG293,'Calc base'!$C$17:$N$17,"&lt;"&amp;'Calc base'!L$17,'Calc base'!$C$14:$N$14,1))))</f>
        <v>0</v>
      </c>
      <c r="AR293">
        <f>IF('Calc base'!M$14=0,0,MIN(AF293,MAX(0,$E293-SUMIFS($V293:$AG293,'Calc base'!$C$17:$N$17,"&lt;"&amp;'Calc base'!M$17,'Calc base'!$C$14:$N$14,1))))</f>
        <v>0</v>
      </c>
      <c r="AS293">
        <f>IF('Calc base'!N$14=0,0,MIN(AG293,MAX(0,$E293-SUMIFS($V293:$AG293,'Calc base'!$C$17:$N$17,"&lt;"&amp;'Calc base'!N$17,'Calc base'!$C$14:$N$14,1))))</f>
        <v>0</v>
      </c>
      <c r="AT293">
        <f>V293-AH293</f>
        <v>0</v>
      </c>
      <c r="AU293">
        <f>W293-AI293</f>
        <v>0</v>
      </c>
      <c r="AV293">
        <f>X293-AJ293</f>
        <v>0</v>
      </c>
      <c r="AW293">
        <f>Y293-AK293</f>
        <v>0</v>
      </c>
      <c r="AX293">
        <f>Z293-AL293</f>
        <v>0</v>
      </c>
      <c r="AY293">
        <f>AA293-AM293</f>
        <v>0</v>
      </c>
      <c r="AZ293">
        <f>AB293-AN293</f>
        <v>0</v>
      </c>
      <c r="BA293">
        <f>AC293-AO293</f>
        <v>0</v>
      </c>
      <c r="BB293">
        <f>AD293-AP293</f>
        <v>0</v>
      </c>
      <c r="BC293">
        <f>AE293-AQ293</f>
        <v>0</v>
      </c>
      <c r="BD293">
        <f>AF293-AR293</f>
        <v>0</v>
      </c>
      <c r="BE293">
        <f>AG293-AS293</f>
        <v>0</v>
      </c>
    </row>
    <row r="294">
      <c r="A294" t="n">
        <v>264</v>
      </c>
      <c r="B294">
        <f>SUMPRODUCT(ROUND($AT293:$BE293*(1+'Calc base'!$H294:$S294),2))</f>
        <v>0</v>
      </c>
      <c r="C294">
        <f>SUM(J294:U294)</f>
        <v>0</v>
      </c>
      <c r="D294">
        <f>SUM(V294:AG294)</f>
        <v>0</v>
      </c>
      <c r="E294">
        <f>MAX(0,IF(Impostazioni!$B$7="No",'Calc base'!$C294-$C$31,'Calc base'!$C294-C294)+'Calc base'!$G294+'Calc base'!$F294-(B294-C294-D294))</f>
        <v>900</v>
      </c>
      <c r="F294">
        <f>SUM(AH294:AS294)</f>
        <v>0</v>
      </c>
      <c r="G294">
        <f>SUM(AT294:BE294)</f>
        <v>0</v>
      </c>
      <c r="H294">
        <f>B294-G293</f>
        <v>0</v>
      </c>
      <c r="I294">
        <f>B294-G294</f>
        <v>0</v>
      </c>
      <c r="J294">
        <f>IF(AT293&lt;=0,0,IF(ROUND(AT293*(1+'Calc base'!H294),2)-MAX('Calc base'!C$12,ROUND('Calc base'!C$13*AT293,2))&lt;1,ROUND(AT293*(1+'Calc base'!H294),2),MAX('Calc base'!C$12,ROUND('Calc base'!C$13*AT293,2))))</f>
        <v>0</v>
      </c>
      <c r="K294">
        <f>IF(AU293&lt;=0,0,IF(ROUND(AU293*(1+'Calc base'!I294),2)-MAX('Calc base'!D$12,ROUND('Calc base'!D$13*AU293,2))&lt;1,ROUND(AU293*(1+'Calc base'!I294),2),MAX('Calc base'!D$12,ROUND('Calc base'!D$13*AU293,2))))</f>
        <v>0</v>
      </c>
      <c r="L294">
        <f>IF(AV293&lt;=0,0,IF(ROUND(AV293*(1+'Calc base'!J294),2)-MAX('Calc base'!E$12,ROUND('Calc base'!E$13*AV293,2))&lt;1,ROUND(AV293*(1+'Calc base'!J294),2),MAX('Calc base'!E$12,ROUND('Calc base'!E$13*AV293,2))))</f>
        <v>0</v>
      </c>
      <c r="M294">
        <f>IF(AW293&lt;=0,0,IF(ROUND(AW293*(1+'Calc base'!K294),2)-MAX('Calc base'!F$12,ROUND('Calc base'!F$13*AW293,2))&lt;1,ROUND(AW293*(1+'Calc base'!K294),2),MAX('Calc base'!F$12,ROUND('Calc base'!F$13*AW293,2))))</f>
        <v>0</v>
      </c>
      <c r="N294">
        <f>IF(AX293&lt;=0,0,IF(ROUND(AX293*(1+'Calc base'!L294),2)-MAX('Calc base'!G$12,ROUND('Calc base'!G$13*AX293,2))&lt;1,ROUND(AX293*(1+'Calc base'!L294),2),MAX('Calc base'!G$12,ROUND('Calc base'!G$13*AX293,2))))</f>
        <v>0</v>
      </c>
      <c r="O294">
        <f>IF(AY293&lt;=0,0,IF(ROUND(AY293*(1+'Calc base'!M294),2)-MAX('Calc base'!H$12,ROUND('Calc base'!H$13*AY293,2))&lt;1,ROUND(AY293*(1+'Calc base'!M294),2),MAX('Calc base'!H$12,ROUND('Calc base'!H$13*AY293,2))))</f>
        <v>0</v>
      </c>
      <c r="P294">
        <f>IF(AZ293&lt;=0,0,IF(ROUND(AZ293*(1+'Calc base'!N294),2)-MAX('Calc base'!I$12,ROUND('Calc base'!I$13*AZ293,2))&lt;1,ROUND(AZ293*(1+'Calc base'!N294),2),MAX('Calc base'!I$12,ROUND('Calc base'!I$13*AZ293,2))))</f>
        <v>0</v>
      </c>
      <c r="Q294">
        <f>IF(BA293&lt;=0,0,IF(ROUND(BA293*(1+'Calc base'!O294),2)-MAX('Calc base'!J$12,ROUND('Calc base'!J$13*BA293,2))&lt;1,ROUND(BA293*(1+'Calc base'!O294),2),MAX('Calc base'!J$12,ROUND('Calc base'!J$13*BA293,2))))</f>
        <v>0</v>
      </c>
      <c r="R294">
        <f>IF(BB293&lt;=0,0,IF(ROUND(BB293*(1+'Calc base'!P294),2)-MAX('Calc base'!K$12,ROUND('Calc base'!K$13*BB293,2))&lt;1,ROUND(BB293*(1+'Calc base'!P294),2),MAX('Calc base'!K$12,ROUND('Calc base'!K$13*BB293,2))))</f>
        <v>0</v>
      </c>
      <c r="S294">
        <f>IF(BC293&lt;=0,0,IF(ROUND(BC293*(1+'Calc base'!Q294),2)-MAX('Calc base'!L$12,ROUND('Calc base'!L$13*BC293,2))&lt;1,ROUND(BC293*(1+'Calc base'!Q294),2),MAX('Calc base'!L$12,ROUND('Calc base'!L$13*BC293,2))))</f>
        <v>0</v>
      </c>
      <c r="T294">
        <f>IF(BD293&lt;=0,0,IF(ROUND(BD293*(1+'Calc base'!R294),2)-MAX('Calc base'!M$12,ROUND('Calc base'!M$13*BD293,2))&lt;1,ROUND(BD293*(1+'Calc base'!R294),2),MAX('Calc base'!M$12,ROUND('Calc base'!M$13*BD293,2))))</f>
        <v>0</v>
      </c>
      <c r="U294">
        <f>IF(BE293&lt;=0,0,IF(ROUND(BE293*(1+'Calc base'!S294),2)-MAX('Calc base'!N$12,ROUND('Calc base'!N$13*BE293,2))&lt;1,ROUND(BE293*(1+'Calc base'!S294),2),MAX('Calc base'!N$12,ROUND('Calc base'!N$13*BE293,2))))</f>
        <v>0</v>
      </c>
      <c r="V294">
        <f>MAX(0,ROUND(AT293*(1+'Calc base'!H294),2)-J294-'Calc base'!T294)</f>
        <v>0</v>
      </c>
      <c r="W294">
        <f>MAX(0,ROUND(AU293*(1+'Calc base'!I294),2)-K294-'Calc base'!U294)</f>
        <v>0</v>
      </c>
      <c r="X294">
        <f>MAX(0,ROUND(AV293*(1+'Calc base'!J294),2)-L294-'Calc base'!V294)</f>
        <v>0</v>
      </c>
      <c r="Y294">
        <f>MAX(0,ROUND(AW293*(1+'Calc base'!K294),2)-M294-'Calc base'!W294)</f>
        <v>0</v>
      </c>
      <c r="Z294">
        <f>MAX(0,ROUND(AX293*(1+'Calc base'!L294),2)-N294-'Calc base'!X294)</f>
        <v>0</v>
      </c>
      <c r="AA294">
        <f>MAX(0,ROUND(AY293*(1+'Calc base'!M294),2)-O294-'Calc base'!Y294)</f>
        <v>0</v>
      </c>
      <c r="AB294">
        <f>MAX(0,ROUND(AZ293*(1+'Calc base'!N294),2)-P294-'Calc base'!Z294)</f>
        <v>0</v>
      </c>
      <c r="AC294">
        <f>MAX(0,ROUND(BA293*(1+'Calc base'!O294),2)-Q294-'Calc base'!AA294)</f>
        <v>0</v>
      </c>
      <c r="AD294">
        <f>MAX(0,ROUND(BB293*(1+'Calc base'!P294),2)-R294-'Calc base'!AB294)</f>
        <v>0</v>
      </c>
      <c r="AE294">
        <f>MAX(0,ROUND(BC293*(1+'Calc base'!Q294),2)-S294-'Calc base'!AC294)</f>
        <v>0</v>
      </c>
      <c r="AF294">
        <f>MAX(0,ROUND(BD293*(1+'Calc base'!R294),2)-T294-'Calc base'!AD294)</f>
        <v>0</v>
      </c>
      <c r="AG294">
        <f>MAX(0,ROUND(BE293*(1+'Calc base'!S294),2)-U294-'Calc base'!AE294)</f>
        <v>0</v>
      </c>
      <c r="AH294">
        <f>IF('Calc base'!C$14=0,0,MIN(V294,MAX(0,$E294-SUMIFS($V294:$AG294,'Calc base'!$C$17:$N$17,"&lt;"&amp;'Calc base'!C$17,'Calc base'!$C$14:$N$14,1))))</f>
        <v>0</v>
      </c>
      <c r="AI294">
        <f>IF('Calc base'!D$14=0,0,MIN(W294,MAX(0,$E294-SUMIFS($V294:$AG294,'Calc base'!$C$17:$N$17,"&lt;"&amp;'Calc base'!D$17,'Calc base'!$C$14:$N$14,1))))</f>
        <v>0</v>
      </c>
      <c r="AJ294">
        <f>IF('Calc base'!E$14=0,0,MIN(X294,MAX(0,$E294-SUMIFS($V294:$AG294,'Calc base'!$C$17:$N$17,"&lt;"&amp;'Calc base'!E$17,'Calc base'!$C$14:$N$14,1))))</f>
        <v>0</v>
      </c>
      <c r="AK294">
        <f>IF('Calc base'!F$14=0,0,MIN(Y294,MAX(0,$E294-SUMIFS($V294:$AG294,'Calc base'!$C$17:$N$17,"&lt;"&amp;'Calc base'!F$17,'Calc base'!$C$14:$N$14,1))))</f>
        <v>0</v>
      </c>
      <c r="AL294">
        <f>IF('Calc base'!G$14=0,0,MIN(Z294,MAX(0,$E294-SUMIFS($V294:$AG294,'Calc base'!$C$17:$N$17,"&lt;"&amp;'Calc base'!G$17,'Calc base'!$C$14:$N$14,1))))</f>
        <v>0</v>
      </c>
      <c r="AM294">
        <f>IF('Calc base'!H$14=0,0,MIN(AA294,MAX(0,$E294-SUMIFS($V294:$AG294,'Calc base'!$C$17:$N$17,"&lt;"&amp;'Calc base'!H$17,'Calc base'!$C$14:$N$14,1))))</f>
        <v>0</v>
      </c>
      <c r="AN294">
        <f>IF('Calc base'!I$14=0,0,MIN(AB294,MAX(0,$E294-SUMIFS($V294:$AG294,'Calc base'!$C$17:$N$17,"&lt;"&amp;'Calc base'!I$17,'Calc base'!$C$14:$N$14,1))))</f>
        <v>0</v>
      </c>
      <c r="AO294">
        <f>IF('Calc base'!J$14=0,0,MIN(AC294,MAX(0,$E294-SUMIFS($V294:$AG294,'Calc base'!$C$17:$N$17,"&lt;"&amp;'Calc base'!J$17,'Calc base'!$C$14:$N$14,1))))</f>
        <v>0</v>
      </c>
      <c r="AP294">
        <f>IF('Calc base'!K$14=0,0,MIN(AD294,MAX(0,$E294-SUMIFS($V294:$AG294,'Calc base'!$C$17:$N$17,"&lt;"&amp;'Calc base'!K$17,'Calc base'!$C$14:$N$14,1))))</f>
        <v>0</v>
      </c>
      <c r="AQ294">
        <f>IF('Calc base'!L$14=0,0,MIN(AE294,MAX(0,$E294-SUMIFS($V294:$AG294,'Calc base'!$C$17:$N$17,"&lt;"&amp;'Calc base'!L$17,'Calc base'!$C$14:$N$14,1))))</f>
        <v>0</v>
      </c>
      <c r="AR294">
        <f>IF('Calc base'!M$14=0,0,MIN(AF294,MAX(0,$E294-SUMIFS($V294:$AG294,'Calc base'!$C$17:$N$17,"&lt;"&amp;'Calc base'!M$17,'Calc base'!$C$14:$N$14,1))))</f>
        <v>0</v>
      </c>
      <c r="AS294">
        <f>IF('Calc base'!N$14=0,0,MIN(AG294,MAX(0,$E294-SUMIFS($V294:$AG294,'Calc base'!$C$17:$N$17,"&lt;"&amp;'Calc base'!N$17,'Calc base'!$C$14:$N$14,1))))</f>
        <v>0</v>
      </c>
      <c r="AT294">
        <f>V294-AH294</f>
        <v>0</v>
      </c>
      <c r="AU294">
        <f>W294-AI294</f>
        <v>0</v>
      </c>
      <c r="AV294">
        <f>X294-AJ294</f>
        <v>0</v>
      </c>
      <c r="AW294">
        <f>Y294-AK294</f>
        <v>0</v>
      </c>
      <c r="AX294">
        <f>Z294-AL294</f>
        <v>0</v>
      </c>
      <c r="AY294">
        <f>AA294-AM294</f>
        <v>0</v>
      </c>
      <c r="AZ294">
        <f>AB294-AN294</f>
        <v>0</v>
      </c>
      <c r="BA294">
        <f>AC294-AO294</f>
        <v>0</v>
      </c>
      <c r="BB294">
        <f>AD294-AP294</f>
        <v>0</v>
      </c>
      <c r="BC294">
        <f>AE294-AQ294</f>
        <v>0</v>
      </c>
      <c r="BD294">
        <f>AF294-AR294</f>
        <v>0</v>
      </c>
      <c r="BE294">
        <f>AG294-AS294</f>
        <v>0</v>
      </c>
    </row>
    <row r="295">
      <c r="A295" t="n">
        <v>265</v>
      </c>
      <c r="B295">
        <f>SUMPRODUCT(ROUND($AT294:$BE294*(1+'Calc base'!$H295:$S295),2))</f>
        <v>0</v>
      </c>
      <c r="C295">
        <f>SUM(J295:U295)</f>
        <v>0</v>
      </c>
      <c r="D295">
        <f>SUM(V295:AG295)</f>
        <v>0</v>
      </c>
      <c r="E295">
        <f>MAX(0,IF(Impostazioni!$B$7="No",'Calc base'!$C295-$C$31,'Calc base'!$C295-C295)+'Calc base'!$G295+'Calc base'!$F295-(B295-C295-D295))</f>
        <v>900</v>
      </c>
      <c r="F295">
        <f>SUM(AH295:AS295)</f>
        <v>0</v>
      </c>
      <c r="G295">
        <f>SUM(AT295:BE295)</f>
        <v>0</v>
      </c>
      <c r="H295">
        <f>B295-G294</f>
        <v>0</v>
      </c>
      <c r="I295">
        <f>B295-G295</f>
        <v>0</v>
      </c>
      <c r="J295">
        <f>IF(AT294&lt;=0,0,IF(ROUND(AT294*(1+'Calc base'!H295),2)-MAX('Calc base'!C$12,ROUND('Calc base'!C$13*AT294,2))&lt;1,ROUND(AT294*(1+'Calc base'!H295),2),MAX('Calc base'!C$12,ROUND('Calc base'!C$13*AT294,2))))</f>
        <v>0</v>
      </c>
      <c r="K295">
        <f>IF(AU294&lt;=0,0,IF(ROUND(AU294*(1+'Calc base'!I295),2)-MAX('Calc base'!D$12,ROUND('Calc base'!D$13*AU294,2))&lt;1,ROUND(AU294*(1+'Calc base'!I295),2),MAX('Calc base'!D$12,ROUND('Calc base'!D$13*AU294,2))))</f>
        <v>0</v>
      </c>
      <c r="L295">
        <f>IF(AV294&lt;=0,0,IF(ROUND(AV294*(1+'Calc base'!J295),2)-MAX('Calc base'!E$12,ROUND('Calc base'!E$13*AV294,2))&lt;1,ROUND(AV294*(1+'Calc base'!J295),2),MAX('Calc base'!E$12,ROUND('Calc base'!E$13*AV294,2))))</f>
        <v>0</v>
      </c>
      <c r="M295">
        <f>IF(AW294&lt;=0,0,IF(ROUND(AW294*(1+'Calc base'!K295),2)-MAX('Calc base'!F$12,ROUND('Calc base'!F$13*AW294,2))&lt;1,ROUND(AW294*(1+'Calc base'!K295),2),MAX('Calc base'!F$12,ROUND('Calc base'!F$13*AW294,2))))</f>
        <v>0</v>
      </c>
      <c r="N295">
        <f>IF(AX294&lt;=0,0,IF(ROUND(AX294*(1+'Calc base'!L295),2)-MAX('Calc base'!G$12,ROUND('Calc base'!G$13*AX294,2))&lt;1,ROUND(AX294*(1+'Calc base'!L295),2),MAX('Calc base'!G$12,ROUND('Calc base'!G$13*AX294,2))))</f>
        <v>0</v>
      </c>
      <c r="O295">
        <f>IF(AY294&lt;=0,0,IF(ROUND(AY294*(1+'Calc base'!M295),2)-MAX('Calc base'!H$12,ROUND('Calc base'!H$13*AY294,2))&lt;1,ROUND(AY294*(1+'Calc base'!M295),2),MAX('Calc base'!H$12,ROUND('Calc base'!H$13*AY294,2))))</f>
        <v>0</v>
      </c>
      <c r="P295">
        <f>IF(AZ294&lt;=0,0,IF(ROUND(AZ294*(1+'Calc base'!N295),2)-MAX('Calc base'!I$12,ROUND('Calc base'!I$13*AZ294,2))&lt;1,ROUND(AZ294*(1+'Calc base'!N295),2),MAX('Calc base'!I$12,ROUND('Calc base'!I$13*AZ294,2))))</f>
        <v>0</v>
      </c>
      <c r="Q295">
        <f>IF(BA294&lt;=0,0,IF(ROUND(BA294*(1+'Calc base'!O295),2)-MAX('Calc base'!J$12,ROUND('Calc base'!J$13*BA294,2))&lt;1,ROUND(BA294*(1+'Calc base'!O295),2),MAX('Calc base'!J$12,ROUND('Calc base'!J$13*BA294,2))))</f>
        <v>0</v>
      </c>
      <c r="R295">
        <f>IF(BB294&lt;=0,0,IF(ROUND(BB294*(1+'Calc base'!P295),2)-MAX('Calc base'!K$12,ROUND('Calc base'!K$13*BB294,2))&lt;1,ROUND(BB294*(1+'Calc base'!P295),2),MAX('Calc base'!K$12,ROUND('Calc base'!K$13*BB294,2))))</f>
        <v>0</v>
      </c>
      <c r="S295">
        <f>IF(BC294&lt;=0,0,IF(ROUND(BC294*(1+'Calc base'!Q295),2)-MAX('Calc base'!L$12,ROUND('Calc base'!L$13*BC294,2))&lt;1,ROUND(BC294*(1+'Calc base'!Q295),2),MAX('Calc base'!L$12,ROUND('Calc base'!L$13*BC294,2))))</f>
        <v>0</v>
      </c>
      <c r="T295">
        <f>IF(BD294&lt;=0,0,IF(ROUND(BD294*(1+'Calc base'!R295),2)-MAX('Calc base'!M$12,ROUND('Calc base'!M$13*BD294,2))&lt;1,ROUND(BD294*(1+'Calc base'!R295),2),MAX('Calc base'!M$12,ROUND('Calc base'!M$13*BD294,2))))</f>
        <v>0</v>
      </c>
      <c r="U295">
        <f>IF(BE294&lt;=0,0,IF(ROUND(BE294*(1+'Calc base'!S295),2)-MAX('Calc base'!N$12,ROUND('Calc base'!N$13*BE294,2))&lt;1,ROUND(BE294*(1+'Calc base'!S295),2),MAX('Calc base'!N$12,ROUND('Calc base'!N$13*BE294,2))))</f>
        <v>0</v>
      </c>
      <c r="V295">
        <f>MAX(0,ROUND(AT294*(1+'Calc base'!H295),2)-J295-'Calc base'!T295)</f>
        <v>0</v>
      </c>
      <c r="W295">
        <f>MAX(0,ROUND(AU294*(1+'Calc base'!I295),2)-K295-'Calc base'!U295)</f>
        <v>0</v>
      </c>
      <c r="X295">
        <f>MAX(0,ROUND(AV294*(1+'Calc base'!J295),2)-L295-'Calc base'!V295)</f>
        <v>0</v>
      </c>
      <c r="Y295">
        <f>MAX(0,ROUND(AW294*(1+'Calc base'!K295),2)-M295-'Calc base'!W295)</f>
        <v>0</v>
      </c>
      <c r="Z295">
        <f>MAX(0,ROUND(AX294*(1+'Calc base'!L295),2)-N295-'Calc base'!X295)</f>
        <v>0</v>
      </c>
      <c r="AA295">
        <f>MAX(0,ROUND(AY294*(1+'Calc base'!M295),2)-O295-'Calc base'!Y295)</f>
        <v>0</v>
      </c>
      <c r="AB295">
        <f>MAX(0,ROUND(AZ294*(1+'Calc base'!N295),2)-P295-'Calc base'!Z295)</f>
        <v>0</v>
      </c>
      <c r="AC295">
        <f>MAX(0,ROUND(BA294*(1+'Calc base'!O295),2)-Q295-'Calc base'!AA295)</f>
        <v>0</v>
      </c>
      <c r="AD295">
        <f>MAX(0,ROUND(BB294*(1+'Calc base'!P295),2)-R295-'Calc base'!AB295)</f>
        <v>0</v>
      </c>
      <c r="AE295">
        <f>MAX(0,ROUND(BC294*(1+'Calc base'!Q295),2)-S295-'Calc base'!AC295)</f>
        <v>0</v>
      </c>
      <c r="AF295">
        <f>MAX(0,ROUND(BD294*(1+'Calc base'!R295),2)-T295-'Calc base'!AD295)</f>
        <v>0</v>
      </c>
      <c r="AG295">
        <f>MAX(0,ROUND(BE294*(1+'Calc base'!S295),2)-U295-'Calc base'!AE295)</f>
        <v>0</v>
      </c>
      <c r="AH295">
        <f>IF('Calc base'!C$14=0,0,MIN(V295,MAX(0,$E295-SUMIFS($V295:$AG295,'Calc base'!$C$17:$N$17,"&lt;"&amp;'Calc base'!C$17,'Calc base'!$C$14:$N$14,1))))</f>
        <v>0</v>
      </c>
      <c r="AI295">
        <f>IF('Calc base'!D$14=0,0,MIN(W295,MAX(0,$E295-SUMIFS($V295:$AG295,'Calc base'!$C$17:$N$17,"&lt;"&amp;'Calc base'!D$17,'Calc base'!$C$14:$N$14,1))))</f>
        <v>0</v>
      </c>
      <c r="AJ295">
        <f>IF('Calc base'!E$14=0,0,MIN(X295,MAX(0,$E295-SUMIFS($V295:$AG295,'Calc base'!$C$17:$N$17,"&lt;"&amp;'Calc base'!E$17,'Calc base'!$C$14:$N$14,1))))</f>
        <v>0</v>
      </c>
      <c r="AK295">
        <f>IF('Calc base'!F$14=0,0,MIN(Y295,MAX(0,$E295-SUMIFS($V295:$AG295,'Calc base'!$C$17:$N$17,"&lt;"&amp;'Calc base'!F$17,'Calc base'!$C$14:$N$14,1))))</f>
        <v>0</v>
      </c>
      <c r="AL295">
        <f>IF('Calc base'!G$14=0,0,MIN(Z295,MAX(0,$E295-SUMIFS($V295:$AG295,'Calc base'!$C$17:$N$17,"&lt;"&amp;'Calc base'!G$17,'Calc base'!$C$14:$N$14,1))))</f>
        <v>0</v>
      </c>
      <c r="AM295">
        <f>IF('Calc base'!H$14=0,0,MIN(AA295,MAX(0,$E295-SUMIFS($V295:$AG295,'Calc base'!$C$17:$N$17,"&lt;"&amp;'Calc base'!H$17,'Calc base'!$C$14:$N$14,1))))</f>
        <v>0</v>
      </c>
      <c r="AN295">
        <f>IF('Calc base'!I$14=0,0,MIN(AB295,MAX(0,$E295-SUMIFS($V295:$AG295,'Calc base'!$C$17:$N$17,"&lt;"&amp;'Calc base'!I$17,'Calc base'!$C$14:$N$14,1))))</f>
        <v>0</v>
      </c>
      <c r="AO295">
        <f>IF('Calc base'!J$14=0,0,MIN(AC295,MAX(0,$E295-SUMIFS($V295:$AG295,'Calc base'!$C$17:$N$17,"&lt;"&amp;'Calc base'!J$17,'Calc base'!$C$14:$N$14,1))))</f>
        <v>0</v>
      </c>
      <c r="AP295">
        <f>IF('Calc base'!K$14=0,0,MIN(AD295,MAX(0,$E295-SUMIFS($V295:$AG295,'Calc base'!$C$17:$N$17,"&lt;"&amp;'Calc base'!K$17,'Calc base'!$C$14:$N$14,1))))</f>
        <v>0</v>
      </c>
      <c r="AQ295">
        <f>IF('Calc base'!L$14=0,0,MIN(AE295,MAX(0,$E295-SUMIFS($V295:$AG295,'Calc base'!$C$17:$N$17,"&lt;"&amp;'Calc base'!L$17,'Calc base'!$C$14:$N$14,1))))</f>
        <v>0</v>
      </c>
      <c r="AR295">
        <f>IF('Calc base'!M$14=0,0,MIN(AF295,MAX(0,$E295-SUMIFS($V295:$AG295,'Calc base'!$C$17:$N$17,"&lt;"&amp;'Calc base'!M$17,'Calc base'!$C$14:$N$14,1))))</f>
        <v>0</v>
      </c>
      <c r="AS295">
        <f>IF('Calc base'!N$14=0,0,MIN(AG295,MAX(0,$E295-SUMIFS($V295:$AG295,'Calc base'!$C$17:$N$17,"&lt;"&amp;'Calc base'!N$17,'Calc base'!$C$14:$N$14,1))))</f>
        <v>0</v>
      </c>
      <c r="AT295">
        <f>V295-AH295</f>
        <v>0</v>
      </c>
      <c r="AU295">
        <f>W295-AI295</f>
        <v>0</v>
      </c>
      <c r="AV295">
        <f>X295-AJ295</f>
        <v>0</v>
      </c>
      <c r="AW295">
        <f>Y295-AK295</f>
        <v>0</v>
      </c>
      <c r="AX295">
        <f>Z295-AL295</f>
        <v>0</v>
      </c>
      <c r="AY295">
        <f>AA295-AM295</f>
        <v>0</v>
      </c>
      <c r="AZ295">
        <f>AB295-AN295</f>
        <v>0</v>
      </c>
      <c r="BA295">
        <f>AC295-AO295</f>
        <v>0</v>
      </c>
      <c r="BB295">
        <f>AD295-AP295</f>
        <v>0</v>
      </c>
      <c r="BC295">
        <f>AE295-AQ295</f>
        <v>0</v>
      </c>
      <c r="BD295">
        <f>AF295-AR295</f>
        <v>0</v>
      </c>
      <c r="BE295">
        <f>AG295-AS295</f>
        <v>0</v>
      </c>
    </row>
    <row r="296">
      <c r="A296" t="n">
        <v>266</v>
      </c>
      <c r="B296">
        <f>SUMPRODUCT(ROUND($AT295:$BE295*(1+'Calc base'!$H296:$S296),2))</f>
        <v>0</v>
      </c>
      <c r="C296">
        <f>SUM(J296:U296)</f>
        <v>0</v>
      </c>
      <c r="D296">
        <f>SUM(V296:AG296)</f>
        <v>0</v>
      </c>
      <c r="E296">
        <f>MAX(0,IF(Impostazioni!$B$7="No",'Calc base'!$C296-$C$31,'Calc base'!$C296-C296)+'Calc base'!$G296+'Calc base'!$F296-(B296-C296-D296))</f>
        <v>900</v>
      </c>
      <c r="F296">
        <f>SUM(AH296:AS296)</f>
        <v>0</v>
      </c>
      <c r="G296">
        <f>SUM(AT296:BE296)</f>
        <v>0</v>
      </c>
      <c r="H296">
        <f>B296-G295</f>
        <v>0</v>
      </c>
      <c r="I296">
        <f>B296-G296</f>
        <v>0</v>
      </c>
      <c r="J296">
        <f>IF(AT295&lt;=0,0,IF(ROUND(AT295*(1+'Calc base'!H296),2)-MAX('Calc base'!C$12,ROUND('Calc base'!C$13*AT295,2))&lt;1,ROUND(AT295*(1+'Calc base'!H296),2),MAX('Calc base'!C$12,ROUND('Calc base'!C$13*AT295,2))))</f>
        <v>0</v>
      </c>
      <c r="K296">
        <f>IF(AU295&lt;=0,0,IF(ROUND(AU295*(1+'Calc base'!I296),2)-MAX('Calc base'!D$12,ROUND('Calc base'!D$13*AU295,2))&lt;1,ROUND(AU295*(1+'Calc base'!I296),2),MAX('Calc base'!D$12,ROUND('Calc base'!D$13*AU295,2))))</f>
        <v>0</v>
      </c>
      <c r="L296">
        <f>IF(AV295&lt;=0,0,IF(ROUND(AV295*(1+'Calc base'!J296),2)-MAX('Calc base'!E$12,ROUND('Calc base'!E$13*AV295,2))&lt;1,ROUND(AV295*(1+'Calc base'!J296),2),MAX('Calc base'!E$12,ROUND('Calc base'!E$13*AV295,2))))</f>
        <v>0</v>
      </c>
      <c r="M296">
        <f>IF(AW295&lt;=0,0,IF(ROUND(AW295*(1+'Calc base'!K296),2)-MAX('Calc base'!F$12,ROUND('Calc base'!F$13*AW295,2))&lt;1,ROUND(AW295*(1+'Calc base'!K296),2),MAX('Calc base'!F$12,ROUND('Calc base'!F$13*AW295,2))))</f>
        <v>0</v>
      </c>
      <c r="N296">
        <f>IF(AX295&lt;=0,0,IF(ROUND(AX295*(1+'Calc base'!L296),2)-MAX('Calc base'!G$12,ROUND('Calc base'!G$13*AX295,2))&lt;1,ROUND(AX295*(1+'Calc base'!L296),2),MAX('Calc base'!G$12,ROUND('Calc base'!G$13*AX295,2))))</f>
        <v>0</v>
      </c>
      <c r="O296">
        <f>IF(AY295&lt;=0,0,IF(ROUND(AY295*(1+'Calc base'!M296),2)-MAX('Calc base'!H$12,ROUND('Calc base'!H$13*AY295,2))&lt;1,ROUND(AY295*(1+'Calc base'!M296),2),MAX('Calc base'!H$12,ROUND('Calc base'!H$13*AY295,2))))</f>
        <v>0</v>
      </c>
      <c r="P296">
        <f>IF(AZ295&lt;=0,0,IF(ROUND(AZ295*(1+'Calc base'!N296),2)-MAX('Calc base'!I$12,ROUND('Calc base'!I$13*AZ295,2))&lt;1,ROUND(AZ295*(1+'Calc base'!N296),2),MAX('Calc base'!I$12,ROUND('Calc base'!I$13*AZ295,2))))</f>
        <v>0</v>
      </c>
      <c r="Q296">
        <f>IF(BA295&lt;=0,0,IF(ROUND(BA295*(1+'Calc base'!O296),2)-MAX('Calc base'!J$12,ROUND('Calc base'!J$13*BA295,2))&lt;1,ROUND(BA295*(1+'Calc base'!O296),2),MAX('Calc base'!J$12,ROUND('Calc base'!J$13*BA295,2))))</f>
        <v>0</v>
      </c>
      <c r="R296">
        <f>IF(BB295&lt;=0,0,IF(ROUND(BB295*(1+'Calc base'!P296),2)-MAX('Calc base'!K$12,ROUND('Calc base'!K$13*BB295,2))&lt;1,ROUND(BB295*(1+'Calc base'!P296),2),MAX('Calc base'!K$12,ROUND('Calc base'!K$13*BB295,2))))</f>
        <v>0</v>
      </c>
      <c r="S296">
        <f>IF(BC295&lt;=0,0,IF(ROUND(BC295*(1+'Calc base'!Q296),2)-MAX('Calc base'!L$12,ROUND('Calc base'!L$13*BC295,2))&lt;1,ROUND(BC295*(1+'Calc base'!Q296),2),MAX('Calc base'!L$12,ROUND('Calc base'!L$13*BC295,2))))</f>
        <v>0</v>
      </c>
      <c r="T296">
        <f>IF(BD295&lt;=0,0,IF(ROUND(BD295*(1+'Calc base'!R296),2)-MAX('Calc base'!M$12,ROUND('Calc base'!M$13*BD295,2))&lt;1,ROUND(BD295*(1+'Calc base'!R296),2),MAX('Calc base'!M$12,ROUND('Calc base'!M$13*BD295,2))))</f>
        <v>0</v>
      </c>
      <c r="U296">
        <f>IF(BE295&lt;=0,0,IF(ROUND(BE295*(1+'Calc base'!S296),2)-MAX('Calc base'!N$12,ROUND('Calc base'!N$13*BE295,2))&lt;1,ROUND(BE295*(1+'Calc base'!S296),2),MAX('Calc base'!N$12,ROUND('Calc base'!N$13*BE295,2))))</f>
        <v>0</v>
      </c>
      <c r="V296">
        <f>MAX(0,ROUND(AT295*(1+'Calc base'!H296),2)-J296-'Calc base'!T296)</f>
        <v>0</v>
      </c>
      <c r="W296">
        <f>MAX(0,ROUND(AU295*(1+'Calc base'!I296),2)-K296-'Calc base'!U296)</f>
        <v>0</v>
      </c>
      <c r="X296">
        <f>MAX(0,ROUND(AV295*(1+'Calc base'!J296),2)-L296-'Calc base'!V296)</f>
        <v>0</v>
      </c>
      <c r="Y296">
        <f>MAX(0,ROUND(AW295*(1+'Calc base'!K296),2)-M296-'Calc base'!W296)</f>
        <v>0</v>
      </c>
      <c r="Z296">
        <f>MAX(0,ROUND(AX295*(1+'Calc base'!L296),2)-N296-'Calc base'!X296)</f>
        <v>0</v>
      </c>
      <c r="AA296">
        <f>MAX(0,ROUND(AY295*(1+'Calc base'!M296),2)-O296-'Calc base'!Y296)</f>
        <v>0</v>
      </c>
      <c r="AB296">
        <f>MAX(0,ROUND(AZ295*(1+'Calc base'!N296),2)-P296-'Calc base'!Z296)</f>
        <v>0</v>
      </c>
      <c r="AC296">
        <f>MAX(0,ROUND(BA295*(1+'Calc base'!O296),2)-Q296-'Calc base'!AA296)</f>
        <v>0</v>
      </c>
      <c r="AD296">
        <f>MAX(0,ROUND(BB295*(1+'Calc base'!P296),2)-R296-'Calc base'!AB296)</f>
        <v>0</v>
      </c>
      <c r="AE296">
        <f>MAX(0,ROUND(BC295*(1+'Calc base'!Q296),2)-S296-'Calc base'!AC296)</f>
        <v>0</v>
      </c>
      <c r="AF296">
        <f>MAX(0,ROUND(BD295*(1+'Calc base'!R296),2)-T296-'Calc base'!AD296)</f>
        <v>0</v>
      </c>
      <c r="AG296">
        <f>MAX(0,ROUND(BE295*(1+'Calc base'!S296),2)-U296-'Calc base'!AE296)</f>
        <v>0</v>
      </c>
      <c r="AH296">
        <f>IF('Calc base'!C$14=0,0,MIN(V296,MAX(0,$E296-SUMIFS($V296:$AG296,'Calc base'!$C$17:$N$17,"&lt;"&amp;'Calc base'!C$17,'Calc base'!$C$14:$N$14,1))))</f>
        <v>0</v>
      </c>
      <c r="AI296">
        <f>IF('Calc base'!D$14=0,0,MIN(W296,MAX(0,$E296-SUMIFS($V296:$AG296,'Calc base'!$C$17:$N$17,"&lt;"&amp;'Calc base'!D$17,'Calc base'!$C$14:$N$14,1))))</f>
        <v>0</v>
      </c>
      <c r="AJ296">
        <f>IF('Calc base'!E$14=0,0,MIN(X296,MAX(0,$E296-SUMIFS($V296:$AG296,'Calc base'!$C$17:$N$17,"&lt;"&amp;'Calc base'!E$17,'Calc base'!$C$14:$N$14,1))))</f>
        <v>0</v>
      </c>
      <c r="AK296">
        <f>IF('Calc base'!F$14=0,0,MIN(Y296,MAX(0,$E296-SUMIFS($V296:$AG296,'Calc base'!$C$17:$N$17,"&lt;"&amp;'Calc base'!F$17,'Calc base'!$C$14:$N$14,1))))</f>
        <v>0</v>
      </c>
      <c r="AL296">
        <f>IF('Calc base'!G$14=0,0,MIN(Z296,MAX(0,$E296-SUMIFS($V296:$AG296,'Calc base'!$C$17:$N$17,"&lt;"&amp;'Calc base'!G$17,'Calc base'!$C$14:$N$14,1))))</f>
        <v>0</v>
      </c>
      <c r="AM296">
        <f>IF('Calc base'!H$14=0,0,MIN(AA296,MAX(0,$E296-SUMIFS($V296:$AG296,'Calc base'!$C$17:$N$17,"&lt;"&amp;'Calc base'!H$17,'Calc base'!$C$14:$N$14,1))))</f>
        <v>0</v>
      </c>
      <c r="AN296">
        <f>IF('Calc base'!I$14=0,0,MIN(AB296,MAX(0,$E296-SUMIFS($V296:$AG296,'Calc base'!$C$17:$N$17,"&lt;"&amp;'Calc base'!I$17,'Calc base'!$C$14:$N$14,1))))</f>
        <v>0</v>
      </c>
      <c r="AO296">
        <f>IF('Calc base'!J$14=0,0,MIN(AC296,MAX(0,$E296-SUMIFS($V296:$AG296,'Calc base'!$C$17:$N$17,"&lt;"&amp;'Calc base'!J$17,'Calc base'!$C$14:$N$14,1))))</f>
        <v>0</v>
      </c>
      <c r="AP296">
        <f>IF('Calc base'!K$14=0,0,MIN(AD296,MAX(0,$E296-SUMIFS($V296:$AG296,'Calc base'!$C$17:$N$17,"&lt;"&amp;'Calc base'!K$17,'Calc base'!$C$14:$N$14,1))))</f>
        <v>0</v>
      </c>
      <c r="AQ296">
        <f>IF('Calc base'!L$14=0,0,MIN(AE296,MAX(0,$E296-SUMIFS($V296:$AG296,'Calc base'!$C$17:$N$17,"&lt;"&amp;'Calc base'!L$17,'Calc base'!$C$14:$N$14,1))))</f>
        <v>0</v>
      </c>
      <c r="AR296">
        <f>IF('Calc base'!M$14=0,0,MIN(AF296,MAX(0,$E296-SUMIFS($V296:$AG296,'Calc base'!$C$17:$N$17,"&lt;"&amp;'Calc base'!M$17,'Calc base'!$C$14:$N$14,1))))</f>
        <v>0</v>
      </c>
      <c r="AS296">
        <f>IF('Calc base'!N$14=0,0,MIN(AG296,MAX(0,$E296-SUMIFS($V296:$AG296,'Calc base'!$C$17:$N$17,"&lt;"&amp;'Calc base'!N$17,'Calc base'!$C$14:$N$14,1))))</f>
        <v>0</v>
      </c>
      <c r="AT296">
        <f>V296-AH296</f>
        <v>0</v>
      </c>
      <c r="AU296">
        <f>W296-AI296</f>
        <v>0</v>
      </c>
      <c r="AV296">
        <f>X296-AJ296</f>
        <v>0</v>
      </c>
      <c r="AW296">
        <f>Y296-AK296</f>
        <v>0</v>
      </c>
      <c r="AX296">
        <f>Z296-AL296</f>
        <v>0</v>
      </c>
      <c r="AY296">
        <f>AA296-AM296</f>
        <v>0</v>
      </c>
      <c r="AZ296">
        <f>AB296-AN296</f>
        <v>0</v>
      </c>
      <c r="BA296">
        <f>AC296-AO296</f>
        <v>0</v>
      </c>
      <c r="BB296">
        <f>AD296-AP296</f>
        <v>0</v>
      </c>
      <c r="BC296">
        <f>AE296-AQ296</f>
        <v>0</v>
      </c>
      <c r="BD296">
        <f>AF296-AR296</f>
        <v>0</v>
      </c>
      <c r="BE296">
        <f>AG296-AS296</f>
        <v>0</v>
      </c>
    </row>
    <row r="297">
      <c r="A297" t="n">
        <v>267</v>
      </c>
      <c r="B297">
        <f>SUMPRODUCT(ROUND($AT296:$BE296*(1+'Calc base'!$H297:$S297),2))</f>
        <v>0</v>
      </c>
      <c r="C297">
        <f>SUM(J297:U297)</f>
        <v>0</v>
      </c>
      <c r="D297">
        <f>SUM(V297:AG297)</f>
        <v>0</v>
      </c>
      <c r="E297">
        <f>MAX(0,IF(Impostazioni!$B$7="No",'Calc base'!$C297-$C$31,'Calc base'!$C297-C297)+'Calc base'!$G297+'Calc base'!$F297-(B297-C297-D297))</f>
        <v>900</v>
      </c>
      <c r="F297">
        <f>SUM(AH297:AS297)</f>
        <v>0</v>
      </c>
      <c r="G297">
        <f>SUM(AT297:BE297)</f>
        <v>0</v>
      </c>
      <c r="H297">
        <f>B297-G296</f>
        <v>0</v>
      </c>
      <c r="I297">
        <f>B297-G297</f>
        <v>0</v>
      </c>
      <c r="J297">
        <f>IF(AT296&lt;=0,0,IF(ROUND(AT296*(1+'Calc base'!H297),2)-MAX('Calc base'!C$12,ROUND('Calc base'!C$13*AT296,2))&lt;1,ROUND(AT296*(1+'Calc base'!H297),2),MAX('Calc base'!C$12,ROUND('Calc base'!C$13*AT296,2))))</f>
        <v>0</v>
      </c>
      <c r="K297">
        <f>IF(AU296&lt;=0,0,IF(ROUND(AU296*(1+'Calc base'!I297),2)-MAX('Calc base'!D$12,ROUND('Calc base'!D$13*AU296,2))&lt;1,ROUND(AU296*(1+'Calc base'!I297),2),MAX('Calc base'!D$12,ROUND('Calc base'!D$13*AU296,2))))</f>
        <v>0</v>
      </c>
      <c r="L297">
        <f>IF(AV296&lt;=0,0,IF(ROUND(AV296*(1+'Calc base'!J297),2)-MAX('Calc base'!E$12,ROUND('Calc base'!E$13*AV296,2))&lt;1,ROUND(AV296*(1+'Calc base'!J297),2),MAX('Calc base'!E$12,ROUND('Calc base'!E$13*AV296,2))))</f>
        <v>0</v>
      </c>
      <c r="M297">
        <f>IF(AW296&lt;=0,0,IF(ROUND(AW296*(1+'Calc base'!K297),2)-MAX('Calc base'!F$12,ROUND('Calc base'!F$13*AW296,2))&lt;1,ROUND(AW296*(1+'Calc base'!K297),2),MAX('Calc base'!F$12,ROUND('Calc base'!F$13*AW296,2))))</f>
        <v>0</v>
      </c>
      <c r="N297">
        <f>IF(AX296&lt;=0,0,IF(ROUND(AX296*(1+'Calc base'!L297),2)-MAX('Calc base'!G$12,ROUND('Calc base'!G$13*AX296,2))&lt;1,ROUND(AX296*(1+'Calc base'!L297),2),MAX('Calc base'!G$12,ROUND('Calc base'!G$13*AX296,2))))</f>
        <v>0</v>
      </c>
      <c r="O297">
        <f>IF(AY296&lt;=0,0,IF(ROUND(AY296*(1+'Calc base'!M297),2)-MAX('Calc base'!H$12,ROUND('Calc base'!H$13*AY296,2))&lt;1,ROUND(AY296*(1+'Calc base'!M297),2),MAX('Calc base'!H$12,ROUND('Calc base'!H$13*AY296,2))))</f>
        <v>0</v>
      </c>
      <c r="P297">
        <f>IF(AZ296&lt;=0,0,IF(ROUND(AZ296*(1+'Calc base'!N297),2)-MAX('Calc base'!I$12,ROUND('Calc base'!I$13*AZ296,2))&lt;1,ROUND(AZ296*(1+'Calc base'!N297),2),MAX('Calc base'!I$12,ROUND('Calc base'!I$13*AZ296,2))))</f>
        <v>0</v>
      </c>
      <c r="Q297">
        <f>IF(BA296&lt;=0,0,IF(ROUND(BA296*(1+'Calc base'!O297),2)-MAX('Calc base'!J$12,ROUND('Calc base'!J$13*BA296,2))&lt;1,ROUND(BA296*(1+'Calc base'!O297),2),MAX('Calc base'!J$12,ROUND('Calc base'!J$13*BA296,2))))</f>
        <v>0</v>
      </c>
      <c r="R297">
        <f>IF(BB296&lt;=0,0,IF(ROUND(BB296*(1+'Calc base'!P297),2)-MAX('Calc base'!K$12,ROUND('Calc base'!K$13*BB296,2))&lt;1,ROUND(BB296*(1+'Calc base'!P297),2),MAX('Calc base'!K$12,ROUND('Calc base'!K$13*BB296,2))))</f>
        <v>0</v>
      </c>
      <c r="S297">
        <f>IF(BC296&lt;=0,0,IF(ROUND(BC296*(1+'Calc base'!Q297),2)-MAX('Calc base'!L$12,ROUND('Calc base'!L$13*BC296,2))&lt;1,ROUND(BC296*(1+'Calc base'!Q297),2),MAX('Calc base'!L$12,ROUND('Calc base'!L$13*BC296,2))))</f>
        <v>0</v>
      </c>
      <c r="T297">
        <f>IF(BD296&lt;=0,0,IF(ROUND(BD296*(1+'Calc base'!R297),2)-MAX('Calc base'!M$12,ROUND('Calc base'!M$13*BD296,2))&lt;1,ROUND(BD296*(1+'Calc base'!R297),2),MAX('Calc base'!M$12,ROUND('Calc base'!M$13*BD296,2))))</f>
        <v>0</v>
      </c>
      <c r="U297">
        <f>IF(BE296&lt;=0,0,IF(ROUND(BE296*(1+'Calc base'!S297),2)-MAX('Calc base'!N$12,ROUND('Calc base'!N$13*BE296,2))&lt;1,ROUND(BE296*(1+'Calc base'!S297),2),MAX('Calc base'!N$12,ROUND('Calc base'!N$13*BE296,2))))</f>
        <v>0</v>
      </c>
      <c r="V297">
        <f>MAX(0,ROUND(AT296*(1+'Calc base'!H297),2)-J297-'Calc base'!T297)</f>
        <v>0</v>
      </c>
      <c r="W297">
        <f>MAX(0,ROUND(AU296*(1+'Calc base'!I297),2)-K297-'Calc base'!U297)</f>
        <v>0</v>
      </c>
      <c r="X297">
        <f>MAX(0,ROUND(AV296*(1+'Calc base'!J297),2)-L297-'Calc base'!V297)</f>
        <v>0</v>
      </c>
      <c r="Y297">
        <f>MAX(0,ROUND(AW296*(1+'Calc base'!K297),2)-M297-'Calc base'!W297)</f>
        <v>0</v>
      </c>
      <c r="Z297">
        <f>MAX(0,ROUND(AX296*(1+'Calc base'!L297),2)-N297-'Calc base'!X297)</f>
        <v>0</v>
      </c>
      <c r="AA297">
        <f>MAX(0,ROUND(AY296*(1+'Calc base'!M297),2)-O297-'Calc base'!Y297)</f>
        <v>0</v>
      </c>
      <c r="AB297">
        <f>MAX(0,ROUND(AZ296*(1+'Calc base'!N297),2)-P297-'Calc base'!Z297)</f>
        <v>0</v>
      </c>
      <c r="AC297">
        <f>MAX(0,ROUND(BA296*(1+'Calc base'!O297),2)-Q297-'Calc base'!AA297)</f>
        <v>0</v>
      </c>
      <c r="AD297">
        <f>MAX(0,ROUND(BB296*(1+'Calc base'!P297),2)-R297-'Calc base'!AB297)</f>
        <v>0</v>
      </c>
      <c r="AE297">
        <f>MAX(0,ROUND(BC296*(1+'Calc base'!Q297),2)-S297-'Calc base'!AC297)</f>
        <v>0</v>
      </c>
      <c r="AF297">
        <f>MAX(0,ROUND(BD296*(1+'Calc base'!R297),2)-T297-'Calc base'!AD297)</f>
        <v>0</v>
      </c>
      <c r="AG297">
        <f>MAX(0,ROUND(BE296*(1+'Calc base'!S297),2)-U297-'Calc base'!AE297)</f>
        <v>0</v>
      </c>
      <c r="AH297">
        <f>IF('Calc base'!C$14=0,0,MIN(V297,MAX(0,$E297-SUMIFS($V297:$AG297,'Calc base'!$C$17:$N$17,"&lt;"&amp;'Calc base'!C$17,'Calc base'!$C$14:$N$14,1))))</f>
        <v>0</v>
      </c>
      <c r="AI297">
        <f>IF('Calc base'!D$14=0,0,MIN(W297,MAX(0,$E297-SUMIFS($V297:$AG297,'Calc base'!$C$17:$N$17,"&lt;"&amp;'Calc base'!D$17,'Calc base'!$C$14:$N$14,1))))</f>
        <v>0</v>
      </c>
      <c r="AJ297">
        <f>IF('Calc base'!E$14=0,0,MIN(X297,MAX(0,$E297-SUMIFS($V297:$AG297,'Calc base'!$C$17:$N$17,"&lt;"&amp;'Calc base'!E$17,'Calc base'!$C$14:$N$14,1))))</f>
        <v>0</v>
      </c>
      <c r="AK297">
        <f>IF('Calc base'!F$14=0,0,MIN(Y297,MAX(0,$E297-SUMIFS($V297:$AG297,'Calc base'!$C$17:$N$17,"&lt;"&amp;'Calc base'!F$17,'Calc base'!$C$14:$N$14,1))))</f>
        <v>0</v>
      </c>
      <c r="AL297">
        <f>IF('Calc base'!G$14=0,0,MIN(Z297,MAX(0,$E297-SUMIFS($V297:$AG297,'Calc base'!$C$17:$N$17,"&lt;"&amp;'Calc base'!G$17,'Calc base'!$C$14:$N$14,1))))</f>
        <v>0</v>
      </c>
      <c r="AM297">
        <f>IF('Calc base'!H$14=0,0,MIN(AA297,MAX(0,$E297-SUMIFS($V297:$AG297,'Calc base'!$C$17:$N$17,"&lt;"&amp;'Calc base'!H$17,'Calc base'!$C$14:$N$14,1))))</f>
        <v>0</v>
      </c>
      <c r="AN297">
        <f>IF('Calc base'!I$14=0,0,MIN(AB297,MAX(0,$E297-SUMIFS($V297:$AG297,'Calc base'!$C$17:$N$17,"&lt;"&amp;'Calc base'!I$17,'Calc base'!$C$14:$N$14,1))))</f>
        <v>0</v>
      </c>
      <c r="AO297">
        <f>IF('Calc base'!J$14=0,0,MIN(AC297,MAX(0,$E297-SUMIFS($V297:$AG297,'Calc base'!$C$17:$N$17,"&lt;"&amp;'Calc base'!J$17,'Calc base'!$C$14:$N$14,1))))</f>
        <v>0</v>
      </c>
      <c r="AP297">
        <f>IF('Calc base'!K$14=0,0,MIN(AD297,MAX(0,$E297-SUMIFS($V297:$AG297,'Calc base'!$C$17:$N$17,"&lt;"&amp;'Calc base'!K$17,'Calc base'!$C$14:$N$14,1))))</f>
        <v>0</v>
      </c>
      <c r="AQ297">
        <f>IF('Calc base'!L$14=0,0,MIN(AE297,MAX(0,$E297-SUMIFS($V297:$AG297,'Calc base'!$C$17:$N$17,"&lt;"&amp;'Calc base'!L$17,'Calc base'!$C$14:$N$14,1))))</f>
        <v>0</v>
      </c>
      <c r="AR297">
        <f>IF('Calc base'!M$14=0,0,MIN(AF297,MAX(0,$E297-SUMIFS($V297:$AG297,'Calc base'!$C$17:$N$17,"&lt;"&amp;'Calc base'!M$17,'Calc base'!$C$14:$N$14,1))))</f>
        <v>0</v>
      </c>
      <c r="AS297">
        <f>IF('Calc base'!N$14=0,0,MIN(AG297,MAX(0,$E297-SUMIFS($V297:$AG297,'Calc base'!$C$17:$N$17,"&lt;"&amp;'Calc base'!N$17,'Calc base'!$C$14:$N$14,1))))</f>
        <v>0</v>
      </c>
      <c r="AT297">
        <f>V297-AH297</f>
        <v>0</v>
      </c>
      <c r="AU297">
        <f>W297-AI297</f>
        <v>0</v>
      </c>
      <c r="AV297">
        <f>X297-AJ297</f>
        <v>0</v>
      </c>
      <c r="AW297">
        <f>Y297-AK297</f>
        <v>0</v>
      </c>
      <c r="AX297">
        <f>Z297-AL297</f>
        <v>0</v>
      </c>
      <c r="AY297">
        <f>AA297-AM297</f>
        <v>0</v>
      </c>
      <c r="AZ297">
        <f>AB297-AN297</f>
        <v>0</v>
      </c>
      <c r="BA297">
        <f>AC297-AO297</f>
        <v>0</v>
      </c>
      <c r="BB297">
        <f>AD297-AP297</f>
        <v>0</v>
      </c>
      <c r="BC297">
        <f>AE297-AQ297</f>
        <v>0</v>
      </c>
      <c r="BD297">
        <f>AF297-AR297</f>
        <v>0</v>
      </c>
      <c r="BE297">
        <f>AG297-AS297</f>
        <v>0</v>
      </c>
    </row>
    <row r="298">
      <c r="A298" t="n">
        <v>268</v>
      </c>
      <c r="B298">
        <f>SUMPRODUCT(ROUND($AT297:$BE297*(1+'Calc base'!$H298:$S298),2))</f>
        <v>0</v>
      </c>
      <c r="C298">
        <f>SUM(J298:U298)</f>
        <v>0</v>
      </c>
      <c r="D298">
        <f>SUM(V298:AG298)</f>
        <v>0</v>
      </c>
      <c r="E298">
        <f>MAX(0,IF(Impostazioni!$B$7="No",'Calc base'!$C298-$C$31,'Calc base'!$C298-C298)+'Calc base'!$G298+'Calc base'!$F298-(B298-C298-D298))</f>
        <v>900</v>
      </c>
      <c r="F298">
        <f>SUM(AH298:AS298)</f>
        <v>0</v>
      </c>
      <c r="G298">
        <f>SUM(AT298:BE298)</f>
        <v>0</v>
      </c>
      <c r="H298">
        <f>B298-G297</f>
        <v>0</v>
      </c>
      <c r="I298">
        <f>B298-G298</f>
        <v>0</v>
      </c>
      <c r="J298">
        <f>IF(AT297&lt;=0,0,IF(ROUND(AT297*(1+'Calc base'!H298),2)-MAX('Calc base'!C$12,ROUND('Calc base'!C$13*AT297,2))&lt;1,ROUND(AT297*(1+'Calc base'!H298),2),MAX('Calc base'!C$12,ROUND('Calc base'!C$13*AT297,2))))</f>
        <v>0</v>
      </c>
      <c r="K298">
        <f>IF(AU297&lt;=0,0,IF(ROUND(AU297*(1+'Calc base'!I298),2)-MAX('Calc base'!D$12,ROUND('Calc base'!D$13*AU297,2))&lt;1,ROUND(AU297*(1+'Calc base'!I298),2),MAX('Calc base'!D$12,ROUND('Calc base'!D$13*AU297,2))))</f>
        <v>0</v>
      </c>
      <c r="L298">
        <f>IF(AV297&lt;=0,0,IF(ROUND(AV297*(1+'Calc base'!J298),2)-MAX('Calc base'!E$12,ROUND('Calc base'!E$13*AV297,2))&lt;1,ROUND(AV297*(1+'Calc base'!J298),2),MAX('Calc base'!E$12,ROUND('Calc base'!E$13*AV297,2))))</f>
        <v>0</v>
      </c>
      <c r="M298">
        <f>IF(AW297&lt;=0,0,IF(ROUND(AW297*(1+'Calc base'!K298),2)-MAX('Calc base'!F$12,ROUND('Calc base'!F$13*AW297,2))&lt;1,ROUND(AW297*(1+'Calc base'!K298),2),MAX('Calc base'!F$12,ROUND('Calc base'!F$13*AW297,2))))</f>
        <v>0</v>
      </c>
      <c r="N298">
        <f>IF(AX297&lt;=0,0,IF(ROUND(AX297*(1+'Calc base'!L298),2)-MAX('Calc base'!G$12,ROUND('Calc base'!G$13*AX297,2))&lt;1,ROUND(AX297*(1+'Calc base'!L298),2),MAX('Calc base'!G$12,ROUND('Calc base'!G$13*AX297,2))))</f>
        <v>0</v>
      </c>
      <c r="O298">
        <f>IF(AY297&lt;=0,0,IF(ROUND(AY297*(1+'Calc base'!M298),2)-MAX('Calc base'!H$12,ROUND('Calc base'!H$13*AY297,2))&lt;1,ROUND(AY297*(1+'Calc base'!M298),2),MAX('Calc base'!H$12,ROUND('Calc base'!H$13*AY297,2))))</f>
        <v>0</v>
      </c>
      <c r="P298">
        <f>IF(AZ297&lt;=0,0,IF(ROUND(AZ297*(1+'Calc base'!N298),2)-MAX('Calc base'!I$12,ROUND('Calc base'!I$13*AZ297,2))&lt;1,ROUND(AZ297*(1+'Calc base'!N298),2),MAX('Calc base'!I$12,ROUND('Calc base'!I$13*AZ297,2))))</f>
        <v>0</v>
      </c>
      <c r="Q298">
        <f>IF(BA297&lt;=0,0,IF(ROUND(BA297*(1+'Calc base'!O298),2)-MAX('Calc base'!J$12,ROUND('Calc base'!J$13*BA297,2))&lt;1,ROUND(BA297*(1+'Calc base'!O298),2),MAX('Calc base'!J$12,ROUND('Calc base'!J$13*BA297,2))))</f>
        <v>0</v>
      </c>
      <c r="R298">
        <f>IF(BB297&lt;=0,0,IF(ROUND(BB297*(1+'Calc base'!P298),2)-MAX('Calc base'!K$12,ROUND('Calc base'!K$13*BB297,2))&lt;1,ROUND(BB297*(1+'Calc base'!P298),2),MAX('Calc base'!K$12,ROUND('Calc base'!K$13*BB297,2))))</f>
        <v>0</v>
      </c>
      <c r="S298">
        <f>IF(BC297&lt;=0,0,IF(ROUND(BC297*(1+'Calc base'!Q298),2)-MAX('Calc base'!L$12,ROUND('Calc base'!L$13*BC297,2))&lt;1,ROUND(BC297*(1+'Calc base'!Q298),2),MAX('Calc base'!L$12,ROUND('Calc base'!L$13*BC297,2))))</f>
        <v>0</v>
      </c>
      <c r="T298">
        <f>IF(BD297&lt;=0,0,IF(ROUND(BD297*(1+'Calc base'!R298),2)-MAX('Calc base'!M$12,ROUND('Calc base'!M$13*BD297,2))&lt;1,ROUND(BD297*(1+'Calc base'!R298),2),MAX('Calc base'!M$12,ROUND('Calc base'!M$13*BD297,2))))</f>
        <v>0</v>
      </c>
      <c r="U298">
        <f>IF(BE297&lt;=0,0,IF(ROUND(BE297*(1+'Calc base'!S298),2)-MAX('Calc base'!N$12,ROUND('Calc base'!N$13*BE297,2))&lt;1,ROUND(BE297*(1+'Calc base'!S298),2),MAX('Calc base'!N$12,ROUND('Calc base'!N$13*BE297,2))))</f>
        <v>0</v>
      </c>
      <c r="V298">
        <f>MAX(0,ROUND(AT297*(1+'Calc base'!H298),2)-J298-'Calc base'!T298)</f>
        <v>0</v>
      </c>
      <c r="W298">
        <f>MAX(0,ROUND(AU297*(1+'Calc base'!I298),2)-K298-'Calc base'!U298)</f>
        <v>0</v>
      </c>
      <c r="X298">
        <f>MAX(0,ROUND(AV297*(1+'Calc base'!J298),2)-L298-'Calc base'!V298)</f>
        <v>0</v>
      </c>
      <c r="Y298">
        <f>MAX(0,ROUND(AW297*(1+'Calc base'!K298),2)-M298-'Calc base'!W298)</f>
        <v>0</v>
      </c>
      <c r="Z298">
        <f>MAX(0,ROUND(AX297*(1+'Calc base'!L298),2)-N298-'Calc base'!X298)</f>
        <v>0</v>
      </c>
      <c r="AA298">
        <f>MAX(0,ROUND(AY297*(1+'Calc base'!M298),2)-O298-'Calc base'!Y298)</f>
        <v>0</v>
      </c>
      <c r="AB298">
        <f>MAX(0,ROUND(AZ297*(1+'Calc base'!N298),2)-P298-'Calc base'!Z298)</f>
        <v>0</v>
      </c>
      <c r="AC298">
        <f>MAX(0,ROUND(BA297*(1+'Calc base'!O298),2)-Q298-'Calc base'!AA298)</f>
        <v>0</v>
      </c>
      <c r="AD298">
        <f>MAX(0,ROUND(BB297*(1+'Calc base'!P298),2)-R298-'Calc base'!AB298)</f>
        <v>0</v>
      </c>
      <c r="AE298">
        <f>MAX(0,ROUND(BC297*(1+'Calc base'!Q298),2)-S298-'Calc base'!AC298)</f>
        <v>0</v>
      </c>
      <c r="AF298">
        <f>MAX(0,ROUND(BD297*(1+'Calc base'!R298),2)-T298-'Calc base'!AD298)</f>
        <v>0</v>
      </c>
      <c r="AG298">
        <f>MAX(0,ROUND(BE297*(1+'Calc base'!S298),2)-U298-'Calc base'!AE298)</f>
        <v>0</v>
      </c>
      <c r="AH298">
        <f>IF('Calc base'!C$14=0,0,MIN(V298,MAX(0,$E298-SUMIFS($V298:$AG298,'Calc base'!$C$17:$N$17,"&lt;"&amp;'Calc base'!C$17,'Calc base'!$C$14:$N$14,1))))</f>
        <v>0</v>
      </c>
      <c r="AI298">
        <f>IF('Calc base'!D$14=0,0,MIN(W298,MAX(0,$E298-SUMIFS($V298:$AG298,'Calc base'!$C$17:$N$17,"&lt;"&amp;'Calc base'!D$17,'Calc base'!$C$14:$N$14,1))))</f>
        <v>0</v>
      </c>
      <c r="AJ298">
        <f>IF('Calc base'!E$14=0,0,MIN(X298,MAX(0,$E298-SUMIFS($V298:$AG298,'Calc base'!$C$17:$N$17,"&lt;"&amp;'Calc base'!E$17,'Calc base'!$C$14:$N$14,1))))</f>
        <v>0</v>
      </c>
      <c r="AK298">
        <f>IF('Calc base'!F$14=0,0,MIN(Y298,MAX(0,$E298-SUMIFS($V298:$AG298,'Calc base'!$C$17:$N$17,"&lt;"&amp;'Calc base'!F$17,'Calc base'!$C$14:$N$14,1))))</f>
        <v>0</v>
      </c>
      <c r="AL298">
        <f>IF('Calc base'!G$14=0,0,MIN(Z298,MAX(0,$E298-SUMIFS($V298:$AG298,'Calc base'!$C$17:$N$17,"&lt;"&amp;'Calc base'!G$17,'Calc base'!$C$14:$N$14,1))))</f>
        <v>0</v>
      </c>
      <c r="AM298">
        <f>IF('Calc base'!H$14=0,0,MIN(AA298,MAX(0,$E298-SUMIFS($V298:$AG298,'Calc base'!$C$17:$N$17,"&lt;"&amp;'Calc base'!H$17,'Calc base'!$C$14:$N$14,1))))</f>
        <v>0</v>
      </c>
      <c r="AN298">
        <f>IF('Calc base'!I$14=0,0,MIN(AB298,MAX(0,$E298-SUMIFS($V298:$AG298,'Calc base'!$C$17:$N$17,"&lt;"&amp;'Calc base'!I$17,'Calc base'!$C$14:$N$14,1))))</f>
        <v>0</v>
      </c>
      <c r="AO298">
        <f>IF('Calc base'!J$14=0,0,MIN(AC298,MAX(0,$E298-SUMIFS($V298:$AG298,'Calc base'!$C$17:$N$17,"&lt;"&amp;'Calc base'!J$17,'Calc base'!$C$14:$N$14,1))))</f>
        <v>0</v>
      </c>
      <c r="AP298">
        <f>IF('Calc base'!K$14=0,0,MIN(AD298,MAX(0,$E298-SUMIFS($V298:$AG298,'Calc base'!$C$17:$N$17,"&lt;"&amp;'Calc base'!K$17,'Calc base'!$C$14:$N$14,1))))</f>
        <v>0</v>
      </c>
      <c r="AQ298">
        <f>IF('Calc base'!L$14=0,0,MIN(AE298,MAX(0,$E298-SUMIFS($V298:$AG298,'Calc base'!$C$17:$N$17,"&lt;"&amp;'Calc base'!L$17,'Calc base'!$C$14:$N$14,1))))</f>
        <v>0</v>
      </c>
      <c r="AR298">
        <f>IF('Calc base'!M$14=0,0,MIN(AF298,MAX(0,$E298-SUMIFS($V298:$AG298,'Calc base'!$C$17:$N$17,"&lt;"&amp;'Calc base'!M$17,'Calc base'!$C$14:$N$14,1))))</f>
        <v>0</v>
      </c>
      <c r="AS298">
        <f>IF('Calc base'!N$14=0,0,MIN(AG298,MAX(0,$E298-SUMIFS($V298:$AG298,'Calc base'!$C$17:$N$17,"&lt;"&amp;'Calc base'!N$17,'Calc base'!$C$14:$N$14,1))))</f>
        <v>0</v>
      </c>
      <c r="AT298">
        <f>V298-AH298</f>
        <v>0</v>
      </c>
      <c r="AU298">
        <f>W298-AI298</f>
        <v>0</v>
      </c>
      <c r="AV298">
        <f>X298-AJ298</f>
        <v>0</v>
      </c>
      <c r="AW298">
        <f>Y298-AK298</f>
        <v>0</v>
      </c>
      <c r="AX298">
        <f>Z298-AL298</f>
        <v>0</v>
      </c>
      <c r="AY298">
        <f>AA298-AM298</f>
        <v>0</v>
      </c>
      <c r="AZ298">
        <f>AB298-AN298</f>
        <v>0</v>
      </c>
      <c r="BA298">
        <f>AC298-AO298</f>
        <v>0</v>
      </c>
      <c r="BB298">
        <f>AD298-AP298</f>
        <v>0</v>
      </c>
      <c r="BC298">
        <f>AE298-AQ298</f>
        <v>0</v>
      </c>
      <c r="BD298">
        <f>AF298-AR298</f>
        <v>0</v>
      </c>
      <c r="BE298">
        <f>AG298-AS298</f>
        <v>0</v>
      </c>
    </row>
    <row r="299">
      <c r="A299" t="n">
        <v>269</v>
      </c>
      <c r="B299">
        <f>SUMPRODUCT(ROUND($AT298:$BE298*(1+'Calc base'!$H299:$S299),2))</f>
        <v>0</v>
      </c>
      <c r="C299">
        <f>SUM(J299:U299)</f>
        <v>0</v>
      </c>
      <c r="D299">
        <f>SUM(V299:AG299)</f>
        <v>0</v>
      </c>
      <c r="E299">
        <f>MAX(0,IF(Impostazioni!$B$7="No",'Calc base'!$C299-$C$31,'Calc base'!$C299-C299)+'Calc base'!$G299+'Calc base'!$F299-(B299-C299-D299))</f>
        <v>900</v>
      </c>
      <c r="F299">
        <f>SUM(AH299:AS299)</f>
        <v>0</v>
      </c>
      <c r="G299">
        <f>SUM(AT299:BE299)</f>
        <v>0</v>
      </c>
      <c r="H299">
        <f>B299-G298</f>
        <v>0</v>
      </c>
      <c r="I299">
        <f>B299-G299</f>
        <v>0</v>
      </c>
      <c r="J299">
        <f>IF(AT298&lt;=0,0,IF(ROUND(AT298*(1+'Calc base'!H299),2)-MAX('Calc base'!C$12,ROUND('Calc base'!C$13*AT298,2))&lt;1,ROUND(AT298*(1+'Calc base'!H299),2),MAX('Calc base'!C$12,ROUND('Calc base'!C$13*AT298,2))))</f>
        <v>0</v>
      </c>
      <c r="K299">
        <f>IF(AU298&lt;=0,0,IF(ROUND(AU298*(1+'Calc base'!I299),2)-MAX('Calc base'!D$12,ROUND('Calc base'!D$13*AU298,2))&lt;1,ROUND(AU298*(1+'Calc base'!I299),2),MAX('Calc base'!D$12,ROUND('Calc base'!D$13*AU298,2))))</f>
        <v>0</v>
      </c>
      <c r="L299">
        <f>IF(AV298&lt;=0,0,IF(ROUND(AV298*(1+'Calc base'!J299),2)-MAX('Calc base'!E$12,ROUND('Calc base'!E$13*AV298,2))&lt;1,ROUND(AV298*(1+'Calc base'!J299),2),MAX('Calc base'!E$12,ROUND('Calc base'!E$13*AV298,2))))</f>
        <v>0</v>
      </c>
      <c r="M299">
        <f>IF(AW298&lt;=0,0,IF(ROUND(AW298*(1+'Calc base'!K299),2)-MAX('Calc base'!F$12,ROUND('Calc base'!F$13*AW298,2))&lt;1,ROUND(AW298*(1+'Calc base'!K299),2),MAX('Calc base'!F$12,ROUND('Calc base'!F$13*AW298,2))))</f>
        <v>0</v>
      </c>
      <c r="N299">
        <f>IF(AX298&lt;=0,0,IF(ROUND(AX298*(1+'Calc base'!L299),2)-MAX('Calc base'!G$12,ROUND('Calc base'!G$13*AX298,2))&lt;1,ROUND(AX298*(1+'Calc base'!L299),2),MAX('Calc base'!G$12,ROUND('Calc base'!G$13*AX298,2))))</f>
        <v>0</v>
      </c>
      <c r="O299">
        <f>IF(AY298&lt;=0,0,IF(ROUND(AY298*(1+'Calc base'!M299),2)-MAX('Calc base'!H$12,ROUND('Calc base'!H$13*AY298,2))&lt;1,ROUND(AY298*(1+'Calc base'!M299),2),MAX('Calc base'!H$12,ROUND('Calc base'!H$13*AY298,2))))</f>
        <v>0</v>
      </c>
      <c r="P299">
        <f>IF(AZ298&lt;=0,0,IF(ROUND(AZ298*(1+'Calc base'!N299),2)-MAX('Calc base'!I$12,ROUND('Calc base'!I$13*AZ298,2))&lt;1,ROUND(AZ298*(1+'Calc base'!N299),2),MAX('Calc base'!I$12,ROUND('Calc base'!I$13*AZ298,2))))</f>
        <v>0</v>
      </c>
      <c r="Q299">
        <f>IF(BA298&lt;=0,0,IF(ROUND(BA298*(1+'Calc base'!O299),2)-MAX('Calc base'!J$12,ROUND('Calc base'!J$13*BA298,2))&lt;1,ROUND(BA298*(1+'Calc base'!O299),2),MAX('Calc base'!J$12,ROUND('Calc base'!J$13*BA298,2))))</f>
        <v>0</v>
      </c>
      <c r="R299">
        <f>IF(BB298&lt;=0,0,IF(ROUND(BB298*(1+'Calc base'!P299),2)-MAX('Calc base'!K$12,ROUND('Calc base'!K$13*BB298,2))&lt;1,ROUND(BB298*(1+'Calc base'!P299),2),MAX('Calc base'!K$12,ROUND('Calc base'!K$13*BB298,2))))</f>
        <v>0</v>
      </c>
      <c r="S299">
        <f>IF(BC298&lt;=0,0,IF(ROUND(BC298*(1+'Calc base'!Q299),2)-MAX('Calc base'!L$12,ROUND('Calc base'!L$13*BC298,2))&lt;1,ROUND(BC298*(1+'Calc base'!Q299),2),MAX('Calc base'!L$12,ROUND('Calc base'!L$13*BC298,2))))</f>
        <v>0</v>
      </c>
      <c r="T299">
        <f>IF(BD298&lt;=0,0,IF(ROUND(BD298*(1+'Calc base'!R299),2)-MAX('Calc base'!M$12,ROUND('Calc base'!M$13*BD298,2))&lt;1,ROUND(BD298*(1+'Calc base'!R299),2),MAX('Calc base'!M$12,ROUND('Calc base'!M$13*BD298,2))))</f>
        <v>0</v>
      </c>
      <c r="U299">
        <f>IF(BE298&lt;=0,0,IF(ROUND(BE298*(1+'Calc base'!S299),2)-MAX('Calc base'!N$12,ROUND('Calc base'!N$13*BE298,2))&lt;1,ROUND(BE298*(1+'Calc base'!S299),2),MAX('Calc base'!N$12,ROUND('Calc base'!N$13*BE298,2))))</f>
        <v>0</v>
      </c>
      <c r="V299">
        <f>MAX(0,ROUND(AT298*(1+'Calc base'!H299),2)-J299-'Calc base'!T299)</f>
        <v>0</v>
      </c>
      <c r="W299">
        <f>MAX(0,ROUND(AU298*(1+'Calc base'!I299),2)-K299-'Calc base'!U299)</f>
        <v>0</v>
      </c>
      <c r="X299">
        <f>MAX(0,ROUND(AV298*(1+'Calc base'!J299),2)-L299-'Calc base'!V299)</f>
        <v>0</v>
      </c>
      <c r="Y299">
        <f>MAX(0,ROUND(AW298*(1+'Calc base'!K299),2)-M299-'Calc base'!W299)</f>
        <v>0</v>
      </c>
      <c r="Z299">
        <f>MAX(0,ROUND(AX298*(1+'Calc base'!L299),2)-N299-'Calc base'!X299)</f>
        <v>0</v>
      </c>
      <c r="AA299">
        <f>MAX(0,ROUND(AY298*(1+'Calc base'!M299),2)-O299-'Calc base'!Y299)</f>
        <v>0</v>
      </c>
      <c r="AB299">
        <f>MAX(0,ROUND(AZ298*(1+'Calc base'!N299),2)-P299-'Calc base'!Z299)</f>
        <v>0</v>
      </c>
      <c r="AC299">
        <f>MAX(0,ROUND(BA298*(1+'Calc base'!O299),2)-Q299-'Calc base'!AA299)</f>
        <v>0</v>
      </c>
      <c r="AD299">
        <f>MAX(0,ROUND(BB298*(1+'Calc base'!P299),2)-R299-'Calc base'!AB299)</f>
        <v>0</v>
      </c>
      <c r="AE299">
        <f>MAX(0,ROUND(BC298*(1+'Calc base'!Q299),2)-S299-'Calc base'!AC299)</f>
        <v>0</v>
      </c>
      <c r="AF299">
        <f>MAX(0,ROUND(BD298*(1+'Calc base'!R299),2)-T299-'Calc base'!AD299)</f>
        <v>0</v>
      </c>
      <c r="AG299">
        <f>MAX(0,ROUND(BE298*(1+'Calc base'!S299),2)-U299-'Calc base'!AE299)</f>
        <v>0</v>
      </c>
      <c r="AH299">
        <f>IF('Calc base'!C$14=0,0,MIN(V299,MAX(0,$E299-SUMIFS($V299:$AG299,'Calc base'!$C$17:$N$17,"&lt;"&amp;'Calc base'!C$17,'Calc base'!$C$14:$N$14,1))))</f>
        <v>0</v>
      </c>
      <c r="AI299">
        <f>IF('Calc base'!D$14=0,0,MIN(W299,MAX(0,$E299-SUMIFS($V299:$AG299,'Calc base'!$C$17:$N$17,"&lt;"&amp;'Calc base'!D$17,'Calc base'!$C$14:$N$14,1))))</f>
        <v>0</v>
      </c>
      <c r="AJ299">
        <f>IF('Calc base'!E$14=0,0,MIN(X299,MAX(0,$E299-SUMIFS($V299:$AG299,'Calc base'!$C$17:$N$17,"&lt;"&amp;'Calc base'!E$17,'Calc base'!$C$14:$N$14,1))))</f>
        <v>0</v>
      </c>
      <c r="AK299">
        <f>IF('Calc base'!F$14=0,0,MIN(Y299,MAX(0,$E299-SUMIFS($V299:$AG299,'Calc base'!$C$17:$N$17,"&lt;"&amp;'Calc base'!F$17,'Calc base'!$C$14:$N$14,1))))</f>
        <v>0</v>
      </c>
      <c r="AL299">
        <f>IF('Calc base'!G$14=0,0,MIN(Z299,MAX(0,$E299-SUMIFS($V299:$AG299,'Calc base'!$C$17:$N$17,"&lt;"&amp;'Calc base'!G$17,'Calc base'!$C$14:$N$14,1))))</f>
        <v>0</v>
      </c>
      <c r="AM299">
        <f>IF('Calc base'!H$14=0,0,MIN(AA299,MAX(0,$E299-SUMIFS($V299:$AG299,'Calc base'!$C$17:$N$17,"&lt;"&amp;'Calc base'!H$17,'Calc base'!$C$14:$N$14,1))))</f>
        <v>0</v>
      </c>
      <c r="AN299">
        <f>IF('Calc base'!I$14=0,0,MIN(AB299,MAX(0,$E299-SUMIFS($V299:$AG299,'Calc base'!$C$17:$N$17,"&lt;"&amp;'Calc base'!I$17,'Calc base'!$C$14:$N$14,1))))</f>
        <v>0</v>
      </c>
      <c r="AO299">
        <f>IF('Calc base'!J$14=0,0,MIN(AC299,MAX(0,$E299-SUMIFS($V299:$AG299,'Calc base'!$C$17:$N$17,"&lt;"&amp;'Calc base'!J$17,'Calc base'!$C$14:$N$14,1))))</f>
        <v>0</v>
      </c>
      <c r="AP299">
        <f>IF('Calc base'!K$14=0,0,MIN(AD299,MAX(0,$E299-SUMIFS($V299:$AG299,'Calc base'!$C$17:$N$17,"&lt;"&amp;'Calc base'!K$17,'Calc base'!$C$14:$N$14,1))))</f>
        <v>0</v>
      </c>
      <c r="AQ299">
        <f>IF('Calc base'!L$14=0,0,MIN(AE299,MAX(0,$E299-SUMIFS($V299:$AG299,'Calc base'!$C$17:$N$17,"&lt;"&amp;'Calc base'!L$17,'Calc base'!$C$14:$N$14,1))))</f>
        <v>0</v>
      </c>
      <c r="AR299">
        <f>IF('Calc base'!M$14=0,0,MIN(AF299,MAX(0,$E299-SUMIFS($V299:$AG299,'Calc base'!$C$17:$N$17,"&lt;"&amp;'Calc base'!M$17,'Calc base'!$C$14:$N$14,1))))</f>
        <v>0</v>
      </c>
      <c r="AS299">
        <f>IF('Calc base'!N$14=0,0,MIN(AG299,MAX(0,$E299-SUMIFS($V299:$AG299,'Calc base'!$C$17:$N$17,"&lt;"&amp;'Calc base'!N$17,'Calc base'!$C$14:$N$14,1))))</f>
        <v>0</v>
      </c>
      <c r="AT299">
        <f>V299-AH299</f>
        <v>0</v>
      </c>
      <c r="AU299">
        <f>W299-AI299</f>
        <v>0</v>
      </c>
      <c r="AV299">
        <f>X299-AJ299</f>
        <v>0</v>
      </c>
      <c r="AW299">
        <f>Y299-AK299</f>
        <v>0</v>
      </c>
      <c r="AX299">
        <f>Z299-AL299</f>
        <v>0</v>
      </c>
      <c r="AY299">
        <f>AA299-AM299</f>
        <v>0</v>
      </c>
      <c r="AZ299">
        <f>AB299-AN299</f>
        <v>0</v>
      </c>
      <c r="BA299">
        <f>AC299-AO299</f>
        <v>0</v>
      </c>
      <c r="BB299">
        <f>AD299-AP299</f>
        <v>0</v>
      </c>
      <c r="BC299">
        <f>AE299-AQ299</f>
        <v>0</v>
      </c>
      <c r="BD299">
        <f>AF299-AR299</f>
        <v>0</v>
      </c>
      <c r="BE299">
        <f>AG299-AS299</f>
        <v>0</v>
      </c>
    </row>
    <row r="300">
      <c r="A300" t="n">
        <v>270</v>
      </c>
      <c r="B300">
        <f>SUMPRODUCT(ROUND($AT299:$BE299*(1+'Calc base'!$H300:$S300),2))</f>
        <v>0</v>
      </c>
      <c r="C300">
        <f>SUM(J300:U300)</f>
        <v>0</v>
      </c>
      <c r="D300">
        <f>SUM(V300:AG300)</f>
        <v>0</v>
      </c>
      <c r="E300">
        <f>MAX(0,IF(Impostazioni!$B$7="No",'Calc base'!$C300-$C$31,'Calc base'!$C300-C300)+'Calc base'!$G300+'Calc base'!$F300-(B300-C300-D300))</f>
        <v>900</v>
      </c>
      <c r="F300">
        <f>SUM(AH300:AS300)</f>
        <v>0</v>
      </c>
      <c r="G300">
        <f>SUM(AT300:BE300)</f>
        <v>0</v>
      </c>
      <c r="H300">
        <f>B300-G299</f>
        <v>0</v>
      </c>
      <c r="I300">
        <f>B300-G300</f>
        <v>0</v>
      </c>
      <c r="J300">
        <f>IF(AT299&lt;=0,0,IF(ROUND(AT299*(1+'Calc base'!H300),2)-MAX('Calc base'!C$12,ROUND('Calc base'!C$13*AT299,2))&lt;1,ROUND(AT299*(1+'Calc base'!H300),2),MAX('Calc base'!C$12,ROUND('Calc base'!C$13*AT299,2))))</f>
        <v>0</v>
      </c>
      <c r="K300">
        <f>IF(AU299&lt;=0,0,IF(ROUND(AU299*(1+'Calc base'!I300),2)-MAX('Calc base'!D$12,ROUND('Calc base'!D$13*AU299,2))&lt;1,ROUND(AU299*(1+'Calc base'!I300),2),MAX('Calc base'!D$12,ROUND('Calc base'!D$13*AU299,2))))</f>
        <v>0</v>
      </c>
      <c r="L300">
        <f>IF(AV299&lt;=0,0,IF(ROUND(AV299*(1+'Calc base'!J300),2)-MAX('Calc base'!E$12,ROUND('Calc base'!E$13*AV299,2))&lt;1,ROUND(AV299*(1+'Calc base'!J300),2),MAX('Calc base'!E$12,ROUND('Calc base'!E$13*AV299,2))))</f>
        <v>0</v>
      </c>
      <c r="M300">
        <f>IF(AW299&lt;=0,0,IF(ROUND(AW299*(1+'Calc base'!K300),2)-MAX('Calc base'!F$12,ROUND('Calc base'!F$13*AW299,2))&lt;1,ROUND(AW299*(1+'Calc base'!K300),2),MAX('Calc base'!F$12,ROUND('Calc base'!F$13*AW299,2))))</f>
        <v>0</v>
      </c>
      <c r="N300">
        <f>IF(AX299&lt;=0,0,IF(ROUND(AX299*(1+'Calc base'!L300),2)-MAX('Calc base'!G$12,ROUND('Calc base'!G$13*AX299,2))&lt;1,ROUND(AX299*(1+'Calc base'!L300),2),MAX('Calc base'!G$12,ROUND('Calc base'!G$13*AX299,2))))</f>
        <v>0</v>
      </c>
      <c r="O300">
        <f>IF(AY299&lt;=0,0,IF(ROUND(AY299*(1+'Calc base'!M300),2)-MAX('Calc base'!H$12,ROUND('Calc base'!H$13*AY299,2))&lt;1,ROUND(AY299*(1+'Calc base'!M300),2),MAX('Calc base'!H$12,ROUND('Calc base'!H$13*AY299,2))))</f>
        <v>0</v>
      </c>
      <c r="P300">
        <f>IF(AZ299&lt;=0,0,IF(ROUND(AZ299*(1+'Calc base'!N300),2)-MAX('Calc base'!I$12,ROUND('Calc base'!I$13*AZ299,2))&lt;1,ROUND(AZ299*(1+'Calc base'!N300),2),MAX('Calc base'!I$12,ROUND('Calc base'!I$13*AZ299,2))))</f>
        <v>0</v>
      </c>
      <c r="Q300">
        <f>IF(BA299&lt;=0,0,IF(ROUND(BA299*(1+'Calc base'!O300),2)-MAX('Calc base'!J$12,ROUND('Calc base'!J$13*BA299,2))&lt;1,ROUND(BA299*(1+'Calc base'!O300),2),MAX('Calc base'!J$12,ROUND('Calc base'!J$13*BA299,2))))</f>
        <v>0</v>
      </c>
      <c r="R300">
        <f>IF(BB299&lt;=0,0,IF(ROUND(BB299*(1+'Calc base'!P300),2)-MAX('Calc base'!K$12,ROUND('Calc base'!K$13*BB299,2))&lt;1,ROUND(BB299*(1+'Calc base'!P300),2),MAX('Calc base'!K$12,ROUND('Calc base'!K$13*BB299,2))))</f>
        <v>0</v>
      </c>
      <c r="S300">
        <f>IF(BC299&lt;=0,0,IF(ROUND(BC299*(1+'Calc base'!Q300),2)-MAX('Calc base'!L$12,ROUND('Calc base'!L$13*BC299,2))&lt;1,ROUND(BC299*(1+'Calc base'!Q300),2),MAX('Calc base'!L$12,ROUND('Calc base'!L$13*BC299,2))))</f>
        <v>0</v>
      </c>
      <c r="T300">
        <f>IF(BD299&lt;=0,0,IF(ROUND(BD299*(1+'Calc base'!R300),2)-MAX('Calc base'!M$12,ROUND('Calc base'!M$13*BD299,2))&lt;1,ROUND(BD299*(1+'Calc base'!R300),2),MAX('Calc base'!M$12,ROUND('Calc base'!M$13*BD299,2))))</f>
        <v>0</v>
      </c>
      <c r="U300">
        <f>IF(BE299&lt;=0,0,IF(ROUND(BE299*(1+'Calc base'!S300),2)-MAX('Calc base'!N$12,ROUND('Calc base'!N$13*BE299,2))&lt;1,ROUND(BE299*(1+'Calc base'!S300),2),MAX('Calc base'!N$12,ROUND('Calc base'!N$13*BE299,2))))</f>
        <v>0</v>
      </c>
      <c r="V300">
        <f>MAX(0,ROUND(AT299*(1+'Calc base'!H300),2)-J300-'Calc base'!T300)</f>
        <v>0</v>
      </c>
      <c r="W300">
        <f>MAX(0,ROUND(AU299*(1+'Calc base'!I300),2)-K300-'Calc base'!U300)</f>
        <v>0</v>
      </c>
      <c r="X300">
        <f>MAX(0,ROUND(AV299*(1+'Calc base'!J300),2)-L300-'Calc base'!V300)</f>
        <v>0</v>
      </c>
      <c r="Y300">
        <f>MAX(0,ROUND(AW299*(1+'Calc base'!K300),2)-M300-'Calc base'!W300)</f>
        <v>0</v>
      </c>
      <c r="Z300">
        <f>MAX(0,ROUND(AX299*(1+'Calc base'!L300),2)-N300-'Calc base'!X300)</f>
        <v>0</v>
      </c>
      <c r="AA300">
        <f>MAX(0,ROUND(AY299*(1+'Calc base'!M300),2)-O300-'Calc base'!Y300)</f>
        <v>0</v>
      </c>
      <c r="AB300">
        <f>MAX(0,ROUND(AZ299*(1+'Calc base'!N300),2)-P300-'Calc base'!Z300)</f>
        <v>0</v>
      </c>
      <c r="AC300">
        <f>MAX(0,ROUND(BA299*(1+'Calc base'!O300),2)-Q300-'Calc base'!AA300)</f>
        <v>0</v>
      </c>
      <c r="AD300">
        <f>MAX(0,ROUND(BB299*(1+'Calc base'!P300),2)-R300-'Calc base'!AB300)</f>
        <v>0</v>
      </c>
      <c r="AE300">
        <f>MAX(0,ROUND(BC299*(1+'Calc base'!Q300),2)-S300-'Calc base'!AC300)</f>
        <v>0</v>
      </c>
      <c r="AF300">
        <f>MAX(0,ROUND(BD299*(1+'Calc base'!R300),2)-T300-'Calc base'!AD300)</f>
        <v>0</v>
      </c>
      <c r="AG300">
        <f>MAX(0,ROUND(BE299*(1+'Calc base'!S300),2)-U300-'Calc base'!AE300)</f>
        <v>0</v>
      </c>
      <c r="AH300">
        <f>IF('Calc base'!C$14=0,0,MIN(V300,MAX(0,$E300-SUMIFS($V300:$AG300,'Calc base'!$C$17:$N$17,"&lt;"&amp;'Calc base'!C$17,'Calc base'!$C$14:$N$14,1))))</f>
        <v>0</v>
      </c>
      <c r="AI300">
        <f>IF('Calc base'!D$14=0,0,MIN(W300,MAX(0,$E300-SUMIFS($V300:$AG300,'Calc base'!$C$17:$N$17,"&lt;"&amp;'Calc base'!D$17,'Calc base'!$C$14:$N$14,1))))</f>
        <v>0</v>
      </c>
      <c r="AJ300">
        <f>IF('Calc base'!E$14=0,0,MIN(X300,MAX(0,$E300-SUMIFS($V300:$AG300,'Calc base'!$C$17:$N$17,"&lt;"&amp;'Calc base'!E$17,'Calc base'!$C$14:$N$14,1))))</f>
        <v>0</v>
      </c>
      <c r="AK300">
        <f>IF('Calc base'!F$14=0,0,MIN(Y300,MAX(0,$E300-SUMIFS($V300:$AG300,'Calc base'!$C$17:$N$17,"&lt;"&amp;'Calc base'!F$17,'Calc base'!$C$14:$N$14,1))))</f>
        <v>0</v>
      </c>
      <c r="AL300">
        <f>IF('Calc base'!G$14=0,0,MIN(Z300,MAX(0,$E300-SUMIFS($V300:$AG300,'Calc base'!$C$17:$N$17,"&lt;"&amp;'Calc base'!G$17,'Calc base'!$C$14:$N$14,1))))</f>
        <v>0</v>
      </c>
      <c r="AM300">
        <f>IF('Calc base'!H$14=0,0,MIN(AA300,MAX(0,$E300-SUMIFS($V300:$AG300,'Calc base'!$C$17:$N$17,"&lt;"&amp;'Calc base'!H$17,'Calc base'!$C$14:$N$14,1))))</f>
        <v>0</v>
      </c>
      <c r="AN300">
        <f>IF('Calc base'!I$14=0,0,MIN(AB300,MAX(0,$E300-SUMIFS($V300:$AG300,'Calc base'!$C$17:$N$17,"&lt;"&amp;'Calc base'!I$17,'Calc base'!$C$14:$N$14,1))))</f>
        <v>0</v>
      </c>
      <c r="AO300">
        <f>IF('Calc base'!J$14=0,0,MIN(AC300,MAX(0,$E300-SUMIFS($V300:$AG300,'Calc base'!$C$17:$N$17,"&lt;"&amp;'Calc base'!J$17,'Calc base'!$C$14:$N$14,1))))</f>
        <v>0</v>
      </c>
      <c r="AP300">
        <f>IF('Calc base'!K$14=0,0,MIN(AD300,MAX(0,$E300-SUMIFS($V300:$AG300,'Calc base'!$C$17:$N$17,"&lt;"&amp;'Calc base'!K$17,'Calc base'!$C$14:$N$14,1))))</f>
        <v>0</v>
      </c>
      <c r="AQ300">
        <f>IF('Calc base'!L$14=0,0,MIN(AE300,MAX(0,$E300-SUMIFS($V300:$AG300,'Calc base'!$C$17:$N$17,"&lt;"&amp;'Calc base'!L$17,'Calc base'!$C$14:$N$14,1))))</f>
        <v>0</v>
      </c>
      <c r="AR300">
        <f>IF('Calc base'!M$14=0,0,MIN(AF300,MAX(0,$E300-SUMIFS($V300:$AG300,'Calc base'!$C$17:$N$17,"&lt;"&amp;'Calc base'!M$17,'Calc base'!$C$14:$N$14,1))))</f>
        <v>0</v>
      </c>
      <c r="AS300">
        <f>IF('Calc base'!N$14=0,0,MIN(AG300,MAX(0,$E300-SUMIFS($V300:$AG300,'Calc base'!$C$17:$N$17,"&lt;"&amp;'Calc base'!N$17,'Calc base'!$C$14:$N$14,1))))</f>
        <v>0</v>
      </c>
      <c r="AT300">
        <f>V300-AH300</f>
        <v>0</v>
      </c>
      <c r="AU300">
        <f>W300-AI300</f>
        <v>0</v>
      </c>
      <c r="AV300">
        <f>X300-AJ300</f>
        <v>0</v>
      </c>
      <c r="AW300">
        <f>Y300-AK300</f>
        <v>0</v>
      </c>
      <c r="AX300">
        <f>Z300-AL300</f>
        <v>0</v>
      </c>
      <c r="AY300">
        <f>AA300-AM300</f>
        <v>0</v>
      </c>
      <c r="AZ300">
        <f>AB300-AN300</f>
        <v>0</v>
      </c>
      <c r="BA300">
        <f>AC300-AO300</f>
        <v>0</v>
      </c>
      <c r="BB300">
        <f>AD300-AP300</f>
        <v>0</v>
      </c>
      <c r="BC300">
        <f>AE300-AQ300</f>
        <v>0</v>
      </c>
      <c r="BD300">
        <f>AF300-AR300</f>
        <v>0</v>
      </c>
      <c r="BE300">
        <f>AG300-AS300</f>
        <v>0</v>
      </c>
    </row>
    <row r="301">
      <c r="A301" t="n">
        <v>271</v>
      </c>
      <c r="B301">
        <f>SUMPRODUCT(ROUND($AT300:$BE300*(1+'Calc base'!$H301:$S301),2))</f>
        <v>0</v>
      </c>
      <c r="C301">
        <f>SUM(J301:U301)</f>
        <v>0</v>
      </c>
      <c r="D301">
        <f>SUM(V301:AG301)</f>
        <v>0</v>
      </c>
      <c r="E301">
        <f>MAX(0,IF(Impostazioni!$B$7="No",'Calc base'!$C301-$C$31,'Calc base'!$C301-C301)+'Calc base'!$G301+'Calc base'!$F301-(B301-C301-D301))</f>
        <v>900</v>
      </c>
      <c r="F301">
        <f>SUM(AH301:AS301)</f>
        <v>0</v>
      </c>
      <c r="G301">
        <f>SUM(AT301:BE301)</f>
        <v>0</v>
      </c>
      <c r="H301">
        <f>B301-G300</f>
        <v>0</v>
      </c>
      <c r="I301">
        <f>B301-G301</f>
        <v>0</v>
      </c>
      <c r="J301">
        <f>IF(AT300&lt;=0,0,IF(ROUND(AT300*(1+'Calc base'!H301),2)-MAX('Calc base'!C$12,ROUND('Calc base'!C$13*AT300,2))&lt;1,ROUND(AT300*(1+'Calc base'!H301),2),MAX('Calc base'!C$12,ROUND('Calc base'!C$13*AT300,2))))</f>
        <v>0</v>
      </c>
      <c r="K301">
        <f>IF(AU300&lt;=0,0,IF(ROUND(AU300*(1+'Calc base'!I301),2)-MAX('Calc base'!D$12,ROUND('Calc base'!D$13*AU300,2))&lt;1,ROUND(AU300*(1+'Calc base'!I301),2),MAX('Calc base'!D$12,ROUND('Calc base'!D$13*AU300,2))))</f>
        <v>0</v>
      </c>
      <c r="L301">
        <f>IF(AV300&lt;=0,0,IF(ROUND(AV300*(1+'Calc base'!J301),2)-MAX('Calc base'!E$12,ROUND('Calc base'!E$13*AV300,2))&lt;1,ROUND(AV300*(1+'Calc base'!J301),2),MAX('Calc base'!E$12,ROUND('Calc base'!E$13*AV300,2))))</f>
        <v>0</v>
      </c>
      <c r="M301">
        <f>IF(AW300&lt;=0,0,IF(ROUND(AW300*(1+'Calc base'!K301),2)-MAX('Calc base'!F$12,ROUND('Calc base'!F$13*AW300,2))&lt;1,ROUND(AW300*(1+'Calc base'!K301),2),MAX('Calc base'!F$12,ROUND('Calc base'!F$13*AW300,2))))</f>
        <v>0</v>
      </c>
      <c r="N301">
        <f>IF(AX300&lt;=0,0,IF(ROUND(AX300*(1+'Calc base'!L301),2)-MAX('Calc base'!G$12,ROUND('Calc base'!G$13*AX300,2))&lt;1,ROUND(AX300*(1+'Calc base'!L301),2),MAX('Calc base'!G$12,ROUND('Calc base'!G$13*AX300,2))))</f>
        <v>0</v>
      </c>
      <c r="O301">
        <f>IF(AY300&lt;=0,0,IF(ROUND(AY300*(1+'Calc base'!M301),2)-MAX('Calc base'!H$12,ROUND('Calc base'!H$13*AY300,2))&lt;1,ROUND(AY300*(1+'Calc base'!M301),2),MAX('Calc base'!H$12,ROUND('Calc base'!H$13*AY300,2))))</f>
        <v>0</v>
      </c>
      <c r="P301">
        <f>IF(AZ300&lt;=0,0,IF(ROUND(AZ300*(1+'Calc base'!N301),2)-MAX('Calc base'!I$12,ROUND('Calc base'!I$13*AZ300,2))&lt;1,ROUND(AZ300*(1+'Calc base'!N301),2),MAX('Calc base'!I$12,ROUND('Calc base'!I$13*AZ300,2))))</f>
        <v>0</v>
      </c>
      <c r="Q301">
        <f>IF(BA300&lt;=0,0,IF(ROUND(BA300*(1+'Calc base'!O301),2)-MAX('Calc base'!J$12,ROUND('Calc base'!J$13*BA300,2))&lt;1,ROUND(BA300*(1+'Calc base'!O301),2),MAX('Calc base'!J$12,ROUND('Calc base'!J$13*BA300,2))))</f>
        <v>0</v>
      </c>
      <c r="R301">
        <f>IF(BB300&lt;=0,0,IF(ROUND(BB300*(1+'Calc base'!P301),2)-MAX('Calc base'!K$12,ROUND('Calc base'!K$13*BB300,2))&lt;1,ROUND(BB300*(1+'Calc base'!P301),2),MAX('Calc base'!K$12,ROUND('Calc base'!K$13*BB300,2))))</f>
        <v>0</v>
      </c>
      <c r="S301">
        <f>IF(BC300&lt;=0,0,IF(ROUND(BC300*(1+'Calc base'!Q301),2)-MAX('Calc base'!L$12,ROUND('Calc base'!L$13*BC300,2))&lt;1,ROUND(BC300*(1+'Calc base'!Q301),2),MAX('Calc base'!L$12,ROUND('Calc base'!L$13*BC300,2))))</f>
        <v>0</v>
      </c>
      <c r="T301">
        <f>IF(BD300&lt;=0,0,IF(ROUND(BD300*(1+'Calc base'!R301),2)-MAX('Calc base'!M$12,ROUND('Calc base'!M$13*BD300,2))&lt;1,ROUND(BD300*(1+'Calc base'!R301),2),MAX('Calc base'!M$12,ROUND('Calc base'!M$13*BD300,2))))</f>
        <v>0</v>
      </c>
      <c r="U301">
        <f>IF(BE300&lt;=0,0,IF(ROUND(BE300*(1+'Calc base'!S301),2)-MAX('Calc base'!N$12,ROUND('Calc base'!N$13*BE300,2))&lt;1,ROUND(BE300*(1+'Calc base'!S301),2),MAX('Calc base'!N$12,ROUND('Calc base'!N$13*BE300,2))))</f>
        <v>0</v>
      </c>
      <c r="V301">
        <f>MAX(0,ROUND(AT300*(1+'Calc base'!H301),2)-J301-'Calc base'!T301)</f>
        <v>0</v>
      </c>
      <c r="W301">
        <f>MAX(0,ROUND(AU300*(1+'Calc base'!I301),2)-K301-'Calc base'!U301)</f>
        <v>0</v>
      </c>
      <c r="X301">
        <f>MAX(0,ROUND(AV300*(1+'Calc base'!J301),2)-L301-'Calc base'!V301)</f>
        <v>0</v>
      </c>
      <c r="Y301">
        <f>MAX(0,ROUND(AW300*(1+'Calc base'!K301),2)-M301-'Calc base'!W301)</f>
        <v>0</v>
      </c>
      <c r="Z301">
        <f>MAX(0,ROUND(AX300*(1+'Calc base'!L301),2)-N301-'Calc base'!X301)</f>
        <v>0</v>
      </c>
      <c r="AA301">
        <f>MAX(0,ROUND(AY300*(1+'Calc base'!M301),2)-O301-'Calc base'!Y301)</f>
        <v>0</v>
      </c>
      <c r="AB301">
        <f>MAX(0,ROUND(AZ300*(1+'Calc base'!N301),2)-P301-'Calc base'!Z301)</f>
        <v>0</v>
      </c>
      <c r="AC301">
        <f>MAX(0,ROUND(BA300*(1+'Calc base'!O301),2)-Q301-'Calc base'!AA301)</f>
        <v>0</v>
      </c>
      <c r="AD301">
        <f>MAX(0,ROUND(BB300*(1+'Calc base'!P301),2)-R301-'Calc base'!AB301)</f>
        <v>0</v>
      </c>
      <c r="AE301">
        <f>MAX(0,ROUND(BC300*(1+'Calc base'!Q301),2)-S301-'Calc base'!AC301)</f>
        <v>0</v>
      </c>
      <c r="AF301">
        <f>MAX(0,ROUND(BD300*(1+'Calc base'!R301),2)-T301-'Calc base'!AD301)</f>
        <v>0</v>
      </c>
      <c r="AG301">
        <f>MAX(0,ROUND(BE300*(1+'Calc base'!S301),2)-U301-'Calc base'!AE301)</f>
        <v>0</v>
      </c>
      <c r="AH301">
        <f>IF('Calc base'!C$14=0,0,MIN(V301,MAX(0,$E301-SUMIFS($V301:$AG301,'Calc base'!$C$17:$N$17,"&lt;"&amp;'Calc base'!C$17,'Calc base'!$C$14:$N$14,1))))</f>
        <v>0</v>
      </c>
      <c r="AI301">
        <f>IF('Calc base'!D$14=0,0,MIN(W301,MAX(0,$E301-SUMIFS($V301:$AG301,'Calc base'!$C$17:$N$17,"&lt;"&amp;'Calc base'!D$17,'Calc base'!$C$14:$N$14,1))))</f>
        <v>0</v>
      </c>
      <c r="AJ301">
        <f>IF('Calc base'!E$14=0,0,MIN(X301,MAX(0,$E301-SUMIFS($V301:$AG301,'Calc base'!$C$17:$N$17,"&lt;"&amp;'Calc base'!E$17,'Calc base'!$C$14:$N$14,1))))</f>
        <v>0</v>
      </c>
      <c r="AK301">
        <f>IF('Calc base'!F$14=0,0,MIN(Y301,MAX(0,$E301-SUMIFS($V301:$AG301,'Calc base'!$C$17:$N$17,"&lt;"&amp;'Calc base'!F$17,'Calc base'!$C$14:$N$14,1))))</f>
        <v>0</v>
      </c>
      <c r="AL301">
        <f>IF('Calc base'!G$14=0,0,MIN(Z301,MAX(0,$E301-SUMIFS($V301:$AG301,'Calc base'!$C$17:$N$17,"&lt;"&amp;'Calc base'!G$17,'Calc base'!$C$14:$N$14,1))))</f>
        <v>0</v>
      </c>
      <c r="AM301">
        <f>IF('Calc base'!H$14=0,0,MIN(AA301,MAX(0,$E301-SUMIFS($V301:$AG301,'Calc base'!$C$17:$N$17,"&lt;"&amp;'Calc base'!H$17,'Calc base'!$C$14:$N$14,1))))</f>
        <v>0</v>
      </c>
      <c r="AN301">
        <f>IF('Calc base'!I$14=0,0,MIN(AB301,MAX(0,$E301-SUMIFS($V301:$AG301,'Calc base'!$C$17:$N$17,"&lt;"&amp;'Calc base'!I$17,'Calc base'!$C$14:$N$14,1))))</f>
        <v>0</v>
      </c>
      <c r="AO301">
        <f>IF('Calc base'!J$14=0,0,MIN(AC301,MAX(0,$E301-SUMIFS($V301:$AG301,'Calc base'!$C$17:$N$17,"&lt;"&amp;'Calc base'!J$17,'Calc base'!$C$14:$N$14,1))))</f>
        <v>0</v>
      </c>
      <c r="AP301">
        <f>IF('Calc base'!K$14=0,0,MIN(AD301,MAX(0,$E301-SUMIFS($V301:$AG301,'Calc base'!$C$17:$N$17,"&lt;"&amp;'Calc base'!K$17,'Calc base'!$C$14:$N$14,1))))</f>
        <v>0</v>
      </c>
      <c r="AQ301">
        <f>IF('Calc base'!L$14=0,0,MIN(AE301,MAX(0,$E301-SUMIFS($V301:$AG301,'Calc base'!$C$17:$N$17,"&lt;"&amp;'Calc base'!L$17,'Calc base'!$C$14:$N$14,1))))</f>
        <v>0</v>
      </c>
      <c r="AR301">
        <f>IF('Calc base'!M$14=0,0,MIN(AF301,MAX(0,$E301-SUMIFS($V301:$AG301,'Calc base'!$C$17:$N$17,"&lt;"&amp;'Calc base'!M$17,'Calc base'!$C$14:$N$14,1))))</f>
        <v>0</v>
      </c>
      <c r="AS301">
        <f>IF('Calc base'!N$14=0,0,MIN(AG301,MAX(0,$E301-SUMIFS($V301:$AG301,'Calc base'!$C$17:$N$17,"&lt;"&amp;'Calc base'!N$17,'Calc base'!$C$14:$N$14,1))))</f>
        <v>0</v>
      </c>
      <c r="AT301">
        <f>V301-AH301</f>
        <v>0</v>
      </c>
      <c r="AU301">
        <f>W301-AI301</f>
        <v>0</v>
      </c>
      <c r="AV301">
        <f>X301-AJ301</f>
        <v>0</v>
      </c>
      <c r="AW301">
        <f>Y301-AK301</f>
        <v>0</v>
      </c>
      <c r="AX301">
        <f>Z301-AL301</f>
        <v>0</v>
      </c>
      <c r="AY301">
        <f>AA301-AM301</f>
        <v>0</v>
      </c>
      <c r="AZ301">
        <f>AB301-AN301</f>
        <v>0</v>
      </c>
      <c r="BA301">
        <f>AC301-AO301</f>
        <v>0</v>
      </c>
      <c r="BB301">
        <f>AD301-AP301</f>
        <v>0</v>
      </c>
      <c r="BC301">
        <f>AE301-AQ301</f>
        <v>0</v>
      </c>
      <c r="BD301">
        <f>AF301-AR301</f>
        <v>0</v>
      </c>
      <c r="BE301">
        <f>AG301-AS301</f>
        <v>0</v>
      </c>
    </row>
    <row r="302">
      <c r="A302" t="n">
        <v>272</v>
      </c>
      <c r="B302">
        <f>SUMPRODUCT(ROUND($AT301:$BE301*(1+'Calc base'!$H302:$S302),2))</f>
        <v>0</v>
      </c>
      <c r="C302">
        <f>SUM(J302:U302)</f>
        <v>0</v>
      </c>
      <c r="D302">
        <f>SUM(V302:AG302)</f>
        <v>0</v>
      </c>
      <c r="E302">
        <f>MAX(0,IF(Impostazioni!$B$7="No",'Calc base'!$C302-$C$31,'Calc base'!$C302-C302)+'Calc base'!$G302+'Calc base'!$F302-(B302-C302-D302))</f>
        <v>900</v>
      </c>
      <c r="F302">
        <f>SUM(AH302:AS302)</f>
        <v>0</v>
      </c>
      <c r="G302">
        <f>SUM(AT302:BE302)</f>
        <v>0</v>
      </c>
      <c r="H302">
        <f>B302-G301</f>
        <v>0</v>
      </c>
      <c r="I302">
        <f>B302-G302</f>
        <v>0</v>
      </c>
      <c r="J302">
        <f>IF(AT301&lt;=0,0,IF(ROUND(AT301*(1+'Calc base'!H302),2)-MAX('Calc base'!C$12,ROUND('Calc base'!C$13*AT301,2))&lt;1,ROUND(AT301*(1+'Calc base'!H302),2),MAX('Calc base'!C$12,ROUND('Calc base'!C$13*AT301,2))))</f>
        <v>0</v>
      </c>
      <c r="K302">
        <f>IF(AU301&lt;=0,0,IF(ROUND(AU301*(1+'Calc base'!I302),2)-MAX('Calc base'!D$12,ROUND('Calc base'!D$13*AU301,2))&lt;1,ROUND(AU301*(1+'Calc base'!I302),2),MAX('Calc base'!D$12,ROUND('Calc base'!D$13*AU301,2))))</f>
        <v>0</v>
      </c>
      <c r="L302">
        <f>IF(AV301&lt;=0,0,IF(ROUND(AV301*(1+'Calc base'!J302),2)-MAX('Calc base'!E$12,ROUND('Calc base'!E$13*AV301,2))&lt;1,ROUND(AV301*(1+'Calc base'!J302),2),MAX('Calc base'!E$12,ROUND('Calc base'!E$13*AV301,2))))</f>
        <v>0</v>
      </c>
      <c r="M302">
        <f>IF(AW301&lt;=0,0,IF(ROUND(AW301*(1+'Calc base'!K302),2)-MAX('Calc base'!F$12,ROUND('Calc base'!F$13*AW301,2))&lt;1,ROUND(AW301*(1+'Calc base'!K302),2),MAX('Calc base'!F$12,ROUND('Calc base'!F$13*AW301,2))))</f>
        <v>0</v>
      </c>
      <c r="N302">
        <f>IF(AX301&lt;=0,0,IF(ROUND(AX301*(1+'Calc base'!L302),2)-MAX('Calc base'!G$12,ROUND('Calc base'!G$13*AX301,2))&lt;1,ROUND(AX301*(1+'Calc base'!L302),2),MAX('Calc base'!G$12,ROUND('Calc base'!G$13*AX301,2))))</f>
        <v>0</v>
      </c>
      <c r="O302">
        <f>IF(AY301&lt;=0,0,IF(ROUND(AY301*(1+'Calc base'!M302),2)-MAX('Calc base'!H$12,ROUND('Calc base'!H$13*AY301,2))&lt;1,ROUND(AY301*(1+'Calc base'!M302),2),MAX('Calc base'!H$12,ROUND('Calc base'!H$13*AY301,2))))</f>
        <v>0</v>
      </c>
      <c r="P302">
        <f>IF(AZ301&lt;=0,0,IF(ROUND(AZ301*(1+'Calc base'!N302),2)-MAX('Calc base'!I$12,ROUND('Calc base'!I$13*AZ301,2))&lt;1,ROUND(AZ301*(1+'Calc base'!N302),2),MAX('Calc base'!I$12,ROUND('Calc base'!I$13*AZ301,2))))</f>
        <v>0</v>
      </c>
      <c r="Q302">
        <f>IF(BA301&lt;=0,0,IF(ROUND(BA301*(1+'Calc base'!O302),2)-MAX('Calc base'!J$12,ROUND('Calc base'!J$13*BA301,2))&lt;1,ROUND(BA301*(1+'Calc base'!O302),2),MAX('Calc base'!J$12,ROUND('Calc base'!J$13*BA301,2))))</f>
        <v>0</v>
      </c>
      <c r="R302">
        <f>IF(BB301&lt;=0,0,IF(ROUND(BB301*(1+'Calc base'!P302),2)-MAX('Calc base'!K$12,ROUND('Calc base'!K$13*BB301,2))&lt;1,ROUND(BB301*(1+'Calc base'!P302),2),MAX('Calc base'!K$12,ROUND('Calc base'!K$13*BB301,2))))</f>
        <v>0</v>
      </c>
      <c r="S302">
        <f>IF(BC301&lt;=0,0,IF(ROUND(BC301*(1+'Calc base'!Q302),2)-MAX('Calc base'!L$12,ROUND('Calc base'!L$13*BC301,2))&lt;1,ROUND(BC301*(1+'Calc base'!Q302),2),MAX('Calc base'!L$12,ROUND('Calc base'!L$13*BC301,2))))</f>
        <v>0</v>
      </c>
      <c r="T302">
        <f>IF(BD301&lt;=0,0,IF(ROUND(BD301*(1+'Calc base'!R302),2)-MAX('Calc base'!M$12,ROUND('Calc base'!M$13*BD301,2))&lt;1,ROUND(BD301*(1+'Calc base'!R302),2),MAX('Calc base'!M$12,ROUND('Calc base'!M$13*BD301,2))))</f>
        <v>0</v>
      </c>
      <c r="U302">
        <f>IF(BE301&lt;=0,0,IF(ROUND(BE301*(1+'Calc base'!S302),2)-MAX('Calc base'!N$12,ROUND('Calc base'!N$13*BE301,2))&lt;1,ROUND(BE301*(1+'Calc base'!S302),2),MAX('Calc base'!N$12,ROUND('Calc base'!N$13*BE301,2))))</f>
        <v>0</v>
      </c>
      <c r="V302">
        <f>MAX(0,ROUND(AT301*(1+'Calc base'!H302),2)-J302-'Calc base'!T302)</f>
        <v>0</v>
      </c>
      <c r="W302">
        <f>MAX(0,ROUND(AU301*(1+'Calc base'!I302),2)-K302-'Calc base'!U302)</f>
        <v>0</v>
      </c>
      <c r="X302">
        <f>MAX(0,ROUND(AV301*(1+'Calc base'!J302),2)-L302-'Calc base'!V302)</f>
        <v>0</v>
      </c>
      <c r="Y302">
        <f>MAX(0,ROUND(AW301*(1+'Calc base'!K302),2)-M302-'Calc base'!W302)</f>
        <v>0</v>
      </c>
      <c r="Z302">
        <f>MAX(0,ROUND(AX301*(1+'Calc base'!L302),2)-N302-'Calc base'!X302)</f>
        <v>0</v>
      </c>
      <c r="AA302">
        <f>MAX(0,ROUND(AY301*(1+'Calc base'!M302),2)-O302-'Calc base'!Y302)</f>
        <v>0</v>
      </c>
      <c r="AB302">
        <f>MAX(0,ROUND(AZ301*(1+'Calc base'!N302),2)-P302-'Calc base'!Z302)</f>
        <v>0</v>
      </c>
      <c r="AC302">
        <f>MAX(0,ROUND(BA301*(1+'Calc base'!O302),2)-Q302-'Calc base'!AA302)</f>
        <v>0</v>
      </c>
      <c r="AD302">
        <f>MAX(0,ROUND(BB301*(1+'Calc base'!P302),2)-R302-'Calc base'!AB302)</f>
        <v>0</v>
      </c>
      <c r="AE302">
        <f>MAX(0,ROUND(BC301*(1+'Calc base'!Q302),2)-S302-'Calc base'!AC302)</f>
        <v>0</v>
      </c>
      <c r="AF302">
        <f>MAX(0,ROUND(BD301*(1+'Calc base'!R302),2)-T302-'Calc base'!AD302)</f>
        <v>0</v>
      </c>
      <c r="AG302">
        <f>MAX(0,ROUND(BE301*(1+'Calc base'!S302),2)-U302-'Calc base'!AE302)</f>
        <v>0</v>
      </c>
      <c r="AH302">
        <f>IF('Calc base'!C$14=0,0,MIN(V302,MAX(0,$E302-SUMIFS($V302:$AG302,'Calc base'!$C$17:$N$17,"&lt;"&amp;'Calc base'!C$17,'Calc base'!$C$14:$N$14,1))))</f>
        <v>0</v>
      </c>
      <c r="AI302">
        <f>IF('Calc base'!D$14=0,0,MIN(W302,MAX(0,$E302-SUMIFS($V302:$AG302,'Calc base'!$C$17:$N$17,"&lt;"&amp;'Calc base'!D$17,'Calc base'!$C$14:$N$14,1))))</f>
        <v>0</v>
      </c>
      <c r="AJ302">
        <f>IF('Calc base'!E$14=0,0,MIN(X302,MAX(0,$E302-SUMIFS($V302:$AG302,'Calc base'!$C$17:$N$17,"&lt;"&amp;'Calc base'!E$17,'Calc base'!$C$14:$N$14,1))))</f>
        <v>0</v>
      </c>
      <c r="AK302">
        <f>IF('Calc base'!F$14=0,0,MIN(Y302,MAX(0,$E302-SUMIFS($V302:$AG302,'Calc base'!$C$17:$N$17,"&lt;"&amp;'Calc base'!F$17,'Calc base'!$C$14:$N$14,1))))</f>
        <v>0</v>
      </c>
      <c r="AL302">
        <f>IF('Calc base'!G$14=0,0,MIN(Z302,MAX(0,$E302-SUMIFS($V302:$AG302,'Calc base'!$C$17:$N$17,"&lt;"&amp;'Calc base'!G$17,'Calc base'!$C$14:$N$14,1))))</f>
        <v>0</v>
      </c>
      <c r="AM302">
        <f>IF('Calc base'!H$14=0,0,MIN(AA302,MAX(0,$E302-SUMIFS($V302:$AG302,'Calc base'!$C$17:$N$17,"&lt;"&amp;'Calc base'!H$17,'Calc base'!$C$14:$N$14,1))))</f>
        <v>0</v>
      </c>
      <c r="AN302">
        <f>IF('Calc base'!I$14=0,0,MIN(AB302,MAX(0,$E302-SUMIFS($V302:$AG302,'Calc base'!$C$17:$N$17,"&lt;"&amp;'Calc base'!I$17,'Calc base'!$C$14:$N$14,1))))</f>
        <v>0</v>
      </c>
      <c r="AO302">
        <f>IF('Calc base'!J$14=0,0,MIN(AC302,MAX(0,$E302-SUMIFS($V302:$AG302,'Calc base'!$C$17:$N$17,"&lt;"&amp;'Calc base'!J$17,'Calc base'!$C$14:$N$14,1))))</f>
        <v>0</v>
      </c>
      <c r="AP302">
        <f>IF('Calc base'!K$14=0,0,MIN(AD302,MAX(0,$E302-SUMIFS($V302:$AG302,'Calc base'!$C$17:$N$17,"&lt;"&amp;'Calc base'!K$17,'Calc base'!$C$14:$N$14,1))))</f>
        <v>0</v>
      </c>
      <c r="AQ302">
        <f>IF('Calc base'!L$14=0,0,MIN(AE302,MAX(0,$E302-SUMIFS($V302:$AG302,'Calc base'!$C$17:$N$17,"&lt;"&amp;'Calc base'!L$17,'Calc base'!$C$14:$N$14,1))))</f>
        <v>0</v>
      </c>
      <c r="AR302">
        <f>IF('Calc base'!M$14=0,0,MIN(AF302,MAX(0,$E302-SUMIFS($V302:$AG302,'Calc base'!$C$17:$N$17,"&lt;"&amp;'Calc base'!M$17,'Calc base'!$C$14:$N$14,1))))</f>
        <v>0</v>
      </c>
      <c r="AS302">
        <f>IF('Calc base'!N$14=0,0,MIN(AG302,MAX(0,$E302-SUMIFS($V302:$AG302,'Calc base'!$C$17:$N$17,"&lt;"&amp;'Calc base'!N$17,'Calc base'!$C$14:$N$14,1))))</f>
        <v>0</v>
      </c>
      <c r="AT302">
        <f>V302-AH302</f>
        <v>0</v>
      </c>
      <c r="AU302">
        <f>W302-AI302</f>
        <v>0</v>
      </c>
      <c r="AV302">
        <f>X302-AJ302</f>
        <v>0</v>
      </c>
      <c r="AW302">
        <f>Y302-AK302</f>
        <v>0</v>
      </c>
      <c r="AX302">
        <f>Z302-AL302</f>
        <v>0</v>
      </c>
      <c r="AY302">
        <f>AA302-AM302</f>
        <v>0</v>
      </c>
      <c r="AZ302">
        <f>AB302-AN302</f>
        <v>0</v>
      </c>
      <c r="BA302">
        <f>AC302-AO302</f>
        <v>0</v>
      </c>
      <c r="BB302">
        <f>AD302-AP302</f>
        <v>0</v>
      </c>
      <c r="BC302">
        <f>AE302-AQ302</f>
        <v>0</v>
      </c>
      <c r="BD302">
        <f>AF302-AR302</f>
        <v>0</v>
      </c>
      <c r="BE302">
        <f>AG302-AS302</f>
        <v>0</v>
      </c>
    </row>
    <row r="303">
      <c r="A303" t="n">
        <v>273</v>
      </c>
      <c r="B303">
        <f>SUMPRODUCT(ROUND($AT302:$BE302*(1+'Calc base'!$H303:$S303),2))</f>
        <v>0</v>
      </c>
      <c r="C303">
        <f>SUM(J303:U303)</f>
        <v>0</v>
      </c>
      <c r="D303">
        <f>SUM(V303:AG303)</f>
        <v>0</v>
      </c>
      <c r="E303">
        <f>MAX(0,IF(Impostazioni!$B$7="No",'Calc base'!$C303-$C$31,'Calc base'!$C303-C303)+'Calc base'!$G303+'Calc base'!$F303-(B303-C303-D303))</f>
        <v>900</v>
      </c>
      <c r="F303">
        <f>SUM(AH303:AS303)</f>
        <v>0</v>
      </c>
      <c r="G303">
        <f>SUM(AT303:BE303)</f>
        <v>0</v>
      </c>
      <c r="H303">
        <f>B303-G302</f>
        <v>0</v>
      </c>
      <c r="I303">
        <f>B303-G303</f>
        <v>0</v>
      </c>
      <c r="J303">
        <f>IF(AT302&lt;=0,0,IF(ROUND(AT302*(1+'Calc base'!H303),2)-MAX('Calc base'!C$12,ROUND('Calc base'!C$13*AT302,2))&lt;1,ROUND(AT302*(1+'Calc base'!H303),2),MAX('Calc base'!C$12,ROUND('Calc base'!C$13*AT302,2))))</f>
        <v>0</v>
      </c>
      <c r="K303">
        <f>IF(AU302&lt;=0,0,IF(ROUND(AU302*(1+'Calc base'!I303),2)-MAX('Calc base'!D$12,ROUND('Calc base'!D$13*AU302,2))&lt;1,ROUND(AU302*(1+'Calc base'!I303),2),MAX('Calc base'!D$12,ROUND('Calc base'!D$13*AU302,2))))</f>
        <v>0</v>
      </c>
      <c r="L303">
        <f>IF(AV302&lt;=0,0,IF(ROUND(AV302*(1+'Calc base'!J303),2)-MAX('Calc base'!E$12,ROUND('Calc base'!E$13*AV302,2))&lt;1,ROUND(AV302*(1+'Calc base'!J303),2),MAX('Calc base'!E$12,ROUND('Calc base'!E$13*AV302,2))))</f>
        <v>0</v>
      </c>
      <c r="M303">
        <f>IF(AW302&lt;=0,0,IF(ROUND(AW302*(1+'Calc base'!K303),2)-MAX('Calc base'!F$12,ROUND('Calc base'!F$13*AW302,2))&lt;1,ROUND(AW302*(1+'Calc base'!K303),2),MAX('Calc base'!F$12,ROUND('Calc base'!F$13*AW302,2))))</f>
        <v>0</v>
      </c>
      <c r="N303">
        <f>IF(AX302&lt;=0,0,IF(ROUND(AX302*(1+'Calc base'!L303),2)-MAX('Calc base'!G$12,ROUND('Calc base'!G$13*AX302,2))&lt;1,ROUND(AX302*(1+'Calc base'!L303),2),MAX('Calc base'!G$12,ROUND('Calc base'!G$13*AX302,2))))</f>
        <v>0</v>
      </c>
      <c r="O303">
        <f>IF(AY302&lt;=0,0,IF(ROUND(AY302*(1+'Calc base'!M303),2)-MAX('Calc base'!H$12,ROUND('Calc base'!H$13*AY302,2))&lt;1,ROUND(AY302*(1+'Calc base'!M303),2),MAX('Calc base'!H$12,ROUND('Calc base'!H$13*AY302,2))))</f>
        <v>0</v>
      </c>
      <c r="P303">
        <f>IF(AZ302&lt;=0,0,IF(ROUND(AZ302*(1+'Calc base'!N303),2)-MAX('Calc base'!I$12,ROUND('Calc base'!I$13*AZ302,2))&lt;1,ROUND(AZ302*(1+'Calc base'!N303),2),MAX('Calc base'!I$12,ROUND('Calc base'!I$13*AZ302,2))))</f>
        <v>0</v>
      </c>
      <c r="Q303">
        <f>IF(BA302&lt;=0,0,IF(ROUND(BA302*(1+'Calc base'!O303),2)-MAX('Calc base'!J$12,ROUND('Calc base'!J$13*BA302,2))&lt;1,ROUND(BA302*(1+'Calc base'!O303),2),MAX('Calc base'!J$12,ROUND('Calc base'!J$13*BA302,2))))</f>
        <v>0</v>
      </c>
      <c r="R303">
        <f>IF(BB302&lt;=0,0,IF(ROUND(BB302*(1+'Calc base'!P303),2)-MAX('Calc base'!K$12,ROUND('Calc base'!K$13*BB302,2))&lt;1,ROUND(BB302*(1+'Calc base'!P303),2),MAX('Calc base'!K$12,ROUND('Calc base'!K$13*BB302,2))))</f>
        <v>0</v>
      </c>
      <c r="S303">
        <f>IF(BC302&lt;=0,0,IF(ROUND(BC302*(1+'Calc base'!Q303),2)-MAX('Calc base'!L$12,ROUND('Calc base'!L$13*BC302,2))&lt;1,ROUND(BC302*(1+'Calc base'!Q303),2),MAX('Calc base'!L$12,ROUND('Calc base'!L$13*BC302,2))))</f>
        <v>0</v>
      </c>
      <c r="T303">
        <f>IF(BD302&lt;=0,0,IF(ROUND(BD302*(1+'Calc base'!R303),2)-MAX('Calc base'!M$12,ROUND('Calc base'!M$13*BD302,2))&lt;1,ROUND(BD302*(1+'Calc base'!R303),2),MAX('Calc base'!M$12,ROUND('Calc base'!M$13*BD302,2))))</f>
        <v>0</v>
      </c>
      <c r="U303">
        <f>IF(BE302&lt;=0,0,IF(ROUND(BE302*(1+'Calc base'!S303),2)-MAX('Calc base'!N$12,ROUND('Calc base'!N$13*BE302,2))&lt;1,ROUND(BE302*(1+'Calc base'!S303),2),MAX('Calc base'!N$12,ROUND('Calc base'!N$13*BE302,2))))</f>
        <v>0</v>
      </c>
      <c r="V303">
        <f>MAX(0,ROUND(AT302*(1+'Calc base'!H303),2)-J303-'Calc base'!T303)</f>
        <v>0</v>
      </c>
      <c r="W303">
        <f>MAX(0,ROUND(AU302*(1+'Calc base'!I303),2)-K303-'Calc base'!U303)</f>
        <v>0</v>
      </c>
      <c r="X303">
        <f>MAX(0,ROUND(AV302*(1+'Calc base'!J303),2)-L303-'Calc base'!V303)</f>
        <v>0</v>
      </c>
      <c r="Y303">
        <f>MAX(0,ROUND(AW302*(1+'Calc base'!K303),2)-M303-'Calc base'!W303)</f>
        <v>0</v>
      </c>
      <c r="Z303">
        <f>MAX(0,ROUND(AX302*(1+'Calc base'!L303),2)-N303-'Calc base'!X303)</f>
        <v>0</v>
      </c>
      <c r="AA303">
        <f>MAX(0,ROUND(AY302*(1+'Calc base'!M303),2)-O303-'Calc base'!Y303)</f>
        <v>0</v>
      </c>
      <c r="AB303">
        <f>MAX(0,ROUND(AZ302*(1+'Calc base'!N303),2)-P303-'Calc base'!Z303)</f>
        <v>0</v>
      </c>
      <c r="AC303">
        <f>MAX(0,ROUND(BA302*(1+'Calc base'!O303),2)-Q303-'Calc base'!AA303)</f>
        <v>0</v>
      </c>
      <c r="AD303">
        <f>MAX(0,ROUND(BB302*(1+'Calc base'!P303),2)-R303-'Calc base'!AB303)</f>
        <v>0</v>
      </c>
      <c r="AE303">
        <f>MAX(0,ROUND(BC302*(1+'Calc base'!Q303),2)-S303-'Calc base'!AC303)</f>
        <v>0</v>
      </c>
      <c r="AF303">
        <f>MAX(0,ROUND(BD302*(1+'Calc base'!R303),2)-T303-'Calc base'!AD303)</f>
        <v>0</v>
      </c>
      <c r="AG303">
        <f>MAX(0,ROUND(BE302*(1+'Calc base'!S303),2)-U303-'Calc base'!AE303)</f>
        <v>0</v>
      </c>
      <c r="AH303">
        <f>IF('Calc base'!C$14=0,0,MIN(V303,MAX(0,$E303-SUMIFS($V303:$AG303,'Calc base'!$C$17:$N$17,"&lt;"&amp;'Calc base'!C$17,'Calc base'!$C$14:$N$14,1))))</f>
        <v>0</v>
      </c>
      <c r="AI303">
        <f>IF('Calc base'!D$14=0,0,MIN(W303,MAX(0,$E303-SUMIFS($V303:$AG303,'Calc base'!$C$17:$N$17,"&lt;"&amp;'Calc base'!D$17,'Calc base'!$C$14:$N$14,1))))</f>
        <v>0</v>
      </c>
      <c r="AJ303">
        <f>IF('Calc base'!E$14=0,0,MIN(X303,MAX(0,$E303-SUMIFS($V303:$AG303,'Calc base'!$C$17:$N$17,"&lt;"&amp;'Calc base'!E$17,'Calc base'!$C$14:$N$14,1))))</f>
        <v>0</v>
      </c>
      <c r="AK303">
        <f>IF('Calc base'!F$14=0,0,MIN(Y303,MAX(0,$E303-SUMIFS($V303:$AG303,'Calc base'!$C$17:$N$17,"&lt;"&amp;'Calc base'!F$17,'Calc base'!$C$14:$N$14,1))))</f>
        <v>0</v>
      </c>
      <c r="AL303">
        <f>IF('Calc base'!G$14=0,0,MIN(Z303,MAX(0,$E303-SUMIFS($V303:$AG303,'Calc base'!$C$17:$N$17,"&lt;"&amp;'Calc base'!G$17,'Calc base'!$C$14:$N$14,1))))</f>
        <v>0</v>
      </c>
      <c r="AM303">
        <f>IF('Calc base'!H$14=0,0,MIN(AA303,MAX(0,$E303-SUMIFS($V303:$AG303,'Calc base'!$C$17:$N$17,"&lt;"&amp;'Calc base'!H$17,'Calc base'!$C$14:$N$14,1))))</f>
        <v>0</v>
      </c>
      <c r="AN303">
        <f>IF('Calc base'!I$14=0,0,MIN(AB303,MAX(0,$E303-SUMIFS($V303:$AG303,'Calc base'!$C$17:$N$17,"&lt;"&amp;'Calc base'!I$17,'Calc base'!$C$14:$N$14,1))))</f>
        <v>0</v>
      </c>
      <c r="AO303">
        <f>IF('Calc base'!J$14=0,0,MIN(AC303,MAX(0,$E303-SUMIFS($V303:$AG303,'Calc base'!$C$17:$N$17,"&lt;"&amp;'Calc base'!J$17,'Calc base'!$C$14:$N$14,1))))</f>
        <v>0</v>
      </c>
      <c r="AP303">
        <f>IF('Calc base'!K$14=0,0,MIN(AD303,MAX(0,$E303-SUMIFS($V303:$AG303,'Calc base'!$C$17:$N$17,"&lt;"&amp;'Calc base'!K$17,'Calc base'!$C$14:$N$14,1))))</f>
        <v>0</v>
      </c>
      <c r="AQ303">
        <f>IF('Calc base'!L$14=0,0,MIN(AE303,MAX(0,$E303-SUMIFS($V303:$AG303,'Calc base'!$C$17:$N$17,"&lt;"&amp;'Calc base'!L$17,'Calc base'!$C$14:$N$14,1))))</f>
        <v>0</v>
      </c>
      <c r="AR303">
        <f>IF('Calc base'!M$14=0,0,MIN(AF303,MAX(0,$E303-SUMIFS($V303:$AG303,'Calc base'!$C$17:$N$17,"&lt;"&amp;'Calc base'!M$17,'Calc base'!$C$14:$N$14,1))))</f>
        <v>0</v>
      </c>
      <c r="AS303">
        <f>IF('Calc base'!N$14=0,0,MIN(AG303,MAX(0,$E303-SUMIFS($V303:$AG303,'Calc base'!$C$17:$N$17,"&lt;"&amp;'Calc base'!N$17,'Calc base'!$C$14:$N$14,1))))</f>
        <v>0</v>
      </c>
      <c r="AT303">
        <f>V303-AH303</f>
        <v>0</v>
      </c>
      <c r="AU303">
        <f>W303-AI303</f>
        <v>0</v>
      </c>
      <c r="AV303">
        <f>X303-AJ303</f>
        <v>0</v>
      </c>
      <c r="AW303">
        <f>Y303-AK303</f>
        <v>0</v>
      </c>
      <c r="AX303">
        <f>Z303-AL303</f>
        <v>0</v>
      </c>
      <c r="AY303">
        <f>AA303-AM303</f>
        <v>0</v>
      </c>
      <c r="AZ303">
        <f>AB303-AN303</f>
        <v>0</v>
      </c>
      <c r="BA303">
        <f>AC303-AO303</f>
        <v>0</v>
      </c>
      <c r="BB303">
        <f>AD303-AP303</f>
        <v>0</v>
      </c>
      <c r="BC303">
        <f>AE303-AQ303</f>
        <v>0</v>
      </c>
      <c r="BD303">
        <f>AF303-AR303</f>
        <v>0</v>
      </c>
      <c r="BE303">
        <f>AG303-AS303</f>
        <v>0</v>
      </c>
    </row>
    <row r="304">
      <c r="A304" t="n">
        <v>274</v>
      </c>
      <c r="B304">
        <f>SUMPRODUCT(ROUND($AT303:$BE303*(1+'Calc base'!$H304:$S304),2))</f>
        <v>0</v>
      </c>
      <c r="C304">
        <f>SUM(J304:U304)</f>
        <v>0</v>
      </c>
      <c r="D304">
        <f>SUM(V304:AG304)</f>
        <v>0</v>
      </c>
      <c r="E304">
        <f>MAX(0,IF(Impostazioni!$B$7="No",'Calc base'!$C304-$C$31,'Calc base'!$C304-C304)+'Calc base'!$G304+'Calc base'!$F304-(B304-C304-D304))</f>
        <v>900</v>
      </c>
      <c r="F304">
        <f>SUM(AH304:AS304)</f>
        <v>0</v>
      </c>
      <c r="G304">
        <f>SUM(AT304:BE304)</f>
        <v>0</v>
      </c>
      <c r="H304">
        <f>B304-G303</f>
        <v>0</v>
      </c>
      <c r="I304">
        <f>B304-G304</f>
        <v>0</v>
      </c>
      <c r="J304">
        <f>IF(AT303&lt;=0,0,IF(ROUND(AT303*(1+'Calc base'!H304),2)-MAX('Calc base'!C$12,ROUND('Calc base'!C$13*AT303,2))&lt;1,ROUND(AT303*(1+'Calc base'!H304),2),MAX('Calc base'!C$12,ROUND('Calc base'!C$13*AT303,2))))</f>
        <v>0</v>
      </c>
      <c r="K304">
        <f>IF(AU303&lt;=0,0,IF(ROUND(AU303*(1+'Calc base'!I304),2)-MAX('Calc base'!D$12,ROUND('Calc base'!D$13*AU303,2))&lt;1,ROUND(AU303*(1+'Calc base'!I304),2),MAX('Calc base'!D$12,ROUND('Calc base'!D$13*AU303,2))))</f>
        <v>0</v>
      </c>
      <c r="L304">
        <f>IF(AV303&lt;=0,0,IF(ROUND(AV303*(1+'Calc base'!J304),2)-MAX('Calc base'!E$12,ROUND('Calc base'!E$13*AV303,2))&lt;1,ROUND(AV303*(1+'Calc base'!J304),2),MAX('Calc base'!E$12,ROUND('Calc base'!E$13*AV303,2))))</f>
        <v>0</v>
      </c>
      <c r="M304">
        <f>IF(AW303&lt;=0,0,IF(ROUND(AW303*(1+'Calc base'!K304),2)-MAX('Calc base'!F$12,ROUND('Calc base'!F$13*AW303,2))&lt;1,ROUND(AW303*(1+'Calc base'!K304),2),MAX('Calc base'!F$12,ROUND('Calc base'!F$13*AW303,2))))</f>
        <v>0</v>
      </c>
      <c r="N304">
        <f>IF(AX303&lt;=0,0,IF(ROUND(AX303*(1+'Calc base'!L304),2)-MAX('Calc base'!G$12,ROUND('Calc base'!G$13*AX303,2))&lt;1,ROUND(AX303*(1+'Calc base'!L304),2),MAX('Calc base'!G$12,ROUND('Calc base'!G$13*AX303,2))))</f>
        <v>0</v>
      </c>
      <c r="O304">
        <f>IF(AY303&lt;=0,0,IF(ROUND(AY303*(1+'Calc base'!M304),2)-MAX('Calc base'!H$12,ROUND('Calc base'!H$13*AY303,2))&lt;1,ROUND(AY303*(1+'Calc base'!M304),2),MAX('Calc base'!H$12,ROUND('Calc base'!H$13*AY303,2))))</f>
        <v>0</v>
      </c>
      <c r="P304">
        <f>IF(AZ303&lt;=0,0,IF(ROUND(AZ303*(1+'Calc base'!N304),2)-MAX('Calc base'!I$12,ROUND('Calc base'!I$13*AZ303,2))&lt;1,ROUND(AZ303*(1+'Calc base'!N304),2),MAX('Calc base'!I$12,ROUND('Calc base'!I$13*AZ303,2))))</f>
        <v>0</v>
      </c>
      <c r="Q304">
        <f>IF(BA303&lt;=0,0,IF(ROUND(BA303*(1+'Calc base'!O304),2)-MAX('Calc base'!J$12,ROUND('Calc base'!J$13*BA303,2))&lt;1,ROUND(BA303*(1+'Calc base'!O304),2),MAX('Calc base'!J$12,ROUND('Calc base'!J$13*BA303,2))))</f>
        <v>0</v>
      </c>
      <c r="R304">
        <f>IF(BB303&lt;=0,0,IF(ROUND(BB303*(1+'Calc base'!P304),2)-MAX('Calc base'!K$12,ROUND('Calc base'!K$13*BB303,2))&lt;1,ROUND(BB303*(1+'Calc base'!P304),2),MAX('Calc base'!K$12,ROUND('Calc base'!K$13*BB303,2))))</f>
        <v>0</v>
      </c>
      <c r="S304">
        <f>IF(BC303&lt;=0,0,IF(ROUND(BC303*(1+'Calc base'!Q304),2)-MAX('Calc base'!L$12,ROUND('Calc base'!L$13*BC303,2))&lt;1,ROUND(BC303*(1+'Calc base'!Q304),2),MAX('Calc base'!L$12,ROUND('Calc base'!L$13*BC303,2))))</f>
        <v>0</v>
      </c>
      <c r="T304">
        <f>IF(BD303&lt;=0,0,IF(ROUND(BD303*(1+'Calc base'!R304),2)-MAX('Calc base'!M$12,ROUND('Calc base'!M$13*BD303,2))&lt;1,ROUND(BD303*(1+'Calc base'!R304),2),MAX('Calc base'!M$12,ROUND('Calc base'!M$13*BD303,2))))</f>
        <v>0</v>
      </c>
      <c r="U304">
        <f>IF(BE303&lt;=0,0,IF(ROUND(BE303*(1+'Calc base'!S304),2)-MAX('Calc base'!N$12,ROUND('Calc base'!N$13*BE303,2))&lt;1,ROUND(BE303*(1+'Calc base'!S304),2),MAX('Calc base'!N$12,ROUND('Calc base'!N$13*BE303,2))))</f>
        <v>0</v>
      </c>
      <c r="V304">
        <f>MAX(0,ROUND(AT303*(1+'Calc base'!H304),2)-J304-'Calc base'!T304)</f>
        <v>0</v>
      </c>
      <c r="W304">
        <f>MAX(0,ROUND(AU303*(1+'Calc base'!I304),2)-K304-'Calc base'!U304)</f>
        <v>0</v>
      </c>
      <c r="X304">
        <f>MAX(0,ROUND(AV303*(1+'Calc base'!J304),2)-L304-'Calc base'!V304)</f>
        <v>0</v>
      </c>
      <c r="Y304">
        <f>MAX(0,ROUND(AW303*(1+'Calc base'!K304),2)-M304-'Calc base'!W304)</f>
        <v>0</v>
      </c>
      <c r="Z304">
        <f>MAX(0,ROUND(AX303*(1+'Calc base'!L304),2)-N304-'Calc base'!X304)</f>
        <v>0</v>
      </c>
      <c r="AA304">
        <f>MAX(0,ROUND(AY303*(1+'Calc base'!M304),2)-O304-'Calc base'!Y304)</f>
        <v>0</v>
      </c>
      <c r="AB304">
        <f>MAX(0,ROUND(AZ303*(1+'Calc base'!N304),2)-P304-'Calc base'!Z304)</f>
        <v>0</v>
      </c>
      <c r="AC304">
        <f>MAX(0,ROUND(BA303*(1+'Calc base'!O304),2)-Q304-'Calc base'!AA304)</f>
        <v>0</v>
      </c>
      <c r="AD304">
        <f>MAX(0,ROUND(BB303*(1+'Calc base'!P304),2)-R304-'Calc base'!AB304)</f>
        <v>0</v>
      </c>
      <c r="AE304">
        <f>MAX(0,ROUND(BC303*(1+'Calc base'!Q304),2)-S304-'Calc base'!AC304)</f>
        <v>0</v>
      </c>
      <c r="AF304">
        <f>MAX(0,ROUND(BD303*(1+'Calc base'!R304),2)-T304-'Calc base'!AD304)</f>
        <v>0</v>
      </c>
      <c r="AG304">
        <f>MAX(0,ROUND(BE303*(1+'Calc base'!S304),2)-U304-'Calc base'!AE304)</f>
        <v>0</v>
      </c>
      <c r="AH304">
        <f>IF('Calc base'!C$14=0,0,MIN(V304,MAX(0,$E304-SUMIFS($V304:$AG304,'Calc base'!$C$17:$N$17,"&lt;"&amp;'Calc base'!C$17,'Calc base'!$C$14:$N$14,1))))</f>
        <v>0</v>
      </c>
      <c r="AI304">
        <f>IF('Calc base'!D$14=0,0,MIN(W304,MAX(0,$E304-SUMIFS($V304:$AG304,'Calc base'!$C$17:$N$17,"&lt;"&amp;'Calc base'!D$17,'Calc base'!$C$14:$N$14,1))))</f>
        <v>0</v>
      </c>
      <c r="AJ304">
        <f>IF('Calc base'!E$14=0,0,MIN(X304,MAX(0,$E304-SUMIFS($V304:$AG304,'Calc base'!$C$17:$N$17,"&lt;"&amp;'Calc base'!E$17,'Calc base'!$C$14:$N$14,1))))</f>
        <v>0</v>
      </c>
      <c r="AK304">
        <f>IF('Calc base'!F$14=0,0,MIN(Y304,MAX(0,$E304-SUMIFS($V304:$AG304,'Calc base'!$C$17:$N$17,"&lt;"&amp;'Calc base'!F$17,'Calc base'!$C$14:$N$14,1))))</f>
        <v>0</v>
      </c>
      <c r="AL304">
        <f>IF('Calc base'!G$14=0,0,MIN(Z304,MAX(0,$E304-SUMIFS($V304:$AG304,'Calc base'!$C$17:$N$17,"&lt;"&amp;'Calc base'!G$17,'Calc base'!$C$14:$N$14,1))))</f>
        <v>0</v>
      </c>
      <c r="AM304">
        <f>IF('Calc base'!H$14=0,0,MIN(AA304,MAX(0,$E304-SUMIFS($V304:$AG304,'Calc base'!$C$17:$N$17,"&lt;"&amp;'Calc base'!H$17,'Calc base'!$C$14:$N$14,1))))</f>
        <v>0</v>
      </c>
      <c r="AN304">
        <f>IF('Calc base'!I$14=0,0,MIN(AB304,MAX(0,$E304-SUMIFS($V304:$AG304,'Calc base'!$C$17:$N$17,"&lt;"&amp;'Calc base'!I$17,'Calc base'!$C$14:$N$14,1))))</f>
        <v>0</v>
      </c>
      <c r="AO304">
        <f>IF('Calc base'!J$14=0,0,MIN(AC304,MAX(0,$E304-SUMIFS($V304:$AG304,'Calc base'!$C$17:$N$17,"&lt;"&amp;'Calc base'!J$17,'Calc base'!$C$14:$N$14,1))))</f>
        <v>0</v>
      </c>
      <c r="AP304">
        <f>IF('Calc base'!K$14=0,0,MIN(AD304,MAX(0,$E304-SUMIFS($V304:$AG304,'Calc base'!$C$17:$N$17,"&lt;"&amp;'Calc base'!K$17,'Calc base'!$C$14:$N$14,1))))</f>
        <v>0</v>
      </c>
      <c r="AQ304">
        <f>IF('Calc base'!L$14=0,0,MIN(AE304,MAX(0,$E304-SUMIFS($V304:$AG304,'Calc base'!$C$17:$N$17,"&lt;"&amp;'Calc base'!L$17,'Calc base'!$C$14:$N$14,1))))</f>
        <v>0</v>
      </c>
      <c r="AR304">
        <f>IF('Calc base'!M$14=0,0,MIN(AF304,MAX(0,$E304-SUMIFS($V304:$AG304,'Calc base'!$C$17:$N$17,"&lt;"&amp;'Calc base'!M$17,'Calc base'!$C$14:$N$14,1))))</f>
        <v>0</v>
      </c>
      <c r="AS304">
        <f>IF('Calc base'!N$14=0,0,MIN(AG304,MAX(0,$E304-SUMIFS($V304:$AG304,'Calc base'!$C$17:$N$17,"&lt;"&amp;'Calc base'!N$17,'Calc base'!$C$14:$N$14,1))))</f>
        <v>0</v>
      </c>
      <c r="AT304">
        <f>V304-AH304</f>
        <v>0</v>
      </c>
      <c r="AU304">
        <f>W304-AI304</f>
        <v>0</v>
      </c>
      <c r="AV304">
        <f>X304-AJ304</f>
        <v>0</v>
      </c>
      <c r="AW304">
        <f>Y304-AK304</f>
        <v>0</v>
      </c>
      <c r="AX304">
        <f>Z304-AL304</f>
        <v>0</v>
      </c>
      <c r="AY304">
        <f>AA304-AM304</f>
        <v>0</v>
      </c>
      <c r="AZ304">
        <f>AB304-AN304</f>
        <v>0</v>
      </c>
      <c r="BA304">
        <f>AC304-AO304</f>
        <v>0</v>
      </c>
      <c r="BB304">
        <f>AD304-AP304</f>
        <v>0</v>
      </c>
      <c r="BC304">
        <f>AE304-AQ304</f>
        <v>0</v>
      </c>
      <c r="BD304">
        <f>AF304-AR304</f>
        <v>0</v>
      </c>
      <c r="BE304">
        <f>AG304-AS304</f>
        <v>0</v>
      </c>
    </row>
    <row r="305">
      <c r="A305" t="n">
        <v>275</v>
      </c>
      <c r="B305">
        <f>SUMPRODUCT(ROUND($AT304:$BE304*(1+'Calc base'!$H305:$S305),2))</f>
        <v>0</v>
      </c>
      <c r="C305">
        <f>SUM(J305:U305)</f>
        <v>0</v>
      </c>
      <c r="D305">
        <f>SUM(V305:AG305)</f>
        <v>0</v>
      </c>
      <c r="E305">
        <f>MAX(0,IF(Impostazioni!$B$7="No",'Calc base'!$C305-$C$31,'Calc base'!$C305-C305)+'Calc base'!$G305+'Calc base'!$F305-(B305-C305-D305))</f>
        <v>900</v>
      </c>
      <c r="F305">
        <f>SUM(AH305:AS305)</f>
        <v>0</v>
      </c>
      <c r="G305">
        <f>SUM(AT305:BE305)</f>
        <v>0</v>
      </c>
      <c r="H305">
        <f>B305-G304</f>
        <v>0</v>
      </c>
      <c r="I305">
        <f>B305-G305</f>
        <v>0</v>
      </c>
      <c r="J305">
        <f>IF(AT304&lt;=0,0,IF(ROUND(AT304*(1+'Calc base'!H305),2)-MAX('Calc base'!C$12,ROUND('Calc base'!C$13*AT304,2))&lt;1,ROUND(AT304*(1+'Calc base'!H305),2),MAX('Calc base'!C$12,ROUND('Calc base'!C$13*AT304,2))))</f>
        <v>0</v>
      </c>
      <c r="K305">
        <f>IF(AU304&lt;=0,0,IF(ROUND(AU304*(1+'Calc base'!I305),2)-MAX('Calc base'!D$12,ROUND('Calc base'!D$13*AU304,2))&lt;1,ROUND(AU304*(1+'Calc base'!I305),2),MAX('Calc base'!D$12,ROUND('Calc base'!D$13*AU304,2))))</f>
        <v>0</v>
      </c>
      <c r="L305">
        <f>IF(AV304&lt;=0,0,IF(ROUND(AV304*(1+'Calc base'!J305),2)-MAX('Calc base'!E$12,ROUND('Calc base'!E$13*AV304,2))&lt;1,ROUND(AV304*(1+'Calc base'!J305),2),MAX('Calc base'!E$12,ROUND('Calc base'!E$13*AV304,2))))</f>
        <v>0</v>
      </c>
      <c r="M305">
        <f>IF(AW304&lt;=0,0,IF(ROUND(AW304*(1+'Calc base'!K305),2)-MAX('Calc base'!F$12,ROUND('Calc base'!F$13*AW304,2))&lt;1,ROUND(AW304*(1+'Calc base'!K305),2),MAX('Calc base'!F$12,ROUND('Calc base'!F$13*AW304,2))))</f>
        <v>0</v>
      </c>
      <c r="N305">
        <f>IF(AX304&lt;=0,0,IF(ROUND(AX304*(1+'Calc base'!L305),2)-MAX('Calc base'!G$12,ROUND('Calc base'!G$13*AX304,2))&lt;1,ROUND(AX304*(1+'Calc base'!L305),2),MAX('Calc base'!G$12,ROUND('Calc base'!G$13*AX304,2))))</f>
        <v>0</v>
      </c>
      <c r="O305">
        <f>IF(AY304&lt;=0,0,IF(ROUND(AY304*(1+'Calc base'!M305),2)-MAX('Calc base'!H$12,ROUND('Calc base'!H$13*AY304,2))&lt;1,ROUND(AY304*(1+'Calc base'!M305),2),MAX('Calc base'!H$12,ROUND('Calc base'!H$13*AY304,2))))</f>
        <v>0</v>
      </c>
      <c r="P305">
        <f>IF(AZ304&lt;=0,0,IF(ROUND(AZ304*(1+'Calc base'!N305),2)-MAX('Calc base'!I$12,ROUND('Calc base'!I$13*AZ304,2))&lt;1,ROUND(AZ304*(1+'Calc base'!N305),2),MAX('Calc base'!I$12,ROUND('Calc base'!I$13*AZ304,2))))</f>
        <v>0</v>
      </c>
      <c r="Q305">
        <f>IF(BA304&lt;=0,0,IF(ROUND(BA304*(1+'Calc base'!O305),2)-MAX('Calc base'!J$12,ROUND('Calc base'!J$13*BA304,2))&lt;1,ROUND(BA304*(1+'Calc base'!O305),2),MAX('Calc base'!J$12,ROUND('Calc base'!J$13*BA304,2))))</f>
        <v>0</v>
      </c>
      <c r="R305">
        <f>IF(BB304&lt;=0,0,IF(ROUND(BB304*(1+'Calc base'!P305),2)-MAX('Calc base'!K$12,ROUND('Calc base'!K$13*BB304,2))&lt;1,ROUND(BB304*(1+'Calc base'!P305),2),MAX('Calc base'!K$12,ROUND('Calc base'!K$13*BB304,2))))</f>
        <v>0</v>
      </c>
      <c r="S305">
        <f>IF(BC304&lt;=0,0,IF(ROUND(BC304*(1+'Calc base'!Q305),2)-MAX('Calc base'!L$12,ROUND('Calc base'!L$13*BC304,2))&lt;1,ROUND(BC304*(1+'Calc base'!Q305),2),MAX('Calc base'!L$12,ROUND('Calc base'!L$13*BC304,2))))</f>
        <v>0</v>
      </c>
      <c r="T305">
        <f>IF(BD304&lt;=0,0,IF(ROUND(BD304*(1+'Calc base'!R305),2)-MAX('Calc base'!M$12,ROUND('Calc base'!M$13*BD304,2))&lt;1,ROUND(BD304*(1+'Calc base'!R305),2),MAX('Calc base'!M$12,ROUND('Calc base'!M$13*BD304,2))))</f>
        <v>0</v>
      </c>
      <c r="U305">
        <f>IF(BE304&lt;=0,0,IF(ROUND(BE304*(1+'Calc base'!S305),2)-MAX('Calc base'!N$12,ROUND('Calc base'!N$13*BE304,2))&lt;1,ROUND(BE304*(1+'Calc base'!S305),2),MAX('Calc base'!N$12,ROUND('Calc base'!N$13*BE304,2))))</f>
        <v>0</v>
      </c>
      <c r="V305">
        <f>MAX(0,ROUND(AT304*(1+'Calc base'!H305),2)-J305-'Calc base'!T305)</f>
        <v>0</v>
      </c>
      <c r="W305">
        <f>MAX(0,ROUND(AU304*(1+'Calc base'!I305),2)-K305-'Calc base'!U305)</f>
        <v>0</v>
      </c>
      <c r="X305">
        <f>MAX(0,ROUND(AV304*(1+'Calc base'!J305),2)-L305-'Calc base'!V305)</f>
        <v>0</v>
      </c>
      <c r="Y305">
        <f>MAX(0,ROUND(AW304*(1+'Calc base'!K305),2)-M305-'Calc base'!W305)</f>
        <v>0</v>
      </c>
      <c r="Z305">
        <f>MAX(0,ROUND(AX304*(1+'Calc base'!L305),2)-N305-'Calc base'!X305)</f>
        <v>0</v>
      </c>
      <c r="AA305">
        <f>MAX(0,ROUND(AY304*(1+'Calc base'!M305),2)-O305-'Calc base'!Y305)</f>
        <v>0</v>
      </c>
      <c r="AB305">
        <f>MAX(0,ROUND(AZ304*(1+'Calc base'!N305),2)-P305-'Calc base'!Z305)</f>
        <v>0</v>
      </c>
      <c r="AC305">
        <f>MAX(0,ROUND(BA304*(1+'Calc base'!O305),2)-Q305-'Calc base'!AA305)</f>
        <v>0</v>
      </c>
      <c r="AD305">
        <f>MAX(0,ROUND(BB304*(1+'Calc base'!P305),2)-R305-'Calc base'!AB305)</f>
        <v>0</v>
      </c>
      <c r="AE305">
        <f>MAX(0,ROUND(BC304*(1+'Calc base'!Q305),2)-S305-'Calc base'!AC305)</f>
        <v>0</v>
      </c>
      <c r="AF305">
        <f>MAX(0,ROUND(BD304*(1+'Calc base'!R305),2)-T305-'Calc base'!AD305)</f>
        <v>0</v>
      </c>
      <c r="AG305">
        <f>MAX(0,ROUND(BE304*(1+'Calc base'!S305),2)-U305-'Calc base'!AE305)</f>
        <v>0</v>
      </c>
      <c r="AH305">
        <f>IF('Calc base'!C$14=0,0,MIN(V305,MAX(0,$E305-SUMIFS($V305:$AG305,'Calc base'!$C$17:$N$17,"&lt;"&amp;'Calc base'!C$17,'Calc base'!$C$14:$N$14,1))))</f>
        <v>0</v>
      </c>
      <c r="AI305">
        <f>IF('Calc base'!D$14=0,0,MIN(W305,MAX(0,$E305-SUMIFS($V305:$AG305,'Calc base'!$C$17:$N$17,"&lt;"&amp;'Calc base'!D$17,'Calc base'!$C$14:$N$14,1))))</f>
        <v>0</v>
      </c>
      <c r="AJ305">
        <f>IF('Calc base'!E$14=0,0,MIN(X305,MAX(0,$E305-SUMIFS($V305:$AG305,'Calc base'!$C$17:$N$17,"&lt;"&amp;'Calc base'!E$17,'Calc base'!$C$14:$N$14,1))))</f>
        <v>0</v>
      </c>
      <c r="AK305">
        <f>IF('Calc base'!F$14=0,0,MIN(Y305,MAX(0,$E305-SUMIFS($V305:$AG305,'Calc base'!$C$17:$N$17,"&lt;"&amp;'Calc base'!F$17,'Calc base'!$C$14:$N$14,1))))</f>
        <v>0</v>
      </c>
      <c r="AL305">
        <f>IF('Calc base'!G$14=0,0,MIN(Z305,MAX(0,$E305-SUMIFS($V305:$AG305,'Calc base'!$C$17:$N$17,"&lt;"&amp;'Calc base'!G$17,'Calc base'!$C$14:$N$14,1))))</f>
        <v>0</v>
      </c>
      <c r="AM305">
        <f>IF('Calc base'!H$14=0,0,MIN(AA305,MAX(0,$E305-SUMIFS($V305:$AG305,'Calc base'!$C$17:$N$17,"&lt;"&amp;'Calc base'!H$17,'Calc base'!$C$14:$N$14,1))))</f>
        <v>0</v>
      </c>
      <c r="AN305">
        <f>IF('Calc base'!I$14=0,0,MIN(AB305,MAX(0,$E305-SUMIFS($V305:$AG305,'Calc base'!$C$17:$N$17,"&lt;"&amp;'Calc base'!I$17,'Calc base'!$C$14:$N$14,1))))</f>
        <v>0</v>
      </c>
      <c r="AO305">
        <f>IF('Calc base'!J$14=0,0,MIN(AC305,MAX(0,$E305-SUMIFS($V305:$AG305,'Calc base'!$C$17:$N$17,"&lt;"&amp;'Calc base'!J$17,'Calc base'!$C$14:$N$14,1))))</f>
        <v>0</v>
      </c>
      <c r="AP305">
        <f>IF('Calc base'!K$14=0,0,MIN(AD305,MAX(0,$E305-SUMIFS($V305:$AG305,'Calc base'!$C$17:$N$17,"&lt;"&amp;'Calc base'!K$17,'Calc base'!$C$14:$N$14,1))))</f>
        <v>0</v>
      </c>
      <c r="AQ305">
        <f>IF('Calc base'!L$14=0,0,MIN(AE305,MAX(0,$E305-SUMIFS($V305:$AG305,'Calc base'!$C$17:$N$17,"&lt;"&amp;'Calc base'!L$17,'Calc base'!$C$14:$N$14,1))))</f>
        <v>0</v>
      </c>
      <c r="AR305">
        <f>IF('Calc base'!M$14=0,0,MIN(AF305,MAX(0,$E305-SUMIFS($V305:$AG305,'Calc base'!$C$17:$N$17,"&lt;"&amp;'Calc base'!M$17,'Calc base'!$C$14:$N$14,1))))</f>
        <v>0</v>
      </c>
      <c r="AS305">
        <f>IF('Calc base'!N$14=0,0,MIN(AG305,MAX(0,$E305-SUMIFS($V305:$AG305,'Calc base'!$C$17:$N$17,"&lt;"&amp;'Calc base'!N$17,'Calc base'!$C$14:$N$14,1))))</f>
        <v>0</v>
      </c>
      <c r="AT305">
        <f>V305-AH305</f>
        <v>0</v>
      </c>
      <c r="AU305">
        <f>W305-AI305</f>
        <v>0</v>
      </c>
      <c r="AV305">
        <f>X305-AJ305</f>
        <v>0</v>
      </c>
      <c r="AW305">
        <f>Y305-AK305</f>
        <v>0</v>
      </c>
      <c r="AX305">
        <f>Z305-AL305</f>
        <v>0</v>
      </c>
      <c r="AY305">
        <f>AA305-AM305</f>
        <v>0</v>
      </c>
      <c r="AZ305">
        <f>AB305-AN305</f>
        <v>0</v>
      </c>
      <c r="BA305">
        <f>AC305-AO305</f>
        <v>0</v>
      </c>
      <c r="BB305">
        <f>AD305-AP305</f>
        <v>0</v>
      </c>
      <c r="BC305">
        <f>AE305-AQ305</f>
        <v>0</v>
      </c>
      <c r="BD305">
        <f>AF305-AR305</f>
        <v>0</v>
      </c>
      <c r="BE305">
        <f>AG305-AS305</f>
        <v>0</v>
      </c>
    </row>
    <row r="306">
      <c r="A306" t="n">
        <v>276</v>
      </c>
      <c r="B306">
        <f>SUMPRODUCT(ROUND($AT305:$BE305*(1+'Calc base'!$H306:$S306),2))</f>
        <v>0</v>
      </c>
      <c r="C306">
        <f>SUM(J306:U306)</f>
        <v>0</v>
      </c>
      <c r="D306">
        <f>SUM(V306:AG306)</f>
        <v>0</v>
      </c>
      <c r="E306">
        <f>MAX(0,IF(Impostazioni!$B$7="No",'Calc base'!$C306-$C$31,'Calc base'!$C306-C306)+'Calc base'!$G306+'Calc base'!$F306-(B306-C306-D306))</f>
        <v>900</v>
      </c>
      <c r="F306">
        <f>SUM(AH306:AS306)</f>
        <v>0</v>
      </c>
      <c r="G306">
        <f>SUM(AT306:BE306)</f>
        <v>0</v>
      </c>
      <c r="H306">
        <f>B306-G305</f>
        <v>0</v>
      </c>
      <c r="I306">
        <f>B306-G306</f>
        <v>0</v>
      </c>
      <c r="J306">
        <f>IF(AT305&lt;=0,0,IF(ROUND(AT305*(1+'Calc base'!H306),2)-MAX('Calc base'!C$12,ROUND('Calc base'!C$13*AT305,2))&lt;1,ROUND(AT305*(1+'Calc base'!H306),2),MAX('Calc base'!C$12,ROUND('Calc base'!C$13*AT305,2))))</f>
        <v>0</v>
      </c>
      <c r="K306">
        <f>IF(AU305&lt;=0,0,IF(ROUND(AU305*(1+'Calc base'!I306),2)-MAX('Calc base'!D$12,ROUND('Calc base'!D$13*AU305,2))&lt;1,ROUND(AU305*(1+'Calc base'!I306),2),MAX('Calc base'!D$12,ROUND('Calc base'!D$13*AU305,2))))</f>
        <v>0</v>
      </c>
      <c r="L306">
        <f>IF(AV305&lt;=0,0,IF(ROUND(AV305*(1+'Calc base'!J306),2)-MAX('Calc base'!E$12,ROUND('Calc base'!E$13*AV305,2))&lt;1,ROUND(AV305*(1+'Calc base'!J306),2),MAX('Calc base'!E$12,ROUND('Calc base'!E$13*AV305,2))))</f>
        <v>0</v>
      </c>
      <c r="M306">
        <f>IF(AW305&lt;=0,0,IF(ROUND(AW305*(1+'Calc base'!K306),2)-MAX('Calc base'!F$12,ROUND('Calc base'!F$13*AW305,2))&lt;1,ROUND(AW305*(1+'Calc base'!K306),2),MAX('Calc base'!F$12,ROUND('Calc base'!F$13*AW305,2))))</f>
        <v>0</v>
      </c>
      <c r="N306">
        <f>IF(AX305&lt;=0,0,IF(ROUND(AX305*(1+'Calc base'!L306),2)-MAX('Calc base'!G$12,ROUND('Calc base'!G$13*AX305,2))&lt;1,ROUND(AX305*(1+'Calc base'!L306),2),MAX('Calc base'!G$12,ROUND('Calc base'!G$13*AX305,2))))</f>
        <v>0</v>
      </c>
      <c r="O306">
        <f>IF(AY305&lt;=0,0,IF(ROUND(AY305*(1+'Calc base'!M306),2)-MAX('Calc base'!H$12,ROUND('Calc base'!H$13*AY305,2))&lt;1,ROUND(AY305*(1+'Calc base'!M306),2),MAX('Calc base'!H$12,ROUND('Calc base'!H$13*AY305,2))))</f>
        <v>0</v>
      </c>
      <c r="P306">
        <f>IF(AZ305&lt;=0,0,IF(ROUND(AZ305*(1+'Calc base'!N306),2)-MAX('Calc base'!I$12,ROUND('Calc base'!I$13*AZ305,2))&lt;1,ROUND(AZ305*(1+'Calc base'!N306),2),MAX('Calc base'!I$12,ROUND('Calc base'!I$13*AZ305,2))))</f>
        <v>0</v>
      </c>
      <c r="Q306">
        <f>IF(BA305&lt;=0,0,IF(ROUND(BA305*(1+'Calc base'!O306),2)-MAX('Calc base'!J$12,ROUND('Calc base'!J$13*BA305,2))&lt;1,ROUND(BA305*(1+'Calc base'!O306),2),MAX('Calc base'!J$12,ROUND('Calc base'!J$13*BA305,2))))</f>
        <v>0</v>
      </c>
      <c r="R306">
        <f>IF(BB305&lt;=0,0,IF(ROUND(BB305*(1+'Calc base'!P306),2)-MAX('Calc base'!K$12,ROUND('Calc base'!K$13*BB305,2))&lt;1,ROUND(BB305*(1+'Calc base'!P306),2),MAX('Calc base'!K$12,ROUND('Calc base'!K$13*BB305,2))))</f>
        <v>0</v>
      </c>
      <c r="S306">
        <f>IF(BC305&lt;=0,0,IF(ROUND(BC305*(1+'Calc base'!Q306),2)-MAX('Calc base'!L$12,ROUND('Calc base'!L$13*BC305,2))&lt;1,ROUND(BC305*(1+'Calc base'!Q306),2),MAX('Calc base'!L$12,ROUND('Calc base'!L$13*BC305,2))))</f>
        <v>0</v>
      </c>
      <c r="T306">
        <f>IF(BD305&lt;=0,0,IF(ROUND(BD305*(1+'Calc base'!R306),2)-MAX('Calc base'!M$12,ROUND('Calc base'!M$13*BD305,2))&lt;1,ROUND(BD305*(1+'Calc base'!R306),2),MAX('Calc base'!M$12,ROUND('Calc base'!M$13*BD305,2))))</f>
        <v>0</v>
      </c>
      <c r="U306">
        <f>IF(BE305&lt;=0,0,IF(ROUND(BE305*(1+'Calc base'!S306),2)-MAX('Calc base'!N$12,ROUND('Calc base'!N$13*BE305,2))&lt;1,ROUND(BE305*(1+'Calc base'!S306),2),MAX('Calc base'!N$12,ROUND('Calc base'!N$13*BE305,2))))</f>
        <v>0</v>
      </c>
      <c r="V306">
        <f>MAX(0,ROUND(AT305*(1+'Calc base'!H306),2)-J306-'Calc base'!T306)</f>
        <v>0</v>
      </c>
      <c r="W306">
        <f>MAX(0,ROUND(AU305*(1+'Calc base'!I306),2)-K306-'Calc base'!U306)</f>
        <v>0</v>
      </c>
      <c r="X306">
        <f>MAX(0,ROUND(AV305*(1+'Calc base'!J306),2)-L306-'Calc base'!V306)</f>
        <v>0</v>
      </c>
      <c r="Y306">
        <f>MAX(0,ROUND(AW305*(1+'Calc base'!K306),2)-M306-'Calc base'!W306)</f>
        <v>0</v>
      </c>
      <c r="Z306">
        <f>MAX(0,ROUND(AX305*(1+'Calc base'!L306),2)-N306-'Calc base'!X306)</f>
        <v>0</v>
      </c>
      <c r="AA306">
        <f>MAX(0,ROUND(AY305*(1+'Calc base'!M306),2)-O306-'Calc base'!Y306)</f>
        <v>0</v>
      </c>
      <c r="AB306">
        <f>MAX(0,ROUND(AZ305*(1+'Calc base'!N306),2)-P306-'Calc base'!Z306)</f>
        <v>0</v>
      </c>
      <c r="AC306">
        <f>MAX(0,ROUND(BA305*(1+'Calc base'!O306),2)-Q306-'Calc base'!AA306)</f>
        <v>0</v>
      </c>
      <c r="AD306">
        <f>MAX(0,ROUND(BB305*(1+'Calc base'!P306),2)-R306-'Calc base'!AB306)</f>
        <v>0</v>
      </c>
      <c r="AE306">
        <f>MAX(0,ROUND(BC305*(1+'Calc base'!Q306),2)-S306-'Calc base'!AC306)</f>
        <v>0</v>
      </c>
      <c r="AF306">
        <f>MAX(0,ROUND(BD305*(1+'Calc base'!R306),2)-T306-'Calc base'!AD306)</f>
        <v>0</v>
      </c>
      <c r="AG306">
        <f>MAX(0,ROUND(BE305*(1+'Calc base'!S306),2)-U306-'Calc base'!AE306)</f>
        <v>0</v>
      </c>
      <c r="AH306">
        <f>IF('Calc base'!C$14=0,0,MIN(V306,MAX(0,$E306-SUMIFS($V306:$AG306,'Calc base'!$C$17:$N$17,"&lt;"&amp;'Calc base'!C$17,'Calc base'!$C$14:$N$14,1))))</f>
        <v>0</v>
      </c>
      <c r="AI306">
        <f>IF('Calc base'!D$14=0,0,MIN(W306,MAX(0,$E306-SUMIFS($V306:$AG306,'Calc base'!$C$17:$N$17,"&lt;"&amp;'Calc base'!D$17,'Calc base'!$C$14:$N$14,1))))</f>
        <v>0</v>
      </c>
      <c r="AJ306">
        <f>IF('Calc base'!E$14=0,0,MIN(X306,MAX(0,$E306-SUMIFS($V306:$AG306,'Calc base'!$C$17:$N$17,"&lt;"&amp;'Calc base'!E$17,'Calc base'!$C$14:$N$14,1))))</f>
        <v>0</v>
      </c>
      <c r="AK306">
        <f>IF('Calc base'!F$14=0,0,MIN(Y306,MAX(0,$E306-SUMIFS($V306:$AG306,'Calc base'!$C$17:$N$17,"&lt;"&amp;'Calc base'!F$17,'Calc base'!$C$14:$N$14,1))))</f>
        <v>0</v>
      </c>
      <c r="AL306">
        <f>IF('Calc base'!G$14=0,0,MIN(Z306,MAX(0,$E306-SUMIFS($V306:$AG306,'Calc base'!$C$17:$N$17,"&lt;"&amp;'Calc base'!G$17,'Calc base'!$C$14:$N$14,1))))</f>
        <v>0</v>
      </c>
      <c r="AM306">
        <f>IF('Calc base'!H$14=0,0,MIN(AA306,MAX(0,$E306-SUMIFS($V306:$AG306,'Calc base'!$C$17:$N$17,"&lt;"&amp;'Calc base'!H$17,'Calc base'!$C$14:$N$14,1))))</f>
        <v>0</v>
      </c>
      <c r="AN306">
        <f>IF('Calc base'!I$14=0,0,MIN(AB306,MAX(0,$E306-SUMIFS($V306:$AG306,'Calc base'!$C$17:$N$17,"&lt;"&amp;'Calc base'!I$17,'Calc base'!$C$14:$N$14,1))))</f>
        <v>0</v>
      </c>
      <c r="AO306">
        <f>IF('Calc base'!J$14=0,0,MIN(AC306,MAX(0,$E306-SUMIFS($V306:$AG306,'Calc base'!$C$17:$N$17,"&lt;"&amp;'Calc base'!J$17,'Calc base'!$C$14:$N$14,1))))</f>
        <v>0</v>
      </c>
      <c r="AP306">
        <f>IF('Calc base'!K$14=0,0,MIN(AD306,MAX(0,$E306-SUMIFS($V306:$AG306,'Calc base'!$C$17:$N$17,"&lt;"&amp;'Calc base'!K$17,'Calc base'!$C$14:$N$14,1))))</f>
        <v>0</v>
      </c>
      <c r="AQ306">
        <f>IF('Calc base'!L$14=0,0,MIN(AE306,MAX(0,$E306-SUMIFS($V306:$AG306,'Calc base'!$C$17:$N$17,"&lt;"&amp;'Calc base'!L$17,'Calc base'!$C$14:$N$14,1))))</f>
        <v>0</v>
      </c>
      <c r="AR306">
        <f>IF('Calc base'!M$14=0,0,MIN(AF306,MAX(0,$E306-SUMIFS($V306:$AG306,'Calc base'!$C$17:$N$17,"&lt;"&amp;'Calc base'!M$17,'Calc base'!$C$14:$N$14,1))))</f>
        <v>0</v>
      </c>
      <c r="AS306">
        <f>IF('Calc base'!N$14=0,0,MIN(AG306,MAX(0,$E306-SUMIFS($V306:$AG306,'Calc base'!$C$17:$N$17,"&lt;"&amp;'Calc base'!N$17,'Calc base'!$C$14:$N$14,1))))</f>
        <v>0</v>
      </c>
      <c r="AT306">
        <f>V306-AH306</f>
        <v>0</v>
      </c>
      <c r="AU306">
        <f>W306-AI306</f>
        <v>0</v>
      </c>
      <c r="AV306">
        <f>X306-AJ306</f>
        <v>0</v>
      </c>
      <c r="AW306">
        <f>Y306-AK306</f>
        <v>0</v>
      </c>
      <c r="AX306">
        <f>Z306-AL306</f>
        <v>0</v>
      </c>
      <c r="AY306">
        <f>AA306-AM306</f>
        <v>0</v>
      </c>
      <c r="AZ306">
        <f>AB306-AN306</f>
        <v>0</v>
      </c>
      <c r="BA306">
        <f>AC306-AO306</f>
        <v>0</v>
      </c>
      <c r="BB306">
        <f>AD306-AP306</f>
        <v>0</v>
      </c>
      <c r="BC306">
        <f>AE306-AQ306</f>
        <v>0</v>
      </c>
      <c r="BD306">
        <f>AF306-AR306</f>
        <v>0</v>
      </c>
      <c r="BE306">
        <f>AG306-AS306</f>
        <v>0</v>
      </c>
    </row>
    <row r="307">
      <c r="A307" t="n">
        <v>277</v>
      </c>
      <c r="B307">
        <f>SUMPRODUCT(ROUND($AT306:$BE306*(1+'Calc base'!$H307:$S307),2))</f>
        <v>0</v>
      </c>
      <c r="C307">
        <f>SUM(J307:U307)</f>
        <v>0</v>
      </c>
      <c r="D307">
        <f>SUM(V307:AG307)</f>
        <v>0</v>
      </c>
      <c r="E307">
        <f>MAX(0,IF(Impostazioni!$B$7="No",'Calc base'!$C307-$C$31,'Calc base'!$C307-C307)+'Calc base'!$G307+'Calc base'!$F307-(B307-C307-D307))</f>
        <v>900</v>
      </c>
      <c r="F307">
        <f>SUM(AH307:AS307)</f>
        <v>0</v>
      </c>
      <c r="G307">
        <f>SUM(AT307:BE307)</f>
        <v>0</v>
      </c>
      <c r="H307">
        <f>B307-G306</f>
        <v>0</v>
      </c>
      <c r="I307">
        <f>B307-G307</f>
        <v>0</v>
      </c>
      <c r="J307">
        <f>IF(AT306&lt;=0,0,IF(ROUND(AT306*(1+'Calc base'!H307),2)-MAX('Calc base'!C$12,ROUND('Calc base'!C$13*AT306,2))&lt;1,ROUND(AT306*(1+'Calc base'!H307),2),MAX('Calc base'!C$12,ROUND('Calc base'!C$13*AT306,2))))</f>
        <v>0</v>
      </c>
      <c r="K307">
        <f>IF(AU306&lt;=0,0,IF(ROUND(AU306*(1+'Calc base'!I307),2)-MAX('Calc base'!D$12,ROUND('Calc base'!D$13*AU306,2))&lt;1,ROUND(AU306*(1+'Calc base'!I307),2),MAX('Calc base'!D$12,ROUND('Calc base'!D$13*AU306,2))))</f>
        <v>0</v>
      </c>
      <c r="L307">
        <f>IF(AV306&lt;=0,0,IF(ROUND(AV306*(1+'Calc base'!J307),2)-MAX('Calc base'!E$12,ROUND('Calc base'!E$13*AV306,2))&lt;1,ROUND(AV306*(1+'Calc base'!J307),2),MAX('Calc base'!E$12,ROUND('Calc base'!E$13*AV306,2))))</f>
        <v>0</v>
      </c>
      <c r="M307">
        <f>IF(AW306&lt;=0,0,IF(ROUND(AW306*(1+'Calc base'!K307),2)-MAX('Calc base'!F$12,ROUND('Calc base'!F$13*AW306,2))&lt;1,ROUND(AW306*(1+'Calc base'!K307),2),MAX('Calc base'!F$12,ROUND('Calc base'!F$13*AW306,2))))</f>
        <v>0</v>
      </c>
      <c r="N307">
        <f>IF(AX306&lt;=0,0,IF(ROUND(AX306*(1+'Calc base'!L307),2)-MAX('Calc base'!G$12,ROUND('Calc base'!G$13*AX306,2))&lt;1,ROUND(AX306*(1+'Calc base'!L307),2),MAX('Calc base'!G$12,ROUND('Calc base'!G$13*AX306,2))))</f>
        <v>0</v>
      </c>
      <c r="O307">
        <f>IF(AY306&lt;=0,0,IF(ROUND(AY306*(1+'Calc base'!M307),2)-MAX('Calc base'!H$12,ROUND('Calc base'!H$13*AY306,2))&lt;1,ROUND(AY306*(1+'Calc base'!M307),2),MAX('Calc base'!H$12,ROUND('Calc base'!H$13*AY306,2))))</f>
        <v>0</v>
      </c>
      <c r="P307">
        <f>IF(AZ306&lt;=0,0,IF(ROUND(AZ306*(1+'Calc base'!N307),2)-MAX('Calc base'!I$12,ROUND('Calc base'!I$13*AZ306,2))&lt;1,ROUND(AZ306*(1+'Calc base'!N307),2),MAX('Calc base'!I$12,ROUND('Calc base'!I$13*AZ306,2))))</f>
        <v>0</v>
      </c>
      <c r="Q307">
        <f>IF(BA306&lt;=0,0,IF(ROUND(BA306*(1+'Calc base'!O307),2)-MAX('Calc base'!J$12,ROUND('Calc base'!J$13*BA306,2))&lt;1,ROUND(BA306*(1+'Calc base'!O307),2),MAX('Calc base'!J$12,ROUND('Calc base'!J$13*BA306,2))))</f>
        <v>0</v>
      </c>
      <c r="R307">
        <f>IF(BB306&lt;=0,0,IF(ROUND(BB306*(1+'Calc base'!P307),2)-MAX('Calc base'!K$12,ROUND('Calc base'!K$13*BB306,2))&lt;1,ROUND(BB306*(1+'Calc base'!P307),2),MAX('Calc base'!K$12,ROUND('Calc base'!K$13*BB306,2))))</f>
        <v>0</v>
      </c>
      <c r="S307">
        <f>IF(BC306&lt;=0,0,IF(ROUND(BC306*(1+'Calc base'!Q307),2)-MAX('Calc base'!L$12,ROUND('Calc base'!L$13*BC306,2))&lt;1,ROUND(BC306*(1+'Calc base'!Q307),2),MAX('Calc base'!L$12,ROUND('Calc base'!L$13*BC306,2))))</f>
        <v>0</v>
      </c>
      <c r="T307">
        <f>IF(BD306&lt;=0,0,IF(ROUND(BD306*(1+'Calc base'!R307),2)-MAX('Calc base'!M$12,ROUND('Calc base'!M$13*BD306,2))&lt;1,ROUND(BD306*(1+'Calc base'!R307),2),MAX('Calc base'!M$12,ROUND('Calc base'!M$13*BD306,2))))</f>
        <v>0</v>
      </c>
      <c r="U307">
        <f>IF(BE306&lt;=0,0,IF(ROUND(BE306*(1+'Calc base'!S307),2)-MAX('Calc base'!N$12,ROUND('Calc base'!N$13*BE306,2))&lt;1,ROUND(BE306*(1+'Calc base'!S307),2),MAX('Calc base'!N$12,ROUND('Calc base'!N$13*BE306,2))))</f>
        <v>0</v>
      </c>
      <c r="V307">
        <f>MAX(0,ROUND(AT306*(1+'Calc base'!H307),2)-J307-'Calc base'!T307)</f>
        <v>0</v>
      </c>
      <c r="W307">
        <f>MAX(0,ROUND(AU306*(1+'Calc base'!I307),2)-K307-'Calc base'!U307)</f>
        <v>0</v>
      </c>
      <c r="X307">
        <f>MAX(0,ROUND(AV306*(1+'Calc base'!J307),2)-L307-'Calc base'!V307)</f>
        <v>0</v>
      </c>
      <c r="Y307">
        <f>MAX(0,ROUND(AW306*(1+'Calc base'!K307),2)-M307-'Calc base'!W307)</f>
        <v>0</v>
      </c>
      <c r="Z307">
        <f>MAX(0,ROUND(AX306*(1+'Calc base'!L307),2)-N307-'Calc base'!X307)</f>
        <v>0</v>
      </c>
      <c r="AA307">
        <f>MAX(0,ROUND(AY306*(1+'Calc base'!M307),2)-O307-'Calc base'!Y307)</f>
        <v>0</v>
      </c>
      <c r="AB307">
        <f>MAX(0,ROUND(AZ306*(1+'Calc base'!N307),2)-P307-'Calc base'!Z307)</f>
        <v>0</v>
      </c>
      <c r="AC307">
        <f>MAX(0,ROUND(BA306*(1+'Calc base'!O307),2)-Q307-'Calc base'!AA307)</f>
        <v>0</v>
      </c>
      <c r="AD307">
        <f>MAX(0,ROUND(BB306*(1+'Calc base'!P307),2)-R307-'Calc base'!AB307)</f>
        <v>0</v>
      </c>
      <c r="AE307">
        <f>MAX(0,ROUND(BC306*(1+'Calc base'!Q307),2)-S307-'Calc base'!AC307)</f>
        <v>0</v>
      </c>
      <c r="AF307">
        <f>MAX(0,ROUND(BD306*(1+'Calc base'!R307),2)-T307-'Calc base'!AD307)</f>
        <v>0</v>
      </c>
      <c r="AG307">
        <f>MAX(0,ROUND(BE306*(1+'Calc base'!S307),2)-U307-'Calc base'!AE307)</f>
        <v>0</v>
      </c>
      <c r="AH307">
        <f>IF('Calc base'!C$14=0,0,MIN(V307,MAX(0,$E307-SUMIFS($V307:$AG307,'Calc base'!$C$17:$N$17,"&lt;"&amp;'Calc base'!C$17,'Calc base'!$C$14:$N$14,1))))</f>
        <v>0</v>
      </c>
      <c r="AI307">
        <f>IF('Calc base'!D$14=0,0,MIN(W307,MAX(0,$E307-SUMIFS($V307:$AG307,'Calc base'!$C$17:$N$17,"&lt;"&amp;'Calc base'!D$17,'Calc base'!$C$14:$N$14,1))))</f>
        <v>0</v>
      </c>
      <c r="AJ307">
        <f>IF('Calc base'!E$14=0,0,MIN(X307,MAX(0,$E307-SUMIFS($V307:$AG307,'Calc base'!$C$17:$N$17,"&lt;"&amp;'Calc base'!E$17,'Calc base'!$C$14:$N$14,1))))</f>
        <v>0</v>
      </c>
      <c r="AK307">
        <f>IF('Calc base'!F$14=0,0,MIN(Y307,MAX(0,$E307-SUMIFS($V307:$AG307,'Calc base'!$C$17:$N$17,"&lt;"&amp;'Calc base'!F$17,'Calc base'!$C$14:$N$14,1))))</f>
        <v>0</v>
      </c>
      <c r="AL307">
        <f>IF('Calc base'!G$14=0,0,MIN(Z307,MAX(0,$E307-SUMIFS($V307:$AG307,'Calc base'!$C$17:$N$17,"&lt;"&amp;'Calc base'!G$17,'Calc base'!$C$14:$N$14,1))))</f>
        <v>0</v>
      </c>
      <c r="AM307">
        <f>IF('Calc base'!H$14=0,0,MIN(AA307,MAX(0,$E307-SUMIFS($V307:$AG307,'Calc base'!$C$17:$N$17,"&lt;"&amp;'Calc base'!H$17,'Calc base'!$C$14:$N$14,1))))</f>
        <v>0</v>
      </c>
      <c r="AN307">
        <f>IF('Calc base'!I$14=0,0,MIN(AB307,MAX(0,$E307-SUMIFS($V307:$AG307,'Calc base'!$C$17:$N$17,"&lt;"&amp;'Calc base'!I$17,'Calc base'!$C$14:$N$14,1))))</f>
        <v>0</v>
      </c>
      <c r="AO307">
        <f>IF('Calc base'!J$14=0,0,MIN(AC307,MAX(0,$E307-SUMIFS($V307:$AG307,'Calc base'!$C$17:$N$17,"&lt;"&amp;'Calc base'!J$17,'Calc base'!$C$14:$N$14,1))))</f>
        <v>0</v>
      </c>
      <c r="AP307">
        <f>IF('Calc base'!K$14=0,0,MIN(AD307,MAX(0,$E307-SUMIFS($V307:$AG307,'Calc base'!$C$17:$N$17,"&lt;"&amp;'Calc base'!K$17,'Calc base'!$C$14:$N$14,1))))</f>
        <v>0</v>
      </c>
      <c r="AQ307">
        <f>IF('Calc base'!L$14=0,0,MIN(AE307,MAX(0,$E307-SUMIFS($V307:$AG307,'Calc base'!$C$17:$N$17,"&lt;"&amp;'Calc base'!L$17,'Calc base'!$C$14:$N$14,1))))</f>
        <v>0</v>
      </c>
      <c r="AR307">
        <f>IF('Calc base'!M$14=0,0,MIN(AF307,MAX(0,$E307-SUMIFS($V307:$AG307,'Calc base'!$C$17:$N$17,"&lt;"&amp;'Calc base'!M$17,'Calc base'!$C$14:$N$14,1))))</f>
        <v>0</v>
      </c>
      <c r="AS307">
        <f>IF('Calc base'!N$14=0,0,MIN(AG307,MAX(0,$E307-SUMIFS($V307:$AG307,'Calc base'!$C$17:$N$17,"&lt;"&amp;'Calc base'!N$17,'Calc base'!$C$14:$N$14,1))))</f>
        <v>0</v>
      </c>
      <c r="AT307">
        <f>V307-AH307</f>
        <v>0</v>
      </c>
      <c r="AU307">
        <f>W307-AI307</f>
        <v>0</v>
      </c>
      <c r="AV307">
        <f>X307-AJ307</f>
        <v>0</v>
      </c>
      <c r="AW307">
        <f>Y307-AK307</f>
        <v>0</v>
      </c>
      <c r="AX307">
        <f>Z307-AL307</f>
        <v>0</v>
      </c>
      <c r="AY307">
        <f>AA307-AM307</f>
        <v>0</v>
      </c>
      <c r="AZ307">
        <f>AB307-AN307</f>
        <v>0</v>
      </c>
      <c r="BA307">
        <f>AC307-AO307</f>
        <v>0</v>
      </c>
      <c r="BB307">
        <f>AD307-AP307</f>
        <v>0</v>
      </c>
      <c r="BC307">
        <f>AE307-AQ307</f>
        <v>0</v>
      </c>
      <c r="BD307">
        <f>AF307-AR307</f>
        <v>0</v>
      </c>
      <c r="BE307">
        <f>AG307-AS307</f>
        <v>0</v>
      </c>
    </row>
    <row r="308">
      <c r="A308" t="n">
        <v>278</v>
      </c>
      <c r="B308">
        <f>SUMPRODUCT(ROUND($AT307:$BE307*(1+'Calc base'!$H308:$S308),2))</f>
        <v>0</v>
      </c>
      <c r="C308">
        <f>SUM(J308:U308)</f>
        <v>0</v>
      </c>
      <c r="D308">
        <f>SUM(V308:AG308)</f>
        <v>0</v>
      </c>
      <c r="E308">
        <f>MAX(0,IF(Impostazioni!$B$7="No",'Calc base'!$C308-$C$31,'Calc base'!$C308-C308)+'Calc base'!$G308+'Calc base'!$F308-(B308-C308-D308))</f>
        <v>900</v>
      </c>
      <c r="F308">
        <f>SUM(AH308:AS308)</f>
        <v>0</v>
      </c>
      <c r="G308">
        <f>SUM(AT308:BE308)</f>
        <v>0</v>
      </c>
      <c r="H308">
        <f>B308-G307</f>
        <v>0</v>
      </c>
      <c r="I308">
        <f>B308-G308</f>
        <v>0</v>
      </c>
      <c r="J308">
        <f>IF(AT307&lt;=0,0,IF(ROUND(AT307*(1+'Calc base'!H308),2)-MAX('Calc base'!C$12,ROUND('Calc base'!C$13*AT307,2))&lt;1,ROUND(AT307*(1+'Calc base'!H308),2),MAX('Calc base'!C$12,ROUND('Calc base'!C$13*AT307,2))))</f>
        <v>0</v>
      </c>
      <c r="K308">
        <f>IF(AU307&lt;=0,0,IF(ROUND(AU307*(1+'Calc base'!I308),2)-MAX('Calc base'!D$12,ROUND('Calc base'!D$13*AU307,2))&lt;1,ROUND(AU307*(1+'Calc base'!I308),2),MAX('Calc base'!D$12,ROUND('Calc base'!D$13*AU307,2))))</f>
        <v>0</v>
      </c>
      <c r="L308">
        <f>IF(AV307&lt;=0,0,IF(ROUND(AV307*(1+'Calc base'!J308),2)-MAX('Calc base'!E$12,ROUND('Calc base'!E$13*AV307,2))&lt;1,ROUND(AV307*(1+'Calc base'!J308),2),MAX('Calc base'!E$12,ROUND('Calc base'!E$13*AV307,2))))</f>
        <v>0</v>
      </c>
      <c r="M308">
        <f>IF(AW307&lt;=0,0,IF(ROUND(AW307*(1+'Calc base'!K308),2)-MAX('Calc base'!F$12,ROUND('Calc base'!F$13*AW307,2))&lt;1,ROUND(AW307*(1+'Calc base'!K308),2),MAX('Calc base'!F$12,ROUND('Calc base'!F$13*AW307,2))))</f>
        <v>0</v>
      </c>
      <c r="N308">
        <f>IF(AX307&lt;=0,0,IF(ROUND(AX307*(1+'Calc base'!L308),2)-MAX('Calc base'!G$12,ROUND('Calc base'!G$13*AX307,2))&lt;1,ROUND(AX307*(1+'Calc base'!L308),2),MAX('Calc base'!G$12,ROUND('Calc base'!G$13*AX307,2))))</f>
        <v>0</v>
      </c>
      <c r="O308">
        <f>IF(AY307&lt;=0,0,IF(ROUND(AY307*(1+'Calc base'!M308),2)-MAX('Calc base'!H$12,ROUND('Calc base'!H$13*AY307,2))&lt;1,ROUND(AY307*(1+'Calc base'!M308),2),MAX('Calc base'!H$12,ROUND('Calc base'!H$13*AY307,2))))</f>
        <v>0</v>
      </c>
      <c r="P308">
        <f>IF(AZ307&lt;=0,0,IF(ROUND(AZ307*(1+'Calc base'!N308),2)-MAX('Calc base'!I$12,ROUND('Calc base'!I$13*AZ307,2))&lt;1,ROUND(AZ307*(1+'Calc base'!N308),2),MAX('Calc base'!I$12,ROUND('Calc base'!I$13*AZ307,2))))</f>
        <v>0</v>
      </c>
      <c r="Q308">
        <f>IF(BA307&lt;=0,0,IF(ROUND(BA307*(1+'Calc base'!O308),2)-MAX('Calc base'!J$12,ROUND('Calc base'!J$13*BA307,2))&lt;1,ROUND(BA307*(1+'Calc base'!O308),2),MAX('Calc base'!J$12,ROUND('Calc base'!J$13*BA307,2))))</f>
        <v>0</v>
      </c>
      <c r="R308">
        <f>IF(BB307&lt;=0,0,IF(ROUND(BB307*(1+'Calc base'!P308),2)-MAX('Calc base'!K$12,ROUND('Calc base'!K$13*BB307,2))&lt;1,ROUND(BB307*(1+'Calc base'!P308),2),MAX('Calc base'!K$12,ROUND('Calc base'!K$13*BB307,2))))</f>
        <v>0</v>
      </c>
      <c r="S308">
        <f>IF(BC307&lt;=0,0,IF(ROUND(BC307*(1+'Calc base'!Q308),2)-MAX('Calc base'!L$12,ROUND('Calc base'!L$13*BC307,2))&lt;1,ROUND(BC307*(1+'Calc base'!Q308),2),MAX('Calc base'!L$12,ROUND('Calc base'!L$13*BC307,2))))</f>
        <v>0</v>
      </c>
      <c r="T308">
        <f>IF(BD307&lt;=0,0,IF(ROUND(BD307*(1+'Calc base'!R308),2)-MAX('Calc base'!M$12,ROUND('Calc base'!M$13*BD307,2))&lt;1,ROUND(BD307*(1+'Calc base'!R308),2),MAX('Calc base'!M$12,ROUND('Calc base'!M$13*BD307,2))))</f>
        <v>0</v>
      </c>
      <c r="U308">
        <f>IF(BE307&lt;=0,0,IF(ROUND(BE307*(1+'Calc base'!S308),2)-MAX('Calc base'!N$12,ROUND('Calc base'!N$13*BE307,2))&lt;1,ROUND(BE307*(1+'Calc base'!S308),2),MAX('Calc base'!N$12,ROUND('Calc base'!N$13*BE307,2))))</f>
        <v>0</v>
      </c>
      <c r="V308">
        <f>MAX(0,ROUND(AT307*(1+'Calc base'!H308),2)-J308-'Calc base'!T308)</f>
        <v>0</v>
      </c>
      <c r="W308">
        <f>MAX(0,ROUND(AU307*(1+'Calc base'!I308),2)-K308-'Calc base'!U308)</f>
        <v>0</v>
      </c>
      <c r="X308">
        <f>MAX(0,ROUND(AV307*(1+'Calc base'!J308),2)-L308-'Calc base'!V308)</f>
        <v>0</v>
      </c>
      <c r="Y308">
        <f>MAX(0,ROUND(AW307*(1+'Calc base'!K308),2)-M308-'Calc base'!W308)</f>
        <v>0</v>
      </c>
      <c r="Z308">
        <f>MAX(0,ROUND(AX307*(1+'Calc base'!L308),2)-N308-'Calc base'!X308)</f>
        <v>0</v>
      </c>
      <c r="AA308">
        <f>MAX(0,ROUND(AY307*(1+'Calc base'!M308),2)-O308-'Calc base'!Y308)</f>
        <v>0</v>
      </c>
      <c r="AB308">
        <f>MAX(0,ROUND(AZ307*(1+'Calc base'!N308),2)-P308-'Calc base'!Z308)</f>
        <v>0</v>
      </c>
      <c r="AC308">
        <f>MAX(0,ROUND(BA307*(1+'Calc base'!O308),2)-Q308-'Calc base'!AA308)</f>
        <v>0</v>
      </c>
      <c r="AD308">
        <f>MAX(0,ROUND(BB307*(1+'Calc base'!P308),2)-R308-'Calc base'!AB308)</f>
        <v>0</v>
      </c>
      <c r="AE308">
        <f>MAX(0,ROUND(BC307*(1+'Calc base'!Q308),2)-S308-'Calc base'!AC308)</f>
        <v>0</v>
      </c>
      <c r="AF308">
        <f>MAX(0,ROUND(BD307*(1+'Calc base'!R308),2)-T308-'Calc base'!AD308)</f>
        <v>0</v>
      </c>
      <c r="AG308">
        <f>MAX(0,ROUND(BE307*(1+'Calc base'!S308),2)-U308-'Calc base'!AE308)</f>
        <v>0</v>
      </c>
      <c r="AH308">
        <f>IF('Calc base'!C$14=0,0,MIN(V308,MAX(0,$E308-SUMIFS($V308:$AG308,'Calc base'!$C$17:$N$17,"&lt;"&amp;'Calc base'!C$17,'Calc base'!$C$14:$N$14,1))))</f>
        <v>0</v>
      </c>
      <c r="AI308">
        <f>IF('Calc base'!D$14=0,0,MIN(W308,MAX(0,$E308-SUMIFS($V308:$AG308,'Calc base'!$C$17:$N$17,"&lt;"&amp;'Calc base'!D$17,'Calc base'!$C$14:$N$14,1))))</f>
        <v>0</v>
      </c>
      <c r="AJ308">
        <f>IF('Calc base'!E$14=0,0,MIN(X308,MAX(0,$E308-SUMIFS($V308:$AG308,'Calc base'!$C$17:$N$17,"&lt;"&amp;'Calc base'!E$17,'Calc base'!$C$14:$N$14,1))))</f>
        <v>0</v>
      </c>
      <c r="AK308">
        <f>IF('Calc base'!F$14=0,0,MIN(Y308,MAX(0,$E308-SUMIFS($V308:$AG308,'Calc base'!$C$17:$N$17,"&lt;"&amp;'Calc base'!F$17,'Calc base'!$C$14:$N$14,1))))</f>
        <v>0</v>
      </c>
      <c r="AL308">
        <f>IF('Calc base'!G$14=0,0,MIN(Z308,MAX(0,$E308-SUMIFS($V308:$AG308,'Calc base'!$C$17:$N$17,"&lt;"&amp;'Calc base'!G$17,'Calc base'!$C$14:$N$14,1))))</f>
        <v>0</v>
      </c>
      <c r="AM308">
        <f>IF('Calc base'!H$14=0,0,MIN(AA308,MAX(0,$E308-SUMIFS($V308:$AG308,'Calc base'!$C$17:$N$17,"&lt;"&amp;'Calc base'!H$17,'Calc base'!$C$14:$N$14,1))))</f>
        <v>0</v>
      </c>
      <c r="AN308">
        <f>IF('Calc base'!I$14=0,0,MIN(AB308,MAX(0,$E308-SUMIFS($V308:$AG308,'Calc base'!$C$17:$N$17,"&lt;"&amp;'Calc base'!I$17,'Calc base'!$C$14:$N$14,1))))</f>
        <v>0</v>
      </c>
      <c r="AO308">
        <f>IF('Calc base'!J$14=0,0,MIN(AC308,MAX(0,$E308-SUMIFS($V308:$AG308,'Calc base'!$C$17:$N$17,"&lt;"&amp;'Calc base'!J$17,'Calc base'!$C$14:$N$14,1))))</f>
        <v>0</v>
      </c>
      <c r="AP308">
        <f>IF('Calc base'!K$14=0,0,MIN(AD308,MAX(0,$E308-SUMIFS($V308:$AG308,'Calc base'!$C$17:$N$17,"&lt;"&amp;'Calc base'!K$17,'Calc base'!$C$14:$N$14,1))))</f>
        <v>0</v>
      </c>
      <c r="AQ308">
        <f>IF('Calc base'!L$14=0,0,MIN(AE308,MAX(0,$E308-SUMIFS($V308:$AG308,'Calc base'!$C$17:$N$17,"&lt;"&amp;'Calc base'!L$17,'Calc base'!$C$14:$N$14,1))))</f>
        <v>0</v>
      </c>
      <c r="AR308">
        <f>IF('Calc base'!M$14=0,0,MIN(AF308,MAX(0,$E308-SUMIFS($V308:$AG308,'Calc base'!$C$17:$N$17,"&lt;"&amp;'Calc base'!M$17,'Calc base'!$C$14:$N$14,1))))</f>
        <v>0</v>
      </c>
      <c r="AS308">
        <f>IF('Calc base'!N$14=0,0,MIN(AG308,MAX(0,$E308-SUMIFS($V308:$AG308,'Calc base'!$C$17:$N$17,"&lt;"&amp;'Calc base'!N$17,'Calc base'!$C$14:$N$14,1))))</f>
        <v>0</v>
      </c>
      <c r="AT308">
        <f>V308-AH308</f>
        <v>0</v>
      </c>
      <c r="AU308">
        <f>W308-AI308</f>
        <v>0</v>
      </c>
      <c r="AV308">
        <f>X308-AJ308</f>
        <v>0</v>
      </c>
      <c r="AW308">
        <f>Y308-AK308</f>
        <v>0</v>
      </c>
      <c r="AX308">
        <f>Z308-AL308</f>
        <v>0</v>
      </c>
      <c r="AY308">
        <f>AA308-AM308</f>
        <v>0</v>
      </c>
      <c r="AZ308">
        <f>AB308-AN308</f>
        <v>0</v>
      </c>
      <c r="BA308">
        <f>AC308-AO308</f>
        <v>0</v>
      </c>
      <c r="BB308">
        <f>AD308-AP308</f>
        <v>0</v>
      </c>
      <c r="BC308">
        <f>AE308-AQ308</f>
        <v>0</v>
      </c>
      <c r="BD308">
        <f>AF308-AR308</f>
        <v>0</v>
      </c>
      <c r="BE308">
        <f>AG308-AS308</f>
        <v>0</v>
      </c>
    </row>
    <row r="309">
      <c r="A309" t="n">
        <v>279</v>
      </c>
      <c r="B309">
        <f>SUMPRODUCT(ROUND($AT308:$BE308*(1+'Calc base'!$H309:$S309),2))</f>
        <v>0</v>
      </c>
      <c r="C309">
        <f>SUM(J309:U309)</f>
        <v>0</v>
      </c>
      <c r="D309">
        <f>SUM(V309:AG309)</f>
        <v>0</v>
      </c>
      <c r="E309">
        <f>MAX(0,IF(Impostazioni!$B$7="No",'Calc base'!$C309-$C$31,'Calc base'!$C309-C309)+'Calc base'!$G309+'Calc base'!$F309-(B309-C309-D309))</f>
        <v>900</v>
      </c>
      <c r="F309">
        <f>SUM(AH309:AS309)</f>
        <v>0</v>
      </c>
      <c r="G309">
        <f>SUM(AT309:BE309)</f>
        <v>0</v>
      </c>
      <c r="H309">
        <f>B309-G308</f>
        <v>0</v>
      </c>
      <c r="I309">
        <f>B309-G309</f>
        <v>0</v>
      </c>
      <c r="J309">
        <f>IF(AT308&lt;=0,0,IF(ROUND(AT308*(1+'Calc base'!H309),2)-MAX('Calc base'!C$12,ROUND('Calc base'!C$13*AT308,2))&lt;1,ROUND(AT308*(1+'Calc base'!H309),2),MAX('Calc base'!C$12,ROUND('Calc base'!C$13*AT308,2))))</f>
        <v>0</v>
      </c>
      <c r="K309">
        <f>IF(AU308&lt;=0,0,IF(ROUND(AU308*(1+'Calc base'!I309),2)-MAX('Calc base'!D$12,ROUND('Calc base'!D$13*AU308,2))&lt;1,ROUND(AU308*(1+'Calc base'!I309),2),MAX('Calc base'!D$12,ROUND('Calc base'!D$13*AU308,2))))</f>
        <v>0</v>
      </c>
      <c r="L309">
        <f>IF(AV308&lt;=0,0,IF(ROUND(AV308*(1+'Calc base'!J309),2)-MAX('Calc base'!E$12,ROUND('Calc base'!E$13*AV308,2))&lt;1,ROUND(AV308*(1+'Calc base'!J309),2),MAX('Calc base'!E$12,ROUND('Calc base'!E$13*AV308,2))))</f>
        <v>0</v>
      </c>
      <c r="M309">
        <f>IF(AW308&lt;=0,0,IF(ROUND(AW308*(1+'Calc base'!K309),2)-MAX('Calc base'!F$12,ROUND('Calc base'!F$13*AW308,2))&lt;1,ROUND(AW308*(1+'Calc base'!K309),2),MAX('Calc base'!F$12,ROUND('Calc base'!F$13*AW308,2))))</f>
        <v>0</v>
      </c>
      <c r="N309">
        <f>IF(AX308&lt;=0,0,IF(ROUND(AX308*(1+'Calc base'!L309),2)-MAX('Calc base'!G$12,ROUND('Calc base'!G$13*AX308,2))&lt;1,ROUND(AX308*(1+'Calc base'!L309),2),MAX('Calc base'!G$12,ROUND('Calc base'!G$13*AX308,2))))</f>
        <v>0</v>
      </c>
      <c r="O309">
        <f>IF(AY308&lt;=0,0,IF(ROUND(AY308*(1+'Calc base'!M309),2)-MAX('Calc base'!H$12,ROUND('Calc base'!H$13*AY308,2))&lt;1,ROUND(AY308*(1+'Calc base'!M309),2),MAX('Calc base'!H$12,ROUND('Calc base'!H$13*AY308,2))))</f>
        <v>0</v>
      </c>
      <c r="P309">
        <f>IF(AZ308&lt;=0,0,IF(ROUND(AZ308*(1+'Calc base'!N309),2)-MAX('Calc base'!I$12,ROUND('Calc base'!I$13*AZ308,2))&lt;1,ROUND(AZ308*(1+'Calc base'!N309),2),MAX('Calc base'!I$12,ROUND('Calc base'!I$13*AZ308,2))))</f>
        <v>0</v>
      </c>
      <c r="Q309">
        <f>IF(BA308&lt;=0,0,IF(ROUND(BA308*(1+'Calc base'!O309),2)-MAX('Calc base'!J$12,ROUND('Calc base'!J$13*BA308,2))&lt;1,ROUND(BA308*(1+'Calc base'!O309),2),MAX('Calc base'!J$12,ROUND('Calc base'!J$13*BA308,2))))</f>
        <v>0</v>
      </c>
      <c r="R309">
        <f>IF(BB308&lt;=0,0,IF(ROUND(BB308*(1+'Calc base'!P309),2)-MAX('Calc base'!K$12,ROUND('Calc base'!K$13*BB308,2))&lt;1,ROUND(BB308*(1+'Calc base'!P309),2),MAX('Calc base'!K$12,ROUND('Calc base'!K$13*BB308,2))))</f>
        <v>0</v>
      </c>
      <c r="S309">
        <f>IF(BC308&lt;=0,0,IF(ROUND(BC308*(1+'Calc base'!Q309),2)-MAX('Calc base'!L$12,ROUND('Calc base'!L$13*BC308,2))&lt;1,ROUND(BC308*(1+'Calc base'!Q309),2),MAX('Calc base'!L$12,ROUND('Calc base'!L$13*BC308,2))))</f>
        <v>0</v>
      </c>
      <c r="T309">
        <f>IF(BD308&lt;=0,0,IF(ROUND(BD308*(1+'Calc base'!R309),2)-MAX('Calc base'!M$12,ROUND('Calc base'!M$13*BD308,2))&lt;1,ROUND(BD308*(1+'Calc base'!R309),2),MAX('Calc base'!M$12,ROUND('Calc base'!M$13*BD308,2))))</f>
        <v>0</v>
      </c>
      <c r="U309">
        <f>IF(BE308&lt;=0,0,IF(ROUND(BE308*(1+'Calc base'!S309),2)-MAX('Calc base'!N$12,ROUND('Calc base'!N$13*BE308,2))&lt;1,ROUND(BE308*(1+'Calc base'!S309),2),MAX('Calc base'!N$12,ROUND('Calc base'!N$13*BE308,2))))</f>
        <v>0</v>
      </c>
      <c r="V309">
        <f>MAX(0,ROUND(AT308*(1+'Calc base'!H309),2)-J309-'Calc base'!T309)</f>
        <v>0</v>
      </c>
      <c r="W309">
        <f>MAX(0,ROUND(AU308*(1+'Calc base'!I309),2)-K309-'Calc base'!U309)</f>
        <v>0</v>
      </c>
      <c r="X309">
        <f>MAX(0,ROUND(AV308*(1+'Calc base'!J309),2)-L309-'Calc base'!V309)</f>
        <v>0</v>
      </c>
      <c r="Y309">
        <f>MAX(0,ROUND(AW308*(1+'Calc base'!K309),2)-M309-'Calc base'!W309)</f>
        <v>0</v>
      </c>
      <c r="Z309">
        <f>MAX(0,ROUND(AX308*(1+'Calc base'!L309),2)-N309-'Calc base'!X309)</f>
        <v>0</v>
      </c>
      <c r="AA309">
        <f>MAX(0,ROUND(AY308*(1+'Calc base'!M309),2)-O309-'Calc base'!Y309)</f>
        <v>0</v>
      </c>
      <c r="AB309">
        <f>MAX(0,ROUND(AZ308*(1+'Calc base'!N309),2)-P309-'Calc base'!Z309)</f>
        <v>0</v>
      </c>
      <c r="AC309">
        <f>MAX(0,ROUND(BA308*(1+'Calc base'!O309),2)-Q309-'Calc base'!AA309)</f>
        <v>0</v>
      </c>
      <c r="AD309">
        <f>MAX(0,ROUND(BB308*(1+'Calc base'!P309),2)-R309-'Calc base'!AB309)</f>
        <v>0</v>
      </c>
      <c r="AE309">
        <f>MAX(0,ROUND(BC308*(1+'Calc base'!Q309),2)-S309-'Calc base'!AC309)</f>
        <v>0</v>
      </c>
      <c r="AF309">
        <f>MAX(0,ROUND(BD308*(1+'Calc base'!R309),2)-T309-'Calc base'!AD309)</f>
        <v>0</v>
      </c>
      <c r="AG309">
        <f>MAX(0,ROUND(BE308*(1+'Calc base'!S309),2)-U309-'Calc base'!AE309)</f>
        <v>0</v>
      </c>
      <c r="AH309">
        <f>IF('Calc base'!C$14=0,0,MIN(V309,MAX(0,$E309-SUMIFS($V309:$AG309,'Calc base'!$C$17:$N$17,"&lt;"&amp;'Calc base'!C$17,'Calc base'!$C$14:$N$14,1))))</f>
        <v>0</v>
      </c>
      <c r="AI309">
        <f>IF('Calc base'!D$14=0,0,MIN(W309,MAX(0,$E309-SUMIFS($V309:$AG309,'Calc base'!$C$17:$N$17,"&lt;"&amp;'Calc base'!D$17,'Calc base'!$C$14:$N$14,1))))</f>
        <v>0</v>
      </c>
      <c r="AJ309">
        <f>IF('Calc base'!E$14=0,0,MIN(X309,MAX(0,$E309-SUMIFS($V309:$AG309,'Calc base'!$C$17:$N$17,"&lt;"&amp;'Calc base'!E$17,'Calc base'!$C$14:$N$14,1))))</f>
        <v>0</v>
      </c>
      <c r="AK309">
        <f>IF('Calc base'!F$14=0,0,MIN(Y309,MAX(0,$E309-SUMIFS($V309:$AG309,'Calc base'!$C$17:$N$17,"&lt;"&amp;'Calc base'!F$17,'Calc base'!$C$14:$N$14,1))))</f>
        <v>0</v>
      </c>
      <c r="AL309">
        <f>IF('Calc base'!G$14=0,0,MIN(Z309,MAX(0,$E309-SUMIFS($V309:$AG309,'Calc base'!$C$17:$N$17,"&lt;"&amp;'Calc base'!G$17,'Calc base'!$C$14:$N$14,1))))</f>
        <v>0</v>
      </c>
      <c r="AM309">
        <f>IF('Calc base'!H$14=0,0,MIN(AA309,MAX(0,$E309-SUMIFS($V309:$AG309,'Calc base'!$C$17:$N$17,"&lt;"&amp;'Calc base'!H$17,'Calc base'!$C$14:$N$14,1))))</f>
        <v>0</v>
      </c>
      <c r="AN309">
        <f>IF('Calc base'!I$14=0,0,MIN(AB309,MAX(0,$E309-SUMIFS($V309:$AG309,'Calc base'!$C$17:$N$17,"&lt;"&amp;'Calc base'!I$17,'Calc base'!$C$14:$N$14,1))))</f>
        <v>0</v>
      </c>
      <c r="AO309">
        <f>IF('Calc base'!J$14=0,0,MIN(AC309,MAX(0,$E309-SUMIFS($V309:$AG309,'Calc base'!$C$17:$N$17,"&lt;"&amp;'Calc base'!J$17,'Calc base'!$C$14:$N$14,1))))</f>
        <v>0</v>
      </c>
      <c r="AP309">
        <f>IF('Calc base'!K$14=0,0,MIN(AD309,MAX(0,$E309-SUMIFS($V309:$AG309,'Calc base'!$C$17:$N$17,"&lt;"&amp;'Calc base'!K$17,'Calc base'!$C$14:$N$14,1))))</f>
        <v>0</v>
      </c>
      <c r="AQ309">
        <f>IF('Calc base'!L$14=0,0,MIN(AE309,MAX(0,$E309-SUMIFS($V309:$AG309,'Calc base'!$C$17:$N$17,"&lt;"&amp;'Calc base'!L$17,'Calc base'!$C$14:$N$14,1))))</f>
        <v>0</v>
      </c>
      <c r="AR309">
        <f>IF('Calc base'!M$14=0,0,MIN(AF309,MAX(0,$E309-SUMIFS($V309:$AG309,'Calc base'!$C$17:$N$17,"&lt;"&amp;'Calc base'!M$17,'Calc base'!$C$14:$N$14,1))))</f>
        <v>0</v>
      </c>
      <c r="AS309">
        <f>IF('Calc base'!N$14=0,0,MIN(AG309,MAX(0,$E309-SUMIFS($V309:$AG309,'Calc base'!$C$17:$N$17,"&lt;"&amp;'Calc base'!N$17,'Calc base'!$C$14:$N$14,1))))</f>
        <v>0</v>
      </c>
      <c r="AT309">
        <f>V309-AH309</f>
        <v>0</v>
      </c>
      <c r="AU309">
        <f>W309-AI309</f>
        <v>0</v>
      </c>
      <c r="AV309">
        <f>X309-AJ309</f>
        <v>0</v>
      </c>
      <c r="AW309">
        <f>Y309-AK309</f>
        <v>0</v>
      </c>
      <c r="AX309">
        <f>Z309-AL309</f>
        <v>0</v>
      </c>
      <c r="AY309">
        <f>AA309-AM309</f>
        <v>0</v>
      </c>
      <c r="AZ309">
        <f>AB309-AN309</f>
        <v>0</v>
      </c>
      <c r="BA309">
        <f>AC309-AO309</f>
        <v>0</v>
      </c>
      <c r="BB309">
        <f>AD309-AP309</f>
        <v>0</v>
      </c>
      <c r="BC309">
        <f>AE309-AQ309</f>
        <v>0</v>
      </c>
      <c r="BD309">
        <f>AF309-AR309</f>
        <v>0</v>
      </c>
      <c r="BE309">
        <f>AG309-AS309</f>
        <v>0</v>
      </c>
    </row>
    <row r="310">
      <c r="A310" t="n">
        <v>280</v>
      </c>
      <c r="B310">
        <f>SUMPRODUCT(ROUND($AT309:$BE309*(1+'Calc base'!$H310:$S310),2))</f>
        <v>0</v>
      </c>
      <c r="C310">
        <f>SUM(J310:U310)</f>
        <v>0</v>
      </c>
      <c r="D310">
        <f>SUM(V310:AG310)</f>
        <v>0</v>
      </c>
      <c r="E310">
        <f>MAX(0,IF(Impostazioni!$B$7="No",'Calc base'!$C310-$C$31,'Calc base'!$C310-C310)+'Calc base'!$G310+'Calc base'!$F310-(B310-C310-D310))</f>
        <v>900</v>
      </c>
      <c r="F310">
        <f>SUM(AH310:AS310)</f>
        <v>0</v>
      </c>
      <c r="G310">
        <f>SUM(AT310:BE310)</f>
        <v>0</v>
      </c>
      <c r="H310">
        <f>B310-G309</f>
        <v>0</v>
      </c>
      <c r="I310">
        <f>B310-G310</f>
        <v>0</v>
      </c>
      <c r="J310">
        <f>IF(AT309&lt;=0,0,IF(ROUND(AT309*(1+'Calc base'!H310),2)-MAX('Calc base'!C$12,ROUND('Calc base'!C$13*AT309,2))&lt;1,ROUND(AT309*(1+'Calc base'!H310),2),MAX('Calc base'!C$12,ROUND('Calc base'!C$13*AT309,2))))</f>
        <v>0</v>
      </c>
      <c r="K310">
        <f>IF(AU309&lt;=0,0,IF(ROUND(AU309*(1+'Calc base'!I310),2)-MAX('Calc base'!D$12,ROUND('Calc base'!D$13*AU309,2))&lt;1,ROUND(AU309*(1+'Calc base'!I310),2),MAX('Calc base'!D$12,ROUND('Calc base'!D$13*AU309,2))))</f>
        <v>0</v>
      </c>
      <c r="L310">
        <f>IF(AV309&lt;=0,0,IF(ROUND(AV309*(1+'Calc base'!J310),2)-MAX('Calc base'!E$12,ROUND('Calc base'!E$13*AV309,2))&lt;1,ROUND(AV309*(1+'Calc base'!J310),2),MAX('Calc base'!E$12,ROUND('Calc base'!E$13*AV309,2))))</f>
        <v>0</v>
      </c>
      <c r="M310">
        <f>IF(AW309&lt;=0,0,IF(ROUND(AW309*(1+'Calc base'!K310),2)-MAX('Calc base'!F$12,ROUND('Calc base'!F$13*AW309,2))&lt;1,ROUND(AW309*(1+'Calc base'!K310),2),MAX('Calc base'!F$12,ROUND('Calc base'!F$13*AW309,2))))</f>
        <v>0</v>
      </c>
      <c r="N310">
        <f>IF(AX309&lt;=0,0,IF(ROUND(AX309*(1+'Calc base'!L310),2)-MAX('Calc base'!G$12,ROUND('Calc base'!G$13*AX309,2))&lt;1,ROUND(AX309*(1+'Calc base'!L310),2),MAX('Calc base'!G$12,ROUND('Calc base'!G$13*AX309,2))))</f>
        <v>0</v>
      </c>
      <c r="O310">
        <f>IF(AY309&lt;=0,0,IF(ROUND(AY309*(1+'Calc base'!M310),2)-MAX('Calc base'!H$12,ROUND('Calc base'!H$13*AY309,2))&lt;1,ROUND(AY309*(1+'Calc base'!M310),2),MAX('Calc base'!H$12,ROUND('Calc base'!H$13*AY309,2))))</f>
        <v>0</v>
      </c>
      <c r="P310">
        <f>IF(AZ309&lt;=0,0,IF(ROUND(AZ309*(1+'Calc base'!N310),2)-MAX('Calc base'!I$12,ROUND('Calc base'!I$13*AZ309,2))&lt;1,ROUND(AZ309*(1+'Calc base'!N310),2),MAX('Calc base'!I$12,ROUND('Calc base'!I$13*AZ309,2))))</f>
        <v>0</v>
      </c>
      <c r="Q310">
        <f>IF(BA309&lt;=0,0,IF(ROUND(BA309*(1+'Calc base'!O310),2)-MAX('Calc base'!J$12,ROUND('Calc base'!J$13*BA309,2))&lt;1,ROUND(BA309*(1+'Calc base'!O310),2),MAX('Calc base'!J$12,ROUND('Calc base'!J$13*BA309,2))))</f>
        <v>0</v>
      </c>
      <c r="R310">
        <f>IF(BB309&lt;=0,0,IF(ROUND(BB309*(1+'Calc base'!P310),2)-MAX('Calc base'!K$12,ROUND('Calc base'!K$13*BB309,2))&lt;1,ROUND(BB309*(1+'Calc base'!P310),2),MAX('Calc base'!K$12,ROUND('Calc base'!K$13*BB309,2))))</f>
        <v>0</v>
      </c>
      <c r="S310">
        <f>IF(BC309&lt;=0,0,IF(ROUND(BC309*(1+'Calc base'!Q310),2)-MAX('Calc base'!L$12,ROUND('Calc base'!L$13*BC309,2))&lt;1,ROUND(BC309*(1+'Calc base'!Q310),2),MAX('Calc base'!L$12,ROUND('Calc base'!L$13*BC309,2))))</f>
        <v>0</v>
      </c>
      <c r="T310">
        <f>IF(BD309&lt;=0,0,IF(ROUND(BD309*(1+'Calc base'!R310),2)-MAX('Calc base'!M$12,ROUND('Calc base'!M$13*BD309,2))&lt;1,ROUND(BD309*(1+'Calc base'!R310),2),MAX('Calc base'!M$12,ROUND('Calc base'!M$13*BD309,2))))</f>
        <v>0</v>
      </c>
      <c r="U310">
        <f>IF(BE309&lt;=0,0,IF(ROUND(BE309*(1+'Calc base'!S310),2)-MAX('Calc base'!N$12,ROUND('Calc base'!N$13*BE309,2))&lt;1,ROUND(BE309*(1+'Calc base'!S310),2),MAX('Calc base'!N$12,ROUND('Calc base'!N$13*BE309,2))))</f>
        <v>0</v>
      </c>
      <c r="V310">
        <f>MAX(0,ROUND(AT309*(1+'Calc base'!H310),2)-J310-'Calc base'!T310)</f>
        <v>0</v>
      </c>
      <c r="W310">
        <f>MAX(0,ROUND(AU309*(1+'Calc base'!I310),2)-K310-'Calc base'!U310)</f>
        <v>0</v>
      </c>
      <c r="X310">
        <f>MAX(0,ROUND(AV309*(1+'Calc base'!J310),2)-L310-'Calc base'!V310)</f>
        <v>0</v>
      </c>
      <c r="Y310">
        <f>MAX(0,ROUND(AW309*(1+'Calc base'!K310),2)-M310-'Calc base'!W310)</f>
        <v>0</v>
      </c>
      <c r="Z310">
        <f>MAX(0,ROUND(AX309*(1+'Calc base'!L310),2)-N310-'Calc base'!X310)</f>
        <v>0</v>
      </c>
      <c r="AA310">
        <f>MAX(0,ROUND(AY309*(1+'Calc base'!M310),2)-O310-'Calc base'!Y310)</f>
        <v>0</v>
      </c>
      <c r="AB310">
        <f>MAX(0,ROUND(AZ309*(1+'Calc base'!N310),2)-P310-'Calc base'!Z310)</f>
        <v>0</v>
      </c>
      <c r="AC310">
        <f>MAX(0,ROUND(BA309*(1+'Calc base'!O310),2)-Q310-'Calc base'!AA310)</f>
        <v>0</v>
      </c>
      <c r="AD310">
        <f>MAX(0,ROUND(BB309*(1+'Calc base'!P310),2)-R310-'Calc base'!AB310)</f>
        <v>0</v>
      </c>
      <c r="AE310">
        <f>MAX(0,ROUND(BC309*(1+'Calc base'!Q310),2)-S310-'Calc base'!AC310)</f>
        <v>0</v>
      </c>
      <c r="AF310">
        <f>MAX(0,ROUND(BD309*(1+'Calc base'!R310),2)-T310-'Calc base'!AD310)</f>
        <v>0</v>
      </c>
      <c r="AG310">
        <f>MAX(0,ROUND(BE309*(1+'Calc base'!S310),2)-U310-'Calc base'!AE310)</f>
        <v>0</v>
      </c>
      <c r="AH310">
        <f>IF('Calc base'!C$14=0,0,MIN(V310,MAX(0,$E310-SUMIFS($V310:$AG310,'Calc base'!$C$17:$N$17,"&lt;"&amp;'Calc base'!C$17,'Calc base'!$C$14:$N$14,1))))</f>
        <v>0</v>
      </c>
      <c r="AI310">
        <f>IF('Calc base'!D$14=0,0,MIN(W310,MAX(0,$E310-SUMIFS($V310:$AG310,'Calc base'!$C$17:$N$17,"&lt;"&amp;'Calc base'!D$17,'Calc base'!$C$14:$N$14,1))))</f>
        <v>0</v>
      </c>
      <c r="AJ310">
        <f>IF('Calc base'!E$14=0,0,MIN(X310,MAX(0,$E310-SUMIFS($V310:$AG310,'Calc base'!$C$17:$N$17,"&lt;"&amp;'Calc base'!E$17,'Calc base'!$C$14:$N$14,1))))</f>
        <v>0</v>
      </c>
      <c r="AK310">
        <f>IF('Calc base'!F$14=0,0,MIN(Y310,MAX(0,$E310-SUMIFS($V310:$AG310,'Calc base'!$C$17:$N$17,"&lt;"&amp;'Calc base'!F$17,'Calc base'!$C$14:$N$14,1))))</f>
        <v>0</v>
      </c>
      <c r="AL310">
        <f>IF('Calc base'!G$14=0,0,MIN(Z310,MAX(0,$E310-SUMIFS($V310:$AG310,'Calc base'!$C$17:$N$17,"&lt;"&amp;'Calc base'!G$17,'Calc base'!$C$14:$N$14,1))))</f>
        <v>0</v>
      </c>
      <c r="AM310">
        <f>IF('Calc base'!H$14=0,0,MIN(AA310,MAX(0,$E310-SUMIFS($V310:$AG310,'Calc base'!$C$17:$N$17,"&lt;"&amp;'Calc base'!H$17,'Calc base'!$C$14:$N$14,1))))</f>
        <v>0</v>
      </c>
      <c r="AN310">
        <f>IF('Calc base'!I$14=0,0,MIN(AB310,MAX(0,$E310-SUMIFS($V310:$AG310,'Calc base'!$C$17:$N$17,"&lt;"&amp;'Calc base'!I$17,'Calc base'!$C$14:$N$14,1))))</f>
        <v>0</v>
      </c>
      <c r="AO310">
        <f>IF('Calc base'!J$14=0,0,MIN(AC310,MAX(0,$E310-SUMIFS($V310:$AG310,'Calc base'!$C$17:$N$17,"&lt;"&amp;'Calc base'!J$17,'Calc base'!$C$14:$N$14,1))))</f>
        <v>0</v>
      </c>
      <c r="AP310">
        <f>IF('Calc base'!K$14=0,0,MIN(AD310,MAX(0,$E310-SUMIFS($V310:$AG310,'Calc base'!$C$17:$N$17,"&lt;"&amp;'Calc base'!K$17,'Calc base'!$C$14:$N$14,1))))</f>
        <v>0</v>
      </c>
      <c r="AQ310">
        <f>IF('Calc base'!L$14=0,0,MIN(AE310,MAX(0,$E310-SUMIFS($V310:$AG310,'Calc base'!$C$17:$N$17,"&lt;"&amp;'Calc base'!L$17,'Calc base'!$C$14:$N$14,1))))</f>
        <v>0</v>
      </c>
      <c r="AR310">
        <f>IF('Calc base'!M$14=0,0,MIN(AF310,MAX(0,$E310-SUMIFS($V310:$AG310,'Calc base'!$C$17:$N$17,"&lt;"&amp;'Calc base'!M$17,'Calc base'!$C$14:$N$14,1))))</f>
        <v>0</v>
      </c>
      <c r="AS310">
        <f>IF('Calc base'!N$14=0,0,MIN(AG310,MAX(0,$E310-SUMIFS($V310:$AG310,'Calc base'!$C$17:$N$17,"&lt;"&amp;'Calc base'!N$17,'Calc base'!$C$14:$N$14,1))))</f>
        <v>0</v>
      </c>
      <c r="AT310">
        <f>V310-AH310</f>
        <v>0</v>
      </c>
      <c r="AU310">
        <f>W310-AI310</f>
        <v>0</v>
      </c>
      <c r="AV310">
        <f>X310-AJ310</f>
        <v>0</v>
      </c>
      <c r="AW310">
        <f>Y310-AK310</f>
        <v>0</v>
      </c>
      <c r="AX310">
        <f>Z310-AL310</f>
        <v>0</v>
      </c>
      <c r="AY310">
        <f>AA310-AM310</f>
        <v>0</v>
      </c>
      <c r="AZ310">
        <f>AB310-AN310</f>
        <v>0</v>
      </c>
      <c r="BA310">
        <f>AC310-AO310</f>
        <v>0</v>
      </c>
      <c r="BB310">
        <f>AD310-AP310</f>
        <v>0</v>
      </c>
      <c r="BC310">
        <f>AE310-AQ310</f>
        <v>0</v>
      </c>
      <c r="BD310">
        <f>AF310-AR310</f>
        <v>0</v>
      </c>
      <c r="BE310">
        <f>AG310-AS310</f>
        <v>0</v>
      </c>
    </row>
    <row r="311">
      <c r="A311" t="n">
        <v>281</v>
      </c>
      <c r="B311">
        <f>SUMPRODUCT(ROUND($AT310:$BE310*(1+'Calc base'!$H311:$S311),2))</f>
        <v>0</v>
      </c>
      <c r="C311">
        <f>SUM(J311:U311)</f>
        <v>0</v>
      </c>
      <c r="D311">
        <f>SUM(V311:AG311)</f>
        <v>0</v>
      </c>
      <c r="E311">
        <f>MAX(0,IF(Impostazioni!$B$7="No",'Calc base'!$C311-$C$31,'Calc base'!$C311-C311)+'Calc base'!$G311+'Calc base'!$F311-(B311-C311-D311))</f>
        <v>900</v>
      </c>
      <c r="F311">
        <f>SUM(AH311:AS311)</f>
        <v>0</v>
      </c>
      <c r="G311">
        <f>SUM(AT311:BE311)</f>
        <v>0</v>
      </c>
      <c r="H311">
        <f>B311-G310</f>
        <v>0</v>
      </c>
      <c r="I311">
        <f>B311-G311</f>
        <v>0</v>
      </c>
      <c r="J311">
        <f>IF(AT310&lt;=0,0,IF(ROUND(AT310*(1+'Calc base'!H311),2)-MAX('Calc base'!C$12,ROUND('Calc base'!C$13*AT310,2))&lt;1,ROUND(AT310*(1+'Calc base'!H311),2),MAX('Calc base'!C$12,ROUND('Calc base'!C$13*AT310,2))))</f>
        <v>0</v>
      </c>
      <c r="K311">
        <f>IF(AU310&lt;=0,0,IF(ROUND(AU310*(1+'Calc base'!I311),2)-MAX('Calc base'!D$12,ROUND('Calc base'!D$13*AU310,2))&lt;1,ROUND(AU310*(1+'Calc base'!I311),2),MAX('Calc base'!D$12,ROUND('Calc base'!D$13*AU310,2))))</f>
        <v>0</v>
      </c>
      <c r="L311">
        <f>IF(AV310&lt;=0,0,IF(ROUND(AV310*(1+'Calc base'!J311),2)-MAX('Calc base'!E$12,ROUND('Calc base'!E$13*AV310,2))&lt;1,ROUND(AV310*(1+'Calc base'!J311),2),MAX('Calc base'!E$12,ROUND('Calc base'!E$13*AV310,2))))</f>
        <v>0</v>
      </c>
      <c r="M311">
        <f>IF(AW310&lt;=0,0,IF(ROUND(AW310*(1+'Calc base'!K311),2)-MAX('Calc base'!F$12,ROUND('Calc base'!F$13*AW310,2))&lt;1,ROUND(AW310*(1+'Calc base'!K311),2),MAX('Calc base'!F$12,ROUND('Calc base'!F$13*AW310,2))))</f>
        <v>0</v>
      </c>
      <c r="N311">
        <f>IF(AX310&lt;=0,0,IF(ROUND(AX310*(1+'Calc base'!L311),2)-MAX('Calc base'!G$12,ROUND('Calc base'!G$13*AX310,2))&lt;1,ROUND(AX310*(1+'Calc base'!L311),2),MAX('Calc base'!G$12,ROUND('Calc base'!G$13*AX310,2))))</f>
        <v>0</v>
      </c>
      <c r="O311">
        <f>IF(AY310&lt;=0,0,IF(ROUND(AY310*(1+'Calc base'!M311),2)-MAX('Calc base'!H$12,ROUND('Calc base'!H$13*AY310,2))&lt;1,ROUND(AY310*(1+'Calc base'!M311),2),MAX('Calc base'!H$12,ROUND('Calc base'!H$13*AY310,2))))</f>
        <v>0</v>
      </c>
      <c r="P311">
        <f>IF(AZ310&lt;=0,0,IF(ROUND(AZ310*(1+'Calc base'!N311),2)-MAX('Calc base'!I$12,ROUND('Calc base'!I$13*AZ310,2))&lt;1,ROUND(AZ310*(1+'Calc base'!N311),2),MAX('Calc base'!I$12,ROUND('Calc base'!I$13*AZ310,2))))</f>
        <v>0</v>
      </c>
      <c r="Q311">
        <f>IF(BA310&lt;=0,0,IF(ROUND(BA310*(1+'Calc base'!O311),2)-MAX('Calc base'!J$12,ROUND('Calc base'!J$13*BA310,2))&lt;1,ROUND(BA310*(1+'Calc base'!O311),2),MAX('Calc base'!J$12,ROUND('Calc base'!J$13*BA310,2))))</f>
        <v>0</v>
      </c>
      <c r="R311">
        <f>IF(BB310&lt;=0,0,IF(ROUND(BB310*(1+'Calc base'!P311),2)-MAX('Calc base'!K$12,ROUND('Calc base'!K$13*BB310,2))&lt;1,ROUND(BB310*(1+'Calc base'!P311),2),MAX('Calc base'!K$12,ROUND('Calc base'!K$13*BB310,2))))</f>
        <v>0</v>
      </c>
      <c r="S311">
        <f>IF(BC310&lt;=0,0,IF(ROUND(BC310*(1+'Calc base'!Q311),2)-MAX('Calc base'!L$12,ROUND('Calc base'!L$13*BC310,2))&lt;1,ROUND(BC310*(1+'Calc base'!Q311),2),MAX('Calc base'!L$12,ROUND('Calc base'!L$13*BC310,2))))</f>
        <v>0</v>
      </c>
      <c r="T311">
        <f>IF(BD310&lt;=0,0,IF(ROUND(BD310*(1+'Calc base'!R311),2)-MAX('Calc base'!M$12,ROUND('Calc base'!M$13*BD310,2))&lt;1,ROUND(BD310*(1+'Calc base'!R311),2),MAX('Calc base'!M$12,ROUND('Calc base'!M$13*BD310,2))))</f>
        <v>0</v>
      </c>
      <c r="U311">
        <f>IF(BE310&lt;=0,0,IF(ROUND(BE310*(1+'Calc base'!S311),2)-MAX('Calc base'!N$12,ROUND('Calc base'!N$13*BE310,2))&lt;1,ROUND(BE310*(1+'Calc base'!S311),2),MAX('Calc base'!N$12,ROUND('Calc base'!N$13*BE310,2))))</f>
        <v>0</v>
      </c>
      <c r="V311">
        <f>MAX(0,ROUND(AT310*(1+'Calc base'!H311),2)-J311-'Calc base'!T311)</f>
        <v>0</v>
      </c>
      <c r="W311">
        <f>MAX(0,ROUND(AU310*(1+'Calc base'!I311),2)-K311-'Calc base'!U311)</f>
        <v>0</v>
      </c>
      <c r="X311">
        <f>MAX(0,ROUND(AV310*(1+'Calc base'!J311),2)-L311-'Calc base'!V311)</f>
        <v>0</v>
      </c>
      <c r="Y311">
        <f>MAX(0,ROUND(AW310*(1+'Calc base'!K311),2)-M311-'Calc base'!W311)</f>
        <v>0</v>
      </c>
      <c r="Z311">
        <f>MAX(0,ROUND(AX310*(1+'Calc base'!L311),2)-N311-'Calc base'!X311)</f>
        <v>0</v>
      </c>
      <c r="AA311">
        <f>MAX(0,ROUND(AY310*(1+'Calc base'!M311),2)-O311-'Calc base'!Y311)</f>
        <v>0</v>
      </c>
      <c r="AB311">
        <f>MAX(0,ROUND(AZ310*(1+'Calc base'!N311),2)-P311-'Calc base'!Z311)</f>
        <v>0</v>
      </c>
      <c r="AC311">
        <f>MAX(0,ROUND(BA310*(1+'Calc base'!O311),2)-Q311-'Calc base'!AA311)</f>
        <v>0</v>
      </c>
      <c r="AD311">
        <f>MAX(0,ROUND(BB310*(1+'Calc base'!P311),2)-R311-'Calc base'!AB311)</f>
        <v>0</v>
      </c>
      <c r="AE311">
        <f>MAX(0,ROUND(BC310*(1+'Calc base'!Q311),2)-S311-'Calc base'!AC311)</f>
        <v>0</v>
      </c>
      <c r="AF311">
        <f>MAX(0,ROUND(BD310*(1+'Calc base'!R311),2)-T311-'Calc base'!AD311)</f>
        <v>0</v>
      </c>
      <c r="AG311">
        <f>MAX(0,ROUND(BE310*(1+'Calc base'!S311),2)-U311-'Calc base'!AE311)</f>
        <v>0</v>
      </c>
      <c r="AH311">
        <f>IF('Calc base'!C$14=0,0,MIN(V311,MAX(0,$E311-SUMIFS($V311:$AG311,'Calc base'!$C$17:$N$17,"&lt;"&amp;'Calc base'!C$17,'Calc base'!$C$14:$N$14,1))))</f>
        <v>0</v>
      </c>
      <c r="AI311">
        <f>IF('Calc base'!D$14=0,0,MIN(W311,MAX(0,$E311-SUMIFS($V311:$AG311,'Calc base'!$C$17:$N$17,"&lt;"&amp;'Calc base'!D$17,'Calc base'!$C$14:$N$14,1))))</f>
        <v>0</v>
      </c>
      <c r="AJ311">
        <f>IF('Calc base'!E$14=0,0,MIN(X311,MAX(0,$E311-SUMIFS($V311:$AG311,'Calc base'!$C$17:$N$17,"&lt;"&amp;'Calc base'!E$17,'Calc base'!$C$14:$N$14,1))))</f>
        <v>0</v>
      </c>
      <c r="AK311">
        <f>IF('Calc base'!F$14=0,0,MIN(Y311,MAX(0,$E311-SUMIFS($V311:$AG311,'Calc base'!$C$17:$N$17,"&lt;"&amp;'Calc base'!F$17,'Calc base'!$C$14:$N$14,1))))</f>
        <v>0</v>
      </c>
      <c r="AL311">
        <f>IF('Calc base'!G$14=0,0,MIN(Z311,MAX(0,$E311-SUMIFS($V311:$AG311,'Calc base'!$C$17:$N$17,"&lt;"&amp;'Calc base'!G$17,'Calc base'!$C$14:$N$14,1))))</f>
        <v>0</v>
      </c>
      <c r="AM311">
        <f>IF('Calc base'!H$14=0,0,MIN(AA311,MAX(0,$E311-SUMIFS($V311:$AG311,'Calc base'!$C$17:$N$17,"&lt;"&amp;'Calc base'!H$17,'Calc base'!$C$14:$N$14,1))))</f>
        <v>0</v>
      </c>
      <c r="AN311">
        <f>IF('Calc base'!I$14=0,0,MIN(AB311,MAX(0,$E311-SUMIFS($V311:$AG311,'Calc base'!$C$17:$N$17,"&lt;"&amp;'Calc base'!I$17,'Calc base'!$C$14:$N$14,1))))</f>
        <v>0</v>
      </c>
      <c r="AO311">
        <f>IF('Calc base'!J$14=0,0,MIN(AC311,MAX(0,$E311-SUMIFS($V311:$AG311,'Calc base'!$C$17:$N$17,"&lt;"&amp;'Calc base'!J$17,'Calc base'!$C$14:$N$14,1))))</f>
        <v>0</v>
      </c>
      <c r="AP311">
        <f>IF('Calc base'!K$14=0,0,MIN(AD311,MAX(0,$E311-SUMIFS($V311:$AG311,'Calc base'!$C$17:$N$17,"&lt;"&amp;'Calc base'!K$17,'Calc base'!$C$14:$N$14,1))))</f>
        <v>0</v>
      </c>
      <c r="AQ311">
        <f>IF('Calc base'!L$14=0,0,MIN(AE311,MAX(0,$E311-SUMIFS($V311:$AG311,'Calc base'!$C$17:$N$17,"&lt;"&amp;'Calc base'!L$17,'Calc base'!$C$14:$N$14,1))))</f>
        <v>0</v>
      </c>
      <c r="AR311">
        <f>IF('Calc base'!M$14=0,0,MIN(AF311,MAX(0,$E311-SUMIFS($V311:$AG311,'Calc base'!$C$17:$N$17,"&lt;"&amp;'Calc base'!M$17,'Calc base'!$C$14:$N$14,1))))</f>
        <v>0</v>
      </c>
      <c r="AS311">
        <f>IF('Calc base'!N$14=0,0,MIN(AG311,MAX(0,$E311-SUMIFS($V311:$AG311,'Calc base'!$C$17:$N$17,"&lt;"&amp;'Calc base'!N$17,'Calc base'!$C$14:$N$14,1))))</f>
        <v>0</v>
      </c>
      <c r="AT311">
        <f>V311-AH311</f>
        <v>0</v>
      </c>
      <c r="AU311">
        <f>W311-AI311</f>
        <v>0</v>
      </c>
      <c r="AV311">
        <f>X311-AJ311</f>
        <v>0</v>
      </c>
      <c r="AW311">
        <f>Y311-AK311</f>
        <v>0</v>
      </c>
      <c r="AX311">
        <f>Z311-AL311</f>
        <v>0</v>
      </c>
      <c r="AY311">
        <f>AA311-AM311</f>
        <v>0</v>
      </c>
      <c r="AZ311">
        <f>AB311-AN311</f>
        <v>0</v>
      </c>
      <c r="BA311">
        <f>AC311-AO311</f>
        <v>0</v>
      </c>
      <c r="BB311">
        <f>AD311-AP311</f>
        <v>0</v>
      </c>
      <c r="BC311">
        <f>AE311-AQ311</f>
        <v>0</v>
      </c>
      <c r="BD311">
        <f>AF311-AR311</f>
        <v>0</v>
      </c>
      <c r="BE311">
        <f>AG311-AS311</f>
        <v>0</v>
      </c>
    </row>
    <row r="312">
      <c r="A312" t="n">
        <v>282</v>
      </c>
      <c r="B312">
        <f>SUMPRODUCT(ROUND($AT311:$BE311*(1+'Calc base'!$H312:$S312),2))</f>
        <v>0</v>
      </c>
      <c r="C312">
        <f>SUM(J312:U312)</f>
        <v>0</v>
      </c>
      <c r="D312">
        <f>SUM(V312:AG312)</f>
        <v>0</v>
      </c>
      <c r="E312">
        <f>MAX(0,IF(Impostazioni!$B$7="No",'Calc base'!$C312-$C$31,'Calc base'!$C312-C312)+'Calc base'!$G312+'Calc base'!$F312-(B312-C312-D312))</f>
        <v>900</v>
      </c>
      <c r="F312">
        <f>SUM(AH312:AS312)</f>
        <v>0</v>
      </c>
      <c r="G312">
        <f>SUM(AT312:BE312)</f>
        <v>0</v>
      </c>
      <c r="H312">
        <f>B312-G311</f>
        <v>0</v>
      </c>
      <c r="I312">
        <f>B312-G312</f>
        <v>0</v>
      </c>
      <c r="J312">
        <f>IF(AT311&lt;=0,0,IF(ROUND(AT311*(1+'Calc base'!H312),2)-MAX('Calc base'!C$12,ROUND('Calc base'!C$13*AT311,2))&lt;1,ROUND(AT311*(1+'Calc base'!H312),2),MAX('Calc base'!C$12,ROUND('Calc base'!C$13*AT311,2))))</f>
        <v>0</v>
      </c>
      <c r="K312">
        <f>IF(AU311&lt;=0,0,IF(ROUND(AU311*(1+'Calc base'!I312),2)-MAX('Calc base'!D$12,ROUND('Calc base'!D$13*AU311,2))&lt;1,ROUND(AU311*(1+'Calc base'!I312),2),MAX('Calc base'!D$12,ROUND('Calc base'!D$13*AU311,2))))</f>
        <v>0</v>
      </c>
      <c r="L312">
        <f>IF(AV311&lt;=0,0,IF(ROUND(AV311*(1+'Calc base'!J312),2)-MAX('Calc base'!E$12,ROUND('Calc base'!E$13*AV311,2))&lt;1,ROUND(AV311*(1+'Calc base'!J312),2),MAX('Calc base'!E$12,ROUND('Calc base'!E$13*AV311,2))))</f>
        <v>0</v>
      </c>
      <c r="M312">
        <f>IF(AW311&lt;=0,0,IF(ROUND(AW311*(1+'Calc base'!K312),2)-MAX('Calc base'!F$12,ROUND('Calc base'!F$13*AW311,2))&lt;1,ROUND(AW311*(1+'Calc base'!K312),2),MAX('Calc base'!F$12,ROUND('Calc base'!F$13*AW311,2))))</f>
        <v>0</v>
      </c>
      <c r="N312">
        <f>IF(AX311&lt;=0,0,IF(ROUND(AX311*(1+'Calc base'!L312),2)-MAX('Calc base'!G$12,ROUND('Calc base'!G$13*AX311,2))&lt;1,ROUND(AX311*(1+'Calc base'!L312),2),MAX('Calc base'!G$12,ROUND('Calc base'!G$13*AX311,2))))</f>
        <v>0</v>
      </c>
      <c r="O312">
        <f>IF(AY311&lt;=0,0,IF(ROUND(AY311*(1+'Calc base'!M312),2)-MAX('Calc base'!H$12,ROUND('Calc base'!H$13*AY311,2))&lt;1,ROUND(AY311*(1+'Calc base'!M312),2),MAX('Calc base'!H$12,ROUND('Calc base'!H$13*AY311,2))))</f>
        <v>0</v>
      </c>
      <c r="P312">
        <f>IF(AZ311&lt;=0,0,IF(ROUND(AZ311*(1+'Calc base'!N312),2)-MAX('Calc base'!I$12,ROUND('Calc base'!I$13*AZ311,2))&lt;1,ROUND(AZ311*(1+'Calc base'!N312),2),MAX('Calc base'!I$12,ROUND('Calc base'!I$13*AZ311,2))))</f>
        <v>0</v>
      </c>
      <c r="Q312">
        <f>IF(BA311&lt;=0,0,IF(ROUND(BA311*(1+'Calc base'!O312),2)-MAX('Calc base'!J$12,ROUND('Calc base'!J$13*BA311,2))&lt;1,ROUND(BA311*(1+'Calc base'!O312),2),MAX('Calc base'!J$12,ROUND('Calc base'!J$13*BA311,2))))</f>
        <v>0</v>
      </c>
      <c r="R312">
        <f>IF(BB311&lt;=0,0,IF(ROUND(BB311*(1+'Calc base'!P312),2)-MAX('Calc base'!K$12,ROUND('Calc base'!K$13*BB311,2))&lt;1,ROUND(BB311*(1+'Calc base'!P312),2),MAX('Calc base'!K$12,ROUND('Calc base'!K$13*BB311,2))))</f>
        <v>0</v>
      </c>
      <c r="S312">
        <f>IF(BC311&lt;=0,0,IF(ROUND(BC311*(1+'Calc base'!Q312),2)-MAX('Calc base'!L$12,ROUND('Calc base'!L$13*BC311,2))&lt;1,ROUND(BC311*(1+'Calc base'!Q312),2),MAX('Calc base'!L$12,ROUND('Calc base'!L$13*BC311,2))))</f>
        <v>0</v>
      </c>
      <c r="T312">
        <f>IF(BD311&lt;=0,0,IF(ROUND(BD311*(1+'Calc base'!R312),2)-MAX('Calc base'!M$12,ROUND('Calc base'!M$13*BD311,2))&lt;1,ROUND(BD311*(1+'Calc base'!R312),2),MAX('Calc base'!M$12,ROUND('Calc base'!M$13*BD311,2))))</f>
        <v>0</v>
      </c>
      <c r="U312">
        <f>IF(BE311&lt;=0,0,IF(ROUND(BE311*(1+'Calc base'!S312),2)-MAX('Calc base'!N$12,ROUND('Calc base'!N$13*BE311,2))&lt;1,ROUND(BE311*(1+'Calc base'!S312),2),MAX('Calc base'!N$12,ROUND('Calc base'!N$13*BE311,2))))</f>
        <v>0</v>
      </c>
      <c r="V312">
        <f>MAX(0,ROUND(AT311*(1+'Calc base'!H312),2)-J312-'Calc base'!T312)</f>
        <v>0</v>
      </c>
      <c r="W312">
        <f>MAX(0,ROUND(AU311*(1+'Calc base'!I312),2)-K312-'Calc base'!U312)</f>
        <v>0</v>
      </c>
      <c r="X312">
        <f>MAX(0,ROUND(AV311*(1+'Calc base'!J312),2)-L312-'Calc base'!V312)</f>
        <v>0</v>
      </c>
      <c r="Y312">
        <f>MAX(0,ROUND(AW311*(1+'Calc base'!K312),2)-M312-'Calc base'!W312)</f>
        <v>0</v>
      </c>
      <c r="Z312">
        <f>MAX(0,ROUND(AX311*(1+'Calc base'!L312),2)-N312-'Calc base'!X312)</f>
        <v>0</v>
      </c>
      <c r="AA312">
        <f>MAX(0,ROUND(AY311*(1+'Calc base'!M312),2)-O312-'Calc base'!Y312)</f>
        <v>0</v>
      </c>
      <c r="AB312">
        <f>MAX(0,ROUND(AZ311*(1+'Calc base'!N312),2)-P312-'Calc base'!Z312)</f>
        <v>0</v>
      </c>
      <c r="AC312">
        <f>MAX(0,ROUND(BA311*(1+'Calc base'!O312),2)-Q312-'Calc base'!AA312)</f>
        <v>0</v>
      </c>
      <c r="AD312">
        <f>MAX(0,ROUND(BB311*(1+'Calc base'!P312),2)-R312-'Calc base'!AB312)</f>
        <v>0</v>
      </c>
      <c r="AE312">
        <f>MAX(0,ROUND(BC311*(1+'Calc base'!Q312),2)-S312-'Calc base'!AC312)</f>
        <v>0</v>
      </c>
      <c r="AF312">
        <f>MAX(0,ROUND(BD311*(1+'Calc base'!R312),2)-T312-'Calc base'!AD312)</f>
        <v>0</v>
      </c>
      <c r="AG312">
        <f>MAX(0,ROUND(BE311*(1+'Calc base'!S312),2)-U312-'Calc base'!AE312)</f>
        <v>0</v>
      </c>
      <c r="AH312">
        <f>IF('Calc base'!C$14=0,0,MIN(V312,MAX(0,$E312-SUMIFS($V312:$AG312,'Calc base'!$C$17:$N$17,"&lt;"&amp;'Calc base'!C$17,'Calc base'!$C$14:$N$14,1))))</f>
        <v>0</v>
      </c>
      <c r="AI312">
        <f>IF('Calc base'!D$14=0,0,MIN(W312,MAX(0,$E312-SUMIFS($V312:$AG312,'Calc base'!$C$17:$N$17,"&lt;"&amp;'Calc base'!D$17,'Calc base'!$C$14:$N$14,1))))</f>
        <v>0</v>
      </c>
      <c r="AJ312">
        <f>IF('Calc base'!E$14=0,0,MIN(X312,MAX(0,$E312-SUMIFS($V312:$AG312,'Calc base'!$C$17:$N$17,"&lt;"&amp;'Calc base'!E$17,'Calc base'!$C$14:$N$14,1))))</f>
        <v>0</v>
      </c>
      <c r="AK312">
        <f>IF('Calc base'!F$14=0,0,MIN(Y312,MAX(0,$E312-SUMIFS($V312:$AG312,'Calc base'!$C$17:$N$17,"&lt;"&amp;'Calc base'!F$17,'Calc base'!$C$14:$N$14,1))))</f>
        <v>0</v>
      </c>
      <c r="AL312">
        <f>IF('Calc base'!G$14=0,0,MIN(Z312,MAX(0,$E312-SUMIFS($V312:$AG312,'Calc base'!$C$17:$N$17,"&lt;"&amp;'Calc base'!G$17,'Calc base'!$C$14:$N$14,1))))</f>
        <v>0</v>
      </c>
      <c r="AM312">
        <f>IF('Calc base'!H$14=0,0,MIN(AA312,MAX(0,$E312-SUMIFS($V312:$AG312,'Calc base'!$C$17:$N$17,"&lt;"&amp;'Calc base'!H$17,'Calc base'!$C$14:$N$14,1))))</f>
        <v>0</v>
      </c>
      <c r="AN312">
        <f>IF('Calc base'!I$14=0,0,MIN(AB312,MAX(0,$E312-SUMIFS($V312:$AG312,'Calc base'!$C$17:$N$17,"&lt;"&amp;'Calc base'!I$17,'Calc base'!$C$14:$N$14,1))))</f>
        <v>0</v>
      </c>
      <c r="AO312">
        <f>IF('Calc base'!J$14=0,0,MIN(AC312,MAX(0,$E312-SUMIFS($V312:$AG312,'Calc base'!$C$17:$N$17,"&lt;"&amp;'Calc base'!J$17,'Calc base'!$C$14:$N$14,1))))</f>
        <v>0</v>
      </c>
      <c r="AP312">
        <f>IF('Calc base'!K$14=0,0,MIN(AD312,MAX(0,$E312-SUMIFS($V312:$AG312,'Calc base'!$C$17:$N$17,"&lt;"&amp;'Calc base'!K$17,'Calc base'!$C$14:$N$14,1))))</f>
        <v>0</v>
      </c>
      <c r="AQ312">
        <f>IF('Calc base'!L$14=0,0,MIN(AE312,MAX(0,$E312-SUMIFS($V312:$AG312,'Calc base'!$C$17:$N$17,"&lt;"&amp;'Calc base'!L$17,'Calc base'!$C$14:$N$14,1))))</f>
        <v>0</v>
      </c>
      <c r="AR312">
        <f>IF('Calc base'!M$14=0,0,MIN(AF312,MAX(0,$E312-SUMIFS($V312:$AG312,'Calc base'!$C$17:$N$17,"&lt;"&amp;'Calc base'!M$17,'Calc base'!$C$14:$N$14,1))))</f>
        <v>0</v>
      </c>
      <c r="AS312">
        <f>IF('Calc base'!N$14=0,0,MIN(AG312,MAX(0,$E312-SUMIFS($V312:$AG312,'Calc base'!$C$17:$N$17,"&lt;"&amp;'Calc base'!N$17,'Calc base'!$C$14:$N$14,1))))</f>
        <v>0</v>
      </c>
      <c r="AT312">
        <f>V312-AH312</f>
        <v>0</v>
      </c>
      <c r="AU312">
        <f>W312-AI312</f>
        <v>0</v>
      </c>
      <c r="AV312">
        <f>X312-AJ312</f>
        <v>0</v>
      </c>
      <c r="AW312">
        <f>Y312-AK312</f>
        <v>0</v>
      </c>
      <c r="AX312">
        <f>Z312-AL312</f>
        <v>0</v>
      </c>
      <c r="AY312">
        <f>AA312-AM312</f>
        <v>0</v>
      </c>
      <c r="AZ312">
        <f>AB312-AN312</f>
        <v>0</v>
      </c>
      <c r="BA312">
        <f>AC312-AO312</f>
        <v>0</v>
      </c>
      <c r="BB312">
        <f>AD312-AP312</f>
        <v>0</v>
      </c>
      <c r="BC312">
        <f>AE312-AQ312</f>
        <v>0</v>
      </c>
      <c r="BD312">
        <f>AF312-AR312</f>
        <v>0</v>
      </c>
      <c r="BE312">
        <f>AG312-AS312</f>
        <v>0</v>
      </c>
    </row>
    <row r="313">
      <c r="A313" t="n">
        <v>283</v>
      </c>
      <c r="B313">
        <f>SUMPRODUCT(ROUND($AT312:$BE312*(1+'Calc base'!$H313:$S313),2))</f>
        <v>0</v>
      </c>
      <c r="C313">
        <f>SUM(J313:U313)</f>
        <v>0</v>
      </c>
      <c r="D313">
        <f>SUM(V313:AG313)</f>
        <v>0</v>
      </c>
      <c r="E313">
        <f>MAX(0,IF(Impostazioni!$B$7="No",'Calc base'!$C313-$C$31,'Calc base'!$C313-C313)+'Calc base'!$G313+'Calc base'!$F313-(B313-C313-D313))</f>
        <v>900</v>
      </c>
      <c r="F313">
        <f>SUM(AH313:AS313)</f>
        <v>0</v>
      </c>
      <c r="G313">
        <f>SUM(AT313:BE313)</f>
        <v>0</v>
      </c>
      <c r="H313">
        <f>B313-G312</f>
        <v>0</v>
      </c>
      <c r="I313">
        <f>B313-G313</f>
        <v>0</v>
      </c>
      <c r="J313">
        <f>IF(AT312&lt;=0,0,IF(ROUND(AT312*(1+'Calc base'!H313),2)-MAX('Calc base'!C$12,ROUND('Calc base'!C$13*AT312,2))&lt;1,ROUND(AT312*(1+'Calc base'!H313),2),MAX('Calc base'!C$12,ROUND('Calc base'!C$13*AT312,2))))</f>
        <v>0</v>
      </c>
      <c r="K313">
        <f>IF(AU312&lt;=0,0,IF(ROUND(AU312*(1+'Calc base'!I313),2)-MAX('Calc base'!D$12,ROUND('Calc base'!D$13*AU312,2))&lt;1,ROUND(AU312*(1+'Calc base'!I313),2),MAX('Calc base'!D$12,ROUND('Calc base'!D$13*AU312,2))))</f>
        <v>0</v>
      </c>
      <c r="L313">
        <f>IF(AV312&lt;=0,0,IF(ROUND(AV312*(1+'Calc base'!J313),2)-MAX('Calc base'!E$12,ROUND('Calc base'!E$13*AV312,2))&lt;1,ROUND(AV312*(1+'Calc base'!J313),2),MAX('Calc base'!E$12,ROUND('Calc base'!E$13*AV312,2))))</f>
        <v>0</v>
      </c>
      <c r="M313">
        <f>IF(AW312&lt;=0,0,IF(ROUND(AW312*(1+'Calc base'!K313),2)-MAX('Calc base'!F$12,ROUND('Calc base'!F$13*AW312,2))&lt;1,ROUND(AW312*(1+'Calc base'!K313),2),MAX('Calc base'!F$12,ROUND('Calc base'!F$13*AW312,2))))</f>
        <v>0</v>
      </c>
      <c r="N313">
        <f>IF(AX312&lt;=0,0,IF(ROUND(AX312*(1+'Calc base'!L313),2)-MAX('Calc base'!G$12,ROUND('Calc base'!G$13*AX312,2))&lt;1,ROUND(AX312*(1+'Calc base'!L313),2),MAX('Calc base'!G$12,ROUND('Calc base'!G$13*AX312,2))))</f>
        <v>0</v>
      </c>
      <c r="O313">
        <f>IF(AY312&lt;=0,0,IF(ROUND(AY312*(1+'Calc base'!M313),2)-MAX('Calc base'!H$12,ROUND('Calc base'!H$13*AY312,2))&lt;1,ROUND(AY312*(1+'Calc base'!M313),2),MAX('Calc base'!H$12,ROUND('Calc base'!H$13*AY312,2))))</f>
        <v>0</v>
      </c>
      <c r="P313">
        <f>IF(AZ312&lt;=0,0,IF(ROUND(AZ312*(1+'Calc base'!N313),2)-MAX('Calc base'!I$12,ROUND('Calc base'!I$13*AZ312,2))&lt;1,ROUND(AZ312*(1+'Calc base'!N313),2),MAX('Calc base'!I$12,ROUND('Calc base'!I$13*AZ312,2))))</f>
        <v>0</v>
      </c>
      <c r="Q313">
        <f>IF(BA312&lt;=0,0,IF(ROUND(BA312*(1+'Calc base'!O313),2)-MAX('Calc base'!J$12,ROUND('Calc base'!J$13*BA312,2))&lt;1,ROUND(BA312*(1+'Calc base'!O313),2),MAX('Calc base'!J$12,ROUND('Calc base'!J$13*BA312,2))))</f>
        <v>0</v>
      </c>
      <c r="R313">
        <f>IF(BB312&lt;=0,0,IF(ROUND(BB312*(1+'Calc base'!P313),2)-MAX('Calc base'!K$12,ROUND('Calc base'!K$13*BB312,2))&lt;1,ROUND(BB312*(1+'Calc base'!P313),2),MAX('Calc base'!K$12,ROUND('Calc base'!K$13*BB312,2))))</f>
        <v>0</v>
      </c>
      <c r="S313">
        <f>IF(BC312&lt;=0,0,IF(ROUND(BC312*(1+'Calc base'!Q313),2)-MAX('Calc base'!L$12,ROUND('Calc base'!L$13*BC312,2))&lt;1,ROUND(BC312*(1+'Calc base'!Q313),2),MAX('Calc base'!L$12,ROUND('Calc base'!L$13*BC312,2))))</f>
        <v>0</v>
      </c>
      <c r="T313">
        <f>IF(BD312&lt;=0,0,IF(ROUND(BD312*(1+'Calc base'!R313),2)-MAX('Calc base'!M$12,ROUND('Calc base'!M$13*BD312,2))&lt;1,ROUND(BD312*(1+'Calc base'!R313),2),MAX('Calc base'!M$12,ROUND('Calc base'!M$13*BD312,2))))</f>
        <v>0</v>
      </c>
      <c r="U313">
        <f>IF(BE312&lt;=0,0,IF(ROUND(BE312*(1+'Calc base'!S313),2)-MAX('Calc base'!N$12,ROUND('Calc base'!N$13*BE312,2))&lt;1,ROUND(BE312*(1+'Calc base'!S313),2),MAX('Calc base'!N$12,ROUND('Calc base'!N$13*BE312,2))))</f>
        <v>0</v>
      </c>
      <c r="V313">
        <f>MAX(0,ROUND(AT312*(1+'Calc base'!H313),2)-J313-'Calc base'!T313)</f>
        <v>0</v>
      </c>
      <c r="W313">
        <f>MAX(0,ROUND(AU312*(1+'Calc base'!I313),2)-K313-'Calc base'!U313)</f>
        <v>0</v>
      </c>
      <c r="X313">
        <f>MAX(0,ROUND(AV312*(1+'Calc base'!J313),2)-L313-'Calc base'!V313)</f>
        <v>0</v>
      </c>
      <c r="Y313">
        <f>MAX(0,ROUND(AW312*(1+'Calc base'!K313),2)-M313-'Calc base'!W313)</f>
        <v>0</v>
      </c>
      <c r="Z313">
        <f>MAX(0,ROUND(AX312*(1+'Calc base'!L313),2)-N313-'Calc base'!X313)</f>
        <v>0</v>
      </c>
      <c r="AA313">
        <f>MAX(0,ROUND(AY312*(1+'Calc base'!M313),2)-O313-'Calc base'!Y313)</f>
        <v>0</v>
      </c>
      <c r="AB313">
        <f>MAX(0,ROUND(AZ312*(1+'Calc base'!N313),2)-P313-'Calc base'!Z313)</f>
        <v>0</v>
      </c>
      <c r="AC313">
        <f>MAX(0,ROUND(BA312*(1+'Calc base'!O313),2)-Q313-'Calc base'!AA313)</f>
        <v>0</v>
      </c>
      <c r="AD313">
        <f>MAX(0,ROUND(BB312*(1+'Calc base'!P313),2)-R313-'Calc base'!AB313)</f>
        <v>0</v>
      </c>
      <c r="AE313">
        <f>MAX(0,ROUND(BC312*(1+'Calc base'!Q313),2)-S313-'Calc base'!AC313)</f>
        <v>0</v>
      </c>
      <c r="AF313">
        <f>MAX(0,ROUND(BD312*(1+'Calc base'!R313),2)-T313-'Calc base'!AD313)</f>
        <v>0</v>
      </c>
      <c r="AG313">
        <f>MAX(0,ROUND(BE312*(1+'Calc base'!S313),2)-U313-'Calc base'!AE313)</f>
        <v>0</v>
      </c>
      <c r="AH313">
        <f>IF('Calc base'!C$14=0,0,MIN(V313,MAX(0,$E313-SUMIFS($V313:$AG313,'Calc base'!$C$17:$N$17,"&lt;"&amp;'Calc base'!C$17,'Calc base'!$C$14:$N$14,1))))</f>
        <v>0</v>
      </c>
      <c r="AI313">
        <f>IF('Calc base'!D$14=0,0,MIN(W313,MAX(0,$E313-SUMIFS($V313:$AG313,'Calc base'!$C$17:$N$17,"&lt;"&amp;'Calc base'!D$17,'Calc base'!$C$14:$N$14,1))))</f>
        <v>0</v>
      </c>
      <c r="AJ313">
        <f>IF('Calc base'!E$14=0,0,MIN(X313,MAX(0,$E313-SUMIFS($V313:$AG313,'Calc base'!$C$17:$N$17,"&lt;"&amp;'Calc base'!E$17,'Calc base'!$C$14:$N$14,1))))</f>
        <v>0</v>
      </c>
      <c r="AK313">
        <f>IF('Calc base'!F$14=0,0,MIN(Y313,MAX(0,$E313-SUMIFS($V313:$AG313,'Calc base'!$C$17:$N$17,"&lt;"&amp;'Calc base'!F$17,'Calc base'!$C$14:$N$14,1))))</f>
        <v>0</v>
      </c>
      <c r="AL313">
        <f>IF('Calc base'!G$14=0,0,MIN(Z313,MAX(0,$E313-SUMIFS($V313:$AG313,'Calc base'!$C$17:$N$17,"&lt;"&amp;'Calc base'!G$17,'Calc base'!$C$14:$N$14,1))))</f>
        <v>0</v>
      </c>
      <c r="AM313">
        <f>IF('Calc base'!H$14=0,0,MIN(AA313,MAX(0,$E313-SUMIFS($V313:$AG313,'Calc base'!$C$17:$N$17,"&lt;"&amp;'Calc base'!H$17,'Calc base'!$C$14:$N$14,1))))</f>
        <v>0</v>
      </c>
      <c r="AN313">
        <f>IF('Calc base'!I$14=0,0,MIN(AB313,MAX(0,$E313-SUMIFS($V313:$AG313,'Calc base'!$C$17:$N$17,"&lt;"&amp;'Calc base'!I$17,'Calc base'!$C$14:$N$14,1))))</f>
        <v>0</v>
      </c>
      <c r="AO313">
        <f>IF('Calc base'!J$14=0,0,MIN(AC313,MAX(0,$E313-SUMIFS($V313:$AG313,'Calc base'!$C$17:$N$17,"&lt;"&amp;'Calc base'!J$17,'Calc base'!$C$14:$N$14,1))))</f>
        <v>0</v>
      </c>
      <c r="AP313">
        <f>IF('Calc base'!K$14=0,0,MIN(AD313,MAX(0,$E313-SUMIFS($V313:$AG313,'Calc base'!$C$17:$N$17,"&lt;"&amp;'Calc base'!K$17,'Calc base'!$C$14:$N$14,1))))</f>
        <v>0</v>
      </c>
      <c r="AQ313">
        <f>IF('Calc base'!L$14=0,0,MIN(AE313,MAX(0,$E313-SUMIFS($V313:$AG313,'Calc base'!$C$17:$N$17,"&lt;"&amp;'Calc base'!L$17,'Calc base'!$C$14:$N$14,1))))</f>
        <v>0</v>
      </c>
      <c r="AR313">
        <f>IF('Calc base'!M$14=0,0,MIN(AF313,MAX(0,$E313-SUMIFS($V313:$AG313,'Calc base'!$C$17:$N$17,"&lt;"&amp;'Calc base'!M$17,'Calc base'!$C$14:$N$14,1))))</f>
        <v>0</v>
      </c>
      <c r="AS313">
        <f>IF('Calc base'!N$14=0,0,MIN(AG313,MAX(0,$E313-SUMIFS($V313:$AG313,'Calc base'!$C$17:$N$17,"&lt;"&amp;'Calc base'!N$17,'Calc base'!$C$14:$N$14,1))))</f>
        <v>0</v>
      </c>
      <c r="AT313">
        <f>V313-AH313</f>
        <v>0</v>
      </c>
      <c r="AU313">
        <f>W313-AI313</f>
        <v>0</v>
      </c>
      <c r="AV313">
        <f>X313-AJ313</f>
        <v>0</v>
      </c>
      <c r="AW313">
        <f>Y313-AK313</f>
        <v>0</v>
      </c>
      <c r="AX313">
        <f>Z313-AL313</f>
        <v>0</v>
      </c>
      <c r="AY313">
        <f>AA313-AM313</f>
        <v>0</v>
      </c>
      <c r="AZ313">
        <f>AB313-AN313</f>
        <v>0</v>
      </c>
      <c r="BA313">
        <f>AC313-AO313</f>
        <v>0</v>
      </c>
      <c r="BB313">
        <f>AD313-AP313</f>
        <v>0</v>
      </c>
      <c r="BC313">
        <f>AE313-AQ313</f>
        <v>0</v>
      </c>
      <c r="BD313">
        <f>AF313-AR313</f>
        <v>0</v>
      </c>
      <c r="BE313">
        <f>AG313-AS313</f>
        <v>0</v>
      </c>
    </row>
    <row r="314">
      <c r="A314" t="n">
        <v>284</v>
      </c>
      <c r="B314">
        <f>SUMPRODUCT(ROUND($AT313:$BE313*(1+'Calc base'!$H314:$S314),2))</f>
        <v>0</v>
      </c>
      <c r="C314">
        <f>SUM(J314:U314)</f>
        <v>0</v>
      </c>
      <c r="D314">
        <f>SUM(V314:AG314)</f>
        <v>0</v>
      </c>
      <c r="E314">
        <f>MAX(0,IF(Impostazioni!$B$7="No",'Calc base'!$C314-$C$31,'Calc base'!$C314-C314)+'Calc base'!$G314+'Calc base'!$F314-(B314-C314-D314))</f>
        <v>900</v>
      </c>
      <c r="F314">
        <f>SUM(AH314:AS314)</f>
        <v>0</v>
      </c>
      <c r="G314">
        <f>SUM(AT314:BE314)</f>
        <v>0</v>
      </c>
      <c r="H314">
        <f>B314-G313</f>
        <v>0</v>
      </c>
      <c r="I314">
        <f>B314-G314</f>
        <v>0</v>
      </c>
      <c r="J314">
        <f>IF(AT313&lt;=0,0,IF(ROUND(AT313*(1+'Calc base'!H314),2)-MAX('Calc base'!C$12,ROUND('Calc base'!C$13*AT313,2))&lt;1,ROUND(AT313*(1+'Calc base'!H314),2),MAX('Calc base'!C$12,ROUND('Calc base'!C$13*AT313,2))))</f>
        <v>0</v>
      </c>
      <c r="K314">
        <f>IF(AU313&lt;=0,0,IF(ROUND(AU313*(1+'Calc base'!I314),2)-MAX('Calc base'!D$12,ROUND('Calc base'!D$13*AU313,2))&lt;1,ROUND(AU313*(1+'Calc base'!I314),2),MAX('Calc base'!D$12,ROUND('Calc base'!D$13*AU313,2))))</f>
        <v>0</v>
      </c>
      <c r="L314">
        <f>IF(AV313&lt;=0,0,IF(ROUND(AV313*(1+'Calc base'!J314),2)-MAX('Calc base'!E$12,ROUND('Calc base'!E$13*AV313,2))&lt;1,ROUND(AV313*(1+'Calc base'!J314),2),MAX('Calc base'!E$12,ROUND('Calc base'!E$13*AV313,2))))</f>
        <v>0</v>
      </c>
      <c r="M314">
        <f>IF(AW313&lt;=0,0,IF(ROUND(AW313*(1+'Calc base'!K314),2)-MAX('Calc base'!F$12,ROUND('Calc base'!F$13*AW313,2))&lt;1,ROUND(AW313*(1+'Calc base'!K314),2),MAX('Calc base'!F$12,ROUND('Calc base'!F$13*AW313,2))))</f>
        <v>0</v>
      </c>
      <c r="N314">
        <f>IF(AX313&lt;=0,0,IF(ROUND(AX313*(1+'Calc base'!L314),2)-MAX('Calc base'!G$12,ROUND('Calc base'!G$13*AX313,2))&lt;1,ROUND(AX313*(1+'Calc base'!L314),2),MAX('Calc base'!G$12,ROUND('Calc base'!G$13*AX313,2))))</f>
        <v>0</v>
      </c>
      <c r="O314">
        <f>IF(AY313&lt;=0,0,IF(ROUND(AY313*(1+'Calc base'!M314),2)-MAX('Calc base'!H$12,ROUND('Calc base'!H$13*AY313,2))&lt;1,ROUND(AY313*(1+'Calc base'!M314),2),MAX('Calc base'!H$12,ROUND('Calc base'!H$13*AY313,2))))</f>
        <v>0</v>
      </c>
      <c r="P314">
        <f>IF(AZ313&lt;=0,0,IF(ROUND(AZ313*(1+'Calc base'!N314),2)-MAX('Calc base'!I$12,ROUND('Calc base'!I$13*AZ313,2))&lt;1,ROUND(AZ313*(1+'Calc base'!N314),2),MAX('Calc base'!I$12,ROUND('Calc base'!I$13*AZ313,2))))</f>
        <v>0</v>
      </c>
      <c r="Q314">
        <f>IF(BA313&lt;=0,0,IF(ROUND(BA313*(1+'Calc base'!O314),2)-MAX('Calc base'!J$12,ROUND('Calc base'!J$13*BA313,2))&lt;1,ROUND(BA313*(1+'Calc base'!O314),2),MAX('Calc base'!J$12,ROUND('Calc base'!J$13*BA313,2))))</f>
        <v>0</v>
      </c>
      <c r="R314">
        <f>IF(BB313&lt;=0,0,IF(ROUND(BB313*(1+'Calc base'!P314),2)-MAX('Calc base'!K$12,ROUND('Calc base'!K$13*BB313,2))&lt;1,ROUND(BB313*(1+'Calc base'!P314),2),MAX('Calc base'!K$12,ROUND('Calc base'!K$13*BB313,2))))</f>
        <v>0</v>
      </c>
      <c r="S314">
        <f>IF(BC313&lt;=0,0,IF(ROUND(BC313*(1+'Calc base'!Q314),2)-MAX('Calc base'!L$12,ROUND('Calc base'!L$13*BC313,2))&lt;1,ROUND(BC313*(1+'Calc base'!Q314),2),MAX('Calc base'!L$12,ROUND('Calc base'!L$13*BC313,2))))</f>
        <v>0</v>
      </c>
      <c r="T314">
        <f>IF(BD313&lt;=0,0,IF(ROUND(BD313*(1+'Calc base'!R314),2)-MAX('Calc base'!M$12,ROUND('Calc base'!M$13*BD313,2))&lt;1,ROUND(BD313*(1+'Calc base'!R314),2),MAX('Calc base'!M$12,ROUND('Calc base'!M$13*BD313,2))))</f>
        <v>0</v>
      </c>
      <c r="U314">
        <f>IF(BE313&lt;=0,0,IF(ROUND(BE313*(1+'Calc base'!S314),2)-MAX('Calc base'!N$12,ROUND('Calc base'!N$13*BE313,2))&lt;1,ROUND(BE313*(1+'Calc base'!S314),2),MAX('Calc base'!N$12,ROUND('Calc base'!N$13*BE313,2))))</f>
        <v>0</v>
      </c>
      <c r="V314">
        <f>MAX(0,ROUND(AT313*(1+'Calc base'!H314),2)-J314-'Calc base'!T314)</f>
        <v>0</v>
      </c>
      <c r="W314">
        <f>MAX(0,ROUND(AU313*(1+'Calc base'!I314),2)-K314-'Calc base'!U314)</f>
        <v>0</v>
      </c>
      <c r="X314">
        <f>MAX(0,ROUND(AV313*(1+'Calc base'!J314),2)-L314-'Calc base'!V314)</f>
        <v>0</v>
      </c>
      <c r="Y314">
        <f>MAX(0,ROUND(AW313*(1+'Calc base'!K314),2)-M314-'Calc base'!W314)</f>
        <v>0</v>
      </c>
      <c r="Z314">
        <f>MAX(0,ROUND(AX313*(1+'Calc base'!L314),2)-N314-'Calc base'!X314)</f>
        <v>0</v>
      </c>
      <c r="AA314">
        <f>MAX(0,ROUND(AY313*(1+'Calc base'!M314),2)-O314-'Calc base'!Y314)</f>
        <v>0</v>
      </c>
      <c r="AB314">
        <f>MAX(0,ROUND(AZ313*(1+'Calc base'!N314),2)-P314-'Calc base'!Z314)</f>
        <v>0</v>
      </c>
      <c r="AC314">
        <f>MAX(0,ROUND(BA313*(1+'Calc base'!O314),2)-Q314-'Calc base'!AA314)</f>
        <v>0</v>
      </c>
      <c r="AD314">
        <f>MAX(0,ROUND(BB313*(1+'Calc base'!P314),2)-R314-'Calc base'!AB314)</f>
        <v>0</v>
      </c>
      <c r="AE314">
        <f>MAX(0,ROUND(BC313*(1+'Calc base'!Q314),2)-S314-'Calc base'!AC314)</f>
        <v>0</v>
      </c>
      <c r="AF314">
        <f>MAX(0,ROUND(BD313*(1+'Calc base'!R314),2)-T314-'Calc base'!AD314)</f>
        <v>0</v>
      </c>
      <c r="AG314">
        <f>MAX(0,ROUND(BE313*(1+'Calc base'!S314),2)-U314-'Calc base'!AE314)</f>
        <v>0</v>
      </c>
      <c r="AH314">
        <f>IF('Calc base'!C$14=0,0,MIN(V314,MAX(0,$E314-SUMIFS($V314:$AG314,'Calc base'!$C$17:$N$17,"&lt;"&amp;'Calc base'!C$17,'Calc base'!$C$14:$N$14,1))))</f>
        <v>0</v>
      </c>
      <c r="AI314">
        <f>IF('Calc base'!D$14=0,0,MIN(W314,MAX(0,$E314-SUMIFS($V314:$AG314,'Calc base'!$C$17:$N$17,"&lt;"&amp;'Calc base'!D$17,'Calc base'!$C$14:$N$14,1))))</f>
        <v>0</v>
      </c>
      <c r="AJ314">
        <f>IF('Calc base'!E$14=0,0,MIN(X314,MAX(0,$E314-SUMIFS($V314:$AG314,'Calc base'!$C$17:$N$17,"&lt;"&amp;'Calc base'!E$17,'Calc base'!$C$14:$N$14,1))))</f>
        <v>0</v>
      </c>
      <c r="AK314">
        <f>IF('Calc base'!F$14=0,0,MIN(Y314,MAX(0,$E314-SUMIFS($V314:$AG314,'Calc base'!$C$17:$N$17,"&lt;"&amp;'Calc base'!F$17,'Calc base'!$C$14:$N$14,1))))</f>
        <v>0</v>
      </c>
      <c r="AL314">
        <f>IF('Calc base'!G$14=0,0,MIN(Z314,MAX(0,$E314-SUMIFS($V314:$AG314,'Calc base'!$C$17:$N$17,"&lt;"&amp;'Calc base'!G$17,'Calc base'!$C$14:$N$14,1))))</f>
        <v>0</v>
      </c>
      <c r="AM314">
        <f>IF('Calc base'!H$14=0,0,MIN(AA314,MAX(0,$E314-SUMIFS($V314:$AG314,'Calc base'!$C$17:$N$17,"&lt;"&amp;'Calc base'!H$17,'Calc base'!$C$14:$N$14,1))))</f>
        <v>0</v>
      </c>
      <c r="AN314">
        <f>IF('Calc base'!I$14=0,0,MIN(AB314,MAX(0,$E314-SUMIFS($V314:$AG314,'Calc base'!$C$17:$N$17,"&lt;"&amp;'Calc base'!I$17,'Calc base'!$C$14:$N$14,1))))</f>
        <v>0</v>
      </c>
      <c r="AO314">
        <f>IF('Calc base'!J$14=0,0,MIN(AC314,MAX(0,$E314-SUMIFS($V314:$AG314,'Calc base'!$C$17:$N$17,"&lt;"&amp;'Calc base'!J$17,'Calc base'!$C$14:$N$14,1))))</f>
        <v>0</v>
      </c>
      <c r="AP314">
        <f>IF('Calc base'!K$14=0,0,MIN(AD314,MAX(0,$E314-SUMIFS($V314:$AG314,'Calc base'!$C$17:$N$17,"&lt;"&amp;'Calc base'!K$17,'Calc base'!$C$14:$N$14,1))))</f>
        <v>0</v>
      </c>
      <c r="AQ314">
        <f>IF('Calc base'!L$14=0,0,MIN(AE314,MAX(0,$E314-SUMIFS($V314:$AG314,'Calc base'!$C$17:$N$17,"&lt;"&amp;'Calc base'!L$17,'Calc base'!$C$14:$N$14,1))))</f>
        <v>0</v>
      </c>
      <c r="AR314">
        <f>IF('Calc base'!M$14=0,0,MIN(AF314,MAX(0,$E314-SUMIFS($V314:$AG314,'Calc base'!$C$17:$N$17,"&lt;"&amp;'Calc base'!M$17,'Calc base'!$C$14:$N$14,1))))</f>
        <v>0</v>
      </c>
      <c r="AS314">
        <f>IF('Calc base'!N$14=0,0,MIN(AG314,MAX(0,$E314-SUMIFS($V314:$AG314,'Calc base'!$C$17:$N$17,"&lt;"&amp;'Calc base'!N$17,'Calc base'!$C$14:$N$14,1))))</f>
        <v>0</v>
      </c>
      <c r="AT314">
        <f>V314-AH314</f>
        <v>0</v>
      </c>
      <c r="AU314">
        <f>W314-AI314</f>
        <v>0</v>
      </c>
      <c r="AV314">
        <f>X314-AJ314</f>
        <v>0</v>
      </c>
      <c r="AW314">
        <f>Y314-AK314</f>
        <v>0</v>
      </c>
      <c r="AX314">
        <f>Z314-AL314</f>
        <v>0</v>
      </c>
      <c r="AY314">
        <f>AA314-AM314</f>
        <v>0</v>
      </c>
      <c r="AZ314">
        <f>AB314-AN314</f>
        <v>0</v>
      </c>
      <c r="BA314">
        <f>AC314-AO314</f>
        <v>0</v>
      </c>
      <c r="BB314">
        <f>AD314-AP314</f>
        <v>0</v>
      </c>
      <c r="BC314">
        <f>AE314-AQ314</f>
        <v>0</v>
      </c>
      <c r="BD314">
        <f>AF314-AR314</f>
        <v>0</v>
      </c>
      <c r="BE314">
        <f>AG314-AS314</f>
        <v>0</v>
      </c>
    </row>
    <row r="315">
      <c r="A315" t="n">
        <v>285</v>
      </c>
      <c r="B315">
        <f>SUMPRODUCT(ROUND($AT314:$BE314*(1+'Calc base'!$H315:$S315),2))</f>
        <v>0</v>
      </c>
      <c r="C315">
        <f>SUM(J315:U315)</f>
        <v>0</v>
      </c>
      <c r="D315">
        <f>SUM(V315:AG315)</f>
        <v>0</v>
      </c>
      <c r="E315">
        <f>MAX(0,IF(Impostazioni!$B$7="No",'Calc base'!$C315-$C$31,'Calc base'!$C315-C315)+'Calc base'!$G315+'Calc base'!$F315-(B315-C315-D315))</f>
        <v>900</v>
      </c>
      <c r="F315">
        <f>SUM(AH315:AS315)</f>
        <v>0</v>
      </c>
      <c r="G315">
        <f>SUM(AT315:BE315)</f>
        <v>0</v>
      </c>
      <c r="H315">
        <f>B315-G314</f>
        <v>0</v>
      </c>
      <c r="I315">
        <f>B315-G315</f>
        <v>0</v>
      </c>
      <c r="J315">
        <f>IF(AT314&lt;=0,0,IF(ROUND(AT314*(1+'Calc base'!H315),2)-MAX('Calc base'!C$12,ROUND('Calc base'!C$13*AT314,2))&lt;1,ROUND(AT314*(1+'Calc base'!H315),2),MAX('Calc base'!C$12,ROUND('Calc base'!C$13*AT314,2))))</f>
        <v>0</v>
      </c>
      <c r="K315">
        <f>IF(AU314&lt;=0,0,IF(ROUND(AU314*(1+'Calc base'!I315),2)-MAX('Calc base'!D$12,ROUND('Calc base'!D$13*AU314,2))&lt;1,ROUND(AU314*(1+'Calc base'!I315),2),MAX('Calc base'!D$12,ROUND('Calc base'!D$13*AU314,2))))</f>
        <v>0</v>
      </c>
      <c r="L315">
        <f>IF(AV314&lt;=0,0,IF(ROUND(AV314*(1+'Calc base'!J315),2)-MAX('Calc base'!E$12,ROUND('Calc base'!E$13*AV314,2))&lt;1,ROUND(AV314*(1+'Calc base'!J315),2),MAX('Calc base'!E$12,ROUND('Calc base'!E$13*AV314,2))))</f>
        <v>0</v>
      </c>
      <c r="M315">
        <f>IF(AW314&lt;=0,0,IF(ROUND(AW314*(1+'Calc base'!K315),2)-MAX('Calc base'!F$12,ROUND('Calc base'!F$13*AW314,2))&lt;1,ROUND(AW314*(1+'Calc base'!K315),2),MAX('Calc base'!F$12,ROUND('Calc base'!F$13*AW314,2))))</f>
        <v>0</v>
      </c>
      <c r="N315">
        <f>IF(AX314&lt;=0,0,IF(ROUND(AX314*(1+'Calc base'!L315),2)-MAX('Calc base'!G$12,ROUND('Calc base'!G$13*AX314,2))&lt;1,ROUND(AX314*(1+'Calc base'!L315),2),MAX('Calc base'!G$12,ROUND('Calc base'!G$13*AX314,2))))</f>
        <v>0</v>
      </c>
      <c r="O315">
        <f>IF(AY314&lt;=0,0,IF(ROUND(AY314*(1+'Calc base'!M315),2)-MAX('Calc base'!H$12,ROUND('Calc base'!H$13*AY314,2))&lt;1,ROUND(AY314*(1+'Calc base'!M315),2),MAX('Calc base'!H$12,ROUND('Calc base'!H$13*AY314,2))))</f>
        <v>0</v>
      </c>
      <c r="P315">
        <f>IF(AZ314&lt;=0,0,IF(ROUND(AZ314*(1+'Calc base'!N315),2)-MAX('Calc base'!I$12,ROUND('Calc base'!I$13*AZ314,2))&lt;1,ROUND(AZ314*(1+'Calc base'!N315),2),MAX('Calc base'!I$12,ROUND('Calc base'!I$13*AZ314,2))))</f>
        <v>0</v>
      </c>
      <c r="Q315">
        <f>IF(BA314&lt;=0,0,IF(ROUND(BA314*(1+'Calc base'!O315),2)-MAX('Calc base'!J$12,ROUND('Calc base'!J$13*BA314,2))&lt;1,ROUND(BA314*(1+'Calc base'!O315),2),MAX('Calc base'!J$12,ROUND('Calc base'!J$13*BA314,2))))</f>
        <v>0</v>
      </c>
      <c r="R315">
        <f>IF(BB314&lt;=0,0,IF(ROUND(BB314*(1+'Calc base'!P315),2)-MAX('Calc base'!K$12,ROUND('Calc base'!K$13*BB314,2))&lt;1,ROUND(BB314*(1+'Calc base'!P315),2),MAX('Calc base'!K$12,ROUND('Calc base'!K$13*BB314,2))))</f>
        <v>0</v>
      </c>
      <c r="S315">
        <f>IF(BC314&lt;=0,0,IF(ROUND(BC314*(1+'Calc base'!Q315),2)-MAX('Calc base'!L$12,ROUND('Calc base'!L$13*BC314,2))&lt;1,ROUND(BC314*(1+'Calc base'!Q315),2),MAX('Calc base'!L$12,ROUND('Calc base'!L$13*BC314,2))))</f>
        <v>0</v>
      </c>
      <c r="T315">
        <f>IF(BD314&lt;=0,0,IF(ROUND(BD314*(1+'Calc base'!R315),2)-MAX('Calc base'!M$12,ROUND('Calc base'!M$13*BD314,2))&lt;1,ROUND(BD314*(1+'Calc base'!R315),2),MAX('Calc base'!M$12,ROUND('Calc base'!M$13*BD314,2))))</f>
        <v>0</v>
      </c>
      <c r="U315">
        <f>IF(BE314&lt;=0,0,IF(ROUND(BE314*(1+'Calc base'!S315),2)-MAX('Calc base'!N$12,ROUND('Calc base'!N$13*BE314,2))&lt;1,ROUND(BE314*(1+'Calc base'!S315),2),MAX('Calc base'!N$12,ROUND('Calc base'!N$13*BE314,2))))</f>
        <v>0</v>
      </c>
      <c r="V315">
        <f>MAX(0,ROUND(AT314*(1+'Calc base'!H315),2)-J315-'Calc base'!T315)</f>
        <v>0</v>
      </c>
      <c r="W315">
        <f>MAX(0,ROUND(AU314*(1+'Calc base'!I315),2)-K315-'Calc base'!U315)</f>
        <v>0</v>
      </c>
      <c r="X315">
        <f>MAX(0,ROUND(AV314*(1+'Calc base'!J315),2)-L315-'Calc base'!V315)</f>
        <v>0</v>
      </c>
      <c r="Y315">
        <f>MAX(0,ROUND(AW314*(1+'Calc base'!K315),2)-M315-'Calc base'!W315)</f>
        <v>0</v>
      </c>
      <c r="Z315">
        <f>MAX(0,ROUND(AX314*(1+'Calc base'!L315),2)-N315-'Calc base'!X315)</f>
        <v>0</v>
      </c>
      <c r="AA315">
        <f>MAX(0,ROUND(AY314*(1+'Calc base'!M315),2)-O315-'Calc base'!Y315)</f>
        <v>0</v>
      </c>
      <c r="AB315">
        <f>MAX(0,ROUND(AZ314*(1+'Calc base'!N315),2)-P315-'Calc base'!Z315)</f>
        <v>0</v>
      </c>
      <c r="AC315">
        <f>MAX(0,ROUND(BA314*(1+'Calc base'!O315),2)-Q315-'Calc base'!AA315)</f>
        <v>0</v>
      </c>
      <c r="AD315">
        <f>MAX(0,ROUND(BB314*(1+'Calc base'!P315),2)-R315-'Calc base'!AB315)</f>
        <v>0</v>
      </c>
      <c r="AE315">
        <f>MAX(0,ROUND(BC314*(1+'Calc base'!Q315),2)-S315-'Calc base'!AC315)</f>
        <v>0</v>
      </c>
      <c r="AF315">
        <f>MAX(0,ROUND(BD314*(1+'Calc base'!R315),2)-T315-'Calc base'!AD315)</f>
        <v>0</v>
      </c>
      <c r="AG315">
        <f>MAX(0,ROUND(BE314*(1+'Calc base'!S315),2)-U315-'Calc base'!AE315)</f>
        <v>0</v>
      </c>
      <c r="AH315">
        <f>IF('Calc base'!C$14=0,0,MIN(V315,MAX(0,$E315-SUMIFS($V315:$AG315,'Calc base'!$C$17:$N$17,"&lt;"&amp;'Calc base'!C$17,'Calc base'!$C$14:$N$14,1))))</f>
        <v>0</v>
      </c>
      <c r="AI315">
        <f>IF('Calc base'!D$14=0,0,MIN(W315,MAX(0,$E315-SUMIFS($V315:$AG315,'Calc base'!$C$17:$N$17,"&lt;"&amp;'Calc base'!D$17,'Calc base'!$C$14:$N$14,1))))</f>
        <v>0</v>
      </c>
      <c r="AJ315">
        <f>IF('Calc base'!E$14=0,0,MIN(X315,MAX(0,$E315-SUMIFS($V315:$AG315,'Calc base'!$C$17:$N$17,"&lt;"&amp;'Calc base'!E$17,'Calc base'!$C$14:$N$14,1))))</f>
        <v>0</v>
      </c>
      <c r="AK315">
        <f>IF('Calc base'!F$14=0,0,MIN(Y315,MAX(0,$E315-SUMIFS($V315:$AG315,'Calc base'!$C$17:$N$17,"&lt;"&amp;'Calc base'!F$17,'Calc base'!$C$14:$N$14,1))))</f>
        <v>0</v>
      </c>
      <c r="AL315">
        <f>IF('Calc base'!G$14=0,0,MIN(Z315,MAX(0,$E315-SUMIFS($V315:$AG315,'Calc base'!$C$17:$N$17,"&lt;"&amp;'Calc base'!G$17,'Calc base'!$C$14:$N$14,1))))</f>
        <v>0</v>
      </c>
      <c r="AM315">
        <f>IF('Calc base'!H$14=0,0,MIN(AA315,MAX(0,$E315-SUMIFS($V315:$AG315,'Calc base'!$C$17:$N$17,"&lt;"&amp;'Calc base'!H$17,'Calc base'!$C$14:$N$14,1))))</f>
        <v>0</v>
      </c>
      <c r="AN315">
        <f>IF('Calc base'!I$14=0,0,MIN(AB315,MAX(0,$E315-SUMIFS($V315:$AG315,'Calc base'!$C$17:$N$17,"&lt;"&amp;'Calc base'!I$17,'Calc base'!$C$14:$N$14,1))))</f>
        <v>0</v>
      </c>
      <c r="AO315">
        <f>IF('Calc base'!J$14=0,0,MIN(AC315,MAX(0,$E315-SUMIFS($V315:$AG315,'Calc base'!$C$17:$N$17,"&lt;"&amp;'Calc base'!J$17,'Calc base'!$C$14:$N$14,1))))</f>
        <v>0</v>
      </c>
      <c r="AP315">
        <f>IF('Calc base'!K$14=0,0,MIN(AD315,MAX(0,$E315-SUMIFS($V315:$AG315,'Calc base'!$C$17:$N$17,"&lt;"&amp;'Calc base'!K$17,'Calc base'!$C$14:$N$14,1))))</f>
        <v>0</v>
      </c>
      <c r="AQ315">
        <f>IF('Calc base'!L$14=0,0,MIN(AE315,MAX(0,$E315-SUMIFS($V315:$AG315,'Calc base'!$C$17:$N$17,"&lt;"&amp;'Calc base'!L$17,'Calc base'!$C$14:$N$14,1))))</f>
        <v>0</v>
      </c>
      <c r="AR315">
        <f>IF('Calc base'!M$14=0,0,MIN(AF315,MAX(0,$E315-SUMIFS($V315:$AG315,'Calc base'!$C$17:$N$17,"&lt;"&amp;'Calc base'!M$17,'Calc base'!$C$14:$N$14,1))))</f>
        <v>0</v>
      </c>
      <c r="AS315">
        <f>IF('Calc base'!N$14=0,0,MIN(AG315,MAX(0,$E315-SUMIFS($V315:$AG315,'Calc base'!$C$17:$N$17,"&lt;"&amp;'Calc base'!N$17,'Calc base'!$C$14:$N$14,1))))</f>
        <v>0</v>
      </c>
      <c r="AT315">
        <f>V315-AH315</f>
        <v>0</v>
      </c>
      <c r="AU315">
        <f>W315-AI315</f>
        <v>0</v>
      </c>
      <c r="AV315">
        <f>X315-AJ315</f>
        <v>0</v>
      </c>
      <c r="AW315">
        <f>Y315-AK315</f>
        <v>0</v>
      </c>
      <c r="AX315">
        <f>Z315-AL315</f>
        <v>0</v>
      </c>
      <c r="AY315">
        <f>AA315-AM315</f>
        <v>0</v>
      </c>
      <c r="AZ315">
        <f>AB315-AN315</f>
        <v>0</v>
      </c>
      <c r="BA315">
        <f>AC315-AO315</f>
        <v>0</v>
      </c>
      <c r="BB315">
        <f>AD315-AP315</f>
        <v>0</v>
      </c>
      <c r="BC315">
        <f>AE315-AQ315</f>
        <v>0</v>
      </c>
      <c r="BD315">
        <f>AF315-AR315</f>
        <v>0</v>
      </c>
      <c r="BE315">
        <f>AG315-AS315</f>
        <v>0</v>
      </c>
    </row>
    <row r="316">
      <c r="A316" t="n">
        <v>286</v>
      </c>
      <c r="B316">
        <f>SUMPRODUCT(ROUND($AT315:$BE315*(1+'Calc base'!$H316:$S316),2))</f>
        <v>0</v>
      </c>
      <c r="C316">
        <f>SUM(J316:U316)</f>
        <v>0</v>
      </c>
      <c r="D316">
        <f>SUM(V316:AG316)</f>
        <v>0</v>
      </c>
      <c r="E316">
        <f>MAX(0,IF(Impostazioni!$B$7="No",'Calc base'!$C316-$C$31,'Calc base'!$C316-C316)+'Calc base'!$G316+'Calc base'!$F316-(B316-C316-D316))</f>
        <v>900</v>
      </c>
      <c r="F316">
        <f>SUM(AH316:AS316)</f>
        <v>0</v>
      </c>
      <c r="G316">
        <f>SUM(AT316:BE316)</f>
        <v>0</v>
      </c>
      <c r="H316">
        <f>B316-G315</f>
        <v>0</v>
      </c>
      <c r="I316">
        <f>B316-G316</f>
        <v>0</v>
      </c>
      <c r="J316">
        <f>IF(AT315&lt;=0,0,IF(ROUND(AT315*(1+'Calc base'!H316),2)-MAX('Calc base'!C$12,ROUND('Calc base'!C$13*AT315,2))&lt;1,ROUND(AT315*(1+'Calc base'!H316),2),MAX('Calc base'!C$12,ROUND('Calc base'!C$13*AT315,2))))</f>
        <v>0</v>
      </c>
      <c r="K316">
        <f>IF(AU315&lt;=0,0,IF(ROUND(AU315*(1+'Calc base'!I316),2)-MAX('Calc base'!D$12,ROUND('Calc base'!D$13*AU315,2))&lt;1,ROUND(AU315*(1+'Calc base'!I316),2),MAX('Calc base'!D$12,ROUND('Calc base'!D$13*AU315,2))))</f>
        <v>0</v>
      </c>
      <c r="L316">
        <f>IF(AV315&lt;=0,0,IF(ROUND(AV315*(1+'Calc base'!J316),2)-MAX('Calc base'!E$12,ROUND('Calc base'!E$13*AV315,2))&lt;1,ROUND(AV315*(1+'Calc base'!J316),2),MAX('Calc base'!E$12,ROUND('Calc base'!E$13*AV315,2))))</f>
        <v>0</v>
      </c>
      <c r="M316">
        <f>IF(AW315&lt;=0,0,IF(ROUND(AW315*(1+'Calc base'!K316),2)-MAX('Calc base'!F$12,ROUND('Calc base'!F$13*AW315,2))&lt;1,ROUND(AW315*(1+'Calc base'!K316),2),MAX('Calc base'!F$12,ROUND('Calc base'!F$13*AW315,2))))</f>
        <v>0</v>
      </c>
      <c r="N316">
        <f>IF(AX315&lt;=0,0,IF(ROUND(AX315*(1+'Calc base'!L316),2)-MAX('Calc base'!G$12,ROUND('Calc base'!G$13*AX315,2))&lt;1,ROUND(AX315*(1+'Calc base'!L316),2),MAX('Calc base'!G$12,ROUND('Calc base'!G$13*AX315,2))))</f>
        <v>0</v>
      </c>
      <c r="O316">
        <f>IF(AY315&lt;=0,0,IF(ROUND(AY315*(1+'Calc base'!M316),2)-MAX('Calc base'!H$12,ROUND('Calc base'!H$13*AY315,2))&lt;1,ROUND(AY315*(1+'Calc base'!M316),2),MAX('Calc base'!H$12,ROUND('Calc base'!H$13*AY315,2))))</f>
        <v>0</v>
      </c>
      <c r="P316">
        <f>IF(AZ315&lt;=0,0,IF(ROUND(AZ315*(1+'Calc base'!N316),2)-MAX('Calc base'!I$12,ROUND('Calc base'!I$13*AZ315,2))&lt;1,ROUND(AZ315*(1+'Calc base'!N316),2),MAX('Calc base'!I$12,ROUND('Calc base'!I$13*AZ315,2))))</f>
        <v>0</v>
      </c>
      <c r="Q316">
        <f>IF(BA315&lt;=0,0,IF(ROUND(BA315*(1+'Calc base'!O316),2)-MAX('Calc base'!J$12,ROUND('Calc base'!J$13*BA315,2))&lt;1,ROUND(BA315*(1+'Calc base'!O316),2),MAX('Calc base'!J$12,ROUND('Calc base'!J$13*BA315,2))))</f>
        <v>0</v>
      </c>
      <c r="R316">
        <f>IF(BB315&lt;=0,0,IF(ROUND(BB315*(1+'Calc base'!P316),2)-MAX('Calc base'!K$12,ROUND('Calc base'!K$13*BB315,2))&lt;1,ROUND(BB315*(1+'Calc base'!P316),2),MAX('Calc base'!K$12,ROUND('Calc base'!K$13*BB315,2))))</f>
        <v>0</v>
      </c>
      <c r="S316">
        <f>IF(BC315&lt;=0,0,IF(ROUND(BC315*(1+'Calc base'!Q316),2)-MAX('Calc base'!L$12,ROUND('Calc base'!L$13*BC315,2))&lt;1,ROUND(BC315*(1+'Calc base'!Q316),2),MAX('Calc base'!L$12,ROUND('Calc base'!L$13*BC315,2))))</f>
        <v>0</v>
      </c>
      <c r="T316">
        <f>IF(BD315&lt;=0,0,IF(ROUND(BD315*(1+'Calc base'!R316),2)-MAX('Calc base'!M$12,ROUND('Calc base'!M$13*BD315,2))&lt;1,ROUND(BD315*(1+'Calc base'!R316),2),MAX('Calc base'!M$12,ROUND('Calc base'!M$13*BD315,2))))</f>
        <v>0</v>
      </c>
      <c r="U316">
        <f>IF(BE315&lt;=0,0,IF(ROUND(BE315*(1+'Calc base'!S316),2)-MAX('Calc base'!N$12,ROUND('Calc base'!N$13*BE315,2))&lt;1,ROUND(BE315*(1+'Calc base'!S316),2),MAX('Calc base'!N$12,ROUND('Calc base'!N$13*BE315,2))))</f>
        <v>0</v>
      </c>
      <c r="V316">
        <f>MAX(0,ROUND(AT315*(1+'Calc base'!H316),2)-J316-'Calc base'!T316)</f>
        <v>0</v>
      </c>
      <c r="W316">
        <f>MAX(0,ROUND(AU315*(1+'Calc base'!I316),2)-K316-'Calc base'!U316)</f>
        <v>0</v>
      </c>
      <c r="X316">
        <f>MAX(0,ROUND(AV315*(1+'Calc base'!J316),2)-L316-'Calc base'!V316)</f>
        <v>0</v>
      </c>
      <c r="Y316">
        <f>MAX(0,ROUND(AW315*(1+'Calc base'!K316),2)-M316-'Calc base'!W316)</f>
        <v>0</v>
      </c>
      <c r="Z316">
        <f>MAX(0,ROUND(AX315*(1+'Calc base'!L316),2)-N316-'Calc base'!X316)</f>
        <v>0</v>
      </c>
      <c r="AA316">
        <f>MAX(0,ROUND(AY315*(1+'Calc base'!M316),2)-O316-'Calc base'!Y316)</f>
        <v>0</v>
      </c>
      <c r="AB316">
        <f>MAX(0,ROUND(AZ315*(1+'Calc base'!N316),2)-P316-'Calc base'!Z316)</f>
        <v>0</v>
      </c>
      <c r="AC316">
        <f>MAX(0,ROUND(BA315*(1+'Calc base'!O316),2)-Q316-'Calc base'!AA316)</f>
        <v>0</v>
      </c>
      <c r="AD316">
        <f>MAX(0,ROUND(BB315*(1+'Calc base'!P316),2)-R316-'Calc base'!AB316)</f>
        <v>0</v>
      </c>
      <c r="AE316">
        <f>MAX(0,ROUND(BC315*(1+'Calc base'!Q316),2)-S316-'Calc base'!AC316)</f>
        <v>0</v>
      </c>
      <c r="AF316">
        <f>MAX(0,ROUND(BD315*(1+'Calc base'!R316),2)-T316-'Calc base'!AD316)</f>
        <v>0</v>
      </c>
      <c r="AG316">
        <f>MAX(0,ROUND(BE315*(1+'Calc base'!S316),2)-U316-'Calc base'!AE316)</f>
        <v>0</v>
      </c>
      <c r="AH316">
        <f>IF('Calc base'!C$14=0,0,MIN(V316,MAX(0,$E316-SUMIFS($V316:$AG316,'Calc base'!$C$17:$N$17,"&lt;"&amp;'Calc base'!C$17,'Calc base'!$C$14:$N$14,1))))</f>
        <v>0</v>
      </c>
      <c r="AI316">
        <f>IF('Calc base'!D$14=0,0,MIN(W316,MAX(0,$E316-SUMIFS($V316:$AG316,'Calc base'!$C$17:$N$17,"&lt;"&amp;'Calc base'!D$17,'Calc base'!$C$14:$N$14,1))))</f>
        <v>0</v>
      </c>
      <c r="AJ316">
        <f>IF('Calc base'!E$14=0,0,MIN(X316,MAX(0,$E316-SUMIFS($V316:$AG316,'Calc base'!$C$17:$N$17,"&lt;"&amp;'Calc base'!E$17,'Calc base'!$C$14:$N$14,1))))</f>
        <v>0</v>
      </c>
      <c r="AK316">
        <f>IF('Calc base'!F$14=0,0,MIN(Y316,MAX(0,$E316-SUMIFS($V316:$AG316,'Calc base'!$C$17:$N$17,"&lt;"&amp;'Calc base'!F$17,'Calc base'!$C$14:$N$14,1))))</f>
        <v>0</v>
      </c>
      <c r="AL316">
        <f>IF('Calc base'!G$14=0,0,MIN(Z316,MAX(0,$E316-SUMIFS($V316:$AG316,'Calc base'!$C$17:$N$17,"&lt;"&amp;'Calc base'!G$17,'Calc base'!$C$14:$N$14,1))))</f>
        <v>0</v>
      </c>
      <c r="AM316">
        <f>IF('Calc base'!H$14=0,0,MIN(AA316,MAX(0,$E316-SUMIFS($V316:$AG316,'Calc base'!$C$17:$N$17,"&lt;"&amp;'Calc base'!H$17,'Calc base'!$C$14:$N$14,1))))</f>
        <v>0</v>
      </c>
      <c r="AN316">
        <f>IF('Calc base'!I$14=0,0,MIN(AB316,MAX(0,$E316-SUMIFS($V316:$AG316,'Calc base'!$C$17:$N$17,"&lt;"&amp;'Calc base'!I$17,'Calc base'!$C$14:$N$14,1))))</f>
        <v>0</v>
      </c>
      <c r="AO316">
        <f>IF('Calc base'!J$14=0,0,MIN(AC316,MAX(0,$E316-SUMIFS($V316:$AG316,'Calc base'!$C$17:$N$17,"&lt;"&amp;'Calc base'!J$17,'Calc base'!$C$14:$N$14,1))))</f>
        <v>0</v>
      </c>
      <c r="AP316">
        <f>IF('Calc base'!K$14=0,0,MIN(AD316,MAX(0,$E316-SUMIFS($V316:$AG316,'Calc base'!$C$17:$N$17,"&lt;"&amp;'Calc base'!K$17,'Calc base'!$C$14:$N$14,1))))</f>
        <v>0</v>
      </c>
      <c r="AQ316">
        <f>IF('Calc base'!L$14=0,0,MIN(AE316,MAX(0,$E316-SUMIFS($V316:$AG316,'Calc base'!$C$17:$N$17,"&lt;"&amp;'Calc base'!L$17,'Calc base'!$C$14:$N$14,1))))</f>
        <v>0</v>
      </c>
      <c r="AR316">
        <f>IF('Calc base'!M$14=0,0,MIN(AF316,MAX(0,$E316-SUMIFS($V316:$AG316,'Calc base'!$C$17:$N$17,"&lt;"&amp;'Calc base'!M$17,'Calc base'!$C$14:$N$14,1))))</f>
        <v>0</v>
      </c>
      <c r="AS316">
        <f>IF('Calc base'!N$14=0,0,MIN(AG316,MAX(0,$E316-SUMIFS($V316:$AG316,'Calc base'!$C$17:$N$17,"&lt;"&amp;'Calc base'!N$17,'Calc base'!$C$14:$N$14,1))))</f>
        <v>0</v>
      </c>
      <c r="AT316">
        <f>V316-AH316</f>
        <v>0</v>
      </c>
      <c r="AU316">
        <f>W316-AI316</f>
        <v>0</v>
      </c>
      <c r="AV316">
        <f>X316-AJ316</f>
        <v>0</v>
      </c>
      <c r="AW316">
        <f>Y316-AK316</f>
        <v>0</v>
      </c>
      <c r="AX316">
        <f>Z316-AL316</f>
        <v>0</v>
      </c>
      <c r="AY316">
        <f>AA316-AM316</f>
        <v>0</v>
      </c>
      <c r="AZ316">
        <f>AB316-AN316</f>
        <v>0</v>
      </c>
      <c r="BA316">
        <f>AC316-AO316</f>
        <v>0</v>
      </c>
      <c r="BB316">
        <f>AD316-AP316</f>
        <v>0</v>
      </c>
      <c r="BC316">
        <f>AE316-AQ316</f>
        <v>0</v>
      </c>
      <c r="BD316">
        <f>AF316-AR316</f>
        <v>0</v>
      </c>
      <c r="BE316">
        <f>AG316-AS316</f>
        <v>0</v>
      </c>
    </row>
    <row r="317">
      <c r="A317" t="n">
        <v>287</v>
      </c>
      <c r="B317">
        <f>SUMPRODUCT(ROUND($AT316:$BE316*(1+'Calc base'!$H317:$S317),2))</f>
        <v>0</v>
      </c>
      <c r="C317">
        <f>SUM(J317:U317)</f>
        <v>0</v>
      </c>
      <c r="D317">
        <f>SUM(V317:AG317)</f>
        <v>0</v>
      </c>
      <c r="E317">
        <f>MAX(0,IF(Impostazioni!$B$7="No",'Calc base'!$C317-$C$31,'Calc base'!$C317-C317)+'Calc base'!$G317+'Calc base'!$F317-(B317-C317-D317))</f>
        <v>900</v>
      </c>
      <c r="F317">
        <f>SUM(AH317:AS317)</f>
        <v>0</v>
      </c>
      <c r="G317">
        <f>SUM(AT317:BE317)</f>
        <v>0</v>
      </c>
      <c r="H317">
        <f>B317-G316</f>
        <v>0</v>
      </c>
      <c r="I317">
        <f>B317-G317</f>
        <v>0</v>
      </c>
      <c r="J317">
        <f>IF(AT316&lt;=0,0,IF(ROUND(AT316*(1+'Calc base'!H317),2)-MAX('Calc base'!C$12,ROUND('Calc base'!C$13*AT316,2))&lt;1,ROUND(AT316*(1+'Calc base'!H317),2),MAX('Calc base'!C$12,ROUND('Calc base'!C$13*AT316,2))))</f>
        <v>0</v>
      </c>
      <c r="K317">
        <f>IF(AU316&lt;=0,0,IF(ROUND(AU316*(1+'Calc base'!I317),2)-MAX('Calc base'!D$12,ROUND('Calc base'!D$13*AU316,2))&lt;1,ROUND(AU316*(1+'Calc base'!I317),2),MAX('Calc base'!D$12,ROUND('Calc base'!D$13*AU316,2))))</f>
        <v>0</v>
      </c>
      <c r="L317">
        <f>IF(AV316&lt;=0,0,IF(ROUND(AV316*(1+'Calc base'!J317),2)-MAX('Calc base'!E$12,ROUND('Calc base'!E$13*AV316,2))&lt;1,ROUND(AV316*(1+'Calc base'!J317),2),MAX('Calc base'!E$12,ROUND('Calc base'!E$13*AV316,2))))</f>
        <v>0</v>
      </c>
      <c r="M317">
        <f>IF(AW316&lt;=0,0,IF(ROUND(AW316*(1+'Calc base'!K317),2)-MAX('Calc base'!F$12,ROUND('Calc base'!F$13*AW316,2))&lt;1,ROUND(AW316*(1+'Calc base'!K317),2),MAX('Calc base'!F$12,ROUND('Calc base'!F$13*AW316,2))))</f>
        <v>0</v>
      </c>
      <c r="N317">
        <f>IF(AX316&lt;=0,0,IF(ROUND(AX316*(1+'Calc base'!L317),2)-MAX('Calc base'!G$12,ROUND('Calc base'!G$13*AX316,2))&lt;1,ROUND(AX316*(1+'Calc base'!L317),2),MAX('Calc base'!G$12,ROUND('Calc base'!G$13*AX316,2))))</f>
        <v>0</v>
      </c>
      <c r="O317">
        <f>IF(AY316&lt;=0,0,IF(ROUND(AY316*(1+'Calc base'!M317),2)-MAX('Calc base'!H$12,ROUND('Calc base'!H$13*AY316,2))&lt;1,ROUND(AY316*(1+'Calc base'!M317),2),MAX('Calc base'!H$12,ROUND('Calc base'!H$13*AY316,2))))</f>
        <v>0</v>
      </c>
      <c r="P317">
        <f>IF(AZ316&lt;=0,0,IF(ROUND(AZ316*(1+'Calc base'!N317),2)-MAX('Calc base'!I$12,ROUND('Calc base'!I$13*AZ316,2))&lt;1,ROUND(AZ316*(1+'Calc base'!N317),2),MAX('Calc base'!I$12,ROUND('Calc base'!I$13*AZ316,2))))</f>
        <v>0</v>
      </c>
      <c r="Q317">
        <f>IF(BA316&lt;=0,0,IF(ROUND(BA316*(1+'Calc base'!O317),2)-MAX('Calc base'!J$12,ROUND('Calc base'!J$13*BA316,2))&lt;1,ROUND(BA316*(1+'Calc base'!O317),2),MAX('Calc base'!J$12,ROUND('Calc base'!J$13*BA316,2))))</f>
        <v>0</v>
      </c>
      <c r="R317">
        <f>IF(BB316&lt;=0,0,IF(ROUND(BB316*(1+'Calc base'!P317),2)-MAX('Calc base'!K$12,ROUND('Calc base'!K$13*BB316,2))&lt;1,ROUND(BB316*(1+'Calc base'!P317),2),MAX('Calc base'!K$12,ROUND('Calc base'!K$13*BB316,2))))</f>
        <v>0</v>
      </c>
      <c r="S317">
        <f>IF(BC316&lt;=0,0,IF(ROUND(BC316*(1+'Calc base'!Q317),2)-MAX('Calc base'!L$12,ROUND('Calc base'!L$13*BC316,2))&lt;1,ROUND(BC316*(1+'Calc base'!Q317),2),MAX('Calc base'!L$12,ROUND('Calc base'!L$13*BC316,2))))</f>
        <v>0</v>
      </c>
      <c r="T317">
        <f>IF(BD316&lt;=0,0,IF(ROUND(BD316*(1+'Calc base'!R317),2)-MAX('Calc base'!M$12,ROUND('Calc base'!M$13*BD316,2))&lt;1,ROUND(BD316*(1+'Calc base'!R317),2),MAX('Calc base'!M$12,ROUND('Calc base'!M$13*BD316,2))))</f>
        <v>0</v>
      </c>
      <c r="U317">
        <f>IF(BE316&lt;=0,0,IF(ROUND(BE316*(1+'Calc base'!S317),2)-MAX('Calc base'!N$12,ROUND('Calc base'!N$13*BE316,2))&lt;1,ROUND(BE316*(1+'Calc base'!S317),2),MAX('Calc base'!N$12,ROUND('Calc base'!N$13*BE316,2))))</f>
        <v>0</v>
      </c>
      <c r="V317">
        <f>MAX(0,ROUND(AT316*(1+'Calc base'!H317),2)-J317-'Calc base'!T317)</f>
        <v>0</v>
      </c>
      <c r="W317">
        <f>MAX(0,ROUND(AU316*(1+'Calc base'!I317),2)-K317-'Calc base'!U317)</f>
        <v>0</v>
      </c>
      <c r="X317">
        <f>MAX(0,ROUND(AV316*(1+'Calc base'!J317),2)-L317-'Calc base'!V317)</f>
        <v>0</v>
      </c>
      <c r="Y317">
        <f>MAX(0,ROUND(AW316*(1+'Calc base'!K317),2)-M317-'Calc base'!W317)</f>
        <v>0</v>
      </c>
      <c r="Z317">
        <f>MAX(0,ROUND(AX316*(1+'Calc base'!L317),2)-N317-'Calc base'!X317)</f>
        <v>0</v>
      </c>
      <c r="AA317">
        <f>MAX(0,ROUND(AY316*(1+'Calc base'!M317),2)-O317-'Calc base'!Y317)</f>
        <v>0</v>
      </c>
      <c r="AB317">
        <f>MAX(0,ROUND(AZ316*(1+'Calc base'!N317),2)-P317-'Calc base'!Z317)</f>
        <v>0</v>
      </c>
      <c r="AC317">
        <f>MAX(0,ROUND(BA316*(1+'Calc base'!O317),2)-Q317-'Calc base'!AA317)</f>
        <v>0</v>
      </c>
      <c r="AD317">
        <f>MAX(0,ROUND(BB316*(1+'Calc base'!P317),2)-R317-'Calc base'!AB317)</f>
        <v>0</v>
      </c>
      <c r="AE317">
        <f>MAX(0,ROUND(BC316*(1+'Calc base'!Q317),2)-S317-'Calc base'!AC317)</f>
        <v>0</v>
      </c>
      <c r="AF317">
        <f>MAX(0,ROUND(BD316*(1+'Calc base'!R317),2)-T317-'Calc base'!AD317)</f>
        <v>0</v>
      </c>
      <c r="AG317">
        <f>MAX(0,ROUND(BE316*(1+'Calc base'!S317),2)-U317-'Calc base'!AE317)</f>
        <v>0</v>
      </c>
      <c r="AH317">
        <f>IF('Calc base'!C$14=0,0,MIN(V317,MAX(0,$E317-SUMIFS($V317:$AG317,'Calc base'!$C$17:$N$17,"&lt;"&amp;'Calc base'!C$17,'Calc base'!$C$14:$N$14,1))))</f>
        <v>0</v>
      </c>
      <c r="AI317">
        <f>IF('Calc base'!D$14=0,0,MIN(W317,MAX(0,$E317-SUMIFS($V317:$AG317,'Calc base'!$C$17:$N$17,"&lt;"&amp;'Calc base'!D$17,'Calc base'!$C$14:$N$14,1))))</f>
        <v>0</v>
      </c>
      <c r="AJ317">
        <f>IF('Calc base'!E$14=0,0,MIN(X317,MAX(0,$E317-SUMIFS($V317:$AG317,'Calc base'!$C$17:$N$17,"&lt;"&amp;'Calc base'!E$17,'Calc base'!$C$14:$N$14,1))))</f>
        <v>0</v>
      </c>
      <c r="AK317">
        <f>IF('Calc base'!F$14=0,0,MIN(Y317,MAX(0,$E317-SUMIFS($V317:$AG317,'Calc base'!$C$17:$N$17,"&lt;"&amp;'Calc base'!F$17,'Calc base'!$C$14:$N$14,1))))</f>
        <v>0</v>
      </c>
      <c r="AL317">
        <f>IF('Calc base'!G$14=0,0,MIN(Z317,MAX(0,$E317-SUMIFS($V317:$AG317,'Calc base'!$C$17:$N$17,"&lt;"&amp;'Calc base'!G$17,'Calc base'!$C$14:$N$14,1))))</f>
        <v>0</v>
      </c>
      <c r="AM317">
        <f>IF('Calc base'!H$14=0,0,MIN(AA317,MAX(0,$E317-SUMIFS($V317:$AG317,'Calc base'!$C$17:$N$17,"&lt;"&amp;'Calc base'!H$17,'Calc base'!$C$14:$N$14,1))))</f>
        <v>0</v>
      </c>
      <c r="AN317">
        <f>IF('Calc base'!I$14=0,0,MIN(AB317,MAX(0,$E317-SUMIFS($V317:$AG317,'Calc base'!$C$17:$N$17,"&lt;"&amp;'Calc base'!I$17,'Calc base'!$C$14:$N$14,1))))</f>
        <v>0</v>
      </c>
      <c r="AO317">
        <f>IF('Calc base'!J$14=0,0,MIN(AC317,MAX(0,$E317-SUMIFS($V317:$AG317,'Calc base'!$C$17:$N$17,"&lt;"&amp;'Calc base'!J$17,'Calc base'!$C$14:$N$14,1))))</f>
        <v>0</v>
      </c>
      <c r="AP317">
        <f>IF('Calc base'!K$14=0,0,MIN(AD317,MAX(0,$E317-SUMIFS($V317:$AG317,'Calc base'!$C$17:$N$17,"&lt;"&amp;'Calc base'!K$17,'Calc base'!$C$14:$N$14,1))))</f>
        <v>0</v>
      </c>
      <c r="AQ317">
        <f>IF('Calc base'!L$14=0,0,MIN(AE317,MAX(0,$E317-SUMIFS($V317:$AG317,'Calc base'!$C$17:$N$17,"&lt;"&amp;'Calc base'!L$17,'Calc base'!$C$14:$N$14,1))))</f>
        <v>0</v>
      </c>
      <c r="AR317">
        <f>IF('Calc base'!M$14=0,0,MIN(AF317,MAX(0,$E317-SUMIFS($V317:$AG317,'Calc base'!$C$17:$N$17,"&lt;"&amp;'Calc base'!M$17,'Calc base'!$C$14:$N$14,1))))</f>
        <v>0</v>
      </c>
      <c r="AS317">
        <f>IF('Calc base'!N$14=0,0,MIN(AG317,MAX(0,$E317-SUMIFS($V317:$AG317,'Calc base'!$C$17:$N$17,"&lt;"&amp;'Calc base'!N$17,'Calc base'!$C$14:$N$14,1))))</f>
        <v>0</v>
      </c>
      <c r="AT317">
        <f>V317-AH317</f>
        <v>0</v>
      </c>
      <c r="AU317">
        <f>W317-AI317</f>
        <v>0</v>
      </c>
      <c r="AV317">
        <f>X317-AJ317</f>
        <v>0</v>
      </c>
      <c r="AW317">
        <f>Y317-AK317</f>
        <v>0</v>
      </c>
      <c r="AX317">
        <f>Z317-AL317</f>
        <v>0</v>
      </c>
      <c r="AY317">
        <f>AA317-AM317</f>
        <v>0</v>
      </c>
      <c r="AZ317">
        <f>AB317-AN317</f>
        <v>0</v>
      </c>
      <c r="BA317">
        <f>AC317-AO317</f>
        <v>0</v>
      </c>
      <c r="BB317">
        <f>AD317-AP317</f>
        <v>0</v>
      </c>
      <c r="BC317">
        <f>AE317-AQ317</f>
        <v>0</v>
      </c>
      <c r="BD317">
        <f>AF317-AR317</f>
        <v>0</v>
      </c>
      <c r="BE317">
        <f>AG317-AS317</f>
        <v>0</v>
      </c>
    </row>
    <row r="318">
      <c r="A318" t="n">
        <v>288</v>
      </c>
      <c r="B318">
        <f>SUMPRODUCT(ROUND($AT317:$BE317*(1+'Calc base'!$H318:$S318),2))</f>
        <v>0</v>
      </c>
      <c r="C318">
        <f>SUM(J318:U318)</f>
        <v>0</v>
      </c>
      <c r="D318">
        <f>SUM(V318:AG318)</f>
        <v>0</v>
      </c>
      <c r="E318">
        <f>MAX(0,IF(Impostazioni!$B$7="No",'Calc base'!$C318-$C$31,'Calc base'!$C318-C318)+'Calc base'!$G318+'Calc base'!$F318-(B318-C318-D318))</f>
        <v>900</v>
      </c>
      <c r="F318">
        <f>SUM(AH318:AS318)</f>
        <v>0</v>
      </c>
      <c r="G318">
        <f>SUM(AT318:BE318)</f>
        <v>0</v>
      </c>
      <c r="H318">
        <f>B318-G317</f>
        <v>0</v>
      </c>
      <c r="I318">
        <f>B318-G318</f>
        <v>0</v>
      </c>
      <c r="J318">
        <f>IF(AT317&lt;=0,0,IF(ROUND(AT317*(1+'Calc base'!H318),2)-MAX('Calc base'!C$12,ROUND('Calc base'!C$13*AT317,2))&lt;1,ROUND(AT317*(1+'Calc base'!H318),2),MAX('Calc base'!C$12,ROUND('Calc base'!C$13*AT317,2))))</f>
        <v>0</v>
      </c>
      <c r="K318">
        <f>IF(AU317&lt;=0,0,IF(ROUND(AU317*(1+'Calc base'!I318),2)-MAX('Calc base'!D$12,ROUND('Calc base'!D$13*AU317,2))&lt;1,ROUND(AU317*(1+'Calc base'!I318),2),MAX('Calc base'!D$12,ROUND('Calc base'!D$13*AU317,2))))</f>
        <v>0</v>
      </c>
      <c r="L318">
        <f>IF(AV317&lt;=0,0,IF(ROUND(AV317*(1+'Calc base'!J318),2)-MAX('Calc base'!E$12,ROUND('Calc base'!E$13*AV317,2))&lt;1,ROUND(AV317*(1+'Calc base'!J318),2),MAX('Calc base'!E$12,ROUND('Calc base'!E$13*AV317,2))))</f>
        <v>0</v>
      </c>
      <c r="M318">
        <f>IF(AW317&lt;=0,0,IF(ROUND(AW317*(1+'Calc base'!K318),2)-MAX('Calc base'!F$12,ROUND('Calc base'!F$13*AW317,2))&lt;1,ROUND(AW317*(1+'Calc base'!K318),2),MAX('Calc base'!F$12,ROUND('Calc base'!F$13*AW317,2))))</f>
        <v>0</v>
      </c>
      <c r="N318">
        <f>IF(AX317&lt;=0,0,IF(ROUND(AX317*(1+'Calc base'!L318),2)-MAX('Calc base'!G$12,ROUND('Calc base'!G$13*AX317,2))&lt;1,ROUND(AX317*(1+'Calc base'!L318),2),MAX('Calc base'!G$12,ROUND('Calc base'!G$13*AX317,2))))</f>
        <v>0</v>
      </c>
      <c r="O318">
        <f>IF(AY317&lt;=0,0,IF(ROUND(AY317*(1+'Calc base'!M318),2)-MAX('Calc base'!H$12,ROUND('Calc base'!H$13*AY317,2))&lt;1,ROUND(AY317*(1+'Calc base'!M318),2),MAX('Calc base'!H$12,ROUND('Calc base'!H$13*AY317,2))))</f>
        <v>0</v>
      </c>
      <c r="P318">
        <f>IF(AZ317&lt;=0,0,IF(ROUND(AZ317*(1+'Calc base'!N318),2)-MAX('Calc base'!I$12,ROUND('Calc base'!I$13*AZ317,2))&lt;1,ROUND(AZ317*(1+'Calc base'!N318),2),MAX('Calc base'!I$12,ROUND('Calc base'!I$13*AZ317,2))))</f>
        <v>0</v>
      </c>
      <c r="Q318">
        <f>IF(BA317&lt;=0,0,IF(ROUND(BA317*(1+'Calc base'!O318),2)-MAX('Calc base'!J$12,ROUND('Calc base'!J$13*BA317,2))&lt;1,ROUND(BA317*(1+'Calc base'!O318),2),MAX('Calc base'!J$12,ROUND('Calc base'!J$13*BA317,2))))</f>
        <v>0</v>
      </c>
      <c r="R318">
        <f>IF(BB317&lt;=0,0,IF(ROUND(BB317*(1+'Calc base'!P318),2)-MAX('Calc base'!K$12,ROUND('Calc base'!K$13*BB317,2))&lt;1,ROUND(BB317*(1+'Calc base'!P318),2),MAX('Calc base'!K$12,ROUND('Calc base'!K$13*BB317,2))))</f>
        <v>0</v>
      </c>
      <c r="S318">
        <f>IF(BC317&lt;=0,0,IF(ROUND(BC317*(1+'Calc base'!Q318),2)-MAX('Calc base'!L$12,ROUND('Calc base'!L$13*BC317,2))&lt;1,ROUND(BC317*(1+'Calc base'!Q318),2),MAX('Calc base'!L$12,ROUND('Calc base'!L$13*BC317,2))))</f>
        <v>0</v>
      </c>
      <c r="T318">
        <f>IF(BD317&lt;=0,0,IF(ROUND(BD317*(1+'Calc base'!R318),2)-MAX('Calc base'!M$12,ROUND('Calc base'!M$13*BD317,2))&lt;1,ROUND(BD317*(1+'Calc base'!R318),2),MAX('Calc base'!M$12,ROUND('Calc base'!M$13*BD317,2))))</f>
        <v>0</v>
      </c>
      <c r="U318">
        <f>IF(BE317&lt;=0,0,IF(ROUND(BE317*(1+'Calc base'!S318),2)-MAX('Calc base'!N$12,ROUND('Calc base'!N$13*BE317,2))&lt;1,ROUND(BE317*(1+'Calc base'!S318),2),MAX('Calc base'!N$12,ROUND('Calc base'!N$13*BE317,2))))</f>
        <v>0</v>
      </c>
      <c r="V318">
        <f>MAX(0,ROUND(AT317*(1+'Calc base'!H318),2)-J318-'Calc base'!T318)</f>
        <v>0</v>
      </c>
      <c r="W318">
        <f>MAX(0,ROUND(AU317*(1+'Calc base'!I318),2)-K318-'Calc base'!U318)</f>
        <v>0</v>
      </c>
      <c r="X318">
        <f>MAX(0,ROUND(AV317*(1+'Calc base'!J318),2)-L318-'Calc base'!V318)</f>
        <v>0</v>
      </c>
      <c r="Y318">
        <f>MAX(0,ROUND(AW317*(1+'Calc base'!K318),2)-M318-'Calc base'!W318)</f>
        <v>0</v>
      </c>
      <c r="Z318">
        <f>MAX(0,ROUND(AX317*(1+'Calc base'!L318),2)-N318-'Calc base'!X318)</f>
        <v>0</v>
      </c>
      <c r="AA318">
        <f>MAX(0,ROUND(AY317*(1+'Calc base'!M318),2)-O318-'Calc base'!Y318)</f>
        <v>0</v>
      </c>
      <c r="AB318">
        <f>MAX(0,ROUND(AZ317*(1+'Calc base'!N318),2)-P318-'Calc base'!Z318)</f>
        <v>0</v>
      </c>
      <c r="AC318">
        <f>MAX(0,ROUND(BA317*(1+'Calc base'!O318),2)-Q318-'Calc base'!AA318)</f>
        <v>0</v>
      </c>
      <c r="AD318">
        <f>MAX(0,ROUND(BB317*(1+'Calc base'!P318),2)-R318-'Calc base'!AB318)</f>
        <v>0</v>
      </c>
      <c r="AE318">
        <f>MAX(0,ROUND(BC317*(1+'Calc base'!Q318),2)-S318-'Calc base'!AC318)</f>
        <v>0</v>
      </c>
      <c r="AF318">
        <f>MAX(0,ROUND(BD317*(1+'Calc base'!R318),2)-T318-'Calc base'!AD318)</f>
        <v>0</v>
      </c>
      <c r="AG318">
        <f>MAX(0,ROUND(BE317*(1+'Calc base'!S318),2)-U318-'Calc base'!AE318)</f>
        <v>0</v>
      </c>
      <c r="AH318">
        <f>IF('Calc base'!C$14=0,0,MIN(V318,MAX(0,$E318-SUMIFS($V318:$AG318,'Calc base'!$C$17:$N$17,"&lt;"&amp;'Calc base'!C$17,'Calc base'!$C$14:$N$14,1))))</f>
        <v>0</v>
      </c>
      <c r="AI318">
        <f>IF('Calc base'!D$14=0,0,MIN(W318,MAX(0,$E318-SUMIFS($V318:$AG318,'Calc base'!$C$17:$N$17,"&lt;"&amp;'Calc base'!D$17,'Calc base'!$C$14:$N$14,1))))</f>
        <v>0</v>
      </c>
      <c r="AJ318">
        <f>IF('Calc base'!E$14=0,0,MIN(X318,MAX(0,$E318-SUMIFS($V318:$AG318,'Calc base'!$C$17:$N$17,"&lt;"&amp;'Calc base'!E$17,'Calc base'!$C$14:$N$14,1))))</f>
        <v>0</v>
      </c>
      <c r="AK318">
        <f>IF('Calc base'!F$14=0,0,MIN(Y318,MAX(0,$E318-SUMIFS($V318:$AG318,'Calc base'!$C$17:$N$17,"&lt;"&amp;'Calc base'!F$17,'Calc base'!$C$14:$N$14,1))))</f>
        <v>0</v>
      </c>
      <c r="AL318">
        <f>IF('Calc base'!G$14=0,0,MIN(Z318,MAX(0,$E318-SUMIFS($V318:$AG318,'Calc base'!$C$17:$N$17,"&lt;"&amp;'Calc base'!G$17,'Calc base'!$C$14:$N$14,1))))</f>
        <v>0</v>
      </c>
      <c r="AM318">
        <f>IF('Calc base'!H$14=0,0,MIN(AA318,MAX(0,$E318-SUMIFS($V318:$AG318,'Calc base'!$C$17:$N$17,"&lt;"&amp;'Calc base'!H$17,'Calc base'!$C$14:$N$14,1))))</f>
        <v>0</v>
      </c>
      <c r="AN318">
        <f>IF('Calc base'!I$14=0,0,MIN(AB318,MAX(0,$E318-SUMIFS($V318:$AG318,'Calc base'!$C$17:$N$17,"&lt;"&amp;'Calc base'!I$17,'Calc base'!$C$14:$N$14,1))))</f>
        <v>0</v>
      </c>
      <c r="AO318">
        <f>IF('Calc base'!J$14=0,0,MIN(AC318,MAX(0,$E318-SUMIFS($V318:$AG318,'Calc base'!$C$17:$N$17,"&lt;"&amp;'Calc base'!J$17,'Calc base'!$C$14:$N$14,1))))</f>
        <v>0</v>
      </c>
      <c r="AP318">
        <f>IF('Calc base'!K$14=0,0,MIN(AD318,MAX(0,$E318-SUMIFS($V318:$AG318,'Calc base'!$C$17:$N$17,"&lt;"&amp;'Calc base'!K$17,'Calc base'!$C$14:$N$14,1))))</f>
        <v>0</v>
      </c>
      <c r="AQ318">
        <f>IF('Calc base'!L$14=0,0,MIN(AE318,MAX(0,$E318-SUMIFS($V318:$AG318,'Calc base'!$C$17:$N$17,"&lt;"&amp;'Calc base'!L$17,'Calc base'!$C$14:$N$14,1))))</f>
        <v>0</v>
      </c>
      <c r="AR318">
        <f>IF('Calc base'!M$14=0,0,MIN(AF318,MAX(0,$E318-SUMIFS($V318:$AG318,'Calc base'!$C$17:$N$17,"&lt;"&amp;'Calc base'!M$17,'Calc base'!$C$14:$N$14,1))))</f>
        <v>0</v>
      </c>
      <c r="AS318">
        <f>IF('Calc base'!N$14=0,0,MIN(AG318,MAX(0,$E318-SUMIFS($V318:$AG318,'Calc base'!$C$17:$N$17,"&lt;"&amp;'Calc base'!N$17,'Calc base'!$C$14:$N$14,1))))</f>
        <v>0</v>
      </c>
      <c r="AT318">
        <f>V318-AH318</f>
        <v>0</v>
      </c>
      <c r="AU318">
        <f>W318-AI318</f>
        <v>0</v>
      </c>
      <c r="AV318">
        <f>X318-AJ318</f>
        <v>0</v>
      </c>
      <c r="AW318">
        <f>Y318-AK318</f>
        <v>0</v>
      </c>
      <c r="AX318">
        <f>Z318-AL318</f>
        <v>0</v>
      </c>
      <c r="AY318">
        <f>AA318-AM318</f>
        <v>0</v>
      </c>
      <c r="AZ318">
        <f>AB318-AN318</f>
        <v>0</v>
      </c>
      <c r="BA318">
        <f>AC318-AO318</f>
        <v>0</v>
      </c>
      <c r="BB318">
        <f>AD318-AP318</f>
        <v>0</v>
      </c>
      <c r="BC318">
        <f>AE318-AQ318</f>
        <v>0</v>
      </c>
      <c r="BD318">
        <f>AF318-AR318</f>
        <v>0</v>
      </c>
      <c r="BE318">
        <f>AG318-AS318</f>
        <v>0</v>
      </c>
    </row>
    <row r="319">
      <c r="A319" t="n">
        <v>289</v>
      </c>
      <c r="B319">
        <f>SUMPRODUCT(ROUND($AT318:$BE318*(1+'Calc base'!$H319:$S319),2))</f>
        <v>0</v>
      </c>
      <c r="C319">
        <f>SUM(J319:U319)</f>
        <v>0</v>
      </c>
      <c r="D319">
        <f>SUM(V319:AG319)</f>
        <v>0</v>
      </c>
      <c r="E319">
        <f>MAX(0,IF(Impostazioni!$B$7="No",'Calc base'!$C319-$C$31,'Calc base'!$C319-C319)+'Calc base'!$G319+'Calc base'!$F319-(B319-C319-D319))</f>
        <v>900</v>
      </c>
      <c r="F319">
        <f>SUM(AH319:AS319)</f>
        <v>0</v>
      </c>
      <c r="G319">
        <f>SUM(AT319:BE319)</f>
        <v>0</v>
      </c>
      <c r="H319">
        <f>B319-G318</f>
        <v>0</v>
      </c>
      <c r="I319">
        <f>B319-G319</f>
        <v>0</v>
      </c>
      <c r="J319">
        <f>IF(AT318&lt;=0,0,IF(ROUND(AT318*(1+'Calc base'!H319),2)-MAX('Calc base'!C$12,ROUND('Calc base'!C$13*AT318,2))&lt;1,ROUND(AT318*(1+'Calc base'!H319),2),MAX('Calc base'!C$12,ROUND('Calc base'!C$13*AT318,2))))</f>
        <v>0</v>
      </c>
      <c r="K319">
        <f>IF(AU318&lt;=0,0,IF(ROUND(AU318*(1+'Calc base'!I319),2)-MAX('Calc base'!D$12,ROUND('Calc base'!D$13*AU318,2))&lt;1,ROUND(AU318*(1+'Calc base'!I319),2),MAX('Calc base'!D$12,ROUND('Calc base'!D$13*AU318,2))))</f>
        <v>0</v>
      </c>
      <c r="L319">
        <f>IF(AV318&lt;=0,0,IF(ROUND(AV318*(1+'Calc base'!J319),2)-MAX('Calc base'!E$12,ROUND('Calc base'!E$13*AV318,2))&lt;1,ROUND(AV318*(1+'Calc base'!J319),2),MAX('Calc base'!E$12,ROUND('Calc base'!E$13*AV318,2))))</f>
        <v>0</v>
      </c>
      <c r="M319">
        <f>IF(AW318&lt;=0,0,IF(ROUND(AW318*(1+'Calc base'!K319),2)-MAX('Calc base'!F$12,ROUND('Calc base'!F$13*AW318,2))&lt;1,ROUND(AW318*(1+'Calc base'!K319),2),MAX('Calc base'!F$12,ROUND('Calc base'!F$13*AW318,2))))</f>
        <v>0</v>
      </c>
      <c r="N319">
        <f>IF(AX318&lt;=0,0,IF(ROUND(AX318*(1+'Calc base'!L319),2)-MAX('Calc base'!G$12,ROUND('Calc base'!G$13*AX318,2))&lt;1,ROUND(AX318*(1+'Calc base'!L319),2),MAX('Calc base'!G$12,ROUND('Calc base'!G$13*AX318,2))))</f>
        <v>0</v>
      </c>
      <c r="O319">
        <f>IF(AY318&lt;=0,0,IF(ROUND(AY318*(1+'Calc base'!M319),2)-MAX('Calc base'!H$12,ROUND('Calc base'!H$13*AY318,2))&lt;1,ROUND(AY318*(1+'Calc base'!M319),2),MAX('Calc base'!H$12,ROUND('Calc base'!H$13*AY318,2))))</f>
        <v>0</v>
      </c>
      <c r="P319">
        <f>IF(AZ318&lt;=0,0,IF(ROUND(AZ318*(1+'Calc base'!N319),2)-MAX('Calc base'!I$12,ROUND('Calc base'!I$13*AZ318,2))&lt;1,ROUND(AZ318*(1+'Calc base'!N319),2),MAX('Calc base'!I$12,ROUND('Calc base'!I$13*AZ318,2))))</f>
        <v>0</v>
      </c>
      <c r="Q319">
        <f>IF(BA318&lt;=0,0,IF(ROUND(BA318*(1+'Calc base'!O319),2)-MAX('Calc base'!J$12,ROUND('Calc base'!J$13*BA318,2))&lt;1,ROUND(BA318*(1+'Calc base'!O319),2),MAX('Calc base'!J$12,ROUND('Calc base'!J$13*BA318,2))))</f>
        <v>0</v>
      </c>
      <c r="R319">
        <f>IF(BB318&lt;=0,0,IF(ROUND(BB318*(1+'Calc base'!P319),2)-MAX('Calc base'!K$12,ROUND('Calc base'!K$13*BB318,2))&lt;1,ROUND(BB318*(1+'Calc base'!P319),2),MAX('Calc base'!K$12,ROUND('Calc base'!K$13*BB318,2))))</f>
        <v>0</v>
      </c>
      <c r="S319">
        <f>IF(BC318&lt;=0,0,IF(ROUND(BC318*(1+'Calc base'!Q319),2)-MAX('Calc base'!L$12,ROUND('Calc base'!L$13*BC318,2))&lt;1,ROUND(BC318*(1+'Calc base'!Q319),2),MAX('Calc base'!L$12,ROUND('Calc base'!L$13*BC318,2))))</f>
        <v>0</v>
      </c>
      <c r="T319">
        <f>IF(BD318&lt;=0,0,IF(ROUND(BD318*(1+'Calc base'!R319),2)-MAX('Calc base'!M$12,ROUND('Calc base'!M$13*BD318,2))&lt;1,ROUND(BD318*(1+'Calc base'!R319),2),MAX('Calc base'!M$12,ROUND('Calc base'!M$13*BD318,2))))</f>
        <v>0</v>
      </c>
      <c r="U319">
        <f>IF(BE318&lt;=0,0,IF(ROUND(BE318*(1+'Calc base'!S319),2)-MAX('Calc base'!N$12,ROUND('Calc base'!N$13*BE318,2))&lt;1,ROUND(BE318*(1+'Calc base'!S319),2),MAX('Calc base'!N$12,ROUND('Calc base'!N$13*BE318,2))))</f>
        <v>0</v>
      </c>
      <c r="V319">
        <f>MAX(0,ROUND(AT318*(1+'Calc base'!H319),2)-J319-'Calc base'!T319)</f>
        <v>0</v>
      </c>
      <c r="W319">
        <f>MAX(0,ROUND(AU318*(1+'Calc base'!I319),2)-K319-'Calc base'!U319)</f>
        <v>0</v>
      </c>
      <c r="X319">
        <f>MAX(0,ROUND(AV318*(1+'Calc base'!J319),2)-L319-'Calc base'!V319)</f>
        <v>0</v>
      </c>
      <c r="Y319">
        <f>MAX(0,ROUND(AW318*(1+'Calc base'!K319),2)-M319-'Calc base'!W319)</f>
        <v>0</v>
      </c>
      <c r="Z319">
        <f>MAX(0,ROUND(AX318*(1+'Calc base'!L319),2)-N319-'Calc base'!X319)</f>
        <v>0</v>
      </c>
      <c r="AA319">
        <f>MAX(0,ROUND(AY318*(1+'Calc base'!M319),2)-O319-'Calc base'!Y319)</f>
        <v>0</v>
      </c>
      <c r="AB319">
        <f>MAX(0,ROUND(AZ318*(1+'Calc base'!N319),2)-P319-'Calc base'!Z319)</f>
        <v>0</v>
      </c>
      <c r="AC319">
        <f>MAX(0,ROUND(BA318*(1+'Calc base'!O319),2)-Q319-'Calc base'!AA319)</f>
        <v>0</v>
      </c>
      <c r="AD319">
        <f>MAX(0,ROUND(BB318*(1+'Calc base'!P319),2)-R319-'Calc base'!AB319)</f>
        <v>0</v>
      </c>
      <c r="AE319">
        <f>MAX(0,ROUND(BC318*(1+'Calc base'!Q319),2)-S319-'Calc base'!AC319)</f>
        <v>0</v>
      </c>
      <c r="AF319">
        <f>MAX(0,ROUND(BD318*(1+'Calc base'!R319),2)-T319-'Calc base'!AD319)</f>
        <v>0</v>
      </c>
      <c r="AG319">
        <f>MAX(0,ROUND(BE318*(1+'Calc base'!S319),2)-U319-'Calc base'!AE319)</f>
        <v>0</v>
      </c>
      <c r="AH319">
        <f>IF('Calc base'!C$14=0,0,MIN(V319,MAX(0,$E319-SUMIFS($V319:$AG319,'Calc base'!$C$17:$N$17,"&lt;"&amp;'Calc base'!C$17,'Calc base'!$C$14:$N$14,1))))</f>
        <v>0</v>
      </c>
      <c r="AI319">
        <f>IF('Calc base'!D$14=0,0,MIN(W319,MAX(0,$E319-SUMIFS($V319:$AG319,'Calc base'!$C$17:$N$17,"&lt;"&amp;'Calc base'!D$17,'Calc base'!$C$14:$N$14,1))))</f>
        <v>0</v>
      </c>
      <c r="AJ319">
        <f>IF('Calc base'!E$14=0,0,MIN(X319,MAX(0,$E319-SUMIFS($V319:$AG319,'Calc base'!$C$17:$N$17,"&lt;"&amp;'Calc base'!E$17,'Calc base'!$C$14:$N$14,1))))</f>
        <v>0</v>
      </c>
      <c r="AK319">
        <f>IF('Calc base'!F$14=0,0,MIN(Y319,MAX(0,$E319-SUMIFS($V319:$AG319,'Calc base'!$C$17:$N$17,"&lt;"&amp;'Calc base'!F$17,'Calc base'!$C$14:$N$14,1))))</f>
        <v>0</v>
      </c>
      <c r="AL319">
        <f>IF('Calc base'!G$14=0,0,MIN(Z319,MAX(0,$E319-SUMIFS($V319:$AG319,'Calc base'!$C$17:$N$17,"&lt;"&amp;'Calc base'!G$17,'Calc base'!$C$14:$N$14,1))))</f>
        <v>0</v>
      </c>
      <c r="AM319">
        <f>IF('Calc base'!H$14=0,0,MIN(AA319,MAX(0,$E319-SUMIFS($V319:$AG319,'Calc base'!$C$17:$N$17,"&lt;"&amp;'Calc base'!H$17,'Calc base'!$C$14:$N$14,1))))</f>
        <v>0</v>
      </c>
      <c r="AN319">
        <f>IF('Calc base'!I$14=0,0,MIN(AB319,MAX(0,$E319-SUMIFS($V319:$AG319,'Calc base'!$C$17:$N$17,"&lt;"&amp;'Calc base'!I$17,'Calc base'!$C$14:$N$14,1))))</f>
        <v>0</v>
      </c>
      <c r="AO319">
        <f>IF('Calc base'!J$14=0,0,MIN(AC319,MAX(0,$E319-SUMIFS($V319:$AG319,'Calc base'!$C$17:$N$17,"&lt;"&amp;'Calc base'!J$17,'Calc base'!$C$14:$N$14,1))))</f>
        <v>0</v>
      </c>
      <c r="AP319">
        <f>IF('Calc base'!K$14=0,0,MIN(AD319,MAX(0,$E319-SUMIFS($V319:$AG319,'Calc base'!$C$17:$N$17,"&lt;"&amp;'Calc base'!K$17,'Calc base'!$C$14:$N$14,1))))</f>
        <v>0</v>
      </c>
      <c r="AQ319">
        <f>IF('Calc base'!L$14=0,0,MIN(AE319,MAX(0,$E319-SUMIFS($V319:$AG319,'Calc base'!$C$17:$N$17,"&lt;"&amp;'Calc base'!L$17,'Calc base'!$C$14:$N$14,1))))</f>
        <v>0</v>
      </c>
      <c r="AR319">
        <f>IF('Calc base'!M$14=0,0,MIN(AF319,MAX(0,$E319-SUMIFS($V319:$AG319,'Calc base'!$C$17:$N$17,"&lt;"&amp;'Calc base'!M$17,'Calc base'!$C$14:$N$14,1))))</f>
        <v>0</v>
      </c>
      <c r="AS319">
        <f>IF('Calc base'!N$14=0,0,MIN(AG319,MAX(0,$E319-SUMIFS($V319:$AG319,'Calc base'!$C$17:$N$17,"&lt;"&amp;'Calc base'!N$17,'Calc base'!$C$14:$N$14,1))))</f>
        <v>0</v>
      </c>
      <c r="AT319">
        <f>V319-AH319</f>
        <v>0</v>
      </c>
      <c r="AU319">
        <f>W319-AI319</f>
        <v>0</v>
      </c>
      <c r="AV319">
        <f>X319-AJ319</f>
        <v>0</v>
      </c>
      <c r="AW319">
        <f>Y319-AK319</f>
        <v>0</v>
      </c>
      <c r="AX319">
        <f>Z319-AL319</f>
        <v>0</v>
      </c>
      <c r="AY319">
        <f>AA319-AM319</f>
        <v>0</v>
      </c>
      <c r="AZ319">
        <f>AB319-AN319</f>
        <v>0</v>
      </c>
      <c r="BA319">
        <f>AC319-AO319</f>
        <v>0</v>
      </c>
      <c r="BB319">
        <f>AD319-AP319</f>
        <v>0</v>
      </c>
      <c r="BC319">
        <f>AE319-AQ319</f>
        <v>0</v>
      </c>
      <c r="BD319">
        <f>AF319-AR319</f>
        <v>0</v>
      </c>
      <c r="BE319">
        <f>AG319-AS319</f>
        <v>0</v>
      </c>
    </row>
    <row r="320">
      <c r="A320" t="n">
        <v>290</v>
      </c>
      <c r="B320">
        <f>SUMPRODUCT(ROUND($AT319:$BE319*(1+'Calc base'!$H320:$S320),2))</f>
        <v>0</v>
      </c>
      <c r="C320">
        <f>SUM(J320:U320)</f>
        <v>0</v>
      </c>
      <c r="D320">
        <f>SUM(V320:AG320)</f>
        <v>0</v>
      </c>
      <c r="E320">
        <f>MAX(0,IF(Impostazioni!$B$7="No",'Calc base'!$C320-$C$31,'Calc base'!$C320-C320)+'Calc base'!$G320+'Calc base'!$F320-(B320-C320-D320))</f>
        <v>900</v>
      </c>
      <c r="F320">
        <f>SUM(AH320:AS320)</f>
        <v>0</v>
      </c>
      <c r="G320">
        <f>SUM(AT320:BE320)</f>
        <v>0</v>
      </c>
      <c r="H320">
        <f>B320-G319</f>
        <v>0</v>
      </c>
      <c r="I320">
        <f>B320-G320</f>
        <v>0</v>
      </c>
      <c r="J320">
        <f>IF(AT319&lt;=0,0,IF(ROUND(AT319*(1+'Calc base'!H320),2)-MAX('Calc base'!C$12,ROUND('Calc base'!C$13*AT319,2))&lt;1,ROUND(AT319*(1+'Calc base'!H320),2),MAX('Calc base'!C$12,ROUND('Calc base'!C$13*AT319,2))))</f>
        <v>0</v>
      </c>
      <c r="K320">
        <f>IF(AU319&lt;=0,0,IF(ROUND(AU319*(1+'Calc base'!I320),2)-MAX('Calc base'!D$12,ROUND('Calc base'!D$13*AU319,2))&lt;1,ROUND(AU319*(1+'Calc base'!I320),2),MAX('Calc base'!D$12,ROUND('Calc base'!D$13*AU319,2))))</f>
        <v>0</v>
      </c>
      <c r="L320">
        <f>IF(AV319&lt;=0,0,IF(ROUND(AV319*(1+'Calc base'!J320),2)-MAX('Calc base'!E$12,ROUND('Calc base'!E$13*AV319,2))&lt;1,ROUND(AV319*(1+'Calc base'!J320),2),MAX('Calc base'!E$12,ROUND('Calc base'!E$13*AV319,2))))</f>
        <v>0</v>
      </c>
      <c r="M320">
        <f>IF(AW319&lt;=0,0,IF(ROUND(AW319*(1+'Calc base'!K320),2)-MAX('Calc base'!F$12,ROUND('Calc base'!F$13*AW319,2))&lt;1,ROUND(AW319*(1+'Calc base'!K320),2),MAX('Calc base'!F$12,ROUND('Calc base'!F$13*AW319,2))))</f>
        <v>0</v>
      </c>
      <c r="N320">
        <f>IF(AX319&lt;=0,0,IF(ROUND(AX319*(1+'Calc base'!L320),2)-MAX('Calc base'!G$12,ROUND('Calc base'!G$13*AX319,2))&lt;1,ROUND(AX319*(1+'Calc base'!L320),2),MAX('Calc base'!G$12,ROUND('Calc base'!G$13*AX319,2))))</f>
        <v>0</v>
      </c>
      <c r="O320">
        <f>IF(AY319&lt;=0,0,IF(ROUND(AY319*(1+'Calc base'!M320),2)-MAX('Calc base'!H$12,ROUND('Calc base'!H$13*AY319,2))&lt;1,ROUND(AY319*(1+'Calc base'!M320),2),MAX('Calc base'!H$12,ROUND('Calc base'!H$13*AY319,2))))</f>
        <v>0</v>
      </c>
      <c r="P320">
        <f>IF(AZ319&lt;=0,0,IF(ROUND(AZ319*(1+'Calc base'!N320),2)-MAX('Calc base'!I$12,ROUND('Calc base'!I$13*AZ319,2))&lt;1,ROUND(AZ319*(1+'Calc base'!N320),2),MAX('Calc base'!I$12,ROUND('Calc base'!I$13*AZ319,2))))</f>
        <v>0</v>
      </c>
      <c r="Q320">
        <f>IF(BA319&lt;=0,0,IF(ROUND(BA319*(1+'Calc base'!O320),2)-MAX('Calc base'!J$12,ROUND('Calc base'!J$13*BA319,2))&lt;1,ROUND(BA319*(1+'Calc base'!O320),2),MAX('Calc base'!J$12,ROUND('Calc base'!J$13*BA319,2))))</f>
        <v>0</v>
      </c>
      <c r="R320">
        <f>IF(BB319&lt;=0,0,IF(ROUND(BB319*(1+'Calc base'!P320),2)-MAX('Calc base'!K$12,ROUND('Calc base'!K$13*BB319,2))&lt;1,ROUND(BB319*(1+'Calc base'!P320),2),MAX('Calc base'!K$12,ROUND('Calc base'!K$13*BB319,2))))</f>
        <v>0</v>
      </c>
      <c r="S320">
        <f>IF(BC319&lt;=0,0,IF(ROUND(BC319*(1+'Calc base'!Q320),2)-MAX('Calc base'!L$12,ROUND('Calc base'!L$13*BC319,2))&lt;1,ROUND(BC319*(1+'Calc base'!Q320),2),MAX('Calc base'!L$12,ROUND('Calc base'!L$13*BC319,2))))</f>
        <v>0</v>
      </c>
      <c r="T320">
        <f>IF(BD319&lt;=0,0,IF(ROUND(BD319*(1+'Calc base'!R320),2)-MAX('Calc base'!M$12,ROUND('Calc base'!M$13*BD319,2))&lt;1,ROUND(BD319*(1+'Calc base'!R320),2),MAX('Calc base'!M$12,ROUND('Calc base'!M$13*BD319,2))))</f>
        <v>0</v>
      </c>
      <c r="U320">
        <f>IF(BE319&lt;=0,0,IF(ROUND(BE319*(1+'Calc base'!S320),2)-MAX('Calc base'!N$12,ROUND('Calc base'!N$13*BE319,2))&lt;1,ROUND(BE319*(1+'Calc base'!S320),2),MAX('Calc base'!N$12,ROUND('Calc base'!N$13*BE319,2))))</f>
        <v>0</v>
      </c>
      <c r="V320">
        <f>MAX(0,ROUND(AT319*(1+'Calc base'!H320),2)-J320-'Calc base'!T320)</f>
        <v>0</v>
      </c>
      <c r="W320">
        <f>MAX(0,ROUND(AU319*(1+'Calc base'!I320),2)-K320-'Calc base'!U320)</f>
        <v>0</v>
      </c>
      <c r="X320">
        <f>MAX(0,ROUND(AV319*(1+'Calc base'!J320),2)-L320-'Calc base'!V320)</f>
        <v>0</v>
      </c>
      <c r="Y320">
        <f>MAX(0,ROUND(AW319*(1+'Calc base'!K320),2)-M320-'Calc base'!W320)</f>
        <v>0</v>
      </c>
      <c r="Z320">
        <f>MAX(0,ROUND(AX319*(1+'Calc base'!L320),2)-N320-'Calc base'!X320)</f>
        <v>0</v>
      </c>
      <c r="AA320">
        <f>MAX(0,ROUND(AY319*(1+'Calc base'!M320),2)-O320-'Calc base'!Y320)</f>
        <v>0</v>
      </c>
      <c r="AB320">
        <f>MAX(0,ROUND(AZ319*(1+'Calc base'!N320),2)-P320-'Calc base'!Z320)</f>
        <v>0</v>
      </c>
      <c r="AC320">
        <f>MAX(0,ROUND(BA319*(1+'Calc base'!O320),2)-Q320-'Calc base'!AA320)</f>
        <v>0</v>
      </c>
      <c r="AD320">
        <f>MAX(0,ROUND(BB319*(1+'Calc base'!P320),2)-R320-'Calc base'!AB320)</f>
        <v>0</v>
      </c>
      <c r="AE320">
        <f>MAX(0,ROUND(BC319*(1+'Calc base'!Q320),2)-S320-'Calc base'!AC320)</f>
        <v>0</v>
      </c>
      <c r="AF320">
        <f>MAX(0,ROUND(BD319*(1+'Calc base'!R320),2)-T320-'Calc base'!AD320)</f>
        <v>0</v>
      </c>
      <c r="AG320">
        <f>MAX(0,ROUND(BE319*(1+'Calc base'!S320),2)-U320-'Calc base'!AE320)</f>
        <v>0</v>
      </c>
      <c r="AH320">
        <f>IF('Calc base'!C$14=0,0,MIN(V320,MAX(0,$E320-SUMIFS($V320:$AG320,'Calc base'!$C$17:$N$17,"&lt;"&amp;'Calc base'!C$17,'Calc base'!$C$14:$N$14,1))))</f>
        <v>0</v>
      </c>
      <c r="AI320">
        <f>IF('Calc base'!D$14=0,0,MIN(W320,MAX(0,$E320-SUMIFS($V320:$AG320,'Calc base'!$C$17:$N$17,"&lt;"&amp;'Calc base'!D$17,'Calc base'!$C$14:$N$14,1))))</f>
        <v>0</v>
      </c>
      <c r="AJ320">
        <f>IF('Calc base'!E$14=0,0,MIN(X320,MAX(0,$E320-SUMIFS($V320:$AG320,'Calc base'!$C$17:$N$17,"&lt;"&amp;'Calc base'!E$17,'Calc base'!$C$14:$N$14,1))))</f>
        <v>0</v>
      </c>
      <c r="AK320">
        <f>IF('Calc base'!F$14=0,0,MIN(Y320,MAX(0,$E320-SUMIFS($V320:$AG320,'Calc base'!$C$17:$N$17,"&lt;"&amp;'Calc base'!F$17,'Calc base'!$C$14:$N$14,1))))</f>
        <v>0</v>
      </c>
      <c r="AL320">
        <f>IF('Calc base'!G$14=0,0,MIN(Z320,MAX(0,$E320-SUMIFS($V320:$AG320,'Calc base'!$C$17:$N$17,"&lt;"&amp;'Calc base'!G$17,'Calc base'!$C$14:$N$14,1))))</f>
        <v>0</v>
      </c>
      <c r="AM320">
        <f>IF('Calc base'!H$14=0,0,MIN(AA320,MAX(0,$E320-SUMIFS($V320:$AG320,'Calc base'!$C$17:$N$17,"&lt;"&amp;'Calc base'!H$17,'Calc base'!$C$14:$N$14,1))))</f>
        <v>0</v>
      </c>
      <c r="AN320">
        <f>IF('Calc base'!I$14=0,0,MIN(AB320,MAX(0,$E320-SUMIFS($V320:$AG320,'Calc base'!$C$17:$N$17,"&lt;"&amp;'Calc base'!I$17,'Calc base'!$C$14:$N$14,1))))</f>
        <v>0</v>
      </c>
      <c r="AO320">
        <f>IF('Calc base'!J$14=0,0,MIN(AC320,MAX(0,$E320-SUMIFS($V320:$AG320,'Calc base'!$C$17:$N$17,"&lt;"&amp;'Calc base'!J$17,'Calc base'!$C$14:$N$14,1))))</f>
        <v>0</v>
      </c>
      <c r="AP320">
        <f>IF('Calc base'!K$14=0,0,MIN(AD320,MAX(0,$E320-SUMIFS($V320:$AG320,'Calc base'!$C$17:$N$17,"&lt;"&amp;'Calc base'!K$17,'Calc base'!$C$14:$N$14,1))))</f>
        <v>0</v>
      </c>
      <c r="AQ320">
        <f>IF('Calc base'!L$14=0,0,MIN(AE320,MAX(0,$E320-SUMIFS($V320:$AG320,'Calc base'!$C$17:$N$17,"&lt;"&amp;'Calc base'!L$17,'Calc base'!$C$14:$N$14,1))))</f>
        <v>0</v>
      </c>
      <c r="AR320">
        <f>IF('Calc base'!M$14=0,0,MIN(AF320,MAX(0,$E320-SUMIFS($V320:$AG320,'Calc base'!$C$17:$N$17,"&lt;"&amp;'Calc base'!M$17,'Calc base'!$C$14:$N$14,1))))</f>
        <v>0</v>
      </c>
      <c r="AS320">
        <f>IF('Calc base'!N$14=0,0,MIN(AG320,MAX(0,$E320-SUMIFS($V320:$AG320,'Calc base'!$C$17:$N$17,"&lt;"&amp;'Calc base'!N$17,'Calc base'!$C$14:$N$14,1))))</f>
        <v>0</v>
      </c>
      <c r="AT320">
        <f>V320-AH320</f>
        <v>0</v>
      </c>
      <c r="AU320">
        <f>W320-AI320</f>
        <v>0</v>
      </c>
      <c r="AV320">
        <f>X320-AJ320</f>
        <v>0</v>
      </c>
      <c r="AW320">
        <f>Y320-AK320</f>
        <v>0</v>
      </c>
      <c r="AX320">
        <f>Z320-AL320</f>
        <v>0</v>
      </c>
      <c r="AY320">
        <f>AA320-AM320</f>
        <v>0</v>
      </c>
      <c r="AZ320">
        <f>AB320-AN320</f>
        <v>0</v>
      </c>
      <c r="BA320">
        <f>AC320-AO320</f>
        <v>0</v>
      </c>
      <c r="BB320">
        <f>AD320-AP320</f>
        <v>0</v>
      </c>
      <c r="BC320">
        <f>AE320-AQ320</f>
        <v>0</v>
      </c>
      <c r="BD320">
        <f>AF320-AR320</f>
        <v>0</v>
      </c>
      <c r="BE320">
        <f>AG320-AS320</f>
        <v>0</v>
      </c>
    </row>
    <row r="321">
      <c r="A321" t="n">
        <v>291</v>
      </c>
      <c r="B321">
        <f>SUMPRODUCT(ROUND($AT320:$BE320*(1+'Calc base'!$H321:$S321),2))</f>
        <v>0</v>
      </c>
      <c r="C321">
        <f>SUM(J321:U321)</f>
        <v>0</v>
      </c>
      <c r="D321">
        <f>SUM(V321:AG321)</f>
        <v>0</v>
      </c>
      <c r="E321">
        <f>MAX(0,IF(Impostazioni!$B$7="No",'Calc base'!$C321-$C$31,'Calc base'!$C321-C321)+'Calc base'!$G321+'Calc base'!$F321-(B321-C321-D321))</f>
        <v>900</v>
      </c>
      <c r="F321">
        <f>SUM(AH321:AS321)</f>
        <v>0</v>
      </c>
      <c r="G321">
        <f>SUM(AT321:BE321)</f>
        <v>0</v>
      </c>
      <c r="H321">
        <f>B321-G320</f>
        <v>0</v>
      </c>
      <c r="I321">
        <f>B321-G321</f>
        <v>0</v>
      </c>
      <c r="J321">
        <f>IF(AT320&lt;=0,0,IF(ROUND(AT320*(1+'Calc base'!H321),2)-MAX('Calc base'!C$12,ROUND('Calc base'!C$13*AT320,2))&lt;1,ROUND(AT320*(1+'Calc base'!H321),2),MAX('Calc base'!C$12,ROUND('Calc base'!C$13*AT320,2))))</f>
        <v>0</v>
      </c>
      <c r="K321">
        <f>IF(AU320&lt;=0,0,IF(ROUND(AU320*(1+'Calc base'!I321),2)-MAX('Calc base'!D$12,ROUND('Calc base'!D$13*AU320,2))&lt;1,ROUND(AU320*(1+'Calc base'!I321),2),MAX('Calc base'!D$12,ROUND('Calc base'!D$13*AU320,2))))</f>
        <v>0</v>
      </c>
      <c r="L321">
        <f>IF(AV320&lt;=0,0,IF(ROUND(AV320*(1+'Calc base'!J321),2)-MAX('Calc base'!E$12,ROUND('Calc base'!E$13*AV320,2))&lt;1,ROUND(AV320*(1+'Calc base'!J321),2),MAX('Calc base'!E$12,ROUND('Calc base'!E$13*AV320,2))))</f>
        <v>0</v>
      </c>
      <c r="M321">
        <f>IF(AW320&lt;=0,0,IF(ROUND(AW320*(1+'Calc base'!K321),2)-MAX('Calc base'!F$12,ROUND('Calc base'!F$13*AW320,2))&lt;1,ROUND(AW320*(1+'Calc base'!K321),2),MAX('Calc base'!F$12,ROUND('Calc base'!F$13*AW320,2))))</f>
        <v>0</v>
      </c>
      <c r="N321">
        <f>IF(AX320&lt;=0,0,IF(ROUND(AX320*(1+'Calc base'!L321),2)-MAX('Calc base'!G$12,ROUND('Calc base'!G$13*AX320,2))&lt;1,ROUND(AX320*(1+'Calc base'!L321),2),MAX('Calc base'!G$12,ROUND('Calc base'!G$13*AX320,2))))</f>
        <v>0</v>
      </c>
      <c r="O321">
        <f>IF(AY320&lt;=0,0,IF(ROUND(AY320*(1+'Calc base'!M321),2)-MAX('Calc base'!H$12,ROUND('Calc base'!H$13*AY320,2))&lt;1,ROUND(AY320*(1+'Calc base'!M321),2),MAX('Calc base'!H$12,ROUND('Calc base'!H$13*AY320,2))))</f>
        <v>0</v>
      </c>
      <c r="P321">
        <f>IF(AZ320&lt;=0,0,IF(ROUND(AZ320*(1+'Calc base'!N321),2)-MAX('Calc base'!I$12,ROUND('Calc base'!I$13*AZ320,2))&lt;1,ROUND(AZ320*(1+'Calc base'!N321),2),MAX('Calc base'!I$12,ROUND('Calc base'!I$13*AZ320,2))))</f>
        <v>0</v>
      </c>
      <c r="Q321">
        <f>IF(BA320&lt;=0,0,IF(ROUND(BA320*(1+'Calc base'!O321),2)-MAX('Calc base'!J$12,ROUND('Calc base'!J$13*BA320,2))&lt;1,ROUND(BA320*(1+'Calc base'!O321),2),MAX('Calc base'!J$12,ROUND('Calc base'!J$13*BA320,2))))</f>
        <v>0</v>
      </c>
      <c r="R321">
        <f>IF(BB320&lt;=0,0,IF(ROUND(BB320*(1+'Calc base'!P321),2)-MAX('Calc base'!K$12,ROUND('Calc base'!K$13*BB320,2))&lt;1,ROUND(BB320*(1+'Calc base'!P321),2),MAX('Calc base'!K$12,ROUND('Calc base'!K$13*BB320,2))))</f>
        <v>0</v>
      </c>
      <c r="S321">
        <f>IF(BC320&lt;=0,0,IF(ROUND(BC320*(1+'Calc base'!Q321),2)-MAX('Calc base'!L$12,ROUND('Calc base'!L$13*BC320,2))&lt;1,ROUND(BC320*(1+'Calc base'!Q321),2),MAX('Calc base'!L$12,ROUND('Calc base'!L$13*BC320,2))))</f>
        <v>0</v>
      </c>
      <c r="T321">
        <f>IF(BD320&lt;=0,0,IF(ROUND(BD320*(1+'Calc base'!R321),2)-MAX('Calc base'!M$12,ROUND('Calc base'!M$13*BD320,2))&lt;1,ROUND(BD320*(1+'Calc base'!R321),2),MAX('Calc base'!M$12,ROUND('Calc base'!M$13*BD320,2))))</f>
        <v>0</v>
      </c>
      <c r="U321">
        <f>IF(BE320&lt;=0,0,IF(ROUND(BE320*(1+'Calc base'!S321),2)-MAX('Calc base'!N$12,ROUND('Calc base'!N$13*BE320,2))&lt;1,ROUND(BE320*(1+'Calc base'!S321),2),MAX('Calc base'!N$12,ROUND('Calc base'!N$13*BE320,2))))</f>
        <v>0</v>
      </c>
      <c r="V321">
        <f>MAX(0,ROUND(AT320*(1+'Calc base'!H321),2)-J321-'Calc base'!T321)</f>
        <v>0</v>
      </c>
      <c r="W321">
        <f>MAX(0,ROUND(AU320*(1+'Calc base'!I321),2)-K321-'Calc base'!U321)</f>
        <v>0</v>
      </c>
      <c r="X321">
        <f>MAX(0,ROUND(AV320*(1+'Calc base'!J321),2)-L321-'Calc base'!V321)</f>
        <v>0</v>
      </c>
      <c r="Y321">
        <f>MAX(0,ROUND(AW320*(1+'Calc base'!K321),2)-M321-'Calc base'!W321)</f>
        <v>0</v>
      </c>
      <c r="Z321">
        <f>MAX(0,ROUND(AX320*(1+'Calc base'!L321),2)-N321-'Calc base'!X321)</f>
        <v>0</v>
      </c>
      <c r="AA321">
        <f>MAX(0,ROUND(AY320*(1+'Calc base'!M321),2)-O321-'Calc base'!Y321)</f>
        <v>0</v>
      </c>
      <c r="AB321">
        <f>MAX(0,ROUND(AZ320*(1+'Calc base'!N321),2)-P321-'Calc base'!Z321)</f>
        <v>0</v>
      </c>
      <c r="AC321">
        <f>MAX(0,ROUND(BA320*(1+'Calc base'!O321),2)-Q321-'Calc base'!AA321)</f>
        <v>0</v>
      </c>
      <c r="AD321">
        <f>MAX(0,ROUND(BB320*(1+'Calc base'!P321),2)-R321-'Calc base'!AB321)</f>
        <v>0</v>
      </c>
      <c r="AE321">
        <f>MAX(0,ROUND(BC320*(1+'Calc base'!Q321),2)-S321-'Calc base'!AC321)</f>
        <v>0</v>
      </c>
      <c r="AF321">
        <f>MAX(0,ROUND(BD320*(1+'Calc base'!R321),2)-T321-'Calc base'!AD321)</f>
        <v>0</v>
      </c>
      <c r="AG321">
        <f>MAX(0,ROUND(BE320*(1+'Calc base'!S321),2)-U321-'Calc base'!AE321)</f>
        <v>0</v>
      </c>
      <c r="AH321">
        <f>IF('Calc base'!C$14=0,0,MIN(V321,MAX(0,$E321-SUMIFS($V321:$AG321,'Calc base'!$C$17:$N$17,"&lt;"&amp;'Calc base'!C$17,'Calc base'!$C$14:$N$14,1))))</f>
        <v>0</v>
      </c>
      <c r="AI321">
        <f>IF('Calc base'!D$14=0,0,MIN(W321,MAX(0,$E321-SUMIFS($V321:$AG321,'Calc base'!$C$17:$N$17,"&lt;"&amp;'Calc base'!D$17,'Calc base'!$C$14:$N$14,1))))</f>
        <v>0</v>
      </c>
      <c r="AJ321">
        <f>IF('Calc base'!E$14=0,0,MIN(X321,MAX(0,$E321-SUMIFS($V321:$AG321,'Calc base'!$C$17:$N$17,"&lt;"&amp;'Calc base'!E$17,'Calc base'!$C$14:$N$14,1))))</f>
        <v>0</v>
      </c>
      <c r="AK321">
        <f>IF('Calc base'!F$14=0,0,MIN(Y321,MAX(0,$E321-SUMIFS($V321:$AG321,'Calc base'!$C$17:$N$17,"&lt;"&amp;'Calc base'!F$17,'Calc base'!$C$14:$N$14,1))))</f>
        <v>0</v>
      </c>
      <c r="AL321">
        <f>IF('Calc base'!G$14=0,0,MIN(Z321,MAX(0,$E321-SUMIFS($V321:$AG321,'Calc base'!$C$17:$N$17,"&lt;"&amp;'Calc base'!G$17,'Calc base'!$C$14:$N$14,1))))</f>
        <v>0</v>
      </c>
      <c r="AM321">
        <f>IF('Calc base'!H$14=0,0,MIN(AA321,MAX(0,$E321-SUMIFS($V321:$AG321,'Calc base'!$C$17:$N$17,"&lt;"&amp;'Calc base'!H$17,'Calc base'!$C$14:$N$14,1))))</f>
        <v>0</v>
      </c>
      <c r="AN321">
        <f>IF('Calc base'!I$14=0,0,MIN(AB321,MAX(0,$E321-SUMIFS($V321:$AG321,'Calc base'!$C$17:$N$17,"&lt;"&amp;'Calc base'!I$17,'Calc base'!$C$14:$N$14,1))))</f>
        <v>0</v>
      </c>
      <c r="AO321">
        <f>IF('Calc base'!J$14=0,0,MIN(AC321,MAX(0,$E321-SUMIFS($V321:$AG321,'Calc base'!$C$17:$N$17,"&lt;"&amp;'Calc base'!J$17,'Calc base'!$C$14:$N$14,1))))</f>
        <v>0</v>
      </c>
      <c r="AP321">
        <f>IF('Calc base'!K$14=0,0,MIN(AD321,MAX(0,$E321-SUMIFS($V321:$AG321,'Calc base'!$C$17:$N$17,"&lt;"&amp;'Calc base'!K$17,'Calc base'!$C$14:$N$14,1))))</f>
        <v>0</v>
      </c>
      <c r="AQ321">
        <f>IF('Calc base'!L$14=0,0,MIN(AE321,MAX(0,$E321-SUMIFS($V321:$AG321,'Calc base'!$C$17:$N$17,"&lt;"&amp;'Calc base'!L$17,'Calc base'!$C$14:$N$14,1))))</f>
        <v>0</v>
      </c>
      <c r="AR321">
        <f>IF('Calc base'!M$14=0,0,MIN(AF321,MAX(0,$E321-SUMIFS($V321:$AG321,'Calc base'!$C$17:$N$17,"&lt;"&amp;'Calc base'!M$17,'Calc base'!$C$14:$N$14,1))))</f>
        <v>0</v>
      </c>
      <c r="AS321">
        <f>IF('Calc base'!N$14=0,0,MIN(AG321,MAX(0,$E321-SUMIFS($V321:$AG321,'Calc base'!$C$17:$N$17,"&lt;"&amp;'Calc base'!N$17,'Calc base'!$C$14:$N$14,1))))</f>
        <v>0</v>
      </c>
      <c r="AT321">
        <f>V321-AH321</f>
        <v>0</v>
      </c>
      <c r="AU321">
        <f>W321-AI321</f>
        <v>0</v>
      </c>
      <c r="AV321">
        <f>X321-AJ321</f>
        <v>0</v>
      </c>
      <c r="AW321">
        <f>Y321-AK321</f>
        <v>0</v>
      </c>
      <c r="AX321">
        <f>Z321-AL321</f>
        <v>0</v>
      </c>
      <c r="AY321">
        <f>AA321-AM321</f>
        <v>0</v>
      </c>
      <c r="AZ321">
        <f>AB321-AN321</f>
        <v>0</v>
      </c>
      <c r="BA321">
        <f>AC321-AO321</f>
        <v>0</v>
      </c>
      <c r="BB321">
        <f>AD321-AP321</f>
        <v>0</v>
      </c>
      <c r="BC321">
        <f>AE321-AQ321</f>
        <v>0</v>
      </c>
      <c r="BD321">
        <f>AF321-AR321</f>
        <v>0</v>
      </c>
      <c r="BE321">
        <f>AG321-AS321</f>
        <v>0</v>
      </c>
    </row>
    <row r="322">
      <c r="A322" t="n">
        <v>292</v>
      </c>
      <c r="B322">
        <f>SUMPRODUCT(ROUND($AT321:$BE321*(1+'Calc base'!$H322:$S322),2))</f>
        <v>0</v>
      </c>
      <c r="C322">
        <f>SUM(J322:U322)</f>
        <v>0</v>
      </c>
      <c r="D322">
        <f>SUM(V322:AG322)</f>
        <v>0</v>
      </c>
      <c r="E322">
        <f>MAX(0,IF(Impostazioni!$B$7="No",'Calc base'!$C322-$C$31,'Calc base'!$C322-C322)+'Calc base'!$G322+'Calc base'!$F322-(B322-C322-D322))</f>
        <v>900</v>
      </c>
      <c r="F322">
        <f>SUM(AH322:AS322)</f>
        <v>0</v>
      </c>
      <c r="G322">
        <f>SUM(AT322:BE322)</f>
        <v>0</v>
      </c>
      <c r="H322">
        <f>B322-G321</f>
        <v>0</v>
      </c>
      <c r="I322">
        <f>B322-G322</f>
        <v>0</v>
      </c>
      <c r="J322">
        <f>IF(AT321&lt;=0,0,IF(ROUND(AT321*(1+'Calc base'!H322),2)-MAX('Calc base'!C$12,ROUND('Calc base'!C$13*AT321,2))&lt;1,ROUND(AT321*(1+'Calc base'!H322),2),MAX('Calc base'!C$12,ROUND('Calc base'!C$13*AT321,2))))</f>
        <v>0</v>
      </c>
      <c r="K322">
        <f>IF(AU321&lt;=0,0,IF(ROUND(AU321*(1+'Calc base'!I322),2)-MAX('Calc base'!D$12,ROUND('Calc base'!D$13*AU321,2))&lt;1,ROUND(AU321*(1+'Calc base'!I322),2),MAX('Calc base'!D$12,ROUND('Calc base'!D$13*AU321,2))))</f>
        <v>0</v>
      </c>
      <c r="L322">
        <f>IF(AV321&lt;=0,0,IF(ROUND(AV321*(1+'Calc base'!J322),2)-MAX('Calc base'!E$12,ROUND('Calc base'!E$13*AV321,2))&lt;1,ROUND(AV321*(1+'Calc base'!J322),2),MAX('Calc base'!E$12,ROUND('Calc base'!E$13*AV321,2))))</f>
        <v>0</v>
      </c>
      <c r="M322">
        <f>IF(AW321&lt;=0,0,IF(ROUND(AW321*(1+'Calc base'!K322),2)-MAX('Calc base'!F$12,ROUND('Calc base'!F$13*AW321,2))&lt;1,ROUND(AW321*(1+'Calc base'!K322),2),MAX('Calc base'!F$12,ROUND('Calc base'!F$13*AW321,2))))</f>
        <v>0</v>
      </c>
      <c r="N322">
        <f>IF(AX321&lt;=0,0,IF(ROUND(AX321*(1+'Calc base'!L322),2)-MAX('Calc base'!G$12,ROUND('Calc base'!G$13*AX321,2))&lt;1,ROUND(AX321*(1+'Calc base'!L322),2),MAX('Calc base'!G$12,ROUND('Calc base'!G$13*AX321,2))))</f>
        <v>0</v>
      </c>
      <c r="O322">
        <f>IF(AY321&lt;=0,0,IF(ROUND(AY321*(1+'Calc base'!M322),2)-MAX('Calc base'!H$12,ROUND('Calc base'!H$13*AY321,2))&lt;1,ROUND(AY321*(1+'Calc base'!M322),2),MAX('Calc base'!H$12,ROUND('Calc base'!H$13*AY321,2))))</f>
        <v>0</v>
      </c>
      <c r="P322">
        <f>IF(AZ321&lt;=0,0,IF(ROUND(AZ321*(1+'Calc base'!N322),2)-MAX('Calc base'!I$12,ROUND('Calc base'!I$13*AZ321,2))&lt;1,ROUND(AZ321*(1+'Calc base'!N322),2),MAX('Calc base'!I$12,ROUND('Calc base'!I$13*AZ321,2))))</f>
        <v>0</v>
      </c>
      <c r="Q322">
        <f>IF(BA321&lt;=0,0,IF(ROUND(BA321*(1+'Calc base'!O322),2)-MAX('Calc base'!J$12,ROUND('Calc base'!J$13*BA321,2))&lt;1,ROUND(BA321*(1+'Calc base'!O322),2),MAX('Calc base'!J$12,ROUND('Calc base'!J$13*BA321,2))))</f>
        <v>0</v>
      </c>
      <c r="R322">
        <f>IF(BB321&lt;=0,0,IF(ROUND(BB321*(1+'Calc base'!P322),2)-MAX('Calc base'!K$12,ROUND('Calc base'!K$13*BB321,2))&lt;1,ROUND(BB321*(1+'Calc base'!P322),2),MAX('Calc base'!K$12,ROUND('Calc base'!K$13*BB321,2))))</f>
        <v>0</v>
      </c>
      <c r="S322">
        <f>IF(BC321&lt;=0,0,IF(ROUND(BC321*(1+'Calc base'!Q322),2)-MAX('Calc base'!L$12,ROUND('Calc base'!L$13*BC321,2))&lt;1,ROUND(BC321*(1+'Calc base'!Q322),2),MAX('Calc base'!L$12,ROUND('Calc base'!L$13*BC321,2))))</f>
        <v>0</v>
      </c>
      <c r="T322">
        <f>IF(BD321&lt;=0,0,IF(ROUND(BD321*(1+'Calc base'!R322),2)-MAX('Calc base'!M$12,ROUND('Calc base'!M$13*BD321,2))&lt;1,ROUND(BD321*(1+'Calc base'!R322),2),MAX('Calc base'!M$12,ROUND('Calc base'!M$13*BD321,2))))</f>
        <v>0</v>
      </c>
      <c r="U322">
        <f>IF(BE321&lt;=0,0,IF(ROUND(BE321*(1+'Calc base'!S322),2)-MAX('Calc base'!N$12,ROUND('Calc base'!N$13*BE321,2))&lt;1,ROUND(BE321*(1+'Calc base'!S322),2),MAX('Calc base'!N$12,ROUND('Calc base'!N$13*BE321,2))))</f>
        <v>0</v>
      </c>
      <c r="V322">
        <f>MAX(0,ROUND(AT321*(1+'Calc base'!H322),2)-J322-'Calc base'!T322)</f>
        <v>0</v>
      </c>
      <c r="W322">
        <f>MAX(0,ROUND(AU321*(1+'Calc base'!I322),2)-K322-'Calc base'!U322)</f>
        <v>0</v>
      </c>
      <c r="X322">
        <f>MAX(0,ROUND(AV321*(1+'Calc base'!J322),2)-L322-'Calc base'!V322)</f>
        <v>0</v>
      </c>
      <c r="Y322">
        <f>MAX(0,ROUND(AW321*(1+'Calc base'!K322),2)-M322-'Calc base'!W322)</f>
        <v>0</v>
      </c>
      <c r="Z322">
        <f>MAX(0,ROUND(AX321*(1+'Calc base'!L322),2)-N322-'Calc base'!X322)</f>
        <v>0</v>
      </c>
      <c r="AA322">
        <f>MAX(0,ROUND(AY321*(1+'Calc base'!M322),2)-O322-'Calc base'!Y322)</f>
        <v>0</v>
      </c>
      <c r="AB322">
        <f>MAX(0,ROUND(AZ321*(1+'Calc base'!N322),2)-P322-'Calc base'!Z322)</f>
        <v>0</v>
      </c>
      <c r="AC322">
        <f>MAX(0,ROUND(BA321*(1+'Calc base'!O322),2)-Q322-'Calc base'!AA322)</f>
        <v>0</v>
      </c>
      <c r="AD322">
        <f>MAX(0,ROUND(BB321*(1+'Calc base'!P322),2)-R322-'Calc base'!AB322)</f>
        <v>0</v>
      </c>
      <c r="AE322">
        <f>MAX(0,ROUND(BC321*(1+'Calc base'!Q322),2)-S322-'Calc base'!AC322)</f>
        <v>0</v>
      </c>
      <c r="AF322">
        <f>MAX(0,ROUND(BD321*(1+'Calc base'!R322),2)-T322-'Calc base'!AD322)</f>
        <v>0</v>
      </c>
      <c r="AG322">
        <f>MAX(0,ROUND(BE321*(1+'Calc base'!S322),2)-U322-'Calc base'!AE322)</f>
        <v>0</v>
      </c>
      <c r="AH322">
        <f>IF('Calc base'!C$14=0,0,MIN(V322,MAX(0,$E322-SUMIFS($V322:$AG322,'Calc base'!$C$17:$N$17,"&lt;"&amp;'Calc base'!C$17,'Calc base'!$C$14:$N$14,1))))</f>
        <v>0</v>
      </c>
      <c r="AI322">
        <f>IF('Calc base'!D$14=0,0,MIN(W322,MAX(0,$E322-SUMIFS($V322:$AG322,'Calc base'!$C$17:$N$17,"&lt;"&amp;'Calc base'!D$17,'Calc base'!$C$14:$N$14,1))))</f>
        <v>0</v>
      </c>
      <c r="AJ322">
        <f>IF('Calc base'!E$14=0,0,MIN(X322,MAX(0,$E322-SUMIFS($V322:$AG322,'Calc base'!$C$17:$N$17,"&lt;"&amp;'Calc base'!E$17,'Calc base'!$C$14:$N$14,1))))</f>
        <v>0</v>
      </c>
      <c r="AK322">
        <f>IF('Calc base'!F$14=0,0,MIN(Y322,MAX(0,$E322-SUMIFS($V322:$AG322,'Calc base'!$C$17:$N$17,"&lt;"&amp;'Calc base'!F$17,'Calc base'!$C$14:$N$14,1))))</f>
        <v>0</v>
      </c>
      <c r="AL322">
        <f>IF('Calc base'!G$14=0,0,MIN(Z322,MAX(0,$E322-SUMIFS($V322:$AG322,'Calc base'!$C$17:$N$17,"&lt;"&amp;'Calc base'!G$17,'Calc base'!$C$14:$N$14,1))))</f>
        <v>0</v>
      </c>
      <c r="AM322">
        <f>IF('Calc base'!H$14=0,0,MIN(AA322,MAX(0,$E322-SUMIFS($V322:$AG322,'Calc base'!$C$17:$N$17,"&lt;"&amp;'Calc base'!H$17,'Calc base'!$C$14:$N$14,1))))</f>
        <v>0</v>
      </c>
      <c r="AN322">
        <f>IF('Calc base'!I$14=0,0,MIN(AB322,MAX(0,$E322-SUMIFS($V322:$AG322,'Calc base'!$C$17:$N$17,"&lt;"&amp;'Calc base'!I$17,'Calc base'!$C$14:$N$14,1))))</f>
        <v>0</v>
      </c>
      <c r="AO322">
        <f>IF('Calc base'!J$14=0,0,MIN(AC322,MAX(0,$E322-SUMIFS($V322:$AG322,'Calc base'!$C$17:$N$17,"&lt;"&amp;'Calc base'!J$17,'Calc base'!$C$14:$N$14,1))))</f>
        <v>0</v>
      </c>
      <c r="AP322">
        <f>IF('Calc base'!K$14=0,0,MIN(AD322,MAX(0,$E322-SUMIFS($V322:$AG322,'Calc base'!$C$17:$N$17,"&lt;"&amp;'Calc base'!K$17,'Calc base'!$C$14:$N$14,1))))</f>
        <v>0</v>
      </c>
      <c r="AQ322">
        <f>IF('Calc base'!L$14=0,0,MIN(AE322,MAX(0,$E322-SUMIFS($V322:$AG322,'Calc base'!$C$17:$N$17,"&lt;"&amp;'Calc base'!L$17,'Calc base'!$C$14:$N$14,1))))</f>
        <v>0</v>
      </c>
      <c r="AR322">
        <f>IF('Calc base'!M$14=0,0,MIN(AF322,MAX(0,$E322-SUMIFS($V322:$AG322,'Calc base'!$C$17:$N$17,"&lt;"&amp;'Calc base'!M$17,'Calc base'!$C$14:$N$14,1))))</f>
        <v>0</v>
      </c>
      <c r="AS322">
        <f>IF('Calc base'!N$14=0,0,MIN(AG322,MAX(0,$E322-SUMIFS($V322:$AG322,'Calc base'!$C$17:$N$17,"&lt;"&amp;'Calc base'!N$17,'Calc base'!$C$14:$N$14,1))))</f>
        <v>0</v>
      </c>
      <c r="AT322">
        <f>V322-AH322</f>
        <v>0</v>
      </c>
      <c r="AU322">
        <f>W322-AI322</f>
        <v>0</v>
      </c>
      <c r="AV322">
        <f>X322-AJ322</f>
        <v>0</v>
      </c>
      <c r="AW322">
        <f>Y322-AK322</f>
        <v>0</v>
      </c>
      <c r="AX322">
        <f>Z322-AL322</f>
        <v>0</v>
      </c>
      <c r="AY322">
        <f>AA322-AM322</f>
        <v>0</v>
      </c>
      <c r="AZ322">
        <f>AB322-AN322</f>
        <v>0</v>
      </c>
      <c r="BA322">
        <f>AC322-AO322</f>
        <v>0</v>
      </c>
      <c r="BB322">
        <f>AD322-AP322</f>
        <v>0</v>
      </c>
      <c r="BC322">
        <f>AE322-AQ322</f>
        <v>0</v>
      </c>
      <c r="BD322">
        <f>AF322-AR322</f>
        <v>0</v>
      </c>
      <c r="BE322">
        <f>AG322-AS322</f>
        <v>0</v>
      </c>
    </row>
    <row r="323">
      <c r="A323" t="n">
        <v>293</v>
      </c>
      <c r="B323">
        <f>SUMPRODUCT(ROUND($AT322:$BE322*(1+'Calc base'!$H323:$S323),2))</f>
        <v>0</v>
      </c>
      <c r="C323">
        <f>SUM(J323:U323)</f>
        <v>0</v>
      </c>
      <c r="D323">
        <f>SUM(V323:AG323)</f>
        <v>0</v>
      </c>
      <c r="E323">
        <f>MAX(0,IF(Impostazioni!$B$7="No",'Calc base'!$C323-$C$31,'Calc base'!$C323-C323)+'Calc base'!$G323+'Calc base'!$F323-(B323-C323-D323))</f>
        <v>900</v>
      </c>
      <c r="F323">
        <f>SUM(AH323:AS323)</f>
        <v>0</v>
      </c>
      <c r="G323">
        <f>SUM(AT323:BE323)</f>
        <v>0</v>
      </c>
      <c r="H323">
        <f>B323-G322</f>
        <v>0</v>
      </c>
      <c r="I323">
        <f>B323-G323</f>
        <v>0</v>
      </c>
      <c r="J323">
        <f>IF(AT322&lt;=0,0,IF(ROUND(AT322*(1+'Calc base'!H323),2)-MAX('Calc base'!C$12,ROUND('Calc base'!C$13*AT322,2))&lt;1,ROUND(AT322*(1+'Calc base'!H323),2),MAX('Calc base'!C$12,ROUND('Calc base'!C$13*AT322,2))))</f>
        <v>0</v>
      </c>
      <c r="K323">
        <f>IF(AU322&lt;=0,0,IF(ROUND(AU322*(1+'Calc base'!I323),2)-MAX('Calc base'!D$12,ROUND('Calc base'!D$13*AU322,2))&lt;1,ROUND(AU322*(1+'Calc base'!I323),2),MAX('Calc base'!D$12,ROUND('Calc base'!D$13*AU322,2))))</f>
        <v>0</v>
      </c>
      <c r="L323">
        <f>IF(AV322&lt;=0,0,IF(ROUND(AV322*(1+'Calc base'!J323),2)-MAX('Calc base'!E$12,ROUND('Calc base'!E$13*AV322,2))&lt;1,ROUND(AV322*(1+'Calc base'!J323),2),MAX('Calc base'!E$12,ROUND('Calc base'!E$13*AV322,2))))</f>
        <v>0</v>
      </c>
      <c r="M323">
        <f>IF(AW322&lt;=0,0,IF(ROUND(AW322*(1+'Calc base'!K323),2)-MAX('Calc base'!F$12,ROUND('Calc base'!F$13*AW322,2))&lt;1,ROUND(AW322*(1+'Calc base'!K323),2),MAX('Calc base'!F$12,ROUND('Calc base'!F$13*AW322,2))))</f>
        <v>0</v>
      </c>
      <c r="N323">
        <f>IF(AX322&lt;=0,0,IF(ROUND(AX322*(1+'Calc base'!L323),2)-MAX('Calc base'!G$12,ROUND('Calc base'!G$13*AX322,2))&lt;1,ROUND(AX322*(1+'Calc base'!L323),2),MAX('Calc base'!G$12,ROUND('Calc base'!G$13*AX322,2))))</f>
        <v>0</v>
      </c>
      <c r="O323">
        <f>IF(AY322&lt;=0,0,IF(ROUND(AY322*(1+'Calc base'!M323),2)-MAX('Calc base'!H$12,ROUND('Calc base'!H$13*AY322,2))&lt;1,ROUND(AY322*(1+'Calc base'!M323),2),MAX('Calc base'!H$12,ROUND('Calc base'!H$13*AY322,2))))</f>
        <v>0</v>
      </c>
      <c r="P323">
        <f>IF(AZ322&lt;=0,0,IF(ROUND(AZ322*(1+'Calc base'!N323),2)-MAX('Calc base'!I$12,ROUND('Calc base'!I$13*AZ322,2))&lt;1,ROUND(AZ322*(1+'Calc base'!N323),2),MAX('Calc base'!I$12,ROUND('Calc base'!I$13*AZ322,2))))</f>
        <v>0</v>
      </c>
      <c r="Q323">
        <f>IF(BA322&lt;=0,0,IF(ROUND(BA322*(1+'Calc base'!O323),2)-MAX('Calc base'!J$12,ROUND('Calc base'!J$13*BA322,2))&lt;1,ROUND(BA322*(1+'Calc base'!O323),2),MAX('Calc base'!J$12,ROUND('Calc base'!J$13*BA322,2))))</f>
        <v>0</v>
      </c>
      <c r="R323">
        <f>IF(BB322&lt;=0,0,IF(ROUND(BB322*(1+'Calc base'!P323),2)-MAX('Calc base'!K$12,ROUND('Calc base'!K$13*BB322,2))&lt;1,ROUND(BB322*(1+'Calc base'!P323),2),MAX('Calc base'!K$12,ROUND('Calc base'!K$13*BB322,2))))</f>
        <v>0</v>
      </c>
      <c r="S323">
        <f>IF(BC322&lt;=0,0,IF(ROUND(BC322*(1+'Calc base'!Q323),2)-MAX('Calc base'!L$12,ROUND('Calc base'!L$13*BC322,2))&lt;1,ROUND(BC322*(1+'Calc base'!Q323),2),MAX('Calc base'!L$12,ROUND('Calc base'!L$13*BC322,2))))</f>
        <v>0</v>
      </c>
      <c r="T323">
        <f>IF(BD322&lt;=0,0,IF(ROUND(BD322*(1+'Calc base'!R323),2)-MAX('Calc base'!M$12,ROUND('Calc base'!M$13*BD322,2))&lt;1,ROUND(BD322*(1+'Calc base'!R323),2),MAX('Calc base'!M$12,ROUND('Calc base'!M$13*BD322,2))))</f>
        <v>0</v>
      </c>
      <c r="U323">
        <f>IF(BE322&lt;=0,0,IF(ROUND(BE322*(1+'Calc base'!S323),2)-MAX('Calc base'!N$12,ROUND('Calc base'!N$13*BE322,2))&lt;1,ROUND(BE322*(1+'Calc base'!S323),2),MAX('Calc base'!N$12,ROUND('Calc base'!N$13*BE322,2))))</f>
        <v>0</v>
      </c>
      <c r="V323">
        <f>MAX(0,ROUND(AT322*(1+'Calc base'!H323),2)-J323-'Calc base'!T323)</f>
        <v>0</v>
      </c>
      <c r="W323">
        <f>MAX(0,ROUND(AU322*(1+'Calc base'!I323),2)-K323-'Calc base'!U323)</f>
        <v>0</v>
      </c>
      <c r="X323">
        <f>MAX(0,ROUND(AV322*(1+'Calc base'!J323),2)-L323-'Calc base'!V323)</f>
        <v>0</v>
      </c>
      <c r="Y323">
        <f>MAX(0,ROUND(AW322*(1+'Calc base'!K323),2)-M323-'Calc base'!W323)</f>
        <v>0</v>
      </c>
      <c r="Z323">
        <f>MAX(0,ROUND(AX322*(1+'Calc base'!L323),2)-N323-'Calc base'!X323)</f>
        <v>0</v>
      </c>
      <c r="AA323">
        <f>MAX(0,ROUND(AY322*(1+'Calc base'!M323),2)-O323-'Calc base'!Y323)</f>
        <v>0</v>
      </c>
      <c r="AB323">
        <f>MAX(0,ROUND(AZ322*(1+'Calc base'!N323),2)-P323-'Calc base'!Z323)</f>
        <v>0</v>
      </c>
      <c r="AC323">
        <f>MAX(0,ROUND(BA322*(1+'Calc base'!O323),2)-Q323-'Calc base'!AA323)</f>
        <v>0</v>
      </c>
      <c r="AD323">
        <f>MAX(0,ROUND(BB322*(1+'Calc base'!P323),2)-R323-'Calc base'!AB323)</f>
        <v>0</v>
      </c>
      <c r="AE323">
        <f>MAX(0,ROUND(BC322*(1+'Calc base'!Q323),2)-S323-'Calc base'!AC323)</f>
        <v>0</v>
      </c>
      <c r="AF323">
        <f>MAX(0,ROUND(BD322*(1+'Calc base'!R323),2)-T323-'Calc base'!AD323)</f>
        <v>0</v>
      </c>
      <c r="AG323">
        <f>MAX(0,ROUND(BE322*(1+'Calc base'!S323),2)-U323-'Calc base'!AE323)</f>
        <v>0</v>
      </c>
      <c r="AH323">
        <f>IF('Calc base'!C$14=0,0,MIN(V323,MAX(0,$E323-SUMIFS($V323:$AG323,'Calc base'!$C$17:$N$17,"&lt;"&amp;'Calc base'!C$17,'Calc base'!$C$14:$N$14,1))))</f>
        <v>0</v>
      </c>
      <c r="AI323">
        <f>IF('Calc base'!D$14=0,0,MIN(W323,MAX(0,$E323-SUMIFS($V323:$AG323,'Calc base'!$C$17:$N$17,"&lt;"&amp;'Calc base'!D$17,'Calc base'!$C$14:$N$14,1))))</f>
        <v>0</v>
      </c>
      <c r="AJ323">
        <f>IF('Calc base'!E$14=0,0,MIN(X323,MAX(0,$E323-SUMIFS($V323:$AG323,'Calc base'!$C$17:$N$17,"&lt;"&amp;'Calc base'!E$17,'Calc base'!$C$14:$N$14,1))))</f>
        <v>0</v>
      </c>
      <c r="AK323">
        <f>IF('Calc base'!F$14=0,0,MIN(Y323,MAX(0,$E323-SUMIFS($V323:$AG323,'Calc base'!$C$17:$N$17,"&lt;"&amp;'Calc base'!F$17,'Calc base'!$C$14:$N$14,1))))</f>
        <v>0</v>
      </c>
      <c r="AL323">
        <f>IF('Calc base'!G$14=0,0,MIN(Z323,MAX(0,$E323-SUMIFS($V323:$AG323,'Calc base'!$C$17:$N$17,"&lt;"&amp;'Calc base'!G$17,'Calc base'!$C$14:$N$14,1))))</f>
        <v>0</v>
      </c>
      <c r="AM323">
        <f>IF('Calc base'!H$14=0,0,MIN(AA323,MAX(0,$E323-SUMIFS($V323:$AG323,'Calc base'!$C$17:$N$17,"&lt;"&amp;'Calc base'!H$17,'Calc base'!$C$14:$N$14,1))))</f>
        <v>0</v>
      </c>
      <c r="AN323">
        <f>IF('Calc base'!I$14=0,0,MIN(AB323,MAX(0,$E323-SUMIFS($V323:$AG323,'Calc base'!$C$17:$N$17,"&lt;"&amp;'Calc base'!I$17,'Calc base'!$C$14:$N$14,1))))</f>
        <v>0</v>
      </c>
      <c r="AO323">
        <f>IF('Calc base'!J$14=0,0,MIN(AC323,MAX(0,$E323-SUMIFS($V323:$AG323,'Calc base'!$C$17:$N$17,"&lt;"&amp;'Calc base'!J$17,'Calc base'!$C$14:$N$14,1))))</f>
        <v>0</v>
      </c>
      <c r="AP323">
        <f>IF('Calc base'!K$14=0,0,MIN(AD323,MAX(0,$E323-SUMIFS($V323:$AG323,'Calc base'!$C$17:$N$17,"&lt;"&amp;'Calc base'!K$17,'Calc base'!$C$14:$N$14,1))))</f>
        <v>0</v>
      </c>
      <c r="AQ323">
        <f>IF('Calc base'!L$14=0,0,MIN(AE323,MAX(0,$E323-SUMIFS($V323:$AG323,'Calc base'!$C$17:$N$17,"&lt;"&amp;'Calc base'!L$17,'Calc base'!$C$14:$N$14,1))))</f>
        <v>0</v>
      </c>
      <c r="AR323">
        <f>IF('Calc base'!M$14=0,0,MIN(AF323,MAX(0,$E323-SUMIFS($V323:$AG323,'Calc base'!$C$17:$N$17,"&lt;"&amp;'Calc base'!M$17,'Calc base'!$C$14:$N$14,1))))</f>
        <v>0</v>
      </c>
      <c r="AS323">
        <f>IF('Calc base'!N$14=0,0,MIN(AG323,MAX(0,$E323-SUMIFS($V323:$AG323,'Calc base'!$C$17:$N$17,"&lt;"&amp;'Calc base'!N$17,'Calc base'!$C$14:$N$14,1))))</f>
        <v>0</v>
      </c>
      <c r="AT323">
        <f>V323-AH323</f>
        <v>0</v>
      </c>
      <c r="AU323">
        <f>W323-AI323</f>
        <v>0</v>
      </c>
      <c r="AV323">
        <f>X323-AJ323</f>
        <v>0</v>
      </c>
      <c r="AW323">
        <f>Y323-AK323</f>
        <v>0</v>
      </c>
      <c r="AX323">
        <f>Z323-AL323</f>
        <v>0</v>
      </c>
      <c r="AY323">
        <f>AA323-AM323</f>
        <v>0</v>
      </c>
      <c r="AZ323">
        <f>AB323-AN323</f>
        <v>0</v>
      </c>
      <c r="BA323">
        <f>AC323-AO323</f>
        <v>0</v>
      </c>
      <c r="BB323">
        <f>AD323-AP323</f>
        <v>0</v>
      </c>
      <c r="BC323">
        <f>AE323-AQ323</f>
        <v>0</v>
      </c>
      <c r="BD323">
        <f>AF323-AR323</f>
        <v>0</v>
      </c>
      <c r="BE323">
        <f>AG323-AS323</f>
        <v>0</v>
      </c>
    </row>
    <row r="324">
      <c r="A324" t="n">
        <v>294</v>
      </c>
      <c r="B324">
        <f>SUMPRODUCT(ROUND($AT323:$BE323*(1+'Calc base'!$H324:$S324),2))</f>
        <v>0</v>
      </c>
      <c r="C324">
        <f>SUM(J324:U324)</f>
        <v>0</v>
      </c>
      <c r="D324">
        <f>SUM(V324:AG324)</f>
        <v>0</v>
      </c>
      <c r="E324">
        <f>MAX(0,IF(Impostazioni!$B$7="No",'Calc base'!$C324-$C$31,'Calc base'!$C324-C324)+'Calc base'!$G324+'Calc base'!$F324-(B324-C324-D324))</f>
        <v>900</v>
      </c>
      <c r="F324">
        <f>SUM(AH324:AS324)</f>
        <v>0</v>
      </c>
      <c r="G324">
        <f>SUM(AT324:BE324)</f>
        <v>0</v>
      </c>
      <c r="H324">
        <f>B324-G323</f>
        <v>0</v>
      </c>
      <c r="I324">
        <f>B324-G324</f>
        <v>0</v>
      </c>
      <c r="J324">
        <f>IF(AT323&lt;=0,0,IF(ROUND(AT323*(1+'Calc base'!H324),2)-MAX('Calc base'!C$12,ROUND('Calc base'!C$13*AT323,2))&lt;1,ROUND(AT323*(1+'Calc base'!H324),2),MAX('Calc base'!C$12,ROUND('Calc base'!C$13*AT323,2))))</f>
        <v>0</v>
      </c>
      <c r="K324">
        <f>IF(AU323&lt;=0,0,IF(ROUND(AU323*(1+'Calc base'!I324),2)-MAX('Calc base'!D$12,ROUND('Calc base'!D$13*AU323,2))&lt;1,ROUND(AU323*(1+'Calc base'!I324),2),MAX('Calc base'!D$12,ROUND('Calc base'!D$13*AU323,2))))</f>
        <v>0</v>
      </c>
      <c r="L324">
        <f>IF(AV323&lt;=0,0,IF(ROUND(AV323*(1+'Calc base'!J324),2)-MAX('Calc base'!E$12,ROUND('Calc base'!E$13*AV323,2))&lt;1,ROUND(AV323*(1+'Calc base'!J324),2),MAX('Calc base'!E$12,ROUND('Calc base'!E$13*AV323,2))))</f>
        <v>0</v>
      </c>
      <c r="M324">
        <f>IF(AW323&lt;=0,0,IF(ROUND(AW323*(1+'Calc base'!K324),2)-MAX('Calc base'!F$12,ROUND('Calc base'!F$13*AW323,2))&lt;1,ROUND(AW323*(1+'Calc base'!K324),2),MAX('Calc base'!F$12,ROUND('Calc base'!F$13*AW323,2))))</f>
        <v>0</v>
      </c>
      <c r="N324">
        <f>IF(AX323&lt;=0,0,IF(ROUND(AX323*(1+'Calc base'!L324),2)-MAX('Calc base'!G$12,ROUND('Calc base'!G$13*AX323,2))&lt;1,ROUND(AX323*(1+'Calc base'!L324),2),MAX('Calc base'!G$12,ROUND('Calc base'!G$13*AX323,2))))</f>
        <v>0</v>
      </c>
      <c r="O324">
        <f>IF(AY323&lt;=0,0,IF(ROUND(AY323*(1+'Calc base'!M324),2)-MAX('Calc base'!H$12,ROUND('Calc base'!H$13*AY323,2))&lt;1,ROUND(AY323*(1+'Calc base'!M324),2),MAX('Calc base'!H$12,ROUND('Calc base'!H$13*AY323,2))))</f>
        <v>0</v>
      </c>
      <c r="P324">
        <f>IF(AZ323&lt;=0,0,IF(ROUND(AZ323*(1+'Calc base'!N324),2)-MAX('Calc base'!I$12,ROUND('Calc base'!I$13*AZ323,2))&lt;1,ROUND(AZ323*(1+'Calc base'!N324),2),MAX('Calc base'!I$12,ROUND('Calc base'!I$13*AZ323,2))))</f>
        <v>0</v>
      </c>
      <c r="Q324">
        <f>IF(BA323&lt;=0,0,IF(ROUND(BA323*(1+'Calc base'!O324),2)-MAX('Calc base'!J$12,ROUND('Calc base'!J$13*BA323,2))&lt;1,ROUND(BA323*(1+'Calc base'!O324),2),MAX('Calc base'!J$12,ROUND('Calc base'!J$13*BA323,2))))</f>
        <v>0</v>
      </c>
      <c r="R324">
        <f>IF(BB323&lt;=0,0,IF(ROUND(BB323*(1+'Calc base'!P324),2)-MAX('Calc base'!K$12,ROUND('Calc base'!K$13*BB323,2))&lt;1,ROUND(BB323*(1+'Calc base'!P324),2),MAX('Calc base'!K$12,ROUND('Calc base'!K$13*BB323,2))))</f>
        <v>0</v>
      </c>
      <c r="S324">
        <f>IF(BC323&lt;=0,0,IF(ROUND(BC323*(1+'Calc base'!Q324),2)-MAX('Calc base'!L$12,ROUND('Calc base'!L$13*BC323,2))&lt;1,ROUND(BC323*(1+'Calc base'!Q324),2),MAX('Calc base'!L$12,ROUND('Calc base'!L$13*BC323,2))))</f>
        <v>0</v>
      </c>
      <c r="T324">
        <f>IF(BD323&lt;=0,0,IF(ROUND(BD323*(1+'Calc base'!R324),2)-MAX('Calc base'!M$12,ROUND('Calc base'!M$13*BD323,2))&lt;1,ROUND(BD323*(1+'Calc base'!R324),2),MAX('Calc base'!M$12,ROUND('Calc base'!M$13*BD323,2))))</f>
        <v>0</v>
      </c>
      <c r="U324">
        <f>IF(BE323&lt;=0,0,IF(ROUND(BE323*(1+'Calc base'!S324),2)-MAX('Calc base'!N$12,ROUND('Calc base'!N$13*BE323,2))&lt;1,ROUND(BE323*(1+'Calc base'!S324),2),MAX('Calc base'!N$12,ROUND('Calc base'!N$13*BE323,2))))</f>
        <v>0</v>
      </c>
      <c r="V324">
        <f>MAX(0,ROUND(AT323*(1+'Calc base'!H324),2)-J324-'Calc base'!T324)</f>
        <v>0</v>
      </c>
      <c r="W324">
        <f>MAX(0,ROUND(AU323*(1+'Calc base'!I324),2)-K324-'Calc base'!U324)</f>
        <v>0</v>
      </c>
      <c r="X324">
        <f>MAX(0,ROUND(AV323*(1+'Calc base'!J324),2)-L324-'Calc base'!V324)</f>
        <v>0</v>
      </c>
      <c r="Y324">
        <f>MAX(0,ROUND(AW323*(1+'Calc base'!K324),2)-M324-'Calc base'!W324)</f>
        <v>0</v>
      </c>
      <c r="Z324">
        <f>MAX(0,ROUND(AX323*(1+'Calc base'!L324),2)-N324-'Calc base'!X324)</f>
        <v>0</v>
      </c>
      <c r="AA324">
        <f>MAX(0,ROUND(AY323*(1+'Calc base'!M324),2)-O324-'Calc base'!Y324)</f>
        <v>0</v>
      </c>
      <c r="AB324">
        <f>MAX(0,ROUND(AZ323*(1+'Calc base'!N324),2)-P324-'Calc base'!Z324)</f>
        <v>0</v>
      </c>
      <c r="AC324">
        <f>MAX(0,ROUND(BA323*(1+'Calc base'!O324),2)-Q324-'Calc base'!AA324)</f>
        <v>0</v>
      </c>
      <c r="AD324">
        <f>MAX(0,ROUND(BB323*(1+'Calc base'!P324),2)-R324-'Calc base'!AB324)</f>
        <v>0</v>
      </c>
      <c r="AE324">
        <f>MAX(0,ROUND(BC323*(1+'Calc base'!Q324),2)-S324-'Calc base'!AC324)</f>
        <v>0</v>
      </c>
      <c r="AF324">
        <f>MAX(0,ROUND(BD323*(1+'Calc base'!R324),2)-T324-'Calc base'!AD324)</f>
        <v>0</v>
      </c>
      <c r="AG324">
        <f>MAX(0,ROUND(BE323*(1+'Calc base'!S324),2)-U324-'Calc base'!AE324)</f>
        <v>0</v>
      </c>
      <c r="AH324">
        <f>IF('Calc base'!C$14=0,0,MIN(V324,MAX(0,$E324-SUMIFS($V324:$AG324,'Calc base'!$C$17:$N$17,"&lt;"&amp;'Calc base'!C$17,'Calc base'!$C$14:$N$14,1))))</f>
        <v>0</v>
      </c>
      <c r="AI324">
        <f>IF('Calc base'!D$14=0,0,MIN(W324,MAX(0,$E324-SUMIFS($V324:$AG324,'Calc base'!$C$17:$N$17,"&lt;"&amp;'Calc base'!D$17,'Calc base'!$C$14:$N$14,1))))</f>
        <v>0</v>
      </c>
      <c r="AJ324">
        <f>IF('Calc base'!E$14=0,0,MIN(X324,MAX(0,$E324-SUMIFS($V324:$AG324,'Calc base'!$C$17:$N$17,"&lt;"&amp;'Calc base'!E$17,'Calc base'!$C$14:$N$14,1))))</f>
        <v>0</v>
      </c>
      <c r="AK324">
        <f>IF('Calc base'!F$14=0,0,MIN(Y324,MAX(0,$E324-SUMIFS($V324:$AG324,'Calc base'!$C$17:$N$17,"&lt;"&amp;'Calc base'!F$17,'Calc base'!$C$14:$N$14,1))))</f>
        <v>0</v>
      </c>
      <c r="AL324">
        <f>IF('Calc base'!G$14=0,0,MIN(Z324,MAX(0,$E324-SUMIFS($V324:$AG324,'Calc base'!$C$17:$N$17,"&lt;"&amp;'Calc base'!G$17,'Calc base'!$C$14:$N$14,1))))</f>
        <v>0</v>
      </c>
      <c r="AM324">
        <f>IF('Calc base'!H$14=0,0,MIN(AA324,MAX(0,$E324-SUMIFS($V324:$AG324,'Calc base'!$C$17:$N$17,"&lt;"&amp;'Calc base'!H$17,'Calc base'!$C$14:$N$14,1))))</f>
        <v>0</v>
      </c>
      <c r="AN324">
        <f>IF('Calc base'!I$14=0,0,MIN(AB324,MAX(0,$E324-SUMIFS($V324:$AG324,'Calc base'!$C$17:$N$17,"&lt;"&amp;'Calc base'!I$17,'Calc base'!$C$14:$N$14,1))))</f>
        <v>0</v>
      </c>
      <c r="AO324">
        <f>IF('Calc base'!J$14=0,0,MIN(AC324,MAX(0,$E324-SUMIFS($V324:$AG324,'Calc base'!$C$17:$N$17,"&lt;"&amp;'Calc base'!J$17,'Calc base'!$C$14:$N$14,1))))</f>
        <v>0</v>
      </c>
      <c r="AP324">
        <f>IF('Calc base'!K$14=0,0,MIN(AD324,MAX(0,$E324-SUMIFS($V324:$AG324,'Calc base'!$C$17:$N$17,"&lt;"&amp;'Calc base'!K$17,'Calc base'!$C$14:$N$14,1))))</f>
        <v>0</v>
      </c>
      <c r="AQ324">
        <f>IF('Calc base'!L$14=0,0,MIN(AE324,MAX(0,$E324-SUMIFS($V324:$AG324,'Calc base'!$C$17:$N$17,"&lt;"&amp;'Calc base'!L$17,'Calc base'!$C$14:$N$14,1))))</f>
        <v>0</v>
      </c>
      <c r="AR324">
        <f>IF('Calc base'!M$14=0,0,MIN(AF324,MAX(0,$E324-SUMIFS($V324:$AG324,'Calc base'!$C$17:$N$17,"&lt;"&amp;'Calc base'!M$17,'Calc base'!$C$14:$N$14,1))))</f>
        <v>0</v>
      </c>
      <c r="AS324">
        <f>IF('Calc base'!N$14=0,0,MIN(AG324,MAX(0,$E324-SUMIFS($V324:$AG324,'Calc base'!$C$17:$N$17,"&lt;"&amp;'Calc base'!N$17,'Calc base'!$C$14:$N$14,1))))</f>
        <v>0</v>
      </c>
      <c r="AT324">
        <f>V324-AH324</f>
        <v>0</v>
      </c>
      <c r="AU324">
        <f>W324-AI324</f>
        <v>0</v>
      </c>
      <c r="AV324">
        <f>X324-AJ324</f>
        <v>0</v>
      </c>
      <c r="AW324">
        <f>Y324-AK324</f>
        <v>0</v>
      </c>
      <c r="AX324">
        <f>Z324-AL324</f>
        <v>0</v>
      </c>
      <c r="AY324">
        <f>AA324-AM324</f>
        <v>0</v>
      </c>
      <c r="AZ324">
        <f>AB324-AN324</f>
        <v>0</v>
      </c>
      <c r="BA324">
        <f>AC324-AO324</f>
        <v>0</v>
      </c>
      <c r="BB324">
        <f>AD324-AP324</f>
        <v>0</v>
      </c>
      <c r="BC324">
        <f>AE324-AQ324</f>
        <v>0</v>
      </c>
      <c r="BD324">
        <f>AF324-AR324</f>
        <v>0</v>
      </c>
      <c r="BE324">
        <f>AG324-AS324</f>
        <v>0</v>
      </c>
    </row>
    <row r="325">
      <c r="A325" t="n">
        <v>295</v>
      </c>
      <c r="B325">
        <f>SUMPRODUCT(ROUND($AT324:$BE324*(1+'Calc base'!$H325:$S325),2))</f>
        <v>0</v>
      </c>
      <c r="C325">
        <f>SUM(J325:U325)</f>
        <v>0</v>
      </c>
      <c r="D325">
        <f>SUM(V325:AG325)</f>
        <v>0</v>
      </c>
      <c r="E325">
        <f>MAX(0,IF(Impostazioni!$B$7="No",'Calc base'!$C325-$C$31,'Calc base'!$C325-C325)+'Calc base'!$G325+'Calc base'!$F325-(B325-C325-D325))</f>
        <v>900</v>
      </c>
      <c r="F325">
        <f>SUM(AH325:AS325)</f>
        <v>0</v>
      </c>
      <c r="G325">
        <f>SUM(AT325:BE325)</f>
        <v>0</v>
      </c>
      <c r="H325">
        <f>B325-G324</f>
        <v>0</v>
      </c>
      <c r="I325">
        <f>B325-G325</f>
        <v>0</v>
      </c>
      <c r="J325">
        <f>IF(AT324&lt;=0,0,IF(ROUND(AT324*(1+'Calc base'!H325),2)-MAX('Calc base'!C$12,ROUND('Calc base'!C$13*AT324,2))&lt;1,ROUND(AT324*(1+'Calc base'!H325),2),MAX('Calc base'!C$12,ROUND('Calc base'!C$13*AT324,2))))</f>
        <v>0</v>
      </c>
      <c r="K325">
        <f>IF(AU324&lt;=0,0,IF(ROUND(AU324*(1+'Calc base'!I325),2)-MAX('Calc base'!D$12,ROUND('Calc base'!D$13*AU324,2))&lt;1,ROUND(AU324*(1+'Calc base'!I325),2),MAX('Calc base'!D$12,ROUND('Calc base'!D$13*AU324,2))))</f>
        <v>0</v>
      </c>
      <c r="L325">
        <f>IF(AV324&lt;=0,0,IF(ROUND(AV324*(1+'Calc base'!J325),2)-MAX('Calc base'!E$12,ROUND('Calc base'!E$13*AV324,2))&lt;1,ROUND(AV324*(1+'Calc base'!J325),2),MAX('Calc base'!E$12,ROUND('Calc base'!E$13*AV324,2))))</f>
        <v>0</v>
      </c>
      <c r="M325">
        <f>IF(AW324&lt;=0,0,IF(ROUND(AW324*(1+'Calc base'!K325),2)-MAX('Calc base'!F$12,ROUND('Calc base'!F$13*AW324,2))&lt;1,ROUND(AW324*(1+'Calc base'!K325),2),MAX('Calc base'!F$12,ROUND('Calc base'!F$13*AW324,2))))</f>
        <v>0</v>
      </c>
      <c r="N325">
        <f>IF(AX324&lt;=0,0,IF(ROUND(AX324*(1+'Calc base'!L325),2)-MAX('Calc base'!G$12,ROUND('Calc base'!G$13*AX324,2))&lt;1,ROUND(AX324*(1+'Calc base'!L325),2),MAX('Calc base'!G$12,ROUND('Calc base'!G$13*AX324,2))))</f>
        <v>0</v>
      </c>
      <c r="O325">
        <f>IF(AY324&lt;=0,0,IF(ROUND(AY324*(1+'Calc base'!M325),2)-MAX('Calc base'!H$12,ROUND('Calc base'!H$13*AY324,2))&lt;1,ROUND(AY324*(1+'Calc base'!M325),2),MAX('Calc base'!H$12,ROUND('Calc base'!H$13*AY324,2))))</f>
        <v>0</v>
      </c>
      <c r="P325">
        <f>IF(AZ324&lt;=0,0,IF(ROUND(AZ324*(1+'Calc base'!N325),2)-MAX('Calc base'!I$12,ROUND('Calc base'!I$13*AZ324,2))&lt;1,ROUND(AZ324*(1+'Calc base'!N325),2),MAX('Calc base'!I$12,ROUND('Calc base'!I$13*AZ324,2))))</f>
        <v>0</v>
      </c>
      <c r="Q325">
        <f>IF(BA324&lt;=0,0,IF(ROUND(BA324*(1+'Calc base'!O325),2)-MAX('Calc base'!J$12,ROUND('Calc base'!J$13*BA324,2))&lt;1,ROUND(BA324*(1+'Calc base'!O325),2),MAX('Calc base'!J$12,ROUND('Calc base'!J$13*BA324,2))))</f>
        <v>0</v>
      </c>
      <c r="R325">
        <f>IF(BB324&lt;=0,0,IF(ROUND(BB324*(1+'Calc base'!P325),2)-MAX('Calc base'!K$12,ROUND('Calc base'!K$13*BB324,2))&lt;1,ROUND(BB324*(1+'Calc base'!P325),2),MAX('Calc base'!K$12,ROUND('Calc base'!K$13*BB324,2))))</f>
        <v>0</v>
      </c>
      <c r="S325">
        <f>IF(BC324&lt;=0,0,IF(ROUND(BC324*(1+'Calc base'!Q325),2)-MAX('Calc base'!L$12,ROUND('Calc base'!L$13*BC324,2))&lt;1,ROUND(BC324*(1+'Calc base'!Q325),2),MAX('Calc base'!L$12,ROUND('Calc base'!L$13*BC324,2))))</f>
        <v>0</v>
      </c>
      <c r="T325">
        <f>IF(BD324&lt;=0,0,IF(ROUND(BD324*(1+'Calc base'!R325),2)-MAX('Calc base'!M$12,ROUND('Calc base'!M$13*BD324,2))&lt;1,ROUND(BD324*(1+'Calc base'!R325),2),MAX('Calc base'!M$12,ROUND('Calc base'!M$13*BD324,2))))</f>
        <v>0</v>
      </c>
      <c r="U325">
        <f>IF(BE324&lt;=0,0,IF(ROUND(BE324*(1+'Calc base'!S325),2)-MAX('Calc base'!N$12,ROUND('Calc base'!N$13*BE324,2))&lt;1,ROUND(BE324*(1+'Calc base'!S325),2),MAX('Calc base'!N$12,ROUND('Calc base'!N$13*BE324,2))))</f>
        <v>0</v>
      </c>
      <c r="V325">
        <f>MAX(0,ROUND(AT324*(1+'Calc base'!H325),2)-J325-'Calc base'!T325)</f>
        <v>0</v>
      </c>
      <c r="W325">
        <f>MAX(0,ROUND(AU324*(1+'Calc base'!I325),2)-K325-'Calc base'!U325)</f>
        <v>0</v>
      </c>
      <c r="X325">
        <f>MAX(0,ROUND(AV324*(1+'Calc base'!J325),2)-L325-'Calc base'!V325)</f>
        <v>0</v>
      </c>
      <c r="Y325">
        <f>MAX(0,ROUND(AW324*(1+'Calc base'!K325),2)-M325-'Calc base'!W325)</f>
        <v>0</v>
      </c>
      <c r="Z325">
        <f>MAX(0,ROUND(AX324*(1+'Calc base'!L325),2)-N325-'Calc base'!X325)</f>
        <v>0</v>
      </c>
      <c r="AA325">
        <f>MAX(0,ROUND(AY324*(1+'Calc base'!M325),2)-O325-'Calc base'!Y325)</f>
        <v>0</v>
      </c>
      <c r="AB325">
        <f>MAX(0,ROUND(AZ324*(1+'Calc base'!N325),2)-P325-'Calc base'!Z325)</f>
        <v>0</v>
      </c>
      <c r="AC325">
        <f>MAX(0,ROUND(BA324*(1+'Calc base'!O325),2)-Q325-'Calc base'!AA325)</f>
        <v>0</v>
      </c>
      <c r="AD325">
        <f>MAX(0,ROUND(BB324*(1+'Calc base'!P325),2)-R325-'Calc base'!AB325)</f>
        <v>0</v>
      </c>
      <c r="AE325">
        <f>MAX(0,ROUND(BC324*(1+'Calc base'!Q325),2)-S325-'Calc base'!AC325)</f>
        <v>0</v>
      </c>
      <c r="AF325">
        <f>MAX(0,ROUND(BD324*(1+'Calc base'!R325),2)-T325-'Calc base'!AD325)</f>
        <v>0</v>
      </c>
      <c r="AG325">
        <f>MAX(0,ROUND(BE324*(1+'Calc base'!S325),2)-U325-'Calc base'!AE325)</f>
        <v>0</v>
      </c>
      <c r="AH325">
        <f>IF('Calc base'!C$14=0,0,MIN(V325,MAX(0,$E325-SUMIFS($V325:$AG325,'Calc base'!$C$17:$N$17,"&lt;"&amp;'Calc base'!C$17,'Calc base'!$C$14:$N$14,1))))</f>
        <v>0</v>
      </c>
      <c r="AI325">
        <f>IF('Calc base'!D$14=0,0,MIN(W325,MAX(0,$E325-SUMIFS($V325:$AG325,'Calc base'!$C$17:$N$17,"&lt;"&amp;'Calc base'!D$17,'Calc base'!$C$14:$N$14,1))))</f>
        <v>0</v>
      </c>
      <c r="AJ325">
        <f>IF('Calc base'!E$14=0,0,MIN(X325,MAX(0,$E325-SUMIFS($V325:$AG325,'Calc base'!$C$17:$N$17,"&lt;"&amp;'Calc base'!E$17,'Calc base'!$C$14:$N$14,1))))</f>
        <v>0</v>
      </c>
      <c r="AK325">
        <f>IF('Calc base'!F$14=0,0,MIN(Y325,MAX(0,$E325-SUMIFS($V325:$AG325,'Calc base'!$C$17:$N$17,"&lt;"&amp;'Calc base'!F$17,'Calc base'!$C$14:$N$14,1))))</f>
        <v>0</v>
      </c>
      <c r="AL325">
        <f>IF('Calc base'!G$14=0,0,MIN(Z325,MAX(0,$E325-SUMIFS($V325:$AG325,'Calc base'!$C$17:$N$17,"&lt;"&amp;'Calc base'!G$17,'Calc base'!$C$14:$N$14,1))))</f>
        <v>0</v>
      </c>
      <c r="AM325">
        <f>IF('Calc base'!H$14=0,0,MIN(AA325,MAX(0,$E325-SUMIFS($V325:$AG325,'Calc base'!$C$17:$N$17,"&lt;"&amp;'Calc base'!H$17,'Calc base'!$C$14:$N$14,1))))</f>
        <v>0</v>
      </c>
      <c r="AN325">
        <f>IF('Calc base'!I$14=0,0,MIN(AB325,MAX(0,$E325-SUMIFS($V325:$AG325,'Calc base'!$C$17:$N$17,"&lt;"&amp;'Calc base'!I$17,'Calc base'!$C$14:$N$14,1))))</f>
        <v>0</v>
      </c>
      <c r="AO325">
        <f>IF('Calc base'!J$14=0,0,MIN(AC325,MAX(0,$E325-SUMIFS($V325:$AG325,'Calc base'!$C$17:$N$17,"&lt;"&amp;'Calc base'!J$17,'Calc base'!$C$14:$N$14,1))))</f>
        <v>0</v>
      </c>
      <c r="AP325">
        <f>IF('Calc base'!K$14=0,0,MIN(AD325,MAX(0,$E325-SUMIFS($V325:$AG325,'Calc base'!$C$17:$N$17,"&lt;"&amp;'Calc base'!K$17,'Calc base'!$C$14:$N$14,1))))</f>
        <v>0</v>
      </c>
      <c r="AQ325">
        <f>IF('Calc base'!L$14=0,0,MIN(AE325,MAX(0,$E325-SUMIFS($V325:$AG325,'Calc base'!$C$17:$N$17,"&lt;"&amp;'Calc base'!L$17,'Calc base'!$C$14:$N$14,1))))</f>
        <v>0</v>
      </c>
      <c r="AR325">
        <f>IF('Calc base'!M$14=0,0,MIN(AF325,MAX(0,$E325-SUMIFS($V325:$AG325,'Calc base'!$C$17:$N$17,"&lt;"&amp;'Calc base'!M$17,'Calc base'!$C$14:$N$14,1))))</f>
        <v>0</v>
      </c>
      <c r="AS325">
        <f>IF('Calc base'!N$14=0,0,MIN(AG325,MAX(0,$E325-SUMIFS($V325:$AG325,'Calc base'!$C$17:$N$17,"&lt;"&amp;'Calc base'!N$17,'Calc base'!$C$14:$N$14,1))))</f>
        <v>0</v>
      </c>
      <c r="AT325">
        <f>V325-AH325</f>
        <v>0</v>
      </c>
      <c r="AU325">
        <f>W325-AI325</f>
        <v>0</v>
      </c>
      <c r="AV325">
        <f>X325-AJ325</f>
        <v>0</v>
      </c>
      <c r="AW325">
        <f>Y325-AK325</f>
        <v>0</v>
      </c>
      <c r="AX325">
        <f>Z325-AL325</f>
        <v>0</v>
      </c>
      <c r="AY325">
        <f>AA325-AM325</f>
        <v>0</v>
      </c>
      <c r="AZ325">
        <f>AB325-AN325</f>
        <v>0</v>
      </c>
      <c r="BA325">
        <f>AC325-AO325</f>
        <v>0</v>
      </c>
      <c r="BB325">
        <f>AD325-AP325</f>
        <v>0</v>
      </c>
      <c r="BC325">
        <f>AE325-AQ325</f>
        <v>0</v>
      </c>
      <c r="BD325">
        <f>AF325-AR325</f>
        <v>0</v>
      </c>
      <c r="BE325">
        <f>AG325-AS325</f>
        <v>0</v>
      </c>
    </row>
    <row r="326">
      <c r="A326" t="n">
        <v>296</v>
      </c>
      <c r="B326">
        <f>SUMPRODUCT(ROUND($AT325:$BE325*(1+'Calc base'!$H326:$S326),2))</f>
        <v>0</v>
      </c>
      <c r="C326">
        <f>SUM(J326:U326)</f>
        <v>0</v>
      </c>
      <c r="D326">
        <f>SUM(V326:AG326)</f>
        <v>0</v>
      </c>
      <c r="E326">
        <f>MAX(0,IF(Impostazioni!$B$7="No",'Calc base'!$C326-$C$31,'Calc base'!$C326-C326)+'Calc base'!$G326+'Calc base'!$F326-(B326-C326-D326))</f>
        <v>900</v>
      </c>
      <c r="F326">
        <f>SUM(AH326:AS326)</f>
        <v>0</v>
      </c>
      <c r="G326">
        <f>SUM(AT326:BE326)</f>
        <v>0</v>
      </c>
      <c r="H326">
        <f>B326-G325</f>
        <v>0</v>
      </c>
      <c r="I326">
        <f>B326-G326</f>
        <v>0</v>
      </c>
      <c r="J326">
        <f>IF(AT325&lt;=0,0,IF(ROUND(AT325*(1+'Calc base'!H326),2)-MAX('Calc base'!C$12,ROUND('Calc base'!C$13*AT325,2))&lt;1,ROUND(AT325*(1+'Calc base'!H326),2),MAX('Calc base'!C$12,ROUND('Calc base'!C$13*AT325,2))))</f>
        <v>0</v>
      </c>
      <c r="K326">
        <f>IF(AU325&lt;=0,0,IF(ROUND(AU325*(1+'Calc base'!I326),2)-MAX('Calc base'!D$12,ROUND('Calc base'!D$13*AU325,2))&lt;1,ROUND(AU325*(1+'Calc base'!I326),2),MAX('Calc base'!D$12,ROUND('Calc base'!D$13*AU325,2))))</f>
        <v>0</v>
      </c>
      <c r="L326">
        <f>IF(AV325&lt;=0,0,IF(ROUND(AV325*(1+'Calc base'!J326),2)-MAX('Calc base'!E$12,ROUND('Calc base'!E$13*AV325,2))&lt;1,ROUND(AV325*(1+'Calc base'!J326),2),MAX('Calc base'!E$12,ROUND('Calc base'!E$13*AV325,2))))</f>
        <v>0</v>
      </c>
      <c r="M326">
        <f>IF(AW325&lt;=0,0,IF(ROUND(AW325*(1+'Calc base'!K326),2)-MAX('Calc base'!F$12,ROUND('Calc base'!F$13*AW325,2))&lt;1,ROUND(AW325*(1+'Calc base'!K326),2),MAX('Calc base'!F$12,ROUND('Calc base'!F$13*AW325,2))))</f>
        <v>0</v>
      </c>
      <c r="N326">
        <f>IF(AX325&lt;=0,0,IF(ROUND(AX325*(1+'Calc base'!L326),2)-MAX('Calc base'!G$12,ROUND('Calc base'!G$13*AX325,2))&lt;1,ROUND(AX325*(1+'Calc base'!L326),2),MAX('Calc base'!G$12,ROUND('Calc base'!G$13*AX325,2))))</f>
        <v>0</v>
      </c>
      <c r="O326">
        <f>IF(AY325&lt;=0,0,IF(ROUND(AY325*(1+'Calc base'!M326),2)-MAX('Calc base'!H$12,ROUND('Calc base'!H$13*AY325,2))&lt;1,ROUND(AY325*(1+'Calc base'!M326),2),MAX('Calc base'!H$12,ROUND('Calc base'!H$13*AY325,2))))</f>
        <v>0</v>
      </c>
      <c r="P326">
        <f>IF(AZ325&lt;=0,0,IF(ROUND(AZ325*(1+'Calc base'!N326),2)-MAX('Calc base'!I$12,ROUND('Calc base'!I$13*AZ325,2))&lt;1,ROUND(AZ325*(1+'Calc base'!N326),2),MAX('Calc base'!I$12,ROUND('Calc base'!I$13*AZ325,2))))</f>
        <v>0</v>
      </c>
      <c r="Q326">
        <f>IF(BA325&lt;=0,0,IF(ROUND(BA325*(1+'Calc base'!O326),2)-MAX('Calc base'!J$12,ROUND('Calc base'!J$13*BA325,2))&lt;1,ROUND(BA325*(1+'Calc base'!O326),2),MAX('Calc base'!J$12,ROUND('Calc base'!J$13*BA325,2))))</f>
        <v>0</v>
      </c>
      <c r="R326">
        <f>IF(BB325&lt;=0,0,IF(ROUND(BB325*(1+'Calc base'!P326),2)-MAX('Calc base'!K$12,ROUND('Calc base'!K$13*BB325,2))&lt;1,ROUND(BB325*(1+'Calc base'!P326),2),MAX('Calc base'!K$12,ROUND('Calc base'!K$13*BB325,2))))</f>
        <v>0</v>
      </c>
      <c r="S326">
        <f>IF(BC325&lt;=0,0,IF(ROUND(BC325*(1+'Calc base'!Q326),2)-MAX('Calc base'!L$12,ROUND('Calc base'!L$13*BC325,2))&lt;1,ROUND(BC325*(1+'Calc base'!Q326),2),MAX('Calc base'!L$12,ROUND('Calc base'!L$13*BC325,2))))</f>
        <v>0</v>
      </c>
      <c r="T326">
        <f>IF(BD325&lt;=0,0,IF(ROUND(BD325*(1+'Calc base'!R326),2)-MAX('Calc base'!M$12,ROUND('Calc base'!M$13*BD325,2))&lt;1,ROUND(BD325*(1+'Calc base'!R326),2),MAX('Calc base'!M$12,ROUND('Calc base'!M$13*BD325,2))))</f>
        <v>0</v>
      </c>
      <c r="U326">
        <f>IF(BE325&lt;=0,0,IF(ROUND(BE325*(1+'Calc base'!S326),2)-MAX('Calc base'!N$12,ROUND('Calc base'!N$13*BE325,2))&lt;1,ROUND(BE325*(1+'Calc base'!S326),2),MAX('Calc base'!N$12,ROUND('Calc base'!N$13*BE325,2))))</f>
        <v>0</v>
      </c>
      <c r="V326">
        <f>MAX(0,ROUND(AT325*(1+'Calc base'!H326),2)-J326-'Calc base'!T326)</f>
        <v>0</v>
      </c>
      <c r="W326">
        <f>MAX(0,ROUND(AU325*(1+'Calc base'!I326),2)-K326-'Calc base'!U326)</f>
        <v>0</v>
      </c>
      <c r="X326">
        <f>MAX(0,ROUND(AV325*(1+'Calc base'!J326),2)-L326-'Calc base'!V326)</f>
        <v>0</v>
      </c>
      <c r="Y326">
        <f>MAX(0,ROUND(AW325*(1+'Calc base'!K326),2)-M326-'Calc base'!W326)</f>
        <v>0</v>
      </c>
      <c r="Z326">
        <f>MAX(0,ROUND(AX325*(1+'Calc base'!L326),2)-N326-'Calc base'!X326)</f>
        <v>0</v>
      </c>
      <c r="AA326">
        <f>MAX(0,ROUND(AY325*(1+'Calc base'!M326),2)-O326-'Calc base'!Y326)</f>
        <v>0</v>
      </c>
      <c r="AB326">
        <f>MAX(0,ROUND(AZ325*(1+'Calc base'!N326),2)-P326-'Calc base'!Z326)</f>
        <v>0</v>
      </c>
      <c r="AC326">
        <f>MAX(0,ROUND(BA325*(1+'Calc base'!O326),2)-Q326-'Calc base'!AA326)</f>
        <v>0</v>
      </c>
      <c r="AD326">
        <f>MAX(0,ROUND(BB325*(1+'Calc base'!P326),2)-R326-'Calc base'!AB326)</f>
        <v>0</v>
      </c>
      <c r="AE326">
        <f>MAX(0,ROUND(BC325*(1+'Calc base'!Q326),2)-S326-'Calc base'!AC326)</f>
        <v>0</v>
      </c>
      <c r="AF326">
        <f>MAX(0,ROUND(BD325*(1+'Calc base'!R326),2)-T326-'Calc base'!AD326)</f>
        <v>0</v>
      </c>
      <c r="AG326">
        <f>MAX(0,ROUND(BE325*(1+'Calc base'!S326),2)-U326-'Calc base'!AE326)</f>
        <v>0</v>
      </c>
      <c r="AH326">
        <f>IF('Calc base'!C$14=0,0,MIN(V326,MAX(0,$E326-SUMIFS($V326:$AG326,'Calc base'!$C$17:$N$17,"&lt;"&amp;'Calc base'!C$17,'Calc base'!$C$14:$N$14,1))))</f>
        <v>0</v>
      </c>
      <c r="AI326">
        <f>IF('Calc base'!D$14=0,0,MIN(W326,MAX(0,$E326-SUMIFS($V326:$AG326,'Calc base'!$C$17:$N$17,"&lt;"&amp;'Calc base'!D$17,'Calc base'!$C$14:$N$14,1))))</f>
        <v>0</v>
      </c>
      <c r="AJ326">
        <f>IF('Calc base'!E$14=0,0,MIN(X326,MAX(0,$E326-SUMIFS($V326:$AG326,'Calc base'!$C$17:$N$17,"&lt;"&amp;'Calc base'!E$17,'Calc base'!$C$14:$N$14,1))))</f>
        <v>0</v>
      </c>
      <c r="AK326">
        <f>IF('Calc base'!F$14=0,0,MIN(Y326,MAX(0,$E326-SUMIFS($V326:$AG326,'Calc base'!$C$17:$N$17,"&lt;"&amp;'Calc base'!F$17,'Calc base'!$C$14:$N$14,1))))</f>
        <v>0</v>
      </c>
      <c r="AL326">
        <f>IF('Calc base'!G$14=0,0,MIN(Z326,MAX(0,$E326-SUMIFS($V326:$AG326,'Calc base'!$C$17:$N$17,"&lt;"&amp;'Calc base'!G$17,'Calc base'!$C$14:$N$14,1))))</f>
        <v>0</v>
      </c>
      <c r="AM326">
        <f>IF('Calc base'!H$14=0,0,MIN(AA326,MAX(0,$E326-SUMIFS($V326:$AG326,'Calc base'!$C$17:$N$17,"&lt;"&amp;'Calc base'!H$17,'Calc base'!$C$14:$N$14,1))))</f>
        <v>0</v>
      </c>
      <c r="AN326">
        <f>IF('Calc base'!I$14=0,0,MIN(AB326,MAX(0,$E326-SUMIFS($V326:$AG326,'Calc base'!$C$17:$N$17,"&lt;"&amp;'Calc base'!I$17,'Calc base'!$C$14:$N$14,1))))</f>
        <v>0</v>
      </c>
      <c r="AO326">
        <f>IF('Calc base'!J$14=0,0,MIN(AC326,MAX(0,$E326-SUMIFS($V326:$AG326,'Calc base'!$C$17:$N$17,"&lt;"&amp;'Calc base'!J$17,'Calc base'!$C$14:$N$14,1))))</f>
        <v>0</v>
      </c>
      <c r="AP326">
        <f>IF('Calc base'!K$14=0,0,MIN(AD326,MAX(0,$E326-SUMIFS($V326:$AG326,'Calc base'!$C$17:$N$17,"&lt;"&amp;'Calc base'!K$17,'Calc base'!$C$14:$N$14,1))))</f>
        <v>0</v>
      </c>
      <c r="AQ326">
        <f>IF('Calc base'!L$14=0,0,MIN(AE326,MAX(0,$E326-SUMIFS($V326:$AG326,'Calc base'!$C$17:$N$17,"&lt;"&amp;'Calc base'!L$17,'Calc base'!$C$14:$N$14,1))))</f>
        <v>0</v>
      </c>
      <c r="AR326">
        <f>IF('Calc base'!M$14=0,0,MIN(AF326,MAX(0,$E326-SUMIFS($V326:$AG326,'Calc base'!$C$17:$N$17,"&lt;"&amp;'Calc base'!M$17,'Calc base'!$C$14:$N$14,1))))</f>
        <v>0</v>
      </c>
      <c r="AS326">
        <f>IF('Calc base'!N$14=0,0,MIN(AG326,MAX(0,$E326-SUMIFS($V326:$AG326,'Calc base'!$C$17:$N$17,"&lt;"&amp;'Calc base'!N$17,'Calc base'!$C$14:$N$14,1))))</f>
        <v>0</v>
      </c>
      <c r="AT326">
        <f>V326-AH326</f>
        <v>0</v>
      </c>
      <c r="AU326">
        <f>W326-AI326</f>
        <v>0</v>
      </c>
      <c r="AV326">
        <f>X326-AJ326</f>
        <v>0</v>
      </c>
      <c r="AW326">
        <f>Y326-AK326</f>
        <v>0</v>
      </c>
      <c r="AX326">
        <f>Z326-AL326</f>
        <v>0</v>
      </c>
      <c r="AY326">
        <f>AA326-AM326</f>
        <v>0</v>
      </c>
      <c r="AZ326">
        <f>AB326-AN326</f>
        <v>0</v>
      </c>
      <c r="BA326">
        <f>AC326-AO326</f>
        <v>0</v>
      </c>
      <c r="BB326">
        <f>AD326-AP326</f>
        <v>0</v>
      </c>
      <c r="BC326">
        <f>AE326-AQ326</f>
        <v>0</v>
      </c>
      <c r="BD326">
        <f>AF326-AR326</f>
        <v>0</v>
      </c>
      <c r="BE326">
        <f>AG326-AS326</f>
        <v>0</v>
      </c>
    </row>
    <row r="327">
      <c r="A327" t="n">
        <v>297</v>
      </c>
      <c r="B327">
        <f>SUMPRODUCT(ROUND($AT326:$BE326*(1+'Calc base'!$H327:$S327),2))</f>
        <v>0</v>
      </c>
      <c r="C327">
        <f>SUM(J327:U327)</f>
        <v>0</v>
      </c>
      <c r="D327">
        <f>SUM(V327:AG327)</f>
        <v>0</v>
      </c>
      <c r="E327">
        <f>MAX(0,IF(Impostazioni!$B$7="No",'Calc base'!$C327-$C$31,'Calc base'!$C327-C327)+'Calc base'!$G327+'Calc base'!$F327-(B327-C327-D327))</f>
        <v>900</v>
      </c>
      <c r="F327">
        <f>SUM(AH327:AS327)</f>
        <v>0</v>
      </c>
      <c r="G327">
        <f>SUM(AT327:BE327)</f>
        <v>0</v>
      </c>
      <c r="H327">
        <f>B327-G326</f>
        <v>0</v>
      </c>
      <c r="I327">
        <f>B327-G327</f>
        <v>0</v>
      </c>
      <c r="J327">
        <f>IF(AT326&lt;=0,0,IF(ROUND(AT326*(1+'Calc base'!H327),2)-MAX('Calc base'!C$12,ROUND('Calc base'!C$13*AT326,2))&lt;1,ROUND(AT326*(1+'Calc base'!H327),2),MAX('Calc base'!C$12,ROUND('Calc base'!C$13*AT326,2))))</f>
        <v>0</v>
      </c>
      <c r="K327">
        <f>IF(AU326&lt;=0,0,IF(ROUND(AU326*(1+'Calc base'!I327),2)-MAX('Calc base'!D$12,ROUND('Calc base'!D$13*AU326,2))&lt;1,ROUND(AU326*(1+'Calc base'!I327),2),MAX('Calc base'!D$12,ROUND('Calc base'!D$13*AU326,2))))</f>
        <v>0</v>
      </c>
      <c r="L327">
        <f>IF(AV326&lt;=0,0,IF(ROUND(AV326*(1+'Calc base'!J327),2)-MAX('Calc base'!E$12,ROUND('Calc base'!E$13*AV326,2))&lt;1,ROUND(AV326*(1+'Calc base'!J327),2),MAX('Calc base'!E$12,ROUND('Calc base'!E$13*AV326,2))))</f>
        <v>0</v>
      </c>
      <c r="M327">
        <f>IF(AW326&lt;=0,0,IF(ROUND(AW326*(1+'Calc base'!K327),2)-MAX('Calc base'!F$12,ROUND('Calc base'!F$13*AW326,2))&lt;1,ROUND(AW326*(1+'Calc base'!K327),2),MAX('Calc base'!F$12,ROUND('Calc base'!F$13*AW326,2))))</f>
        <v>0</v>
      </c>
      <c r="N327">
        <f>IF(AX326&lt;=0,0,IF(ROUND(AX326*(1+'Calc base'!L327),2)-MAX('Calc base'!G$12,ROUND('Calc base'!G$13*AX326,2))&lt;1,ROUND(AX326*(1+'Calc base'!L327),2),MAX('Calc base'!G$12,ROUND('Calc base'!G$13*AX326,2))))</f>
        <v>0</v>
      </c>
      <c r="O327">
        <f>IF(AY326&lt;=0,0,IF(ROUND(AY326*(1+'Calc base'!M327),2)-MAX('Calc base'!H$12,ROUND('Calc base'!H$13*AY326,2))&lt;1,ROUND(AY326*(1+'Calc base'!M327),2),MAX('Calc base'!H$12,ROUND('Calc base'!H$13*AY326,2))))</f>
        <v>0</v>
      </c>
      <c r="P327">
        <f>IF(AZ326&lt;=0,0,IF(ROUND(AZ326*(1+'Calc base'!N327),2)-MAX('Calc base'!I$12,ROUND('Calc base'!I$13*AZ326,2))&lt;1,ROUND(AZ326*(1+'Calc base'!N327),2),MAX('Calc base'!I$12,ROUND('Calc base'!I$13*AZ326,2))))</f>
        <v>0</v>
      </c>
      <c r="Q327">
        <f>IF(BA326&lt;=0,0,IF(ROUND(BA326*(1+'Calc base'!O327),2)-MAX('Calc base'!J$12,ROUND('Calc base'!J$13*BA326,2))&lt;1,ROUND(BA326*(1+'Calc base'!O327),2),MAX('Calc base'!J$12,ROUND('Calc base'!J$13*BA326,2))))</f>
        <v>0</v>
      </c>
      <c r="R327">
        <f>IF(BB326&lt;=0,0,IF(ROUND(BB326*(1+'Calc base'!P327),2)-MAX('Calc base'!K$12,ROUND('Calc base'!K$13*BB326,2))&lt;1,ROUND(BB326*(1+'Calc base'!P327),2),MAX('Calc base'!K$12,ROUND('Calc base'!K$13*BB326,2))))</f>
        <v>0</v>
      </c>
      <c r="S327">
        <f>IF(BC326&lt;=0,0,IF(ROUND(BC326*(1+'Calc base'!Q327),2)-MAX('Calc base'!L$12,ROUND('Calc base'!L$13*BC326,2))&lt;1,ROUND(BC326*(1+'Calc base'!Q327),2),MAX('Calc base'!L$12,ROUND('Calc base'!L$13*BC326,2))))</f>
        <v>0</v>
      </c>
      <c r="T327">
        <f>IF(BD326&lt;=0,0,IF(ROUND(BD326*(1+'Calc base'!R327),2)-MAX('Calc base'!M$12,ROUND('Calc base'!M$13*BD326,2))&lt;1,ROUND(BD326*(1+'Calc base'!R327),2),MAX('Calc base'!M$12,ROUND('Calc base'!M$13*BD326,2))))</f>
        <v>0</v>
      </c>
      <c r="U327">
        <f>IF(BE326&lt;=0,0,IF(ROUND(BE326*(1+'Calc base'!S327),2)-MAX('Calc base'!N$12,ROUND('Calc base'!N$13*BE326,2))&lt;1,ROUND(BE326*(1+'Calc base'!S327),2),MAX('Calc base'!N$12,ROUND('Calc base'!N$13*BE326,2))))</f>
        <v>0</v>
      </c>
      <c r="V327">
        <f>MAX(0,ROUND(AT326*(1+'Calc base'!H327),2)-J327-'Calc base'!T327)</f>
        <v>0</v>
      </c>
      <c r="W327">
        <f>MAX(0,ROUND(AU326*(1+'Calc base'!I327),2)-K327-'Calc base'!U327)</f>
        <v>0</v>
      </c>
      <c r="X327">
        <f>MAX(0,ROUND(AV326*(1+'Calc base'!J327),2)-L327-'Calc base'!V327)</f>
        <v>0</v>
      </c>
      <c r="Y327">
        <f>MAX(0,ROUND(AW326*(1+'Calc base'!K327),2)-M327-'Calc base'!W327)</f>
        <v>0</v>
      </c>
      <c r="Z327">
        <f>MAX(0,ROUND(AX326*(1+'Calc base'!L327),2)-N327-'Calc base'!X327)</f>
        <v>0</v>
      </c>
      <c r="AA327">
        <f>MAX(0,ROUND(AY326*(1+'Calc base'!M327),2)-O327-'Calc base'!Y327)</f>
        <v>0</v>
      </c>
      <c r="AB327">
        <f>MAX(0,ROUND(AZ326*(1+'Calc base'!N327),2)-P327-'Calc base'!Z327)</f>
        <v>0</v>
      </c>
      <c r="AC327">
        <f>MAX(0,ROUND(BA326*(1+'Calc base'!O327),2)-Q327-'Calc base'!AA327)</f>
        <v>0</v>
      </c>
      <c r="AD327">
        <f>MAX(0,ROUND(BB326*(1+'Calc base'!P327),2)-R327-'Calc base'!AB327)</f>
        <v>0</v>
      </c>
      <c r="AE327">
        <f>MAX(0,ROUND(BC326*(1+'Calc base'!Q327),2)-S327-'Calc base'!AC327)</f>
        <v>0</v>
      </c>
      <c r="AF327">
        <f>MAX(0,ROUND(BD326*(1+'Calc base'!R327),2)-T327-'Calc base'!AD327)</f>
        <v>0</v>
      </c>
      <c r="AG327">
        <f>MAX(0,ROUND(BE326*(1+'Calc base'!S327),2)-U327-'Calc base'!AE327)</f>
        <v>0</v>
      </c>
      <c r="AH327">
        <f>IF('Calc base'!C$14=0,0,MIN(V327,MAX(0,$E327-SUMIFS($V327:$AG327,'Calc base'!$C$17:$N$17,"&lt;"&amp;'Calc base'!C$17,'Calc base'!$C$14:$N$14,1))))</f>
        <v>0</v>
      </c>
      <c r="AI327">
        <f>IF('Calc base'!D$14=0,0,MIN(W327,MAX(0,$E327-SUMIFS($V327:$AG327,'Calc base'!$C$17:$N$17,"&lt;"&amp;'Calc base'!D$17,'Calc base'!$C$14:$N$14,1))))</f>
        <v>0</v>
      </c>
      <c r="AJ327">
        <f>IF('Calc base'!E$14=0,0,MIN(X327,MAX(0,$E327-SUMIFS($V327:$AG327,'Calc base'!$C$17:$N$17,"&lt;"&amp;'Calc base'!E$17,'Calc base'!$C$14:$N$14,1))))</f>
        <v>0</v>
      </c>
      <c r="AK327">
        <f>IF('Calc base'!F$14=0,0,MIN(Y327,MAX(0,$E327-SUMIFS($V327:$AG327,'Calc base'!$C$17:$N$17,"&lt;"&amp;'Calc base'!F$17,'Calc base'!$C$14:$N$14,1))))</f>
        <v>0</v>
      </c>
      <c r="AL327">
        <f>IF('Calc base'!G$14=0,0,MIN(Z327,MAX(0,$E327-SUMIFS($V327:$AG327,'Calc base'!$C$17:$N$17,"&lt;"&amp;'Calc base'!G$17,'Calc base'!$C$14:$N$14,1))))</f>
        <v>0</v>
      </c>
      <c r="AM327">
        <f>IF('Calc base'!H$14=0,0,MIN(AA327,MAX(0,$E327-SUMIFS($V327:$AG327,'Calc base'!$C$17:$N$17,"&lt;"&amp;'Calc base'!H$17,'Calc base'!$C$14:$N$14,1))))</f>
        <v>0</v>
      </c>
      <c r="AN327">
        <f>IF('Calc base'!I$14=0,0,MIN(AB327,MAX(0,$E327-SUMIFS($V327:$AG327,'Calc base'!$C$17:$N$17,"&lt;"&amp;'Calc base'!I$17,'Calc base'!$C$14:$N$14,1))))</f>
        <v>0</v>
      </c>
      <c r="AO327">
        <f>IF('Calc base'!J$14=0,0,MIN(AC327,MAX(0,$E327-SUMIFS($V327:$AG327,'Calc base'!$C$17:$N$17,"&lt;"&amp;'Calc base'!J$17,'Calc base'!$C$14:$N$14,1))))</f>
        <v>0</v>
      </c>
      <c r="AP327">
        <f>IF('Calc base'!K$14=0,0,MIN(AD327,MAX(0,$E327-SUMIFS($V327:$AG327,'Calc base'!$C$17:$N$17,"&lt;"&amp;'Calc base'!K$17,'Calc base'!$C$14:$N$14,1))))</f>
        <v>0</v>
      </c>
      <c r="AQ327">
        <f>IF('Calc base'!L$14=0,0,MIN(AE327,MAX(0,$E327-SUMIFS($V327:$AG327,'Calc base'!$C$17:$N$17,"&lt;"&amp;'Calc base'!L$17,'Calc base'!$C$14:$N$14,1))))</f>
        <v>0</v>
      </c>
      <c r="AR327">
        <f>IF('Calc base'!M$14=0,0,MIN(AF327,MAX(0,$E327-SUMIFS($V327:$AG327,'Calc base'!$C$17:$N$17,"&lt;"&amp;'Calc base'!M$17,'Calc base'!$C$14:$N$14,1))))</f>
        <v>0</v>
      </c>
      <c r="AS327">
        <f>IF('Calc base'!N$14=0,0,MIN(AG327,MAX(0,$E327-SUMIFS($V327:$AG327,'Calc base'!$C$17:$N$17,"&lt;"&amp;'Calc base'!N$17,'Calc base'!$C$14:$N$14,1))))</f>
        <v>0</v>
      </c>
      <c r="AT327">
        <f>V327-AH327</f>
        <v>0</v>
      </c>
      <c r="AU327">
        <f>W327-AI327</f>
        <v>0</v>
      </c>
      <c r="AV327">
        <f>X327-AJ327</f>
        <v>0</v>
      </c>
      <c r="AW327">
        <f>Y327-AK327</f>
        <v>0</v>
      </c>
      <c r="AX327">
        <f>Z327-AL327</f>
        <v>0</v>
      </c>
      <c r="AY327">
        <f>AA327-AM327</f>
        <v>0</v>
      </c>
      <c r="AZ327">
        <f>AB327-AN327</f>
        <v>0</v>
      </c>
      <c r="BA327">
        <f>AC327-AO327</f>
        <v>0</v>
      </c>
      <c r="BB327">
        <f>AD327-AP327</f>
        <v>0</v>
      </c>
      <c r="BC327">
        <f>AE327-AQ327</f>
        <v>0</v>
      </c>
      <c r="BD327">
        <f>AF327-AR327</f>
        <v>0</v>
      </c>
      <c r="BE327">
        <f>AG327-AS327</f>
        <v>0</v>
      </c>
    </row>
    <row r="328">
      <c r="A328" t="n">
        <v>298</v>
      </c>
      <c r="B328">
        <f>SUMPRODUCT(ROUND($AT327:$BE327*(1+'Calc base'!$H328:$S328),2))</f>
        <v>0</v>
      </c>
      <c r="C328">
        <f>SUM(J328:U328)</f>
        <v>0</v>
      </c>
      <c r="D328">
        <f>SUM(V328:AG328)</f>
        <v>0</v>
      </c>
      <c r="E328">
        <f>MAX(0,IF(Impostazioni!$B$7="No",'Calc base'!$C328-$C$31,'Calc base'!$C328-C328)+'Calc base'!$G328+'Calc base'!$F328-(B328-C328-D328))</f>
        <v>900</v>
      </c>
      <c r="F328">
        <f>SUM(AH328:AS328)</f>
        <v>0</v>
      </c>
      <c r="G328">
        <f>SUM(AT328:BE328)</f>
        <v>0</v>
      </c>
      <c r="H328">
        <f>B328-G327</f>
        <v>0</v>
      </c>
      <c r="I328">
        <f>B328-G328</f>
        <v>0</v>
      </c>
      <c r="J328">
        <f>IF(AT327&lt;=0,0,IF(ROUND(AT327*(1+'Calc base'!H328),2)-MAX('Calc base'!C$12,ROUND('Calc base'!C$13*AT327,2))&lt;1,ROUND(AT327*(1+'Calc base'!H328),2),MAX('Calc base'!C$12,ROUND('Calc base'!C$13*AT327,2))))</f>
        <v>0</v>
      </c>
      <c r="K328">
        <f>IF(AU327&lt;=0,0,IF(ROUND(AU327*(1+'Calc base'!I328),2)-MAX('Calc base'!D$12,ROUND('Calc base'!D$13*AU327,2))&lt;1,ROUND(AU327*(1+'Calc base'!I328),2),MAX('Calc base'!D$12,ROUND('Calc base'!D$13*AU327,2))))</f>
        <v>0</v>
      </c>
      <c r="L328">
        <f>IF(AV327&lt;=0,0,IF(ROUND(AV327*(1+'Calc base'!J328),2)-MAX('Calc base'!E$12,ROUND('Calc base'!E$13*AV327,2))&lt;1,ROUND(AV327*(1+'Calc base'!J328),2),MAX('Calc base'!E$12,ROUND('Calc base'!E$13*AV327,2))))</f>
        <v>0</v>
      </c>
      <c r="M328">
        <f>IF(AW327&lt;=0,0,IF(ROUND(AW327*(1+'Calc base'!K328),2)-MAX('Calc base'!F$12,ROUND('Calc base'!F$13*AW327,2))&lt;1,ROUND(AW327*(1+'Calc base'!K328),2),MAX('Calc base'!F$12,ROUND('Calc base'!F$13*AW327,2))))</f>
        <v>0</v>
      </c>
      <c r="N328">
        <f>IF(AX327&lt;=0,0,IF(ROUND(AX327*(1+'Calc base'!L328),2)-MAX('Calc base'!G$12,ROUND('Calc base'!G$13*AX327,2))&lt;1,ROUND(AX327*(1+'Calc base'!L328),2),MAX('Calc base'!G$12,ROUND('Calc base'!G$13*AX327,2))))</f>
        <v>0</v>
      </c>
      <c r="O328">
        <f>IF(AY327&lt;=0,0,IF(ROUND(AY327*(1+'Calc base'!M328),2)-MAX('Calc base'!H$12,ROUND('Calc base'!H$13*AY327,2))&lt;1,ROUND(AY327*(1+'Calc base'!M328),2),MAX('Calc base'!H$12,ROUND('Calc base'!H$13*AY327,2))))</f>
        <v>0</v>
      </c>
      <c r="P328">
        <f>IF(AZ327&lt;=0,0,IF(ROUND(AZ327*(1+'Calc base'!N328),2)-MAX('Calc base'!I$12,ROUND('Calc base'!I$13*AZ327,2))&lt;1,ROUND(AZ327*(1+'Calc base'!N328),2),MAX('Calc base'!I$12,ROUND('Calc base'!I$13*AZ327,2))))</f>
        <v>0</v>
      </c>
      <c r="Q328">
        <f>IF(BA327&lt;=0,0,IF(ROUND(BA327*(1+'Calc base'!O328),2)-MAX('Calc base'!J$12,ROUND('Calc base'!J$13*BA327,2))&lt;1,ROUND(BA327*(1+'Calc base'!O328),2),MAX('Calc base'!J$12,ROUND('Calc base'!J$13*BA327,2))))</f>
        <v>0</v>
      </c>
      <c r="R328">
        <f>IF(BB327&lt;=0,0,IF(ROUND(BB327*(1+'Calc base'!P328),2)-MAX('Calc base'!K$12,ROUND('Calc base'!K$13*BB327,2))&lt;1,ROUND(BB327*(1+'Calc base'!P328),2),MAX('Calc base'!K$12,ROUND('Calc base'!K$13*BB327,2))))</f>
        <v>0</v>
      </c>
      <c r="S328">
        <f>IF(BC327&lt;=0,0,IF(ROUND(BC327*(1+'Calc base'!Q328),2)-MAX('Calc base'!L$12,ROUND('Calc base'!L$13*BC327,2))&lt;1,ROUND(BC327*(1+'Calc base'!Q328),2),MAX('Calc base'!L$12,ROUND('Calc base'!L$13*BC327,2))))</f>
        <v>0</v>
      </c>
      <c r="T328">
        <f>IF(BD327&lt;=0,0,IF(ROUND(BD327*(1+'Calc base'!R328),2)-MAX('Calc base'!M$12,ROUND('Calc base'!M$13*BD327,2))&lt;1,ROUND(BD327*(1+'Calc base'!R328),2),MAX('Calc base'!M$12,ROUND('Calc base'!M$13*BD327,2))))</f>
        <v>0</v>
      </c>
      <c r="U328">
        <f>IF(BE327&lt;=0,0,IF(ROUND(BE327*(1+'Calc base'!S328),2)-MAX('Calc base'!N$12,ROUND('Calc base'!N$13*BE327,2))&lt;1,ROUND(BE327*(1+'Calc base'!S328),2),MAX('Calc base'!N$12,ROUND('Calc base'!N$13*BE327,2))))</f>
        <v>0</v>
      </c>
      <c r="V328">
        <f>MAX(0,ROUND(AT327*(1+'Calc base'!H328),2)-J328-'Calc base'!T328)</f>
        <v>0</v>
      </c>
      <c r="W328">
        <f>MAX(0,ROUND(AU327*(1+'Calc base'!I328),2)-K328-'Calc base'!U328)</f>
        <v>0</v>
      </c>
      <c r="X328">
        <f>MAX(0,ROUND(AV327*(1+'Calc base'!J328),2)-L328-'Calc base'!V328)</f>
        <v>0</v>
      </c>
      <c r="Y328">
        <f>MAX(0,ROUND(AW327*(1+'Calc base'!K328),2)-M328-'Calc base'!W328)</f>
        <v>0</v>
      </c>
      <c r="Z328">
        <f>MAX(0,ROUND(AX327*(1+'Calc base'!L328),2)-N328-'Calc base'!X328)</f>
        <v>0</v>
      </c>
      <c r="AA328">
        <f>MAX(0,ROUND(AY327*(1+'Calc base'!M328),2)-O328-'Calc base'!Y328)</f>
        <v>0</v>
      </c>
      <c r="AB328">
        <f>MAX(0,ROUND(AZ327*(1+'Calc base'!N328),2)-P328-'Calc base'!Z328)</f>
        <v>0</v>
      </c>
      <c r="AC328">
        <f>MAX(0,ROUND(BA327*(1+'Calc base'!O328),2)-Q328-'Calc base'!AA328)</f>
        <v>0</v>
      </c>
      <c r="AD328">
        <f>MAX(0,ROUND(BB327*(1+'Calc base'!P328),2)-R328-'Calc base'!AB328)</f>
        <v>0</v>
      </c>
      <c r="AE328">
        <f>MAX(0,ROUND(BC327*(1+'Calc base'!Q328),2)-S328-'Calc base'!AC328)</f>
        <v>0</v>
      </c>
      <c r="AF328">
        <f>MAX(0,ROUND(BD327*(1+'Calc base'!R328),2)-T328-'Calc base'!AD328)</f>
        <v>0</v>
      </c>
      <c r="AG328">
        <f>MAX(0,ROUND(BE327*(1+'Calc base'!S328),2)-U328-'Calc base'!AE328)</f>
        <v>0</v>
      </c>
      <c r="AH328">
        <f>IF('Calc base'!C$14=0,0,MIN(V328,MAX(0,$E328-SUMIFS($V328:$AG328,'Calc base'!$C$17:$N$17,"&lt;"&amp;'Calc base'!C$17,'Calc base'!$C$14:$N$14,1))))</f>
        <v>0</v>
      </c>
      <c r="AI328">
        <f>IF('Calc base'!D$14=0,0,MIN(W328,MAX(0,$E328-SUMIFS($V328:$AG328,'Calc base'!$C$17:$N$17,"&lt;"&amp;'Calc base'!D$17,'Calc base'!$C$14:$N$14,1))))</f>
        <v>0</v>
      </c>
      <c r="AJ328">
        <f>IF('Calc base'!E$14=0,0,MIN(X328,MAX(0,$E328-SUMIFS($V328:$AG328,'Calc base'!$C$17:$N$17,"&lt;"&amp;'Calc base'!E$17,'Calc base'!$C$14:$N$14,1))))</f>
        <v>0</v>
      </c>
      <c r="AK328">
        <f>IF('Calc base'!F$14=0,0,MIN(Y328,MAX(0,$E328-SUMIFS($V328:$AG328,'Calc base'!$C$17:$N$17,"&lt;"&amp;'Calc base'!F$17,'Calc base'!$C$14:$N$14,1))))</f>
        <v>0</v>
      </c>
      <c r="AL328">
        <f>IF('Calc base'!G$14=0,0,MIN(Z328,MAX(0,$E328-SUMIFS($V328:$AG328,'Calc base'!$C$17:$N$17,"&lt;"&amp;'Calc base'!G$17,'Calc base'!$C$14:$N$14,1))))</f>
        <v>0</v>
      </c>
      <c r="AM328">
        <f>IF('Calc base'!H$14=0,0,MIN(AA328,MAX(0,$E328-SUMIFS($V328:$AG328,'Calc base'!$C$17:$N$17,"&lt;"&amp;'Calc base'!H$17,'Calc base'!$C$14:$N$14,1))))</f>
        <v>0</v>
      </c>
      <c r="AN328">
        <f>IF('Calc base'!I$14=0,0,MIN(AB328,MAX(0,$E328-SUMIFS($V328:$AG328,'Calc base'!$C$17:$N$17,"&lt;"&amp;'Calc base'!I$17,'Calc base'!$C$14:$N$14,1))))</f>
        <v>0</v>
      </c>
      <c r="AO328">
        <f>IF('Calc base'!J$14=0,0,MIN(AC328,MAX(0,$E328-SUMIFS($V328:$AG328,'Calc base'!$C$17:$N$17,"&lt;"&amp;'Calc base'!J$17,'Calc base'!$C$14:$N$14,1))))</f>
        <v>0</v>
      </c>
      <c r="AP328">
        <f>IF('Calc base'!K$14=0,0,MIN(AD328,MAX(0,$E328-SUMIFS($V328:$AG328,'Calc base'!$C$17:$N$17,"&lt;"&amp;'Calc base'!K$17,'Calc base'!$C$14:$N$14,1))))</f>
        <v>0</v>
      </c>
      <c r="AQ328">
        <f>IF('Calc base'!L$14=0,0,MIN(AE328,MAX(0,$E328-SUMIFS($V328:$AG328,'Calc base'!$C$17:$N$17,"&lt;"&amp;'Calc base'!L$17,'Calc base'!$C$14:$N$14,1))))</f>
        <v>0</v>
      </c>
      <c r="AR328">
        <f>IF('Calc base'!M$14=0,0,MIN(AF328,MAX(0,$E328-SUMIFS($V328:$AG328,'Calc base'!$C$17:$N$17,"&lt;"&amp;'Calc base'!M$17,'Calc base'!$C$14:$N$14,1))))</f>
        <v>0</v>
      </c>
      <c r="AS328">
        <f>IF('Calc base'!N$14=0,0,MIN(AG328,MAX(0,$E328-SUMIFS($V328:$AG328,'Calc base'!$C$17:$N$17,"&lt;"&amp;'Calc base'!N$17,'Calc base'!$C$14:$N$14,1))))</f>
        <v>0</v>
      </c>
      <c r="AT328">
        <f>V328-AH328</f>
        <v>0</v>
      </c>
      <c r="AU328">
        <f>W328-AI328</f>
        <v>0</v>
      </c>
      <c r="AV328">
        <f>X328-AJ328</f>
        <v>0</v>
      </c>
      <c r="AW328">
        <f>Y328-AK328</f>
        <v>0</v>
      </c>
      <c r="AX328">
        <f>Z328-AL328</f>
        <v>0</v>
      </c>
      <c r="AY328">
        <f>AA328-AM328</f>
        <v>0</v>
      </c>
      <c r="AZ328">
        <f>AB328-AN328</f>
        <v>0</v>
      </c>
      <c r="BA328">
        <f>AC328-AO328</f>
        <v>0</v>
      </c>
      <c r="BB328">
        <f>AD328-AP328</f>
        <v>0</v>
      </c>
      <c r="BC328">
        <f>AE328-AQ328</f>
        <v>0</v>
      </c>
      <c r="BD328">
        <f>AF328-AR328</f>
        <v>0</v>
      </c>
      <c r="BE328">
        <f>AG328-AS328</f>
        <v>0</v>
      </c>
    </row>
    <row r="329">
      <c r="A329" t="n">
        <v>299</v>
      </c>
      <c r="B329">
        <f>SUMPRODUCT(ROUND($AT328:$BE328*(1+'Calc base'!$H329:$S329),2))</f>
        <v>0</v>
      </c>
      <c r="C329">
        <f>SUM(J329:U329)</f>
        <v>0</v>
      </c>
      <c r="D329">
        <f>SUM(V329:AG329)</f>
        <v>0</v>
      </c>
      <c r="E329">
        <f>MAX(0,IF(Impostazioni!$B$7="No",'Calc base'!$C329-$C$31,'Calc base'!$C329-C329)+'Calc base'!$G329+'Calc base'!$F329-(B329-C329-D329))</f>
        <v>900</v>
      </c>
      <c r="F329">
        <f>SUM(AH329:AS329)</f>
        <v>0</v>
      </c>
      <c r="G329">
        <f>SUM(AT329:BE329)</f>
        <v>0</v>
      </c>
      <c r="H329">
        <f>B329-G328</f>
        <v>0</v>
      </c>
      <c r="I329">
        <f>B329-G329</f>
        <v>0</v>
      </c>
      <c r="J329">
        <f>IF(AT328&lt;=0,0,IF(ROUND(AT328*(1+'Calc base'!H329),2)-MAX('Calc base'!C$12,ROUND('Calc base'!C$13*AT328,2))&lt;1,ROUND(AT328*(1+'Calc base'!H329),2),MAX('Calc base'!C$12,ROUND('Calc base'!C$13*AT328,2))))</f>
        <v>0</v>
      </c>
      <c r="K329">
        <f>IF(AU328&lt;=0,0,IF(ROUND(AU328*(1+'Calc base'!I329),2)-MAX('Calc base'!D$12,ROUND('Calc base'!D$13*AU328,2))&lt;1,ROUND(AU328*(1+'Calc base'!I329),2),MAX('Calc base'!D$12,ROUND('Calc base'!D$13*AU328,2))))</f>
        <v>0</v>
      </c>
      <c r="L329">
        <f>IF(AV328&lt;=0,0,IF(ROUND(AV328*(1+'Calc base'!J329),2)-MAX('Calc base'!E$12,ROUND('Calc base'!E$13*AV328,2))&lt;1,ROUND(AV328*(1+'Calc base'!J329),2),MAX('Calc base'!E$12,ROUND('Calc base'!E$13*AV328,2))))</f>
        <v>0</v>
      </c>
      <c r="M329">
        <f>IF(AW328&lt;=0,0,IF(ROUND(AW328*(1+'Calc base'!K329),2)-MAX('Calc base'!F$12,ROUND('Calc base'!F$13*AW328,2))&lt;1,ROUND(AW328*(1+'Calc base'!K329),2),MAX('Calc base'!F$12,ROUND('Calc base'!F$13*AW328,2))))</f>
        <v>0</v>
      </c>
      <c r="N329">
        <f>IF(AX328&lt;=0,0,IF(ROUND(AX328*(1+'Calc base'!L329),2)-MAX('Calc base'!G$12,ROUND('Calc base'!G$13*AX328,2))&lt;1,ROUND(AX328*(1+'Calc base'!L329),2),MAX('Calc base'!G$12,ROUND('Calc base'!G$13*AX328,2))))</f>
        <v>0</v>
      </c>
      <c r="O329">
        <f>IF(AY328&lt;=0,0,IF(ROUND(AY328*(1+'Calc base'!M329),2)-MAX('Calc base'!H$12,ROUND('Calc base'!H$13*AY328,2))&lt;1,ROUND(AY328*(1+'Calc base'!M329),2),MAX('Calc base'!H$12,ROUND('Calc base'!H$13*AY328,2))))</f>
        <v>0</v>
      </c>
      <c r="P329">
        <f>IF(AZ328&lt;=0,0,IF(ROUND(AZ328*(1+'Calc base'!N329),2)-MAX('Calc base'!I$12,ROUND('Calc base'!I$13*AZ328,2))&lt;1,ROUND(AZ328*(1+'Calc base'!N329),2),MAX('Calc base'!I$12,ROUND('Calc base'!I$13*AZ328,2))))</f>
        <v>0</v>
      </c>
      <c r="Q329">
        <f>IF(BA328&lt;=0,0,IF(ROUND(BA328*(1+'Calc base'!O329),2)-MAX('Calc base'!J$12,ROUND('Calc base'!J$13*BA328,2))&lt;1,ROUND(BA328*(1+'Calc base'!O329),2),MAX('Calc base'!J$12,ROUND('Calc base'!J$13*BA328,2))))</f>
        <v>0</v>
      </c>
      <c r="R329">
        <f>IF(BB328&lt;=0,0,IF(ROUND(BB328*(1+'Calc base'!P329),2)-MAX('Calc base'!K$12,ROUND('Calc base'!K$13*BB328,2))&lt;1,ROUND(BB328*(1+'Calc base'!P329),2),MAX('Calc base'!K$12,ROUND('Calc base'!K$13*BB328,2))))</f>
        <v>0</v>
      </c>
      <c r="S329">
        <f>IF(BC328&lt;=0,0,IF(ROUND(BC328*(1+'Calc base'!Q329),2)-MAX('Calc base'!L$12,ROUND('Calc base'!L$13*BC328,2))&lt;1,ROUND(BC328*(1+'Calc base'!Q329),2),MAX('Calc base'!L$12,ROUND('Calc base'!L$13*BC328,2))))</f>
        <v>0</v>
      </c>
      <c r="T329">
        <f>IF(BD328&lt;=0,0,IF(ROUND(BD328*(1+'Calc base'!R329),2)-MAX('Calc base'!M$12,ROUND('Calc base'!M$13*BD328,2))&lt;1,ROUND(BD328*(1+'Calc base'!R329),2),MAX('Calc base'!M$12,ROUND('Calc base'!M$13*BD328,2))))</f>
        <v>0</v>
      </c>
      <c r="U329">
        <f>IF(BE328&lt;=0,0,IF(ROUND(BE328*(1+'Calc base'!S329),2)-MAX('Calc base'!N$12,ROUND('Calc base'!N$13*BE328,2))&lt;1,ROUND(BE328*(1+'Calc base'!S329),2),MAX('Calc base'!N$12,ROUND('Calc base'!N$13*BE328,2))))</f>
        <v>0</v>
      </c>
      <c r="V329">
        <f>MAX(0,ROUND(AT328*(1+'Calc base'!H329),2)-J329-'Calc base'!T329)</f>
        <v>0</v>
      </c>
      <c r="W329">
        <f>MAX(0,ROUND(AU328*(1+'Calc base'!I329),2)-K329-'Calc base'!U329)</f>
        <v>0</v>
      </c>
      <c r="X329">
        <f>MAX(0,ROUND(AV328*(1+'Calc base'!J329),2)-L329-'Calc base'!V329)</f>
        <v>0</v>
      </c>
      <c r="Y329">
        <f>MAX(0,ROUND(AW328*(1+'Calc base'!K329),2)-M329-'Calc base'!W329)</f>
        <v>0</v>
      </c>
      <c r="Z329">
        <f>MAX(0,ROUND(AX328*(1+'Calc base'!L329),2)-N329-'Calc base'!X329)</f>
        <v>0</v>
      </c>
      <c r="AA329">
        <f>MAX(0,ROUND(AY328*(1+'Calc base'!M329),2)-O329-'Calc base'!Y329)</f>
        <v>0</v>
      </c>
      <c r="AB329">
        <f>MAX(0,ROUND(AZ328*(1+'Calc base'!N329),2)-P329-'Calc base'!Z329)</f>
        <v>0</v>
      </c>
      <c r="AC329">
        <f>MAX(0,ROUND(BA328*(1+'Calc base'!O329),2)-Q329-'Calc base'!AA329)</f>
        <v>0</v>
      </c>
      <c r="AD329">
        <f>MAX(0,ROUND(BB328*(1+'Calc base'!P329),2)-R329-'Calc base'!AB329)</f>
        <v>0</v>
      </c>
      <c r="AE329">
        <f>MAX(0,ROUND(BC328*(1+'Calc base'!Q329),2)-S329-'Calc base'!AC329)</f>
        <v>0</v>
      </c>
      <c r="AF329">
        <f>MAX(0,ROUND(BD328*(1+'Calc base'!R329),2)-T329-'Calc base'!AD329)</f>
        <v>0</v>
      </c>
      <c r="AG329">
        <f>MAX(0,ROUND(BE328*(1+'Calc base'!S329),2)-U329-'Calc base'!AE329)</f>
        <v>0</v>
      </c>
      <c r="AH329">
        <f>IF('Calc base'!C$14=0,0,MIN(V329,MAX(0,$E329-SUMIFS($V329:$AG329,'Calc base'!$C$17:$N$17,"&lt;"&amp;'Calc base'!C$17,'Calc base'!$C$14:$N$14,1))))</f>
        <v>0</v>
      </c>
      <c r="AI329">
        <f>IF('Calc base'!D$14=0,0,MIN(W329,MAX(0,$E329-SUMIFS($V329:$AG329,'Calc base'!$C$17:$N$17,"&lt;"&amp;'Calc base'!D$17,'Calc base'!$C$14:$N$14,1))))</f>
        <v>0</v>
      </c>
      <c r="AJ329">
        <f>IF('Calc base'!E$14=0,0,MIN(X329,MAX(0,$E329-SUMIFS($V329:$AG329,'Calc base'!$C$17:$N$17,"&lt;"&amp;'Calc base'!E$17,'Calc base'!$C$14:$N$14,1))))</f>
        <v>0</v>
      </c>
      <c r="AK329">
        <f>IF('Calc base'!F$14=0,0,MIN(Y329,MAX(0,$E329-SUMIFS($V329:$AG329,'Calc base'!$C$17:$N$17,"&lt;"&amp;'Calc base'!F$17,'Calc base'!$C$14:$N$14,1))))</f>
        <v>0</v>
      </c>
      <c r="AL329">
        <f>IF('Calc base'!G$14=0,0,MIN(Z329,MAX(0,$E329-SUMIFS($V329:$AG329,'Calc base'!$C$17:$N$17,"&lt;"&amp;'Calc base'!G$17,'Calc base'!$C$14:$N$14,1))))</f>
        <v>0</v>
      </c>
      <c r="AM329">
        <f>IF('Calc base'!H$14=0,0,MIN(AA329,MAX(0,$E329-SUMIFS($V329:$AG329,'Calc base'!$C$17:$N$17,"&lt;"&amp;'Calc base'!H$17,'Calc base'!$C$14:$N$14,1))))</f>
        <v>0</v>
      </c>
      <c r="AN329">
        <f>IF('Calc base'!I$14=0,0,MIN(AB329,MAX(0,$E329-SUMIFS($V329:$AG329,'Calc base'!$C$17:$N$17,"&lt;"&amp;'Calc base'!I$17,'Calc base'!$C$14:$N$14,1))))</f>
        <v>0</v>
      </c>
      <c r="AO329">
        <f>IF('Calc base'!J$14=0,0,MIN(AC329,MAX(0,$E329-SUMIFS($V329:$AG329,'Calc base'!$C$17:$N$17,"&lt;"&amp;'Calc base'!J$17,'Calc base'!$C$14:$N$14,1))))</f>
        <v>0</v>
      </c>
      <c r="AP329">
        <f>IF('Calc base'!K$14=0,0,MIN(AD329,MAX(0,$E329-SUMIFS($V329:$AG329,'Calc base'!$C$17:$N$17,"&lt;"&amp;'Calc base'!K$17,'Calc base'!$C$14:$N$14,1))))</f>
        <v>0</v>
      </c>
      <c r="AQ329">
        <f>IF('Calc base'!L$14=0,0,MIN(AE329,MAX(0,$E329-SUMIFS($V329:$AG329,'Calc base'!$C$17:$N$17,"&lt;"&amp;'Calc base'!L$17,'Calc base'!$C$14:$N$14,1))))</f>
        <v>0</v>
      </c>
      <c r="AR329">
        <f>IF('Calc base'!M$14=0,0,MIN(AF329,MAX(0,$E329-SUMIFS($V329:$AG329,'Calc base'!$C$17:$N$17,"&lt;"&amp;'Calc base'!M$17,'Calc base'!$C$14:$N$14,1))))</f>
        <v>0</v>
      </c>
      <c r="AS329">
        <f>IF('Calc base'!N$14=0,0,MIN(AG329,MAX(0,$E329-SUMIFS($V329:$AG329,'Calc base'!$C$17:$N$17,"&lt;"&amp;'Calc base'!N$17,'Calc base'!$C$14:$N$14,1))))</f>
        <v>0</v>
      </c>
      <c r="AT329">
        <f>V329-AH329</f>
        <v>0</v>
      </c>
      <c r="AU329">
        <f>W329-AI329</f>
        <v>0</v>
      </c>
      <c r="AV329">
        <f>X329-AJ329</f>
        <v>0</v>
      </c>
      <c r="AW329">
        <f>Y329-AK329</f>
        <v>0</v>
      </c>
      <c r="AX329">
        <f>Z329-AL329</f>
        <v>0</v>
      </c>
      <c r="AY329">
        <f>AA329-AM329</f>
        <v>0</v>
      </c>
      <c r="AZ329">
        <f>AB329-AN329</f>
        <v>0</v>
      </c>
      <c r="BA329">
        <f>AC329-AO329</f>
        <v>0</v>
      </c>
      <c r="BB329">
        <f>AD329-AP329</f>
        <v>0</v>
      </c>
      <c r="BC329">
        <f>AE329-AQ329</f>
        <v>0</v>
      </c>
      <c r="BD329">
        <f>AF329-AR329</f>
        <v>0</v>
      </c>
      <c r="BE329">
        <f>AG329-AS329</f>
        <v>0</v>
      </c>
    </row>
    <row r="330">
      <c r="A330" t="n">
        <v>300</v>
      </c>
      <c r="B330">
        <f>SUMPRODUCT(ROUND($AT329:$BE329*(1+'Calc base'!$H330:$S330),2))</f>
        <v>0</v>
      </c>
      <c r="C330">
        <f>SUM(J330:U330)</f>
        <v>0</v>
      </c>
      <c r="D330">
        <f>SUM(V330:AG330)</f>
        <v>0</v>
      </c>
      <c r="E330">
        <f>MAX(0,IF(Impostazioni!$B$7="No",'Calc base'!$C330-$C$31,'Calc base'!$C330-C330)+'Calc base'!$G330+'Calc base'!$F330-(B330-C330-D330))</f>
        <v>900</v>
      </c>
      <c r="F330">
        <f>SUM(AH330:AS330)</f>
        <v>0</v>
      </c>
      <c r="G330">
        <f>SUM(AT330:BE330)</f>
        <v>0</v>
      </c>
      <c r="H330">
        <f>B330-G329</f>
        <v>0</v>
      </c>
      <c r="I330">
        <f>B330-G330</f>
        <v>0</v>
      </c>
      <c r="J330">
        <f>IF(AT329&lt;=0,0,IF(ROUND(AT329*(1+'Calc base'!H330),2)-MAX('Calc base'!C$12,ROUND('Calc base'!C$13*AT329,2))&lt;1,ROUND(AT329*(1+'Calc base'!H330),2),MAX('Calc base'!C$12,ROUND('Calc base'!C$13*AT329,2))))</f>
        <v>0</v>
      </c>
      <c r="K330">
        <f>IF(AU329&lt;=0,0,IF(ROUND(AU329*(1+'Calc base'!I330),2)-MAX('Calc base'!D$12,ROUND('Calc base'!D$13*AU329,2))&lt;1,ROUND(AU329*(1+'Calc base'!I330),2),MAX('Calc base'!D$12,ROUND('Calc base'!D$13*AU329,2))))</f>
        <v>0</v>
      </c>
      <c r="L330">
        <f>IF(AV329&lt;=0,0,IF(ROUND(AV329*(1+'Calc base'!J330),2)-MAX('Calc base'!E$12,ROUND('Calc base'!E$13*AV329,2))&lt;1,ROUND(AV329*(1+'Calc base'!J330),2),MAX('Calc base'!E$12,ROUND('Calc base'!E$13*AV329,2))))</f>
        <v>0</v>
      </c>
      <c r="M330">
        <f>IF(AW329&lt;=0,0,IF(ROUND(AW329*(1+'Calc base'!K330),2)-MAX('Calc base'!F$12,ROUND('Calc base'!F$13*AW329,2))&lt;1,ROUND(AW329*(1+'Calc base'!K330),2),MAX('Calc base'!F$12,ROUND('Calc base'!F$13*AW329,2))))</f>
        <v>0</v>
      </c>
      <c r="N330">
        <f>IF(AX329&lt;=0,0,IF(ROUND(AX329*(1+'Calc base'!L330),2)-MAX('Calc base'!G$12,ROUND('Calc base'!G$13*AX329,2))&lt;1,ROUND(AX329*(1+'Calc base'!L330),2),MAX('Calc base'!G$12,ROUND('Calc base'!G$13*AX329,2))))</f>
        <v>0</v>
      </c>
      <c r="O330">
        <f>IF(AY329&lt;=0,0,IF(ROUND(AY329*(1+'Calc base'!M330),2)-MAX('Calc base'!H$12,ROUND('Calc base'!H$13*AY329,2))&lt;1,ROUND(AY329*(1+'Calc base'!M330),2),MAX('Calc base'!H$12,ROUND('Calc base'!H$13*AY329,2))))</f>
        <v>0</v>
      </c>
      <c r="P330">
        <f>IF(AZ329&lt;=0,0,IF(ROUND(AZ329*(1+'Calc base'!N330),2)-MAX('Calc base'!I$12,ROUND('Calc base'!I$13*AZ329,2))&lt;1,ROUND(AZ329*(1+'Calc base'!N330),2),MAX('Calc base'!I$12,ROUND('Calc base'!I$13*AZ329,2))))</f>
        <v>0</v>
      </c>
      <c r="Q330">
        <f>IF(BA329&lt;=0,0,IF(ROUND(BA329*(1+'Calc base'!O330),2)-MAX('Calc base'!J$12,ROUND('Calc base'!J$13*BA329,2))&lt;1,ROUND(BA329*(1+'Calc base'!O330),2),MAX('Calc base'!J$12,ROUND('Calc base'!J$13*BA329,2))))</f>
        <v>0</v>
      </c>
      <c r="R330">
        <f>IF(BB329&lt;=0,0,IF(ROUND(BB329*(1+'Calc base'!P330),2)-MAX('Calc base'!K$12,ROUND('Calc base'!K$13*BB329,2))&lt;1,ROUND(BB329*(1+'Calc base'!P330),2),MAX('Calc base'!K$12,ROUND('Calc base'!K$13*BB329,2))))</f>
        <v>0</v>
      </c>
      <c r="S330">
        <f>IF(BC329&lt;=0,0,IF(ROUND(BC329*(1+'Calc base'!Q330),2)-MAX('Calc base'!L$12,ROUND('Calc base'!L$13*BC329,2))&lt;1,ROUND(BC329*(1+'Calc base'!Q330),2),MAX('Calc base'!L$12,ROUND('Calc base'!L$13*BC329,2))))</f>
        <v>0</v>
      </c>
      <c r="T330">
        <f>IF(BD329&lt;=0,0,IF(ROUND(BD329*(1+'Calc base'!R330),2)-MAX('Calc base'!M$12,ROUND('Calc base'!M$13*BD329,2))&lt;1,ROUND(BD329*(1+'Calc base'!R330),2),MAX('Calc base'!M$12,ROUND('Calc base'!M$13*BD329,2))))</f>
        <v>0</v>
      </c>
      <c r="U330">
        <f>IF(BE329&lt;=0,0,IF(ROUND(BE329*(1+'Calc base'!S330),2)-MAX('Calc base'!N$12,ROUND('Calc base'!N$13*BE329,2))&lt;1,ROUND(BE329*(1+'Calc base'!S330),2),MAX('Calc base'!N$12,ROUND('Calc base'!N$13*BE329,2))))</f>
        <v>0</v>
      </c>
      <c r="V330">
        <f>MAX(0,ROUND(AT329*(1+'Calc base'!H330),2)-J330-'Calc base'!T330)</f>
        <v>0</v>
      </c>
      <c r="W330">
        <f>MAX(0,ROUND(AU329*(1+'Calc base'!I330),2)-K330-'Calc base'!U330)</f>
        <v>0</v>
      </c>
      <c r="X330">
        <f>MAX(0,ROUND(AV329*(1+'Calc base'!J330),2)-L330-'Calc base'!V330)</f>
        <v>0</v>
      </c>
      <c r="Y330">
        <f>MAX(0,ROUND(AW329*(1+'Calc base'!K330),2)-M330-'Calc base'!W330)</f>
        <v>0</v>
      </c>
      <c r="Z330">
        <f>MAX(0,ROUND(AX329*(1+'Calc base'!L330),2)-N330-'Calc base'!X330)</f>
        <v>0</v>
      </c>
      <c r="AA330">
        <f>MAX(0,ROUND(AY329*(1+'Calc base'!M330),2)-O330-'Calc base'!Y330)</f>
        <v>0</v>
      </c>
      <c r="AB330">
        <f>MAX(0,ROUND(AZ329*(1+'Calc base'!N330),2)-P330-'Calc base'!Z330)</f>
        <v>0</v>
      </c>
      <c r="AC330">
        <f>MAX(0,ROUND(BA329*(1+'Calc base'!O330),2)-Q330-'Calc base'!AA330)</f>
        <v>0</v>
      </c>
      <c r="AD330">
        <f>MAX(0,ROUND(BB329*(1+'Calc base'!P330),2)-R330-'Calc base'!AB330)</f>
        <v>0</v>
      </c>
      <c r="AE330">
        <f>MAX(0,ROUND(BC329*(1+'Calc base'!Q330),2)-S330-'Calc base'!AC330)</f>
        <v>0</v>
      </c>
      <c r="AF330">
        <f>MAX(0,ROUND(BD329*(1+'Calc base'!R330),2)-T330-'Calc base'!AD330)</f>
        <v>0</v>
      </c>
      <c r="AG330">
        <f>MAX(0,ROUND(BE329*(1+'Calc base'!S330),2)-U330-'Calc base'!AE330)</f>
        <v>0</v>
      </c>
      <c r="AH330">
        <f>IF('Calc base'!C$14=0,0,MIN(V330,MAX(0,$E330-SUMIFS($V330:$AG330,'Calc base'!$C$17:$N$17,"&lt;"&amp;'Calc base'!C$17,'Calc base'!$C$14:$N$14,1))))</f>
        <v>0</v>
      </c>
      <c r="AI330">
        <f>IF('Calc base'!D$14=0,0,MIN(W330,MAX(0,$E330-SUMIFS($V330:$AG330,'Calc base'!$C$17:$N$17,"&lt;"&amp;'Calc base'!D$17,'Calc base'!$C$14:$N$14,1))))</f>
        <v>0</v>
      </c>
      <c r="AJ330">
        <f>IF('Calc base'!E$14=0,0,MIN(X330,MAX(0,$E330-SUMIFS($V330:$AG330,'Calc base'!$C$17:$N$17,"&lt;"&amp;'Calc base'!E$17,'Calc base'!$C$14:$N$14,1))))</f>
        <v>0</v>
      </c>
      <c r="AK330">
        <f>IF('Calc base'!F$14=0,0,MIN(Y330,MAX(0,$E330-SUMIFS($V330:$AG330,'Calc base'!$C$17:$N$17,"&lt;"&amp;'Calc base'!F$17,'Calc base'!$C$14:$N$14,1))))</f>
        <v>0</v>
      </c>
      <c r="AL330">
        <f>IF('Calc base'!G$14=0,0,MIN(Z330,MAX(0,$E330-SUMIFS($V330:$AG330,'Calc base'!$C$17:$N$17,"&lt;"&amp;'Calc base'!G$17,'Calc base'!$C$14:$N$14,1))))</f>
        <v>0</v>
      </c>
      <c r="AM330">
        <f>IF('Calc base'!H$14=0,0,MIN(AA330,MAX(0,$E330-SUMIFS($V330:$AG330,'Calc base'!$C$17:$N$17,"&lt;"&amp;'Calc base'!H$17,'Calc base'!$C$14:$N$14,1))))</f>
        <v>0</v>
      </c>
      <c r="AN330">
        <f>IF('Calc base'!I$14=0,0,MIN(AB330,MAX(0,$E330-SUMIFS($V330:$AG330,'Calc base'!$C$17:$N$17,"&lt;"&amp;'Calc base'!I$17,'Calc base'!$C$14:$N$14,1))))</f>
        <v>0</v>
      </c>
      <c r="AO330">
        <f>IF('Calc base'!J$14=0,0,MIN(AC330,MAX(0,$E330-SUMIFS($V330:$AG330,'Calc base'!$C$17:$N$17,"&lt;"&amp;'Calc base'!J$17,'Calc base'!$C$14:$N$14,1))))</f>
        <v>0</v>
      </c>
      <c r="AP330">
        <f>IF('Calc base'!K$14=0,0,MIN(AD330,MAX(0,$E330-SUMIFS($V330:$AG330,'Calc base'!$C$17:$N$17,"&lt;"&amp;'Calc base'!K$17,'Calc base'!$C$14:$N$14,1))))</f>
        <v>0</v>
      </c>
      <c r="AQ330">
        <f>IF('Calc base'!L$14=0,0,MIN(AE330,MAX(0,$E330-SUMIFS($V330:$AG330,'Calc base'!$C$17:$N$17,"&lt;"&amp;'Calc base'!L$17,'Calc base'!$C$14:$N$14,1))))</f>
        <v>0</v>
      </c>
      <c r="AR330">
        <f>IF('Calc base'!M$14=0,0,MIN(AF330,MAX(0,$E330-SUMIFS($V330:$AG330,'Calc base'!$C$17:$N$17,"&lt;"&amp;'Calc base'!M$17,'Calc base'!$C$14:$N$14,1))))</f>
        <v>0</v>
      </c>
      <c r="AS330">
        <f>IF('Calc base'!N$14=0,0,MIN(AG330,MAX(0,$E330-SUMIFS($V330:$AG330,'Calc base'!$C$17:$N$17,"&lt;"&amp;'Calc base'!N$17,'Calc base'!$C$14:$N$14,1))))</f>
        <v>0</v>
      </c>
      <c r="AT330">
        <f>V330-AH330</f>
        <v>0</v>
      </c>
      <c r="AU330">
        <f>W330-AI330</f>
        <v>0</v>
      </c>
      <c r="AV330">
        <f>X330-AJ330</f>
        <v>0</v>
      </c>
      <c r="AW330">
        <f>Y330-AK330</f>
        <v>0</v>
      </c>
      <c r="AX330">
        <f>Z330-AL330</f>
        <v>0</v>
      </c>
      <c r="AY330">
        <f>AA330-AM330</f>
        <v>0</v>
      </c>
      <c r="AZ330">
        <f>AB330-AN330</f>
        <v>0</v>
      </c>
      <c r="BA330">
        <f>AC330-AO330</f>
        <v>0</v>
      </c>
      <c r="BB330">
        <f>AD330-AP330</f>
        <v>0</v>
      </c>
      <c r="BC330">
        <f>AE330-AQ330</f>
        <v>0</v>
      </c>
      <c r="BD330">
        <f>AF330-AR330</f>
        <v>0</v>
      </c>
      <c r="BE330">
        <f>AG330-AS330</f>
        <v>0</v>
      </c>
    </row>
    <row r="331">
      <c r="A331" t="n">
        <v>301</v>
      </c>
      <c r="B331">
        <f>SUMPRODUCT(ROUND($AT330:$BE330*(1+'Calc base'!$H331:$S331),2))</f>
        <v>0</v>
      </c>
      <c r="C331">
        <f>SUM(J331:U331)</f>
        <v>0</v>
      </c>
      <c r="D331">
        <f>SUM(V331:AG331)</f>
        <v>0</v>
      </c>
      <c r="E331">
        <f>MAX(0,IF(Impostazioni!$B$7="No",'Calc base'!$C331-$C$31,'Calc base'!$C331-C331)+'Calc base'!$G331+'Calc base'!$F331-(B331-C331-D331))</f>
        <v>900</v>
      </c>
      <c r="F331">
        <f>SUM(AH331:AS331)</f>
        <v>0</v>
      </c>
      <c r="G331">
        <f>SUM(AT331:BE331)</f>
        <v>0</v>
      </c>
      <c r="H331">
        <f>B331-G330</f>
        <v>0</v>
      </c>
      <c r="I331">
        <f>B331-G331</f>
        <v>0</v>
      </c>
      <c r="J331">
        <f>IF(AT330&lt;=0,0,IF(ROUND(AT330*(1+'Calc base'!H331),2)-MAX('Calc base'!C$12,ROUND('Calc base'!C$13*AT330,2))&lt;1,ROUND(AT330*(1+'Calc base'!H331),2),MAX('Calc base'!C$12,ROUND('Calc base'!C$13*AT330,2))))</f>
        <v>0</v>
      </c>
      <c r="K331">
        <f>IF(AU330&lt;=0,0,IF(ROUND(AU330*(1+'Calc base'!I331),2)-MAX('Calc base'!D$12,ROUND('Calc base'!D$13*AU330,2))&lt;1,ROUND(AU330*(1+'Calc base'!I331),2),MAX('Calc base'!D$12,ROUND('Calc base'!D$13*AU330,2))))</f>
        <v>0</v>
      </c>
      <c r="L331">
        <f>IF(AV330&lt;=0,0,IF(ROUND(AV330*(1+'Calc base'!J331),2)-MAX('Calc base'!E$12,ROUND('Calc base'!E$13*AV330,2))&lt;1,ROUND(AV330*(1+'Calc base'!J331),2),MAX('Calc base'!E$12,ROUND('Calc base'!E$13*AV330,2))))</f>
        <v>0</v>
      </c>
      <c r="M331">
        <f>IF(AW330&lt;=0,0,IF(ROUND(AW330*(1+'Calc base'!K331),2)-MAX('Calc base'!F$12,ROUND('Calc base'!F$13*AW330,2))&lt;1,ROUND(AW330*(1+'Calc base'!K331),2),MAX('Calc base'!F$12,ROUND('Calc base'!F$13*AW330,2))))</f>
        <v>0</v>
      </c>
      <c r="N331">
        <f>IF(AX330&lt;=0,0,IF(ROUND(AX330*(1+'Calc base'!L331),2)-MAX('Calc base'!G$12,ROUND('Calc base'!G$13*AX330,2))&lt;1,ROUND(AX330*(1+'Calc base'!L331),2),MAX('Calc base'!G$12,ROUND('Calc base'!G$13*AX330,2))))</f>
        <v>0</v>
      </c>
      <c r="O331">
        <f>IF(AY330&lt;=0,0,IF(ROUND(AY330*(1+'Calc base'!M331),2)-MAX('Calc base'!H$12,ROUND('Calc base'!H$13*AY330,2))&lt;1,ROUND(AY330*(1+'Calc base'!M331),2),MAX('Calc base'!H$12,ROUND('Calc base'!H$13*AY330,2))))</f>
        <v>0</v>
      </c>
      <c r="P331">
        <f>IF(AZ330&lt;=0,0,IF(ROUND(AZ330*(1+'Calc base'!N331),2)-MAX('Calc base'!I$12,ROUND('Calc base'!I$13*AZ330,2))&lt;1,ROUND(AZ330*(1+'Calc base'!N331),2),MAX('Calc base'!I$12,ROUND('Calc base'!I$13*AZ330,2))))</f>
        <v>0</v>
      </c>
      <c r="Q331">
        <f>IF(BA330&lt;=0,0,IF(ROUND(BA330*(1+'Calc base'!O331),2)-MAX('Calc base'!J$12,ROUND('Calc base'!J$13*BA330,2))&lt;1,ROUND(BA330*(1+'Calc base'!O331),2),MAX('Calc base'!J$12,ROUND('Calc base'!J$13*BA330,2))))</f>
        <v>0</v>
      </c>
      <c r="R331">
        <f>IF(BB330&lt;=0,0,IF(ROUND(BB330*(1+'Calc base'!P331),2)-MAX('Calc base'!K$12,ROUND('Calc base'!K$13*BB330,2))&lt;1,ROUND(BB330*(1+'Calc base'!P331),2),MAX('Calc base'!K$12,ROUND('Calc base'!K$13*BB330,2))))</f>
        <v>0</v>
      </c>
      <c r="S331">
        <f>IF(BC330&lt;=0,0,IF(ROUND(BC330*(1+'Calc base'!Q331),2)-MAX('Calc base'!L$12,ROUND('Calc base'!L$13*BC330,2))&lt;1,ROUND(BC330*(1+'Calc base'!Q331),2),MAX('Calc base'!L$12,ROUND('Calc base'!L$13*BC330,2))))</f>
        <v>0</v>
      </c>
      <c r="T331">
        <f>IF(BD330&lt;=0,0,IF(ROUND(BD330*(1+'Calc base'!R331),2)-MAX('Calc base'!M$12,ROUND('Calc base'!M$13*BD330,2))&lt;1,ROUND(BD330*(1+'Calc base'!R331),2),MAX('Calc base'!M$12,ROUND('Calc base'!M$13*BD330,2))))</f>
        <v>0</v>
      </c>
      <c r="U331">
        <f>IF(BE330&lt;=0,0,IF(ROUND(BE330*(1+'Calc base'!S331),2)-MAX('Calc base'!N$12,ROUND('Calc base'!N$13*BE330,2))&lt;1,ROUND(BE330*(1+'Calc base'!S331),2),MAX('Calc base'!N$12,ROUND('Calc base'!N$13*BE330,2))))</f>
        <v>0</v>
      </c>
      <c r="V331">
        <f>MAX(0,ROUND(AT330*(1+'Calc base'!H331),2)-J331-'Calc base'!T331)</f>
        <v>0</v>
      </c>
      <c r="W331">
        <f>MAX(0,ROUND(AU330*(1+'Calc base'!I331),2)-K331-'Calc base'!U331)</f>
        <v>0</v>
      </c>
      <c r="X331">
        <f>MAX(0,ROUND(AV330*(1+'Calc base'!J331),2)-L331-'Calc base'!V331)</f>
        <v>0</v>
      </c>
      <c r="Y331">
        <f>MAX(0,ROUND(AW330*(1+'Calc base'!K331),2)-M331-'Calc base'!W331)</f>
        <v>0</v>
      </c>
      <c r="Z331">
        <f>MAX(0,ROUND(AX330*(1+'Calc base'!L331),2)-N331-'Calc base'!X331)</f>
        <v>0</v>
      </c>
      <c r="AA331">
        <f>MAX(0,ROUND(AY330*(1+'Calc base'!M331),2)-O331-'Calc base'!Y331)</f>
        <v>0</v>
      </c>
      <c r="AB331">
        <f>MAX(0,ROUND(AZ330*(1+'Calc base'!N331),2)-P331-'Calc base'!Z331)</f>
        <v>0</v>
      </c>
      <c r="AC331">
        <f>MAX(0,ROUND(BA330*(1+'Calc base'!O331),2)-Q331-'Calc base'!AA331)</f>
        <v>0</v>
      </c>
      <c r="AD331">
        <f>MAX(0,ROUND(BB330*(1+'Calc base'!P331),2)-R331-'Calc base'!AB331)</f>
        <v>0</v>
      </c>
      <c r="AE331">
        <f>MAX(0,ROUND(BC330*(1+'Calc base'!Q331),2)-S331-'Calc base'!AC331)</f>
        <v>0</v>
      </c>
      <c r="AF331">
        <f>MAX(0,ROUND(BD330*(1+'Calc base'!R331),2)-T331-'Calc base'!AD331)</f>
        <v>0</v>
      </c>
      <c r="AG331">
        <f>MAX(0,ROUND(BE330*(1+'Calc base'!S331),2)-U331-'Calc base'!AE331)</f>
        <v>0</v>
      </c>
      <c r="AH331">
        <f>IF('Calc base'!C$14=0,0,MIN(V331,MAX(0,$E331-SUMIFS($V331:$AG331,'Calc base'!$C$17:$N$17,"&lt;"&amp;'Calc base'!C$17,'Calc base'!$C$14:$N$14,1))))</f>
        <v>0</v>
      </c>
      <c r="AI331">
        <f>IF('Calc base'!D$14=0,0,MIN(W331,MAX(0,$E331-SUMIFS($V331:$AG331,'Calc base'!$C$17:$N$17,"&lt;"&amp;'Calc base'!D$17,'Calc base'!$C$14:$N$14,1))))</f>
        <v>0</v>
      </c>
      <c r="AJ331">
        <f>IF('Calc base'!E$14=0,0,MIN(X331,MAX(0,$E331-SUMIFS($V331:$AG331,'Calc base'!$C$17:$N$17,"&lt;"&amp;'Calc base'!E$17,'Calc base'!$C$14:$N$14,1))))</f>
        <v>0</v>
      </c>
      <c r="AK331">
        <f>IF('Calc base'!F$14=0,0,MIN(Y331,MAX(0,$E331-SUMIFS($V331:$AG331,'Calc base'!$C$17:$N$17,"&lt;"&amp;'Calc base'!F$17,'Calc base'!$C$14:$N$14,1))))</f>
        <v>0</v>
      </c>
      <c r="AL331">
        <f>IF('Calc base'!G$14=0,0,MIN(Z331,MAX(0,$E331-SUMIFS($V331:$AG331,'Calc base'!$C$17:$N$17,"&lt;"&amp;'Calc base'!G$17,'Calc base'!$C$14:$N$14,1))))</f>
        <v>0</v>
      </c>
      <c r="AM331">
        <f>IF('Calc base'!H$14=0,0,MIN(AA331,MAX(0,$E331-SUMIFS($V331:$AG331,'Calc base'!$C$17:$N$17,"&lt;"&amp;'Calc base'!H$17,'Calc base'!$C$14:$N$14,1))))</f>
        <v>0</v>
      </c>
      <c r="AN331">
        <f>IF('Calc base'!I$14=0,0,MIN(AB331,MAX(0,$E331-SUMIFS($V331:$AG331,'Calc base'!$C$17:$N$17,"&lt;"&amp;'Calc base'!I$17,'Calc base'!$C$14:$N$14,1))))</f>
        <v>0</v>
      </c>
      <c r="AO331">
        <f>IF('Calc base'!J$14=0,0,MIN(AC331,MAX(0,$E331-SUMIFS($V331:$AG331,'Calc base'!$C$17:$N$17,"&lt;"&amp;'Calc base'!J$17,'Calc base'!$C$14:$N$14,1))))</f>
        <v>0</v>
      </c>
      <c r="AP331">
        <f>IF('Calc base'!K$14=0,0,MIN(AD331,MAX(0,$E331-SUMIFS($V331:$AG331,'Calc base'!$C$17:$N$17,"&lt;"&amp;'Calc base'!K$17,'Calc base'!$C$14:$N$14,1))))</f>
        <v>0</v>
      </c>
      <c r="AQ331">
        <f>IF('Calc base'!L$14=0,0,MIN(AE331,MAX(0,$E331-SUMIFS($V331:$AG331,'Calc base'!$C$17:$N$17,"&lt;"&amp;'Calc base'!L$17,'Calc base'!$C$14:$N$14,1))))</f>
        <v>0</v>
      </c>
      <c r="AR331">
        <f>IF('Calc base'!M$14=0,0,MIN(AF331,MAX(0,$E331-SUMIFS($V331:$AG331,'Calc base'!$C$17:$N$17,"&lt;"&amp;'Calc base'!M$17,'Calc base'!$C$14:$N$14,1))))</f>
        <v>0</v>
      </c>
      <c r="AS331">
        <f>IF('Calc base'!N$14=0,0,MIN(AG331,MAX(0,$E331-SUMIFS($V331:$AG331,'Calc base'!$C$17:$N$17,"&lt;"&amp;'Calc base'!N$17,'Calc base'!$C$14:$N$14,1))))</f>
        <v>0</v>
      </c>
      <c r="AT331">
        <f>V331-AH331</f>
        <v>0</v>
      </c>
      <c r="AU331">
        <f>W331-AI331</f>
        <v>0</v>
      </c>
      <c r="AV331">
        <f>X331-AJ331</f>
        <v>0</v>
      </c>
      <c r="AW331">
        <f>Y331-AK331</f>
        <v>0</v>
      </c>
      <c r="AX331">
        <f>Z331-AL331</f>
        <v>0</v>
      </c>
      <c r="AY331">
        <f>AA331-AM331</f>
        <v>0</v>
      </c>
      <c r="AZ331">
        <f>AB331-AN331</f>
        <v>0</v>
      </c>
      <c r="BA331">
        <f>AC331-AO331</f>
        <v>0</v>
      </c>
      <c r="BB331">
        <f>AD331-AP331</f>
        <v>0</v>
      </c>
      <c r="BC331">
        <f>AE331-AQ331</f>
        <v>0</v>
      </c>
      <c r="BD331">
        <f>AF331-AR331</f>
        <v>0</v>
      </c>
      <c r="BE331">
        <f>AG331-AS331</f>
        <v>0</v>
      </c>
    </row>
    <row r="332">
      <c r="A332" t="n">
        <v>302</v>
      </c>
      <c r="B332">
        <f>SUMPRODUCT(ROUND($AT331:$BE331*(1+'Calc base'!$H332:$S332),2))</f>
        <v>0</v>
      </c>
      <c r="C332">
        <f>SUM(J332:U332)</f>
        <v>0</v>
      </c>
      <c r="D332">
        <f>SUM(V332:AG332)</f>
        <v>0</v>
      </c>
      <c r="E332">
        <f>MAX(0,IF(Impostazioni!$B$7="No",'Calc base'!$C332-$C$31,'Calc base'!$C332-C332)+'Calc base'!$G332+'Calc base'!$F332-(B332-C332-D332))</f>
        <v>900</v>
      </c>
      <c r="F332">
        <f>SUM(AH332:AS332)</f>
        <v>0</v>
      </c>
      <c r="G332">
        <f>SUM(AT332:BE332)</f>
        <v>0</v>
      </c>
      <c r="H332">
        <f>B332-G331</f>
        <v>0</v>
      </c>
      <c r="I332">
        <f>B332-G332</f>
        <v>0</v>
      </c>
      <c r="J332">
        <f>IF(AT331&lt;=0,0,IF(ROUND(AT331*(1+'Calc base'!H332),2)-MAX('Calc base'!C$12,ROUND('Calc base'!C$13*AT331,2))&lt;1,ROUND(AT331*(1+'Calc base'!H332),2),MAX('Calc base'!C$12,ROUND('Calc base'!C$13*AT331,2))))</f>
        <v>0</v>
      </c>
      <c r="K332">
        <f>IF(AU331&lt;=0,0,IF(ROUND(AU331*(1+'Calc base'!I332),2)-MAX('Calc base'!D$12,ROUND('Calc base'!D$13*AU331,2))&lt;1,ROUND(AU331*(1+'Calc base'!I332),2),MAX('Calc base'!D$12,ROUND('Calc base'!D$13*AU331,2))))</f>
        <v>0</v>
      </c>
      <c r="L332">
        <f>IF(AV331&lt;=0,0,IF(ROUND(AV331*(1+'Calc base'!J332),2)-MAX('Calc base'!E$12,ROUND('Calc base'!E$13*AV331,2))&lt;1,ROUND(AV331*(1+'Calc base'!J332),2),MAX('Calc base'!E$12,ROUND('Calc base'!E$13*AV331,2))))</f>
        <v>0</v>
      </c>
      <c r="M332">
        <f>IF(AW331&lt;=0,0,IF(ROUND(AW331*(1+'Calc base'!K332),2)-MAX('Calc base'!F$12,ROUND('Calc base'!F$13*AW331,2))&lt;1,ROUND(AW331*(1+'Calc base'!K332),2),MAX('Calc base'!F$12,ROUND('Calc base'!F$13*AW331,2))))</f>
        <v>0</v>
      </c>
      <c r="N332">
        <f>IF(AX331&lt;=0,0,IF(ROUND(AX331*(1+'Calc base'!L332),2)-MAX('Calc base'!G$12,ROUND('Calc base'!G$13*AX331,2))&lt;1,ROUND(AX331*(1+'Calc base'!L332),2),MAX('Calc base'!G$12,ROUND('Calc base'!G$13*AX331,2))))</f>
        <v>0</v>
      </c>
      <c r="O332">
        <f>IF(AY331&lt;=0,0,IF(ROUND(AY331*(1+'Calc base'!M332),2)-MAX('Calc base'!H$12,ROUND('Calc base'!H$13*AY331,2))&lt;1,ROUND(AY331*(1+'Calc base'!M332),2),MAX('Calc base'!H$12,ROUND('Calc base'!H$13*AY331,2))))</f>
        <v>0</v>
      </c>
      <c r="P332">
        <f>IF(AZ331&lt;=0,0,IF(ROUND(AZ331*(1+'Calc base'!N332),2)-MAX('Calc base'!I$12,ROUND('Calc base'!I$13*AZ331,2))&lt;1,ROUND(AZ331*(1+'Calc base'!N332),2),MAX('Calc base'!I$12,ROUND('Calc base'!I$13*AZ331,2))))</f>
        <v>0</v>
      </c>
      <c r="Q332">
        <f>IF(BA331&lt;=0,0,IF(ROUND(BA331*(1+'Calc base'!O332),2)-MAX('Calc base'!J$12,ROUND('Calc base'!J$13*BA331,2))&lt;1,ROUND(BA331*(1+'Calc base'!O332),2),MAX('Calc base'!J$12,ROUND('Calc base'!J$13*BA331,2))))</f>
        <v>0</v>
      </c>
      <c r="R332">
        <f>IF(BB331&lt;=0,0,IF(ROUND(BB331*(1+'Calc base'!P332),2)-MAX('Calc base'!K$12,ROUND('Calc base'!K$13*BB331,2))&lt;1,ROUND(BB331*(1+'Calc base'!P332),2),MAX('Calc base'!K$12,ROUND('Calc base'!K$13*BB331,2))))</f>
        <v>0</v>
      </c>
      <c r="S332">
        <f>IF(BC331&lt;=0,0,IF(ROUND(BC331*(1+'Calc base'!Q332),2)-MAX('Calc base'!L$12,ROUND('Calc base'!L$13*BC331,2))&lt;1,ROUND(BC331*(1+'Calc base'!Q332),2),MAX('Calc base'!L$12,ROUND('Calc base'!L$13*BC331,2))))</f>
        <v>0</v>
      </c>
      <c r="T332">
        <f>IF(BD331&lt;=0,0,IF(ROUND(BD331*(1+'Calc base'!R332),2)-MAX('Calc base'!M$12,ROUND('Calc base'!M$13*BD331,2))&lt;1,ROUND(BD331*(1+'Calc base'!R332),2),MAX('Calc base'!M$12,ROUND('Calc base'!M$13*BD331,2))))</f>
        <v>0</v>
      </c>
      <c r="U332">
        <f>IF(BE331&lt;=0,0,IF(ROUND(BE331*(1+'Calc base'!S332),2)-MAX('Calc base'!N$12,ROUND('Calc base'!N$13*BE331,2))&lt;1,ROUND(BE331*(1+'Calc base'!S332),2),MAX('Calc base'!N$12,ROUND('Calc base'!N$13*BE331,2))))</f>
        <v>0</v>
      </c>
      <c r="V332">
        <f>MAX(0,ROUND(AT331*(1+'Calc base'!H332),2)-J332-'Calc base'!T332)</f>
        <v>0</v>
      </c>
      <c r="W332">
        <f>MAX(0,ROUND(AU331*(1+'Calc base'!I332),2)-K332-'Calc base'!U332)</f>
        <v>0</v>
      </c>
      <c r="X332">
        <f>MAX(0,ROUND(AV331*(1+'Calc base'!J332),2)-L332-'Calc base'!V332)</f>
        <v>0</v>
      </c>
      <c r="Y332">
        <f>MAX(0,ROUND(AW331*(1+'Calc base'!K332),2)-M332-'Calc base'!W332)</f>
        <v>0</v>
      </c>
      <c r="Z332">
        <f>MAX(0,ROUND(AX331*(1+'Calc base'!L332),2)-N332-'Calc base'!X332)</f>
        <v>0</v>
      </c>
      <c r="AA332">
        <f>MAX(0,ROUND(AY331*(1+'Calc base'!M332),2)-O332-'Calc base'!Y332)</f>
        <v>0</v>
      </c>
      <c r="AB332">
        <f>MAX(0,ROUND(AZ331*(1+'Calc base'!N332),2)-P332-'Calc base'!Z332)</f>
        <v>0</v>
      </c>
      <c r="AC332">
        <f>MAX(0,ROUND(BA331*(1+'Calc base'!O332),2)-Q332-'Calc base'!AA332)</f>
        <v>0</v>
      </c>
      <c r="AD332">
        <f>MAX(0,ROUND(BB331*(1+'Calc base'!P332),2)-R332-'Calc base'!AB332)</f>
        <v>0</v>
      </c>
      <c r="AE332">
        <f>MAX(0,ROUND(BC331*(1+'Calc base'!Q332),2)-S332-'Calc base'!AC332)</f>
        <v>0</v>
      </c>
      <c r="AF332">
        <f>MAX(0,ROUND(BD331*(1+'Calc base'!R332),2)-T332-'Calc base'!AD332)</f>
        <v>0</v>
      </c>
      <c r="AG332">
        <f>MAX(0,ROUND(BE331*(1+'Calc base'!S332),2)-U332-'Calc base'!AE332)</f>
        <v>0</v>
      </c>
      <c r="AH332">
        <f>IF('Calc base'!C$14=0,0,MIN(V332,MAX(0,$E332-SUMIFS($V332:$AG332,'Calc base'!$C$17:$N$17,"&lt;"&amp;'Calc base'!C$17,'Calc base'!$C$14:$N$14,1))))</f>
        <v>0</v>
      </c>
      <c r="AI332">
        <f>IF('Calc base'!D$14=0,0,MIN(W332,MAX(0,$E332-SUMIFS($V332:$AG332,'Calc base'!$C$17:$N$17,"&lt;"&amp;'Calc base'!D$17,'Calc base'!$C$14:$N$14,1))))</f>
        <v>0</v>
      </c>
      <c r="AJ332">
        <f>IF('Calc base'!E$14=0,0,MIN(X332,MAX(0,$E332-SUMIFS($V332:$AG332,'Calc base'!$C$17:$N$17,"&lt;"&amp;'Calc base'!E$17,'Calc base'!$C$14:$N$14,1))))</f>
        <v>0</v>
      </c>
      <c r="AK332">
        <f>IF('Calc base'!F$14=0,0,MIN(Y332,MAX(0,$E332-SUMIFS($V332:$AG332,'Calc base'!$C$17:$N$17,"&lt;"&amp;'Calc base'!F$17,'Calc base'!$C$14:$N$14,1))))</f>
        <v>0</v>
      </c>
      <c r="AL332">
        <f>IF('Calc base'!G$14=0,0,MIN(Z332,MAX(0,$E332-SUMIFS($V332:$AG332,'Calc base'!$C$17:$N$17,"&lt;"&amp;'Calc base'!G$17,'Calc base'!$C$14:$N$14,1))))</f>
        <v>0</v>
      </c>
      <c r="AM332">
        <f>IF('Calc base'!H$14=0,0,MIN(AA332,MAX(0,$E332-SUMIFS($V332:$AG332,'Calc base'!$C$17:$N$17,"&lt;"&amp;'Calc base'!H$17,'Calc base'!$C$14:$N$14,1))))</f>
        <v>0</v>
      </c>
      <c r="AN332">
        <f>IF('Calc base'!I$14=0,0,MIN(AB332,MAX(0,$E332-SUMIFS($V332:$AG332,'Calc base'!$C$17:$N$17,"&lt;"&amp;'Calc base'!I$17,'Calc base'!$C$14:$N$14,1))))</f>
        <v>0</v>
      </c>
      <c r="AO332">
        <f>IF('Calc base'!J$14=0,0,MIN(AC332,MAX(0,$E332-SUMIFS($V332:$AG332,'Calc base'!$C$17:$N$17,"&lt;"&amp;'Calc base'!J$17,'Calc base'!$C$14:$N$14,1))))</f>
        <v>0</v>
      </c>
      <c r="AP332">
        <f>IF('Calc base'!K$14=0,0,MIN(AD332,MAX(0,$E332-SUMIFS($V332:$AG332,'Calc base'!$C$17:$N$17,"&lt;"&amp;'Calc base'!K$17,'Calc base'!$C$14:$N$14,1))))</f>
        <v>0</v>
      </c>
      <c r="AQ332">
        <f>IF('Calc base'!L$14=0,0,MIN(AE332,MAX(0,$E332-SUMIFS($V332:$AG332,'Calc base'!$C$17:$N$17,"&lt;"&amp;'Calc base'!L$17,'Calc base'!$C$14:$N$14,1))))</f>
        <v>0</v>
      </c>
      <c r="AR332">
        <f>IF('Calc base'!M$14=0,0,MIN(AF332,MAX(0,$E332-SUMIFS($V332:$AG332,'Calc base'!$C$17:$N$17,"&lt;"&amp;'Calc base'!M$17,'Calc base'!$C$14:$N$14,1))))</f>
        <v>0</v>
      </c>
      <c r="AS332">
        <f>IF('Calc base'!N$14=0,0,MIN(AG332,MAX(0,$E332-SUMIFS($V332:$AG332,'Calc base'!$C$17:$N$17,"&lt;"&amp;'Calc base'!N$17,'Calc base'!$C$14:$N$14,1))))</f>
        <v>0</v>
      </c>
      <c r="AT332">
        <f>V332-AH332</f>
        <v>0</v>
      </c>
      <c r="AU332">
        <f>W332-AI332</f>
        <v>0</v>
      </c>
      <c r="AV332">
        <f>X332-AJ332</f>
        <v>0</v>
      </c>
      <c r="AW332">
        <f>Y332-AK332</f>
        <v>0</v>
      </c>
      <c r="AX332">
        <f>Z332-AL332</f>
        <v>0</v>
      </c>
      <c r="AY332">
        <f>AA332-AM332</f>
        <v>0</v>
      </c>
      <c r="AZ332">
        <f>AB332-AN332</f>
        <v>0</v>
      </c>
      <c r="BA332">
        <f>AC332-AO332</f>
        <v>0</v>
      </c>
      <c r="BB332">
        <f>AD332-AP332</f>
        <v>0</v>
      </c>
      <c r="BC332">
        <f>AE332-AQ332</f>
        <v>0</v>
      </c>
      <c r="BD332">
        <f>AF332-AR332</f>
        <v>0</v>
      </c>
      <c r="BE332">
        <f>AG332-AS332</f>
        <v>0</v>
      </c>
    </row>
    <row r="333">
      <c r="A333" t="n">
        <v>303</v>
      </c>
      <c r="B333">
        <f>SUMPRODUCT(ROUND($AT332:$BE332*(1+'Calc base'!$H333:$S333),2))</f>
        <v>0</v>
      </c>
      <c r="C333">
        <f>SUM(J333:U333)</f>
        <v>0</v>
      </c>
      <c r="D333">
        <f>SUM(V333:AG333)</f>
        <v>0</v>
      </c>
      <c r="E333">
        <f>MAX(0,IF(Impostazioni!$B$7="No",'Calc base'!$C333-$C$31,'Calc base'!$C333-C333)+'Calc base'!$G333+'Calc base'!$F333-(B333-C333-D333))</f>
        <v>900</v>
      </c>
      <c r="F333">
        <f>SUM(AH333:AS333)</f>
        <v>0</v>
      </c>
      <c r="G333">
        <f>SUM(AT333:BE333)</f>
        <v>0</v>
      </c>
      <c r="H333">
        <f>B333-G332</f>
        <v>0</v>
      </c>
      <c r="I333">
        <f>B333-G333</f>
        <v>0</v>
      </c>
      <c r="J333">
        <f>IF(AT332&lt;=0,0,IF(ROUND(AT332*(1+'Calc base'!H333),2)-MAX('Calc base'!C$12,ROUND('Calc base'!C$13*AT332,2))&lt;1,ROUND(AT332*(1+'Calc base'!H333),2),MAX('Calc base'!C$12,ROUND('Calc base'!C$13*AT332,2))))</f>
        <v>0</v>
      </c>
      <c r="K333">
        <f>IF(AU332&lt;=0,0,IF(ROUND(AU332*(1+'Calc base'!I333),2)-MAX('Calc base'!D$12,ROUND('Calc base'!D$13*AU332,2))&lt;1,ROUND(AU332*(1+'Calc base'!I333),2),MAX('Calc base'!D$12,ROUND('Calc base'!D$13*AU332,2))))</f>
        <v>0</v>
      </c>
      <c r="L333">
        <f>IF(AV332&lt;=0,0,IF(ROUND(AV332*(1+'Calc base'!J333),2)-MAX('Calc base'!E$12,ROUND('Calc base'!E$13*AV332,2))&lt;1,ROUND(AV332*(1+'Calc base'!J333),2),MAX('Calc base'!E$12,ROUND('Calc base'!E$13*AV332,2))))</f>
        <v>0</v>
      </c>
      <c r="M333">
        <f>IF(AW332&lt;=0,0,IF(ROUND(AW332*(1+'Calc base'!K333),2)-MAX('Calc base'!F$12,ROUND('Calc base'!F$13*AW332,2))&lt;1,ROUND(AW332*(1+'Calc base'!K333),2),MAX('Calc base'!F$12,ROUND('Calc base'!F$13*AW332,2))))</f>
        <v>0</v>
      </c>
      <c r="N333">
        <f>IF(AX332&lt;=0,0,IF(ROUND(AX332*(1+'Calc base'!L333),2)-MAX('Calc base'!G$12,ROUND('Calc base'!G$13*AX332,2))&lt;1,ROUND(AX332*(1+'Calc base'!L333),2),MAX('Calc base'!G$12,ROUND('Calc base'!G$13*AX332,2))))</f>
        <v>0</v>
      </c>
      <c r="O333">
        <f>IF(AY332&lt;=0,0,IF(ROUND(AY332*(1+'Calc base'!M333),2)-MAX('Calc base'!H$12,ROUND('Calc base'!H$13*AY332,2))&lt;1,ROUND(AY332*(1+'Calc base'!M333),2),MAX('Calc base'!H$12,ROUND('Calc base'!H$13*AY332,2))))</f>
        <v>0</v>
      </c>
      <c r="P333">
        <f>IF(AZ332&lt;=0,0,IF(ROUND(AZ332*(1+'Calc base'!N333),2)-MAX('Calc base'!I$12,ROUND('Calc base'!I$13*AZ332,2))&lt;1,ROUND(AZ332*(1+'Calc base'!N333),2),MAX('Calc base'!I$12,ROUND('Calc base'!I$13*AZ332,2))))</f>
        <v>0</v>
      </c>
      <c r="Q333">
        <f>IF(BA332&lt;=0,0,IF(ROUND(BA332*(1+'Calc base'!O333),2)-MAX('Calc base'!J$12,ROUND('Calc base'!J$13*BA332,2))&lt;1,ROUND(BA332*(1+'Calc base'!O333),2),MAX('Calc base'!J$12,ROUND('Calc base'!J$13*BA332,2))))</f>
        <v>0</v>
      </c>
      <c r="R333">
        <f>IF(BB332&lt;=0,0,IF(ROUND(BB332*(1+'Calc base'!P333),2)-MAX('Calc base'!K$12,ROUND('Calc base'!K$13*BB332,2))&lt;1,ROUND(BB332*(1+'Calc base'!P333),2),MAX('Calc base'!K$12,ROUND('Calc base'!K$13*BB332,2))))</f>
        <v>0</v>
      </c>
      <c r="S333">
        <f>IF(BC332&lt;=0,0,IF(ROUND(BC332*(1+'Calc base'!Q333),2)-MAX('Calc base'!L$12,ROUND('Calc base'!L$13*BC332,2))&lt;1,ROUND(BC332*(1+'Calc base'!Q333),2),MAX('Calc base'!L$12,ROUND('Calc base'!L$13*BC332,2))))</f>
        <v>0</v>
      </c>
      <c r="T333">
        <f>IF(BD332&lt;=0,0,IF(ROUND(BD332*(1+'Calc base'!R333),2)-MAX('Calc base'!M$12,ROUND('Calc base'!M$13*BD332,2))&lt;1,ROUND(BD332*(1+'Calc base'!R333),2),MAX('Calc base'!M$12,ROUND('Calc base'!M$13*BD332,2))))</f>
        <v>0</v>
      </c>
      <c r="U333">
        <f>IF(BE332&lt;=0,0,IF(ROUND(BE332*(1+'Calc base'!S333),2)-MAX('Calc base'!N$12,ROUND('Calc base'!N$13*BE332,2))&lt;1,ROUND(BE332*(1+'Calc base'!S333),2),MAX('Calc base'!N$12,ROUND('Calc base'!N$13*BE332,2))))</f>
        <v>0</v>
      </c>
      <c r="V333">
        <f>MAX(0,ROUND(AT332*(1+'Calc base'!H333),2)-J333-'Calc base'!T333)</f>
        <v>0</v>
      </c>
      <c r="W333">
        <f>MAX(0,ROUND(AU332*(1+'Calc base'!I333),2)-K333-'Calc base'!U333)</f>
        <v>0</v>
      </c>
      <c r="X333">
        <f>MAX(0,ROUND(AV332*(1+'Calc base'!J333),2)-L333-'Calc base'!V333)</f>
        <v>0</v>
      </c>
      <c r="Y333">
        <f>MAX(0,ROUND(AW332*(1+'Calc base'!K333),2)-M333-'Calc base'!W333)</f>
        <v>0</v>
      </c>
      <c r="Z333">
        <f>MAX(0,ROUND(AX332*(1+'Calc base'!L333),2)-N333-'Calc base'!X333)</f>
        <v>0</v>
      </c>
      <c r="AA333">
        <f>MAX(0,ROUND(AY332*(1+'Calc base'!M333),2)-O333-'Calc base'!Y333)</f>
        <v>0</v>
      </c>
      <c r="AB333">
        <f>MAX(0,ROUND(AZ332*(1+'Calc base'!N333),2)-P333-'Calc base'!Z333)</f>
        <v>0</v>
      </c>
      <c r="AC333">
        <f>MAX(0,ROUND(BA332*(1+'Calc base'!O333),2)-Q333-'Calc base'!AA333)</f>
        <v>0</v>
      </c>
      <c r="AD333">
        <f>MAX(0,ROUND(BB332*(1+'Calc base'!P333),2)-R333-'Calc base'!AB333)</f>
        <v>0</v>
      </c>
      <c r="AE333">
        <f>MAX(0,ROUND(BC332*(1+'Calc base'!Q333),2)-S333-'Calc base'!AC333)</f>
        <v>0</v>
      </c>
      <c r="AF333">
        <f>MAX(0,ROUND(BD332*(1+'Calc base'!R333),2)-T333-'Calc base'!AD333)</f>
        <v>0</v>
      </c>
      <c r="AG333">
        <f>MAX(0,ROUND(BE332*(1+'Calc base'!S333),2)-U333-'Calc base'!AE333)</f>
        <v>0</v>
      </c>
      <c r="AH333">
        <f>IF('Calc base'!C$14=0,0,MIN(V333,MAX(0,$E333-SUMIFS($V333:$AG333,'Calc base'!$C$17:$N$17,"&lt;"&amp;'Calc base'!C$17,'Calc base'!$C$14:$N$14,1))))</f>
        <v>0</v>
      </c>
      <c r="AI333">
        <f>IF('Calc base'!D$14=0,0,MIN(W333,MAX(0,$E333-SUMIFS($V333:$AG333,'Calc base'!$C$17:$N$17,"&lt;"&amp;'Calc base'!D$17,'Calc base'!$C$14:$N$14,1))))</f>
        <v>0</v>
      </c>
      <c r="AJ333">
        <f>IF('Calc base'!E$14=0,0,MIN(X333,MAX(0,$E333-SUMIFS($V333:$AG333,'Calc base'!$C$17:$N$17,"&lt;"&amp;'Calc base'!E$17,'Calc base'!$C$14:$N$14,1))))</f>
        <v>0</v>
      </c>
      <c r="AK333">
        <f>IF('Calc base'!F$14=0,0,MIN(Y333,MAX(0,$E333-SUMIFS($V333:$AG333,'Calc base'!$C$17:$N$17,"&lt;"&amp;'Calc base'!F$17,'Calc base'!$C$14:$N$14,1))))</f>
        <v>0</v>
      </c>
      <c r="AL333">
        <f>IF('Calc base'!G$14=0,0,MIN(Z333,MAX(0,$E333-SUMIFS($V333:$AG333,'Calc base'!$C$17:$N$17,"&lt;"&amp;'Calc base'!G$17,'Calc base'!$C$14:$N$14,1))))</f>
        <v>0</v>
      </c>
      <c r="AM333">
        <f>IF('Calc base'!H$14=0,0,MIN(AA333,MAX(0,$E333-SUMIFS($V333:$AG333,'Calc base'!$C$17:$N$17,"&lt;"&amp;'Calc base'!H$17,'Calc base'!$C$14:$N$14,1))))</f>
        <v>0</v>
      </c>
      <c r="AN333">
        <f>IF('Calc base'!I$14=0,0,MIN(AB333,MAX(0,$E333-SUMIFS($V333:$AG333,'Calc base'!$C$17:$N$17,"&lt;"&amp;'Calc base'!I$17,'Calc base'!$C$14:$N$14,1))))</f>
        <v>0</v>
      </c>
      <c r="AO333">
        <f>IF('Calc base'!J$14=0,0,MIN(AC333,MAX(0,$E333-SUMIFS($V333:$AG333,'Calc base'!$C$17:$N$17,"&lt;"&amp;'Calc base'!J$17,'Calc base'!$C$14:$N$14,1))))</f>
        <v>0</v>
      </c>
      <c r="AP333">
        <f>IF('Calc base'!K$14=0,0,MIN(AD333,MAX(0,$E333-SUMIFS($V333:$AG333,'Calc base'!$C$17:$N$17,"&lt;"&amp;'Calc base'!K$17,'Calc base'!$C$14:$N$14,1))))</f>
        <v>0</v>
      </c>
      <c r="AQ333">
        <f>IF('Calc base'!L$14=0,0,MIN(AE333,MAX(0,$E333-SUMIFS($V333:$AG333,'Calc base'!$C$17:$N$17,"&lt;"&amp;'Calc base'!L$17,'Calc base'!$C$14:$N$14,1))))</f>
        <v>0</v>
      </c>
      <c r="AR333">
        <f>IF('Calc base'!M$14=0,0,MIN(AF333,MAX(0,$E333-SUMIFS($V333:$AG333,'Calc base'!$C$17:$N$17,"&lt;"&amp;'Calc base'!M$17,'Calc base'!$C$14:$N$14,1))))</f>
        <v>0</v>
      </c>
      <c r="AS333">
        <f>IF('Calc base'!N$14=0,0,MIN(AG333,MAX(0,$E333-SUMIFS($V333:$AG333,'Calc base'!$C$17:$N$17,"&lt;"&amp;'Calc base'!N$17,'Calc base'!$C$14:$N$14,1))))</f>
        <v>0</v>
      </c>
      <c r="AT333">
        <f>V333-AH333</f>
        <v>0</v>
      </c>
      <c r="AU333">
        <f>W333-AI333</f>
        <v>0</v>
      </c>
      <c r="AV333">
        <f>X333-AJ333</f>
        <v>0</v>
      </c>
      <c r="AW333">
        <f>Y333-AK333</f>
        <v>0</v>
      </c>
      <c r="AX333">
        <f>Z333-AL333</f>
        <v>0</v>
      </c>
      <c r="AY333">
        <f>AA333-AM333</f>
        <v>0</v>
      </c>
      <c r="AZ333">
        <f>AB333-AN333</f>
        <v>0</v>
      </c>
      <c r="BA333">
        <f>AC333-AO333</f>
        <v>0</v>
      </c>
      <c r="BB333">
        <f>AD333-AP333</f>
        <v>0</v>
      </c>
      <c r="BC333">
        <f>AE333-AQ333</f>
        <v>0</v>
      </c>
      <c r="BD333">
        <f>AF333-AR333</f>
        <v>0</v>
      </c>
      <c r="BE333">
        <f>AG333-AS333</f>
        <v>0</v>
      </c>
    </row>
    <row r="334">
      <c r="A334" t="n">
        <v>304</v>
      </c>
      <c r="B334">
        <f>SUMPRODUCT(ROUND($AT333:$BE333*(1+'Calc base'!$H334:$S334),2))</f>
        <v>0</v>
      </c>
      <c r="C334">
        <f>SUM(J334:U334)</f>
        <v>0</v>
      </c>
      <c r="D334">
        <f>SUM(V334:AG334)</f>
        <v>0</v>
      </c>
      <c r="E334">
        <f>MAX(0,IF(Impostazioni!$B$7="No",'Calc base'!$C334-$C$31,'Calc base'!$C334-C334)+'Calc base'!$G334+'Calc base'!$F334-(B334-C334-D334))</f>
        <v>900</v>
      </c>
      <c r="F334">
        <f>SUM(AH334:AS334)</f>
        <v>0</v>
      </c>
      <c r="G334">
        <f>SUM(AT334:BE334)</f>
        <v>0</v>
      </c>
      <c r="H334">
        <f>B334-G333</f>
        <v>0</v>
      </c>
      <c r="I334">
        <f>B334-G334</f>
        <v>0</v>
      </c>
      <c r="J334">
        <f>IF(AT333&lt;=0,0,IF(ROUND(AT333*(1+'Calc base'!H334),2)-MAX('Calc base'!C$12,ROUND('Calc base'!C$13*AT333,2))&lt;1,ROUND(AT333*(1+'Calc base'!H334),2),MAX('Calc base'!C$12,ROUND('Calc base'!C$13*AT333,2))))</f>
        <v>0</v>
      </c>
      <c r="K334">
        <f>IF(AU333&lt;=0,0,IF(ROUND(AU333*(1+'Calc base'!I334),2)-MAX('Calc base'!D$12,ROUND('Calc base'!D$13*AU333,2))&lt;1,ROUND(AU333*(1+'Calc base'!I334),2),MAX('Calc base'!D$12,ROUND('Calc base'!D$13*AU333,2))))</f>
        <v>0</v>
      </c>
      <c r="L334">
        <f>IF(AV333&lt;=0,0,IF(ROUND(AV333*(1+'Calc base'!J334),2)-MAX('Calc base'!E$12,ROUND('Calc base'!E$13*AV333,2))&lt;1,ROUND(AV333*(1+'Calc base'!J334),2),MAX('Calc base'!E$12,ROUND('Calc base'!E$13*AV333,2))))</f>
        <v>0</v>
      </c>
      <c r="M334">
        <f>IF(AW333&lt;=0,0,IF(ROUND(AW333*(1+'Calc base'!K334),2)-MAX('Calc base'!F$12,ROUND('Calc base'!F$13*AW333,2))&lt;1,ROUND(AW333*(1+'Calc base'!K334),2),MAX('Calc base'!F$12,ROUND('Calc base'!F$13*AW333,2))))</f>
        <v>0</v>
      </c>
      <c r="N334">
        <f>IF(AX333&lt;=0,0,IF(ROUND(AX333*(1+'Calc base'!L334),2)-MAX('Calc base'!G$12,ROUND('Calc base'!G$13*AX333,2))&lt;1,ROUND(AX333*(1+'Calc base'!L334),2),MAX('Calc base'!G$12,ROUND('Calc base'!G$13*AX333,2))))</f>
        <v>0</v>
      </c>
      <c r="O334">
        <f>IF(AY333&lt;=0,0,IF(ROUND(AY333*(1+'Calc base'!M334),2)-MAX('Calc base'!H$12,ROUND('Calc base'!H$13*AY333,2))&lt;1,ROUND(AY333*(1+'Calc base'!M334),2),MAX('Calc base'!H$12,ROUND('Calc base'!H$13*AY333,2))))</f>
        <v>0</v>
      </c>
      <c r="P334">
        <f>IF(AZ333&lt;=0,0,IF(ROUND(AZ333*(1+'Calc base'!N334),2)-MAX('Calc base'!I$12,ROUND('Calc base'!I$13*AZ333,2))&lt;1,ROUND(AZ333*(1+'Calc base'!N334),2),MAX('Calc base'!I$12,ROUND('Calc base'!I$13*AZ333,2))))</f>
        <v>0</v>
      </c>
      <c r="Q334">
        <f>IF(BA333&lt;=0,0,IF(ROUND(BA333*(1+'Calc base'!O334),2)-MAX('Calc base'!J$12,ROUND('Calc base'!J$13*BA333,2))&lt;1,ROUND(BA333*(1+'Calc base'!O334),2),MAX('Calc base'!J$12,ROUND('Calc base'!J$13*BA333,2))))</f>
        <v>0</v>
      </c>
      <c r="R334">
        <f>IF(BB333&lt;=0,0,IF(ROUND(BB333*(1+'Calc base'!P334),2)-MAX('Calc base'!K$12,ROUND('Calc base'!K$13*BB333,2))&lt;1,ROUND(BB333*(1+'Calc base'!P334),2),MAX('Calc base'!K$12,ROUND('Calc base'!K$13*BB333,2))))</f>
        <v>0</v>
      </c>
      <c r="S334">
        <f>IF(BC333&lt;=0,0,IF(ROUND(BC333*(1+'Calc base'!Q334),2)-MAX('Calc base'!L$12,ROUND('Calc base'!L$13*BC333,2))&lt;1,ROUND(BC333*(1+'Calc base'!Q334),2),MAX('Calc base'!L$12,ROUND('Calc base'!L$13*BC333,2))))</f>
        <v>0</v>
      </c>
      <c r="T334">
        <f>IF(BD333&lt;=0,0,IF(ROUND(BD333*(1+'Calc base'!R334),2)-MAX('Calc base'!M$12,ROUND('Calc base'!M$13*BD333,2))&lt;1,ROUND(BD333*(1+'Calc base'!R334),2),MAX('Calc base'!M$12,ROUND('Calc base'!M$13*BD333,2))))</f>
        <v>0</v>
      </c>
      <c r="U334">
        <f>IF(BE333&lt;=0,0,IF(ROUND(BE333*(1+'Calc base'!S334),2)-MAX('Calc base'!N$12,ROUND('Calc base'!N$13*BE333,2))&lt;1,ROUND(BE333*(1+'Calc base'!S334),2),MAX('Calc base'!N$12,ROUND('Calc base'!N$13*BE333,2))))</f>
        <v>0</v>
      </c>
      <c r="V334">
        <f>MAX(0,ROUND(AT333*(1+'Calc base'!H334),2)-J334-'Calc base'!T334)</f>
        <v>0</v>
      </c>
      <c r="W334">
        <f>MAX(0,ROUND(AU333*(1+'Calc base'!I334),2)-K334-'Calc base'!U334)</f>
        <v>0</v>
      </c>
      <c r="X334">
        <f>MAX(0,ROUND(AV333*(1+'Calc base'!J334),2)-L334-'Calc base'!V334)</f>
        <v>0</v>
      </c>
      <c r="Y334">
        <f>MAX(0,ROUND(AW333*(1+'Calc base'!K334),2)-M334-'Calc base'!W334)</f>
        <v>0</v>
      </c>
      <c r="Z334">
        <f>MAX(0,ROUND(AX333*(1+'Calc base'!L334),2)-N334-'Calc base'!X334)</f>
        <v>0</v>
      </c>
      <c r="AA334">
        <f>MAX(0,ROUND(AY333*(1+'Calc base'!M334),2)-O334-'Calc base'!Y334)</f>
        <v>0</v>
      </c>
      <c r="AB334">
        <f>MAX(0,ROUND(AZ333*(1+'Calc base'!N334),2)-P334-'Calc base'!Z334)</f>
        <v>0</v>
      </c>
      <c r="AC334">
        <f>MAX(0,ROUND(BA333*(1+'Calc base'!O334),2)-Q334-'Calc base'!AA334)</f>
        <v>0</v>
      </c>
      <c r="AD334">
        <f>MAX(0,ROUND(BB333*(1+'Calc base'!P334),2)-R334-'Calc base'!AB334)</f>
        <v>0</v>
      </c>
      <c r="AE334">
        <f>MAX(0,ROUND(BC333*(1+'Calc base'!Q334),2)-S334-'Calc base'!AC334)</f>
        <v>0</v>
      </c>
      <c r="AF334">
        <f>MAX(0,ROUND(BD333*(1+'Calc base'!R334),2)-T334-'Calc base'!AD334)</f>
        <v>0</v>
      </c>
      <c r="AG334">
        <f>MAX(0,ROUND(BE333*(1+'Calc base'!S334),2)-U334-'Calc base'!AE334)</f>
        <v>0</v>
      </c>
      <c r="AH334">
        <f>IF('Calc base'!C$14=0,0,MIN(V334,MAX(0,$E334-SUMIFS($V334:$AG334,'Calc base'!$C$17:$N$17,"&lt;"&amp;'Calc base'!C$17,'Calc base'!$C$14:$N$14,1))))</f>
        <v>0</v>
      </c>
      <c r="AI334">
        <f>IF('Calc base'!D$14=0,0,MIN(W334,MAX(0,$E334-SUMIFS($V334:$AG334,'Calc base'!$C$17:$N$17,"&lt;"&amp;'Calc base'!D$17,'Calc base'!$C$14:$N$14,1))))</f>
        <v>0</v>
      </c>
      <c r="AJ334">
        <f>IF('Calc base'!E$14=0,0,MIN(X334,MAX(0,$E334-SUMIFS($V334:$AG334,'Calc base'!$C$17:$N$17,"&lt;"&amp;'Calc base'!E$17,'Calc base'!$C$14:$N$14,1))))</f>
        <v>0</v>
      </c>
      <c r="AK334">
        <f>IF('Calc base'!F$14=0,0,MIN(Y334,MAX(0,$E334-SUMIFS($V334:$AG334,'Calc base'!$C$17:$N$17,"&lt;"&amp;'Calc base'!F$17,'Calc base'!$C$14:$N$14,1))))</f>
        <v>0</v>
      </c>
      <c r="AL334">
        <f>IF('Calc base'!G$14=0,0,MIN(Z334,MAX(0,$E334-SUMIFS($V334:$AG334,'Calc base'!$C$17:$N$17,"&lt;"&amp;'Calc base'!G$17,'Calc base'!$C$14:$N$14,1))))</f>
        <v>0</v>
      </c>
      <c r="AM334">
        <f>IF('Calc base'!H$14=0,0,MIN(AA334,MAX(0,$E334-SUMIFS($V334:$AG334,'Calc base'!$C$17:$N$17,"&lt;"&amp;'Calc base'!H$17,'Calc base'!$C$14:$N$14,1))))</f>
        <v>0</v>
      </c>
      <c r="AN334">
        <f>IF('Calc base'!I$14=0,0,MIN(AB334,MAX(0,$E334-SUMIFS($V334:$AG334,'Calc base'!$C$17:$N$17,"&lt;"&amp;'Calc base'!I$17,'Calc base'!$C$14:$N$14,1))))</f>
        <v>0</v>
      </c>
      <c r="AO334">
        <f>IF('Calc base'!J$14=0,0,MIN(AC334,MAX(0,$E334-SUMIFS($V334:$AG334,'Calc base'!$C$17:$N$17,"&lt;"&amp;'Calc base'!J$17,'Calc base'!$C$14:$N$14,1))))</f>
        <v>0</v>
      </c>
      <c r="AP334">
        <f>IF('Calc base'!K$14=0,0,MIN(AD334,MAX(0,$E334-SUMIFS($V334:$AG334,'Calc base'!$C$17:$N$17,"&lt;"&amp;'Calc base'!K$17,'Calc base'!$C$14:$N$14,1))))</f>
        <v>0</v>
      </c>
      <c r="AQ334">
        <f>IF('Calc base'!L$14=0,0,MIN(AE334,MAX(0,$E334-SUMIFS($V334:$AG334,'Calc base'!$C$17:$N$17,"&lt;"&amp;'Calc base'!L$17,'Calc base'!$C$14:$N$14,1))))</f>
        <v>0</v>
      </c>
      <c r="AR334">
        <f>IF('Calc base'!M$14=0,0,MIN(AF334,MAX(0,$E334-SUMIFS($V334:$AG334,'Calc base'!$C$17:$N$17,"&lt;"&amp;'Calc base'!M$17,'Calc base'!$C$14:$N$14,1))))</f>
        <v>0</v>
      </c>
      <c r="AS334">
        <f>IF('Calc base'!N$14=0,0,MIN(AG334,MAX(0,$E334-SUMIFS($V334:$AG334,'Calc base'!$C$17:$N$17,"&lt;"&amp;'Calc base'!N$17,'Calc base'!$C$14:$N$14,1))))</f>
        <v>0</v>
      </c>
      <c r="AT334">
        <f>V334-AH334</f>
        <v>0</v>
      </c>
      <c r="AU334">
        <f>W334-AI334</f>
        <v>0</v>
      </c>
      <c r="AV334">
        <f>X334-AJ334</f>
        <v>0</v>
      </c>
      <c r="AW334">
        <f>Y334-AK334</f>
        <v>0</v>
      </c>
      <c r="AX334">
        <f>Z334-AL334</f>
        <v>0</v>
      </c>
      <c r="AY334">
        <f>AA334-AM334</f>
        <v>0</v>
      </c>
      <c r="AZ334">
        <f>AB334-AN334</f>
        <v>0</v>
      </c>
      <c r="BA334">
        <f>AC334-AO334</f>
        <v>0</v>
      </c>
      <c r="BB334">
        <f>AD334-AP334</f>
        <v>0</v>
      </c>
      <c r="BC334">
        <f>AE334-AQ334</f>
        <v>0</v>
      </c>
      <c r="BD334">
        <f>AF334-AR334</f>
        <v>0</v>
      </c>
      <c r="BE334">
        <f>AG334-AS334</f>
        <v>0</v>
      </c>
    </row>
    <row r="335">
      <c r="A335" t="n">
        <v>305</v>
      </c>
      <c r="B335">
        <f>SUMPRODUCT(ROUND($AT334:$BE334*(1+'Calc base'!$H335:$S335),2))</f>
        <v>0</v>
      </c>
      <c r="C335">
        <f>SUM(J335:U335)</f>
        <v>0</v>
      </c>
      <c r="D335">
        <f>SUM(V335:AG335)</f>
        <v>0</v>
      </c>
      <c r="E335">
        <f>MAX(0,IF(Impostazioni!$B$7="No",'Calc base'!$C335-$C$31,'Calc base'!$C335-C335)+'Calc base'!$G335+'Calc base'!$F335-(B335-C335-D335))</f>
        <v>900</v>
      </c>
      <c r="F335">
        <f>SUM(AH335:AS335)</f>
        <v>0</v>
      </c>
      <c r="G335">
        <f>SUM(AT335:BE335)</f>
        <v>0</v>
      </c>
      <c r="H335">
        <f>B335-G334</f>
        <v>0</v>
      </c>
      <c r="I335">
        <f>B335-G335</f>
        <v>0</v>
      </c>
      <c r="J335">
        <f>IF(AT334&lt;=0,0,IF(ROUND(AT334*(1+'Calc base'!H335),2)-MAX('Calc base'!C$12,ROUND('Calc base'!C$13*AT334,2))&lt;1,ROUND(AT334*(1+'Calc base'!H335),2),MAX('Calc base'!C$12,ROUND('Calc base'!C$13*AT334,2))))</f>
        <v>0</v>
      </c>
      <c r="K335">
        <f>IF(AU334&lt;=0,0,IF(ROUND(AU334*(1+'Calc base'!I335),2)-MAX('Calc base'!D$12,ROUND('Calc base'!D$13*AU334,2))&lt;1,ROUND(AU334*(1+'Calc base'!I335),2),MAX('Calc base'!D$12,ROUND('Calc base'!D$13*AU334,2))))</f>
        <v>0</v>
      </c>
      <c r="L335">
        <f>IF(AV334&lt;=0,0,IF(ROUND(AV334*(1+'Calc base'!J335),2)-MAX('Calc base'!E$12,ROUND('Calc base'!E$13*AV334,2))&lt;1,ROUND(AV334*(1+'Calc base'!J335),2),MAX('Calc base'!E$12,ROUND('Calc base'!E$13*AV334,2))))</f>
        <v>0</v>
      </c>
      <c r="M335">
        <f>IF(AW334&lt;=0,0,IF(ROUND(AW334*(1+'Calc base'!K335),2)-MAX('Calc base'!F$12,ROUND('Calc base'!F$13*AW334,2))&lt;1,ROUND(AW334*(1+'Calc base'!K335),2),MAX('Calc base'!F$12,ROUND('Calc base'!F$13*AW334,2))))</f>
        <v>0</v>
      </c>
      <c r="N335">
        <f>IF(AX334&lt;=0,0,IF(ROUND(AX334*(1+'Calc base'!L335),2)-MAX('Calc base'!G$12,ROUND('Calc base'!G$13*AX334,2))&lt;1,ROUND(AX334*(1+'Calc base'!L335),2),MAX('Calc base'!G$12,ROUND('Calc base'!G$13*AX334,2))))</f>
        <v>0</v>
      </c>
      <c r="O335">
        <f>IF(AY334&lt;=0,0,IF(ROUND(AY334*(1+'Calc base'!M335),2)-MAX('Calc base'!H$12,ROUND('Calc base'!H$13*AY334,2))&lt;1,ROUND(AY334*(1+'Calc base'!M335),2),MAX('Calc base'!H$12,ROUND('Calc base'!H$13*AY334,2))))</f>
        <v>0</v>
      </c>
      <c r="P335">
        <f>IF(AZ334&lt;=0,0,IF(ROUND(AZ334*(1+'Calc base'!N335),2)-MAX('Calc base'!I$12,ROUND('Calc base'!I$13*AZ334,2))&lt;1,ROUND(AZ334*(1+'Calc base'!N335),2),MAX('Calc base'!I$12,ROUND('Calc base'!I$13*AZ334,2))))</f>
        <v>0</v>
      </c>
      <c r="Q335">
        <f>IF(BA334&lt;=0,0,IF(ROUND(BA334*(1+'Calc base'!O335),2)-MAX('Calc base'!J$12,ROUND('Calc base'!J$13*BA334,2))&lt;1,ROUND(BA334*(1+'Calc base'!O335),2),MAX('Calc base'!J$12,ROUND('Calc base'!J$13*BA334,2))))</f>
        <v>0</v>
      </c>
      <c r="R335">
        <f>IF(BB334&lt;=0,0,IF(ROUND(BB334*(1+'Calc base'!P335),2)-MAX('Calc base'!K$12,ROUND('Calc base'!K$13*BB334,2))&lt;1,ROUND(BB334*(1+'Calc base'!P335),2),MAX('Calc base'!K$12,ROUND('Calc base'!K$13*BB334,2))))</f>
        <v>0</v>
      </c>
      <c r="S335">
        <f>IF(BC334&lt;=0,0,IF(ROUND(BC334*(1+'Calc base'!Q335),2)-MAX('Calc base'!L$12,ROUND('Calc base'!L$13*BC334,2))&lt;1,ROUND(BC334*(1+'Calc base'!Q335),2),MAX('Calc base'!L$12,ROUND('Calc base'!L$13*BC334,2))))</f>
        <v>0</v>
      </c>
      <c r="T335">
        <f>IF(BD334&lt;=0,0,IF(ROUND(BD334*(1+'Calc base'!R335),2)-MAX('Calc base'!M$12,ROUND('Calc base'!M$13*BD334,2))&lt;1,ROUND(BD334*(1+'Calc base'!R335),2),MAX('Calc base'!M$12,ROUND('Calc base'!M$13*BD334,2))))</f>
        <v>0</v>
      </c>
      <c r="U335">
        <f>IF(BE334&lt;=0,0,IF(ROUND(BE334*(1+'Calc base'!S335),2)-MAX('Calc base'!N$12,ROUND('Calc base'!N$13*BE334,2))&lt;1,ROUND(BE334*(1+'Calc base'!S335),2),MAX('Calc base'!N$12,ROUND('Calc base'!N$13*BE334,2))))</f>
        <v>0</v>
      </c>
      <c r="V335">
        <f>MAX(0,ROUND(AT334*(1+'Calc base'!H335),2)-J335-'Calc base'!T335)</f>
        <v>0</v>
      </c>
      <c r="W335">
        <f>MAX(0,ROUND(AU334*(1+'Calc base'!I335),2)-K335-'Calc base'!U335)</f>
        <v>0</v>
      </c>
      <c r="X335">
        <f>MAX(0,ROUND(AV334*(1+'Calc base'!J335),2)-L335-'Calc base'!V335)</f>
        <v>0</v>
      </c>
      <c r="Y335">
        <f>MAX(0,ROUND(AW334*(1+'Calc base'!K335),2)-M335-'Calc base'!W335)</f>
        <v>0</v>
      </c>
      <c r="Z335">
        <f>MAX(0,ROUND(AX334*(1+'Calc base'!L335),2)-N335-'Calc base'!X335)</f>
        <v>0</v>
      </c>
      <c r="AA335">
        <f>MAX(0,ROUND(AY334*(1+'Calc base'!M335),2)-O335-'Calc base'!Y335)</f>
        <v>0</v>
      </c>
      <c r="AB335">
        <f>MAX(0,ROUND(AZ334*(1+'Calc base'!N335),2)-P335-'Calc base'!Z335)</f>
        <v>0</v>
      </c>
      <c r="AC335">
        <f>MAX(0,ROUND(BA334*(1+'Calc base'!O335),2)-Q335-'Calc base'!AA335)</f>
        <v>0</v>
      </c>
      <c r="AD335">
        <f>MAX(0,ROUND(BB334*(1+'Calc base'!P335),2)-R335-'Calc base'!AB335)</f>
        <v>0</v>
      </c>
      <c r="AE335">
        <f>MAX(0,ROUND(BC334*(1+'Calc base'!Q335),2)-S335-'Calc base'!AC335)</f>
        <v>0</v>
      </c>
      <c r="AF335">
        <f>MAX(0,ROUND(BD334*(1+'Calc base'!R335),2)-T335-'Calc base'!AD335)</f>
        <v>0</v>
      </c>
      <c r="AG335">
        <f>MAX(0,ROUND(BE334*(1+'Calc base'!S335),2)-U335-'Calc base'!AE335)</f>
        <v>0</v>
      </c>
      <c r="AH335">
        <f>IF('Calc base'!C$14=0,0,MIN(V335,MAX(0,$E335-SUMIFS($V335:$AG335,'Calc base'!$C$17:$N$17,"&lt;"&amp;'Calc base'!C$17,'Calc base'!$C$14:$N$14,1))))</f>
        <v>0</v>
      </c>
      <c r="AI335">
        <f>IF('Calc base'!D$14=0,0,MIN(W335,MAX(0,$E335-SUMIFS($V335:$AG335,'Calc base'!$C$17:$N$17,"&lt;"&amp;'Calc base'!D$17,'Calc base'!$C$14:$N$14,1))))</f>
        <v>0</v>
      </c>
      <c r="AJ335">
        <f>IF('Calc base'!E$14=0,0,MIN(X335,MAX(0,$E335-SUMIFS($V335:$AG335,'Calc base'!$C$17:$N$17,"&lt;"&amp;'Calc base'!E$17,'Calc base'!$C$14:$N$14,1))))</f>
        <v>0</v>
      </c>
      <c r="AK335">
        <f>IF('Calc base'!F$14=0,0,MIN(Y335,MAX(0,$E335-SUMIFS($V335:$AG335,'Calc base'!$C$17:$N$17,"&lt;"&amp;'Calc base'!F$17,'Calc base'!$C$14:$N$14,1))))</f>
        <v>0</v>
      </c>
      <c r="AL335">
        <f>IF('Calc base'!G$14=0,0,MIN(Z335,MAX(0,$E335-SUMIFS($V335:$AG335,'Calc base'!$C$17:$N$17,"&lt;"&amp;'Calc base'!G$17,'Calc base'!$C$14:$N$14,1))))</f>
        <v>0</v>
      </c>
      <c r="AM335">
        <f>IF('Calc base'!H$14=0,0,MIN(AA335,MAX(0,$E335-SUMIFS($V335:$AG335,'Calc base'!$C$17:$N$17,"&lt;"&amp;'Calc base'!H$17,'Calc base'!$C$14:$N$14,1))))</f>
        <v>0</v>
      </c>
      <c r="AN335">
        <f>IF('Calc base'!I$14=0,0,MIN(AB335,MAX(0,$E335-SUMIFS($V335:$AG335,'Calc base'!$C$17:$N$17,"&lt;"&amp;'Calc base'!I$17,'Calc base'!$C$14:$N$14,1))))</f>
        <v>0</v>
      </c>
      <c r="AO335">
        <f>IF('Calc base'!J$14=0,0,MIN(AC335,MAX(0,$E335-SUMIFS($V335:$AG335,'Calc base'!$C$17:$N$17,"&lt;"&amp;'Calc base'!J$17,'Calc base'!$C$14:$N$14,1))))</f>
        <v>0</v>
      </c>
      <c r="AP335">
        <f>IF('Calc base'!K$14=0,0,MIN(AD335,MAX(0,$E335-SUMIFS($V335:$AG335,'Calc base'!$C$17:$N$17,"&lt;"&amp;'Calc base'!K$17,'Calc base'!$C$14:$N$14,1))))</f>
        <v>0</v>
      </c>
      <c r="AQ335">
        <f>IF('Calc base'!L$14=0,0,MIN(AE335,MAX(0,$E335-SUMIFS($V335:$AG335,'Calc base'!$C$17:$N$17,"&lt;"&amp;'Calc base'!L$17,'Calc base'!$C$14:$N$14,1))))</f>
        <v>0</v>
      </c>
      <c r="AR335">
        <f>IF('Calc base'!M$14=0,0,MIN(AF335,MAX(0,$E335-SUMIFS($V335:$AG335,'Calc base'!$C$17:$N$17,"&lt;"&amp;'Calc base'!M$17,'Calc base'!$C$14:$N$14,1))))</f>
        <v>0</v>
      </c>
      <c r="AS335">
        <f>IF('Calc base'!N$14=0,0,MIN(AG335,MAX(0,$E335-SUMIFS($V335:$AG335,'Calc base'!$C$17:$N$17,"&lt;"&amp;'Calc base'!N$17,'Calc base'!$C$14:$N$14,1))))</f>
        <v>0</v>
      </c>
      <c r="AT335">
        <f>V335-AH335</f>
        <v>0</v>
      </c>
      <c r="AU335">
        <f>W335-AI335</f>
        <v>0</v>
      </c>
      <c r="AV335">
        <f>X335-AJ335</f>
        <v>0</v>
      </c>
      <c r="AW335">
        <f>Y335-AK335</f>
        <v>0</v>
      </c>
      <c r="AX335">
        <f>Z335-AL335</f>
        <v>0</v>
      </c>
      <c r="AY335">
        <f>AA335-AM335</f>
        <v>0</v>
      </c>
      <c r="AZ335">
        <f>AB335-AN335</f>
        <v>0</v>
      </c>
      <c r="BA335">
        <f>AC335-AO335</f>
        <v>0</v>
      </c>
      <c r="BB335">
        <f>AD335-AP335</f>
        <v>0</v>
      </c>
      <c r="BC335">
        <f>AE335-AQ335</f>
        <v>0</v>
      </c>
      <c r="BD335">
        <f>AF335-AR335</f>
        <v>0</v>
      </c>
      <c r="BE335">
        <f>AG335-AS335</f>
        <v>0</v>
      </c>
    </row>
    <row r="336">
      <c r="A336" t="n">
        <v>306</v>
      </c>
      <c r="B336">
        <f>SUMPRODUCT(ROUND($AT335:$BE335*(1+'Calc base'!$H336:$S336),2))</f>
        <v>0</v>
      </c>
      <c r="C336">
        <f>SUM(J336:U336)</f>
        <v>0</v>
      </c>
      <c r="D336">
        <f>SUM(V336:AG336)</f>
        <v>0</v>
      </c>
      <c r="E336">
        <f>MAX(0,IF(Impostazioni!$B$7="No",'Calc base'!$C336-$C$31,'Calc base'!$C336-C336)+'Calc base'!$G336+'Calc base'!$F336-(B336-C336-D336))</f>
        <v>900</v>
      </c>
      <c r="F336">
        <f>SUM(AH336:AS336)</f>
        <v>0</v>
      </c>
      <c r="G336">
        <f>SUM(AT336:BE336)</f>
        <v>0</v>
      </c>
      <c r="H336">
        <f>B336-G335</f>
        <v>0</v>
      </c>
      <c r="I336">
        <f>B336-G336</f>
        <v>0</v>
      </c>
      <c r="J336">
        <f>IF(AT335&lt;=0,0,IF(ROUND(AT335*(1+'Calc base'!H336),2)-MAX('Calc base'!C$12,ROUND('Calc base'!C$13*AT335,2))&lt;1,ROUND(AT335*(1+'Calc base'!H336),2),MAX('Calc base'!C$12,ROUND('Calc base'!C$13*AT335,2))))</f>
        <v>0</v>
      </c>
      <c r="K336">
        <f>IF(AU335&lt;=0,0,IF(ROUND(AU335*(1+'Calc base'!I336),2)-MAX('Calc base'!D$12,ROUND('Calc base'!D$13*AU335,2))&lt;1,ROUND(AU335*(1+'Calc base'!I336),2),MAX('Calc base'!D$12,ROUND('Calc base'!D$13*AU335,2))))</f>
        <v>0</v>
      </c>
      <c r="L336">
        <f>IF(AV335&lt;=0,0,IF(ROUND(AV335*(1+'Calc base'!J336),2)-MAX('Calc base'!E$12,ROUND('Calc base'!E$13*AV335,2))&lt;1,ROUND(AV335*(1+'Calc base'!J336),2),MAX('Calc base'!E$12,ROUND('Calc base'!E$13*AV335,2))))</f>
        <v>0</v>
      </c>
      <c r="M336">
        <f>IF(AW335&lt;=0,0,IF(ROUND(AW335*(1+'Calc base'!K336),2)-MAX('Calc base'!F$12,ROUND('Calc base'!F$13*AW335,2))&lt;1,ROUND(AW335*(1+'Calc base'!K336),2),MAX('Calc base'!F$12,ROUND('Calc base'!F$13*AW335,2))))</f>
        <v>0</v>
      </c>
      <c r="N336">
        <f>IF(AX335&lt;=0,0,IF(ROUND(AX335*(1+'Calc base'!L336),2)-MAX('Calc base'!G$12,ROUND('Calc base'!G$13*AX335,2))&lt;1,ROUND(AX335*(1+'Calc base'!L336),2),MAX('Calc base'!G$12,ROUND('Calc base'!G$13*AX335,2))))</f>
        <v>0</v>
      </c>
      <c r="O336">
        <f>IF(AY335&lt;=0,0,IF(ROUND(AY335*(1+'Calc base'!M336),2)-MAX('Calc base'!H$12,ROUND('Calc base'!H$13*AY335,2))&lt;1,ROUND(AY335*(1+'Calc base'!M336),2),MAX('Calc base'!H$12,ROUND('Calc base'!H$13*AY335,2))))</f>
        <v>0</v>
      </c>
      <c r="P336">
        <f>IF(AZ335&lt;=0,0,IF(ROUND(AZ335*(1+'Calc base'!N336),2)-MAX('Calc base'!I$12,ROUND('Calc base'!I$13*AZ335,2))&lt;1,ROUND(AZ335*(1+'Calc base'!N336),2),MAX('Calc base'!I$12,ROUND('Calc base'!I$13*AZ335,2))))</f>
        <v>0</v>
      </c>
      <c r="Q336">
        <f>IF(BA335&lt;=0,0,IF(ROUND(BA335*(1+'Calc base'!O336),2)-MAX('Calc base'!J$12,ROUND('Calc base'!J$13*BA335,2))&lt;1,ROUND(BA335*(1+'Calc base'!O336),2),MAX('Calc base'!J$12,ROUND('Calc base'!J$13*BA335,2))))</f>
        <v>0</v>
      </c>
      <c r="R336">
        <f>IF(BB335&lt;=0,0,IF(ROUND(BB335*(1+'Calc base'!P336),2)-MAX('Calc base'!K$12,ROUND('Calc base'!K$13*BB335,2))&lt;1,ROUND(BB335*(1+'Calc base'!P336),2),MAX('Calc base'!K$12,ROUND('Calc base'!K$13*BB335,2))))</f>
        <v>0</v>
      </c>
      <c r="S336">
        <f>IF(BC335&lt;=0,0,IF(ROUND(BC335*(1+'Calc base'!Q336),2)-MAX('Calc base'!L$12,ROUND('Calc base'!L$13*BC335,2))&lt;1,ROUND(BC335*(1+'Calc base'!Q336),2),MAX('Calc base'!L$12,ROUND('Calc base'!L$13*BC335,2))))</f>
        <v>0</v>
      </c>
      <c r="T336">
        <f>IF(BD335&lt;=0,0,IF(ROUND(BD335*(1+'Calc base'!R336),2)-MAX('Calc base'!M$12,ROUND('Calc base'!M$13*BD335,2))&lt;1,ROUND(BD335*(1+'Calc base'!R336),2),MAX('Calc base'!M$12,ROUND('Calc base'!M$13*BD335,2))))</f>
        <v>0</v>
      </c>
      <c r="U336">
        <f>IF(BE335&lt;=0,0,IF(ROUND(BE335*(1+'Calc base'!S336),2)-MAX('Calc base'!N$12,ROUND('Calc base'!N$13*BE335,2))&lt;1,ROUND(BE335*(1+'Calc base'!S336),2),MAX('Calc base'!N$12,ROUND('Calc base'!N$13*BE335,2))))</f>
        <v>0</v>
      </c>
      <c r="V336">
        <f>MAX(0,ROUND(AT335*(1+'Calc base'!H336),2)-J336-'Calc base'!T336)</f>
        <v>0</v>
      </c>
      <c r="W336">
        <f>MAX(0,ROUND(AU335*(1+'Calc base'!I336),2)-K336-'Calc base'!U336)</f>
        <v>0</v>
      </c>
      <c r="X336">
        <f>MAX(0,ROUND(AV335*(1+'Calc base'!J336),2)-L336-'Calc base'!V336)</f>
        <v>0</v>
      </c>
      <c r="Y336">
        <f>MAX(0,ROUND(AW335*(1+'Calc base'!K336),2)-M336-'Calc base'!W336)</f>
        <v>0</v>
      </c>
      <c r="Z336">
        <f>MAX(0,ROUND(AX335*(1+'Calc base'!L336),2)-N336-'Calc base'!X336)</f>
        <v>0</v>
      </c>
      <c r="AA336">
        <f>MAX(0,ROUND(AY335*(1+'Calc base'!M336),2)-O336-'Calc base'!Y336)</f>
        <v>0</v>
      </c>
      <c r="AB336">
        <f>MAX(0,ROUND(AZ335*(1+'Calc base'!N336),2)-P336-'Calc base'!Z336)</f>
        <v>0</v>
      </c>
      <c r="AC336">
        <f>MAX(0,ROUND(BA335*(1+'Calc base'!O336),2)-Q336-'Calc base'!AA336)</f>
        <v>0</v>
      </c>
      <c r="AD336">
        <f>MAX(0,ROUND(BB335*(1+'Calc base'!P336),2)-R336-'Calc base'!AB336)</f>
        <v>0</v>
      </c>
      <c r="AE336">
        <f>MAX(0,ROUND(BC335*(1+'Calc base'!Q336),2)-S336-'Calc base'!AC336)</f>
        <v>0</v>
      </c>
      <c r="AF336">
        <f>MAX(0,ROUND(BD335*(1+'Calc base'!R336),2)-T336-'Calc base'!AD336)</f>
        <v>0</v>
      </c>
      <c r="AG336">
        <f>MAX(0,ROUND(BE335*(1+'Calc base'!S336),2)-U336-'Calc base'!AE336)</f>
        <v>0</v>
      </c>
      <c r="AH336">
        <f>IF('Calc base'!C$14=0,0,MIN(V336,MAX(0,$E336-SUMIFS($V336:$AG336,'Calc base'!$C$17:$N$17,"&lt;"&amp;'Calc base'!C$17,'Calc base'!$C$14:$N$14,1))))</f>
        <v>0</v>
      </c>
      <c r="AI336">
        <f>IF('Calc base'!D$14=0,0,MIN(W336,MAX(0,$E336-SUMIFS($V336:$AG336,'Calc base'!$C$17:$N$17,"&lt;"&amp;'Calc base'!D$17,'Calc base'!$C$14:$N$14,1))))</f>
        <v>0</v>
      </c>
      <c r="AJ336">
        <f>IF('Calc base'!E$14=0,0,MIN(X336,MAX(0,$E336-SUMIFS($V336:$AG336,'Calc base'!$C$17:$N$17,"&lt;"&amp;'Calc base'!E$17,'Calc base'!$C$14:$N$14,1))))</f>
        <v>0</v>
      </c>
      <c r="AK336">
        <f>IF('Calc base'!F$14=0,0,MIN(Y336,MAX(0,$E336-SUMIFS($V336:$AG336,'Calc base'!$C$17:$N$17,"&lt;"&amp;'Calc base'!F$17,'Calc base'!$C$14:$N$14,1))))</f>
        <v>0</v>
      </c>
      <c r="AL336">
        <f>IF('Calc base'!G$14=0,0,MIN(Z336,MAX(0,$E336-SUMIFS($V336:$AG336,'Calc base'!$C$17:$N$17,"&lt;"&amp;'Calc base'!G$17,'Calc base'!$C$14:$N$14,1))))</f>
        <v>0</v>
      </c>
      <c r="AM336">
        <f>IF('Calc base'!H$14=0,0,MIN(AA336,MAX(0,$E336-SUMIFS($V336:$AG336,'Calc base'!$C$17:$N$17,"&lt;"&amp;'Calc base'!H$17,'Calc base'!$C$14:$N$14,1))))</f>
        <v>0</v>
      </c>
      <c r="AN336">
        <f>IF('Calc base'!I$14=0,0,MIN(AB336,MAX(0,$E336-SUMIFS($V336:$AG336,'Calc base'!$C$17:$N$17,"&lt;"&amp;'Calc base'!I$17,'Calc base'!$C$14:$N$14,1))))</f>
        <v>0</v>
      </c>
      <c r="AO336">
        <f>IF('Calc base'!J$14=0,0,MIN(AC336,MAX(0,$E336-SUMIFS($V336:$AG336,'Calc base'!$C$17:$N$17,"&lt;"&amp;'Calc base'!J$17,'Calc base'!$C$14:$N$14,1))))</f>
        <v>0</v>
      </c>
      <c r="AP336">
        <f>IF('Calc base'!K$14=0,0,MIN(AD336,MAX(0,$E336-SUMIFS($V336:$AG336,'Calc base'!$C$17:$N$17,"&lt;"&amp;'Calc base'!K$17,'Calc base'!$C$14:$N$14,1))))</f>
        <v>0</v>
      </c>
      <c r="AQ336">
        <f>IF('Calc base'!L$14=0,0,MIN(AE336,MAX(0,$E336-SUMIFS($V336:$AG336,'Calc base'!$C$17:$N$17,"&lt;"&amp;'Calc base'!L$17,'Calc base'!$C$14:$N$14,1))))</f>
        <v>0</v>
      </c>
      <c r="AR336">
        <f>IF('Calc base'!M$14=0,0,MIN(AF336,MAX(0,$E336-SUMIFS($V336:$AG336,'Calc base'!$C$17:$N$17,"&lt;"&amp;'Calc base'!M$17,'Calc base'!$C$14:$N$14,1))))</f>
        <v>0</v>
      </c>
      <c r="AS336">
        <f>IF('Calc base'!N$14=0,0,MIN(AG336,MAX(0,$E336-SUMIFS($V336:$AG336,'Calc base'!$C$17:$N$17,"&lt;"&amp;'Calc base'!N$17,'Calc base'!$C$14:$N$14,1))))</f>
        <v>0</v>
      </c>
      <c r="AT336">
        <f>V336-AH336</f>
        <v>0</v>
      </c>
      <c r="AU336">
        <f>W336-AI336</f>
        <v>0</v>
      </c>
      <c r="AV336">
        <f>X336-AJ336</f>
        <v>0</v>
      </c>
      <c r="AW336">
        <f>Y336-AK336</f>
        <v>0</v>
      </c>
      <c r="AX336">
        <f>Z336-AL336</f>
        <v>0</v>
      </c>
      <c r="AY336">
        <f>AA336-AM336</f>
        <v>0</v>
      </c>
      <c r="AZ336">
        <f>AB336-AN336</f>
        <v>0</v>
      </c>
      <c r="BA336">
        <f>AC336-AO336</f>
        <v>0</v>
      </c>
      <c r="BB336">
        <f>AD336-AP336</f>
        <v>0</v>
      </c>
      <c r="BC336">
        <f>AE336-AQ336</f>
        <v>0</v>
      </c>
      <c r="BD336">
        <f>AF336-AR336</f>
        <v>0</v>
      </c>
      <c r="BE336">
        <f>AG336-AS336</f>
        <v>0</v>
      </c>
    </row>
    <row r="337">
      <c r="A337" t="n">
        <v>307</v>
      </c>
      <c r="B337">
        <f>SUMPRODUCT(ROUND($AT336:$BE336*(1+'Calc base'!$H337:$S337),2))</f>
        <v>0</v>
      </c>
      <c r="C337">
        <f>SUM(J337:U337)</f>
        <v>0</v>
      </c>
      <c r="D337">
        <f>SUM(V337:AG337)</f>
        <v>0</v>
      </c>
      <c r="E337">
        <f>MAX(0,IF(Impostazioni!$B$7="No",'Calc base'!$C337-$C$31,'Calc base'!$C337-C337)+'Calc base'!$G337+'Calc base'!$F337-(B337-C337-D337))</f>
        <v>900</v>
      </c>
      <c r="F337">
        <f>SUM(AH337:AS337)</f>
        <v>0</v>
      </c>
      <c r="G337">
        <f>SUM(AT337:BE337)</f>
        <v>0</v>
      </c>
      <c r="H337">
        <f>B337-G336</f>
        <v>0</v>
      </c>
      <c r="I337">
        <f>B337-G337</f>
        <v>0</v>
      </c>
      <c r="J337">
        <f>IF(AT336&lt;=0,0,IF(ROUND(AT336*(1+'Calc base'!H337),2)-MAX('Calc base'!C$12,ROUND('Calc base'!C$13*AT336,2))&lt;1,ROUND(AT336*(1+'Calc base'!H337),2),MAX('Calc base'!C$12,ROUND('Calc base'!C$13*AT336,2))))</f>
        <v>0</v>
      </c>
      <c r="K337">
        <f>IF(AU336&lt;=0,0,IF(ROUND(AU336*(1+'Calc base'!I337),2)-MAX('Calc base'!D$12,ROUND('Calc base'!D$13*AU336,2))&lt;1,ROUND(AU336*(1+'Calc base'!I337),2),MAX('Calc base'!D$12,ROUND('Calc base'!D$13*AU336,2))))</f>
        <v>0</v>
      </c>
      <c r="L337">
        <f>IF(AV336&lt;=0,0,IF(ROUND(AV336*(1+'Calc base'!J337),2)-MAX('Calc base'!E$12,ROUND('Calc base'!E$13*AV336,2))&lt;1,ROUND(AV336*(1+'Calc base'!J337),2),MAX('Calc base'!E$12,ROUND('Calc base'!E$13*AV336,2))))</f>
        <v>0</v>
      </c>
      <c r="M337">
        <f>IF(AW336&lt;=0,0,IF(ROUND(AW336*(1+'Calc base'!K337),2)-MAX('Calc base'!F$12,ROUND('Calc base'!F$13*AW336,2))&lt;1,ROUND(AW336*(1+'Calc base'!K337),2),MAX('Calc base'!F$12,ROUND('Calc base'!F$13*AW336,2))))</f>
        <v>0</v>
      </c>
      <c r="N337">
        <f>IF(AX336&lt;=0,0,IF(ROUND(AX336*(1+'Calc base'!L337),2)-MAX('Calc base'!G$12,ROUND('Calc base'!G$13*AX336,2))&lt;1,ROUND(AX336*(1+'Calc base'!L337),2),MAX('Calc base'!G$12,ROUND('Calc base'!G$13*AX336,2))))</f>
        <v>0</v>
      </c>
      <c r="O337">
        <f>IF(AY336&lt;=0,0,IF(ROUND(AY336*(1+'Calc base'!M337),2)-MAX('Calc base'!H$12,ROUND('Calc base'!H$13*AY336,2))&lt;1,ROUND(AY336*(1+'Calc base'!M337),2),MAX('Calc base'!H$12,ROUND('Calc base'!H$13*AY336,2))))</f>
        <v>0</v>
      </c>
      <c r="P337">
        <f>IF(AZ336&lt;=0,0,IF(ROUND(AZ336*(1+'Calc base'!N337),2)-MAX('Calc base'!I$12,ROUND('Calc base'!I$13*AZ336,2))&lt;1,ROUND(AZ336*(1+'Calc base'!N337),2),MAX('Calc base'!I$12,ROUND('Calc base'!I$13*AZ336,2))))</f>
        <v>0</v>
      </c>
      <c r="Q337">
        <f>IF(BA336&lt;=0,0,IF(ROUND(BA336*(1+'Calc base'!O337),2)-MAX('Calc base'!J$12,ROUND('Calc base'!J$13*BA336,2))&lt;1,ROUND(BA336*(1+'Calc base'!O337),2),MAX('Calc base'!J$12,ROUND('Calc base'!J$13*BA336,2))))</f>
        <v>0</v>
      </c>
      <c r="R337">
        <f>IF(BB336&lt;=0,0,IF(ROUND(BB336*(1+'Calc base'!P337),2)-MAX('Calc base'!K$12,ROUND('Calc base'!K$13*BB336,2))&lt;1,ROUND(BB336*(1+'Calc base'!P337),2),MAX('Calc base'!K$12,ROUND('Calc base'!K$13*BB336,2))))</f>
        <v>0</v>
      </c>
      <c r="S337">
        <f>IF(BC336&lt;=0,0,IF(ROUND(BC336*(1+'Calc base'!Q337),2)-MAX('Calc base'!L$12,ROUND('Calc base'!L$13*BC336,2))&lt;1,ROUND(BC336*(1+'Calc base'!Q337),2),MAX('Calc base'!L$12,ROUND('Calc base'!L$13*BC336,2))))</f>
        <v>0</v>
      </c>
      <c r="T337">
        <f>IF(BD336&lt;=0,0,IF(ROUND(BD336*(1+'Calc base'!R337),2)-MAX('Calc base'!M$12,ROUND('Calc base'!M$13*BD336,2))&lt;1,ROUND(BD336*(1+'Calc base'!R337),2),MAX('Calc base'!M$12,ROUND('Calc base'!M$13*BD336,2))))</f>
        <v>0</v>
      </c>
      <c r="U337">
        <f>IF(BE336&lt;=0,0,IF(ROUND(BE336*(1+'Calc base'!S337),2)-MAX('Calc base'!N$12,ROUND('Calc base'!N$13*BE336,2))&lt;1,ROUND(BE336*(1+'Calc base'!S337),2),MAX('Calc base'!N$12,ROUND('Calc base'!N$13*BE336,2))))</f>
        <v>0</v>
      </c>
      <c r="V337">
        <f>MAX(0,ROUND(AT336*(1+'Calc base'!H337),2)-J337-'Calc base'!T337)</f>
        <v>0</v>
      </c>
      <c r="W337">
        <f>MAX(0,ROUND(AU336*(1+'Calc base'!I337),2)-K337-'Calc base'!U337)</f>
        <v>0</v>
      </c>
      <c r="X337">
        <f>MAX(0,ROUND(AV336*(1+'Calc base'!J337),2)-L337-'Calc base'!V337)</f>
        <v>0</v>
      </c>
      <c r="Y337">
        <f>MAX(0,ROUND(AW336*(1+'Calc base'!K337),2)-M337-'Calc base'!W337)</f>
        <v>0</v>
      </c>
      <c r="Z337">
        <f>MAX(0,ROUND(AX336*(1+'Calc base'!L337),2)-N337-'Calc base'!X337)</f>
        <v>0</v>
      </c>
      <c r="AA337">
        <f>MAX(0,ROUND(AY336*(1+'Calc base'!M337),2)-O337-'Calc base'!Y337)</f>
        <v>0</v>
      </c>
      <c r="AB337">
        <f>MAX(0,ROUND(AZ336*(1+'Calc base'!N337),2)-P337-'Calc base'!Z337)</f>
        <v>0</v>
      </c>
      <c r="AC337">
        <f>MAX(0,ROUND(BA336*(1+'Calc base'!O337),2)-Q337-'Calc base'!AA337)</f>
        <v>0</v>
      </c>
      <c r="AD337">
        <f>MAX(0,ROUND(BB336*(1+'Calc base'!P337),2)-R337-'Calc base'!AB337)</f>
        <v>0</v>
      </c>
      <c r="AE337">
        <f>MAX(0,ROUND(BC336*(1+'Calc base'!Q337),2)-S337-'Calc base'!AC337)</f>
        <v>0</v>
      </c>
      <c r="AF337">
        <f>MAX(0,ROUND(BD336*(1+'Calc base'!R337),2)-T337-'Calc base'!AD337)</f>
        <v>0</v>
      </c>
      <c r="AG337">
        <f>MAX(0,ROUND(BE336*(1+'Calc base'!S337),2)-U337-'Calc base'!AE337)</f>
        <v>0</v>
      </c>
      <c r="AH337">
        <f>IF('Calc base'!C$14=0,0,MIN(V337,MAX(0,$E337-SUMIFS($V337:$AG337,'Calc base'!$C$17:$N$17,"&lt;"&amp;'Calc base'!C$17,'Calc base'!$C$14:$N$14,1))))</f>
        <v>0</v>
      </c>
      <c r="AI337">
        <f>IF('Calc base'!D$14=0,0,MIN(W337,MAX(0,$E337-SUMIFS($V337:$AG337,'Calc base'!$C$17:$N$17,"&lt;"&amp;'Calc base'!D$17,'Calc base'!$C$14:$N$14,1))))</f>
        <v>0</v>
      </c>
      <c r="AJ337">
        <f>IF('Calc base'!E$14=0,0,MIN(X337,MAX(0,$E337-SUMIFS($V337:$AG337,'Calc base'!$C$17:$N$17,"&lt;"&amp;'Calc base'!E$17,'Calc base'!$C$14:$N$14,1))))</f>
        <v>0</v>
      </c>
      <c r="AK337">
        <f>IF('Calc base'!F$14=0,0,MIN(Y337,MAX(0,$E337-SUMIFS($V337:$AG337,'Calc base'!$C$17:$N$17,"&lt;"&amp;'Calc base'!F$17,'Calc base'!$C$14:$N$14,1))))</f>
        <v>0</v>
      </c>
      <c r="AL337">
        <f>IF('Calc base'!G$14=0,0,MIN(Z337,MAX(0,$E337-SUMIFS($V337:$AG337,'Calc base'!$C$17:$N$17,"&lt;"&amp;'Calc base'!G$17,'Calc base'!$C$14:$N$14,1))))</f>
        <v>0</v>
      </c>
      <c r="AM337">
        <f>IF('Calc base'!H$14=0,0,MIN(AA337,MAX(0,$E337-SUMIFS($V337:$AG337,'Calc base'!$C$17:$N$17,"&lt;"&amp;'Calc base'!H$17,'Calc base'!$C$14:$N$14,1))))</f>
        <v>0</v>
      </c>
      <c r="AN337">
        <f>IF('Calc base'!I$14=0,0,MIN(AB337,MAX(0,$E337-SUMIFS($V337:$AG337,'Calc base'!$C$17:$N$17,"&lt;"&amp;'Calc base'!I$17,'Calc base'!$C$14:$N$14,1))))</f>
        <v>0</v>
      </c>
      <c r="AO337">
        <f>IF('Calc base'!J$14=0,0,MIN(AC337,MAX(0,$E337-SUMIFS($V337:$AG337,'Calc base'!$C$17:$N$17,"&lt;"&amp;'Calc base'!J$17,'Calc base'!$C$14:$N$14,1))))</f>
        <v>0</v>
      </c>
      <c r="AP337">
        <f>IF('Calc base'!K$14=0,0,MIN(AD337,MAX(0,$E337-SUMIFS($V337:$AG337,'Calc base'!$C$17:$N$17,"&lt;"&amp;'Calc base'!K$17,'Calc base'!$C$14:$N$14,1))))</f>
        <v>0</v>
      </c>
      <c r="AQ337">
        <f>IF('Calc base'!L$14=0,0,MIN(AE337,MAX(0,$E337-SUMIFS($V337:$AG337,'Calc base'!$C$17:$N$17,"&lt;"&amp;'Calc base'!L$17,'Calc base'!$C$14:$N$14,1))))</f>
        <v>0</v>
      </c>
      <c r="AR337">
        <f>IF('Calc base'!M$14=0,0,MIN(AF337,MAX(0,$E337-SUMIFS($V337:$AG337,'Calc base'!$C$17:$N$17,"&lt;"&amp;'Calc base'!M$17,'Calc base'!$C$14:$N$14,1))))</f>
        <v>0</v>
      </c>
      <c r="AS337">
        <f>IF('Calc base'!N$14=0,0,MIN(AG337,MAX(0,$E337-SUMIFS($V337:$AG337,'Calc base'!$C$17:$N$17,"&lt;"&amp;'Calc base'!N$17,'Calc base'!$C$14:$N$14,1))))</f>
        <v>0</v>
      </c>
      <c r="AT337">
        <f>V337-AH337</f>
        <v>0</v>
      </c>
      <c r="AU337">
        <f>W337-AI337</f>
        <v>0</v>
      </c>
      <c r="AV337">
        <f>X337-AJ337</f>
        <v>0</v>
      </c>
      <c r="AW337">
        <f>Y337-AK337</f>
        <v>0</v>
      </c>
      <c r="AX337">
        <f>Z337-AL337</f>
        <v>0</v>
      </c>
      <c r="AY337">
        <f>AA337-AM337</f>
        <v>0</v>
      </c>
      <c r="AZ337">
        <f>AB337-AN337</f>
        <v>0</v>
      </c>
      <c r="BA337">
        <f>AC337-AO337</f>
        <v>0</v>
      </c>
      <c r="BB337">
        <f>AD337-AP337</f>
        <v>0</v>
      </c>
      <c r="BC337">
        <f>AE337-AQ337</f>
        <v>0</v>
      </c>
      <c r="BD337">
        <f>AF337-AR337</f>
        <v>0</v>
      </c>
      <c r="BE337">
        <f>AG337-AS337</f>
        <v>0</v>
      </c>
    </row>
    <row r="338">
      <c r="A338" t="n">
        <v>308</v>
      </c>
      <c r="B338">
        <f>SUMPRODUCT(ROUND($AT337:$BE337*(1+'Calc base'!$H338:$S338),2))</f>
        <v>0</v>
      </c>
      <c r="C338">
        <f>SUM(J338:U338)</f>
        <v>0</v>
      </c>
      <c r="D338">
        <f>SUM(V338:AG338)</f>
        <v>0</v>
      </c>
      <c r="E338">
        <f>MAX(0,IF(Impostazioni!$B$7="No",'Calc base'!$C338-$C$31,'Calc base'!$C338-C338)+'Calc base'!$G338+'Calc base'!$F338-(B338-C338-D338))</f>
        <v>900</v>
      </c>
      <c r="F338">
        <f>SUM(AH338:AS338)</f>
        <v>0</v>
      </c>
      <c r="G338">
        <f>SUM(AT338:BE338)</f>
        <v>0</v>
      </c>
      <c r="H338">
        <f>B338-G337</f>
        <v>0</v>
      </c>
      <c r="I338">
        <f>B338-G338</f>
        <v>0</v>
      </c>
      <c r="J338">
        <f>IF(AT337&lt;=0,0,IF(ROUND(AT337*(1+'Calc base'!H338),2)-MAX('Calc base'!C$12,ROUND('Calc base'!C$13*AT337,2))&lt;1,ROUND(AT337*(1+'Calc base'!H338),2),MAX('Calc base'!C$12,ROUND('Calc base'!C$13*AT337,2))))</f>
        <v>0</v>
      </c>
      <c r="K338">
        <f>IF(AU337&lt;=0,0,IF(ROUND(AU337*(1+'Calc base'!I338),2)-MAX('Calc base'!D$12,ROUND('Calc base'!D$13*AU337,2))&lt;1,ROUND(AU337*(1+'Calc base'!I338),2),MAX('Calc base'!D$12,ROUND('Calc base'!D$13*AU337,2))))</f>
        <v>0</v>
      </c>
      <c r="L338">
        <f>IF(AV337&lt;=0,0,IF(ROUND(AV337*(1+'Calc base'!J338),2)-MAX('Calc base'!E$12,ROUND('Calc base'!E$13*AV337,2))&lt;1,ROUND(AV337*(1+'Calc base'!J338),2),MAX('Calc base'!E$12,ROUND('Calc base'!E$13*AV337,2))))</f>
        <v>0</v>
      </c>
      <c r="M338">
        <f>IF(AW337&lt;=0,0,IF(ROUND(AW337*(1+'Calc base'!K338),2)-MAX('Calc base'!F$12,ROUND('Calc base'!F$13*AW337,2))&lt;1,ROUND(AW337*(1+'Calc base'!K338),2),MAX('Calc base'!F$12,ROUND('Calc base'!F$13*AW337,2))))</f>
        <v>0</v>
      </c>
      <c r="N338">
        <f>IF(AX337&lt;=0,0,IF(ROUND(AX337*(1+'Calc base'!L338),2)-MAX('Calc base'!G$12,ROUND('Calc base'!G$13*AX337,2))&lt;1,ROUND(AX337*(1+'Calc base'!L338),2),MAX('Calc base'!G$12,ROUND('Calc base'!G$13*AX337,2))))</f>
        <v>0</v>
      </c>
      <c r="O338">
        <f>IF(AY337&lt;=0,0,IF(ROUND(AY337*(1+'Calc base'!M338),2)-MAX('Calc base'!H$12,ROUND('Calc base'!H$13*AY337,2))&lt;1,ROUND(AY337*(1+'Calc base'!M338),2),MAX('Calc base'!H$12,ROUND('Calc base'!H$13*AY337,2))))</f>
        <v>0</v>
      </c>
      <c r="P338">
        <f>IF(AZ337&lt;=0,0,IF(ROUND(AZ337*(1+'Calc base'!N338),2)-MAX('Calc base'!I$12,ROUND('Calc base'!I$13*AZ337,2))&lt;1,ROUND(AZ337*(1+'Calc base'!N338),2),MAX('Calc base'!I$12,ROUND('Calc base'!I$13*AZ337,2))))</f>
        <v>0</v>
      </c>
      <c r="Q338">
        <f>IF(BA337&lt;=0,0,IF(ROUND(BA337*(1+'Calc base'!O338),2)-MAX('Calc base'!J$12,ROUND('Calc base'!J$13*BA337,2))&lt;1,ROUND(BA337*(1+'Calc base'!O338),2),MAX('Calc base'!J$12,ROUND('Calc base'!J$13*BA337,2))))</f>
        <v>0</v>
      </c>
      <c r="R338">
        <f>IF(BB337&lt;=0,0,IF(ROUND(BB337*(1+'Calc base'!P338),2)-MAX('Calc base'!K$12,ROUND('Calc base'!K$13*BB337,2))&lt;1,ROUND(BB337*(1+'Calc base'!P338),2),MAX('Calc base'!K$12,ROUND('Calc base'!K$13*BB337,2))))</f>
        <v>0</v>
      </c>
      <c r="S338">
        <f>IF(BC337&lt;=0,0,IF(ROUND(BC337*(1+'Calc base'!Q338),2)-MAX('Calc base'!L$12,ROUND('Calc base'!L$13*BC337,2))&lt;1,ROUND(BC337*(1+'Calc base'!Q338),2),MAX('Calc base'!L$12,ROUND('Calc base'!L$13*BC337,2))))</f>
        <v>0</v>
      </c>
      <c r="T338">
        <f>IF(BD337&lt;=0,0,IF(ROUND(BD337*(1+'Calc base'!R338),2)-MAX('Calc base'!M$12,ROUND('Calc base'!M$13*BD337,2))&lt;1,ROUND(BD337*(1+'Calc base'!R338),2),MAX('Calc base'!M$12,ROUND('Calc base'!M$13*BD337,2))))</f>
        <v>0</v>
      </c>
      <c r="U338">
        <f>IF(BE337&lt;=0,0,IF(ROUND(BE337*(1+'Calc base'!S338),2)-MAX('Calc base'!N$12,ROUND('Calc base'!N$13*BE337,2))&lt;1,ROUND(BE337*(1+'Calc base'!S338),2),MAX('Calc base'!N$12,ROUND('Calc base'!N$13*BE337,2))))</f>
        <v>0</v>
      </c>
      <c r="V338">
        <f>MAX(0,ROUND(AT337*(1+'Calc base'!H338),2)-J338-'Calc base'!T338)</f>
        <v>0</v>
      </c>
      <c r="W338">
        <f>MAX(0,ROUND(AU337*(1+'Calc base'!I338),2)-K338-'Calc base'!U338)</f>
        <v>0</v>
      </c>
      <c r="X338">
        <f>MAX(0,ROUND(AV337*(1+'Calc base'!J338),2)-L338-'Calc base'!V338)</f>
        <v>0</v>
      </c>
      <c r="Y338">
        <f>MAX(0,ROUND(AW337*(1+'Calc base'!K338),2)-M338-'Calc base'!W338)</f>
        <v>0</v>
      </c>
      <c r="Z338">
        <f>MAX(0,ROUND(AX337*(1+'Calc base'!L338),2)-N338-'Calc base'!X338)</f>
        <v>0</v>
      </c>
      <c r="AA338">
        <f>MAX(0,ROUND(AY337*(1+'Calc base'!M338),2)-O338-'Calc base'!Y338)</f>
        <v>0</v>
      </c>
      <c r="AB338">
        <f>MAX(0,ROUND(AZ337*(1+'Calc base'!N338),2)-P338-'Calc base'!Z338)</f>
        <v>0</v>
      </c>
      <c r="AC338">
        <f>MAX(0,ROUND(BA337*(1+'Calc base'!O338),2)-Q338-'Calc base'!AA338)</f>
        <v>0</v>
      </c>
      <c r="AD338">
        <f>MAX(0,ROUND(BB337*(1+'Calc base'!P338),2)-R338-'Calc base'!AB338)</f>
        <v>0</v>
      </c>
      <c r="AE338">
        <f>MAX(0,ROUND(BC337*(1+'Calc base'!Q338),2)-S338-'Calc base'!AC338)</f>
        <v>0</v>
      </c>
      <c r="AF338">
        <f>MAX(0,ROUND(BD337*(1+'Calc base'!R338),2)-T338-'Calc base'!AD338)</f>
        <v>0</v>
      </c>
      <c r="AG338">
        <f>MAX(0,ROUND(BE337*(1+'Calc base'!S338),2)-U338-'Calc base'!AE338)</f>
        <v>0</v>
      </c>
      <c r="AH338">
        <f>IF('Calc base'!C$14=0,0,MIN(V338,MAX(0,$E338-SUMIFS($V338:$AG338,'Calc base'!$C$17:$N$17,"&lt;"&amp;'Calc base'!C$17,'Calc base'!$C$14:$N$14,1))))</f>
        <v>0</v>
      </c>
      <c r="AI338">
        <f>IF('Calc base'!D$14=0,0,MIN(W338,MAX(0,$E338-SUMIFS($V338:$AG338,'Calc base'!$C$17:$N$17,"&lt;"&amp;'Calc base'!D$17,'Calc base'!$C$14:$N$14,1))))</f>
        <v>0</v>
      </c>
      <c r="AJ338">
        <f>IF('Calc base'!E$14=0,0,MIN(X338,MAX(0,$E338-SUMIFS($V338:$AG338,'Calc base'!$C$17:$N$17,"&lt;"&amp;'Calc base'!E$17,'Calc base'!$C$14:$N$14,1))))</f>
        <v>0</v>
      </c>
      <c r="AK338">
        <f>IF('Calc base'!F$14=0,0,MIN(Y338,MAX(0,$E338-SUMIFS($V338:$AG338,'Calc base'!$C$17:$N$17,"&lt;"&amp;'Calc base'!F$17,'Calc base'!$C$14:$N$14,1))))</f>
        <v>0</v>
      </c>
      <c r="AL338">
        <f>IF('Calc base'!G$14=0,0,MIN(Z338,MAX(0,$E338-SUMIFS($V338:$AG338,'Calc base'!$C$17:$N$17,"&lt;"&amp;'Calc base'!G$17,'Calc base'!$C$14:$N$14,1))))</f>
        <v>0</v>
      </c>
      <c r="AM338">
        <f>IF('Calc base'!H$14=0,0,MIN(AA338,MAX(0,$E338-SUMIFS($V338:$AG338,'Calc base'!$C$17:$N$17,"&lt;"&amp;'Calc base'!H$17,'Calc base'!$C$14:$N$14,1))))</f>
        <v>0</v>
      </c>
      <c r="AN338">
        <f>IF('Calc base'!I$14=0,0,MIN(AB338,MAX(0,$E338-SUMIFS($V338:$AG338,'Calc base'!$C$17:$N$17,"&lt;"&amp;'Calc base'!I$17,'Calc base'!$C$14:$N$14,1))))</f>
        <v>0</v>
      </c>
      <c r="AO338">
        <f>IF('Calc base'!J$14=0,0,MIN(AC338,MAX(0,$E338-SUMIFS($V338:$AG338,'Calc base'!$C$17:$N$17,"&lt;"&amp;'Calc base'!J$17,'Calc base'!$C$14:$N$14,1))))</f>
        <v>0</v>
      </c>
      <c r="AP338">
        <f>IF('Calc base'!K$14=0,0,MIN(AD338,MAX(0,$E338-SUMIFS($V338:$AG338,'Calc base'!$C$17:$N$17,"&lt;"&amp;'Calc base'!K$17,'Calc base'!$C$14:$N$14,1))))</f>
        <v>0</v>
      </c>
      <c r="AQ338">
        <f>IF('Calc base'!L$14=0,0,MIN(AE338,MAX(0,$E338-SUMIFS($V338:$AG338,'Calc base'!$C$17:$N$17,"&lt;"&amp;'Calc base'!L$17,'Calc base'!$C$14:$N$14,1))))</f>
        <v>0</v>
      </c>
      <c r="AR338">
        <f>IF('Calc base'!M$14=0,0,MIN(AF338,MAX(0,$E338-SUMIFS($V338:$AG338,'Calc base'!$C$17:$N$17,"&lt;"&amp;'Calc base'!M$17,'Calc base'!$C$14:$N$14,1))))</f>
        <v>0</v>
      </c>
      <c r="AS338">
        <f>IF('Calc base'!N$14=0,0,MIN(AG338,MAX(0,$E338-SUMIFS($V338:$AG338,'Calc base'!$C$17:$N$17,"&lt;"&amp;'Calc base'!N$17,'Calc base'!$C$14:$N$14,1))))</f>
        <v>0</v>
      </c>
      <c r="AT338">
        <f>V338-AH338</f>
        <v>0</v>
      </c>
      <c r="AU338">
        <f>W338-AI338</f>
        <v>0</v>
      </c>
      <c r="AV338">
        <f>X338-AJ338</f>
        <v>0</v>
      </c>
      <c r="AW338">
        <f>Y338-AK338</f>
        <v>0</v>
      </c>
      <c r="AX338">
        <f>Z338-AL338</f>
        <v>0</v>
      </c>
      <c r="AY338">
        <f>AA338-AM338</f>
        <v>0</v>
      </c>
      <c r="AZ338">
        <f>AB338-AN338</f>
        <v>0</v>
      </c>
      <c r="BA338">
        <f>AC338-AO338</f>
        <v>0</v>
      </c>
      <c r="BB338">
        <f>AD338-AP338</f>
        <v>0</v>
      </c>
      <c r="BC338">
        <f>AE338-AQ338</f>
        <v>0</v>
      </c>
      <c r="BD338">
        <f>AF338-AR338</f>
        <v>0</v>
      </c>
      <c r="BE338">
        <f>AG338-AS338</f>
        <v>0</v>
      </c>
    </row>
    <row r="339">
      <c r="A339" t="n">
        <v>309</v>
      </c>
      <c r="B339">
        <f>SUMPRODUCT(ROUND($AT338:$BE338*(1+'Calc base'!$H339:$S339),2))</f>
        <v>0</v>
      </c>
      <c r="C339">
        <f>SUM(J339:U339)</f>
        <v>0</v>
      </c>
      <c r="D339">
        <f>SUM(V339:AG339)</f>
        <v>0</v>
      </c>
      <c r="E339">
        <f>MAX(0,IF(Impostazioni!$B$7="No",'Calc base'!$C339-$C$31,'Calc base'!$C339-C339)+'Calc base'!$G339+'Calc base'!$F339-(B339-C339-D339))</f>
        <v>900</v>
      </c>
      <c r="F339">
        <f>SUM(AH339:AS339)</f>
        <v>0</v>
      </c>
      <c r="G339">
        <f>SUM(AT339:BE339)</f>
        <v>0</v>
      </c>
      <c r="H339">
        <f>B339-G338</f>
        <v>0</v>
      </c>
      <c r="I339">
        <f>B339-G339</f>
        <v>0</v>
      </c>
      <c r="J339">
        <f>IF(AT338&lt;=0,0,IF(ROUND(AT338*(1+'Calc base'!H339),2)-MAX('Calc base'!C$12,ROUND('Calc base'!C$13*AT338,2))&lt;1,ROUND(AT338*(1+'Calc base'!H339),2),MAX('Calc base'!C$12,ROUND('Calc base'!C$13*AT338,2))))</f>
        <v>0</v>
      </c>
      <c r="K339">
        <f>IF(AU338&lt;=0,0,IF(ROUND(AU338*(1+'Calc base'!I339),2)-MAX('Calc base'!D$12,ROUND('Calc base'!D$13*AU338,2))&lt;1,ROUND(AU338*(1+'Calc base'!I339),2),MAX('Calc base'!D$12,ROUND('Calc base'!D$13*AU338,2))))</f>
        <v>0</v>
      </c>
      <c r="L339">
        <f>IF(AV338&lt;=0,0,IF(ROUND(AV338*(1+'Calc base'!J339),2)-MAX('Calc base'!E$12,ROUND('Calc base'!E$13*AV338,2))&lt;1,ROUND(AV338*(1+'Calc base'!J339),2),MAX('Calc base'!E$12,ROUND('Calc base'!E$13*AV338,2))))</f>
        <v>0</v>
      </c>
      <c r="M339">
        <f>IF(AW338&lt;=0,0,IF(ROUND(AW338*(1+'Calc base'!K339),2)-MAX('Calc base'!F$12,ROUND('Calc base'!F$13*AW338,2))&lt;1,ROUND(AW338*(1+'Calc base'!K339),2),MAX('Calc base'!F$12,ROUND('Calc base'!F$13*AW338,2))))</f>
        <v>0</v>
      </c>
      <c r="N339">
        <f>IF(AX338&lt;=0,0,IF(ROUND(AX338*(1+'Calc base'!L339),2)-MAX('Calc base'!G$12,ROUND('Calc base'!G$13*AX338,2))&lt;1,ROUND(AX338*(1+'Calc base'!L339),2),MAX('Calc base'!G$12,ROUND('Calc base'!G$13*AX338,2))))</f>
        <v>0</v>
      </c>
      <c r="O339">
        <f>IF(AY338&lt;=0,0,IF(ROUND(AY338*(1+'Calc base'!M339),2)-MAX('Calc base'!H$12,ROUND('Calc base'!H$13*AY338,2))&lt;1,ROUND(AY338*(1+'Calc base'!M339),2),MAX('Calc base'!H$12,ROUND('Calc base'!H$13*AY338,2))))</f>
        <v>0</v>
      </c>
      <c r="P339">
        <f>IF(AZ338&lt;=0,0,IF(ROUND(AZ338*(1+'Calc base'!N339),2)-MAX('Calc base'!I$12,ROUND('Calc base'!I$13*AZ338,2))&lt;1,ROUND(AZ338*(1+'Calc base'!N339),2),MAX('Calc base'!I$12,ROUND('Calc base'!I$13*AZ338,2))))</f>
        <v>0</v>
      </c>
      <c r="Q339">
        <f>IF(BA338&lt;=0,0,IF(ROUND(BA338*(1+'Calc base'!O339),2)-MAX('Calc base'!J$12,ROUND('Calc base'!J$13*BA338,2))&lt;1,ROUND(BA338*(1+'Calc base'!O339),2),MAX('Calc base'!J$12,ROUND('Calc base'!J$13*BA338,2))))</f>
        <v>0</v>
      </c>
      <c r="R339">
        <f>IF(BB338&lt;=0,0,IF(ROUND(BB338*(1+'Calc base'!P339),2)-MAX('Calc base'!K$12,ROUND('Calc base'!K$13*BB338,2))&lt;1,ROUND(BB338*(1+'Calc base'!P339),2),MAX('Calc base'!K$12,ROUND('Calc base'!K$13*BB338,2))))</f>
        <v>0</v>
      </c>
      <c r="S339">
        <f>IF(BC338&lt;=0,0,IF(ROUND(BC338*(1+'Calc base'!Q339),2)-MAX('Calc base'!L$12,ROUND('Calc base'!L$13*BC338,2))&lt;1,ROUND(BC338*(1+'Calc base'!Q339),2),MAX('Calc base'!L$12,ROUND('Calc base'!L$13*BC338,2))))</f>
        <v>0</v>
      </c>
      <c r="T339">
        <f>IF(BD338&lt;=0,0,IF(ROUND(BD338*(1+'Calc base'!R339),2)-MAX('Calc base'!M$12,ROUND('Calc base'!M$13*BD338,2))&lt;1,ROUND(BD338*(1+'Calc base'!R339),2),MAX('Calc base'!M$12,ROUND('Calc base'!M$13*BD338,2))))</f>
        <v>0</v>
      </c>
      <c r="U339">
        <f>IF(BE338&lt;=0,0,IF(ROUND(BE338*(1+'Calc base'!S339),2)-MAX('Calc base'!N$12,ROUND('Calc base'!N$13*BE338,2))&lt;1,ROUND(BE338*(1+'Calc base'!S339),2),MAX('Calc base'!N$12,ROUND('Calc base'!N$13*BE338,2))))</f>
        <v>0</v>
      </c>
      <c r="V339">
        <f>MAX(0,ROUND(AT338*(1+'Calc base'!H339),2)-J339-'Calc base'!T339)</f>
        <v>0</v>
      </c>
      <c r="W339">
        <f>MAX(0,ROUND(AU338*(1+'Calc base'!I339),2)-K339-'Calc base'!U339)</f>
        <v>0</v>
      </c>
      <c r="X339">
        <f>MAX(0,ROUND(AV338*(1+'Calc base'!J339),2)-L339-'Calc base'!V339)</f>
        <v>0</v>
      </c>
      <c r="Y339">
        <f>MAX(0,ROUND(AW338*(1+'Calc base'!K339),2)-M339-'Calc base'!W339)</f>
        <v>0</v>
      </c>
      <c r="Z339">
        <f>MAX(0,ROUND(AX338*(1+'Calc base'!L339),2)-N339-'Calc base'!X339)</f>
        <v>0</v>
      </c>
      <c r="AA339">
        <f>MAX(0,ROUND(AY338*(1+'Calc base'!M339),2)-O339-'Calc base'!Y339)</f>
        <v>0</v>
      </c>
      <c r="AB339">
        <f>MAX(0,ROUND(AZ338*(1+'Calc base'!N339),2)-P339-'Calc base'!Z339)</f>
        <v>0</v>
      </c>
      <c r="AC339">
        <f>MAX(0,ROUND(BA338*(1+'Calc base'!O339),2)-Q339-'Calc base'!AA339)</f>
        <v>0</v>
      </c>
      <c r="AD339">
        <f>MAX(0,ROUND(BB338*(1+'Calc base'!P339),2)-R339-'Calc base'!AB339)</f>
        <v>0</v>
      </c>
      <c r="AE339">
        <f>MAX(0,ROUND(BC338*(1+'Calc base'!Q339),2)-S339-'Calc base'!AC339)</f>
        <v>0</v>
      </c>
      <c r="AF339">
        <f>MAX(0,ROUND(BD338*(1+'Calc base'!R339),2)-T339-'Calc base'!AD339)</f>
        <v>0</v>
      </c>
      <c r="AG339">
        <f>MAX(0,ROUND(BE338*(1+'Calc base'!S339),2)-U339-'Calc base'!AE339)</f>
        <v>0</v>
      </c>
      <c r="AH339">
        <f>IF('Calc base'!C$14=0,0,MIN(V339,MAX(0,$E339-SUMIFS($V339:$AG339,'Calc base'!$C$17:$N$17,"&lt;"&amp;'Calc base'!C$17,'Calc base'!$C$14:$N$14,1))))</f>
        <v>0</v>
      </c>
      <c r="AI339">
        <f>IF('Calc base'!D$14=0,0,MIN(W339,MAX(0,$E339-SUMIFS($V339:$AG339,'Calc base'!$C$17:$N$17,"&lt;"&amp;'Calc base'!D$17,'Calc base'!$C$14:$N$14,1))))</f>
        <v>0</v>
      </c>
      <c r="AJ339">
        <f>IF('Calc base'!E$14=0,0,MIN(X339,MAX(0,$E339-SUMIFS($V339:$AG339,'Calc base'!$C$17:$N$17,"&lt;"&amp;'Calc base'!E$17,'Calc base'!$C$14:$N$14,1))))</f>
        <v>0</v>
      </c>
      <c r="AK339">
        <f>IF('Calc base'!F$14=0,0,MIN(Y339,MAX(0,$E339-SUMIFS($V339:$AG339,'Calc base'!$C$17:$N$17,"&lt;"&amp;'Calc base'!F$17,'Calc base'!$C$14:$N$14,1))))</f>
        <v>0</v>
      </c>
      <c r="AL339">
        <f>IF('Calc base'!G$14=0,0,MIN(Z339,MAX(0,$E339-SUMIFS($V339:$AG339,'Calc base'!$C$17:$N$17,"&lt;"&amp;'Calc base'!G$17,'Calc base'!$C$14:$N$14,1))))</f>
        <v>0</v>
      </c>
      <c r="AM339">
        <f>IF('Calc base'!H$14=0,0,MIN(AA339,MAX(0,$E339-SUMIFS($V339:$AG339,'Calc base'!$C$17:$N$17,"&lt;"&amp;'Calc base'!H$17,'Calc base'!$C$14:$N$14,1))))</f>
        <v>0</v>
      </c>
      <c r="AN339">
        <f>IF('Calc base'!I$14=0,0,MIN(AB339,MAX(0,$E339-SUMIFS($V339:$AG339,'Calc base'!$C$17:$N$17,"&lt;"&amp;'Calc base'!I$17,'Calc base'!$C$14:$N$14,1))))</f>
        <v>0</v>
      </c>
      <c r="AO339">
        <f>IF('Calc base'!J$14=0,0,MIN(AC339,MAX(0,$E339-SUMIFS($V339:$AG339,'Calc base'!$C$17:$N$17,"&lt;"&amp;'Calc base'!J$17,'Calc base'!$C$14:$N$14,1))))</f>
        <v>0</v>
      </c>
      <c r="AP339">
        <f>IF('Calc base'!K$14=0,0,MIN(AD339,MAX(0,$E339-SUMIFS($V339:$AG339,'Calc base'!$C$17:$N$17,"&lt;"&amp;'Calc base'!K$17,'Calc base'!$C$14:$N$14,1))))</f>
        <v>0</v>
      </c>
      <c r="AQ339">
        <f>IF('Calc base'!L$14=0,0,MIN(AE339,MAX(0,$E339-SUMIFS($V339:$AG339,'Calc base'!$C$17:$N$17,"&lt;"&amp;'Calc base'!L$17,'Calc base'!$C$14:$N$14,1))))</f>
        <v>0</v>
      </c>
      <c r="AR339">
        <f>IF('Calc base'!M$14=0,0,MIN(AF339,MAX(0,$E339-SUMIFS($V339:$AG339,'Calc base'!$C$17:$N$17,"&lt;"&amp;'Calc base'!M$17,'Calc base'!$C$14:$N$14,1))))</f>
        <v>0</v>
      </c>
      <c r="AS339">
        <f>IF('Calc base'!N$14=0,0,MIN(AG339,MAX(0,$E339-SUMIFS($V339:$AG339,'Calc base'!$C$17:$N$17,"&lt;"&amp;'Calc base'!N$17,'Calc base'!$C$14:$N$14,1))))</f>
        <v>0</v>
      </c>
      <c r="AT339">
        <f>V339-AH339</f>
        <v>0</v>
      </c>
      <c r="AU339">
        <f>W339-AI339</f>
        <v>0</v>
      </c>
      <c r="AV339">
        <f>X339-AJ339</f>
        <v>0</v>
      </c>
      <c r="AW339">
        <f>Y339-AK339</f>
        <v>0</v>
      </c>
      <c r="AX339">
        <f>Z339-AL339</f>
        <v>0</v>
      </c>
      <c r="AY339">
        <f>AA339-AM339</f>
        <v>0</v>
      </c>
      <c r="AZ339">
        <f>AB339-AN339</f>
        <v>0</v>
      </c>
      <c r="BA339">
        <f>AC339-AO339</f>
        <v>0</v>
      </c>
      <c r="BB339">
        <f>AD339-AP339</f>
        <v>0</v>
      </c>
      <c r="BC339">
        <f>AE339-AQ339</f>
        <v>0</v>
      </c>
      <c r="BD339">
        <f>AF339-AR339</f>
        <v>0</v>
      </c>
      <c r="BE339">
        <f>AG339-AS339</f>
        <v>0</v>
      </c>
    </row>
    <row r="340">
      <c r="A340" t="n">
        <v>310</v>
      </c>
      <c r="B340">
        <f>SUMPRODUCT(ROUND($AT339:$BE339*(1+'Calc base'!$H340:$S340),2))</f>
        <v>0</v>
      </c>
      <c r="C340">
        <f>SUM(J340:U340)</f>
        <v>0</v>
      </c>
      <c r="D340">
        <f>SUM(V340:AG340)</f>
        <v>0</v>
      </c>
      <c r="E340">
        <f>MAX(0,IF(Impostazioni!$B$7="No",'Calc base'!$C340-$C$31,'Calc base'!$C340-C340)+'Calc base'!$G340+'Calc base'!$F340-(B340-C340-D340))</f>
        <v>900</v>
      </c>
      <c r="F340">
        <f>SUM(AH340:AS340)</f>
        <v>0</v>
      </c>
      <c r="G340">
        <f>SUM(AT340:BE340)</f>
        <v>0</v>
      </c>
      <c r="H340">
        <f>B340-G339</f>
        <v>0</v>
      </c>
      <c r="I340">
        <f>B340-G340</f>
        <v>0</v>
      </c>
      <c r="J340">
        <f>IF(AT339&lt;=0,0,IF(ROUND(AT339*(1+'Calc base'!H340),2)-MAX('Calc base'!C$12,ROUND('Calc base'!C$13*AT339,2))&lt;1,ROUND(AT339*(1+'Calc base'!H340),2),MAX('Calc base'!C$12,ROUND('Calc base'!C$13*AT339,2))))</f>
        <v>0</v>
      </c>
      <c r="K340">
        <f>IF(AU339&lt;=0,0,IF(ROUND(AU339*(1+'Calc base'!I340),2)-MAX('Calc base'!D$12,ROUND('Calc base'!D$13*AU339,2))&lt;1,ROUND(AU339*(1+'Calc base'!I340),2),MAX('Calc base'!D$12,ROUND('Calc base'!D$13*AU339,2))))</f>
        <v>0</v>
      </c>
      <c r="L340">
        <f>IF(AV339&lt;=0,0,IF(ROUND(AV339*(1+'Calc base'!J340),2)-MAX('Calc base'!E$12,ROUND('Calc base'!E$13*AV339,2))&lt;1,ROUND(AV339*(1+'Calc base'!J340),2),MAX('Calc base'!E$12,ROUND('Calc base'!E$13*AV339,2))))</f>
        <v>0</v>
      </c>
      <c r="M340">
        <f>IF(AW339&lt;=0,0,IF(ROUND(AW339*(1+'Calc base'!K340),2)-MAX('Calc base'!F$12,ROUND('Calc base'!F$13*AW339,2))&lt;1,ROUND(AW339*(1+'Calc base'!K340),2),MAX('Calc base'!F$12,ROUND('Calc base'!F$13*AW339,2))))</f>
        <v>0</v>
      </c>
      <c r="N340">
        <f>IF(AX339&lt;=0,0,IF(ROUND(AX339*(1+'Calc base'!L340),2)-MAX('Calc base'!G$12,ROUND('Calc base'!G$13*AX339,2))&lt;1,ROUND(AX339*(1+'Calc base'!L340),2),MAX('Calc base'!G$12,ROUND('Calc base'!G$13*AX339,2))))</f>
        <v>0</v>
      </c>
      <c r="O340">
        <f>IF(AY339&lt;=0,0,IF(ROUND(AY339*(1+'Calc base'!M340),2)-MAX('Calc base'!H$12,ROUND('Calc base'!H$13*AY339,2))&lt;1,ROUND(AY339*(1+'Calc base'!M340),2),MAX('Calc base'!H$12,ROUND('Calc base'!H$13*AY339,2))))</f>
        <v>0</v>
      </c>
      <c r="P340">
        <f>IF(AZ339&lt;=0,0,IF(ROUND(AZ339*(1+'Calc base'!N340),2)-MAX('Calc base'!I$12,ROUND('Calc base'!I$13*AZ339,2))&lt;1,ROUND(AZ339*(1+'Calc base'!N340),2),MAX('Calc base'!I$12,ROUND('Calc base'!I$13*AZ339,2))))</f>
        <v>0</v>
      </c>
      <c r="Q340">
        <f>IF(BA339&lt;=0,0,IF(ROUND(BA339*(1+'Calc base'!O340),2)-MAX('Calc base'!J$12,ROUND('Calc base'!J$13*BA339,2))&lt;1,ROUND(BA339*(1+'Calc base'!O340),2),MAX('Calc base'!J$12,ROUND('Calc base'!J$13*BA339,2))))</f>
        <v>0</v>
      </c>
      <c r="R340">
        <f>IF(BB339&lt;=0,0,IF(ROUND(BB339*(1+'Calc base'!P340),2)-MAX('Calc base'!K$12,ROUND('Calc base'!K$13*BB339,2))&lt;1,ROUND(BB339*(1+'Calc base'!P340),2),MAX('Calc base'!K$12,ROUND('Calc base'!K$13*BB339,2))))</f>
        <v>0</v>
      </c>
      <c r="S340">
        <f>IF(BC339&lt;=0,0,IF(ROUND(BC339*(1+'Calc base'!Q340),2)-MAX('Calc base'!L$12,ROUND('Calc base'!L$13*BC339,2))&lt;1,ROUND(BC339*(1+'Calc base'!Q340),2),MAX('Calc base'!L$12,ROUND('Calc base'!L$13*BC339,2))))</f>
        <v>0</v>
      </c>
      <c r="T340">
        <f>IF(BD339&lt;=0,0,IF(ROUND(BD339*(1+'Calc base'!R340),2)-MAX('Calc base'!M$12,ROUND('Calc base'!M$13*BD339,2))&lt;1,ROUND(BD339*(1+'Calc base'!R340),2),MAX('Calc base'!M$12,ROUND('Calc base'!M$13*BD339,2))))</f>
        <v>0</v>
      </c>
      <c r="U340">
        <f>IF(BE339&lt;=0,0,IF(ROUND(BE339*(1+'Calc base'!S340),2)-MAX('Calc base'!N$12,ROUND('Calc base'!N$13*BE339,2))&lt;1,ROUND(BE339*(1+'Calc base'!S340),2),MAX('Calc base'!N$12,ROUND('Calc base'!N$13*BE339,2))))</f>
        <v>0</v>
      </c>
      <c r="V340">
        <f>MAX(0,ROUND(AT339*(1+'Calc base'!H340),2)-J340-'Calc base'!T340)</f>
        <v>0</v>
      </c>
      <c r="W340">
        <f>MAX(0,ROUND(AU339*(1+'Calc base'!I340),2)-K340-'Calc base'!U340)</f>
        <v>0</v>
      </c>
      <c r="X340">
        <f>MAX(0,ROUND(AV339*(1+'Calc base'!J340),2)-L340-'Calc base'!V340)</f>
        <v>0</v>
      </c>
      <c r="Y340">
        <f>MAX(0,ROUND(AW339*(1+'Calc base'!K340),2)-M340-'Calc base'!W340)</f>
        <v>0</v>
      </c>
      <c r="Z340">
        <f>MAX(0,ROUND(AX339*(1+'Calc base'!L340),2)-N340-'Calc base'!X340)</f>
        <v>0</v>
      </c>
      <c r="AA340">
        <f>MAX(0,ROUND(AY339*(1+'Calc base'!M340),2)-O340-'Calc base'!Y340)</f>
        <v>0</v>
      </c>
      <c r="AB340">
        <f>MAX(0,ROUND(AZ339*(1+'Calc base'!N340),2)-P340-'Calc base'!Z340)</f>
        <v>0</v>
      </c>
      <c r="AC340">
        <f>MAX(0,ROUND(BA339*(1+'Calc base'!O340),2)-Q340-'Calc base'!AA340)</f>
        <v>0</v>
      </c>
      <c r="AD340">
        <f>MAX(0,ROUND(BB339*(1+'Calc base'!P340),2)-R340-'Calc base'!AB340)</f>
        <v>0</v>
      </c>
      <c r="AE340">
        <f>MAX(0,ROUND(BC339*(1+'Calc base'!Q340),2)-S340-'Calc base'!AC340)</f>
        <v>0</v>
      </c>
      <c r="AF340">
        <f>MAX(0,ROUND(BD339*(1+'Calc base'!R340),2)-T340-'Calc base'!AD340)</f>
        <v>0</v>
      </c>
      <c r="AG340">
        <f>MAX(0,ROUND(BE339*(1+'Calc base'!S340),2)-U340-'Calc base'!AE340)</f>
        <v>0</v>
      </c>
      <c r="AH340">
        <f>IF('Calc base'!C$14=0,0,MIN(V340,MAX(0,$E340-SUMIFS($V340:$AG340,'Calc base'!$C$17:$N$17,"&lt;"&amp;'Calc base'!C$17,'Calc base'!$C$14:$N$14,1))))</f>
        <v>0</v>
      </c>
      <c r="AI340">
        <f>IF('Calc base'!D$14=0,0,MIN(W340,MAX(0,$E340-SUMIFS($V340:$AG340,'Calc base'!$C$17:$N$17,"&lt;"&amp;'Calc base'!D$17,'Calc base'!$C$14:$N$14,1))))</f>
        <v>0</v>
      </c>
      <c r="AJ340">
        <f>IF('Calc base'!E$14=0,0,MIN(X340,MAX(0,$E340-SUMIFS($V340:$AG340,'Calc base'!$C$17:$N$17,"&lt;"&amp;'Calc base'!E$17,'Calc base'!$C$14:$N$14,1))))</f>
        <v>0</v>
      </c>
      <c r="AK340">
        <f>IF('Calc base'!F$14=0,0,MIN(Y340,MAX(0,$E340-SUMIFS($V340:$AG340,'Calc base'!$C$17:$N$17,"&lt;"&amp;'Calc base'!F$17,'Calc base'!$C$14:$N$14,1))))</f>
        <v>0</v>
      </c>
      <c r="AL340">
        <f>IF('Calc base'!G$14=0,0,MIN(Z340,MAX(0,$E340-SUMIFS($V340:$AG340,'Calc base'!$C$17:$N$17,"&lt;"&amp;'Calc base'!G$17,'Calc base'!$C$14:$N$14,1))))</f>
        <v>0</v>
      </c>
      <c r="AM340">
        <f>IF('Calc base'!H$14=0,0,MIN(AA340,MAX(0,$E340-SUMIFS($V340:$AG340,'Calc base'!$C$17:$N$17,"&lt;"&amp;'Calc base'!H$17,'Calc base'!$C$14:$N$14,1))))</f>
        <v>0</v>
      </c>
      <c r="AN340">
        <f>IF('Calc base'!I$14=0,0,MIN(AB340,MAX(0,$E340-SUMIFS($V340:$AG340,'Calc base'!$C$17:$N$17,"&lt;"&amp;'Calc base'!I$17,'Calc base'!$C$14:$N$14,1))))</f>
        <v>0</v>
      </c>
      <c r="AO340">
        <f>IF('Calc base'!J$14=0,0,MIN(AC340,MAX(0,$E340-SUMIFS($V340:$AG340,'Calc base'!$C$17:$N$17,"&lt;"&amp;'Calc base'!J$17,'Calc base'!$C$14:$N$14,1))))</f>
        <v>0</v>
      </c>
      <c r="AP340">
        <f>IF('Calc base'!K$14=0,0,MIN(AD340,MAX(0,$E340-SUMIFS($V340:$AG340,'Calc base'!$C$17:$N$17,"&lt;"&amp;'Calc base'!K$17,'Calc base'!$C$14:$N$14,1))))</f>
        <v>0</v>
      </c>
      <c r="AQ340">
        <f>IF('Calc base'!L$14=0,0,MIN(AE340,MAX(0,$E340-SUMIFS($V340:$AG340,'Calc base'!$C$17:$N$17,"&lt;"&amp;'Calc base'!L$17,'Calc base'!$C$14:$N$14,1))))</f>
        <v>0</v>
      </c>
      <c r="AR340">
        <f>IF('Calc base'!M$14=0,0,MIN(AF340,MAX(0,$E340-SUMIFS($V340:$AG340,'Calc base'!$C$17:$N$17,"&lt;"&amp;'Calc base'!M$17,'Calc base'!$C$14:$N$14,1))))</f>
        <v>0</v>
      </c>
      <c r="AS340">
        <f>IF('Calc base'!N$14=0,0,MIN(AG340,MAX(0,$E340-SUMIFS($V340:$AG340,'Calc base'!$C$17:$N$17,"&lt;"&amp;'Calc base'!N$17,'Calc base'!$C$14:$N$14,1))))</f>
        <v>0</v>
      </c>
      <c r="AT340">
        <f>V340-AH340</f>
        <v>0</v>
      </c>
      <c r="AU340">
        <f>W340-AI340</f>
        <v>0</v>
      </c>
      <c r="AV340">
        <f>X340-AJ340</f>
        <v>0</v>
      </c>
      <c r="AW340">
        <f>Y340-AK340</f>
        <v>0</v>
      </c>
      <c r="AX340">
        <f>Z340-AL340</f>
        <v>0</v>
      </c>
      <c r="AY340">
        <f>AA340-AM340</f>
        <v>0</v>
      </c>
      <c r="AZ340">
        <f>AB340-AN340</f>
        <v>0</v>
      </c>
      <c r="BA340">
        <f>AC340-AO340</f>
        <v>0</v>
      </c>
      <c r="BB340">
        <f>AD340-AP340</f>
        <v>0</v>
      </c>
      <c r="BC340">
        <f>AE340-AQ340</f>
        <v>0</v>
      </c>
      <c r="BD340">
        <f>AF340-AR340</f>
        <v>0</v>
      </c>
      <c r="BE340">
        <f>AG340-AS340</f>
        <v>0</v>
      </c>
    </row>
    <row r="341">
      <c r="A341" t="n">
        <v>311</v>
      </c>
      <c r="B341">
        <f>SUMPRODUCT(ROUND($AT340:$BE340*(1+'Calc base'!$H341:$S341),2))</f>
        <v>0</v>
      </c>
      <c r="C341">
        <f>SUM(J341:U341)</f>
        <v>0</v>
      </c>
      <c r="D341">
        <f>SUM(V341:AG341)</f>
        <v>0</v>
      </c>
      <c r="E341">
        <f>MAX(0,IF(Impostazioni!$B$7="No",'Calc base'!$C341-$C$31,'Calc base'!$C341-C341)+'Calc base'!$G341+'Calc base'!$F341-(B341-C341-D341))</f>
        <v>900</v>
      </c>
      <c r="F341">
        <f>SUM(AH341:AS341)</f>
        <v>0</v>
      </c>
      <c r="G341">
        <f>SUM(AT341:BE341)</f>
        <v>0</v>
      </c>
      <c r="H341">
        <f>B341-G340</f>
        <v>0</v>
      </c>
      <c r="I341">
        <f>B341-G341</f>
        <v>0</v>
      </c>
      <c r="J341">
        <f>IF(AT340&lt;=0,0,IF(ROUND(AT340*(1+'Calc base'!H341),2)-MAX('Calc base'!C$12,ROUND('Calc base'!C$13*AT340,2))&lt;1,ROUND(AT340*(1+'Calc base'!H341),2),MAX('Calc base'!C$12,ROUND('Calc base'!C$13*AT340,2))))</f>
        <v>0</v>
      </c>
      <c r="K341">
        <f>IF(AU340&lt;=0,0,IF(ROUND(AU340*(1+'Calc base'!I341),2)-MAX('Calc base'!D$12,ROUND('Calc base'!D$13*AU340,2))&lt;1,ROUND(AU340*(1+'Calc base'!I341),2),MAX('Calc base'!D$12,ROUND('Calc base'!D$13*AU340,2))))</f>
        <v>0</v>
      </c>
      <c r="L341">
        <f>IF(AV340&lt;=0,0,IF(ROUND(AV340*(1+'Calc base'!J341),2)-MAX('Calc base'!E$12,ROUND('Calc base'!E$13*AV340,2))&lt;1,ROUND(AV340*(1+'Calc base'!J341),2),MAX('Calc base'!E$12,ROUND('Calc base'!E$13*AV340,2))))</f>
        <v>0</v>
      </c>
      <c r="M341">
        <f>IF(AW340&lt;=0,0,IF(ROUND(AW340*(1+'Calc base'!K341),2)-MAX('Calc base'!F$12,ROUND('Calc base'!F$13*AW340,2))&lt;1,ROUND(AW340*(1+'Calc base'!K341),2),MAX('Calc base'!F$12,ROUND('Calc base'!F$13*AW340,2))))</f>
        <v>0</v>
      </c>
      <c r="N341">
        <f>IF(AX340&lt;=0,0,IF(ROUND(AX340*(1+'Calc base'!L341),2)-MAX('Calc base'!G$12,ROUND('Calc base'!G$13*AX340,2))&lt;1,ROUND(AX340*(1+'Calc base'!L341),2),MAX('Calc base'!G$12,ROUND('Calc base'!G$13*AX340,2))))</f>
        <v>0</v>
      </c>
      <c r="O341">
        <f>IF(AY340&lt;=0,0,IF(ROUND(AY340*(1+'Calc base'!M341),2)-MAX('Calc base'!H$12,ROUND('Calc base'!H$13*AY340,2))&lt;1,ROUND(AY340*(1+'Calc base'!M341),2),MAX('Calc base'!H$12,ROUND('Calc base'!H$13*AY340,2))))</f>
        <v>0</v>
      </c>
      <c r="P341">
        <f>IF(AZ340&lt;=0,0,IF(ROUND(AZ340*(1+'Calc base'!N341),2)-MAX('Calc base'!I$12,ROUND('Calc base'!I$13*AZ340,2))&lt;1,ROUND(AZ340*(1+'Calc base'!N341),2),MAX('Calc base'!I$12,ROUND('Calc base'!I$13*AZ340,2))))</f>
        <v>0</v>
      </c>
      <c r="Q341">
        <f>IF(BA340&lt;=0,0,IF(ROUND(BA340*(1+'Calc base'!O341),2)-MAX('Calc base'!J$12,ROUND('Calc base'!J$13*BA340,2))&lt;1,ROUND(BA340*(1+'Calc base'!O341),2),MAX('Calc base'!J$12,ROUND('Calc base'!J$13*BA340,2))))</f>
        <v>0</v>
      </c>
      <c r="R341">
        <f>IF(BB340&lt;=0,0,IF(ROUND(BB340*(1+'Calc base'!P341),2)-MAX('Calc base'!K$12,ROUND('Calc base'!K$13*BB340,2))&lt;1,ROUND(BB340*(1+'Calc base'!P341),2),MAX('Calc base'!K$12,ROUND('Calc base'!K$13*BB340,2))))</f>
        <v>0</v>
      </c>
      <c r="S341">
        <f>IF(BC340&lt;=0,0,IF(ROUND(BC340*(1+'Calc base'!Q341),2)-MAX('Calc base'!L$12,ROUND('Calc base'!L$13*BC340,2))&lt;1,ROUND(BC340*(1+'Calc base'!Q341),2),MAX('Calc base'!L$12,ROUND('Calc base'!L$13*BC340,2))))</f>
        <v>0</v>
      </c>
      <c r="T341">
        <f>IF(BD340&lt;=0,0,IF(ROUND(BD340*(1+'Calc base'!R341),2)-MAX('Calc base'!M$12,ROUND('Calc base'!M$13*BD340,2))&lt;1,ROUND(BD340*(1+'Calc base'!R341),2),MAX('Calc base'!M$12,ROUND('Calc base'!M$13*BD340,2))))</f>
        <v>0</v>
      </c>
      <c r="U341">
        <f>IF(BE340&lt;=0,0,IF(ROUND(BE340*(1+'Calc base'!S341),2)-MAX('Calc base'!N$12,ROUND('Calc base'!N$13*BE340,2))&lt;1,ROUND(BE340*(1+'Calc base'!S341),2),MAX('Calc base'!N$12,ROUND('Calc base'!N$13*BE340,2))))</f>
        <v>0</v>
      </c>
      <c r="V341">
        <f>MAX(0,ROUND(AT340*(1+'Calc base'!H341),2)-J341-'Calc base'!T341)</f>
        <v>0</v>
      </c>
      <c r="W341">
        <f>MAX(0,ROUND(AU340*(1+'Calc base'!I341),2)-K341-'Calc base'!U341)</f>
        <v>0</v>
      </c>
      <c r="X341">
        <f>MAX(0,ROUND(AV340*(1+'Calc base'!J341),2)-L341-'Calc base'!V341)</f>
        <v>0</v>
      </c>
      <c r="Y341">
        <f>MAX(0,ROUND(AW340*(1+'Calc base'!K341),2)-M341-'Calc base'!W341)</f>
        <v>0</v>
      </c>
      <c r="Z341">
        <f>MAX(0,ROUND(AX340*(1+'Calc base'!L341),2)-N341-'Calc base'!X341)</f>
        <v>0</v>
      </c>
      <c r="AA341">
        <f>MAX(0,ROUND(AY340*(1+'Calc base'!M341),2)-O341-'Calc base'!Y341)</f>
        <v>0</v>
      </c>
      <c r="AB341">
        <f>MAX(0,ROUND(AZ340*(1+'Calc base'!N341),2)-P341-'Calc base'!Z341)</f>
        <v>0</v>
      </c>
      <c r="AC341">
        <f>MAX(0,ROUND(BA340*(1+'Calc base'!O341),2)-Q341-'Calc base'!AA341)</f>
        <v>0</v>
      </c>
      <c r="AD341">
        <f>MAX(0,ROUND(BB340*(1+'Calc base'!P341),2)-R341-'Calc base'!AB341)</f>
        <v>0</v>
      </c>
      <c r="AE341">
        <f>MAX(0,ROUND(BC340*(1+'Calc base'!Q341),2)-S341-'Calc base'!AC341)</f>
        <v>0</v>
      </c>
      <c r="AF341">
        <f>MAX(0,ROUND(BD340*(1+'Calc base'!R341),2)-T341-'Calc base'!AD341)</f>
        <v>0</v>
      </c>
      <c r="AG341">
        <f>MAX(0,ROUND(BE340*(1+'Calc base'!S341),2)-U341-'Calc base'!AE341)</f>
        <v>0</v>
      </c>
      <c r="AH341">
        <f>IF('Calc base'!C$14=0,0,MIN(V341,MAX(0,$E341-SUMIFS($V341:$AG341,'Calc base'!$C$17:$N$17,"&lt;"&amp;'Calc base'!C$17,'Calc base'!$C$14:$N$14,1))))</f>
        <v>0</v>
      </c>
      <c r="AI341">
        <f>IF('Calc base'!D$14=0,0,MIN(W341,MAX(0,$E341-SUMIFS($V341:$AG341,'Calc base'!$C$17:$N$17,"&lt;"&amp;'Calc base'!D$17,'Calc base'!$C$14:$N$14,1))))</f>
        <v>0</v>
      </c>
      <c r="AJ341">
        <f>IF('Calc base'!E$14=0,0,MIN(X341,MAX(0,$E341-SUMIFS($V341:$AG341,'Calc base'!$C$17:$N$17,"&lt;"&amp;'Calc base'!E$17,'Calc base'!$C$14:$N$14,1))))</f>
        <v>0</v>
      </c>
      <c r="AK341">
        <f>IF('Calc base'!F$14=0,0,MIN(Y341,MAX(0,$E341-SUMIFS($V341:$AG341,'Calc base'!$C$17:$N$17,"&lt;"&amp;'Calc base'!F$17,'Calc base'!$C$14:$N$14,1))))</f>
        <v>0</v>
      </c>
      <c r="AL341">
        <f>IF('Calc base'!G$14=0,0,MIN(Z341,MAX(0,$E341-SUMIFS($V341:$AG341,'Calc base'!$C$17:$N$17,"&lt;"&amp;'Calc base'!G$17,'Calc base'!$C$14:$N$14,1))))</f>
        <v>0</v>
      </c>
      <c r="AM341">
        <f>IF('Calc base'!H$14=0,0,MIN(AA341,MAX(0,$E341-SUMIFS($V341:$AG341,'Calc base'!$C$17:$N$17,"&lt;"&amp;'Calc base'!H$17,'Calc base'!$C$14:$N$14,1))))</f>
        <v>0</v>
      </c>
      <c r="AN341">
        <f>IF('Calc base'!I$14=0,0,MIN(AB341,MAX(0,$E341-SUMIFS($V341:$AG341,'Calc base'!$C$17:$N$17,"&lt;"&amp;'Calc base'!I$17,'Calc base'!$C$14:$N$14,1))))</f>
        <v>0</v>
      </c>
      <c r="AO341">
        <f>IF('Calc base'!J$14=0,0,MIN(AC341,MAX(0,$E341-SUMIFS($V341:$AG341,'Calc base'!$C$17:$N$17,"&lt;"&amp;'Calc base'!J$17,'Calc base'!$C$14:$N$14,1))))</f>
        <v>0</v>
      </c>
      <c r="AP341">
        <f>IF('Calc base'!K$14=0,0,MIN(AD341,MAX(0,$E341-SUMIFS($V341:$AG341,'Calc base'!$C$17:$N$17,"&lt;"&amp;'Calc base'!K$17,'Calc base'!$C$14:$N$14,1))))</f>
        <v>0</v>
      </c>
      <c r="AQ341">
        <f>IF('Calc base'!L$14=0,0,MIN(AE341,MAX(0,$E341-SUMIFS($V341:$AG341,'Calc base'!$C$17:$N$17,"&lt;"&amp;'Calc base'!L$17,'Calc base'!$C$14:$N$14,1))))</f>
        <v>0</v>
      </c>
      <c r="AR341">
        <f>IF('Calc base'!M$14=0,0,MIN(AF341,MAX(0,$E341-SUMIFS($V341:$AG341,'Calc base'!$C$17:$N$17,"&lt;"&amp;'Calc base'!M$17,'Calc base'!$C$14:$N$14,1))))</f>
        <v>0</v>
      </c>
      <c r="AS341">
        <f>IF('Calc base'!N$14=0,0,MIN(AG341,MAX(0,$E341-SUMIFS($V341:$AG341,'Calc base'!$C$17:$N$17,"&lt;"&amp;'Calc base'!N$17,'Calc base'!$C$14:$N$14,1))))</f>
        <v>0</v>
      </c>
      <c r="AT341">
        <f>V341-AH341</f>
        <v>0</v>
      </c>
      <c r="AU341">
        <f>W341-AI341</f>
        <v>0</v>
      </c>
      <c r="AV341">
        <f>X341-AJ341</f>
        <v>0</v>
      </c>
      <c r="AW341">
        <f>Y341-AK341</f>
        <v>0</v>
      </c>
      <c r="AX341">
        <f>Z341-AL341</f>
        <v>0</v>
      </c>
      <c r="AY341">
        <f>AA341-AM341</f>
        <v>0</v>
      </c>
      <c r="AZ341">
        <f>AB341-AN341</f>
        <v>0</v>
      </c>
      <c r="BA341">
        <f>AC341-AO341</f>
        <v>0</v>
      </c>
      <c r="BB341">
        <f>AD341-AP341</f>
        <v>0</v>
      </c>
      <c r="BC341">
        <f>AE341-AQ341</f>
        <v>0</v>
      </c>
      <c r="BD341">
        <f>AF341-AR341</f>
        <v>0</v>
      </c>
      <c r="BE341">
        <f>AG341-AS341</f>
        <v>0</v>
      </c>
    </row>
    <row r="342">
      <c r="A342" t="n">
        <v>312</v>
      </c>
      <c r="B342">
        <f>SUMPRODUCT(ROUND($AT341:$BE341*(1+'Calc base'!$H342:$S342),2))</f>
        <v>0</v>
      </c>
      <c r="C342">
        <f>SUM(J342:U342)</f>
        <v>0</v>
      </c>
      <c r="D342">
        <f>SUM(V342:AG342)</f>
        <v>0</v>
      </c>
      <c r="E342">
        <f>MAX(0,IF(Impostazioni!$B$7="No",'Calc base'!$C342-$C$31,'Calc base'!$C342-C342)+'Calc base'!$G342+'Calc base'!$F342-(B342-C342-D342))</f>
        <v>900</v>
      </c>
      <c r="F342">
        <f>SUM(AH342:AS342)</f>
        <v>0</v>
      </c>
      <c r="G342">
        <f>SUM(AT342:BE342)</f>
        <v>0</v>
      </c>
      <c r="H342">
        <f>B342-G341</f>
        <v>0</v>
      </c>
      <c r="I342">
        <f>B342-G342</f>
        <v>0</v>
      </c>
      <c r="J342">
        <f>IF(AT341&lt;=0,0,IF(ROUND(AT341*(1+'Calc base'!H342),2)-MAX('Calc base'!C$12,ROUND('Calc base'!C$13*AT341,2))&lt;1,ROUND(AT341*(1+'Calc base'!H342),2),MAX('Calc base'!C$12,ROUND('Calc base'!C$13*AT341,2))))</f>
        <v>0</v>
      </c>
      <c r="K342">
        <f>IF(AU341&lt;=0,0,IF(ROUND(AU341*(1+'Calc base'!I342),2)-MAX('Calc base'!D$12,ROUND('Calc base'!D$13*AU341,2))&lt;1,ROUND(AU341*(1+'Calc base'!I342),2),MAX('Calc base'!D$12,ROUND('Calc base'!D$13*AU341,2))))</f>
        <v>0</v>
      </c>
      <c r="L342">
        <f>IF(AV341&lt;=0,0,IF(ROUND(AV341*(1+'Calc base'!J342),2)-MAX('Calc base'!E$12,ROUND('Calc base'!E$13*AV341,2))&lt;1,ROUND(AV341*(1+'Calc base'!J342),2),MAX('Calc base'!E$12,ROUND('Calc base'!E$13*AV341,2))))</f>
        <v>0</v>
      </c>
      <c r="M342">
        <f>IF(AW341&lt;=0,0,IF(ROUND(AW341*(1+'Calc base'!K342),2)-MAX('Calc base'!F$12,ROUND('Calc base'!F$13*AW341,2))&lt;1,ROUND(AW341*(1+'Calc base'!K342),2),MAX('Calc base'!F$12,ROUND('Calc base'!F$13*AW341,2))))</f>
        <v>0</v>
      </c>
      <c r="N342">
        <f>IF(AX341&lt;=0,0,IF(ROUND(AX341*(1+'Calc base'!L342),2)-MAX('Calc base'!G$12,ROUND('Calc base'!G$13*AX341,2))&lt;1,ROUND(AX341*(1+'Calc base'!L342),2),MAX('Calc base'!G$12,ROUND('Calc base'!G$13*AX341,2))))</f>
        <v>0</v>
      </c>
      <c r="O342">
        <f>IF(AY341&lt;=0,0,IF(ROUND(AY341*(1+'Calc base'!M342),2)-MAX('Calc base'!H$12,ROUND('Calc base'!H$13*AY341,2))&lt;1,ROUND(AY341*(1+'Calc base'!M342),2),MAX('Calc base'!H$12,ROUND('Calc base'!H$13*AY341,2))))</f>
        <v>0</v>
      </c>
      <c r="P342">
        <f>IF(AZ341&lt;=0,0,IF(ROUND(AZ341*(1+'Calc base'!N342),2)-MAX('Calc base'!I$12,ROUND('Calc base'!I$13*AZ341,2))&lt;1,ROUND(AZ341*(1+'Calc base'!N342),2),MAX('Calc base'!I$12,ROUND('Calc base'!I$13*AZ341,2))))</f>
        <v>0</v>
      </c>
      <c r="Q342">
        <f>IF(BA341&lt;=0,0,IF(ROUND(BA341*(1+'Calc base'!O342),2)-MAX('Calc base'!J$12,ROUND('Calc base'!J$13*BA341,2))&lt;1,ROUND(BA341*(1+'Calc base'!O342),2),MAX('Calc base'!J$12,ROUND('Calc base'!J$13*BA341,2))))</f>
        <v>0</v>
      </c>
      <c r="R342">
        <f>IF(BB341&lt;=0,0,IF(ROUND(BB341*(1+'Calc base'!P342),2)-MAX('Calc base'!K$12,ROUND('Calc base'!K$13*BB341,2))&lt;1,ROUND(BB341*(1+'Calc base'!P342),2),MAX('Calc base'!K$12,ROUND('Calc base'!K$13*BB341,2))))</f>
        <v>0</v>
      </c>
      <c r="S342">
        <f>IF(BC341&lt;=0,0,IF(ROUND(BC341*(1+'Calc base'!Q342),2)-MAX('Calc base'!L$12,ROUND('Calc base'!L$13*BC341,2))&lt;1,ROUND(BC341*(1+'Calc base'!Q342),2),MAX('Calc base'!L$12,ROUND('Calc base'!L$13*BC341,2))))</f>
        <v>0</v>
      </c>
      <c r="T342">
        <f>IF(BD341&lt;=0,0,IF(ROUND(BD341*(1+'Calc base'!R342),2)-MAX('Calc base'!M$12,ROUND('Calc base'!M$13*BD341,2))&lt;1,ROUND(BD341*(1+'Calc base'!R342),2),MAX('Calc base'!M$12,ROUND('Calc base'!M$13*BD341,2))))</f>
        <v>0</v>
      </c>
      <c r="U342">
        <f>IF(BE341&lt;=0,0,IF(ROUND(BE341*(1+'Calc base'!S342),2)-MAX('Calc base'!N$12,ROUND('Calc base'!N$13*BE341,2))&lt;1,ROUND(BE341*(1+'Calc base'!S342),2),MAX('Calc base'!N$12,ROUND('Calc base'!N$13*BE341,2))))</f>
        <v>0</v>
      </c>
      <c r="V342">
        <f>MAX(0,ROUND(AT341*(1+'Calc base'!H342),2)-J342-'Calc base'!T342)</f>
        <v>0</v>
      </c>
      <c r="W342">
        <f>MAX(0,ROUND(AU341*(1+'Calc base'!I342),2)-K342-'Calc base'!U342)</f>
        <v>0</v>
      </c>
      <c r="X342">
        <f>MAX(0,ROUND(AV341*(1+'Calc base'!J342),2)-L342-'Calc base'!V342)</f>
        <v>0</v>
      </c>
      <c r="Y342">
        <f>MAX(0,ROUND(AW341*(1+'Calc base'!K342),2)-M342-'Calc base'!W342)</f>
        <v>0</v>
      </c>
      <c r="Z342">
        <f>MAX(0,ROUND(AX341*(1+'Calc base'!L342),2)-N342-'Calc base'!X342)</f>
        <v>0</v>
      </c>
      <c r="AA342">
        <f>MAX(0,ROUND(AY341*(1+'Calc base'!M342),2)-O342-'Calc base'!Y342)</f>
        <v>0</v>
      </c>
      <c r="AB342">
        <f>MAX(0,ROUND(AZ341*(1+'Calc base'!N342),2)-P342-'Calc base'!Z342)</f>
        <v>0</v>
      </c>
      <c r="AC342">
        <f>MAX(0,ROUND(BA341*(1+'Calc base'!O342),2)-Q342-'Calc base'!AA342)</f>
        <v>0</v>
      </c>
      <c r="AD342">
        <f>MAX(0,ROUND(BB341*(1+'Calc base'!P342),2)-R342-'Calc base'!AB342)</f>
        <v>0</v>
      </c>
      <c r="AE342">
        <f>MAX(0,ROUND(BC341*(1+'Calc base'!Q342),2)-S342-'Calc base'!AC342)</f>
        <v>0</v>
      </c>
      <c r="AF342">
        <f>MAX(0,ROUND(BD341*(1+'Calc base'!R342),2)-T342-'Calc base'!AD342)</f>
        <v>0</v>
      </c>
      <c r="AG342">
        <f>MAX(0,ROUND(BE341*(1+'Calc base'!S342),2)-U342-'Calc base'!AE342)</f>
        <v>0</v>
      </c>
      <c r="AH342">
        <f>IF('Calc base'!C$14=0,0,MIN(V342,MAX(0,$E342-SUMIFS($V342:$AG342,'Calc base'!$C$17:$N$17,"&lt;"&amp;'Calc base'!C$17,'Calc base'!$C$14:$N$14,1))))</f>
        <v>0</v>
      </c>
      <c r="AI342">
        <f>IF('Calc base'!D$14=0,0,MIN(W342,MAX(0,$E342-SUMIFS($V342:$AG342,'Calc base'!$C$17:$N$17,"&lt;"&amp;'Calc base'!D$17,'Calc base'!$C$14:$N$14,1))))</f>
        <v>0</v>
      </c>
      <c r="AJ342">
        <f>IF('Calc base'!E$14=0,0,MIN(X342,MAX(0,$E342-SUMIFS($V342:$AG342,'Calc base'!$C$17:$N$17,"&lt;"&amp;'Calc base'!E$17,'Calc base'!$C$14:$N$14,1))))</f>
        <v>0</v>
      </c>
      <c r="AK342">
        <f>IF('Calc base'!F$14=0,0,MIN(Y342,MAX(0,$E342-SUMIFS($V342:$AG342,'Calc base'!$C$17:$N$17,"&lt;"&amp;'Calc base'!F$17,'Calc base'!$C$14:$N$14,1))))</f>
        <v>0</v>
      </c>
      <c r="AL342">
        <f>IF('Calc base'!G$14=0,0,MIN(Z342,MAX(0,$E342-SUMIFS($V342:$AG342,'Calc base'!$C$17:$N$17,"&lt;"&amp;'Calc base'!G$17,'Calc base'!$C$14:$N$14,1))))</f>
        <v>0</v>
      </c>
      <c r="AM342">
        <f>IF('Calc base'!H$14=0,0,MIN(AA342,MAX(0,$E342-SUMIFS($V342:$AG342,'Calc base'!$C$17:$N$17,"&lt;"&amp;'Calc base'!H$17,'Calc base'!$C$14:$N$14,1))))</f>
        <v>0</v>
      </c>
      <c r="AN342">
        <f>IF('Calc base'!I$14=0,0,MIN(AB342,MAX(0,$E342-SUMIFS($V342:$AG342,'Calc base'!$C$17:$N$17,"&lt;"&amp;'Calc base'!I$17,'Calc base'!$C$14:$N$14,1))))</f>
        <v>0</v>
      </c>
      <c r="AO342">
        <f>IF('Calc base'!J$14=0,0,MIN(AC342,MAX(0,$E342-SUMIFS($V342:$AG342,'Calc base'!$C$17:$N$17,"&lt;"&amp;'Calc base'!J$17,'Calc base'!$C$14:$N$14,1))))</f>
        <v>0</v>
      </c>
      <c r="AP342">
        <f>IF('Calc base'!K$14=0,0,MIN(AD342,MAX(0,$E342-SUMIFS($V342:$AG342,'Calc base'!$C$17:$N$17,"&lt;"&amp;'Calc base'!K$17,'Calc base'!$C$14:$N$14,1))))</f>
        <v>0</v>
      </c>
      <c r="AQ342">
        <f>IF('Calc base'!L$14=0,0,MIN(AE342,MAX(0,$E342-SUMIFS($V342:$AG342,'Calc base'!$C$17:$N$17,"&lt;"&amp;'Calc base'!L$17,'Calc base'!$C$14:$N$14,1))))</f>
        <v>0</v>
      </c>
      <c r="AR342">
        <f>IF('Calc base'!M$14=0,0,MIN(AF342,MAX(0,$E342-SUMIFS($V342:$AG342,'Calc base'!$C$17:$N$17,"&lt;"&amp;'Calc base'!M$17,'Calc base'!$C$14:$N$14,1))))</f>
        <v>0</v>
      </c>
      <c r="AS342">
        <f>IF('Calc base'!N$14=0,0,MIN(AG342,MAX(0,$E342-SUMIFS($V342:$AG342,'Calc base'!$C$17:$N$17,"&lt;"&amp;'Calc base'!N$17,'Calc base'!$C$14:$N$14,1))))</f>
        <v>0</v>
      </c>
      <c r="AT342">
        <f>V342-AH342</f>
        <v>0</v>
      </c>
      <c r="AU342">
        <f>W342-AI342</f>
        <v>0</v>
      </c>
      <c r="AV342">
        <f>X342-AJ342</f>
        <v>0</v>
      </c>
      <c r="AW342">
        <f>Y342-AK342</f>
        <v>0</v>
      </c>
      <c r="AX342">
        <f>Z342-AL342</f>
        <v>0</v>
      </c>
      <c r="AY342">
        <f>AA342-AM342</f>
        <v>0</v>
      </c>
      <c r="AZ342">
        <f>AB342-AN342</f>
        <v>0</v>
      </c>
      <c r="BA342">
        <f>AC342-AO342</f>
        <v>0</v>
      </c>
      <c r="BB342">
        <f>AD342-AP342</f>
        <v>0</v>
      </c>
      <c r="BC342">
        <f>AE342-AQ342</f>
        <v>0</v>
      </c>
      <c r="BD342">
        <f>AF342-AR342</f>
        <v>0</v>
      </c>
      <c r="BE342">
        <f>AG342-AS342</f>
        <v>0</v>
      </c>
    </row>
    <row r="343">
      <c r="A343" t="n">
        <v>313</v>
      </c>
      <c r="B343">
        <f>SUMPRODUCT(ROUND($AT342:$BE342*(1+'Calc base'!$H343:$S343),2))</f>
        <v>0</v>
      </c>
      <c r="C343">
        <f>SUM(J343:U343)</f>
        <v>0</v>
      </c>
      <c r="D343">
        <f>SUM(V343:AG343)</f>
        <v>0</v>
      </c>
      <c r="E343">
        <f>MAX(0,IF(Impostazioni!$B$7="No",'Calc base'!$C343-$C$31,'Calc base'!$C343-C343)+'Calc base'!$G343+'Calc base'!$F343-(B343-C343-D343))</f>
        <v>900</v>
      </c>
      <c r="F343">
        <f>SUM(AH343:AS343)</f>
        <v>0</v>
      </c>
      <c r="G343">
        <f>SUM(AT343:BE343)</f>
        <v>0</v>
      </c>
      <c r="H343">
        <f>B343-G342</f>
        <v>0</v>
      </c>
      <c r="I343">
        <f>B343-G343</f>
        <v>0</v>
      </c>
      <c r="J343">
        <f>IF(AT342&lt;=0,0,IF(ROUND(AT342*(1+'Calc base'!H343),2)-MAX('Calc base'!C$12,ROUND('Calc base'!C$13*AT342,2))&lt;1,ROUND(AT342*(1+'Calc base'!H343),2),MAX('Calc base'!C$12,ROUND('Calc base'!C$13*AT342,2))))</f>
        <v>0</v>
      </c>
      <c r="K343">
        <f>IF(AU342&lt;=0,0,IF(ROUND(AU342*(1+'Calc base'!I343),2)-MAX('Calc base'!D$12,ROUND('Calc base'!D$13*AU342,2))&lt;1,ROUND(AU342*(1+'Calc base'!I343),2),MAX('Calc base'!D$12,ROUND('Calc base'!D$13*AU342,2))))</f>
        <v>0</v>
      </c>
      <c r="L343">
        <f>IF(AV342&lt;=0,0,IF(ROUND(AV342*(1+'Calc base'!J343),2)-MAX('Calc base'!E$12,ROUND('Calc base'!E$13*AV342,2))&lt;1,ROUND(AV342*(1+'Calc base'!J343),2),MAX('Calc base'!E$12,ROUND('Calc base'!E$13*AV342,2))))</f>
        <v>0</v>
      </c>
      <c r="M343">
        <f>IF(AW342&lt;=0,0,IF(ROUND(AW342*(1+'Calc base'!K343),2)-MAX('Calc base'!F$12,ROUND('Calc base'!F$13*AW342,2))&lt;1,ROUND(AW342*(1+'Calc base'!K343),2),MAX('Calc base'!F$12,ROUND('Calc base'!F$13*AW342,2))))</f>
        <v>0</v>
      </c>
      <c r="N343">
        <f>IF(AX342&lt;=0,0,IF(ROUND(AX342*(1+'Calc base'!L343),2)-MAX('Calc base'!G$12,ROUND('Calc base'!G$13*AX342,2))&lt;1,ROUND(AX342*(1+'Calc base'!L343),2),MAX('Calc base'!G$12,ROUND('Calc base'!G$13*AX342,2))))</f>
        <v>0</v>
      </c>
      <c r="O343">
        <f>IF(AY342&lt;=0,0,IF(ROUND(AY342*(1+'Calc base'!M343),2)-MAX('Calc base'!H$12,ROUND('Calc base'!H$13*AY342,2))&lt;1,ROUND(AY342*(1+'Calc base'!M343),2),MAX('Calc base'!H$12,ROUND('Calc base'!H$13*AY342,2))))</f>
        <v>0</v>
      </c>
      <c r="P343">
        <f>IF(AZ342&lt;=0,0,IF(ROUND(AZ342*(1+'Calc base'!N343),2)-MAX('Calc base'!I$12,ROUND('Calc base'!I$13*AZ342,2))&lt;1,ROUND(AZ342*(1+'Calc base'!N343),2),MAX('Calc base'!I$12,ROUND('Calc base'!I$13*AZ342,2))))</f>
        <v>0</v>
      </c>
      <c r="Q343">
        <f>IF(BA342&lt;=0,0,IF(ROUND(BA342*(1+'Calc base'!O343),2)-MAX('Calc base'!J$12,ROUND('Calc base'!J$13*BA342,2))&lt;1,ROUND(BA342*(1+'Calc base'!O343),2),MAX('Calc base'!J$12,ROUND('Calc base'!J$13*BA342,2))))</f>
        <v>0</v>
      </c>
      <c r="R343">
        <f>IF(BB342&lt;=0,0,IF(ROUND(BB342*(1+'Calc base'!P343),2)-MAX('Calc base'!K$12,ROUND('Calc base'!K$13*BB342,2))&lt;1,ROUND(BB342*(1+'Calc base'!P343),2),MAX('Calc base'!K$12,ROUND('Calc base'!K$13*BB342,2))))</f>
        <v>0</v>
      </c>
      <c r="S343">
        <f>IF(BC342&lt;=0,0,IF(ROUND(BC342*(1+'Calc base'!Q343),2)-MAX('Calc base'!L$12,ROUND('Calc base'!L$13*BC342,2))&lt;1,ROUND(BC342*(1+'Calc base'!Q343),2),MAX('Calc base'!L$12,ROUND('Calc base'!L$13*BC342,2))))</f>
        <v>0</v>
      </c>
      <c r="T343">
        <f>IF(BD342&lt;=0,0,IF(ROUND(BD342*(1+'Calc base'!R343),2)-MAX('Calc base'!M$12,ROUND('Calc base'!M$13*BD342,2))&lt;1,ROUND(BD342*(1+'Calc base'!R343),2),MAX('Calc base'!M$12,ROUND('Calc base'!M$13*BD342,2))))</f>
        <v>0</v>
      </c>
      <c r="U343">
        <f>IF(BE342&lt;=0,0,IF(ROUND(BE342*(1+'Calc base'!S343),2)-MAX('Calc base'!N$12,ROUND('Calc base'!N$13*BE342,2))&lt;1,ROUND(BE342*(1+'Calc base'!S343),2),MAX('Calc base'!N$12,ROUND('Calc base'!N$13*BE342,2))))</f>
        <v>0</v>
      </c>
      <c r="V343">
        <f>MAX(0,ROUND(AT342*(1+'Calc base'!H343),2)-J343-'Calc base'!T343)</f>
        <v>0</v>
      </c>
      <c r="W343">
        <f>MAX(0,ROUND(AU342*(1+'Calc base'!I343),2)-K343-'Calc base'!U343)</f>
        <v>0</v>
      </c>
      <c r="X343">
        <f>MAX(0,ROUND(AV342*(1+'Calc base'!J343),2)-L343-'Calc base'!V343)</f>
        <v>0</v>
      </c>
      <c r="Y343">
        <f>MAX(0,ROUND(AW342*(1+'Calc base'!K343),2)-M343-'Calc base'!W343)</f>
        <v>0</v>
      </c>
      <c r="Z343">
        <f>MAX(0,ROUND(AX342*(1+'Calc base'!L343),2)-N343-'Calc base'!X343)</f>
        <v>0</v>
      </c>
      <c r="AA343">
        <f>MAX(0,ROUND(AY342*(1+'Calc base'!M343),2)-O343-'Calc base'!Y343)</f>
        <v>0</v>
      </c>
      <c r="AB343">
        <f>MAX(0,ROUND(AZ342*(1+'Calc base'!N343),2)-P343-'Calc base'!Z343)</f>
        <v>0</v>
      </c>
      <c r="AC343">
        <f>MAX(0,ROUND(BA342*(1+'Calc base'!O343),2)-Q343-'Calc base'!AA343)</f>
        <v>0</v>
      </c>
      <c r="AD343">
        <f>MAX(0,ROUND(BB342*(1+'Calc base'!P343),2)-R343-'Calc base'!AB343)</f>
        <v>0</v>
      </c>
      <c r="AE343">
        <f>MAX(0,ROUND(BC342*(1+'Calc base'!Q343),2)-S343-'Calc base'!AC343)</f>
        <v>0</v>
      </c>
      <c r="AF343">
        <f>MAX(0,ROUND(BD342*(1+'Calc base'!R343),2)-T343-'Calc base'!AD343)</f>
        <v>0</v>
      </c>
      <c r="AG343">
        <f>MAX(0,ROUND(BE342*(1+'Calc base'!S343),2)-U343-'Calc base'!AE343)</f>
        <v>0</v>
      </c>
      <c r="AH343">
        <f>IF('Calc base'!C$14=0,0,MIN(V343,MAX(0,$E343-SUMIFS($V343:$AG343,'Calc base'!$C$17:$N$17,"&lt;"&amp;'Calc base'!C$17,'Calc base'!$C$14:$N$14,1))))</f>
        <v>0</v>
      </c>
      <c r="AI343">
        <f>IF('Calc base'!D$14=0,0,MIN(W343,MAX(0,$E343-SUMIFS($V343:$AG343,'Calc base'!$C$17:$N$17,"&lt;"&amp;'Calc base'!D$17,'Calc base'!$C$14:$N$14,1))))</f>
        <v>0</v>
      </c>
      <c r="AJ343">
        <f>IF('Calc base'!E$14=0,0,MIN(X343,MAX(0,$E343-SUMIFS($V343:$AG343,'Calc base'!$C$17:$N$17,"&lt;"&amp;'Calc base'!E$17,'Calc base'!$C$14:$N$14,1))))</f>
        <v>0</v>
      </c>
      <c r="AK343">
        <f>IF('Calc base'!F$14=0,0,MIN(Y343,MAX(0,$E343-SUMIFS($V343:$AG343,'Calc base'!$C$17:$N$17,"&lt;"&amp;'Calc base'!F$17,'Calc base'!$C$14:$N$14,1))))</f>
        <v>0</v>
      </c>
      <c r="AL343">
        <f>IF('Calc base'!G$14=0,0,MIN(Z343,MAX(0,$E343-SUMIFS($V343:$AG343,'Calc base'!$C$17:$N$17,"&lt;"&amp;'Calc base'!G$17,'Calc base'!$C$14:$N$14,1))))</f>
        <v>0</v>
      </c>
      <c r="AM343">
        <f>IF('Calc base'!H$14=0,0,MIN(AA343,MAX(0,$E343-SUMIFS($V343:$AG343,'Calc base'!$C$17:$N$17,"&lt;"&amp;'Calc base'!H$17,'Calc base'!$C$14:$N$14,1))))</f>
        <v>0</v>
      </c>
      <c r="AN343">
        <f>IF('Calc base'!I$14=0,0,MIN(AB343,MAX(0,$E343-SUMIFS($V343:$AG343,'Calc base'!$C$17:$N$17,"&lt;"&amp;'Calc base'!I$17,'Calc base'!$C$14:$N$14,1))))</f>
        <v>0</v>
      </c>
      <c r="AO343">
        <f>IF('Calc base'!J$14=0,0,MIN(AC343,MAX(0,$E343-SUMIFS($V343:$AG343,'Calc base'!$C$17:$N$17,"&lt;"&amp;'Calc base'!J$17,'Calc base'!$C$14:$N$14,1))))</f>
        <v>0</v>
      </c>
      <c r="AP343">
        <f>IF('Calc base'!K$14=0,0,MIN(AD343,MAX(0,$E343-SUMIFS($V343:$AG343,'Calc base'!$C$17:$N$17,"&lt;"&amp;'Calc base'!K$17,'Calc base'!$C$14:$N$14,1))))</f>
        <v>0</v>
      </c>
      <c r="AQ343">
        <f>IF('Calc base'!L$14=0,0,MIN(AE343,MAX(0,$E343-SUMIFS($V343:$AG343,'Calc base'!$C$17:$N$17,"&lt;"&amp;'Calc base'!L$17,'Calc base'!$C$14:$N$14,1))))</f>
        <v>0</v>
      </c>
      <c r="AR343">
        <f>IF('Calc base'!M$14=0,0,MIN(AF343,MAX(0,$E343-SUMIFS($V343:$AG343,'Calc base'!$C$17:$N$17,"&lt;"&amp;'Calc base'!M$17,'Calc base'!$C$14:$N$14,1))))</f>
        <v>0</v>
      </c>
      <c r="AS343">
        <f>IF('Calc base'!N$14=0,0,MIN(AG343,MAX(0,$E343-SUMIFS($V343:$AG343,'Calc base'!$C$17:$N$17,"&lt;"&amp;'Calc base'!N$17,'Calc base'!$C$14:$N$14,1))))</f>
        <v>0</v>
      </c>
      <c r="AT343">
        <f>V343-AH343</f>
        <v>0</v>
      </c>
      <c r="AU343">
        <f>W343-AI343</f>
        <v>0</v>
      </c>
      <c r="AV343">
        <f>X343-AJ343</f>
        <v>0</v>
      </c>
      <c r="AW343">
        <f>Y343-AK343</f>
        <v>0</v>
      </c>
      <c r="AX343">
        <f>Z343-AL343</f>
        <v>0</v>
      </c>
      <c r="AY343">
        <f>AA343-AM343</f>
        <v>0</v>
      </c>
      <c r="AZ343">
        <f>AB343-AN343</f>
        <v>0</v>
      </c>
      <c r="BA343">
        <f>AC343-AO343</f>
        <v>0</v>
      </c>
      <c r="BB343">
        <f>AD343-AP343</f>
        <v>0</v>
      </c>
      <c r="BC343">
        <f>AE343-AQ343</f>
        <v>0</v>
      </c>
      <c r="BD343">
        <f>AF343-AR343</f>
        <v>0</v>
      </c>
      <c r="BE343">
        <f>AG343-AS343</f>
        <v>0</v>
      </c>
    </row>
    <row r="344">
      <c r="A344" t="n">
        <v>314</v>
      </c>
      <c r="B344">
        <f>SUMPRODUCT(ROUND($AT343:$BE343*(1+'Calc base'!$H344:$S344),2))</f>
        <v>0</v>
      </c>
      <c r="C344">
        <f>SUM(J344:U344)</f>
        <v>0</v>
      </c>
      <c r="D344">
        <f>SUM(V344:AG344)</f>
        <v>0</v>
      </c>
      <c r="E344">
        <f>MAX(0,IF(Impostazioni!$B$7="No",'Calc base'!$C344-$C$31,'Calc base'!$C344-C344)+'Calc base'!$G344+'Calc base'!$F344-(B344-C344-D344))</f>
        <v>900</v>
      </c>
      <c r="F344">
        <f>SUM(AH344:AS344)</f>
        <v>0</v>
      </c>
      <c r="G344">
        <f>SUM(AT344:BE344)</f>
        <v>0</v>
      </c>
      <c r="H344">
        <f>B344-G343</f>
        <v>0</v>
      </c>
      <c r="I344">
        <f>B344-G344</f>
        <v>0</v>
      </c>
      <c r="J344">
        <f>IF(AT343&lt;=0,0,IF(ROUND(AT343*(1+'Calc base'!H344),2)-MAX('Calc base'!C$12,ROUND('Calc base'!C$13*AT343,2))&lt;1,ROUND(AT343*(1+'Calc base'!H344),2),MAX('Calc base'!C$12,ROUND('Calc base'!C$13*AT343,2))))</f>
        <v>0</v>
      </c>
      <c r="K344">
        <f>IF(AU343&lt;=0,0,IF(ROUND(AU343*(1+'Calc base'!I344),2)-MAX('Calc base'!D$12,ROUND('Calc base'!D$13*AU343,2))&lt;1,ROUND(AU343*(1+'Calc base'!I344),2),MAX('Calc base'!D$12,ROUND('Calc base'!D$13*AU343,2))))</f>
        <v>0</v>
      </c>
      <c r="L344">
        <f>IF(AV343&lt;=0,0,IF(ROUND(AV343*(1+'Calc base'!J344),2)-MAX('Calc base'!E$12,ROUND('Calc base'!E$13*AV343,2))&lt;1,ROUND(AV343*(1+'Calc base'!J344),2),MAX('Calc base'!E$12,ROUND('Calc base'!E$13*AV343,2))))</f>
        <v>0</v>
      </c>
      <c r="M344">
        <f>IF(AW343&lt;=0,0,IF(ROUND(AW343*(1+'Calc base'!K344),2)-MAX('Calc base'!F$12,ROUND('Calc base'!F$13*AW343,2))&lt;1,ROUND(AW343*(1+'Calc base'!K344),2),MAX('Calc base'!F$12,ROUND('Calc base'!F$13*AW343,2))))</f>
        <v>0</v>
      </c>
      <c r="N344">
        <f>IF(AX343&lt;=0,0,IF(ROUND(AX343*(1+'Calc base'!L344),2)-MAX('Calc base'!G$12,ROUND('Calc base'!G$13*AX343,2))&lt;1,ROUND(AX343*(1+'Calc base'!L344),2),MAX('Calc base'!G$12,ROUND('Calc base'!G$13*AX343,2))))</f>
        <v>0</v>
      </c>
      <c r="O344">
        <f>IF(AY343&lt;=0,0,IF(ROUND(AY343*(1+'Calc base'!M344),2)-MAX('Calc base'!H$12,ROUND('Calc base'!H$13*AY343,2))&lt;1,ROUND(AY343*(1+'Calc base'!M344),2),MAX('Calc base'!H$12,ROUND('Calc base'!H$13*AY343,2))))</f>
        <v>0</v>
      </c>
      <c r="P344">
        <f>IF(AZ343&lt;=0,0,IF(ROUND(AZ343*(1+'Calc base'!N344),2)-MAX('Calc base'!I$12,ROUND('Calc base'!I$13*AZ343,2))&lt;1,ROUND(AZ343*(1+'Calc base'!N344),2),MAX('Calc base'!I$12,ROUND('Calc base'!I$13*AZ343,2))))</f>
        <v>0</v>
      </c>
      <c r="Q344">
        <f>IF(BA343&lt;=0,0,IF(ROUND(BA343*(1+'Calc base'!O344),2)-MAX('Calc base'!J$12,ROUND('Calc base'!J$13*BA343,2))&lt;1,ROUND(BA343*(1+'Calc base'!O344),2),MAX('Calc base'!J$12,ROUND('Calc base'!J$13*BA343,2))))</f>
        <v>0</v>
      </c>
      <c r="R344">
        <f>IF(BB343&lt;=0,0,IF(ROUND(BB343*(1+'Calc base'!P344),2)-MAX('Calc base'!K$12,ROUND('Calc base'!K$13*BB343,2))&lt;1,ROUND(BB343*(1+'Calc base'!P344),2),MAX('Calc base'!K$12,ROUND('Calc base'!K$13*BB343,2))))</f>
        <v>0</v>
      </c>
      <c r="S344">
        <f>IF(BC343&lt;=0,0,IF(ROUND(BC343*(1+'Calc base'!Q344),2)-MAX('Calc base'!L$12,ROUND('Calc base'!L$13*BC343,2))&lt;1,ROUND(BC343*(1+'Calc base'!Q344),2),MAX('Calc base'!L$12,ROUND('Calc base'!L$13*BC343,2))))</f>
        <v>0</v>
      </c>
      <c r="T344">
        <f>IF(BD343&lt;=0,0,IF(ROUND(BD343*(1+'Calc base'!R344),2)-MAX('Calc base'!M$12,ROUND('Calc base'!M$13*BD343,2))&lt;1,ROUND(BD343*(1+'Calc base'!R344),2),MAX('Calc base'!M$12,ROUND('Calc base'!M$13*BD343,2))))</f>
        <v>0</v>
      </c>
      <c r="U344">
        <f>IF(BE343&lt;=0,0,IF(ROUND(BE343*(1+'Calc base'!S344),2)-MAX('Calc base'!N$12,ROUND('Calc base'!N$13*BE343,2))&lt;1,ROUND(BE343*(1+'Calc base'!S344),2),MAX('Calc base'!N$12,ROUND('Calc base'!N$13*BE343,2))))</f>
        <v>0</v>
      </c>
      <c r="V344">
        <f>MAX(0,ROUND(AT343*(1+'Calc base'!H344),2)-J344-'Calc base'!T344)</f>
        <v>0</v>
      </c>
      <c r="W344">
        <f>MAX(0,ROUND(AU343*(1+'Calc base'!I344),2)-K344-'Calc base'!U344)</f>
        <v>0</v>
      </c>
      <c r="X344">
        <f>MAX(0,ROUND(AV343*(1+'Calc base'!J344),2)-L344-'Calc base'!V344)</f>
        <v>0</v>
      </c>
      <c r="Y344">
        <f>MAX(0,ROUND(AW343*(1+'Calc base'!K344),2)-M344-'Calc base'!W344)</f>
        <v>0</v>
      </c>
      <c r="Z344">
        <f>MAX(0,ROUND(AX343*(1+'Calc base'!L344),2)-N344-'Calc base'!X344)</f>
        <v>0</v>
      </c>
      <c r="AA344">
        <f>MAX(0,ROUND(AY343*(1+'Calc base'!M344),2)-O344-'Calc base'!Y344)</f>
        <v>0</v>
      </c>
      <c r="AB344">
        <f>MAX(0,ROUND(AZ343*(1+'Calc base'!N344),2)-P344-'Calc base'!Z344)</f>
        <v>0</v>
      </c>
      <c r="AC344">
        <f>MAX(0,ROUND(BA343*(1+'Calc base'!O344),2)-Q344-'Calc base'!AA344)</f>
        <v>0</v>
      </c>
      <c r="AD344">
        <f>MAX(0,ROUND(BB343*(1+'Calc base'!P344),2)-R344-'Calc base'!AB344)</f>
        <v>0</v>
      </c>
      <c r="AE344">
        <f>MAX(0,ROUND(BC343*(1+'Calc base'!Q344),2)-S344-'Calc base'!AC344)</f>
        <v>0</v>
      </c>
      <c r="AF344">
        <f>MAX(0,ROUND(BD343*(1+'Calc base'!R344),2)-T344-'Calc base'!AD344)</f>
        <v>0</v>
      </c>
      <c r="AG344">
        <f>MAX(0,ROUND(BE343*(1+'Calc base'!S344),2)-U344-'Calc base'!AE344)</f>
        <v>0</v>
      </c>
      <c r="AH344">
        <f>IF('Calc base'!C$14=0,0,MIN(V344,MAX(0,$E344-SUMIFS($V344:$AG344,'Calc base'!$C$17:$N$17,"&lt;"&amp;'Calc base'!C$17,'Calc base'!$C$14:$N$14,1))))</f>
        <v>0</v>
      </c>
      <c r="AI344">
        <f>IF('Calc base'!D$14=0,0,MIN(W344,MAX(0,$E344-SUMIFS($V344:$AG344,'Calc base'!$C$17:$N$17,"&lt;"&amp;'Calc base'!D$17,'Calc base'!$C$14:$N$14,1))))</f>
        <v>0</v>
      </c>
      <c r="AJ344">
        <f>IF('Calc base'!E$14=0,0,MIN(X344,MAX(0,$E344-SUMIFS($V344:$AG344,'Calc base'!$C$17:$N$17,"&lt;"&amp;'Calc base'!E$17,'Calc base'!$C$14:$N$14,1))))</f>
        <v>0</v>
      </c>
      <c r="AK344">
        <f>IF('Calc base'!F$14=0,0,MIN(Y344,MAX(0,$E344-SUMIFS($V344:$AG344,'Calc base'!$C$17:$N$17,"&lt;"&amp;'Calc base'!F$17,'Calc base'!$C$14:$N$14,1))))</f>
        <v>0</v>
      </c>
      <c r="AL344">
        <f>IF('Calc base'!G$14=0,0,MIN(Z344,MAX(0,$E344-SUMIFS($V344:$AG344,'Calc base'!$C$17:$N$17,"&lt;"&amp;'Calc base'!G$17,'Calc base'!$C$14:$N$14,1))))</f>
        <v>0</v>
      </c>
      <c r="AM344">
        <f>IF('Calc base'!H$14=0,0,MIN(AA344,MAX(0,$E344-SUMIFS($V344:$AG344,'Calc base'!$C$17:$N$17,"&lt;"&amp;'Calc base'!H$17,'Calc base'!$C$14:$N$14,1))))</f>
        <v>0</v>
      </c>
      <c r="AN344">
        <f>IF('Calc base'!I$14=0,0,MIN(AB344,MAX(0,$E344-SUMIFS($V344:$AG344,'Calc base'!$C$17:$N$17,"&lt;"&amp;'Calc base'!I$17,'Calc base'!$C$14:$N$14,1))))</f>
        <v>0</v>
      </c>
      <c r="AO344">
        <f>IF('Calc base'!J$14=0,0,MIN(AC344,MAX(0,$E344-SUMIFS($V344:$AG344,'Calc base'!$C$17:$N$17,"&lt;"&amp;'Calc base'!J$17,'Calc base'!$C$14:$N$14,1))))</f>
        <v>0</v>
      </c>
      <c r="AP344">
        <f>IF('Calc base'!K$14=0,0,MIN(AD344,MAX(0,$E344-SUMIFS($V344:$AG344,'Calc base'!$C$17:$N$17,"&lt;"&amp;'Calc base'!K$17,'Calc base'!$C$14:$N$14,1))))</f>
        <v>0</v>
      </c>
      <c r="AQ344">
        <f>IF('Calc base'!L$14=0,0,MIN(AE344,MAX(0,$E344-SUMIFS($V344:$AG344,'Calc base'!$C$17:$N$17,"&lt;"&amp;'Calc base'!L$17,'Calc base'!$C$14:$N$14,1))))</f>
        <v>0</v>
      </c>
      <c r="AR344">
        <f>IF('Calc base'!M$14=0,0,MIN(AF344,MAX(0,$E344-SUMIFS($V344:$AG344,'Calc base'!$C$17:$N$17,"&lt;"&amp;'Calc base'!M$17,'Calc base'!$C$14:$N$14,1))))</f>
        <v>0</v>
      </c>
      <c r="AS344">
        <f>IF('Calc base'!N$14=0,0,MIN(AG344,MAX(0,$E344-SUMIFS($V344:$AG344,'Calc base'!$C$17:$N$17,"&lt;"&amp;'Calc base'!N$17,'Calc base'!$C$14:$N$14,1))))</f>
        <v>0</v>
      </c>
      <c r="AT344">
        <f>V344-AH344</f>
        <v>0</v>
      </c>
      <c r="AU344">
        <f>W344-AI344</f>
        <v>0</v>
      </c>
      <c r="AV344">
        <f>X344-AJ344</f>
        <v>0</v>
      </c>
      <c r="AW344">
        <f>Y344-AK344</f>
        <v>0</v>
      </c>
      <c r="AX344">
        <f>Z344-AL344</f>
        <v>0</v>
      </c>
      <c r="AY344">
        <f>AA344-AM344</f>
        <v>0</v>
      </c>
      <c r="AZ344">
        <f>AB344-AN344</f>
        <v>0</v>
      </c>
      <c r="BA344">
        <f>AC344-AO344</f>
        <v>0</v>
      </c>
      <c r="BB344">
        <f>AD344-AP344</f>
        <v>0</v>
      </c>
      <c r="BC344">
        <f>AE344-AQ344</f>
        <v>0</v>
      </c>
      <c r="BD344">
        <f>AF344-AR344</f>
        <v>0</v>
      </c>
      <c r="BE344">
        <f>AG344-AS344</f>
        <v>0</v>
      </c>
    </row>
    <row r="345">
      <c r="A345" t="n">
        <v>315</v>
      </c>
      <c r="B345">
        <f>SUMPRODUCT(ROUND($AT344:$BE344*(1+'Calc base'!$H345:$S345),2))</f>
        <v>0</v>
      </c>
      <c r="C345">
        <f>SUM(J345:U345)</f>
        <v>0</v>
      </c>
      <c r="D345">
        <f>SUM(V345:AG345)</f>
        <v>0</v>
      </c>
      <c r="E345">
        <f>MAX(0,IF(Impostazioni!$B$7="No",'Calc base'!$C345-$C$31,'Calc base'!$C345-C345)+'Calc base'!$G345+'Calc base'!$F345-(B345-C345-D345))</f>
        <v>900</v>
      </c>
      <c r="F345">
        <f>SUM(AH345:AS345)</f>
        <v>0</v>
      </c>
      <c r="G345">
        <f>SUM(AT345:BE345)</f>
        <v>0</v>
      </c>
      <c r="H345">
        <f>B345-G344</f>
        <v>0</v>
      </c>
      <c r="I345">
        <f>B345-G345</f>
        <v>0</v>
      </c>
      <c r="J345">
        <f>IF(AT344&lt;=0,0,IF(ROUND(AT344*(1+'Calc base'!H345),2)-MAX('Calc base'!C$12,ROUND('Calc base'!C$13*AT344,2))&lt;1,ROUND(AT344*(1+'Calc base'!H345),2),MAX('Calc base'!C$12,ROUND('Calc base'!C$13*AT344,2))))</f>
        <v>0</v>
      </c>
      <c r="K345">
        <f>IF(AU344&lt;=0,0,IF(ROUND(AU344*(1+'Calc base'!I345),2)-MAX('Calc base'!D$12,ROUND('Calc base'!D$13*AU344,2))&lt;1,ROUND(AU344*(1+'Calc base'!I345),2),MAX('Calc base'!D$12,ROUND('Calc base'!D$13*AU344,2))))</f>
        <v>0</v>
      </c>
      <c r="L345">
        <f>IF(AV344&lt;=0,0,IF(ROUND(AV344*(1+'Calc base'!J345),2)-MAX('Calc base'!E$12,ROUND('Calc base'!E$13*AV344,2))&lt;1,ROUND(AV344*(1+'Calc base'!J345),2),MAX('Calc base'!E$12,ROUND('Calc base'!E$13*AV344,2))))</f>
        <v>0</v>
      </c>
      <c r="M345">
        <f>IF(AW344&lt;=0,0,IF(ROUND(AW344*(1+'Calc base'!K345),2)-MAX('Calc base'!F$12,ROUND('Calc base'!F$13*AW344,2))&lt;1,ROUND(AW344*(1+'Calc base'!K345),2),MAX('Calc base'!F$12,ROUND('Calc base'!F$13*AW344,2))))</f>
        <v>0</v>
      </c>
      <c r="N345">
        <f>IF(AX344&lt;=0,0,IF(ROUND(AX344*(1+'Calc base'!L345),2)-MAX('Calc base'!G$12,ROUND('Calc base'!G$13*AX344,2))&lt;1,ROUND(AX344*(1+'Calc base'!L345),2),MAX('Calc base'!G$12,ROUND('Calc base'!G$13*AX344,2))))</f>
        <v>0</v>
      </c>
      <c r="O345">
        <f>IF(AY344&lt;=0,0,IF(ROUND(AY344*(1+'Calc base'!M345),2)-MAX('Calc base'!H$12,ROUND('Calc base'!H$13*AY344,2))&lt;1,ROUND(AY344*(1+'Calc base'!M345),2),MAX('Calc base'!H$12,ROUND('Calc base'!H$13*AY344,2))))</f>
        <v>0</v>
      </c>
      <c r="P345">
        <f>IF(AZ344&lt;=0,0,IF(ROUND(AZ344*(1+'Calc base'!N345),2)-MAX('Calc base'!I$12,ROUND('Calc base'!I$13*AZ344,2))&lt;1,ROUND(AZ344*(1+'Calc base'!N345),2),MAX('Calc base'!I$12,ROUND('Calc base'!I$13*AZ344,2))))</f>
        <v>0</v>
      </c>
      <c r="Q345">
        <f>IF(BA344&lt;=0,0,IF(ROUND(BA344*(1+'Calc base'!O345),2)-MAX('Calc base'!J$12,ROUND('Calc base'!J$13*BA344,2))&lt;1,ROUND(BA344*(1+'Calc base'!O345),2),MAX('Calc base'!J$12,ROUND('Calc base'!J$13*BA344,2))))</f>
        <v>0</v>
      </c>
      <c r="R345">
        <f>IF(BB344&lt;=0,0,IF(ROUND(BB344*(1+'Calc base'!P345),2)-MAX('Calc base'!K$12,ROUND('Calc base'!K$13*BB344,2))&lt;1,ROUND(BB344*(1+'Calc base'!P345),2),MAX('Calc base'!K$12,ROUND('Calc base'!K$13*BB344,2))))</f>
        <v>0</v>
      </c>
      <c r="S345">
        <f>IF(BC344&lt;=0,0,IF(ROUND(BC344*(1+'Calc base'!Q345),2)-MAX('Calc base'!L$12,ROUND('Calc base'!L$13*BC344,2))&lt;1,ROUND(BC344*(1+'Calc base'!Q345),2),MAX('Calc base'!L$12,ROUND('Calc base'!L$13*BC344,2))))</f>
        <v>0</v>
      </c>
      <c r="T345">
        <f>IF(BD344&lt;=0,0,IF(ROUND(BD344*(1+'Calc base'!R345),2)-MAX('Calc base'!M$12,ROUND('Calc base'!M$13*BD344,2))&lt;1,ROUND(BD344*(1+'Calc base'!R345),2),MAX('Calc base'!M$12,ROUND('Calc base'!M$13*BD344,2))))</f>
        <v>0</v>
      </c>
      <c r="U345">
        <f>IF(BE344&lt;=0,0,IF(ROUND(BE344*(1+'Calc base'!S345),2)-MAX('Calc base'!N$12,ROUND('Calc base'!N$13*BE344,2))&lt;1,ROUND(BE344*(1+'Calc base'!S345),2),MAX('Calc base'!N$12,ROUND('Calc base'!N$13*BE344,2))))</f>
        <v>0</v>
      </c>
      <c r="V345">
        <f>MAX(0,ROUND(AT344*(1+'Calc base'!H345),2)-J345-'Calc base'!T345)</f>
        <v>0</v>
      </c>
      <c r="W345">
        <f>MAX(0,ROUND(AU344*(1+'Calc base'!I345),2)-K345-'Calc base'!U345)</f>
        <v>0</v>
      </c>
      <c r="X345">
        <f>MAX(0,ROUND(AV344*(1+'Calc base'!J345),2)-L345-'Calc base'!V345)</f>
        <v>0</v>
      </c>
      <c r="Y345">
        <f>MAX(0,ROUND(AW344*(1+'Calc base'!K345),2)-M345-'Calc base'!W345)</f>
        <v>0</v>
      </c>
      <c r="Z345">
        <f>MAX(0,ROUND(AX344*(1+'Calc base'!L345),2)-N345-'Calc base'!X345)</f>
        <v>0</v>
      </c>
      <c r="AA345">
        <f>MAX(0,ROUND(AY344*(1+'Calc base'!M345),2)-O345-'Calc base'!Y345)</f>
        <v>0</v>
      </c>
      <c r="AB345">
        <f>MAX(0,ROUND(AZ344*(1+'Calc base'!N345),2)-P345-'Calc base'!Z345)</f>
        <v>0</v>
      </c>
      <c r="AC345">
        <f>MAX(0,ROUND(BA344*(1+'Calc base'!O345),2)-Q345-'Calc base'!AA345)</f>
        <v>0</v>
      </c>
      <c r="AD345">
        <f>MAX(0,ROUND(BB344*(1+'Calc base'!P345),2)-R345-'Calc base'!AB345)</f>
        <v>0</v>
      </c>
      <c r="AE345">
        <f>MAX(0,ROUND(BC344*(1+'Calc base'!Q345),2)-S345-'Calc base'!AC345)</f>
        <v>0</v>
      </c>
      <c r="AF345">
        <f>MAX(0,ROUND(BD344*(1+'Calc base'!R345),2)-T345-'Calc base'!AD345)</f>
        <v>0</v>
      </c>
      <c r="AG345">
        <f>MAX(0,ROUND(BE344*(1+'Calc base'!S345),2)-U345-'Calc base'!AE345)</f>
        <v>0</v>
      </c>
      <c r="AH345">
        <f>IF('Calc base'!C$14=0,0,MIN(V345,MAX(0,$E345-SUMIFS($V345:$AG345,'Calc base'!$C$17:$N$17,"&lt;"&amp;'Calc base'!C$17,'Calc base'!$C$14:$N$14,1))))</f>
        <v>0</v>
      </c>
      <c r="AI345">
        <f>IF('Calc base'!D$14=0,0,MIN(W345,MAX(0,$E345-SUMIFS($V345:$AG345,'Calc base'!$C$17:$N$17,"&lt;"&amp;'Calc base'!D$17,'Calc base'!$C$14:$N$14,1))))</f>
        <v>0</v>
      </c>
      <c r="AJ345">
        <f>IF('Calc base'!E$14=0,0,MIN(X345,MAX(0,$E345-SUMIFS($V345:$AG345,'Calc base'!$C$17:$N$17,"&lt;"&amp;'Calc base'!E$17,'Calc base'!$C$14:$N$14,1))))</f>
        <v>0</v>
      </c>
      <c r="AK345">
        <f>IF('Calc base'!F$14=0,0,MIN(Y345,MAX(0,$E345-SUMIFS($V345:$AG345,'Calc base'!$C$17:$N$17,"&lt;"&amp;'Calc base'!F$17,'Calc base'!$C$14:$N$14,1))))</f>
        <v>0</v>
      </c>
      <c r="AL345">
        <f>IF('Calc base'!G$14=0,0,MIN(Z345,MAX(0,$E345-SUMIFS($V345:$AG345,'Calc base'!$C$17:$N$17,"&lt;"&amp;'Calc base'!G$17,'Calc base'!$C$14:$N$14,1))))</f>
        <v>0</v>
      </c>
      <c r="AM345">
        <f>IF('Calc base'!H$14=0,0,MIN(AA345,MAX(0,$E345-SUMIFS($V345:$AG345,'Calc base'!$C$17:$N$17,"&lt;"&amp;'Calc base'!H$17,'Calc base'!$C$14:$N$14,1))))</f>
        <v>0</v>
      </c>
      <c r="AN345">
        <f>IF('Calc base'!I$14=0,0,MIN(AB345,MAX(0,$E345-SUMIFS($V345:$AG345,'Calc base'!$C$17:$N$17,"&lt;"&amp;'Calc base'!I$17,'Calc base'!$C$14:$N$14,1))))</f>
        <v>0</v>
      </c>
      <c r="AO345">
        <f>IF('Calc base'!J$14=0,0,MIN(AC345,MAX(0,$E345-SUMIFS($V345:$AG345,'Calc base'!$C$17:$N$17,"&lt;"&amp;'Calc base'!J$17,'Calc base'!$C$14:$N$14,1))))</f>
        <v>0</v>
      </c>
      <c r="AP345">
        <f>IF('Calc base'!K$14=0,0,MIN(AD345,MAX(0,$E345-SUMIFS($V345:$AG345,'Calc base'!$C$17:$N$17,"&lt;"&amp;'Calc base'!K$17,'Calc base'!$C$14:$N$14,1))))</f>
        <v>0</v>
      </c>
      <c r="AQ345">
        <f>IF('Calc base'!L$14=0,0,MIN(AE345,MAX(0,$E345-SUMIFS($V345:$AG345,'Calc base'!$C$17:$N$17,"&lt;"&amp;'Calc base'!L$17,'Calc base'!$C$14:$N$14,1))))</f>
        <v>0</v>
      </c>
      <c r="AR345">
        <f>IF('Calc base'!M$14=0,0,MIN(AF345,MAX(0,$E345-SUMIFS($V345:$AG345,'Calc base'!$C$17:$N$17,"&lt;"&amp;'Calc base'!M$17,'Calc base'!$C$14:$N$14,1))))</f>
        <v>0</v>
      </c>
      <c r="AS345">
        <f>IF('Calc base'!N$14=0,0,MIN(AG345,MAX(0,$E345-SUMIFS($V345:$AG345,'Calc base'!$C$17:$N$17,"&lt;"&amp;'Calc base'!N$17,'Calc base'!$C$14:$N$14,1))))</f>
        <v>0</v>
      </c>
      <c r="AT345">
        <f>V345-AH345</f>
        <v>0</v>
      </c>
      <c r="AU345">
        <f>W345-AI345</f>
        <v>0</v>
      </c>
      <c r="AV345">
        <f>X345-AJ345</f>
        <v>0</v>
      </c>
      <c r="AW345">
        <f>Y345-AK345</f>
        <v>0</v>
      </c>
      <c r="AX345">
        <f>Z345-AL345</f>
        <v>0</v>
      </c>
      <c r="AY345">
        <f>AA345-AM345</f>
        <v>0</v>
      </c>
      <c r="AZ345">
        <f>AB345-AN345</f>
        <v>0</v>
      </c>
      <c r="BA345">
        <f>AC345-AO345</f>
        <v>0</v>
      </c>
      <c r="BB345">
        <f>AD345-AP345</f>
        <v>0</v>
      </c>
      <c r="BC345">
        <f>AE345-AQ345</f>
        <v>0</v>
      </c>
      <c r="BD345">
        <f>AF345-AR345</f>
        <v>0</v>
      </c>
      <c r="BE345">
        <f>AG345-AS345</f>
        <v>0</v>
      </c>
    </row>
    <row r="346">
      <c r="A346" t="n">
        <v>316</v>
      </c>
      <c r="B346">
        <f>SUMPRODUCT(ROUND($AT345:$BE345*(1+'Calc base'!$H346:$S346),2))</f>
        <v>0</v>
      </c>
      <c r="C346">
        <f>SUM(J346:U346)</f>
        <v>0</v>
      </c>
      <c r="D346">
        <f>SUM(V346:AG346)</f>
        <v>0</v>
      </c>
      <c r="E346">
        <f>MAX(0,IF(Impostazioni!$B$7="No",'Calc base'!$C346-$C$31,'Calc base'!$C346-C346)+'Calc base'!$G346+'Calc base'!$F346-(B346-C346-D346))</f>
        <v>900</v>
      </c>
      <c r="F346">
        <f>SUM(AH346:AS346)</f>
        <v>0</v>
      </c>
      <c r="G346">
        <f>SUM(AT346:BE346)</f>
        <v>0</v>
      </c>
      <c r="H346">
        <f>B346-G345</f>
        <v>0</v>
      </c>
      <c r="I346">
        <f>B346-G346</f>
        <v>0</v>
      </c>
      <c r="J346">
        <f>IF(AT345&lt;=0,0,IF(ROUND(AT345*(1+'Calc base'!H346),2)-MAX('Calc base'!C$12,ROUND('Calc base'!C$13*AT345,2))&lt;1,ROUND(AT345*(1+'Calc base'!H346),2),MAX('Calc base'!C$12,ROUND('Calc base'!C$13*AT345,2))))</f>
        <v>0</v>
      </c>
      <c r="K346">
        <f>IF(AU345&lt;=0,0,IF(ROUND(AU345*(1+'Calc base'!I346),2)-MAX('Calc base'!D$12,ROUND('Calc base'!D$13*AU345,2))&lt;1,ROUND(AU345*(1+'Calc base'!I346),2),MAX('Calc base'!D$12,ROUND('Calc base'!D$13*AU345,2))))</f>
        <v>0</v>
      </c>
      <c r="L346">
        <f>IF(AV345&lt;=0,0,IF(ROUND(AV345*(1+'Calc base'!J346),2)-MAX('Calc base'!E$12,ROUND('Calc base'!E$13*AV345,2))&lt;1,ROUND(AV345*(1+'Calc base'!J346),2),MAX('Calc base'!E$12,ROUND('Calc base'!E$13*AV345,2))))</f>
        <v>0</v>
      </c>
      <c r="M346">
        <f>IF(AW345&lt;=0,0,IF(ROUND(AW345*(1+'Calc base'!K346),2)-MAX('Calc base'!F$12,ROUND('Calc base'!F$13*AW345,2))&lt;1,ROUND(AW345*(1+'Calc base'!K346),2),MAX('Calc base'!F$12,ROUND('Calc base'!F$13*AW345,2))))</f>
        <v>0</v>
      </c>
      <c r="N346">
        <f>IF(AX345&lt;=0,0,IF(ROUND(AX345*(1+'Calc base'!L346),2)-MAX('Calc base'!G$12,ROUND('Calc base'!G$13*AX345,2))&lt;1,ROUND(AX345*(1+'Calc base'!L346),2),MAX('Calc base'!G$12,ROUND('Calc base'!G$13*AX345,2))))</f>
        <v>0</v>
      </c>
      <c r="O346">
        <f>IF(AY345&lt;=0,0,IF(ROUND(AY345*(1+'Calc base'!M346),2)-MAX('Calc base'!H$12,ROUND('Calc base'!H$13*AY345,2))&lt;1,ROUND(AY345*(1+'Calc base'!M346),2),MAX('Calc base'!H$12,ROUND('Calc base'!H$13*AY345,2))))</f>
        <v>0</v>
      </c>
      <c r="P346">
        <f>IF(AZ345&lt;=0,0,IF(ROUND(AZ345*(1+'Calc base'!N346),2)-MAX('Calc base'!I$12,ROUND('Calc base'!I$13*AZ345,2))&lt;1,ROUND(AZ345*(1+'Calc base'!N346),2),MAX('Calc base'!I$12,ROUND('Calc base'!I$13*AZ345,2))))</f>
        <v>0</v>
      </c>
      <c r="Q346">
        <f>IF(BA345&lt;=0,0,IF(ROUND(BA345*(1+'Calc base'!O346),2)-MAX('Calc base'!J$12,ROUND('Calc base'!J$13*BA345,2))&lt;1,ROUND(BA345*(1+'Calc base'!O346),2),MAX('Calc base'!J$12,ROUND('Calc base'!J$13*BA345,2))))</f>
        <v>0</v>
      </c>
      <c r="R346">
        <f>IF(BB345&lt;=0,0,IF(ROUND(BB345*(1+'Calc base'!P346),2)-MAX('Calc base'!K$12,ROUND('Calc base'!K$13*BB345,2))&lt;1,ROUND(BB345*(1+'Calc base'!P346),2),MAX('Calc base'!K$12,ROUND('Calc base'!K$13*BB345,2))))</f>
        <v>0</v>
      </c>
      <c r="S346">
        <f>IF(BC345&lt;=0,0,IF(ROUND(BC345*(1+'Calc base'!Q346),2)-MAX('Calc base'!L$12,ROUND('Calc base'!L$13*BC345,2))&lt;1,ROUND(BC345*(1+'Calc base'!Q346),2),MAX('Calc base'!L$12,ROUND('Calc base'!L$13*BC345,2))))</f>
        <v>0</v>
      </c>
      <c r="T346">
        <f>IF(BD345&lt;=0,0,IF(ROUND(BD345*(1+'Calc base'!R346),2)-MAX('Calc base'!M$12,ROUND('Calc base'!M$13*BD345,2))&lt;1,ROUND(BD345*(1+'Calc base'!R346),2),MAX('Calc base'!M$12,ROUND('Calc base'!M$13*BD345,2))))</f>
        <v>0</v>
      </c>
      <c r="U346">
        <f>IF(BE345&lt;=0,0,IF(ROUND(BE345*(1+'Calc base'!S346),2)-MAX('Calc base'!N$12,ROUND('Calc base'!N$13*BE345,2))&lt;1,ROUND(BE345*(1+'Calc base'!S346),2),MAX('Calc base'!N$12,ROUND('Calc base'!N$13*BE345,2))))</f>
        <v>0</v>
      </c>
      <c r="V346">
        <f>MAX(0,ROUND(AT345*(1+'Calc base'!H346),2)-J346-'Calc base'!T346)</f>
        <v>0</v>
      </c>
      <c r="W346">
        <f>MAX(0,ROUND(AU345*(1+'Calc base'!I346),2)-K346-'Calc base'!U346)</f>
        <v>0</v>
      </c>
      <c r="X346">
        <f>MAX(0,ROUND(AV345*(1+'Calc base'!J346),2)-L346-'Calc base'!V346)</f>
        <v>0</v>
      </c>
      <c r="Y346">
        <f>MAX(0,ROUND(AW345*(1+'Calc base'!K346),2)-M346-'Calc base'!W346)</f>
        <v>0</v>
      </c>
      <c r="Z346">
        <f>MAX(0,ROUND(AX345*(1+'Calc base'!L346),2)-N346-'Calc base'!X346)</f>
        <v>0</v>
      </c>
      <c r="AA346">
        <f>MAX(0,ROUND(AY345*(1+'Calc base'!M346),2)-O346-'Calc base'!Y346)</f>
        <v>0</v>
      </c>
      <c r="AB346">
        <f>MAX(0,ROUND(AZ345*(1+'Calc base'!N346),2)-P346-'Calc base'!Z346)</f>
        <v>0</v>
      </c>
      <c r="AC346">
        <f>MAX(0,ROUND(BA345*(1+'Calc base'!O346),2)-Q346-'Calc base'!AA346)</f>
        <v>0</v>
      </c>
      <c r="AD346">
        <f>MAX(0,ROUND(BB345*(1+'Calc base'!P346),2)-R346-'Calc base'!AB346)</f>
        <v>0</v>
      </c>
      <c r="AE346">
        <f>MAX(0,ROUND(BC345*(1+'Calc base'!Q346),2)-S346-'Calc base'!AC346)</f>
        <v>0</v>
      </c>
      <c r="AF346">
        <f>MAX(0,ROUND(BD345*(1+'Calc base'!R346),2)-T346-'Calc base'!AD346)</f>
        <v>0</v>
      </c>
      <c r="AG346">
        <f>MAX(0,ROUND(BE345*(1+'Calc base'!S346),2)-U346-'Calc base'!AE346)</f>
        <v>0</v>
      </c>
      <c r="AH346">
        <f>IF('Calc base'!C$14=0,0,MIN(V346,MAX(0,$E346-SUMIFS($V346:$AG346,'Calc base'!$C$17:$N$17,"&lt;"&amp;'Calc base'!C$17,'Calc base'!$C$14:$N$14,1))))</f>
        <v>0</v>
      </c>
      <c r="AI346">
        <f>IF('Calc base'!D$14=0,0,MIN(W346,MAX(0,$E346-SUMIFS($V346:$AG346,'Calc base'!$C$17:$N$17,"&lt;"&amp;'Calc base'!D$17,'Calc base'!$C$14:$N$14,1))))</f>
        <v>0</v>
      </c>
      <c r="AJ346">
        <f>IF('Calc base'!E$14=0,0,MIN(X346,MAX(0,$E346-SUMIFS($V346:$AG346,'Calc base'!$C$17:$N$17,"&lt;"&amp;'Calc base'!E$17,'Calc base'!$C$14:$N$14,1))))</f>
        <v>0</v>
      </c>
      <c r="AK346">
        <f>IF('Calc base'!F$14=0,0,MIN(Y346,MAX(0,$E346-SUMIFS($V346:$AG346,'Calc base'!$C$17:$N$17,"&lt;"&amp;'Calc base'!F$17,'Calc base'!$C$14:$N$14,1))))</f>
        <v>0</v>
      </c>
      <c r="AL346">
        <f>IF('Calc base'!G$14=0,0,MIN(Z346,MAX(0,$E346-SUMIFS($V346:$AG346,'Calc base'!$C$17:$N$17,"&lt;"&amp;'Calc base'!G$17,'Calc base'!$C$14:$N$14,1))))</f>
        <v>0</v>
      </c>
      <c r="AM346">
        <f>IF('Calc base'!H$14=0,0,MIN(AA346,MAX(0,$E346-SUMIFS($V346:$AG346,'Calc base'!$C$17:$N$17,"&lt;"&amp;'Calc base'!H$17,'Calc base'!$C$14:$N$14,1))))</f>
        <v>0</v>
      </c>
      <c r="AN346">
        <f>IF('Calc base'!I$14=0,0,MIN(AB346,MAX(0,$E346-SUMIFS($V346:$AG346,'Calc base'!$C$17:$N$17,"&lt;"&amp;'Calc base'!I$17,'Calc base'!$C$14:$N$14,1))))</f>
        <v>0</v>
      </c>
      <c r="AO346">
        <f>IF('Calc base'!J$14=0,0,MIN(AC346,MAX(0,$E346-SUMIFS($V346:$AG346,'Calc base'!$C$17:$N$17,"&lt;"&amp;'Calc base'!J$17,'Calc base'!$C$14:$N$14,1))))</f>
        <v>0</v>
      </c>
      <c r="AP346">
        <f>IF('Calc base'!K$14=0,0,MIN(AD346,MAX(0,$E346-SUMIFS($V346:$AG346,'Calc base'!$C$17:$N$17,"&lt;"&amp;'Calc base'!K$17,'Calc base'!$C$14:$N$14,1))))</f>
        <v>0</v>
      </c>
      <c r="AQ346">
        <f>IF('Calc base'!L$14=0,0,MIN(AE346,MAX(0,$E346-SUMIFS($V346:$AG346,'Calc base'!$C$17:$N$17,"&lt;"&amp;'Calc base'!L$17,'Calc base'!$C$14:$N$14,1))))</f>
        <v>0</v>
      </c>
      <c r="AR346">
        <f>IF('Calc base'!M$14=0,0,MIN(AF346,MAX(0,$E346-SUMIFS($V346:$AG346,'Calc base'!$C$17:$N$17,"&lt;"&amp;'Calc base'!M$17,'Calc base'!$C$14:$N$14,1))))</f>
        <v>0</v>
      </c>
      <c r="AS346">
        <f>IF('Calc base'!N$14=0,0,MIN(AG346,MAX(0,$E346-SUMIFS($V346:$AG346,'Calc base'!$C$17:$N$17,"&lt;"&amp;'Calc base'!N$17,'Calc base'!$C$14:$N$14,1))))</f>
        <v>0</v>
      </c>
      <c r="AT346">
        <f>V346-AH346</f>
        <v>0</v>
      </c>
      <c r="AU346">
        <f>W346-AI346</f>
        <v>0</v>
      </c>
      <c r="AV346">
        <f>X346-AJ346</f>
        <v>0</v>
      </c>
      <c r="AW346">
        <f>Y346-AK346</f>
        <v>0</v>
      </c>
      <c r="AX346">
        <f>Z346-AL346</f>
        <v>0</v>
      </c>
      <c r="AY346">
        <f>AA346-AM346</f>
        <v>0</v>
      </c>
      <c r="AZ346">
        <f>AB346-AN346</f>
        <v>0</v>
      </c>
      <c r="BA346">
        <f>AC346-AO346</f>
        <v>0</v>
      </c>
      <c r="BB346">
        <f>AD346-AP346</f>
        <v>0</v>
      </c>
      <c r="BC346">
        <f>AE346-AQ346</f>
        <v>0</v>
      </c>
      <c r="BD346">
        <f>AF346-AR346</f>
        <v>0</v>
      </c>
      <c r="BE346">
        <f>AG346-AS346</f>
        <v>0</v>
      </c>
    </row>
    <row r="347">
      <c r="A347" t="n">
        <v>317</v>
      </c>
      <c r="B347">
        <f>SUMPRODUCT(ROUND($AT346:$BE346*(1+'Calc base'!$H347:$S347),2))</f>
        <v>0</v>
      </c>
      <c r="C347">
        <f>SUM(J347:U347)</f>
        <v>0</v>
      </c>
      <c r="D347">
        <f>SUM(V347:AG347)</f>
        <v>0</v>
      </c>
      <c r="E347">
        <f>MAX(0,IF(Impostazioni!$B$7="No",'Calc base'!$C347-$C$31,'Calc base'!$C347-C347)+'Calc base'!$G347+'Calc base'!$F347-(B347-C347-D347))</f>
        <v>900</v>
      </c>
      <c r="F347">
        <f>SUM(AH347:AS347)</f>
        <v>0</v>
      </c>
      <c r="G347">
        <f>SUM(AT347:BE347)</f>
        <v>0</v>
      </c>
      <c r="H347">
        <f>B347-G346</f>
        <v>0</v>
      </c>
      <c r="I347">
        <f>B347-G347</f>
        <v>0</v>
      </c>
      <c r="J347">
        <f>IF(AT346&lt;=0,0,IF(ROUND(AT346*(1+'Calc base'!H347),2)-MAX('Calc base'!C$12,ROUND('Calc base'!C$13*AT346,2))&lt;1,ROUND(AT346*(1+'Calc base'!H347),2),MAX('Calc base'!C$12,ROUND('Calc base'!C$13*AT346,2))))</f>
        <v>0</v>
      </c>
      <c r="K347">
        <f>IF(AU346&lt;=0,0,IF(ROUND(AU346*(1+'Calc base'!I347),2)-MAX('Calc base'!D$12,ROUND('Calc base'!D$13*AU346,2))&lt;1,ROUND(AU346*(1+'Calc base'!I347),2),MAX('Calc base'!D$12,ROUND('Calc base'!D$13*AU346,2))))</f>
        <v>0</v>
      </c>
      <c r="L347">
        <f>IF(AV346&lt;=0,0,IF(ROUND(AV346*(1+'Calc base'!J347),2)-MAX('Calc base'!E$12,ROUND('Calc base'!E$13*AV346,2))&lt;1,ROUND(AV346*(1+'Calc base'!J347),2),MAX('Calc base'!E$12,ROUND('Calc base'!E$13*AV346,2))))</f>
        <v>0</v>
      </c>
      <c r="M347">
        <f>IF(AW346&lt;=0,0,IF(ROUND(AW346*(1+'Calc base'!K347),2)-MAX('Calc base'!F$12,ROUND('Calc base'!F$13*AW346,2))&lt;1,ROUND(AW346*(1+'Calc base'!K347),2),MAX('Calc base'!F$12,ROUND('Calc base'!F$13*AW346,2))))</f>
        <v>0</v>
      </c>
      <c r="N347">
        <f>IF(AX346&lt;=0,0,IF(ROUND(AX346*(1+'Calc base'!L347),2)-MAX('Calc base'!G$12,ROUND('Calc base'!G$13*AX346,2))&lt;1,ROUND(AX346*(1+'Calc base'!L347),2),MAX('Calc base'!G$12,ROUND('Calc base'!G$13*AX346,2))))</f>
        <v>0</v>
      </c>
      <c r="O347">
        <f>IF(AY346&lt;=0,0,IF(ROUND(AY346*(1+'Calc base'!M347),2)-MAX('Calc base'!H$12,ROUND('Calc base'!H$13*AY346,2))&lt;1,ROUND(AY346*(1+'Calc base'!M347),2),MAX('Calc base'!H$12,ROUND('Calc base'!H$13*AY346,2))))</f>
        <v>0</v>
      </c>
      <c r="P347">
        <f>IF(AZ346&lt;=0,0,IF(ROUND(AZ346*(1+'Calc base'!N347),2)-MAX('Calc base'!I$12,ROUND('Calc base'!I$13*AZ346,2))&lt;1,ROUND(AZ346*(1+'Calc base'!N347),2),MAX('Calc base'!I$12,ROUND('Calc base'!I$13*AZ346,2))))</f>
        <v>0</v>
      </c>
      <c r="Q347">
        <f>IF(BA346&lt;=0,0,IF(ROUND(BA346*(1+'Calc base'!O347),2)-MAX('Calc base'!J$12,ROUND('Calc base'!J$13*BA346,2))&lt;1,ROUND(BA346*(1+'Calc base'!O347),2),MAX('Calc base'!J$12,ROUND('Calc base'!J$13*BA346,2))))</f>
        <v>0</v>
      </c>
      <c r="R347">
        <f>IF(BB346&lt;=0,0,IF(ROUND(BB346*(1+'Calc base'!P347),2)-MAX('Calc base'!K$12,ROUND('Calc base'!K$13*BB346,2))&lt;1,ROUND(BB346*(1+'Calc base'!P347),2),MAX('Calc base'!K$12,ROUND('Calc base'!K$13*BB346,2))))</f>
        <v>0</v>
      </c>
      <c r="S347">
        <f>IF(BC346&lt;=0,0,IF(ROUND(BC346*(1+'Calc base'!Q347),2)-MAX('Calc base'!L$12,ROUND('Calc base'!L$13*BC346,2))&lt;1,ROUND(BC346*(1+'Calc base'!Q347),2),MAX('Calc base'!L$12,ROUND('Calc base'!L$13*BC346,2))))</f>
        <v>0</v>
      </c>
      <c r="T347">
        <f>IF(BD346&lt;=0,0,IF(ROUND(BD346*(1+'Calc base'!R347),2)-MAX('Calc base'!M$12,ROUND('Calc base'!M$13*BD346,2))&lt;1,ROUND(BD346*(1+'Calc base'!R347),2),MAX('Calc base'!M$12,ROUND('Calc base'!M$13*BD346,2))))</f>
        <v>0</v>
      </c>
      <c r="U347">
        <f>IF(BE346&lt;=0,0,IF(ROUND(BE346*(1+'Calc base'!S347),2)-MAX('Calc base'!N$12,ROUND('Calc base'!N$13*BE346,2))&lt;1,ROUND(BE346*(1+'Calc base'!S347),2),MAX('Calc base'!N$12,ROUND('Calc base'!N$13*BE346,2))))</f>
        <v>0</v>
      </c>
      <c r="V347">
        <f>MAX(0,ROUND(AT346*(1+'Calc base'!H347),2)-J347-'Calc base'!T347)</f>
        <v>0</v>
      </c>
      <c r="W347">
        <f>MAX(0,ROUND(AU346*(1+'Calc base'!I347),2)-K347-'Calc base'!U347)</f>
        <v>0</v>
      </c>
      <c r="X347">
        <f>MAX(0,ROUND(AV346*(1+'Calc base'!J347),2)-L347-'Calc base'!V347)</f>
        <v>0</v>
      </c>
      <c r="Y347">
        <f>MAX(0,ROUND(AW346*(1+'Calc base'!K347),2)-M347-'Calc base'!W347)</f>
        <v>0</v>
      </c>
      <c r="Z347">
        <f>MAX(0,ROUND(AX346*(1+'Calc base'!L347),2)-N347-'Calc base'!X347)</f>
        <v>0</v>
      </c>
      <c r="AA347">
        <f>MAX(0,ROUND(AY346*(1+'Calc base'!M347),2)-O347-'Calc base'!Y347)</f>
        <v>0</v>
      </c>
      <c r="AB347">
        <f>MAX(0,ROUND(AZ346*(1+'Calc base'!N347),2)-P347-'Calc base'!Z347)</f>
        <v>0</v>
      </c>
      <c r="AC347">
        <f>MAX(0,ROUND(BA346*(1+'Calc base'!O347),2)-Q347-'Calc base'!AA347)</f>
        <v>0</v>
      </c>
      <c r="AD347">
        <f>MAX(0,ROUND(BB346*(1+'Calc base'!P347),2)-R347-'Calc base'!AB347)</f>
        <v>0</v>
      </c>
      <c r="AE347">
        <f>MAX(0,ROUND(BC346*(1+'Calc base'!Q347),2)-S347-'Calc base'!AC347)</f>
        <v>0</v>
      </c>
      <c r="AF347">
        <f>MAX(0,ROUND(BD346*(1+'Calc base'!R347),2)-T347-'Calc base'!AD347)</f>
        <v>0</v>
      </c>
      <c r="AG347">
        <f>MAX(0,ROUND(BE346*(1+'Calc base'!S347),2)-U347-'Calc base'!AE347)</f>
        <v>0</v>
      </c>
      <c r="AH347">
        <f>IF('Calc base'!C$14=0,0,MIN(V347,MAX(0,$E347-SUMIFS($V347:$AG347,'Calc base'!$C$17:$N$17,"&lt;"&amp;'Calc base'!C$17,'Calc base'!$C$14:$N$14,1))))</f>
        <v>0</v>
      </c>
      <c r="AI347">
        <f>IF('Calc base'!D$14=0,0,MIN(W347,MAX(0,$E347-SUMIFS($V347:$AG347,'Calc base'!$C$17:$N$17,"&lt;"&amp;'Calc base'!D$17,'Calc base'!$C$14:$N$14,1))))</f>
        <v>0</v>
      </c>
      <c r="AJ347">
        <f>IF('Calc base'!E$14=0,0,MIN(X347,MAX(0,$E347-SUMIFS($V347:$AG347,'Calc base'!$C$17:$N$17,"&lt;"&amp;'Calc base'!E$17,'Calc base'!$C$14:$N$14,1))))</f>
        <v>0</v>
      </c>
      <c r="AK347">
        <f>IF('Calc base'!F$14=0,0,MIN(Y347,MAX(0,$E347-SUMIFS($V347:$AG347,'Calc base'!$C$17:$N$17,"&lt;"&amp;'Calc base'!F$17,'Calc base'!$C$14:$N$14,1))))</f>
        <v>0</v>
      </c>
      <c r="AL347">
        <f>IF('Calc base'!G$14=0,0,MIN(Z347,MAX(0,$E347-SUMIFS($V347:$AG347,'Calc base'!$C$17:$N$17,"&lt;"&amp;'Calc base'!G$17,'Calc base'!$C$14:$N$14,1))))</f>
        <v>0</v>
      </c>
      <c r="AM347">
        <f>IF('Calc base'!H$14=0,0,MIN(AA347,MAX(0,$E347-SUMIFS($V347:$AG347,'Calc base'!$C$17:$N$17,"&lt;"&amp;'Calc base'!H$17,'Calc base'!$C$14:$N$14,1))))</f>
        <v>0</v>
      </c>
      <c r="AN347">
        <f>IF('Calc base'!I$14=0,0,MIN(AB347,MAX(0,$E347-SUMIFS($V347:$AG347,'Calc base'!$C$17:$N$17,"&lt;"&amp;'Calc base'!I$17,'Calc base'!$C$14:$N$14,1))))</f>
        <v>0</v>
      </c>
      <c r="AO347">
        <f>IF('Calc base'!J$14=0,0,MIN(AC347,MAX(0,$E347-SUMIFS($V347:$AG347,'Calc base'!$C$17:$N$17,"&lt;"&amp;'Calc base'!J$17,'Calc base'!$C$14:$N$14,1))))</f>
        <v>0</v>
      </c>
      <c r="AP347">
        <f>IF('Calc base'!K$14=0,0,MIN(AD347,MAX(0,$E347-SUMIFS($V347:$AG347,'Calc base'!$C$17:$N$17,"&lt;"&amp;'Calc base'!K$17,'Calc base'!$C$14:$N$14,1))))</f>
        <v>0</v>
      </c>
      <c r="AQ347">
        <f>IF('Calc base'!L$14=0,0,MIN(AE347,MAX(0,$E347-SUMIFS($V347:$AG347,'Calc base'!$C$17:$N$17,"&lt;"&amp;'Calc base'!L$17,'Calc base'!$C$14:$N$14,1))))</f>
        <v>0</v>
      </c>
      <c r="AR347">
        <f>IF('Calc base'!M$14=0,0,MIN(AF347,MAX(0,$E347-SUMIFS($V347:$AG347,'Calc base'!$C$17:$N$17,"&lt;"&amp;'Calc base'!M$17,'Calc base'!$C$14:$N$14,1))))</f>
        <v>0</v>
      </c>
      <c r="AS347">
        <f>IF('Calc base'!N$14=0,0,MIN(AG347,MAX(0,$E347-SUMIFS($V347:$AG347,'Calc base'!$C$17:$N$17,"&lt;"&amp;'Calc base'!N$17,'Calc base'!$C$14:$N$14,1))))</f>
        <v>0</v>
      </c>
      <c r="AT347">
        <f>V347-AH347</f>
        <v>0</v>
      </c>
      <c r="AU347">
        <f>W347-AI347</f>
        <v>0</v>
      </c>
      <c r="AV347">
        <f>X347-AJ347</f>
        <v>0</v>
      </c>
      <c r="AW347">
        <f>Y347-AK347</f>
        <v>0</v>
      </c>
      <c r="AX347">
        <f>Z347-AL347</f>
        <v>0</v>
      </c>
      <c r="AY347">
        <f>AA347-AM347</f>
        <v>0</v>
      </c>
      <c r="AZ347">
        <f>AB347-AN347</f>
        <v>0</v>
      </c>
      <c r="BA347">
        <f>AC347-AO347</f>
        <v>0</v>
      </c>
      <c r="BB347">
        <f>AD347-AP347</f>
        <v>0</v>
      </c>
      <c r="BC347">
        <f>AE347-AQ347</f>
        <v>0</v>
      </c>
      <c r="BD347">
        <f>AF347-AR347</f>
        <v>0</v>
      </c>
      <c r="BE347">
        <f>AG347-AS347</f>
        <v>0</v>
      </c>
    </row>
    <row r="348">
      <c r="A348" t="n">
        <v>318</v>
      </c>
      <c r="B348">
        <f>SUMPRODUCT(ROUND($AT347:$BE347*(1+'Calc base'!$H348:$S348),2))</f>
        <v>0</v>
      </c>
      <c r="C348">
        <f>SUM(J348:U348)</f>
        <v>0</v>
      </c>
      <c r="D348">
        <f>SUM(V348:AG348)</f>
        <v>0</v>
      </c>
      <c r="E348">
        <f>MAX(0,IF(Impostazioni!$B$7="No",'Calc base'!$C348-$C$31,'Calc base'!$C348-C348)+'Calc base'!$G348+'Calc base'!$F348-(B348-C348-D348))</f>
        <v>900</v>
      </c>
      <c r="F348">
        <f>SUM(AH348:AS348)</f>
        <v>0</v>
      </c>
      <c r="G348">
        <f>SUM(AT348:BE348)</f>
        <v>0</v>
      </c>
      <c r="H348">
        <f>B348-G347</f>
        <v>0</v>
      </c>
      <c r="I348">
        <f>B348-G348</f>
        <v>0</v>
      </c>
      <c r="J348">
        <f>IF(AT347&lt;=0,0,IF(ROUND(AT347*(1+'Calc base'!H348),2)-MAX('Calc base'!C$12,ROUND('Calc base'!C$13*AT347,2))&lt;1,ROUND(AT347*(1+'Calc base'!H348),2),MAX('Calc base'!C$12,ROUND('Calc base'!C$13*AT347,2))))</f>
        <v>0</v>
      </c>
      <c r="K348">
        <f>IF(AU347&lt;=0,0,IF(ROUND(AU347*(1+'Calc base'!I348),2)-MAX('Calc base'!D$12,ROUND('Calc base'!D$13*AU347,2))&lt;1,ROUND(AU347*(1+'Calc base'!I348),2),MAX('Calc base'!D$12,ROUND('Calc base'!D$13*AU347,2))))</f>
        <v>0</v>
      </c>
      <c r="L348">
        <f>IF(AV347&lt;=0,0,IF(ROUND(AV347*(1+'Calc base'!J348),2)-MAX('Calc base'!E$12,ROUND('Calc base'!E$13*AV347,2))&lt;1,ROUND(AV347*(1+'Calc base'!J348),2),MAX('Calc base'!E$12,ROUND('Calc base'!E$13*AV347,2))))</f>
        <v>0</v>
      </c>
      <c r="M348">
        <f>IF(AW347&lt;=0,0,IF(ROUND(AW347*(1+'Calc base'!K348),2)-MAX('Calc base'!F$12,ROUND('Calc base'!F$13*AW347,2))&lt;1,ROUND(AW347*(1+'Calc base'!K348),2),MAX('Calc base'!F$12,ROUND('Calc base'!F$13*AW347,2))))</f>
        <v>0</v>
      </c>
      <c r="N348">
        <f>IF(AX347&lt;=0,0,IF(ROUND(AX347*(1+'Calc base'!L348),2)-MAX('Calc base'!G$12,ROUND('Calc base'!G$13*AX347,2))&lt;1,ROUND(AX347*(1+'Calc base'!L348),2),MAX('Calc base'!G$12,ROUND('Calc base'!G$13*AX347,2))))</f>
        <v>0</v>
      </c>
      <c r="O348">
        <f>IF(AY347&lt;=0,0,IF(ROUND(AY347*(1+'Calc base'!M348),2)-MAX('Calc base'!H$12,ROUND('Calc base'!H$13*AY347,2))&lt;1,ROUND(AY347*(1+'Calc base'!M348),2),MAX('Calc base'!H$12,ROUND('Calc base'!H$13*AY347,2))))</f>
        <v>0</v>
      </c>
      <c r="P348">
        <f>IF(AZ347&lt;=0,0,IF(ROUND(AZ347*(1+'Calc base'!N348),2)-MAX('Calc base'!I$12,ROUND('Calc base'!I$13*AZ347,2))&lt;1,ROUND(AZ347*(1+'Calc base'!N348),2),MAX('Calc base'!I$12,ROUND('Calc base'!I$13*AZ347,2))))</f>
        <v>0</v>
      </c>
      <c r="Q348">
        <f>IF(BA347&lt;=0,0,IF(ROUND(BA347*(1+'Calc base'!O348),2)-MAX('Calc base'!J$12,ROUND('Calc base'!J$13*BA347,2))&lt;1,ROUND(BA347*(1+'Calc base'!O348),2),MAX('Calc base'!J$12,ROUND('Calc base'!J$13*BA347,2))))</f>
        <v>0</v>
      </c>
      <c r="R348">
        <f>IF(BB347&lt;=0,0,IF(ROUND(BB347*(1+'Calc base'!P348),2)-MAX('Calc base'!K$12,ROUND('Calc base'!K$13*BB347,2))&lt;1,ROUND(BB347*(1+'Calc base'!P348),2),MAX('Calc base'!K$12,ROUND('Calc base'!K$13*BB347,2))))</f>
        <v>0</v>
      </c>
      <c r="S348">
        <f>IF(BC347&lt;=0,0,IF(ROUND(BC347*(1+'Calc base'!Q348),2)-MAX('Calc base'!L$12,ROUND('Calc base'!L$13*BC347,2))&lt;1,ROUND(BC347*(1+'Calc base'!Q348),2),MAX('Calc base'!L$12,ROUND('Calc base'!L$13*BC347,2))))</f>
        <v>0</v>
      </c>
      <c r="T348">
        <f>IF(BD347&lt;=0,0,IF(ROUND(BD347*(1+'Calc base'!R348),2)-MAX('Calc base'!M$12,ROUND('Calc base'!M$13*BD347,2))&lt;1,ROUND(BD347*(1+'Calc base'!R348),2),MAX('Calc base'!M$12,ROUND('Calc base'!M$13*BD347,2))))</f>
        <v>0</v>
      </c>
      <c r="U348">
        <f>IF(BE347&lt;=0,0,IF(ROUND(BE347*(1+'Calc base'!S348),2)-MAX('Calc base'!N$12,ROUND('Calc base'!N$13*BE347,2))&lt;1,ROUND(BE347*(1+'Calc base'!S348),2),MAX('Calc base'!N$12,ROUND('Calc base'!N$13*BE347,2))))</f>
        <v>0</v>
      </c>
      <c r="V348">
        <f>MAX(0,ROUND(AT347*(1+'Calc base'!H348),2)-J348-'Calc base'!T348)</f>
        <v>0</v>
      </c>
      <c r="W348">
        <f>MAX(0,ROUND(AU347*(1+'Calc base'!I348),2)-K348-'Calc base'!U348)</f>
        <v>0</v>
      </c>
      <c r="X348">
        <f>MAX(0,ROUND(AV347*(1+'Calc base'!J348),2)-L348-'Calc base'!V348)</f>
        <v>0</v>
      </c>
      <c r="Y348">
        <f>MAX(0,ROUND(AW347*(1+'Calc base'!K348),2)-M348-'Calc base'!W348)</f>
        <v>0</v>
      </c>
      <c r="Z348">
        <f>MAX(0,ROUND(AX347*(1+'Calc base'!L348),2)-N348-'Calc base'!X348)</f>
        <v>0</v>
      </c>
      <c r="AA348">
        <f>MAX(0,ROUND(AY347*(1+'Calc base'!M348),2)-O348-'Calc base'!Y348)</f>
        <v>0</v>
      </c>
      <c r="AB348">
        <f>MAX(0,ROUND(AZ347*(1+'Calc base'!N348),2)-P348-'Calc base'!Z348)</f>
        <v>0</v>
      </c>
      <c r="AC348">
        <f>MAX(0,ROUND(BA347*(1+'Calc base'!O348),2)-Q348-'Calc base'!AA348)</f>
        <v>0</v>
      </c>
      <c r="AD348">
        <f>MAX(0,ROUND(BB347*(1+'Calc base'!P348),2)-R348-'Calc base'!AB348)</f>
        <v>0</v>
      </c>
      <c r="AE348">
        <f>MAX(0,ROUND(BC347*(1+'Calc base'!Q348),2)-S348-'Calc base'!AC348)</f>
        <v>0</v>
      </c>
      <c r="AF348">
        <f>MAX(0,ROUND(BD347*(1+'Calc base'!R348),2)-T348-'Calc base'!AD348)</f>
        <v>0</v>
      </c>
      <c r="AG348">
        <f>MAX(0,ROUND(BE347*(1+'Calc base'!S348),2)-U348-'Calc base'!AE348)</f>
        <v>0</v>
      </c>
      <c r="AH348">
        <f>IF('Calc base'!C$14=0,0,MIN(V348,MAX(0,$E348-SUMIFS($V348:$AG348,'Calc base'!$C$17:$N$17,"&lt;"&amp;'Calc base'!C$17,'Calc base'!$C$14:$N$14,1))))</f>
        <v>0</v>
      </c>
      <c r="AI348">
        <f>IF('Calc base'!D$14=0,0,MIN(W348,MAX(0,$E348-SUMIFS($V348:$AG348,'Calc base'!$C$17:$N$17,"&lt;"&amp;'Calc base'!D$17,'Calc base'!$C$14:$N$14,1))))</f>
        <v>0</v>
      </c>
      <c r="AJ348">
        <f>IF('Calc base'!E$14=0,0,MIN(X348,MAX(0,$E348-SUMIFS($V348:$AG348,'Calc base'!$C$17:$N$17,"&lt;"&amp;'Calc base'!E$17,'Calc base'!$C$14:$N$14,1))))</f>
        <v>0</v>
      </c>
      <c r="AK348">
        <f>IF('Calc base'!F$14=0,0,MIN(Y348,MAX(0,$E348-SUMIFS($V348:$AG348,'Calc base'!$C$17:$N$17,"&lt;"&amp;'Calc base'!F$17,'Calc base'!$C$14:$N$14,1))))</f>
        <v>0</v>
      </c>
      <c r="AL348">
        <f>IF('Calc base'!G$14=0,0,MIN(Z348,MAX(0,$E348-SUMIFS($V348:$AG348,'Calc base'!$C$17:$N$17,"&lt;"&amp;'Calc base'!G$17,'Calc base'!$C$14:$N$14,1))))</f>
        <v>0</v>
      </c>
      <c r="AM348">
        <f>IF('Calc base'!H$14=0,0,MIN(AA348,MAX(0,$E348-SUMIFS($V348:$AG348,'Calc base'!$C$17:$N$17,"&lt;"&amp;'Calc base'!H$17,'Calc base'!$C$14:$N$14,1))))</f>
        <v>0</v>
      </c>
      <c r="AN348">
        <f>IF('Calc base'!I$14=0,0,MIN(AB348,MAX(0,$E348-SUMIFS($V348:$AG348,'Calc base'!$C$17:$N$17,"&lt;"&amp;'Calc base'!I$17,'Calc base'!$C$14:$N$14,1))))</f>
        <v>0</v>
      </c>
      <c r="AO348">
        <f>IF('Calc base'!J$14=0,0,MIN(AC348,MAX(0,$E348-SUMIFS($V348:$AG348,'Calc base'!$C$17:$N$17,"&lt;"&amp;'Calc base'!J$17,'Calc base'!$C$14:$N$14,1))))</f>
        <v>0</v>
      </c>
      <c r="AP348">
        <f>IF('Calc base'!K$14=0,0,MIN(AD348,MAX(0,$E348-SUMIFS($V348:$AG348,'Calc base'!$C$17:$N$17,"&lt;"&amp;'Calc base'!K$17,'Calc base'!$C$14:$N$14,1))))</f>
        <v>0</v>
      </c>
      <c r="AQ348">
        <f>IF('Calc base'!L$14=0,0,MIN(AE348,MAX(0,$E348-SUMIFS($V348:$AG348,'Calc base'!$C$17:$N$17,"&lt;"&amp;'Calc base'!L$17,'Calc base'!$C$14:$N$14,1))))</f>
        <v>0</v>
      </c>
      <c r="AR348">
        <f>IF('Calc base'!M$14=0,0,MIN(AF348,MAX(0,$E348-SUMIFS($V348:$AG348,'Calc base'!$C$17:$N$17,"&lt;"&amp;'Calc base'!M$17,'Calc base'!$C$14:$N$14,1))))</f>
        <v>0</v>
      </c>
      <c r="AS348">
        <f>IF('Calc base'!N$14=0,0,MIN(AG348,MAX(0,$E348-SUMIFS($V348:$AG348,'Calc base'!$C$17:$N$17,"&lt;"&amp;'Calc base'!N$17,'Calc base'!$C$14:$N$14,1))))</f>
        <v>0</v>
      </c>
      <c r="AT348">
        <f>V348-AH348</f>
        <v>0</v>
      </c>
      <c r="AU348">
        <f>W348-AI348</f>
        <v>0</v>
      </c>
      <c r="AV348">
        <f>X348-AJ348</f>
        <v>0</v>
      </c>
      <c r="AW348">
        <f>Y348-AK348</f>
        <v>0</v>
      </c>
      <c r="AX348">
        <f>Z348-AL348</f>
        <v>0</v>
      </c>
      <c r="AY348">
        <f>AA348-AM348</f>
        <v>0</v>
      </c>
      <c r="AZ348">
        <f>AB348-AN348</f>
        <v>0</v>
      </c>
      <c r="BA348">
        <f>AC348-AO348</f>
        <v>0</v>
      </c>
      <c r="BB348">
        <f>AD348-AP348</f>
        <v>0</v>
      </c>
      <c r="BC348">
        <f>AE348-AQ348</f>
        <v>0</v>
      </c>
      <c r="BD348">
        <f>AF348-AR348</f>
        <v>0</v>
      </c>
      <c r="BE348">
        <f>AG348-AS348</f>
        <v>0</v>
      </c>
    </row>
    <row r="349">
      <c r="A349" t="n">
        <v>319</v>
      </c>
      <c r="B349">
        <f>SUMPRODUCT(ROUND($AT348:$BE348*(1+'Calc base'!$H349:$S349),2))</f>
        <v>0</v>
      </c>
      <c r="C349">
        <f>SUM(J349:U349)</f>
        <v>0</v>
      </c>
      <c r="D349">
        <f>SUM(V349:AG349)</f>
        <v>0</v>
      </c>
      <c r="E349">
        <f>MAX(0,IF(Impostazioni!$B$7="No",'Calc base'!$C349-$C$31,'Calc base'!$C349-C349)+'Calc base'!$G349+'Calc base'!$F349-(B349-C349-D349))</f>
        <v>900</v>
      </c>
      <c r="F349">
        <f>SUM(AH349:AS349)</f>
        <v>0</v>
      </c>
      <c r="G349">
        <f>SUM(AT349:BE349)</f>
        <v>0</v>
      </c>
      <c r="H349">
        <f>B349-G348</f>
        <v>0</v>
      </c>
      <c r="I349">
        <f>B349-G349</f>
        <v>0</v>
      </c>
      <c r="J349">
        <f>IF(AT348&lt;=0,0,IF(ROUND(AT348*(1+'Calc base'!H349),2)-MAX('Calc base'!C$12,ROUND('Calc base'!C$13*AT348,2))&lt;1,ROUND(AT348*(1+'Calc base'!H349),2),MAX('Calc base'!C$12,ROUND('Calc base'!C$13*AT348,2))))</f>
        <v>0</v>
      </c>
      <c r="K349">
        <f>IF(AU348&lt;=0,0,IF(ROUND(AU348*(1+'Calc base'!I349),2)-MAX('Calc base'!D$12,ROUND('Calc base'!D$13*AU348,2))&lt;1,ROUND(AU348*(1+'Calc base'!I349),2),MAX('Calc base'!D$12,ROUND('Calc base'!D$13*AU348,2))))</f>
        <v>0</v>
      </c>
      <c r="L349">
        <f>IF(AV348&lt;=0,0,IF(ROUND(AV348*(1+'Calc base'!J349),2)-MAX('Calc base'!E$12,ROUND('Calc base'!E$13*AV348,2))&lt;1,ROUND(AV348*(1+'Calc base'!J349),2),MAX('Calc base'!E$12,ROUND('Calc base'!E$13*AV348,2))))</f>
        <v>0</v>
      </c>
      <c r="M349">
        <f>IF(AW348&lt;=0,0,IF(ROUND(AW348*(1+'Calc base'!K349),2)-MAX('Calc base'!F$12,ROUND('Calc base'!F$13*AW348,2))&lt;1,ROUND(AW348*(1+'Calc base'!K349),2),MAX('Calc base'!F$12,ROUND('Calc base'!F$13*AW348,2))))</f>
        <v>0</v>
      </c>
      <c r="N349">
        <f>IF(AX348&lt;=0,0,IF(ROUND(AX348*(1+'Calc base'!L349),2)-MAX('Calc base'!G$12,ROUND('Calc base'!G$13*AX348,2))&lt;1,ROUND(AX348*(1+'Calc base'!L349),2),MAX('Calc base'!G$12,ROUND('Calc base'!G$13*AX348,2))))</f>
        <v>0</v>
      </c>
      <c r="O349">
        <f>IF(AY348&lt;=0,0,IF(ROUND(AY348*(1+'Calc base'!M349),2)-MAX('Calc base'!H$12,ROUND('Calc base'!H$13*AY348,2))&lt;1,ROUND(AY348*(1+'Calc base'!M349),2),MAX('Calc base'!H$12,ROUND('Calc base'!H$13*AY348,2))))</f>
        <v>0</v>
      </c>
      <c r="P349">
        <f>IF(AZ348&lt;=0,0,IF(ROUND(AZ348*(1+'Calc base'!N349),2)-MAX('Calc base'!I$12,ROUND('Calc base'!I$13*AZ348,2))&lt;1,ROUND(AZ348*(1+'Calc base'!N349),2),MAX('Calc base'!I$12,ROUND('Calc base'!I$13*AZ348,2))))</f>
        <v>0</v>
      </c>
      <c r="Q349">
        <f>IF(BA348&lt;=0,0,IF(ROUND(BA348*(1+'Calc base'!O349),2)-MAX('Calc base'!J$12,ROUND('Calc base'!J$13*BA348,2))&lt;1,ROUND(BA348*(1+'Calc base'!O349),2),MAX('Calc base'!J$12,ROUND('Calc base'!J$13*BA348,2))))</f>
        <v>0</v>
      </c>
      <c r="R349">
        <f>IF(BB348&lt;=0,0,IF(ROUND(BB348*(1+'Calc base'!P349),2)-MAX('Calc base'!K$12,ROUND('Calc base'!K$13*BB348,2))&lt;1,ROUND(BB348*(1+'Calc base'!P349),2),MAX('Calc base'!K$12,ROUND('Calc base'!K$13*BB348,2))))</f>
        <v>0</v>
      </c>
      <c r="S349">
        <f>IF(BC348&lt;=0,0,IF(ROUND(BC348*(1+'Calc base'!Q349),2)-MAX('Calc base'!L$12,ROUND('Calc base'!L$13*BC348,2))&lt;1,ROUND(BC348*(1+'Calc base'!Q349),2),MAX('Calc base'!L$12,ROUND('Calc base'!L$13*BC348,2))))</f>
        <v>0</v>
      </c>
      <c r="T349">
        <f>IF(BD348&lt;=0,0,IF(ROUND(BD348*(1+'Calc base'!R349),2)-MAX('Calc base'!M$12,ROUND('Calc base'!M$13*BD348,2))&lt;1,ROUND(BD348*(1+'Calc base'!R349),2),MAX('Calc base'!M$12,ROUND('Calc base'!M$13*BD348,2))))</f>
        <v>0</v>
      </c>
      <c r="U349">
        <f>IF(BE348&lt;=0,0,IF(ROUND(BE348*(1+'Calc base'!S349),2)-MAX('Calc base'!N$12,ROUND('Calc base'!N$13*BE348,2))&lt;1,ROUND(BE348*(1+'Calc base'!S349),2),MAX('Calc base'!N$12,ROUND('Calc base'!N$13*BE348,2))))</f>
        <v>0</v>
      </c>
      <c r="V349">
        <f>MAX(0,ROUND(AT348*(1+'Calc base'!H349),2)-J349-'Calc base'!T349)</f>
        <v>0</v>
      </c>
      <c r="W349">
        <f>MAX(0,ROUND(AU348*(1+'Calc base'!I349),2)-K349-'Calc base'!U349)</f>
        <v>0</v>
      </c>
      <c r="X349">
        <f>MAX(0,ROUND(AV348*(1+'Calc base'!J349),2)-L349-'Calc base'!V349)</f>
        <v>0</v>
      </c>
      <c r="Y349">
        <f>MAX(0,ROUND(AW348*(1+'Calc base'!K349),2)-M349-'Calc base'!W349)</f>
        <v>0</v>
      </c>
      <c r="Z349">
        <f>MAX(0,ROUND(AX348*(1+'Calc base'!L349),2)-N349-'Calc base'!X349)</f>
        <v>0</v>
      </c>
      <c r="AA349">
        <f>MAX(0,ROUND(AY348*(1+'Calc base'!M349),2)-O349-'Calc base'!Y349)</f>
        <v>0</v>
      </c>
      <c r="AB349">
        <f>MAX(0,ROUND(AZ348*(1+'Calc base'!N349),2)-P349-'Calc base'!Z349)</f>
        <v>0</v>
      </c>
      <c r="AC349">
        <f>MAX(0,ROUND(BA348*(1+'Calc base'!O349),2)-Q349-'Calc base'!AA349)</f>
        <v>0</v>
      </c>
      <c r="AD349">
        <f>MAX(0,ROUND(BB348*(1+'Calc base'!P349),2)-R349-'Calc base'!AB349)</f>
        <v>0</v>
      </c>
      <c r="AE349">
        <f>MAX(0,ROUND(BC348*(1+'Calc base'!Q349),2)-S349-'Calc base'!AC349)</f>
        <v>0</v>
      </c>
      <c r="AF349">
        <f>MAX(0,ROUND(BD348*(1+'Calc base'!R349),2)-T349-'Calc base'!AD349)</f>
        <v>0</v>
      </c>
      <c r="AG349">
        <f>MAX(0,ROUND(BE348*(1+'Calc base'!S349),2)-U349-'Calc base'!AE349)</f>
        <v>0</v>
      </c>
      <c r="AH349">
        <f>IF('Calc base'!C$14=0,0,MIN(V349,MAX(0,$E349-SUMIFS($V349:$AG349,'Calc base'!$C$17:$N$17,"&lt;"&amp;'Calc base'!C$17,'Calc base'!$C$14:$N$14,1))))</f>
        <v>0</v>
      </c>
      <c r="AI349">
        <f>IF('Calc base'!D$14=0,0,MIN(W349,MAX(0,$E349-SUMIFS($V349:$AG349,'Calc base'!$C$17:$N$17,"&lt;"&amp;'Calc base'!D$17,'Calc base'!$C$14:$N$14,1))))</f>
        <v>0</v>
      </c>
      <c r="AJ349">
        <f>IF('Calc base'!E$14=0,0,MIN(X349,MAX(0,$E349-SUMIFS($V349:$AG349,'Calc base'!$C$17:$N$17,"&lt;"&amp;'Calc base'!E$17,'Calc base'!$C$14:$N$14,1))))</f>
        <v>0</v>
      </c>
      <c r="AK349">
        <f>IF('Calc base'!F$14=0,0,MIN(Y349,MAX(0,$E349-SUMIFS($V349:$AG349,'Calc base'!$C$17:$N$17,"&lt;"&amp;'Calc base'!F$17,'Calc base'!$C$14:$N$14,1))))</f>
        <v>0</v>
      </c>
      <c r="AL349">
        <f>IF('Calc base'!G$14=0,0,MIN(Z349,MAX(0,$E349-SUMIFS($V349:$AG349,'Calc base'!$C$17:$N$17,"&lt;"&amp;'Calc base'!G$17,'Calc base'!$C$14:$N$14,1))))</f>
        <v>0</v>
      </c>
      <c r="AM349">
        <f>IF('Calc base'!H$14=0,0,MIN(AA349,MAX(0,$E349-SUMIFS($V349:$AG349,'Calc base'!$C$17:$N$17,"&lt;"&amp;'Calc base'!H$17,'Calc base'!$C$14:$N$14,1))))</f>
        <v>0</v>
      </c>
      <c r="AN349">
        <f>IF('Calc base'!I$14=0,0,MIN(AB349,MAX(0,$E349-SUMIFS($V349:$AG349,'Calc base'!$C$17:$N$17,"&lt;"&amp;'Calc base'!I$17,'Calc base'!$C$14:$N$14,1))))</f>
        <v>0</v>
      </c>
      <c r="AO349">
        <f>IF('Calc base'!J$14=0,0,MIN(AC349,MAX(0,$E349-SUMIFS($V349:$AG349,'Calc base'!$C$17:$N$17,"&lt;"&amp;'Calc base'!J$17,'Calc base'!$C$14:$N$14,1))))</f>
        <v>0</v>
      </c>
      <c r="AP349">
        <f>IF('Calc base'!K$14=0,0,MIN(AD349,MAX(0,$E349-SUMIFS($V349:$AG349,'Calc base'!$C$17:$N$17,"&lt;"&amp;'Calc base'!K$17,'Calc base'!$C$14:$N$14,1))))</f>
        <v>0</v>
      </c>
      <c r="AQ349">
        <f>IF('Calc base'!L$14=0,0,MIN(AE349,MAX(0,$E349-SUMIFS($V349:$AG349,'Calc base'!$C$17:$N$17,"&lt;"&amp;'Calc base'!L$17,'Calc base'!$C$14:$N$14,1))))</f>
        <v>0</v>
      </c>
      <c r="AR349">
        <f>IF('Calc base'!M$14=0,0,MIN(AF349,MAX(0,$E349-SUMIFS($V349:$AG349,'Calc base'!$C$17:$N$17,"&lt;"&amp;'Calc base'!M$17,'Calc base'!$C$14:$N$14,1))))</f>
        <v>0</v>
      </c>
      <c r="AS349">
        <f>IF('Calc base'!N$14=0,0,MIN(AG349,MAX(0,$E349-SUMIFS($V349:$AG349,'Calc base'!$C$17:$N$17,"&lt;"&amp;'Calc base'!N$17,'Calc base'!$C$14:$N$14,1))))</f>
        <v>0</v>
      </c>
      <c r="AT349">
        <f>V349-AH349</f>
        <v>0</v>
      </c>
      <c r="AU349">
        <f>W349-AI349</f>
        <v>0</v>
      </c>
      <c r="AV349">
        <f>X349-AJ349</f>
        <v>0</v>
      </c>
      <c r="AW349">
        <f>Y349-AK349</f>
        <v>0</v>
      </c>
      <c r="AX349">
        <f>Z349-AL349</f>
        <v>0</v>
      </c>
      <c r="AY349">
        <f>AA349-AM349</f>
        <v>0</v>
      </c>
      <c r="AZ349">
        <f>AB349-AN349</f>
        <v>0</v>
      </c>
      <c r="BA349">
        <f>AC349-AO349</f>
        <v>0</v>
      </c>
      <c r="BB349">
        <f>AD349-AP349</f>
        <v>0</v>
      </c>
      <c r="BC349">
        <f>AE349-AQ349</f>
        <v>0</v>
      </c>
      <c r="BD349">
        <f>AF349-AR349</f>
        <v>0</v>
      </c>
      <c r="BE349">
        <f>AG349-AS349</f>
        <v>0</v>
      </c>
    </row>
    <row r="350">
      <c r="A350" t="n">
        <v>320</v>
      </c>
      <c r="B350">
        <f>SUMPRODUCT(ROUND($AT349:$BE349*(1+'Calc base'!$H350:$S350),2))</f>
        <v>0</v>
      </c>
      <c r="C350">
        <f>SUM(J350:U350)</f>
        <v>0</v>
      </c>
      <c r="D350">
        <f>SUM(V350:AG350)</f>
        <v>0</v>
      </c>
      <c r="E350">
        <f>MAX(0,IF(Impostazioni!$B$7="No",'Calc base'!$C350-$C$31,'Calc base'!$C350-C350)+'Calc base'!$G350+'Calc base'!$F350-(B350-C350-D350))</f>
        <v>900</v>
      </c>
      <c r="F350">
        <f>SUM(AH350:AS350)</f>
        <v>0</v>
      </c>
      <c r="G350">
        <f>SUM(AT350:BE350)</f>
        <v>0</v>
      </c>
      <c r="H350">
        <f>B350-G349</f>
        <v>0</v>
      </c>
      <c r="I350">
        <f>B350-G350</f>
        <v>0</v>
      </c>
      <c r="J350">
        <f>IF(AT349&lt;=0,0,IF(ROUND(AT349*(1+'Calc base'!H350),2)-MAX('Calc base'!C$12,ROUND('Calc base'!C$13*AT349,2))&lt;1,ROUND(AT349*(1+'Calc base'!H350),2),MAX('Calc base'!C$12,ROUND('Calc base'!C$13*AT349,2))))</f>
        <v>0</v>
      </c>
      <c r="K350">
        <f>IF(AU349&lt;=0,0,IF(ROUND(AU349*(1+'Calc base'!I350),2)-MAX('Calc base'!D$12,ROUND('Calc base'!D$13*AU349,2))&lt;1,ROUND(AU349*(1+'Calc base'!I350),2),MAX('Calc base'!D$12,ROUND('Calc base'!D$13*AU349,2))))</f>
        <v>0</v>
      </c>
      <c r="L350">
        <f>IF(AV349&lt;=0,0,IF(ROUND(AV349*(1+'Calc base'!J350),2)-MAX('Calc base'!E$12,ROUND('Calc base'!E$13*AV349,2))&lt;1,ROUND(AV349*(1+'Calc base'!J350),2),MAX('Calc base'!E$12,ROUND('Calc base'!E$13*AV349,2))))</f>
        <v>0</v>
      </c>
      <c r="M350">
        <f>IF(AW349&lt;=0,0,IF(ROUND(AW349*(1+'Calc base'!K350),2)-MAX('Calc base'!F$12,ROUND('Calc base'!F$13*AW349,2))&lt;1,ROUND(AW349*(1+'Calc base'!K350),2),MAX('Calc base'!F$12,ROUND('Calc base'!F$13*AW349,2))))</f>
        <v>0</v>
      </c>
      <c r="N350">
        <f>IF(AX349&lt;=0,0,IF(ROUND(AX349*(1+'Calc base'!L350),2)-MAX('Calc base'!G$12,ROUND('Calc base'!G$13*AX349,2))&lt;1,ROUND(AX349*(1+'Calc base'!L350),2),MAX('Calc base'!G$12,ROUND('Calc base'!G$13*AX349,2))))</f>
        <v>0</v>
      </c>
      <c r="O350">
        <f>IF(AY349&lt;=0,0,IF(ROUND(AY349*(1+'Calc base'!M350),2)-MAX('Calc base'!H$12,ROUND('Calc base'!H$13*AY349,2))&lt;1,ROUND(AY349*(1+'Calc base'!M350),2),MAX('Calc base'!H$12,ROUND('Calc base'!H$13*AY349,2))))</f>
        <v>0</v>
      </c>
      <c r="P350">
        <f>IF(AZ349&lt;=0,0,IF(ROUND(AZ349*(1+'Calc base'!N350),2)-MAX('Calc base'!I$12,ROUND('Calc base'!I$13*AZ349,2))&lt;1,ROUND(AZ349*(1+'Calc base'!N350),2),MAX('Calc base'!I$12,ROUND('Calc base'!I$13*AZ349,2))))</f>
        <v>0</v>
      </c>
      <c r="Q350">
        <f>IF(BA349&lt;=0,0,IF(ROUND(BA349*(1+'Calc base'!O350),2)-MAX('Calc base'!J$12,ROUND('Calc base'!J$13*BA349,2))&lt;1,ROUND(BA349*(1+'Calc base'!O350),2),MAX('Calc base'!J$12,ROUND('Calc base'!J$13*BA349,2))))</f>
        <v>0</v>
      </c>
      <c r="R350">
        <f>IF(BB349&lt;=0,0,IF(ROUND(BB349*(1+'Calc base'!P350),2)-MAX('Calc base'!K$12,ROUND('Calc base'!K$13*BB349,2))&lt;1,ROUND(BB349*(1+'Calc base'!P350),2),MAX('Calc base'!K$12,ROUND('Calc base'!K$13*BB349,2))))</f>
        <v>0</v>
      </c>
      <c r="S350">
        <f>IF(BC349&lt;=0,0,IF(ROUND(BC349*(1+'Calc base'!Q350),2)-MAX('Calc base'!L$12,ROUND('Calc base'!L$13*BC349,2))&lt;1,ROUND(BC349*(1+'Calc base'!Q350),2),MAX('Calc base'!L$12,ROUND('Calc base'!L$13*BC349,2))))</f>
        <v>0</v>
      </c>
      <c r="T350">
        <f>IF(BD349&lt;=0,0,IF(ROUND(BD349*(1+'Calc base'!R350),2)-MAX('Calc base'!M$12,ROUND('Calc base'!M$13*BD349,2))&lt;1,ROUND(BD349*(1+'Calc base'!R350),2),MAX('Calc base'!M$12,ROUND('Calc base'!M$13*BD349,2))))</f>
        <v>0</v>
      </c>
      <c r="U350">
        <f>IF(BE349&lt;=0,0,IF(ROUND(BE349*(1+'Calc base'!S350),2)-MAX('Calc base'!N$12,ROUND('Calc base'!N$13*BE349,2))&lt;1,ROUND(BE349*(1+'Calc base'!S350),2),MAX('Calc base'!N$12,ROUND('Calc base'!N$13*BE349,2))))</f>
        <v>0</v>
      </c>
      <c r="V350">
        <f>MAX(0,ROUND(AT349*(1+'Calc base'!H350),2)-J350-'Calc base'!T350)</f>
        <v>0</v>
      </c>
      <c r="W350">
        <f>MAX(0,ROUND(AU349*(1+'Calc base'!I350),2)-K350-'Calc base'!U350)</f>
        <v>0</v>
      </c>
      <c r="X350">
        <f>MAX(0,ROUND(AV349*(1+'Calc base'!J350),2)-L350-'Calc base'!V350)</f>
        <v>0</v>
      </c>
      <c r="Y350">
        <f>MAX(0,ROUND(AW349*(1+'Calc base'!K350),2)-M350-'Calc base'!W350)</f>
        <v>0</v>
      </c>
      <c r="Z350">
        <f>MAX(0,ROUND(AX349*(1+'Calc base'!L350),2)-N350-'Calc base'!X350)</f>
        <v>0</v>
      </c>
      <c r="AA350">
        <f>MAX(0,ROUND(AY349*(1+'Calc base'!M350),2)-O350-'Calc base'!Y350)</f>
        <v>0</v>
      </c>
      <c r="AB350">
        <f>MAX(0,ROUND(AZ349*(1+'Calc base'!N350),2)-P350-'Calc base'!Z350)</f>
        <v>0</v>
      </c>
      <c r="AC350">
        <f>MAX(0,ROUND(BA349*(1+'Calc base'!O350),2)-Q350-'Calc base'!AA350)</f>
        <v>0</v>
      </c>
      <c r="AD350">
        <f>MAX(0,ROUND(BB349*(1+'Calc base'!P350),2)-R350-'Calc base'!AB350)</f>
        <v>0</v>
      </c>
      <c r="AE350">
        <f>MAX(0,ROUND(BC349*(1+'Calc base'!Q350),2)-S350-'Calc base'!AC350)</f>
        <v>0</v>
      </c>
      <c r="AF350">
        <f>MAX(0,ROUND(BD349*(1+'Calc base'!R350),2)-T350-'Calc base'!AD350)</f>
        <v>0</v>
      </c>
      <c r="AG350">
        <f>MAX(0,ROUND(BE349*(1+'Calc base'!S350),2)-U350-'Calc base'!AE350)</f>
        <v>0</v>
      </c>
      <c r="AH350">
        <f>IF('Calc base'!C$14=0,0,MIN(V350,MAX(0,$E350-SUMIFS($V350:$AG350,'Calc base'!$C$17:$N$17,"&lt;"&amp;'Calc base'!C$17,'Calc base'!$C$14:$N$14,1))))</f>
        <v>0</v>
      </c>
      <c r="AI350">
        <f>IF('Calc base'!D$14=0,0,MIN(W350,MAX(0,$E350-SUMIFS($V350:$AG350,'Calc base'!$C$17:$N$17,"&lt;"&amp;'Calc base'!D$17,'Calc base'!$C$14:$N$14,1))))</f>
        <v>0</v>
      </c>
      <c r="AJ350">
        <f>IF('Calc base'!E$14=0,0,MIN(X350,MAX(0,$E350-SUMIFS($V350:$AG350,'Calc base'!$C$17:$N$17,"&lt;"&amp;'Calc base'!E$17,'Calc base'!$C$14:$N$14,1))))</f>
        <v>0</v>
      </c>
      <c r="AK350">
        <f>IF('Calc base'!F$14=0,0,MIN(Y350,MAX(0,$E350-SUMIFS($V350:$AG350,'Calc base'!$C$17:$N$17,"&lt;"&amp;'Calc base'!F$17,'Calc base'!$C$14:$N$14,1))))</f>
        <v>0</v>
      </c>
      <c r="AL350">
        <f>IF('Calc base'!G$14=0,0,MIN(Z350,MAX(0,$E350-SUMIFS($V350:$AG350,'Calc base'!$C$17:$N$17,"&lt;"&amp;'Calc base'!G$17,'Calc base'!$C$14:$N$14,1))))</f>
        <v>0</v>
      </c>
      <c r="AM350">
        <f>IF('Calc base'!H$14=0,0,MIN(AA350,MAX(0,$E350-SUMIFS($V350:$AG350,'Calc base'!$C$17:$N$17,"&lt;"&amp;'Calc base'!H$17,'Calc base'!$C$14:$N$14,1))))</f>
        <v>0</v>
      </c>
      <c r="AN350">
        <f>IF('Calc base'!I$14=0,0,MIN(AB350,MAX(0,$E350-SUMIFS($V350:$AG350,'Calc base'!$C$17:$N$17,"&lt;"&amp;'Calc base'!I$17,'Calc base'!$C$14:$N$14,1))))</f>
        <v>0</v>
      </c>
      <c r="AO350">
        <f>IF('Calc base'!J$14=0,0,MIN(AC350,MAX(0,$E350-SUMIFS($V350:$AG350,'Calc base'!$C$17:$N$17,"&lt;"&amp;'Calc base'!J$17,'Calc base'!$C$14:$N$14,1))))</f>
        <v>0</v>
      </c>
      <c r="AP350">
        <f>IF('Calc base'!K$14=0,0,MIN(AD350,MAX(0,$E350-SUMIFS($V350:$AG350,'Calc base'!$C$17:$N$17,"&lt;"&amp;'Calc base'!K$17,'Calc base'!$C$14:$N$14,1))))</f>
        <v>0</v>
      </c>
      <c r="AQ350">
        <f>IF('Calc base'!L$14=0,0,MIN(AE350,MAX(0,$E350-SUMIFS($V350:$AG350,'Calc base'!$C$17:$N$17,"&lt;"&amp;'Calc base'!L$17,'Calc base'!$C$14:$N$14,1))))</f>
        <v>0</v>
      </c>
      <c r="AR350">
        <f>IF('Calc base'!M$14=0,0,MIN(AF350,MAX(0,$E350-SUMIFS($V350:$AG350,'Calc base'!$C$17:$N$17,"&lt;"&amp;'Calc base'!M$17,'Calc base'!$C$14:$N$14,1))))</f>
        <v>0</v>
      </c>
      <c r="AS350">
        <f>IF('Calc base'!N$14=0,0,MIN(AG350,MAX(0,$E350-SUMIFS($V350:$AG350,'Calc base'!$C$17:$N$17,"&lt;"&amp;'Calc base'!N$17,'Calc base'!$C$14:$N$14,1))))</f>
        <v>0</v>
      </c>
      <c r="AT350">
        <f>V350-AH350</f>
        <v>0</v>
      </c>
      <c r="AU350">
        <f>W350-AI350</f>
        <v>0</v>
      </c>
      <c r="AV350">
        <f>X350-AJ350</f>
        <v>0</v>
      </c>
      <c r="AW350">
        <f>Y350-AK350</f>
        <v>0</v>
      </c>
      <c r="AX350">
        <f>Z350-AL350</f>
        <v>0</v>
      </c>
      <c r="AY350">
        <f>AA350-AM350</f>
        <v>0</v>
      </c>
      <c r="AZ350">
        <f>AB350-AN350</f>
        <v>0</v>
      </c>
      <c r="BA350">
        <f>AC350-AO350</f>
        <v>0</v>
      </c>
      <c r="BB350">
        <f>AD350-AP350</f>
        <v>0</v>
      </c>
      <c r="BC350">
        <f>AE350-AQ350</f>
        <v>0</v>
      </c>
      <c r="BD350">
        <f>AF350-AR350</f>
        <v>0</v>
      </c>
      <c r="BE350">
        <f>AG350-AS350</f>
        <v>0</v>
      </c>
    </row>
    <row r="351">
      <c r="A351" t="n">
        <v>321</v>
      </c>
      <c r="B351">
        <f>SUMPRODUCT(ROUND($AT350:$BE350*(1+'Calc base'!$H351:$S351),2))</f>
        <v>0</v>
      </c>
      <c r="C351">
        <f>SUM(J351:U351)</f>
        <v>0</v>
      </c>
      <c r="D351">
        <f>SUM(V351:AG351)</f>
        <v>0</v>
      </c>
      <c r="E351">
        <f>MAX(0,IF(Impostazioni!$B$7="No",'Calc base'!$C351-$C$31,'Calc base'!$C351-C351)+'Calc base'!$G351+'Calc base'!$F351-(B351-C351-D351))</f>
        <v>900</v>
      </c>
      <c r="F351">
        <f>SUM(AH351:AS351)</f>
        <v>0</v>
      </c>
      <c r="G351">
        <f>SUM(AT351:BE351)</f>
        <v>0</v>
      </c>
      <c r="H351">
        <f>B351-G350</f>
        <v>0</v>
      </c>
      <c r="I351">
        <f>B351-G351</f>
        <v>0</v>
      </c>
      <c r="J351">
        <f>IF(AT350&lt;=0,0,IF(ROUND(AT350*(1+'Calc base'!H351),2)-MAX('Calc base'!C$12,ROUND('Calc base'!C$13*AT350,2))&lt;1,ROUND(AT350*(1+'Calc base'!H351),2),MAX('Calc base'!C$12,ROUND('Calc base'!C$13*AT350,2))))</f>
        <v>0</v>
      </c>
      <c r="K351">
        <f>IF(AU350&lt;=0,0,IF(ROUND(AU350*(1+'Calc base'!I351),2)-MAX('Calc base'!D$12,ROUND('Calc base'!D$13*AU350,2))&lt;1,ROUND(AU350*(1+'Calc base'!I351),2),MAX('Calc base'!D$12,ROUND('Calc base'!D$13*AU350,2))))</f>
        <v>0</v>
      </c>
      <c r="L351">
        <f>IF(AV350&lt;=0,0,IF(ROUND(AV350*(1+'Calc base'!J351),2)-MAX('Calc base'!E$12,ROUND('Calc base'!E$13*AV350,2))&lt;1,ROUND(AV350*(1+'Calc base'!J351),2),MAX('Calc base'!E$12,ROUND('Calc base'!E$13*AV350,2))))</f>
        <v>0</v>
      </c>
      <c r="M351">
        <f>IF(AW350&lt;=0,0,IF(ROUND(AW350*(1+'Calc base'!K351),2)-MAX('Calc base'!F$12,ROUND('Calc base'!F$13*AW350,2))&lt;1,ROUND(AW350*(1+'Calc base'!K351),2),MAX('Calc base'!F$12,ROUND('Calc base'!F$13*AW350,2))))</f>
        <v>0</v>
      </c>
      <c r="N351">
        <f>IF(AX350&lt;=0,0,IF(ROUND(AX350*(1+'Calc base'!L351),2)-MAX('Calc base'!G$12,ROUND('Calc base'!G$13*AX350,2))&lt;1,ROUND(AX350*(1+'Calc base'!L351),2),MAX('Calc base'!G$12,ROUND('Calc base'!G$13*AX350,2))))</f>
        <v>0</v>
      </c>
      <c r="O351">
        <f>IF(AY350&lt;=0,0,IF(ROUND(AY350*(1+'Calc base'!M351),2)-MAX('Calc base'!H$12,ROUND('Calc base'!H$13*AY350,2))&lt;1,ROUND(AY350*(1+'Calc base'!M351),2),MAX('Calc base'!H$12,ROUND('Calc base'!H$13*AY350,2))))</f>
        <v>0</v>
      </c>
      <c r="P351">
        <f>IF(AZ350&lt;=0,0,IF(ROUND(AZ350*(1+'Calc base'!N351),2)-MAX('Calc base'!I$12,ROUND('Calc base'!I$13*AZ350,2))&lt;1,ROUND(AZ350*(1+'Calc base'!N351),2),MAX('Calc base'!I$12,ROUND('Calc base'!I$13*AZ350,2))))</f>
        <v>0</v>
      </c>
      <c r="Q351">
        <f>IF(BA350&lt;=0,0,IF(ROUND(BA350*(1+'Calc base'!O351),2)-MAX('Calc base'!J$12,ROUND('Calc base'!J$13*BA350,2))&lt;1,ROUND(BA350*(1+'Calc base'!O351),2),MAX('Calc base'!J$12,ROUND('Calc base'!J$13*BA350,2))))</f>
        <v>0</v>
      </c>
      <c r="R351">
        <f>IF(BB350&lt;=0,0,IF(ROUND(BB350*(1+'Calc base'!P351),2)-MAX('Calc base'!K$12,ROUND('Calc base'!K$13*BB350,2))&lt;1,ROUND(BB350*(1+'Calc base'!P351),2),MAX('Calc base'!K$12,ROUND('Calc base'!K$13*BB350,2))))</f>
        <v>0</v>
      </c>
      <c r="S351">
        <f>IF(BC350&lt;=0,0,IF(ROUND(BC350*(1+'Calc base'!Q351),2)-MAX('Calc base'!L$12,ROUND('Calc base'!L$13*BC350,2))&lt;1,ROUND(BC350*(1+'Calc base'!Q351),2),MAX('Calc base'!L$12,ROUND('Calc base'!L$13*BC350,2))))</f>
        <v>0</v>
      </c>
      <c r="T351">
        <f>IF(BD350&lt;=0,0,IF(ROUND(BD350*(1+'Calc base'!R351),2)-MAX('Calc base'!M$12,ROUND('Calc base'!M$13*BD350,2))&lt;1,ROUND(BD350*(1+'Calc base'!R351),2),MAX('Calc base'!M$12,ROUND('Calc base'!M$13*BD350,2))))</f>
        <v>0</v>
      </c>
      <c r="U351">
        <f>IF(BE350&lt;=0,0,IF(ROUND(BE350*(1+'Calc base'!S351),2)-MAX('Calc base'!N$12,ROUND('Calc base'!N$13*BE350,2))&lt;1,ROUND(BE350*(1+'Calc base'!S351),2),MAX('Calc base'!N$12,ROUND('Calc base'!N$13*BE350,2))))</f>
        <v>0</v>
      </c>
      <c r="V351">
        <f>MAX(0,ROUND(AT350*(1+'Calc base'!H351),2)-J351-'Calc base'!T351)</f>
        <v>0</v>
      </c>
      <c r="W351">
        <f>MAX(0,ROUND(AU350*(1+'Calc base'!I351),2)-K351-'Calc base'!U351)</f>
        <v>0</v>
      </c>
      <c r="X351">
        <f>MAX(0,ROUND(AV350*(1+'Calc base'!J351),2)-L351-'Calc base'!V351)</f>
        <v>0</v>
      </c>
      <c r="Y351">
        <f>MAX(0,ROUND(AW350*(1+'Calc base'!K351),2)-M351-'Calc base'!W351)</f>
        <v>0</v>
      </c>
      <c r="Z351">
        <f>MAX(0,ROUND(AX350*(1+'Calc base'!L351),2)-N351-'Calc base'!X351)</f>
        <v>0</v>
      </c>
      <c r="AA351">
        <f>MAX(0,ROUND(AY350*(1+'Calc base'!M351),2)-O351-'Calc base'!Y351)</f>
        <v>0</v>
      </c>
      <c r="AB351">
        <f>MAX(0,ROUND(AZ350*(1+'Calc base'!N351),2)-P351-'Calc base'!Z351)</f>
        <v>0</v>
      </c>
      <c r="AC351">
        <f>MAX(0,ROUND(BA350*(1+'Calc base'!O351),2)-Q351-'Calc base'!AA351)</f>
        <v>0</v>
      </c>
      <c r="AD351">
        <f>MAX(0,ROUND(BB350*(1+'Calc base'!P351),2)-R351-'Calc base'!AB351)</f>
        <v>0</v>
      </c>
      <c r="AE351">
        <f>MAX(0,ROUND(BC350*(1+'Calc base'!Q351),2)-S351-'Calc base'!AC351)</f>
        <v>0</v>
      </c>
      <c r="AF351">
        <f>MAX(0,ROUND(BD350*(1+'Calc base'!R351),2)-T351-'Calc base'!AD351)</f>
        <v>0</v>
      </c>
      <c r="AG351">
        <f>MAX(0,ROUND(BE350*(1+'Calc base'!S351),2)-U351-'Calc base'!AE351)</f>
        <v>0</v>
      </c>
      <c r="AH351">
        <f>IF('Calc base'!C$14=0,0,MIN(V351,MAX(0,$E351-SUMIFS($V351:$AG351,'Calc base'!$C$17:$N$17,"&lt;"&amp;'Calc base'!C$17,'Calc base'!$C$14:$N$14,1))))</f>
        <v>0</v>
      </c>
      <c r="AI351">
        <f>IF('Calc base'!D$14=0,0,MIN(W351,MAX(0,$E351-SUMIFS($V351:$AG351,'Calc base'!$C$17:$N$17,"&lt;"&amp;'Calc base'!D$17,'Calc base'!$C$14:$N$14,1))))</f>
        <v>0</v>
      </c>
      <c r="AJ351">
        <f>IF('Calc base'!E$14=0,0,MIN(X351,MAX(0,$E351-SUMIFS($V351:$AG351,'Calc base'!$C$17:$N$17,"&lt;"&amp;'Calc base'!E$17,'Calc base'!$C$14:$N$14,1))))</f>
        <v>0</v>
      </c>
      <c r="AK351">
        <f>IF('Calc base'!F$14=0,0,MIN(Y351,MAX(0,$E351-SUMIFS($V351:$AG351,'Calc base'!$C$17:$N$17,"&lt;"&amp;'Calc base'!F$17,'Calc base'!$C$14:$N$14,1))))</f>
        <v>0</v>
      </c>
      <c r="AL351">
        <f>IF('Calc base'!G$14=0,0,MIN(Z351,MAX(0,$E351-SUMIFS($V351:$AG351,'Calc base'!$C$17:$N$17,"&lt;"&amp;'Calc base'!G$17,'Calc base'!$C$14:$N$14,1))))</f>
        <v>0</v>
      </c>
      <c r="AM351">
        <f>IF('Calc base'!H$14=0,0,MIN(AA351,MAX(0,$E351-SUMIFS($V351:$AG351,'Calc base'!$C$17:$N$17,"&lt;"&amp;'Calc base'!H$17,'Calc base'!$C$14:$N$14,1))))</f>
        <v>0</v>
      </c>
      <c r="AN351">
        <f>IF('Calc base'!I$14=0,0,MIN(AB351,MAX(0,$E351-SUMIFS($V351:$AG351,'Calc base'!$C$17:$N$17,"&lt;"&amp;'Calc base'!I$17,'Calc base'!$C$14:$N$14,1))))</f>
        <v>0</v>
      </c>
      <c r="AO351">
        <f>IF('Calc base'!J$14=0,0,MIN(AC351,MAX(0,$E351-SUMIFS($V351:$AG351,'Calc base'!$C$17:$N$17,"&lt;"&amp;'Calc base'!J$17,'Calc base'!$C$14:$N$14,1))))</f>
        <v>0</v>
      </c>
      <c r="AP351">
        <f>IF('Calc base'!K$14=0,0,MIN(AD351,MAX(0,$E351-SUMIFS($V351:$AG351,'Calc base'!$C$17:$N$17,"&lt;"&amp;'Calc base'!K$17,'Calc base'!$C$14:$N$14,1))))</f>
        <v>0</v>
      </c>
      <c r="AQ351">
        <f>IF('Calc base'!L$14=0,0,MIN(AE351,MAX(0,$E351-SUMIFS($V351:$AG351,'Calc base'!$C$17:$N$17,"&lt;"&amp;'Calc base'!L$17,'Calc base'!$C$14:$N$14,1))))</f>
        <v>0</v>
      </c>
      <c r="AR351">
        <f>IF('Calc base'!M$14=0,0,MIN(AF351,MAX(0,$E351-SUMIFS($V351:$AG351,'Calc base'!$C$17:$N$17,"&lt;"&amp;'Calc base'!M$17,'Calc base'!$C$14:$N$14,1))))</f>
        <v>0</v>
      </c>
      <c r="AS351">
        <f>IF('Calc base'!N$14=0,0,MIN(AG351,MAX(0,$E351-SUMIFS($V351:$AG351,'Calc base'!$C$17:$N$17,"&lt;"&amp;'Calc base'!N$17,'Calc base'!$C$14:$N$14,1))))</f>
        <v>0</v>
      </c>
      <c r="AT351">
        <f>V351-AH351</f>
        <v>0</v>
      </c>
      <c r="AU351">
        <f>W351-AI351</f>
        <v>0</v>
      </c>
      <c r="AV351">
        <f>X351-AJ351</f>
        <v>0</v>
      </c>
      <c r="AW351">
        <f>Y351-AK351</f>
        <v>0</v>
      </c>
      <c r="AX351">
        <f>Z351-AL351</f>
        <v>0</v>
      </c>
      <c r="AY351">
        <f>AA351-AM351</f>
        <v>0</v>
      </c>
      <c r="AZ351">
        <f>AB351-AN351</f>
        <v>0</v>
      </c>
      <c r="BA351">
        <f>AC351-AO351</f>
        <v>0</v>
      </c>
      <c r="BB351">
        <f>AD351-AP351</f>
        <v>0</v>
      </c>
      <c r="BC351">
        <f>AE351-AQ351</f>
        <v>0</v>
      </c>
      <c r="BD351">
        <f>AF351-AR351</f>
        <v>0</v>
      </c>
      <c r="BE351">
        <f>AG351-AS351</f>
        <v>0</v>
      </c>
    </row>
    <row r="352">
      <c r="A352" t="n">
        <v>322</v>
      </c>
      <c r="B352">
        <f>SUMPRODUCT(ROUND($AT351:$BE351*(1+'Calc base'!$H352:$S352),2))</f>
        <v>0</v>
      </c>
      <c r="C352">
        <f>SUM(J352:U352)</f>
        <v>0</v>
      </c>
      <c r="D352">
        <f>SUM(V352:AG352)</f>
        <v>0</v>
      </c>
      <c r="E352">
        <f>MAX(0,IF(Impostazioni!$B$7="No",'Calc base'!$C352-$C$31,'Calc base'!$C352-C352)+'Calc base'!$G352+'Calc base'!$F352-(B352-C352-D352))</f>
        <v>900</v>
      </c>
      <c r="F352">
        <f>SUM(AH352:AS352)</f>
        <v>0</v>
      </c>
      <c r="G352">
        <f>SUM(AT352:BE352)</f>
        <v>0</v>
      </c>
      <c r="H352">
        <f>B352-G351</f>
        <v>0</v>
      </c>
      <c r="I352">
        <f>B352-G352</f>
        <v>0</v>
      </c>
      <c r="J352">
        <f>IF(AT351&lt;=0,0,IF(ROUND(AT351*(1+'Calc base'!H352),2)-MAX('Calc base'!C$12,ROUND('Calc base'!C$13*AT351,2))&lt;1,ROUND(AT351*(1+'Calc base'!H352),2),MAX('Calc base'!C$12,ROUND('Calc base'!C$13*AT351,2))))</f>
        <v>0</v>
      </c>
      <c r="K352">
        <f>IF(AU351&lt;=0,0,IF(ROUND(AU351*(1+'Calc base'!I352),2)-MAX('Calc base'!D$12,ROUND('Calc base'!D$13*AU351,2))&lt;1,ROUND(AU351*(1+'Calc base'!I352),2),MAX('Calc base'!D$12,ROUND('Calc base'!D$13*AU351,2))))</f>
        <v>0</v>
      </c>
      <c r="L352">
        <f>IF(AV351&lt;=0,0,IF(ROUND(AV351*(1+'Calc base'!J352),2)-MAX('Calc base'!E$12,ROUND('Calc base'!E$13*AV351,2))&lt;1,ROUND(AV351*(1+'Calc base'!J352),2),MAX('Calc base'!E$12,ROUND('Calc base'!E$13*AV351,2))))</f>
        <v>0</v>
      </c>
      <c r="M352">
        <f>IF(AW351&lt;=0,0,IF(ROUND(AW351*(1+'Calc base'!K352),2)-MAX('Calc base'!F$12,ROUND('Calc base'!F$13*AW351,2))&lt;1,ROUND(AW351*(1+'Calc base'!K352),2),MAX('Calc base'!F$12,ROUND('Calc base'!F$13*AW351,2))))</f>
        <v>0</v>
      </c>
      <c r="N352">
        <f>IF(AX351&lt;=0,0,IF(ROUND(AX351*(1+'Calc base'!L352),2)-MAX('Calc base'!G$12,ROUND('Calc base'!G$13*AX351,2))&lt;1,ROUND(AX351*(1+'Calc base'!L352),2),MAX('Calc base'!G$12,ROUND('Calc base'!G$13*AX351,2))))</f>
        <v>0</v>
      </c>
      <c r="O352">
        <f>IF(AY351&lt;=0,0,IF(ROUND(AY351*(1+'Calc base'!M352),2)-MAX('Calc base'!H$12,ROUND('Calc base'!H$13*AY351,2))&lt;1,ROUND(AY351*(1+'Calc base'!M352),2),MAX('Calc base'!H$12,ROUND('Calc base'!H$13*AY351,2))))</f>
        <v>0</v>
      </c>
      <c r="P352">
        <f>IF(AZ351&lt;=0,0,IF(ROUND(AZ351*(1+'Calc base'!N352),2)-MAX('Calc base'!I$12,ROUND('Calc base'!I$13*AZ351,2))&lt;1,ROUND(AZ351*(1+'Calc base'!N352),2),MAX('Calc base'!I$12,ROUND('Calc base'!I$13*AZ351,2))))</f>
        <v>0</v>
      </c>
      <c r="Q352">
        <f>IF(BA351&lt;=0,0,IF(ROUND(BA351*(1+'Calc base'!O352),2)-MAX('Calc base'!J$12,ROUND('Calc base'!J$13*BA351,2))&lt;1,ROUND(BA351*(1+'Calc base'!O352),2),MAX('Calc base'!J$12,ROUND('Calc base'!J$13*BA351,2))))</f>
        <v>0</v>
      </c>
      <c r="R352">
        <f>IF(BB351&lt;=0,0,IF(ROUND(BB351*(1+'Calc base'!P352),2)-MAX('Calc base'!K$12,ROUND('Calc base'!K$13*BB351,2))&lt;1,ROUND(BB351*(1+'Calc base'!P352),2),MAX('Calc base'!K$12,ROUND('Calc base'!K$13*BB351,2))))</f>
        <v>0</v>
      </c>
      <c r="S352">
        <f>IF(BC351&lt;=0,0,IF(ROUND(BC351*(1+'Calc base'!Q352),2)-MAX('Calc base'!L$12,ROUND('Calc base'!L$13*BC351,2))&lt;1,ROUND(BC351*(1+'Calc base'!Q352),2),MAX('Calc base'!L$12,ROUND('Calc base'!L$13*BC351,2))))</f>
        <v>0</v>
      </c>
      <c r="T352">
        <f>IF(BD351&lt;=0,0,IF(ROUND(BD351*(1+'Calc base'!R352),2)-MAX('Calc base'!M$12,ROUND('Calc base'!M$13*BD351,2))&lt;1,ROUND(BD351*(1+'Calc base'!R352),2),MAX('Calc base'!M$12,ROUND('Calc base'!M$13*BD351,2))))</f>
        <v>0</v>
      </c>
      <c r="U352">
        <f>IF(BE351&lt;=0,0,IF(ROUND(BE351*(1+'Calc base'!S352),2)-MAX('Calc base'!N$12,ROUND('Calc base'!N$13*BE351,2))&lt;1,ROUND(BE351*(1+'Calc base'!S352),2),MAX('Calc base'!N$12,ROUND('Calc base'!N$13*BE351,2))))</f>
        <v>0</v>
      </c>
      <c r="V352">
        <f>MAX(0,ROUND(AT351*(1+'Calc base'!H352),2)-J352-'Calc base'!T352)</f>
        <v>0</v>
      </c>
      <c r="W352">
        <f>MAX(0,ROUND(AU351*(1+'Calc base'!I352),2)-K352-'Calc base'!U352)</f>
        <v>0</v>
      </c>
      <c r="X352">
        <f>MAX(0,ROUND(AV351*(1+'Calc base'!J352),2)-L352-'Calc base'!V352)</f>
        <v>0</v>
      </c>
      <c r="Y352">
        <f>MAX(0,ROUND(AW351*(1+'Calc base'!K352),2)-M352-'Calc base'!W352)</f>
        <v>0</v>
      </c>
      <c r="Z352">
        <f>MAX(0,ROUND(AX351*(1+'Calc base'!L352),2)-N352-'Calc base'!X352)</f>
        <v>0</v>
      </c>
      <c r="AA352">
        <f>MAX(0,ROUND(AY351*(1+'Calc base'!M352),2)-O352-'Calc base'!Y352)</f>
        <v>0</v>
      </c>
      <c r="AB352">
        <f>MAX(0,ROUND(AZ351*(1+'Calc base'!N352),2)-P352-'Calc base'!Z352)</f>
        <v>0</v>
      </c>
      <c r="AC352">
        <f>MAX(0,ROUND(BA351*(1+'Calc base'!O352),2)-Q352-'Calc base'!AA352)</f>
        <v>0</v>
      </c>
      <c r="AD352">
        <f>MAX(0,ROUND(BB351*(1+'Calc base'!P352),2)-R352-'Calc base'!AB352)</f>
        <v>0</v>
      </c>
      <c r="AE352">
        <f>MAX(0,ROUND(BC351*(1+'Calc base'!Q352),2)-S352-'Calc base'!AC352)</f>
        <v>0</v>
      </c>
      <c r="AF352">
        <f>MAX(0,ROUND(BD351*(1+'Calc base'!R352),2)-T352-'Calc base'!AD352)</f>
        <v>0</v>
      </c>
      <c r="AG352">
        <f>MAX(0,ROUND(BE351*(1+'Calc base'!S352),2)-U352-'Calc base'!AE352)</f>
        <v>0</v>
      </c>
      <c r="AH352">
        <f>IF('Calc base'!C$14=0,0,MIN(V352,MAX(0,$E352-SUMIFS($V352:$AG352,'Calc base'!$C$17:$N$17,"&lt;"&amp;'Calc base'!C$17,'Calc base'!$C$14:$N$14,1))))</f>
        <v>0</v>
      </c>
      <c r="AI352">
        <f>IF('Calc base'!D$14=0,0,MIN(W352,MAX(0,$E352-SUMIFS($V352:$AG352,'Calc base'!$C$17:$N$17,"&lt;"&amp;'Calc base'!D$17,'Calc base'!$C$14:$N$14,1))))</f>
        <v>0</v>
      </c>
      <c r="AJ352">
        <f>IF('Calc base'!E$14=0,0,MIN(X352,MAX(0,$E352-SUMIFS($V352:$AG352,'Calc base'!$C$17:$N$17,"&lt;"&amp;'Calc base'!E$17,'Calc base'!$C$14:$N$14,1))))</f>
        <v>0</v>
      </c>
      <c r="AK352">
        <f>IF('Calc base'!F$14=0,0,MIN(Y352,MAX(0,$E352-SUMIFS($V352:$AG352,'Calc base'!$C$17:$N$17,"&lt;"&amp;'Calc base'!F$17,'Calc base'!$C$14:$N$14,1))))</f>
        <v>0</v>
      </c>
      <c r="AL352">
        <f>IF('Calc base'!G$14=0,0,MIN(Z352,MAX(0,$E352-SUMIFS($V352:$AG352,'Calc base'!$C$17:$N$17,"&lt;"&amp;'Calc base'!G$17,'Calc base'!$C$14:$N$14,1))))</f>
        <v>0</v>
      </c>
      <c r="AM352">
        <f>IF('Calc base'!H$14=0,0,MIN(AA352,MAX(0,$E352-SUMIFS($V352:$AG352,'Calc base'!$C$17:$N$17,"&lt;"&amp;'Calc base'!H$17,'Calc base'!$C$14:$N$14,1))))</f>
        <v>0</v>
      </c>
      <c r="AN352">
        <f>IF('Calc base'!I$14=0,0,MIN(AB352,MAX(0,$E352-SUMIFS($V352:$AG352,'Calc base'!$C$17:$N$17,"&lt;"&amp;'Calc base'!I$17,'Calc base'!$C$14:$N$14,1))))</f>
        <v>0</v>
      </c>
      <c r="AO352">
        <f>IF('Calc base'!J$14=0,0,MIN(AC352,MAX(0,$E352-SUMIFS($V352:$AG352,'Calc base'!$C$17:$N$17,"&lt;"&amp;'Calc base'!J$17,'Calc base'!$C$14:$N$14,1))))</f>
        <v>0</v>
      </c>
      <c r="AP352">
        <f>IF('Calc base'!K$14=0,0,MIN(AD352,MAX(0,$E352-SUMIFS($V352:$AG352,'Calc base'!$C$17:$N$17,"&lt;"&amp;'Calc base'!K$17,'Calc base'!$C$14:$N$14,1))))</f>
        <v>0</v>
      </c>
      <c r="AQ352">
        <f>IF('Calc base'!L$14=0,0,MIN(AE352,MAX(0,$E352-SUMIFS($V352:$AG352,'Calc base'!$C$17:$N$17,"&lt;"&amp;'Calc base'!L$17,'Calc base'!$C$14:$N$14,1))))</f>
        <v>0</v>
      </c>
      <c r="AR352">
        <f>IF('Calc base'!M$14=0,0,MIN(AF352,MAX(0,$E352-SUMIFS($V352:$AG352,'Calc base'!$C$17:$N$17,"&lt;"&amp;'Calc base'!M$17,'Calc base'!$C$14:$N$14,1))))</f>
        <v>0</v>
      </c>
      <c r="AS352">
        <f>IF('Calc base'!N$14=0,0,MIN(AG352,MAX(0,$E352-SUMIFS($V352:$AG352,'Calc base'!$C$17:$N$17,"&lt;"&amp;'Calc base'!N$17,'Calc base'!$C$14:$N$14,1))))</f>
        <v>0</v>
      </c>
      <c r="AT352">
        <f>V352-AH352</f>
        <v>0</v>
      </c>
      <c r="AU352">
        <f>W352-AI352</f>
        <v>0</v>
      </c>
      <c r="AV352">
        <f>X352-AJ352</f>
        <v>0</v>
      </c>
      <c r="AW352">
        <f>Y352-AK352</f>
        <v>0</v>
      </c>
      <c r="AX352">
        <f>Z352-AL352</f>
        <v>0</v>
      </c>
      <c r="AY352">
        <f>AA352-AM352</f>
        <v>0</v>
      </c>
      <c r="AZ352">
        <f>AB352-AN352</f>
        <v>0</v>
      </c>
      <c r="BA352">
        <f>AC352-AO352</f>
        <v>0</v>
      </c>
      <c r="BB352">
        <f>AD352-AP352</f>
        <v>0</v>
      </c>
      <c r="BC352">
        <f>AE352-AQ352</f>
        <v>0</v>
      </c>
      <c r="BD352">
        <f>AF352-AR352</f>
        <v>0</v>
      </c>
      <c r="BE352">
        <f>AG352-AS352</f>
        <v>0</v>
      </c>
    </row>
    <row r="353">
      <c r="A353" t="n">
        <v>323</v>
      </c>
      <c r="B353">
        <f>SUMPRODUCT(ROUND($AT352:$BE352*(1+'Calc base'!$H353:$S353),2))</f>
        <v>0</v>
      </c>
      <c r="C353">
        <f>SUM(J353:U353)</f>
        <v>0</v>
      </c>
      <c r="D353">
        <f>SUM(V353:AG353)</f>
        <v>0</v>
      </c>
      <c r="E353">
        <f>MAX(0,IF(Impostazioni!$B$7="No",'Calc base'!$C353-$C$31,'Calc base'!$C353-C353)+'Calc base'!$G353+'Calc base'!$F353-(B353-C353-D353))</f>
        <v>900</v>
      </c>
      <c r="F353">
        <f>SUM(AH353:AS353)</f>
        <v>0</v>
      </c>
      <c r="G353">
        <f>SUM(AT353:BE353)</f>
        <v>0</v>
      </c>
      <c r="H353">
        <f>B353-G352</f>
        <v>0</v>
      </c>
      <c r="I353">
        <f>B353-G353</f>
        <v>0</v>
      </c>
      <c r="J353">
        <f>IF(AT352&lt;=0,0,IF(ROUND(AT352*(1+'Calc base'!H353),2)-MAX('Calc base'!C$12,ROUND('Calc base'!C$13*AT352,2))&lt;1,ROUND(AT352*(1+'Calc base'!H353),2),MAX('Calc base'!C$12,ROUND('Calc base'!C$13*AT352,2))))</f>
        <v>0</v>
      </c>
      <c r="K353">
        <f>IF(AU352&lt;=0,0,IF(ROUND(AU352*(1+'Calc base'!I353),2)-MAX('Calc base'!D$12,ROUND('Calc base'!D$13*AU352,2))&lt;1,ROUND(AU352*(1+'Calc base'!I353),2),MAX('Calc base'!D$12,ROUND('Calc base'!D$13*AU352,2))))</f>
        <v>0</v>
      </c>
      <c r="L353">
        <f>IF(AV352&lt;=0,0,IF(ROUND(AV352*(1+'Calc base'!J353),2)-MAX('Calc base'!E$12,ROUND('Calc base'!E$13*AV352,2))&lt;1,ROUND(AV352*(1+'Calc base'!J353),2),MAX('Calc base'!E$12,ROUND('Calc base'!E$13*AV352,2))))</f>
        <v>0</v>
      </c>
      <c r="M353">
        <f>IF(AW352&lt;=0,0,IF(ROUND(AW352*(1+'Calc base'!K353),2)-MAX('Calc base'!F$12,ROUND('Calc base'!F$13*AW352,2))&lt;1,ROUND(AW352*(1+'Calc base'!K353),2),MAX('Calc base'!F$12,ROUND('Calc base'!F$13*AW352,2))))</f>
        <v>0</v>
      </c>
      <c r="N353">
        <f>IF(AX352&lt;=0,0,IF(ROUND(AX352*(1+'Calc base'!L353),2)-MAX('Calc base'!G$12,ROUND('Calc base'!G$13*AX352,2))&lt;1,ROUND(AX352*(1+'Calc base'!L353),2),MAX('Calc base'!G$12,ROUND('Calc base'!G$13*AX352,2))))</f>
        <v>0</v>
      </c>
      <c r="O353">
        <f>IF(AY352&lt;=0,0,IF(ROUND(AY352*(1+'Calc base'!M353),2)-MAX('Calc base'!H$12,ROUND('Calc base'!H$13*AY352,2))&lt;1,ROUND(AY352*(1+'Calc base'!M353),2),MAX('Calc base'!H$12,ROUND('Calc base'!H$13*AY352,2))))</f>
        <v>0</v>
      </c>
      <c r="P353">
        <f>IF(AZ352&lt;=0,0,IF(ROUND(AZ352*(1+'Calc base'!N353),2)-MAX('Calc base'!I$12,ROUND('Calc base'!I$13*AZ352,2))&lt;1,ROUND(AZ352*(1+'Calc base'!N353),2),MAX('Calc base'!I$12,ROUND('Calc base'!I$13*AZ352,2))))</f>
        <v>0</v>
      </c>
      <c r="Q353">
        <f>IF(BA352&lt;=0,0,IF(ROUND(BA352*(1+'Calc base'!O353),2)-MAX('Calc base'!J$12,ROUND('Calc base'!J$13*BA352,2))&lt;1,ROUND(BA352*(1+'Calc base'!O353),2),MAX('Calc base'!J$12,ROUND('Calc base'!J$13*BA352,2))))</f>
        <v>0</v>
      </c>
      <c r="R353">
        <f>IF(BB352&lt;=0,0,IF(ROUND(BB352*(1+'Calc base'!P353),2)-MAX('Calc base'!K$12,ROUND('Calc base'!K$13*BB352,2))&lt;1,ROUND(BB352*(1+'Calc base'!P353),2),MAX('Calc base'!K$12,ROUND('Calc base'!K$13*BB352,2))))</f>
        <v>0</v>
      </c>
      <c r="S353">
        <f>IF(BC352&lt;=0,0,IF(ROUND(BC352*(1+'Calc base'!Q353),2)-MAX('Calc base'!L$12,ROUND('Calc base'!L$13*BC352,2))&lt;1,ROUND(BC352*(1+'Calc base'!Q353),2),MAX('Calc base'!L$12,ROUND('Calc base'!L$13*BC352,2))))</f>
        <v>0</v>
      </c>
      <c r="T353">
        <f>IF(BD352&lt;=0,0,IF(ROUND(BD352*(1+'Calc base'!R353),2)-MAX('Calc base'!M$12,ROUND('Calc base'!M$13*BD352,2))&lt;1,ROUND(BD352*(1+'Calc base'!R353),2),MAX('Calc base'!M$12,ROUND('Calc base'!M$13*BD352,2))))</f>
        <v>0</v>
      </c>
      <c r="U353">
        <f>IF(BE352&lt;=0,0,IF(ROUND(BE352*(1+'Calc base'!S353),2)-MAX('Calc base'!N$12,ROUND('Calc base'!N$13*BE352,2))&lt;1,ROUND(BE352*(1+'Calc base'!S353),2),MAX('Calc base'!N$12,ROUND('Calc base'!N$13*BE352,2))))</f>
        <v>0</v>
      </c>
      <c r="V353">
        <f>MAX(0,ROUND(AT352*(1+'Calc base'!H353),2)-J353-'Calc base'!T353)</f>
        <v>0</v>
      </c>
      <c r="W353">
        <f>MAX(0,ROUND(AU352*(1+'Calc base'!I353),2)-K353-'Calc base'!U353)</f>
        <v>0</v>
      </c>
      <c r="X353">
        <f>MAX(0,ROUND(AV352*(1+'Calc base'!J353),2)-L353-'Calc base'!V353)</f>
        <v>0</v>
      </c>
      <c r="Y353">
        <f>MAX(0,ROUND(AW352*(1+'Calc base'!K353),2)-M353-'Calc base'!W353)</f>
        <v>0</v>
      </c>
      <c r="Z353">
        <f>MAX(0,ROUND(AX352*(1+'Calc base'!L353),2)-N353-'Calc base'!X353)</f>
        <v>0</v>
      </c>
      <c r="AA353">
        <f>MAX(0,ROUND(AY352*(1+'Calc base'!M353),2)-O353-'Calc base'!Y353)</f>
        <v>0</v>
      </c>
      <c r="AB353">
        <f>MAX(0,ROUND(AZ352*(1+'Calc base'!N353),2)-P353-'Calc base'!Z353)</f>
        <v>0</v>
      </c>
      <c r="AC353">
        <f>MAX(0,ROUND(BA352*(1+'Calc base'!O353),2)-Q353-'Calc base'!AA353)</f>
        <v>0</v>
      </c>
      <c r="AD353">
        <f>MAX(0,ROUND(BB352*(1+'Calc base'!P353),2)-R353-'Calc base'!AB353)</f>
        <v>0</v>
      </c>
      <c r="AE353">
        <f>MAX(0,ROUND(BC352*(1+'Calc base'!Q353),2)-S353-'Calc base'!AC353)</f>
        <v>0</v>
      </c>
      <c r="AF353">
        <f>MAX(0,ROUND(BD352*(1+'Calc base'!R353),2)-T353-'Calc base'!AD353)</f>
        <v>0</v>
      </c>
      <c r="AG353">
        <f>MAX(0,ROUND(BE352*(1+'Calc base'!S353),2)-U353-'Calc base'!AE353)</f>
        <v>0</v>
      </c>
      <c r="AH353">
        <f>IF('Calc base'!C$14=0,0,MIN(V353,MAX(0,$E353-SUMIFS($V353:$AG353,'Calc base'!$C$17:$N$17,"&lt;"&amp;'Calc base'!C$17,'Calc base'!$C$14:$N$14,1))))</f>
        <v>0</v>
      </c>
      <c r="AI353">
        <f>IF('Calc base'!D$14=0,0,MIN(W353,MAX(0,$E353-SUMIFS($V353:$AG353,'Calc base'!$C$17:$N$17,"&lt;"&amp;'Calc base'!D$17,'Calc base'!$C$14:$N$14,1))))</f>
        <v>0</v>
      </c>
      <c r="AJ353">
        <f>IF('Calc base'!E$14=0,0,MIN(X353,MAX(0,$E353-SUMIFS($V353:$AG353,'Calc base'!$C$17:$N$17,"&lt;"&amp;'Calc base'!E$17,'Calc base'!$C$14:$N$14,1))))</f>
        <v>0</v>
      </c>
      <c r="AK353">
        <f>IF('Calc base'!F$14=0,0,MIN(Y353,MAX(0,$E353-SUMIFS($V353:$AG353,'Calc base'!$C$17:$N$17,"&lt;"&amp;'Calc base'!F$17,'Calc base'!$C$14:$N$14,1))))</f>
        <v>0</v>
      </c>
      <c r="AL353">
        <f>IF('Calc base'!G$14=0,0,MIN(Z353,MAX(0,$E353-SUMIFS($V353:$AG353,'Calc base'!$C$17:$N$17,"&lt;"&amp;'Calc base'!G$17,'Calc base'!$C$14:$N$14,1))))</f>
        <v>0</v>
      </c>
      <c r="AM353">
        <f>IF('Calc base'!H$14=0,0,MIN(AA353,MAX(0,$E353-SUMIFS($V353:$AG353,'Calc base'!$C$17:$N$17,"&lt;"&amp;'Calc base'!H$17,'Calc base'!$C$14:$N$14,1))))</f>
        <v>0</v>
      </c>
      <c r="AN353">
        <f>IF('Calc base'!I$14=0,0,MIN(AB353,MAX(0,$E353-SUMIFS($V353:$AG353,'Calc base'!$C$17:$N$17,"&lt;"&amp;'Calc base'!I$17,'Calc base'!$C$14:$N$14,1))))</f>
        <v>0</v>
      </c>
      <c r="AO353">
        <f>IF('Calc base'!J$14=0,0,MIN(AC353,MAX(0,$E353-SUMIFS($V353:$AG353,'Calc base'!$C$17:$N$17,"&lt;"&amp;'Calc base'!J$17,'Calc base'!$C$14:$N$14,1))))</f>
        <v>0</v>
      </c>
      <c r="AP353">
        <f>IF('Calc base'!K$14=0,0,MIN(AD353,MAX(0,$E353-SUMIFS($V353:$AG353,'Calc base'!$C$17:$N$17,"&lt;"&amp;'Calc base'!K$17,'Calc base'!$C$14:$N$14,1))))</f>
        <v>0</v>
      </c>
      <c r="AQ353">
        <f>IF('Calc base'!L$14=0,0,MIN(AE353,MAX(0,$E353-SUMIFS($V353:$AG353,'Calc base'!$C$17:$N$17,"&lt;"&amp;'Calc base'!L$17,'Calc base'!$C$14:$N$14,1))))</f>
        <v>0</v>
      </c>
      <c r="AR353">
        <f>IF('Calc base'!M$14=0,0,MIN(AF353,MAX(0,$E353-SUMIFS($V353:$AG353,'Calc base'!$C$17:$N$17,"&lt;"&amp;'Calc base'!M$17,'Calc base'!$C$14:$N$14,1))))</f>
        <v>0</v>
      </c>
      <c r="AS353">
        <f>IF('Calc base'!N$14=0,0,MIN(AG353,MAX(0,$E353-SUMIFS($V353:$AG353,'Calc base'!$C$17:$N$17,"&lt;"&amp;'Calc base'!N$17,'Calc base'!$C$14:$N$14,1))))</f>
        <v>0</v>
      </c>
      <c r="AT353">
        <f>V353-AH353</f>
        <v>0</v>
      </c>
      <c r="AU353">
        <f>W353-AI353</f>
        <v>0</v>
      </c>
      <c r="AV353">
        <f>X353-AJ353</f>
        <v>0</v>
      </c>
      <c r="AW353">
        <f>Y353-AK353</f>
        <v>0</v>
      </c>
      <c r="AX353">
        <f>Z353-AL353</f>
        <v>0</v>
      </c>
      <c r="AY353">
        <f>AA353-AM353</f>
        <v>0</v>
      </c>
      <c r="AZ353">
        <f>AB353-AN353</f>
        <v>0</v>
      </c>
      <c r="BA353">
        <f>AC353-AO353</f>
        <v>0</v>
      </c>
      <c r="BB353">
        <f>AD353-AP353</f>
        <v>0</v>
      </c>
      <c r="BC353">
        <f>AE353-AQ353</f>
        <v>0</v>
      </c>
      <c r="BD353">
        <f>AF353-AR353</f>
        <v>0</v>
      </c>
      <c r="BE353">
        <f>AG353-AS353</f>
        <v>0</v>
      </c>
    </row>
    <row r="354">
      <c r="A354" t="n">
        <v>324</v>
      </c>
      <c r="B354">
        <f>SUMPRODUCT(ROUND($AT353:$BE353*(1+'Calc base'!$H354:$S354),2))</f>
        <v>0</v>
      </c>
      <c r="C354">
        <f>SUM(J354:U354)</f>
        <v>0</v>
      </c>
      <c r="D354">
        <f>SUM(V354:AG354)</f>
        <v>0</v>
      </c>
      <c r="E354">
        <f>MAX(0,IF(Impostazioni!$B$7="No",'Calc base'!$C354-$C$31,'Calc base'!$C354-C354)+'Calc base'!$G354+'Calc base'!$F354-(B354-C354-D354))</f>
        <v>900</v>
      </c>
      <c r="F354">
        <f>SUM(AH354:AS354)</f>
        <v>0</v>
      </c>
      <c r="G354">
        <f>SUM(AT354:BE354)</f>
        <v>0</v>
      </c>
      <c r="H354">
        <f>B354-G353</f>
        <v>0</v>
      </c>
      <c r="I354">
        <f>B354-G354</f>
        <v>0</v>
      </c>
      <c r="J354">
        <f>IF(AT353&lt;=0,0,IF(ROUND(AT353*(1+'Calc base'!H354),2)-MAX('Calc base'!C$12,ROUND('Calc base'!C$13*AT353,2))&lt;1,ROUND(AT353*(1+'Calc base'!H354),2),MAX('Calc base'!C$12,ROUND('Calc base'!C$13*AT353,2))))</f>
        <v>0</v>
      </c>
      <c r="K354">
        <f>IF(AU353&lt;=0,0,IF(ROUND(AU353*(1+'Calc base'!I354),2)-MAX('Calc base'!D$12,ROUND('Calc base'!D$13*AU353,2))&lt;1,ROUND(AU353*(1+'Calc base'!I354),2),MAX('Calc base'!D$12,ROUND('Calc base'!D$13*AU353,2))))</f>
        <v>0</v>
      </c>
      <c r="L354">
        <f>IF(AV353&lt;=0,0,IF(ROUND(AV353*(1+'Calc base'!J354),2)-MAX('Calc base'!E$12,ROUND('Calc base'!E$13*AV353,2))&lt;1,ROUND(AV353*(1+'Calc base'!J354),2),MAX('Calc base'!E$12,ROUND('Calc base'!E$13*AV353,2))))</f>
        <v>0</v>
      </c>
      <c r="M354">
        <f>IF(AW353&lt;=0,0,IF(ROUND(AW353*(1+'Calc base'!K354),2)-MAX('Calc base'!F$12,ROUND('Calc base'!F$13*AW353,2))&lt;1,ROUND(AW353*(1+'Calc base'!K354),2),MAX('Calc base'!F$12,ROUND('Calc base'!F$13*AW353,2))))</f>
        <v>0</v>
      </c>
      <c r="N354">
        <f>IF(AX353&lt;=0,0,IF(ROUND(AX353*(1+'Calc base'!L354),2)-MAX('Calc base'!G$12,ROUND('Calc base'!G$13*AX353,2))&lt;1,ROUND(AX353*(1+'Calc base'!L354),2),MAX('Calc base'!G$12,ROUND('Calc base'!G$13*AX353,2))))</f>
        <v>0</v>
      </c>
      <c r="O354">
        <f>IF(AY353&lt;=0,0,IF(ROUND(AY353*(1+'Calc base'!M354),2)-MAX('Calc base'!H$12,ROUND('Calc base'!H$13*AY353,2))&lt;1,ROUND(AY353*(1+'Calc base'!M354),2),MAX('Calc base'!H$12,ROUND('Calc base'!H$13*AY353,2))))</f>
        <v>0</v>
      </c>
      <c r="P354">
        <f>IF(AZ353&lt;=0,0,IF(ROUND(AZ353*(1+'Calc base'!N354),2)-MAX('Calc base'!I$12,ROUND('Calc base'!I$13*AZ353,2))&lt;1,ROUND(AZ353*(1+'Calc base'!N354),2),MAX('Calc base'!I$12,ROUND('Calc base'!I$13*AZ353,2))))</f>
        <v>0</v>
      </c>
      <c r="Q354">
        <f>IF(BA353&lt;=0,0,IF(ROUND(BA353*(1+'Calc base'!O354),2)-MAX('Calc base'!J$12,ROUND('Calc base'!J$13*BA353,2))&lt;1,ROUND(BA353*(1+'Calc base'!O354),2),MAX('Calc base'!J$12,ROUND('Calc base'!J$13*BA353,2))))</f>
        <v>0</v>
      </c>
      <c r="R354">
        <f>IF(BB353&lt;=0,0,IF(ROUND(BB353*(1+'Calc base'!P354),2)-MAX('Calc base'!K$12,ROUND('Calc base'!K$13*BB353,2))&lt;1,ROUND(BB353*(1+'Calc base'!P354),2),MAX('Calc base'!K$12,ROUND('Calc base'!K$13*BB353,2))))</f>
        <v>0</v>
      </c>
      <c r="S354">
        <f>IF(BC353&lt;=0,0,IF(ROUND(BC353*(1+'Calc base'!Q354),2)-MAX('Calc base'!L$12,ROUND('Calc base'!L$13*BC353,2))&lt;1,ROUND(BC353*(1+'Calc base'!Q354),2),MAX('Calc base'!L$12,ROUND('Calc base'!L$13*BC353,2))))</f>
        <v>0</v>
      </c>
      <c r="T354">
        <f>IF(BD353&lt;=0,0,IF(ROUND(BD353*(1+'Calc base'!R354),2)-MAX('Calc base'!M$12,ROUND('Calc base'!M$13*BD353,2))&lt;1,ROUND(BD353*(1+'Calc base'!R354),2),MAX('Calc base'!M$12,ROUND('Calc base'!M$13*BD353,2))))</f>
        <v>0</v>
      </c>
      <c r="U354">
        <f>IF(BE353&lt;=0,0,IF(ROUND(BE353*(1+'Calc base'!S354),2)-MAX('Calc base'!N$12,ROUND('Calc base'!N$13*BE353,2))&lt;1,ROUND(BE353*(1+'Calc base'!S354),2),MAX('Calc base'!N$12,ROUND('Calc base'!N$13*BE353,2))))</f>
        <v>0</v>
      </c>
      <c r="V354">
        <f>MAX(0,ROUND(AT353*(1+'Calc base'!H354),2)-J354-'Calc base'!T354)</f>
        <v>0</v>
      </c>
      <c r="W354">
        <f>MAX(0,ROUND(AU353*(1+'Calc base'!I354),2)-K354-'Calc base'!U354)</f>
        <v>0</v>
      </c>
      <c r="X354">
        <f>MAX(0,ROUND(AV353*(1+'Calc base'!J354),2)-L354-'Calc base'!V354)</f>
        <v>0</v>
      </c>
      <c r="Y354">
        <f>MAX(0,ROUND(AW353*(1+'Calc base'!K354),2)-M354-'Calc base'!W354)</f>
        <v>0</v>
      </c>
      <c r="Z354">
        <f>MAX(0,ROUND(AX353*(1+'Calc base'!L354),2)-N354-'Calc base'!X354)</f>
        <v>0</v>
      </c>
      <c r="AA354">
        <f>MAX(0,ROUND(AY353*(1+'Calc base'!M354),2)-O354-'Calc base'!Y354)</f>
        <v>0</v>
      </c>
      <c r="AB354">
        <f>MAX(0,ROUND(AZ353*(1+'Calc base'!N354),2)-P354-'Calc base'!Z354)</f>
        <v>0</v>
      </c>
      <c r="AC354">
        <f>MAX(0,ROUND(BA353*(1+'Calc base'!O354),2)-Q354-'Calc base'!AA354)</f>
        <v>0</v>
      </c>
      <c r="AD354">
        <f>MAX(0,ROUND(BB353*(1+'Calc base'!P354),2)-R354-'Calc base'!AB354)</f>
        <v>0</v>
      </c>
      <c r="AE354">
        <f>MAX(0,ROUND(BC353*(1+'Calc base'!Q354),2)-S354-'Calc base'!AC354)</f>
        <v>0</v>
      </c>
      <c r="AF354">
        <f>MAX(0,ROUND(BD353*(1+'Calc base'!R354),2)-T354-'Calc base'!AD354)</f>
        <v>0</v>
      </c>
      <c r="AG354">
        <f>MAX(0,ROUND(BE353*(1+'Calc base'!S354),2)-U354-'Calc base'!AE354)</f>
        <v>0</v>
      </c>
      <c r="AH354">
        <f>IF('Calc base'!C$14=0,0,MIN(V354,MAX(0,$E354-SUMIFS($V354:$AG354,'Calc base'!$C$17:$N$17,"&lt;"&amp;'Calc base'!C$17,'Calc base'!$C$14:$N$14,1))))</f>
        <v>0</v>
      </c>
      <c r="AI354">
        <f>IF('Calc base'!D$14=0,0,MIN(W354,MAX(0,$E354-SUMIFS($V354:$AG354,'Calc base'!$C$17:$N$17,"&lt;"&amp;'Calc base'!D$17,'Calc base'!$C$14:$N$14,1))))</f>
        <v>0</v>
      </c>
      <c r="AJ354">
        <f>IF('Calc base'!E$14=0,0,MIN(X354,MAX(0,$E354-SUMIFS($V354:$AG354,'Calc base'!$C$17:$N$17,"&lt;"&amp;'Calc base'!E$17,'Calc base'!$C$14:$N$14,1))))</f>
        <v>0</v>
      </c>
      <c r="AK354">
        <f>IF('Calc base'!F$14=0,0,MIN(Y354,MAX(0,$E354-SUMIFS($V354:$AG354,'Calc base'!$C$17:$N$17,"&lt;"&amp;'Calc base'!F$17,'Calc base'!$C$14:$N$14,1))))</f>
        <v>0</v>
      </c>
      <c r="AL354">
        <f>IF('Calc base'!G$14=0,0,MIN(Z354,MAX(0,$E354-SUMIFS($V354:$AG354,'Calc base'!$C$17:$N$17,"&lt;"&amp;'Calc base'!G$17,'Calc base'!$C$14:$N$14,1))))</f>
        <v>0</v>
      </c>
      <c r="AM354">
        <f>IF('Calc base'!H$14=0,0,MIN(AA354,MAX(0,$E354-SUMIFS($V354:$AG354,'Calc base'!$C$17:$N$17,"&lt;"&amp;'Calc base'!H$17,'Calc base'!$C$14:$N$14,1))))</f>
        <v>0</v>
      </c>
      <c r="AN354">
        <f>IF('Calc base'!I$14=0,0,MIN(AB354,MAX(0,$E354-SUMIFS($V354:$AG354,'Calc base'!$C$17:$N$17,"&lt;"&amp;'Calc base'!I$17,'Calc base'!$C$14:$N$14,1))))</f>
        <v>0</v>
      </c>
      <c r="AO354">
        <f>IF('Calc base'!J$14=0,0,MIN(AC354,MAX(0,$E354-SUMIFS($V354:$AG354,'Calc base'!$C$17:$N$17,"&lt;"&amp;'Calc base'!J$17,'Calc base'!$C$14:$N$14,1))))</f>
        <v>0</v>
      </c>
      <c r="AP354">
        <f>IF('Calc base'!K$14=0,0,MIN(AD354,MAX(0,$E354-SUMIFS($V354:$AG354,'Calc base'!$C$17:$N$17,"&lt;"&amp;'Calc base'!K$17,'Calc base'!$C$14:$N$14,1))))</f>
        <v>0</v>
      </c>
      <c r="AQ354">
        <f>IF('Calc base'!L$14=0,0,MIN(AE354,MAX(0,$E354-SUMIFS($V354:$AG354,'Calc base'!$C$17:$N$17,"&lt;"&amp;'Calc base'!L$17,'Calc base'!$C$14:$N$14,1))))</f>
        <v>0</v>
      </c>
      <c r="AR354">
        <f>IF('Calc base'!M$14=0,0,MIN(AF354,MAX(0,$E354-SUMIFS($V354:$AG354,'Calc base'!$C$17:$N$17,"&lt;"&amp;'Calc base'!M$17,'Calc base'!$C$14:$N$14,1))))</f>
        <v>0</v>
      </c>
      <c r="AS354">
        <f>IF('Calc base'!N$14=0,0,MIN(AG354,MAX(0,$E354-SUMIFS($V354:$AG354,'Calc base'!$C$17:$N$17,"&lt;"&amp;'Calc base'!N$17,'Calc base'!$C$14:$N$14,1))))</f>
        <v>0</v>
      </c>
      <c r="AT354">
        <f>V354-AH354</f>
        <v>0</v>
      </c>
      <c r="AU354">
        <f>W354-AI354</f>
        <v>0</v>
      </c>
      <c r="AV354">
        <f>X354-AJ354</f>
        <v>0</v>
      </c>
      <c r="AW354">
        <f>Y354-AK354</f>
        <v>0</v>
      </c>
      <c r="AX354">
        <f>Z354-AL354</f>
        <v>0</v>
      </c>
      <c r="AY354">
        <f>AA354-AM354</f>
        <v>0</v>
      </c>
      <c r="AZ354">
        <f>AB354-AN354</f>
        <v>0</v>
      </c>
      <c r="BA354">
        <f>AC354-AO354</f>
        <v>0</v>
      </c>
      <c r="BB354">
        <f>AD354-AP354</f>
        <v>0</v>
      </c>
      <c r="BC354">
        <f>AE354-AQ354</f>
        <v>0</v>
      </c>
      <c r="BD354">
        <f>AF354-AR354</f>
        <v>0</v>
      </c>
      <c r="BE354">
        <f>AG354-AS354</f>
        <v>0</v>
      </c>
    </row>
    <row r="355">
      <c r="A355" t="n">
        <v>325</v>
      </c>
      <c r="B355">
        <f>SUMPRODUCT(ROUND($AT354:$BE354*(1+'Calc base'!$H355:$S355),2))</f>
        <v>0</v>
      </c>
      <c r="C355">
        <f>SUM(J355:U355)</f>
        <v>0</v>
      </c>
      <c r="D355">
        <f>SUM(V355:AG355)</f>
        <v>0</v>
      </c>
      <c r="E355">
        <f>MAX(0,IF(Impostazioni!$B$7="No",'Calc base'!$C355-$C$31,'Calc base'!$C355-C355)+'Calc base'!$G355+'Calc base'!$F355-(B355-C355-D355))</f>
        <v>900</v>
      </c>
      <c r="F355">
        <f>SUM(AH355:AS355)</f>
        <v>0</v>
      </c>
      <c r="G355">
        <f>SUM(AT355:BE355)</f>
        <v>0</v>
      </c>
      <c r="H355">
        <f>B355-G354</f>
        <v>0</v>
      </c>
      <c r="I355">
        <f>B355-G355</f>
        <v>0</v>
      </c>
      <c r="J355">
        <f>IF(AT354&lt;=0,0,IF(ROUND(AT354*(1+'Calc base'!H355),2)-MAX('Calc base'!C$12,ROUND('Calc base'!C$13*AT354,2))&lt;1,ROUND(AT354*(1+'Calc base'!H355),2),MAX('Calc base'!C$12,ROUND('Calc base'!C$13*AT354,2))))</f>
        <v>0</v>
      </c>
      <c r="K355">
        <f>IF(AU354&lt;=0,0,IF(ROUND(AU354*(1+'Calc base'!I355),2)-MAX('Calc base'!D$12,ROUND('Calc base'!D$13*AU354,2))&lt;1,ROUND(AU354*(1+'Calc base'!I355),2),MAX('Calc base'!D$12,ROUND('Calc base'!D$13*AU354,2))))</f>
        <v>0</v>
      </c>
      <c r="L355">
        <f>IF(AV354&lt;=0,0,IF(ROUND(AV354*(1+'Calc base'!J355),2)-MAX('Calc base'!E$12,ROUND('Calc base'!E$13*AV354,2))&lt;1,ROUND(AV354*(1+'Calc base'!J355),2),MAX('Calc base'!E$12,ROUND('Calc base'!E$13*AV354,2))))</f>
        <v>0</v>
      </c>
      <c r="M355">
        <f>IF(AW354&lt;=0,0,IF(ROUND(AW354*(1+'Calc base'!K355),2)-MAX('Calc base'!F$12,ROUND('Calc base'!F$13*AW354,2))&lt;1,ROUND(AW354*(1+'Calc base'!K355),2),MAX('Calc base'!F$12,ROUND('Calc base'!F$13*AW354,2))))</f>
        <v>0</v>
      </c>
      <c r="N355">
        <f>IF(AX354&lt;=0,0,IF(ROUND(AX354*(1+'Calc base'!L355),2)-MAX('Calc base'!G$12,ROUND('Calc base'!G$13*AX354,2))&lt;1,ROUND(AX354*(1+'Calc base'!L355),2),MAX('Calc base'!G$12,ROUND('Calc base'!G$13*AX354,2))))</f>
        <v>0</v>
      </c>
      <c r="O355">
        <f>IF(AY354&lt;=0,0,IF(ROUND(AY354*(1+'Calc base'!M355),2)-MAX('Calc base'!H$12,ROUND('Calc base'!H$13*AY354,2))&lt;1,ROUND(AY354*(1+'Calc base'!M355),2),MAX('Calc base'!H$12,ROUND('Calc base'!H$13*AY354,2))))</f>
        <v>0</v>
      </c>
      <c r="P355">
        <f>IF(AZ354&lt;=0,0,IF(ROUND(AZ354*(1+'Calc base'!N355),2)-MAX('Calc base'!I$12,ROUND('Calc base'!I$13*AZ354,2))&lt;1,ROUND(AZ354*(1+'Calc base'!N355),2),MAX('Calc base'!I$12,ROUND('Calc base'!I$13*AZ354,2))))</f>
        <v>0</v>
      </c>
      <c r="Q355">
        <f>IF(BA354&lt;=0,0,IF(ROUND(BA354*(1+'Calc base'!O355),2)-MAX('Calc base'!J$12,ROUND('Calc base'!J$13*BA354,2))&lt;1,ROUND(BA354*(1+'Calc base'!O355),2),MAX('Calc base'!J$12,ROUND('Calc base'!J$13*BA354,2))))</f>
        <v>0</v>
      </c>
      <c r="R355">
        <f>IF(BB354&lt;=0,0,IF(ROUND(BB354*(1+'Calc base'!P355),2)-MAX('Calc base'!K$12,ROUND('Calc base'!K$13*BB354,2))&lt;1,ROUND(BB354*(1+'Calc base'!P355),2),MAX('Calc base'!K$12,ROUND('Calc base'!K$13*BB354,2))))</f>
        <v>0</v>
      </c>
      <c r="S355">
        <f>IF(BC354&lt;=0,0,IF(ROUND(BC354*(1+'Calc base'!Q355),2)-MAX('Calc base'!L$12,ROUND('Calc base'!L$13*BC354,2))&lt;1,ROUND(BC354*(1+'Calc base'!Q355),2),MAX('Calc base'!L$12,ROUND('Calc base'!L$13*BC354,2))))</f>
        <v>0</v>
      </c>
      <c r="T355">
        <f>IF(BD354&lt;=0,0,IF(ROUND(BD354*(1+'Calc base'!R355),2)-MAX('Calc base'!M$12,ROUND('Calc base'!M$13*BD354,2))&lt;1,ROUND(BD354*(1+'Calc base'!R355),2),MAX('Calc base'!M$12,ROUND('Calc base'!M$13*BD354,2))))</f>
        <v>0</v>
      </c>
      <c r="U355">
        <f>IF(BE354&lt;=0,0,IF(ROUND(BE354*(1+'Calc base'!S355),2)-MAX('Calc base'!N$12,ROUND('Calc base'!N$13*BE354,2))&lt;1,ROUND(BE354*(1+'Calc base'!S355),2),MAX('Calc base'!N$12,ROUND('Calc base'!N$13*BE354,2))))</f>
        <v>0</v>
      </c>
      <c r="V355">
        <f>MAX(0,ROUND(AT354*(1+'Calc base'!H355),2)-J355-'Calc base'!T355)</f>
        <v>0</v>
      </c>
      <c r="W355">
        <f>MAX(0,ROUND(AU354*(1+'Calc base'!I355),2)-K355-'Calc base'!U355)</f>
        <v>0</v>
      </c>
      <c r="X355">
        <f>MAX(0,ROUND(AV354*(1+'Calc base'!J355),2)-L355-'Calc base'!V355)</f>
        <v>0</v>
      </c>
      <c r="Y355">
        <f>MAX(0,ROUND(AW354*(1+'Calc base'!K355),2)-M355-'Calc base'!W355)</f>
        <v>0</v>
      </c>
      <c r="Z355">
        <f>MAX(0,ROUND(AX354*(1+'Calc base'!L355),2)-N355-'Calc base'!X355)</f>
        <v>0</v>
      </c>
      <c r="AA355">
        <f>MAX(0,ROUND(AY354*(1+'Calc base'!M355),2)-O355-'Calc base'!Y355)</f>
        <v>0</v>
      </c>
      <c r="AB355">
        <f>MAX(0,ROUND(AZ354*(1+'Calc base'!N355),2)-P355-'Calc base'!Z355)</f>
        <v>0</v>
      </c>
      <c r="AC355">
        <f>MAX(0,ROUND(BA354*(1+'Calc base'!O355),2)-Q355-'Calc base'!AA355)</f>
        <v>0</v>
      </c>
      <c r="AD355">
        <f>MAX(0,ROUND(BB354*(1+'Calc base'!P355),2)-R355-'Calc base'!AB355)</f>
        <v>0</v>
      </c>
      <c r="AE355">
        <f>MAX(0,ROUND(BC354*(1+'Calc base'!Q355),2)-S355-'Calc base'!AC355)</f>
        <v>0</v>
      </c>
      <c r="AF355">
        <f>MAX(0,ROUND(BD354*(1+'Calc base'!R355),2)-T355-'Calc base'!AD355)</f>
        <v>0</v>
      </c>
      <c r="AG355">
        <f>MAX(0,ROUND(BE354*(1+'Calc base'!S355),2)-U355-'Calc base'!AE355)</f>
        <v>0</v>
      </c>
      <c r="AH355">
        <f>IF('Calc base'!C$14=0,0,MIN(V355,MAX(0,$E355-SUMIFS($V355:$AG355,'Calc base'!$C$17:$N$17,"&lt;"&amp;'Calc base'!C$17,'Calc base'!$C$14:$N$14,1))))</f>
        <v>0</v>
      </c>
      <c r="AI355">
        <f>IF('Calc base'!D$14=0,0,MIN(W355,MAX(0,$E355-SUMIFS($V355:$AG355,'Calc base'!$C$17:$N$17,"&lt;"&amp;'Calc base'!D$17,'Calc base'!$C$14:$N$14,1))))</f>
        <v>0</v>
      </c>
      <c r="AJ355">
        <f>IF('Calc base'!E$14=0,0,MIN(X355,MAX(0,$E355-SUMIFS($V355:$AG355,'Calc base'!$C$17:$N$17,"&lt;"&amp;'Calc base'!E$17,'Calc base'!$C$14:$N$14,1))))</f>
        <v>0</v>
      </c>
      <c r="AK355">
        <f>IF('Calc base'!F$14=0,0,MIN(Y355,MAX(0,$E355-SUMIFS($V355:$AG355,'Calc base'!$C$17:$N$17,"&lt;"&amp;'Calc base'!F$17,'Calc base'!$C$14:$N$14,1))))</f>
        <v>0</v>
      </c>
      <c r="AL355">
        <f>IF('Calc base'!G$14=0,0,MIN(Z355,MAX(0,$E355-SUMIFS($V355:$AG355,'Calc base'!$C$17:$N$17,"&lt;"&amp;'Calc base'!G$17,'Calc base'!$C$14:$N$14,1))))</f>
        <v>0</v>
      </c>
      <c r="AM355">
        <f>IF('Calc base'!H$14=0,0,MIN(AA355,MAX(0,$E355-SUMIFS($V355:$AG355,'Calc base'!$C$17:$N$17,"&lt;"&amp;'Calc base'!H$17,'Calc base'!$C$14:$N$14,1))))</f>
        <v>0</v>
      </c>
      <c r="AN355">
        <f>IF('Calc base'!I$14=0,0,MIN(AB355,MAX(0,$E355-SUMIFS($V355:$AG355,'Calc base'!$C$17:$N$17,"&lt;"&amp;'Calc base'!I$17,'Calc base'!$C$14:$N$14,1))))</f>
        <v>0</v>
      </c>
      <c r="AO355">
        <f>IF('Calc base'!J$14=0,0,MIN(AC355,MAX(0,$E355-SUMIFS($V355:$AG355,'Calc base'!$C$17:$N$17,"&lt;"&amp;'Calc base'!J$17,'Calc base'!$C$14:$N$14,1))))</f>
        <v>0</v>
      </c>
      <c r="AP355">
        <f>IF('Calc base'!K$14=0,0,MIN(AD355,MAX(0,$E355-SUMIFS($V355:$AG355,'Calc base'!$C$17:$N$17,"&lt;"&amp;'Calc base'!K$17,'Calc base'!$C$14:$N$14,1))))</f>
        <v>0</v>
      </c>
      <c r="AQ355">
        <f>IF('Calc base'!L$14=0,0,MIN(AE355,MAX(0,$E355-SUMIFS($V355:$AG355,'Calc base'!$C$17:$N$17,"&lt;"&amp;'Calc base'!L$17,'Calc base'!$C$14:$N$14,1))))</f>
        <v>0</v>
      </c>
      <c r="AR355">
        <f>IF('Calc base'!M$14=0,0,MIN(AF355,MAX(0,$E355-SUMIFS($V355:$AG355,'Calc base'!$C$17:$N$17,"&lt;"&amp;'Calc base'!M$17,'Calc base'!$C$14:$N$14,1))))</f>
        <v>0</v>
      </c>
      <c r="AS355">
        <f>IF('Calc base'!N$14=0,0,MIN(AG355,MAX(0,$E355-SUMIFS($V355:$AG355,'Calc base'!$C$17:$N$17,"&lt;"&amp;'Calc base'!N$17,'Calc base'!$C$14:$N$14,1))))</f>
        <v>0</v>
      </c>
      <c r="AT355">
        <f>V355-AH355</f>
        <v>0</v>
      </c>
      <c r="AU355">
        <f>W355-AI355</f>
        <v>0</v>
      </c>
      <c r="AV355">
        <f>X355-AJ355</f>
        <v>0</v>
      </c>
      <c r="AW355">
        <f>Y355-AK355</f>
        <v>0</v>
      </c>
      <c r="AX355">
        <f>Z355-AL355</f>
        <v>0</v>
      </c>
      <c r="AY355">
        <f>AA355-AM355</f>
        <v>0</v>
      </c>
      <c r="AZ355">
        <f>AB355-AN355</f>
        <v>0</v>
      </c>
      <c r="BA355">
        <f>AC355-AO355</f>
        <v>0</v>
      </c>
      <c r="BB355">
        <f>AD355-AP355</f>
        <v>0</v>
      </c>
      <c r="BC355">
        <f>AE355-AQ355</f>
        <v>0</v>
      </c>
      <c r="BD355">
        <f>AF355-AR355</f>
        <v>0</v>
      </c>
      <c r="BE355">
        <f>AG355-AS355</f>
        <v>0</v>
      </c>
    </row>
    <row r="356">
      <c r="A356" t="n">
        <v>326</v>
      </c>
      <c r="B356">
        <f>SUMPRODUCT(ROUND($AT355:$BE355*(1+'Calc base'!$H356:$S356),2))</f>
        <v>0</v>
      </c>
      <c r="C356">
        <f>SUM(J356:U356)</f>
        <v>0</v>
      </c>
      <c r="D356">
        <f>SUM(V356:AG356)</f>
        <v>0</v>
      </c>
      <c r="E356">
        <f>MAX(0,IF(Impostazioni!$B$7="No",'Calc base'!$C356-$C$31,'Calc base'!$C356-C356)+'Calc base'!$G356+'Calc base'!$F356-(B356-C356-D356))</f>
        <v>900</v>
      </c>
      <c r="F356">
        <f>SUM(AH356:AS356)</f>
        <v>0</v>
      </c>
      <c r="G356">
        <f>SUM(AT356:BE356)</f>
        <v>0</v>
      </c>
      <c r="H356">
        <f>B356-G355</f>
        <v>0</v>
      </c>
      <c r="I356">
        <f>B356-G356</f>
        <v>0</v>
      </c>
      <c r="J356">
        <f>IF(AT355&lt;=0,0,IF(ROUND(AT355*(1+'Calc base'!H356),2)-MAX('Calc base'!C$12,ROUND('Calc base'!C$13*AT355,2))&lt;1,ROUND(AT355*(1+'Calc base'!H356),2),MAX('Calc base'!C$12,ROUND('Calc base'!C$13*AT355,2))))</f>
        <v>0</v>
      </c>
      <c r="K356">
        <f>IF(AU355&lt;=0,0,IF(ROUND(AU355*(1+'Calc base'!I356),2)-MAX('Calc base'!D$12,ROUND('Calc base'!D$13*AU355,2))&lt;1,ROUND(AU355*(1+'Calc base'!I356),2),MAX('Calc base'!D$12,ROUND('Calc base'!D$13*AU355,2))))</f>
        <v>0</v>
      </c>
      <c r="L356">
        <f>IF(AV355&lt;=0,0,IF(ROUND(AV355*(1+'Calc base'!J356),2)-MAX('Calc base'!E$12,ROUND('Calc base'!E$13*AV355,2))&lt;1,ROUND(AV355*(1+'Calc base'!J356),2),MAX('Calc base'!E$12,ROUND('Calc base'!E$13*AV355,2))))</f>
        <v>0</v>
      </c>
      <c r="M356">
        <f>IF(AW355&lt;=0,0,IF(ROUND(AW355*(1+'Calc base'!K356),2)-MAX('Calc base'!F$12,ROUND('Calc base'!F$13*AW355,2))&lt;1,ROUND(AW355*(1+'Calc base'!K356),2),MAX('Calc base'!F$12,ROUND('Calc base'!F$13*AW355,2))))</f>
        <v>0</v>
      </c>
      <c r="N356">
        <f>IF(AX355&lt;=0,0,IF(ROUND(AX355*(1+'Calc base'!L356),2)-MAX('Calc base'!G$12,ROUND('Calc base'!G$13*AX355,2))&lt;1,ROUND(AX355*(1+'Calc base'!L356),2),MAX('Calc base'!G$12,ROUND('Calc base'!G$13*AX355,2))))</f>
        <v>0</v>
      </c>
      <c r="O356">
        <f>IF(AY355&lt;=0,0,IF(ROUND(AY355*(1+'Calc base'!M356),2)-MAX('Calc base'!H$12,ROUND('Calc base'!H$13*AY355,2))&lt;1,ROUND(AY355*(1+'Calc base'!M356),2),MAX('Calc base'!H$12,ROUND('Calc base'!H$13*AY355,2))))</f>
        <v>0</v>
      </c>
      <c r="P356">
        <f>IF(AZ355&lt;=0,0,IF(ROUND(AZ355*(1+'Calc base'!N356),2)-MAX('Calc base'!I$12,ROUND('Calc base'!I$13*AZ355,2))&lt;1,ROUND(AZ355*(1+'Calc base'!N356),2),MAX('Calc base'!I$12,ROUND('Calc base'!I$13*AZ355,2))))</f>
        <v>0</v>
      </c>
      <c r="Q356">
        <f>IF(BA355&lt;=0,0,IF(ROUND(BA355*(1+'Calc base'!O356),2)-MAX('Calc base'!J$12,ROUND('Calc base'!J$13*BA355,2))&lt;1,ROUND(BA355*(1+'Calc base'!O356),2),MAX('Calc base'!J$12,ROUND('Calc base'!J$13*BA355,2))))</f>
        <v>0</v>
      </c>
      <c r="R356">
        <f>IF(BB355&lt;=0,0,IF(ROUND(BB355*(1+'Calc base'!P356),2)-MAX('Calc base'!K$12,ROUND('Calc base'!K$13*BB355,2))&lt;1,ROUND(BB355*(1+'Calc base'!P356),2),MAX('Calc base'!K$12,ROUND('Calc base'!K$13*BB355,2))))</f>
        <v>0</v>
      </c>
      <c r="S356">
        <f>IF(BC355&lt;=0,0,IF(ROUND(BC355*(1+'Calc base'!Q356),2)-MAX('Calc base'!L$12,ROUND('Calc base'!L$13*BC355,2))&lt;1,ROUND(BC355*(1+'Calc base'!Q356),2),MAX('Calc base'!L$12,ROUND('Calc base'!L$13*BC355,2))))</f>
        <v>0</v>
      </c>
      <c r="T356">
        <f>IF(BD355&lt;=0,0,IF(ROUND(BD355*(1+'Calc base'!R356),2)-MAX('Calc base'!M$12,ROUND('Calc base'!M$13*BD355,2))&lt;1,ROUND(BD355*(1+'Calc base'!R356),2),MAX('Calc base'!M$12,ROUND('Calc base'!M$13*BD355,2))))</f>
        <v>0</v>
      </c>
      <c r="U356">
        <f>IF(BE355&lt;=0,0,IF(ROUND(BE355*(1+'Calc base'!S356),2)-MAX('Calc base'!N$12,ROUND('Calc base'!N$13*BE355,2))&lt;1,ROUND(BE355*(1+'Calc base'!S356),2),MAX('Calc base'!N$12,ROUND('Calc base'!N$13*BE355,2))))</f>
        <v>0</v>
      </c>
      <c r="V356">
        <f>MAX(0,ROUND(AT355*(1+'Calc base'!H356),2)-J356-'Calc base'!T356)</f>
        <v>0</v>
      </c>
      <c r="W356">
        <f>MAX(0,ROUND(AU355*(1+'Calc base'!I356),2)-K356-'Calc base'!U356)</f>
        <v>0</v>
      </c>
      <c r="X356">
        <f>MAX(0,ROUND(AV355*(1+'Calc base'!J356),2)-L356-'Calc base'!V356)</f>
        <v>0</v>
      </c>
      <c r="Y356">
        <f>MAX(0,ROUND(AW355*(1+'Calc base'!K356),2)-M356-'Calc base'!W356)</f>
        <v>0</v>
      </c>
      <c r="Z356">
        <f>MAX(0,ROUND(AX355*(1+'Calc base'!L356),2)-N356-'Calc base'!X356)</f>
        <v>0</v>
      </c>
      <c r="AA356">
        <f>MAX(0,ROUND(AY355*(1+'Calc base'!M356),2)-O356-'Calc base'!Y356)</f>
        <v>0</v>
      </c>
      <c r="AB356">
        <f>MAX(0,ROUND(AZ355*(1+'Calc base'!N356),2)-P356-'Calc base'!Z356)</f>
        <v>0</v>
      </c>
      <c r="AC356">
        <f>MAX(0,ROUND(BA355*(1+'Calc base'!O356),2)-Q356-'Calc base'!AA356)</f>
        <v>0</v>
      </c>
      <c r="AD356">
        <f>MAX(0,ROUND(BB355*(1+'Calc base'!P356),2)-R356-'Calc base'!AB356)</f>
        <v>0</v>
      </c>
      <c r="AE356">
        <f>MAX(0,ROUND(BC355*(1+'Calc base'!Q356),2)-S356-'Calc base'!AC356)</f>
        <v>0</v>
      </c>
      <c r="AF356">
        <f>MAX(0,ROUND(BD355*(1+'Calc base'!R356),2)-T356-'Calc base'!AD356)</f>
        <v>0</v>
      </c>
      <c r="AG356">
        <f>MAX(0,ROUND(BE355*(1+'Calc base'!S356),2)-U356-'Calc base'!AE356)</f>
        <v>0</v>
      </c>
      <c r="AH356">
        <f>IF('Calc base'!C$14=0,0,MIN(V356,MAX(0,$E356-SUMIFS($V356:$AG356,'Calc base'!$C$17:$N$17,"&lt;"&amp;'Calc base'!C$17,'Calc base'!$C$14:$N$14,1))))</f>
        <v>0</v>
      </c>
      <c r="AI356">
        <f>IF('Calc base'!D$14=0,0,MIN(W356,MAX(0,$E356-SUMIFS($V356:$AG356,'Calc base'!$C$17:$N$17,"&lt;"&amp;'Calc base'!D$17,'Calc base'!$C$14:$N$14,1))))</f>
        <v>0</v>
      </c>
      <c r="AJ356">
        <f>IF('Calc base'!E$14=0,0,MIN(X356,MAX(0,$E356-SUMIFS($V356:$AG356,'Calc base'!$C$17:$N$17,"&lt;"&amp;'Calc base'!E$17,'Calc base'!$C$14:$N$14,1))))</f>
        <v>0</v>
      </c>
      <c r="AK356">
        <f>IF('Calc base'!F$14=0,0,MIN(Y356,MAX(0,$E356-SUMIFS($V356:$AG356,'Calc base'!$C$17:$N$17,"&lt;"&amp;'Calc base'!F$17,'Calc base'!$C$14:$N$14,1))))</f>
        <v>0</v>
      </c>
      <c r="AL356">
        <f>IF('Calc base'!G$14=0,0,MIN(Z356,MAX(0,$E356-SUMIFS($V356:$AG356,'Calc base'!$C$17:$N$17,"&lt;"&amp;'Calc base'!G$17,'Calc base'!$C$14:$N$14,1))))</f>
        <v>0</v>
      </c>
      <c r="AM356">
        <f>IF('Calc base'!H$14=0,0,MIN(AA356,MAX(0,$E356-SUMIFS($V356:$AG356,'Calc base'!$C$17:$N$17,"&lt;"&amp;'Calc base'!H$17,'Calc base'!$C$14:$N$14,1))))</f>
        <v>0</v>
      </c>
      <c r="AN356">
        <f>IF('Calc base'!I$14=0,0,MIN(AB356,MAX(0,$E356-SUMIFS($V356:$AG356,'Calc base'!$C$17:$N$17,"&lt;"&amp;'Calc base'!I$17,'Calc base'!$C$14:$N$14,1))))</f>
        <v>0</v>
      </c>
      <c r="AO356">
        <f>IF('Calc base'!J$14=0,0,MIN(AC356,MAX(0,$E356-SUMIFS($V356:$AG356,'Calc base'!$C$17:$N$17,"&lt;"&amp;'Calc base'!J$17,'Calc base'!$C$14:$N$14,1))))</f>
        <v>0</v>
      </c>
      <c r="AP356">
        <f>IF('Calc base'!K$14=0,0,MIN(AD356,MAX(0,$E356-SUMIFS($V356:$AG356,'Calc base'!$C$17:$N$17,"&lt;"&amp;'Calc base'!K$17,'Calc base'!$C$14:$N$14,1))))</f>
        <v>0</v>
      </c>
      <c r="AQ356">
        <f>IF('Calc base'!L$14=0,0,MIN(AE356,MAX(0,$E356-SUMIFS($V356:$AG356,'Calc base'!$C$17:$N$17,"&lt;"&amp;'Calc base'!L$17,'Calc base'!$C$14:$N$14,1))))</f>
        <v>0</v>
      </c>
      <c r="AR356">
        <f>IF('Calc base'!M$14=0,0,MIN(AF356,MAX(0,$E356-SUMIFS($V356:$AG356,'Calc base'!$C$17:$N$17,"&lt;"&amp;'Calc base'!M$17,'Calc base'!$C$14:$N$14,1))))</f>
        <v>0</v>
      </c>
      <c r="AS356">
        <f>IF('Calc base'!N$14=0,0,MIN(AG356,MAX(0,$E356-SUMIFS($V356:$AG356,'Calc base'!$C$17:$N$17,"&lt;"&amp;'Calc base'!N$17,'Calc base'!$C$14:$N$14,1))))</f>
        <v>0</v>
      </c>
      <c r="AT356">
        <f>V356-AH356</f>
        <v>0</v>
      </c>
      <c r="AU356">
        <f>W356-AI356</f>
        <v>0</v>
      </c>
      <c r="AV356">
        <f>X356-AJ356</f>
        <v>0</v>
      </c>
      <c r="AW356">
        <f>Y356-AK356</f>
        <v>0</v>
      </c>
      <c r="AX356">
        <f>Z356-AL356</f>
        <v>0</v>
      </c>
      <c r="AY356">
        <f>AA356-AM356</f>
        <v>0</v>
      </c>
      <c r="AZ356">
        <f>AB356-AN356</f>
        <v>0</v>
      </c>
      <c r="BA356">
        <f>AC356-AO356</f>
        <v>0</v>
      </c>
      <c r="BB356">
        <f>AD356-AP356</f>
        <v>0</v>
      </c>
      <c r="BC356">
        <f>AE356-AQ356</f>
        <v>0</v>
      </c>
      <c r="BD356">
        <f>AF356-AR356</f>
        <v>0</v>
      </c>
      <c r="BE356">
        <f>AG356-AS356</f>
        <v>0</v>
      </c>
    </row>
    <row r="357">
      <c r="A357" t="n">
        <v>327</v>
      </c>
      <c r="B357">
        <f>SUMPRODUCT(ROUND($AT356:$BE356*(1+'Calc base'!$H357:$S357),2))</f>
        <v>0</v>
      </c>
      <c r="C357">
        <f>SUM(J357:U357)</f>
        <v>0</v>
      </c>
      <c r="D357">
        <f>SUM(V357:AG357)</f>
        <v>0</v>
      </c>
      <c r="E357">
        <f>MAX(0,IF(Impostazioni!$B$7="No",'Calc base'!$C357-$C$31,'Calc base'!$C357-C357)+'Calc base'!$G357+'Calc base'!$F357-(B357-C357-D357))</f>
        <v>900</v>
      </c>
      <c r="F357">
        <f>SUM(AH357:AS357)</f>
        <v>0</v>
      </c>
      <c r="G357">
        <f>SUM(AT357:BE357)</f>
        <v>0</v>
      </c>
      <c r="H357">
        <f>B357-G356</f>
        <v>0</v>
      </c>
      <c r="I357">
        <f>B357-G357</f>
        <v>0</v>
      </c>
      <c r="J357">
        <f>IF(AT356&lt;=0,0,IF(ROUND(AT356*(1+'Calc base'!H357),2)-MAX('Calc base'!C$12,ROUND('Calc base'!C$13*AT356,2))&lt;1,ROUND(AT356*(1+'Calc base'!H357),2),MAX('Calc base'!C$12,ROUND('Calc base'!C$13*AT356,2))))</f>
        <v>0</v>
      </c>
      <c r="K357">
        <f>IF(AU356&lt;=0,0,IF(ROUND(AU356*(1+'Calc base'!I357),2)-MAX('Calc base'!D$12,ROUND('Calc base'!D$13*AU356,2))&lt;1,ROUND(AU356*(1+'Calc base'!I357),2),MAX('Calc base'!D$12,ROUND('Calc base'!D$13*AU356,2))))</f>
        <v>0</v>
      </c>
      <c r="L357">
        <f>IF(AV356&lt;=0,0,IF(ROUND(AV356*(1+'Calc base'!J357),2)-MAX('Calc base'!E$12,ROUND('Calc base'!E$13*AV356,2))&lt;1,ROUND(AV356*(1+'Calc base'!J357),2),MAX('Calc base'!E$12,ROUND('Calc base'!E$13*AV356,2))))</f>
        <v>0</v>
      </c>
      <c r="M357">
        <f>IF(AW356&lt;=0,0,IF(ROUND(AW356*(1+'Calc base'!K357),2)-MAX('Calc base'!F$12,ROUND('Calc base'!F$13*AW356,2))&lt;1,ROUND(AW356*(1+'Calc base'!K357),2),MAX('Calc base'!F$12,ROUND('Calc base'!F$13*AW356,2))))</f>
        <v>0</v>
      </c>
      <c r="N357">
        <f>IF(AX356&lt;=0,0,IF(ROUND(AX356*(1+'Calc base'!L357),2)-MAX('Calc base'!G$12,ROUND('Calc base'!G$13*AX356,2))&lt;1,ROUND(AX356*(1+'Calc base'!L357),2),MAX('Calc base'!G$12,ROUND('Calc base'!G$13*AX356,2))))</f>
        <v>0</v>
      </c>
      <c r="O357">
        <f>IF(AY356&lt;=0,0,IF(ROUND(AY356*(1+'Calc base'!M357),2)-MAX('Calc base'!H$12,ROUND('Calc base'!H$13*AY356,2))&lt;1,ROUND(AY356*(1+'Calc base'!M357),2),MAX('Calc base'!H$12,ROUND('Calc base'!H$13*AY356,2))))</f>
        <v>0</v>
      </c>
      <c r="P357">
        <f>IF(AZ356&lt;=0,0,IF(ROUND(AZ356*(1+'Calc base'!N357),2)-MAX('Calc base'!I$12,ROUND('Calc base'!I$13*AZ356,2))&lt;1,ROUND(AZ356*(1+'Calc base'!N357),2),MAX('Calc base'!I$12,ROUND('Calc base'!I$13*AZ356,2))))</f>
        <v>0</v>
      </c>
      <c r="Q357">
        <f>IF(BA356&lt;=0,0,IF(ROUND(BA356*(1+'Calc base'!O357),2)-MAX('Calc base'!J$12,ROUND('Calc base'!J$13*BA356,2))&lt;1,ROUND(BA356*(1+'Calc base'!O357),2),MAX('Calc base'!J$12,ROUND('Calc base'!J$13*BA356,2))))</f>
        <v>0</v>
      </c>
      <c r="R357">
        <f>IF(BB356&lt;=0,0,IF(ROUND(BB356*(1+'Calc base'!P357),2)-MAX('Calc base'!K$12,ROUND('Calc base'!K$13*BB356,2))&lt;1,ROUND(BB356*(1+'Calc base'!P357),2),MAX('Calc base'!K$12,ROUND('Calc base'!K$13*BB356,2))))</f>
        <v>0</v>
      </c>
      <c r="S357">
        <f>IF(BC356&lt;=0,0,IF(ROUND(BC356*(1+'Calc base'!Q357),2)-MAX('Calc base'!L$12,ROUND('Calc base'!L$13*BC356,2))&lt;1,ROUND(BC356*(1+'Calc base'!Q357),2),MAX('Calc base'!L$12,ROUND('Calc base'!L$13*BC356,2))))</f>
        <v>0</v>
      </c>
      <c r="T357">
        <f>IF(BD356&lt;=0,0,IF(ROUND(BD356*(1+'Calc base'!R357),2)-MAX('Calc base'!M$12,ROUND('Calc base'!M$13*BD356,2))&lt;1,ROUND(BD356*(1+'Calc base'!R357),2),MAX('Calc base'!M$12,ROUND('Calc base'!M$13*BD356,2))))</f>
        <v>0</v>
      </c>
      <c r="U357">
        <f>IF(BE356&lt;=0,0,IF(ROUND(BE356*(1+'Calc base'!S357),2)-MAX('Calc base'!N$12,ROUND('Calc base'!N$13*BE356,2))&lt;1,ROUND(BE356*(1+'Calc base'!S357),2),MAX('Calc base'!N$12,ROUND('Calc base'!N$13*BE356,2))))</f>
        <v>0</v>
      </c>
      <c r="V357">
        <f>MAX(0,ROUND(AT356*(1+'Calc base'!H357),2)-J357-'Calc base'!T357)</f>
        <v>0</v>
      </c>
      <c r="W357">
        <f>MAX(0,ROUND(AU356*(1+'Calc base'!I357),2)-K357-'Calc base'!U357)</f>
        <v>0</v>
      </c>
      <c r="X357">
        <f>MAX(0,ROUND(AV356*(1+'Calc base'!J357),2)-L357-'Calc base'!V357)</f>
        <v>0</v>
      </c>
      <c r="Y357">
        <f>MAX(0,ROUND(AW356*(1+'Calc base'!K357),2)-M357-'Calc base'!W357)</f>
        <v>0</v>
      </c>
      <c r="Z357">
        <f>MAX(0,ROUND(AX356*(1+'Calc base'!L357),2)-N357-'Calc base'!X357)</f>
        <v>0</v>
      </c>
      <c r="AA357">
        <f>MAX(0,ROUND(AY356*(1+'Calc base'!M357),2)-O357-'Calc base'!Y357)</f>
        <v>0</v>
      </c>
      <c r="AB357">
        <f>MAX(0,ROUND(AZ356*(1+'Calc base'!N357),2)-P357-'Calc base'!Z357)</f>
        <v>0</v>
      </c>
      <c r="AC357">
        <f>MAX(0,ROUND(BA356*(1+'Calc base'!O357),2)-Q357-'Calc base'!AA357)</f>
        <v>0</v>
      </c>
      <c r="AD357">
        <f>MAX(0,ROUND(BB356*(1+'Calc base'!P357),2)-R357-'Calc base'!AB357)</f>
        <v>0</v>
      </c>
      <c r="AE357">
        <f>MAX(0,ROUND(BC356*(1+'Calc base'!Q357),2)-S357-'Calc base'!AC357)</f>
        <v>0</v>
      </c>
      <c r="AF357">
        <f>MAX(0,ROUND(BD356*(1+'Calc base'!R357),2)-T357-'Calc base'!AD357)</f>
        <v>0</v>
      </c>
      <c r="AG357">
        <f>MAX(0,ROUND(BE356*(1+'Calc base'!S357),2)-U357-'Calc base'!AE357)</f>
        <v>0</v>
      </c>
      <c r="AH357">
        <f>IF('Calc base'!C$14=0,0,MIN(V357,MAX(0,$E357-SUMIFS($V357:$AG357,'Calc base'!$C$17:$N$17,"&lt;"&amp;'Calc base'!C$17,'Calc base'!$C$14:$N$14,1))))</f>
        <v>0</v>
      </c>
      <c r="AI357">
        <f>IF('Calc base'!D$14=0,0,MIN(W357,MAX(0,$E357-SUMIFS($V357:$AG357,'Calc base'!$C$17:$N$17,"&lt;"&amp;'Calc base'!D$17,'Calc base'!$C$14:$N$14,1))))</f>
        <v>0</v>
      </c>
      <c r="AJ357">
        <f>IF('Calc base'!E$14=0,0,MIN(X357,MAX(0,$E357-SUMIFS($V357:$AG357,'Calc base'!$C$17:$N$17,"&lt;"&amp;'Calc base'!E$17,'Calc base'!$C$14:$N$14,1))))</f>
        <v>0</v>
      </c>
      <c r="AK357">
        <f>IF('Calc base'!F$14=0,0,MIN(Y357,MAX(0,$E357-SUMIFS($V357:$AG357,'Calc base'!$C$17:$N$17,"&lt;"&amp;'Calc base'!F$17,'Calc base'!$C$14:$N$14,1))))</f>
        <v>0</v>
      </c>
      <c r="AL357">
        <f>IF('Calc base'!G$14=0,0,MIN(Z357,MAX(0,$E357-SUMIFS($V357:$AG357,'Calc base'!$C$17:$N$17,"&lt;"&amp;'Calc base'!G$17,'Calc base'!$C$14:$N$14,1))))</f>
        <v>0</v>
      </c>
      <c r="AM357">
        <f>IF('Calc base'!H$14=0,0,MIN(AA357,MAX(0,$E357-SUMIFS($V357:$AG357,'Calc base'!$C$17:$N$17,"&lt;"&amp;'Calc base'!H$17,'Calc base'!$C$14:$N$14,1))))</f>
        <v>0</v>
      </c>
      <c r="AN357">
        <f>IF('Calc base'!I$14=0,0,MIN(AB357,MAX(0,$E357-SUMIFS($V357:$AG357,'Calc base'!$C$17:$N$17,"&lt;"&amp;'Calc base'!I$17,'Calc base'!$C$14:$N$14,1))))</f>
        <v>0</v>
      </c>
      <c r="AO357">
        <f>IF('Calc base'!J$14=0,0,MIN(AC357,MAX(0,$E357-SUMIFS($V357:$AG357,'Calc base'!$C$17:$N$17,"&lt;"&amp;'Calc base'!J$17,'Calc base'!$C$14:$N$14,1))))</f>
        <v>0</v>
      </c>
      <c r="AP357">
        <f>IF('Calc base'!K$14=0,0,MIN(AD357,MAX(0,$E357-SUMIFS($V357:$AG357,'Calc base'!$C$17:$N$17,"&lt;"&amp;'Calc base'!K$17,'Calc base'!$C$14:$N$14,1))))</f>
        <v>0</v>
      </c>
      <c r="AQ357">
        <f>IF('Calc base'!L$14=0,0,MIN(AE357,MAX(0,$E357-SUMIFS($V357:$AG357,'Calc base'!$C$17:$N$17,"&lt;"&amp;'Calc base'!L$17,'Calc base'!$C$14:$N$14,1))))</f>
        <v>0</v>
      </c>
      <c r="AR357">
        <f>IF('Calc base'!M$14=0,0,MIN(AF357,MAX(0,$E357-SUMIFS($V357:$AG357,'Calc base'!$C$17:$N$17,"&lt;"&amp;'Calc base'!M$17,'Calc base'!$C$14:$N$14,1))))</f>
        <v>0</v>
      </c>
      <c r="AS357">
        <f>IF('Calc base'!N$14=0,0,MIN(AG357,MAX(0,$E357-SUMIFS($V357:$AG357,'Calc base'!$C$17:$N$17,"&lt;"&amp;'Calc base'!N$17,'Calc base'!$C$14:$N$14,1))))</f>
        <v>0</v>
      </c>
      <c r="AT357">
        <f>V357-AH357</f>
        <v>0</v>
      </c>
      <c r="AU357">
        <f>W357-AI357</f>
        <v>0</v>
      </c>
      <c r="AV357">
        <f>X357-AJ357</f>
        <v>0</v>
      </c>
      <c r="AW357">
        <f>Y357-AK357</f>
        <v>0</v>
      </c>
      <c r="AX357">
        <f>Z357-AL357</f>
        <v>0</v>
      </c>
      <c r="AY357">
        <f>AA357-AM357</f>
        <v>0</v>
      </c>
      <c r="AZ357">
        <f>AB357-AN357</f>
        <v>0</v>
      </c>
      <c r="BA357">
        <f>AC357-AO357</f>
        <v>0</v>
      </c>
      <c r="BB357">
        <f>AD357-AP357</f>
        <v>0</v>
      </c>
      <c r="BC357">
        <f>AE357-AQ357</f>
        <v>0</v>
      </c>
      <c r="BD357">
        <f>AF357-AR357</f>
        <v>0</v>
      </c>
      <c r="BE357">
        <f>AG357-AS357</f>
        <v>0</v>
      </c>
    </row>
    <row r="358">
      <c r="A358" t="n">
        <v>328</v>
      </c>
      <c r="B358">
        <f>SUMPRODUCT(ROUND($AT357:$BE357*(1+'Calc base'!$H358:$S358),2))</f>
        <v>0</v>
      </c>
      <c r="C358">
        <f>SUM(J358:U358)</f>
        <v>0</v>
      </c>
      <c r="D358">
        <f>SUM(V358:AG358)</f>
        <v>0</v>
      </c>
      <c r="E358">
        <f>MAX(0,IF(Impostazioni!$B$7="No",'Calc base'!$C358-$C$31,'Calc base'!$C358-C358)+'Calc base'!$G358+'Calc base'!$F358-(B358-C358-D358))</f>
        <v>900</v>
      </c>
      <c r="F358">
        <f>SUM(AH358:AS358)</f>
        <v>0</v>
      </c>
      <c r="G358">
        <f>SUM(AT358:BE358)</f>
        <v>0</v>
      </c>
      <c r="H358">
        <f>B358-G357</f>
        <v>0</v>
      </c>
      <c r="I358">
        <f>B358-G358</f>
        <v>0</v>
      </c>
      <c r="J358">
        <f>IF(AT357&lt;=0,0,IF(ROUND(AT357*(1+'Calc base'!H358),2)-MAX('Calc base'!C$12,ROUND('Calc base'!C$13*AT357,2))&lt;1,ROUND(AT357*(1+'Calc base'!H358),2),MAX('Calc base'!C$12,ROUND('Calc base'!C$13*AT357,2))))</f>
        <v>0</v>
      </c>
      <c r="K358">
        <f>IF(AU357&lt;=0,0,IF(ROUND(AU357*(1+'Calc base'!I358),2)-MAX('Calc base'!D$12,ROUND('Calc base'!D$13*AU357,2))&lt;1,ROUND(AU357*(1+'Calc base'!I358),2),MAX('Calc base'!D$12,ROUND('Calc base'!D$13*AU357,2))))</f>
        <v>0</v>
      </c>
      <c r="L358">
        <f>IF(AV357&lt;=0,0,IF(ROUND(AV357*(1+'Calc base'!J358),2)-MAX('Calc base'!E$12,ROUND('Calc base'!E$13*AV357,2))&lt;1,ROUND(AV357*(1+'Calc base'!J358),2),MAX('Calc base'!E$12,ROUND('Calc base'!E$13*AV357,2))))</f>
        <v>0</v>
      </c>
      <c r="M358">
        <f>IF(AW357&lt;=0,0,IF(ROUND(AW357*(1+'Calc base'!K358),2)-MAX('Calc base'!F$12,ROUND('Calc base'!F$13*AW357,2))&lt;1,ROUND(AW357*(1+'Calc base'!K358),2),MAX('Calc base'!F$12,ROUND('Calc base'!F$13*AW357,2))))</f>
        <v>0</v>
      </c>
      <c r="N358">
        <f>IF(AX357&lt;=0,0,IF(ROUND(AX357*(1+'Calc base'!L358),2)-MAX('Calc base'!G$12,ROUND('Calc base'!G$13*AX357,2))&lt;1,ROUND(AX357*(1+'Calc base'!L358),2),MAX('Calc base'!G$12,ROUND('Calc base'!G$13*AX357,2))))</f>
        <v>0</v>
      </c>
      <c r="O358">
        <f>IF(AY357&lt;=0,0,IF(ROUND(AY357*(1+'Calc base'!M358),2)-MAX('Calc base'!H$12,ROUND('Calc base'!H$13*AY357,2))&lt;1,ROUND(AY357*(1+'Calc base'!M358),2),MAX('Calc base'!H$12,ROUND('Calc base'!H$13*AY357,2))))</f>
        <v>0</v>
      </c>
      <c r="P358">
        <f>IF(AZ357&lt;=0,0,IF(ROUND(AZ357*(1+'Calc base'!N358),2)-MAX('Calc base'!I$12,ROUND('Calc base'!I$13*AZ357,2))&lt;1,ROUND(AZ357*(1+'Calc base'!N358),2),MAX('Calc base'!I$12,ROUND('Calc base'!I$13*AZ357,2))))</f>
        <v>0</v>
      </c>
      <c r="Q358">
        <f>IF(BA357&lt;=0,0,IF(ROUND(BA357*(1+'Calc base'!O358),2)-MAX('Calc base'!J$12,ROUND('Calc base'!J$13*BA357,2))&lt;1,ROUND(BA357*(1+'Calc base'!O358),2),MAX('Calc base'!J$12,ROUND('Calc base'!J$13*BA357,2))))</f>
        <v>0</v>
      </c>
      <c r="R358">
        <f>IF(BB357&lt;=0,0,IF(ROUND(BB357*(1+'Calc base'!P358),2)-MAX('Calc base'!K$12,ROUND('Calc base'!K$13*BB357,2))&lt;1,ROUND(BB357*(1+'Calc base'!P358),2),MAX('Calc base'!K$12,ROUND('Calc base'!K$13*BB357,2))))</f>
        <v>0</v>
      </c>
      <c r="S358">
        <f>IF(BC357&lt;=0,0,IF(ROUND(BC357*(1+'Calc base'!Q358),2)-MAX('Calc base'!L$12,ROUND('Calc base'!L$13*BC357,2))&lt;1,ROUND(BC357*(1+'Calc base'!Q358),2),MAX('Calc base'!L$12,ROUND('Calc base'!L$13*BC357,2))))</f>
        <v>0</v>
      </c>
      <c r="T358">
        <f>IF(BD357&lt;=0,0,IF(ROUND(BD357*(1+'Calc base'!R358),2)-MAX('Calc base'!M$12,ROUND('Calc base'!M$13*BD357,2))&lt;1,ROUND(BD357*(1+'Calc base'!R358),2),MAX('Calc base'!M$12,ROUND('Calc base'!M$13*BD357,2))))</f>
        <v>0</v>
      </c>
      <c r="U358">
        <f>IF(BE357&lt;=0,0,IF(ROUND(BE357*(1+'Calc base'!S358),2)-MAX('Calc base'!N$12,ROUND('Calc base'!N$13*BE357,2))&lt;1,ROUND(BE357*(1+'Calc base'!S358),2),MAX('Calc base'!N$12,ROUND('Calc base'!N$13*BE357,2))))</f>
        <v>0</v>
      </c>
      <c r="V358">
        <f>MAX(0,ROUND(AT357*(1+'Calc base'!H358),2)-J358-'Calc base'!T358)</f>
        <v>0</v>
      </c>
      <c r="W358">
        <f>MAX(0,ROUND(AU357*(1+'Calc base'!I358),2)-K358-'Calc base'!U358)</f>
        <v>0</v>
      </c>
      <c r="X358">
        <f>MAX(0,ROUND(AV357*(1+'Calc base'!J358),2)-L358-'Calc base'!V358)</f>
        <v>0</v>
      </c>
      <c r="Y358">
        <f>MAX(0,ROUND(AW357*(1+'Calc base'!K358),2)-M358-'Calc base'!W358)</f>
        <v>0</v>
      </c>
      <c r="Z358">
        <f>MAX(0,ROUND(AX357*(1+'Calc base'!L358),2)-N358-'Calc base'!X358)</f>
        <v>0</v>
      </c>
      <c r="AA358">
        <f>MAX(0,ROUND(AY357*(1+'Calc base'!M358),2)-O358-'Calc base'!Y358)</f>
        <v>0</v>
      </c>
      <c r="AB358">
        <f>MAX(0,ROUND(AZ357*(1+'Calc base'!N358),2)-P358-'Calc base'!Z358)</f>
        <v>0</v>
      </c>
      <c r="AC358">
        <f>MAX(0,ROUND(BA357*(1+'Calc base'!O358),2)-Q358-'Calc base'!AA358)</f>
        <v>0</v>
      </c>
      <c r="AD358">
        <f>MAX(0,ROUND(BB357*(1+'Calc base'!P358),2)-R358-'Calc base'!AB358)</f>
        <v>0</v>
      </c>
      <c r="AE358">
        <f>MAX(0,ROUND(BC357*(1+'Calc base'!Q358),2)-S358-'Calc base'!AC358)</f>
        <v>0</v>
      </c>
      <c r="AF358">
        <f>MAX(0,ROUND(BD357*(1+'Calc base'!R358),2)-T358-'Calc base'!AD358)</f>
        <v>0</v>
      </c>
      <c r="AG358">
        <f>MAX(0,ROUND(BE357*(1+'Calc base'!S358),2)-U358-'Calc base'!AE358)</f>
        <v>0</v>
      </c>
      <c r="AH358">
        <f>IF('Calc base'!C$14=0,0,MIN(V358,MAX(0,$E358-SUMIFS($V358:$AG358,'Calc base'!$C$17:$N$17,"&lt;"&amp;'Calc base'!C$17,'Calc base'!$C$14:$N$14,1))))</f>
        <v>0</v>
      </c>
      <c r="AI358">
        <f>IF('Calc base'!D$14=0,0,MIN(W358,MAX(0,$E358-SUMIFS($V358:$AG358,'Calc base'!$C$17:$N$17,"&lt;"&amp;'Calc base'!D$17,'Calc base'!$C$14:$N$14,1))))</f>
        <v>0</v>
      </c>
      <c r="AJ358">
        <f>IF('Calc base'!E$14=0,0,MIN(X358,MAX(0,$E358-SUMIFS($V358:$AG358,'Calc base'!$C$17:$N$17,"&lt;"&amp;'Calc base'!E$17,'Calc base'!$C$14:$N$14,1))))</f>
        <v>0</v>
      </c>
      <c r="AK358">
        <f>IF('Calc base'!F$14=0,0,MIN(Y358,MAX(0,$E358-SUMIFS($V358:$AG358,'Calc base'!$C$17:$N$17,"&lt;"&amp;'Calc base'!F$17,'Calc base'!$C$14:$N$14,1))))</f>
        <v>0</v>
      </c>
      <c r="AL358">
        <f>IF('Calc base'!G$14=0,0,MIN(Z358,MAX(0,$E358-SUMIFS($V358:$AG358,'Calc base'!$C$17:$N$17,"&lt;"&amp;'Calc base'!G$17,'Calc base'!$C$14:$N$14,1))))</f>
        <v>0</v>
      </c>
      <c r="AM358">
        <f>IF('Calc base'!H$14=0,0,MIN(AA358,MAX(0,$E358-SUMIFS($V358:$AG358,'Calc base'!$C$17:$N$17,"&lt;"&amp;'Calc base'!H$17,'Calc base'!$C$14:$N$14,1))))</f>
        <v>0</v>
      </c>
      <c r="AN358">
        <f>IF('Calc base'!I$14=0,0,MIN(AB358,MAX(0,$E358-SUMIFS($V358:$AG358,'Calc base'!$C$17:$N$17,"&lt;"&amp;'Calc base'!I$17,'Calc base'!$C$14:$N$14,1))))</f>
        <v>0</v>
      </c>
      <c r="AO358">
        <f>IF('Calc base'!J$14=0,0,MIN(AC358,MAX(0,$E358-SUMIFS($V358:$AG358,'Calc base'!$C$17:$N$17,"&lt;"&amp;'Calc base'!J$17,'Calc base'!$C$14:$N$14,1))))</f>
        <v>0</v>
      </c>
      <c r="AP358">
        <f>IF('Calc base'!K$14=0,0,MIN(AD358,MAX(0,$E358-SUMIFS($V358:$AG358,'Calc base'!$C$17:$N$17,"&lt;"&amp;'Calc base'!K$17,'Calc base'!$C$14:$N$14,1))))</f>
        <v>0</v>
      </c>
      <c r="AQ358">
        <f>IF('Calc base'!L$14=0,0,MIN(AE358,MAX(0,$E358-SUMIFS($V358:$AG358,'Calc base'!$C$17:$N$17,"&lt;"&amp;'Calc base'!L$17,'Calc base'!$C$14:$N$14,1))))</f>
        <v>0</v>
      </c>
      <c r="AR358">
        <f>IF('Calc base'!M$14=0,0,MIN(AF358,MAX(0,$E358-SUMIFS($V358:$AG358,'Calc base'!$C$17:$N$17,"&lt;"&amp;'Calc base'!M$17,'Calc base'!$C$14:$N$14,1))))</f>
        <v>0</v>
      </c>
      <c r="AS358">
        <f>IF('Calc base'!N$14=0,0,MIN(AG358,MAX(0,$E358-SUMIFS($V358:$AG358,'Calc base'!$C$17:$N$17,"&lt;"&amp;'Calc base'!N$17,'Calc base'!$C$14:$N$14,1))))</f>
        <v>0</v>
      </c>
      <c r="AT358">
        <f>V358-AH358</f>
        <v>0</v>
      </c>
      <c r="AU358">
        <f>W358-AI358</f>
        <v>0</v>
      </c>
      <c r="AV358">
        <f>X358-AJ358</f>
        <v>0</v>
      </c>
      <c r="AW358">
        <f>Y358-AK358</f>
        <v>0</v>
      </c>
      <c r="AX358">
        <f>Z358-AL358</f>
        <v>0</v>
      </c>
      <c r="AY358">
        <f>AA358-AM358</f>
        <v>0</v>
      </c>
      <c r="AZ358">
        <f>AB358-AN358</f>
        <v>0</v>
      </c>
      <c r="BA358">
        <f>AC358-AO358</f>
        <v>0</v>
      </c>
      <c r="BB358">
        <f>AD358-AP358</f>
        <v>0</v>
      </c>
      <c r="BC358">
        <f>AE358-AQ358</f>
        <v>0</v>
      </c>
      <c r="BD358">
        <f>AF358-AR358</f>
        <v>0</v>
      </c>
      <c r="BE358">
        <f>AG358-AS358</f>
        <v>0</v>
      </c>
    </row>
    <row r="359">
      <c r="A359" t="n">
        <v>329</v>
      </c>
      <c r="B359">
        <f>SUMPRODUCT(ROUND($AT358:$BE358*(1+'Calc base'!$H359:$S359),2))</f>
        <v>0</v>
      </c>
      <c r="C359">
        <f>SUM(J359:U359)</f>
        <v>0</v>
      </c>
      <c r="D359">
        <f>SUM(V359:AG359)</f>
        <v>0</v>
      </c>
      <c r="E359">
        <f>MAX(0,IF(Impostazioni!$B$7="No",'Calc base'!$C359-$C$31,'Calc base'!$C359-C359)+'Calc base'!$G359+'Calc base'!$F359-(B359-C359-D359))</f>
        <v>900</v>
      </c>
      <c r="F359">
        <f>SUM(AH359:AS359)</f>
        <v>0</v>
      </c>
      <c r="G359">
        <f>SUM(AT359:BE359)</f>
        <v>0</v>
      </c>
      <c r="H359">
        <f>B359-G358</f>
        <v>0</v>
      </c>
      <c r="I359">
        <f>B359-G359</f>
        <v>0</v>
      </c>
      <c r="J359">
        <f>IF(AT358&lt;=0,0,IF(ROUND(AT358*(1+'Calc base'!H359),2)-MAX('Calc base'!C$12,ROUND('Calc base'!C$13*AT358,2))&lt;1,ROUND(AT358*(1+'Calc base'!H359),2),MAX('Calc base'!C$12,ROUND('Calc base'!C$13*AT358,2))))</f>
        <v>0</v>
      </c>
      <c r="K359">
        <f>IF(AU358&lt;=0,0,IF(ROUND(AU358*(1+'Calc base'!I359),2)-MAX('Calc base'!D$12,ROUND('Calc base'!D$13*AU358,2))&lt;1,ROUND(AU358*(1+'Calc base'!I359),2),MAX('Calc base'!D$12,ROUND('Calc base'!D$13*AU358,2))))</f>
        <v>0</v>
      </c>
      <c r="L359">
        <f>IF(AV358&lt;=0,0,IF(ROUND(AV358*(1+'Calc base'!J359),2)-MAX('Calc base'!E$12,ROUND('Calc base'!E$13*AV358,2))&lt;1,ROUND(AV358*(1+'Calc base'!J359),2),MAX('Calc base'!E$12,ROUND('Calc base'!E$13*AV358,2))))</f>
        <v>0</v>
      </c>
      <c r="M359">
        <f>IF(AW358&lt;=0,0,IF(ROUND(AW358*(1+'Calc base'!K359),2)-MAX('Calc base'!F$12,ROUND('Calc base'!F$13*AW358,2))&lt;1,ROUND(AW358*(1+'Calc base'!K359),2),MAX('Calc base'!F$12,ROUND('Calc base'!F$13*AW358,2))))</f>
        <v>0</v>
      </c>
      <c r="N359">
        <f>IF(AX358&lt;=0,0,IF(ROUND(AX358*(1+'Calc base'!L359),2)-MAX('Calc base'!G$12,ROUND('Calc base'!G$13*AX358,2))&lt;1,ROUND(AX358*(1+'Calc base'!L359),2),MAX('Calc base'!G$12,ROUND('Calc base'!G$13*AX358,2))))</f>
        <v>0</v>
      </c>
      <c r="O359">
        <f>IF(AY358&lt;=0,0,IF(ROUND(AY358*(1+'Calc base'!M359),2)-MAX('Calc base'!H$12,ROUND('Calc base'!H$13*AY358,2))&lt;1,ROUND(AY358*(1+'Calc base'!M359),2),MAX('Calc base'!H$12,ROUND('Calc base'!H$13*AY358,2))))</f>
        <v>0</v>
      </c>
      <c r="P359">
        <f>IF(AZ358&lt;=0,0,IF(ROUND(AZ358*(1+'Calc base'!N359),2)-MAX('Calc base'!I$12,ROUND('Calc base'!I$13*AZ358,2))&lt;1,ROUND(AZ358*(1+'Calc base'!N359),2),MAX('Calc base'!I$12,ROUND('Calc base'!I$13*AZ358,2))))</f>
        <v>0</v>
      </c>
      <c r="Q359">
        <f>IF(BA358&lt;=0,0,IF(ROUND(BA358*(1+'Calc base'!O359),2)-MAX('Calc base'!J$12,ROUND('Calc base'!J$13*BA358,2))&lt;1,ROUND(BA358*(1+'Calc base'!O359),2),MAX('Calc base'!J$12,ROUND('Calc base'!J$13*BA358,2))))</f>
        <v>0</v>
      </c>
      <c r="R359">
        <f>IF(BB358&lt;=0,0,IF(ROUND(BB358*(1+'Calc base'!P359),2)-MAX('Calc base'!K$12,ROUND('Calc base'!K$13*BB358,2))&lt;1,ROUND(BB358*(1+'Calc base'!P359),2),MAX('Calc base'!K$12,ROUND('Calc base'!K$13*BB358,2))))</f>
        <v>0</v>
      </c>
      <c r="S359">
        <f>IF(BC358&lt;=0,0,IF(ROUND(BC358*(1+'Calc base'!Q359),2)-MAX('Calc base'!L$12,ROUND('Calc base'!L$13*BC358,2))&lt;1,ROUND(BC358*(1+'Calc base'!Q359),2),MAX('Calc base'!L$12,ROUND('Calc base'!L$13*BC358,2))))</f>
        <v>0</v>
      </c>
      <c r="T359">
        <f>IF(BD358&lt;=0,0,IF(ROUND(BD358*(1+'Calc base'!R359),2)-MAX('Calc base'!M$12,ROUND('Calc base'!M$13*BD358,2))&lt;1,ROUND(BD358*(1+'Calc base'!R359),2),MAX('Calc base'!M$12,ROUND('Calc base'!M$13*BD358,2))))</f>
        <v>0</v>
      </c>
      <c r="U359">
        <f>IF(BE358&lt;=0,0,IF(ROUND(BE358*(1+'Calc base'!S359),2)-MAX('Calc base'!N$12,ROUND('Calc base'!N$13*BE358,2))&lt;1,ROUND(BE358*(1+'Calc base'!S359),2),MAX('Calc base'!N$12,ROUND('Calc base'!N$13*BE358,2))))</f>
        <v>0</v>
      </c>
      <c r="V359">
        <f>MAX(0,ROUND(AT358*(1+'Calc base'!H359),2)-J359-'Calc base'!T359)</f>
        <v>0</v>
      </c>
      <c r="W359">
        <f>MAX(0,ROUND(AU358*(1+'Calc base'!I359),2)-K359-'Calc base'!U359)</f>
        <v>0</v>
      </c>
      <c r="X359">
        <f>MAX(0,ROUND(AV358*(1+'Calc base'!J359),2)-L359-'Calc base'!V359)</f>
        <v>0</v>
      </c>
      <c r="Y359">
        <f>MAX(0,ROUND(AW358*(1+'Calc base'!K359),2)-M359-'Calc base'!W359)</f>
        <v>0</v>
      </c>
      <c r="Z359">
        <f>MAX(0,ROUND(AX358*(1+'Calc base'!L359),2)-N359-'Calc base'!X359)</f>
        <v>0</v>
      </c>
      <c r="AA359">
        <f>MAX(0,ROUND(AY358*(1+'Calc base'!M359),2)-O359-'Calc base'!Y359)</f>
        <v>0</v>
      </c>
      <c r="AB359">
        <f>MAX(0,ROUND(AZ358*(1+'Calc base'!N359),2)-P359-'Calc base'!Z359)</f>
        <v>0</v>
      </c>
      <c r="AC359">
        <f>MAX(0,ROUND(BA358*(1+'Calc base'!O359),2)-Q359-'Calc base'!AA359)</f>
        <v>0</v>
      </c>
      <c r="AD359">
        <f>MAX(0,ROUND(BB358*(1+'Calc base'!P359),2)-R359-'Calc base'!AB359)</f>
        <v>0</v>
      </c>
      <c r="AE359">
        <f>MAX(0,ROUND(BC358*(1+'Calc base'!Q359),2)-S359-'Calc base'!AC359)</f>
        <v>0</v>
      </c>
      <c r="AF359">
        <f>MAX(0,ROUND(BD358*(1+'Calc base'!R359),2)-T359-'Calc base'!AD359)</f>
        <v>0</v>
      </c>
      <c r="AG359">
        <f>MAX(0,ROUND(BE358*(1+'Calc base'!S359),2)-U359-'Calc base'!AE359)</f>
        <v>0</v>
      </c>
      <c r="AH359">
        <f>IF('Calc base'!C$14=0,0,MIN(V359,MAX(0,$E359-SUMIFS($V359:$AG359,'Calc base'!$C$17:$N$17,"&lt;"&amp;'Calc base'!C$17,'Calc base'!$C$14:$N$14,1))))</f>
        <v>0</v>
      </c>
      <c r="AI359">
        <f>IF('Calc base'!D$14=0,0,MIN(W359,MAX(0,$E359-SUMIFS($V359:$AG359,'Calc base'!$C$17:$N$17,"&lt;"&amp;'Calc base'!D$17,'Calc base'!$C$14:$N$14,1))))</f>
        <v>0</v>
      </c>
      <c r="AJ359">
        <f>IF('Calc base'!E$14=0,0,MIN(X359,MAX(0,$E359-SUMIFS($V359:$AG359,'Calc base'!$C$17:$N$17,"&lt;"&amp;'Calc base'!E$17,'Calc base'!$C$14:$N$14,1))))</f>
        <v>0</v>
      </c>
      <c r="AK359">
        <f>IF('Calc base'!F$14=0,0,MIN(Y359,MAX(0,$E359-SUMIFS($V359:$AG359,'Calc base'!$C$17:$N$17,"&lt;"&amp;'Calc base'!F$17,'Calc base'!$C$14:$N$14,1))))</f>
        <v>0</v>
      </c>
      <c r="AL359">
        <f>IF('Calc base'!G$14=0,0,MIN(Z359,MAX(0,$E359-SUMIFS($V359:$AG359,'Calc base'!$C$17:$N$17,"&lt;"&amp;'Calc base'!G$17,'Calc base'!$C$14:$N$14,1))))</f>
        <v>0</v>
      </c>
      <c r="AM359">
        <f>IF('Calc base'!H$14=0,0,MIN(AA359,MAX(0,$E359-SUMIFS($V359:$AG359,'Calc base'!$C$17:$N$17,"&lt;"&amp;'Calc base'!H$17,'Calc base'!$C$14:$N$14,1))))</f>
        <v>0</v>
      </c>
      <c r="AN359">
        <f>IF('Calc base'!I$14=0,0,MIN(AB359,MAX(0,$E359-SUMIFS($V359:$AG359,'Calc base'!$C$17:$N$17,"&lt;"&amp;'Calc base'!I$17,'Calc base'!$C$14:$N$14,1))))</f>
        <v>0</v>
      </c>
      <c r="AO359">
        <f>IF('Calc base'!J$14=0,0,MIN(AC359,MAX(0,$E359-SUMIFS($V359:$AG359,'Calc base'!$C$17:$N$17,"&lt;"&amp;'Calc base'!J$17,'Calc base'!$C$14:$N$14,1))))</f>
        <v>0</v>
      </c>
      <c r="AP359">
        <f>IF('Calc base'!K$14=0,0,MIN(AD359,MAX(0,$E359-SUMIFS($V359:$AG359,'Calc base'!$C$17:$N$17,"&lt;"&amp;'Calc base'!K$17,'Calc base'!$C$14:$N$14,1))))</f>
        <v>0</v>
      </c>
      <c r="AQ359">
        <f>IF('Calc base'!L$14=0,0,MIN(AE359,MAX(0,$E359-SUMIFS($V359:$AG359,'Calc base'!$C$17:$N$17,"&lt;"&amp;'Calc base'!L$17,'Calc base'!$C$14:$N$14,1))))</f>
        <v>0</v>
      </c>
      <c r="AR359">
        <f>IF('Calc base'!M$14=0,0,MIN(AF359,MAX(0,$E359-SUMIFS($V359:$AG359,'Calc base'!$C$17:$N$17,"&lt;"&amp;'Calc base'!M$17,'Calc base'!$C$14:$N$14,1))))</f>
        <v>0</v>
      </c>
      <c r="AS359">
        <f>IF('Calc base'!N$14=0,0,MIN(AG359,MAX(0,$E359-SUMIFS($V359:$AG359,'Calc base'!$C$17:$N$17,"&lt;"&amp;'Calc base'!N$17,'Calc base'!$C$14:$N$14,1))))</f>
        <v>0</v>
      </c>
      <c r="AT359">
        <f>V359-AH359</f>
        <v>0</v>
      </c>
      <c r="AU359">
        <f>W359-AI359</f>
        <v>0</v>
      </c>
      <c r="AV359">
        <f>X359-AJ359</f>
        <v>0</v>
      </c>
      <c r="AW359">
        <f>Y359-AK359</f>
        <v>0</v>
      </c>
      <c r="AX359">
        <f>Z359-AL359</f>
        <v>0</v>
      </c>
      <c r="AY359">
        <f>AA359-AM359</f>
        <v>0</v>
      </c>
      <c r="AZ359">
        <f>AB359-AN359</f>
        <v>0</v>
      </c>
      <c r="BA359">
        <f>AC359-AO359</f>
        <v>0</v>
      </c>
      <c r="BB359">
        <f>AD359-AP359</f>
        <v>0</v>
      </c>
      <c r="BC359">
        <f>AE359-AQ359</f>
        <v>0</v>
      </c>
      <c r="BD359">
        <f>AF359-AR359</f>
        <v>0</v>
      </c>
      <c r="BE359">
        <f>AG359-AS359</f>
        <v>0</v>
      </c>
    </row>
    <row r="360">
      <c r="A360" t="n">
        <v>330</v>
      </c>
      <c r="B360">
        <f>SUMPRODUCT(ROUND($AT359:$BE359*(1+'Calc base'!$H360:$S360),2))</f>
        <v>0</v>
      </c>
      <c r="C360">
        <f>SUM(J360:U360)</f>
        <v>0</v>
      </c>
      <c r="D360">
        <f>SUM(V360:AG360)</f>
        <v>0</v>
      </c>
      <c r="E360">
        <f>MAX(0,IF(Impostazioni!$B$7="No",'Calc base'!$C360-$C$31,'Calc base'!$C360-C360)+'Calc base'!$G360+'Calc base'!$F360-(B360-C360-D360))</f>
        <v>900</v>
      </c>
      <c r="F360">
        <f>SUM(AH360:AS360)</f>
        <v>0</v>
      </c>
      <c r="G360">
        <f>SUM(AT360:BE360)</f>
        <v>0</v>
      </c>
      <c r="H360">
        <f>B360-G359</f>
        <v>0</v>
      </c>
      <c r="I360">
        <f>B360-G360</f>
        <v>0</v>
      </c>
      <c r="J360">
        <f>IF(AT359&lt;=0,0,IF(ROUND(AT359*(1+'Calc base'!H360),2)-MAX('Calc base'!C$12,ROUND('Calc base'!C$13*AT359,2))&lt;1,ROUND(AT359*(1+'Calc base'!H360),2),MAX('Calc base'!C$12,ROUND('Calc base'!C$13*AT359,2))))</f>
        <v>0</v>
      </c>
      <c r="K360">
        <f>IF(AU359&lt;=0,0,IF(ROUND(AU359*(1+'Calc base'!I360),2)-MAX('Calc base'!D$12,ROUND('Calc base'!D$13*AU359,2))&lt;1,ROUND(AU359*(1+'Calc base'!I360),2),MAX('Calc base'!D$12,ROUND('Calc base'!D$13*AU359,2))))</f>
        <v>0</v>
      </c>
      <c r="L360">
        <f>IF(AV359&lt;=0,0,IF(ROUND(AV359*(1+'Calc base'!J360),2)-MAX('Calc base'!E$12,ROUND('Calc base'!E$13*AV359,2))&lt;1,ROUND(AV359*(1+'Calc base'!J360),2),MAX('Calc base'!E$12,ROUND('Calc base'!E$13*AV359,2))))</f>
        <v>0</v>
      </c>
      <c r="M360">
        <f>IF(AW359&lt;=0,0,IF(ROUND(AW359*(1+'Calc base'!K360),2)-MAX('Calc base'!F$12,ROUND('Calc base'!F$13*AW359,2))&lt;1,ROUND(AW359*(1+'Calc base'!K360),2),MAX('Calc base'!F$12,ROUND('Calc base'!F$13*AW359,2))))</f>
        <v>0</v>
      </c>
      <c r="N360">
        <f>IF(AX359&lt;=0,0,IF(ROUND(AX359*(1+'Calc base'!L360),2)-MAX('Calc base'!G$12,ROUND('Calc base'!G$13*AX359,2))&lt;1,ROUND(AX359*(1+'Calc base'!L360),2),MAX('Calc base'!G$12,ROUND('Calc base'!G$13*AX359,2))))</f>
        <v>0</v>
      </c>
      <c r="O360">
        <f>IF(AY359&lt;=0,0,IF(ROUND(AY359*(1+'Calc base'!M360),2)-MAX('Calc base'!H$12,ROUND('Calc base'!H$13*AY359,2))&lt;1,ROUND(AY359*(1+'Calc base'!M360),2),MAX('Calc base'!H$12,ROUND('Calc base'!H$13*AY359,2))))</f>
        <v>0</v>
      </c>
      <c r="P360">
        <f>IF(AZ359&lt;=0,0,IF(ROUND(AZ359*(1+'Calc base'!N360),2)-MAX('Calc base'!I$12,ROUND('Calc base'!I$13*AZ359,2))&lt;1,ROUND(AZ359*(1+'Calc base'!N360),2),MAX('Calc base'!I$12,ROUND('Calc base'!I$13*AZ359,2))))</f>
        <v>0</v>
      </c>
      <c r="Q360">
        <f>IF(BA359&lt;=0,0,IF(ROUND(BA359*(1+'Calc base'!O360),2)-MAX('Calc base'!J$12,ROUND('Calc base'!J$13*BA359,2))&lt;1,ROUND(BA359*(1+'Calc base'!O360),2),MAX('Calc base'!J$12,ROUND('Calc base'!J$13*BA359,2))))</f>
        <v>0</v>
      </c>
      <c r="R360">
        <f>IF(BB359&lt;=0,0,IF(ROUND(BB359*(1+'Calc base'!P360),2)-MAX('Calc base'!K$12,ROUND('Calc base'!K$13*BB359,2))&lt;1,ROUND(BB359*(1+'Calc base'!P360),2),MAX('Calc base'!K$12,ROUND('Calc base'!K$13*BB359,2))))</f>
        <v>0</v>
      </c>
      <c r="S360">
        <f>IF(BC359&lt;=0,0,IF(ROUND(BC359*(1+'Calc base'!Q360),2)-MAX('Calc base'!L$12,ROUND('Calc base'!L$13*BC359,2))&lt;1,ROUND(BC359*(1+'Calc base'!Q360),2),MAX('Calc base'!L$12,ROUND('Calc base'!L$13*BC359,2))))</f>
        <v>0</v>
      </c>
      <c r="T360">
        <f>IF(BD359&lt;=0,0,IF(ROUND(BD359*(1+'Calc base'!R360),2)-MAX('Calc base'!M$12,ROUND('Calc base'!M$13*BD359,2))&lt;1,ROUND(BD359*(1+'Calc base'!R360),2),MAX('Calc base'!M$12,ROUND('Calc base'!M$13*BD359,2))))</f>
        <v>0</v>
      </c>
      <c r="U360">
        <f>IF(BE359&lt;=0,0,IF(ROUND(BE359*(1+'Calc base'!S360),2)-MAX('Calc base'!N$12,ROUND('Calc base'!N$13*BE359,2))&lt;1,ROUND(BE359*(1+'Calc base'!S360),2),MAX('Calc base'!N$12,ROUND('Calc base'!N$13*BE359,2))))</f>
        <v>0</v>
      </c>
      <c r="V360">
        <f>MAX(0,ROUND(AT359*(1+'Calc base'!H360),2)-J360-'Calc base'!T360)</f>
        <v>0</v>
      </c>
      <c r="W360">
        <f>MAX(0,ROUND(AU359*(1+'Calc base'!I360),2)-K360-'Calc base'!U360)</f>
        <v>0</v>
      </c>
      <c r="X360">
        <f>MAX(0,ROUND(AV359*(1+'Calc base'!J360),2)-L360-'Calc base'!V360)</f>
        <v>0</v>
      </c>
      <c r="Y360">
        <f>MAX(0,ROUND(AW359*(1+'Calc base'!K360),2)-M360-'Calc base'!W360)</f>
        <v>0</v>
      </c>
      <c r="Z360">
        <f>MAX(0,ROUND(AX359*(1+'Calc base'!L360),2)-N360-'Calc base'!X360)</f>
        <v>0</v>
      </c>
      <c r="AA360">
        <f>MAX(0,ROUND(AY359*(1+'Calc base'!M360),2)-O360-'Calc base'!Y360)</f>
        <v>0</v>
      </c>
      <c r="AB360">
        <f>MAX(0,ROUND(AZ359*(1+'Calc base'!N360),2)-P360-'Calc base'!Z360)</f>
        <v>0</v>
      </c>
      <c r="AC360">
        <f>MAX(0,ROUND(BA359*(1+'Calc base'!O360),2)-Q360-'Calc base'!AA360)</f>
        <v>0</v>
      </c>
      <c r="AD360">
        <f>MAX(0,ROUND(BB359*(1+'Calc base'!P360),2)-R360-'Calc base'!AB360)</f>
        <v>0</v>
      </c>
      <c r="AE360">
        <f>MAX(0,ROUND(BC359*(1+'Calc base'!Q360),2)-S360-'Calc base'!AC360)</f>
        <v>0</v>
      </c>
      <c r="AF360">
        <f>MAX(0,ROUND(BD359*(1+'Calc base'!R360),2)-T360-'Calc base'!AD360)</f>
        <v>0</v>
      </c>
      <c r="AG360">
        <f>MAX(0,ROUND(BE359*(1+'Calc base'!S360),2)-U360-'Calc base'!AE360)</f>
        <v>0</v>
      </c>
      <c r="AH360">
        <f>IF('Calc base'!C$14=0,0,MIN(V360,MAX(0,$E360-SUMIFS($V360:$AG360,'Calc base'!$C$17:$N$17,"&lt;"&amp;'Calc base'!C$17,'Calc base'!$C$14:$N$14,1))))</f>
        <v>0</v>
      </c>
      <c r="AI360">
        <f>IF('Calc base'!D$14=0,0,MIN(W360,MAX(0,$E360-SUMIFS($V360:$AG360,'Calc base'!$C$17:$N$17,"&lt;"&amp;'Calc base'!D$17,'Calc base'!$C$14:$N$14,1))))</f>
        <v>0</v>
      </c>
      <c r="AJ360">
        <f>IF('Calc base'!E$14=0,0,MIN(X360,MAX(0,$E360-SUMIFS($V360:$AG360,'Calc base'!$C$17:$N$17,"&lt;"&amp;'Calc base'!E$17,'Calc base'!$C$14:$N$14,1))))</f>
        <v>0</v>
      </c>
      <c r="AK360">
        <f>IF('Calc base'!F$14=0,0,MIN(Y360,MAX(0,$E360-SUMIFS($V360:$AG360,'Calc base'!$C$17:$N$17,"&lt;"&amp;'Calc base'!F$17,'Calc base'!$C$14:$N$14,1))))</f>
        <v>0</v>
      </c>
      <c r="AL360">
        <f>IF('Calc base'!G$14=0,0,MIN(Z360,MAX(0,$E360-SUMIFS($V360:$AG360,'Calc base'!$C$17:$N$17,"&lt;"&amp;'Calc base'!G$17,'Calc base'!$C$14:$N$14,1))))</f>
        <v>0</v>
      </c>
      <c r="AM360">
        <f>IF('Calc base'!H$14=0,0,MIN(AA360,MAX(0,$E360-SUMIFS($V360:$AG360,'Calc base'!$C$17:$N$17,"&lt;"&amp;'Calc base'!H$17,'Calc base'!$C$14:$N$14,1))))</f>
        <v>0</v>
      </c>
      <c r="AN360">
        <f>IF('Calc base'!I$14=0,0,MIN(AB360,MAX(0,$E360-SUMIFS($V360:$AG360,'Calc base'!$C$17:$N$17,"&lt;"&amp;'Calc base'!I$17,'Calc base'!$C$14:$N$14,1))))</f>
        <v>0</v>
      </c>
      <c r="AO360">
        <f>IF('Calc base'!J$14=0,0,MIN(AC360,MAX(0,$E360-SUMIFS($V360:$AG360,'Calc base'!$C$17:$N$17,"&lt;"&amp;'Calc base'!J$17,'Calc base'!$C$14:$N$14,1))))</f>
        <v>0</v>
      </c>
      <c r="AP360">
        <f>IF('Calc base'!K$14=0,0,MIN(AD360,MAX(0,$E360-SUMIFS($V360:$AG360,'Calc base'!$C$17:$N$17,"&lt;"&amp;'Calc base'!K$17,'Calc base'!$C$14:$N$14,1))))</f>
        <v>0</v>
      </c>
      <c r="AQ360">
        <f>IF('Calc base'!L$14=0,0,MIN(AE360,MAX(0,$E360-SUMIFS($V360:$AG360,'Calc base'!$C$17:$N$17,"&lt;"&amp;'Calc base'!L$17,'Calc base'!$C$14:$N$14,1))))</f>
        <v>0</v>
      </c>
      <c r="AR360">
        <f>IF('Calc base'!M$14=0,0,MIN(AF360,MAX(0,$E360-SUMIFS($V360:$AG360,'Calc base'!$C$17:$N$17,"&lt;"&amp;'Calc base'!M$17,'Calc base'!$C$14:$N$14,1))))</f>
        <v>0</v>
      </c>
      <c r="AS360">
        <f>IF('Calc base'!N$14=0,0,MIN(AG360,MAX(0,$E360-SUMIFS($V360:$AG360,'Calc base'!$C$17:$N$17,"&lt;"&amp;'Calc base'!N$17,'Calc base'!$C$14:$N$14,1))))</f>
        <v>0</v>
      </c>
      <c r="AT360">
        <f>V360-AH360</f>
        <v>0</v>
      </c>
      <c r="AU360">
        <f>W360-AI360</f>
        <v>0</v>
      </c>
      <c r="AV360">
        <f>X360-AJ360</f>
        <v>0</v>
      </c>
      <c r="AW360">
        <f>Y360-AK360</f>
        <v>0</v>
      </c>
      <c r="AX360">
        <f>Z360-AL360</f>
        <v>0</v>
      </c>
      <c r="AY360">
        <f>AA360-AM360</f>
        <v>0</v>
      </c>
      <c r="AZ360">
        <f>AB360-AN360</f>
        <v>0</v>
      </c>
      <c r="BA360">
        <f>AC360-AO360</f>
        <v>0</v>
      </c>
      <c r="BB360">
        <f>AD360-AP360</f>
        <v>0</v>
      </c>
      <c r="BC360">
        <f>AE360-AQ360</f>
        <v>0</v>
      </c>
      <c r="BD360">
        <f>AF360-AR360</f>
        <v>0</v>
      </c>
      <c r="BE360">
        <f>AG360-AS360</f>
        <v>0</v>
      </c>
    </row>
    <row r="361">
      <c r="A361" t="n">
        <v>331</v>
      </c>
      <c r="B361">
        <f>SUMPRODUCT(ROUND($AT360:$BE360*(1+'Calc base'!$H361:$S361),2))</f>
        <v>0</v>
      </c>
      <c r="C361">
        <f>SUM(J361:U361)</f>
        <v>0</v>
      </c>
      <c r="D361">
        <f>SUM(V361:AG361)</f>
        <v>0</v>
      </c>
      <c r="E361">
        <f>MAX(0,IF(Impostazioni!$B$7="No",'Calc base'!$C361-$C$31,'Calc base'!$C361-C361)+'Calc base'!$G361+'Calc base'!$F361-(B361-C361-D361))</f>
        <v>900</v>
      </c>
      <c r="F361">
        <f>SUM(AH361:AS361)</f>
        <v>0</v>
      </c>
      <c r="G361">
        <f>SUM(AT361:BE361)</f>
        <v>0</v>
      </c>
      <c r="H361">
        <f>B361-G360</f>
        <v>0</v>
      </c>
      <c r="I361">
        <f>B361-G361</f>
        <v>0</v>
      </c>
      <c r="J361">
        <f>IF(AT360&lt;=0,0,IF(ROUND(AT360*(1+'Calc base'!H361),2)-MAX('Calc base'!C$12,ROUND('Calc base'!C$13*AT360,2))&lt;1,ROUND(AT360*(1+'Calc base'!H361),2),MAX('Calc base'!C$12,ROUND('Calc base'!C$13*AT360,2))))</f>
        <v>0</v>
      </c>
      <c r="K361">
        <f>IF(AU360&lt;=0,0,IF(ROUND(AU360*(1+'Calc base'!I361),2)-MAX('Calc base'!D$12,ROUND('Calc base'!D$13*AU360,2))&lt;1,ROUND(AU360*(1+'Calc base'!I361),2),MAX('Calc base'!D$12,ROUND('Calc base'!D$13*AU360,2))))</f>
        <v>0</v>
      </c>
      <c r="L361">
        <f>IF(AV360&lt;=0,0,IF(ROUND(AV360*(1+'Calc base'!J361),2)-MAX('Calc base'!E$12,ROUND('Calc base'!E$13*AV360,2))&lt;1,ROUND(AV360*(1+'Calc base'!J361),2),MAX('Calc base'!E$12,ROUND('Calc base'!E$13*AV360,2))))</f>
        <v>0</v>
      </c>
      <c r="M361">
        <f>IF(AW360&lt;=0,0,IF(ROUND(AW360*(1+'Calc base'!K361),2)-MAX('Calc base'!F$12,ROUND('Calc base'!F$13*AW360,2))&lt;1,ROUND(AW360*(1+'Calc base'!K361),2),MAX('Calc base'!F$12,ROUND('Calc base'!F$13*AW360,2))))</f>
        <v>0</v>
      </c>
      <c r="N361">
        <f>IF(AX360&lt;=0,0,IF(ROUND(AX360*(1+'Calc base'!L361),2)-MAX('Calc base'!G$12,ROUND('Calc base'!G$13*AX360,2))&lt;1,ROUND(AX360*(1+'Calc base'!L361),2),MAX('Calc base'!G$12,ROUND('Calc base'!G$13*AX360,2))))</f>
        <v>0</v>
      </c>
      <c r="O361">
        <f>IF(AY360&lt;=0,0,IF(ROUND(AY360*(1+'Calc base'!M361),2)-MAX('Calc base'!H$12,ROUND('Calc base'!H$13*AY360,2))&lt;1,ROUND(AY360*(1+'Calc base'!M361),2),MAX('Calc base'!H$12,ROUND('Calc base'!H$13*AY360,2))))</f>
        <v>0</v>
      </c>
      <c r="P361">
        <f>IF(AZ360&lt;=0,0,IF(ROUND(AZ360*(1+'Calc base'!N361),2)-MAX('Calc base'!I$12,ROUND('Calc base'!I$13*AZ360,2))&lt;1,ROUND(AZ360*(1+'Calc base'!N361),2),MAX('Calc base'!I$12,ROUND('Calc base'!I$13*AZ360,2))))</f>
        <v>0</v>
      </c>
      <c r="Q361">
        <f>IF(BA360&lt;=0,0,IF(ROUND(BA360*(1+'Calc base'!O361),2)-MAX('Calc base'!J$12,ROUND('Calc base'!J$13*BA360,2))&lt;1,ROUND(BA360*(1+'Calc base'!O361),2),MAX('Calc base'!J$12,ROUND('Calc base'!J$13*BA360,2))))</f>
        <v>0</v>
      </c>
      <c r="R361">
        <f>IF(BB360&lt;=0,0,IF(ROUND(BB360*(1+'Calc base'!P361),2)-MAX('Calc base'!K$12,ROUND('Calc base'!K$13*BB360,2))&lt;1,ROUND(BB360*(1+'Calc base'!P361),2),MAX('Calc base'!K$12,ROUND('Calc base'!K$13*BB360,2))))</f>
        <v>0</v>
      </c>
      <c r="S361">
        <f>IF(BC360&lt;=0,0,IF(ROUND(BC360*(1+'Calc base'!Q361),2)-MAX('Calc base'!L$12,ROUND('Calc base'!L$13*BC360,2))&lt;1,ROUND(BC360*(1+'Calc base'!Q361),2),MAX('Calc base'!L$12,ROUND('Calc base'!L$13*BC360,2))))</f>
        <v>0</v>
      </c>
      <c r="T361">
        <f>IF(BD360&lt;=0,0,IF(ROUND(BD360*(1+'Calc base'!R361),2)-MAX('Calc base'!M$12,ROUND('Calc base'!M$13*BD360,2))&lt;1,ROUND(BD360*(1+'Calc base'!R361),2),MAX('Calc base'!M$12,ROUND('Calc base'!M$13*BD360,2))))</f>
        <v>0</v>
      </c>
      <c r="U361">
        <f>IF(BE360&lt;=0,0,IF(ROUND(BE360*(1+'Calc base'!S361),2)-MAX('Calc base'!N$12,ROUND('Calc base'!N$13*BE360,2))&lt;1,ROUND(BE360*(1+'Calc base'!S361),2),MAX('Calc base'!N$12,ROUND('Calc base'!N$13*BE360,2))))</f>
        <v>0</v>
      </c>
      <c r="V361">
        <f>MAX(0,ROUND(AT360*(1+'Calc base'!H361),2)-J361-'Calc base'!T361)</f>
        <v>0</v>
      </c>
      <c r="W361">
        <f>MAX(0,ROUND(AU360*(1+'Calc base'!I361),2)-K361-'Calc base'!U361)</f>
        <v>0</v>
      </c>
      <c r="X361">
        <f>MAX(0,ROUND(AV360*(1+'Calc base'!J361),2)-L361-'Calc base'!V361)</f>
        <v>0</v>
      </c>
      <c r="Y361">
        <f>MAX(0,ROUND(AW360*(1+'Calc base'!K361),2)-M361-'Calc base'!W361)</f>
        <v>0</v>
      </c>
      <c r="Z361">
        <f>MAX(0,ROUND(AX360*(1+'Calc base'!L361),2)-N361-'Calc base'!X361)</f>
        <v>0</v>
      </c>
      <c r="AA361">
        <f>MAX(0,ROUND(AY360*(1+'Calc base'!M361),2)-O361-'Calc base'!Y361)</f>
        <v>0</v>
      </c>
      <c r="AB361">
        <f>MAX(0,ROUND(AZ360*(1+'Calc base'!N361),2)-P361-'Calc base'!Z361)</f>
        <v>0</v>
      </c>
      <c r="AC361">
        <f>MAX(0,ROUND(BA360*(1+'Calc base'!O361),2)-Q361-'Calc base'!AA361)</f>
        <v>0</v>
      </c>
      <c r="AD361">
        <f>MAX(0,ROUND(BB360*(1+'Calc base'!P361),2)-R361-'Calc base'!AB361)</f>
        <v>0</v>
      </c>
      <c r="AE361">
        <f>MAX(0,ROUND(BC360*(1+'Calc base'!Q361),2)-S361-'Calc base'!AC361)</f>
        <v>0</v>
      </c>
      <c r="AF361">
        <f>MAX(0,ROUND(BD360*(1+'Calc base'!R361),2)-T361-'Calc base'!AD361)</f>
        <v>0</v>
      </c>
      <c r="AG361">
        <f>MAX(0,ROUND(BE360*(1+'Calc base'!S361),2)-U361-'Calc base'!AE361)</f>
        <v>0</v>
      </c>
      <c r="AH361">
        <f>IF('Calc base'!C$14=0,0,MIN(V361,MAX(0,$E361-SUMIFS($V361:$AG361,'Calc base'!$C$17:$N$17,"&lt;"&amp;'Calc base'!C$17,'Calc base'!$C$14:$N$14,1))))</f>
        <v>0</v>
      </c>
      <c r="AI361">
        <f>IF('Calc base'!D$14=0,0,MIN(W361,MAX(0,$E361-SUMIFS($V361:$AG361,'Calc base'!$C$17:$N$17,"&lt;"&amp;'Calc base'!D$17,'Calc base'!$C$14:$N$14,1))))</f>
        <v>0</v>
      </c>
      <c r="AJ361">
        <f>IF('Calc base'!E$14=0,0,MIN(X361,MAX(0,$E361-SUMIFS($V361:$AG361,'Calc base'!$C$17:$N$17,"&lt;"&amp;'Calc base'!E$17,'Calc base'!$C$14:$N$14,1))))</f>
        <v>0</v>
      </c>
      <c r="AK361">
        <f>IF('Calc base'!F$14=0,0,MIN(Y361,MAX(0,$E361-SUMIFS($V361:$AG361,'Calc base'!$C$17:$N$17,"&lt;"&amp;'Calc base'!F$17,'Calc base'!$C$14:$N$14,1))))</f>
        <v>0</v>
      </c>
      <c r="AL361">
        <f>IF('Calc base'!G$14=0,0,MIN(Z361,MAX(0,$E361-SUMIFS($V361:$AG361,'Calc base'!$C$17:$N$17,"&lt;"&amp;'Calc base'!G$17,'Calc base'!$C$14:$N$14,1))))</f>
        <v>0</v>
      </c>
      <c r="AM361">
        <f>IF('Calc base'!H$14=0,0,MIN(AA361,MAX(0,$E361-SUMIFS($V361:$AG361,'Calc base'!$C$17:$N$17,"&lt;"&amp;'Calc base'!H$17,'Calc base'!$C$14:$N$14,1))))</f>
        <v>0</v>
      </c>
      <c r="AN361">
        <f>IF('Calc base'!I$14=0,0,MIN(AB361,MAX(0,$E361-SUMIFS($V361:$AG361,'Calc base'!$C$17:$N$17,"&lt;"&amp;'Calc base'!I$17,'Calc base'!$C$14:$N$14,1))))</f>
        <v>0</v>
      </c>
      <c r="AO361">
        <f>IF('Calc base'!J$14=0,0,MIN(AC361,MAX(0,$E361-SUMIFS($V361:$AG361,'Calc base'!$C$17:$N$17,"&lt;"&amp;'Calc base'!J$17,'Calc base'!$C$14:$N$14,1))))</f>
        <v>0</v>
      </c>
      <c r="AP361">
        <f>IF('Calc base'!K$14=0,0,MIN(AD361,MAX(0,$E361-SUMIFS($V361:$AG361,'Calc base'!$C$17:$N$17,"&lt;"&amp;'Calc base'!K$17,'Calc base'!$C$14:$N$14,1))))</f>
        <v>0</v>
      </c>
      <c r="AQ361">
        <f>IF('Calc base'!L$14=0,0,MIN(AE361,MAX(0,$E361-SUMIFS($V361:$AG361,'Calc base'!$C$17:$N$17,"&lt;"&amp;'Calc base'!L$17,'Calc base'!$C$14:$N$14,1))))</f>
        <v>0</v>
      </c>
      <c r="AR361">
        <f>IF('Calc base'!M$14=0,0,MIN(AF361,MAX(0,$E361-SUMIFS($V361:$AG361,'Calc base'!$C$17:$N$17,"&lt;"&amp;'Calc base'!M$17,'Calc base'!$C$14:$N$14,1))))</f>
        <v>0</v>
      </c>
      <c r="AS361">
        <f>IF('Calc base'!N$14=0,0,MIN(AG361,MAX(0,$E361-SUMIFS($V361:$AG361,'Calc base'!$C$17:$N$17,"&lt;"&amp;'Calc base'!N$17,'Calc base'!$C$14:$N$14,1))))</f>
        <v>0</v>
      </c>
      <c r="AT361">
        <f>V361-AH361</f>
        <v>0</v>
      </c>
      <c r="AU361">
        <f>W361-AI361</f>
        <v>0</v>
      </c>
      <c r="AV361">
        <f>X361-AJ361</f>
        <v>0</v>
      </c>
      <c r="AW361">
        <f>Y361-AK361</f>
        <v>0</v>
      </c>
      <c r="AX361">
        <f>Z361-AL361</f>
        <v>0</v>
      </c>
      <c r="AY361">
        <f>AA361-AM361</f>
        <v>0</v>
      </c>
      <c r="AZ361">
        <f>AB361-AN361</f>
        <v>0</v>
      </c>
      <c r="BA361">
        <f>AC361-AO361</f>
        <v>0</v>
      </c>
      <c r="BB361">
        <f>AD361-AP361</f>
        <v>0</v>
      </c>
      <c r="BC361">
        <f>AE361-AQ361</f>
        <v>0</v>
      </c>
      <c r="BD361">
        <f>AF361-AR361</f>
        <v>0</v>
      </c>
      <c r="BE361">
        <f>AG361-AS361</f>
        <v>0</v>
      </c>
    </row>
    <row r="362">
      <c r="A362" t="n">
        <v>332</v>
      </c>
      <c r="B362">
        <f>SUMPRODUCT(ROUND($AT361:$BE361*(1+'Calc base'!$H362:$S362),2))</f>
        <v>0</v>
      </c>
      <c r="C362">
        <f>SUM(J362:U362)</f>
        <v>0</v>
      </c>
      <c r="D362">
        <f>SUM(V362:AG362)</f>
        <v>0</v>
      </c>
      <c r="E362">
        <f>MAX(0,IF(Impostazioni!$B$7="No",'Calc base'!$C362-$C$31,'Calc base'!$C362-C362)+'Calc base'!$G362+'Calc base'!$F362-(B362-C362-D362))</f>
        <v>900</v>
      </c>
      <c r="F362">
        <f>SUM(AH362:AS362)</f>
        <v>0</v>
      </c>
      <c r="G362">
        <f>SUM(AT362:BE362)</f>
        <v>0</v>
      </c>
      <c r="H362">
        <f>B362-G361</f>
        <v>0</v>
      </c>
      <c r="I362">
        <f>B362-G362</f>
        <v>0</v>
      </c>
      <c r="J362">
        <f>IF(AT361&lt;=0,0,IF(ROUND(AT361*(1+'Calc base'!H362),2)-MAX('Calc base'!C$12,ROUND('Calc base'!C$13*AT361,2))&lt;1,ROUND(AT361*(1+'Calc base'!H362),2),MAX('Calc base'!C$12,ROUND('Calc base'!C$13*AT361,2))))</f>
        <v>0</v>
      </c>
      <c r="K362">
        <f>IF(AU361&lt;=0,0,IF(ROUND(AU361*(1+'Calc base'!I362),2)-MAX('Calc base'!D$12,ROUND('Calc base'!D$13*AU361,2))&lt;1,ROUND(AU361*(1+'Calc base'!I362),2),MAX('Calc base'!D$12,ROUND('Calc base'!D$13*AU361,2))))</f>
        <v>0</v>
      </c>
      <c r="L362">
        <f>IF(AV361&lt;=0,0,IF(ROUND(AV361*(1+'Calc base'!J362),2)-MAX('Calc base'!E$12,ROUND('Calc base'!E$13*AV361,2))&lt;1,ROUND(AV361*(1+'Calc base'!J362),2),MAX('Calc base'!E$12,ROUND('Calc base'!E$13*AV361,2))))</f>
        <v>0</v>
      </c>
      <c r="M362">
        <f>IF(AW361&lt;=0,0,IF(ROUND(AW361*(1+'Calc base'!K362),2)-MAX('Calc base'!F$12,ROUND('Calc base'!F$13*AW361,2))&lt;1,ROUND(AW361*(1+'Calc base'!K362),2),MAX('Calc base'!F$12,ROUND('Calc base'!F$13*AW361,2))))</f>
        <v>0</v>
      </c>
      <c r="N362">
        <f>IF(AX361&lt;=0,0,IF(ROUND(AX361*(1+'Calc base'!L362),2)-MAX('Calc base'!G$12,ROUND('Calc base'!G$13*AX361,2))&lt;1,ROUND(AX361*(1+'Calc base'!L362),2),MAX('Calc base'!G$12,ROUND('Calc base'!G$13*AX361,2))))</f>
        <v>0</v>
      </c>
      <c r="O362">
        <f>IF(AY361&lt;=0,0,IF(ROUND(AY361*(1+'Calc base'!M362),2)-MAX('Calc base'!H$12,ROUND('Calc base'!H$13*AY361,2))&lt;1,ROUND(AY361*(1+'Calc base'!M362),2),MAX('Calc base'!H$12,ROUND('Calc base'!H$13*AY361,2))))</f>
        <v>0</v>
      </c>
      <c r="P362">
        <f>IF(AZ361&lt;=0,0,IF(ROUND(AZ361*(1+'Calc base'!N362),2)-MAX('Calc base'!I$12,ROUND('Calc base'!I$13*AZ361,2))&lt;1,ROUND(AZ361*(1+'Calc base'!N362),2),MAX('Calc base'!I$12,ROUND('Calc base'!I$13*AZ361,2))))</f>
        <v>0</v>
      </c>
      <c r="Q362">
        <f>IF(BA361&lt;=0,0,IF(ROUND(BA361*(1+'Calc base'!O362),2)-MAX('Calc base'!J$12,ROUND('Calc base'!J$13*BA361,2))&lt;1,ROUND(BA361*(1+'Calc base'!O362),2),MAX('Calc base'!J$12,ROUND('Calc base'!J$13*BA361,2))))</f>
        <v>0</v>
      </c>
      <c r="R362">
        <f>IF(BB361&lt;=0,0,IF(ROUND(BB361*(1+'Calc base'!P362),2)-MAX('Calc base'!K$12,ROUND('Calc base'!K$13*BB361,2))&lt;1,ROUND(BB361*(1+'Calc base'!P362),2),MAX('Calc base'!K$12,ROUND('Calc base'!K$13*BB361,2))))</f>
        <v>0</v>
      </c>
      <c r="S362">
        <f>IF(BC361&lt;=0,0,IF(ROUND(BC361*(1+'Calc base'!Q362),2)-MAX('Calc base'!L$12,ROUND('Calc base'!L$13*BC361,2))&lt;1,ROUND(BC361*(1+'Calc base'!Q362),2),MAX('Calc base'!L$12,ROUND('Calc base'!L$13*BC361,2))))</f>
        <v>0</v>
      </c>
      <c r="T362">
        <f>IF(BD361&lt;=0,0,IF(ROUND(BD361*(1+'Calc base'!R362),2)-MAX('Calc base'!M$12,ROUND('Calc base'!M$13*BD361,2))&lt;1,ROUND(BD361*(1+'Calc base'!R362),2),MAX('Calc base'!M$12,ROUND('Calc base'!M$13*BD361,2))))</f>
        <v>0</v>
      </c>
      <c r="U362">
        <f>IF(BE361&lt;=0,0,IF(ROUND(BE361*(1+'Calc base'!S362),2)-MAX('Calc base'!N$12,ROUND('Calc base'!N$13*BE361,2))&lt;1,ROUND(BE361*(1+'Calc base'!S362),2),MAX('Calc base'!N$12,ROUND('Calc base'!N$13*BE361,2))))</f>
        <v>0</v>
      </c>
      <c r="V362">
        <f>MAX(0,ROUND(AT361*(1+'Calc base'!H362),2)-J362-'Calc base'!T362)</f>
        <v>0</v>
      </c>
      <c r="W362">
        <f>MAX(0,ROUND(AU361*(1+'Calc base'!I362),2)-K362-'Calc base'!U362)</f>
        <v>0</v>
      </c>
      <c r="X362">
        <f>MAX(0,ROUND(AV361*(1+'Calc base'!J362),2)-L362-'Calc base'!V362)</f>
        <v>0</v>
      </c>
      <c r="Y362">
        <f>MAX(0,ROUND(AW361*(1+'Calc base'!K362),2)-M362-'Calc base'!W362)</f>
        <v>0</v>
      </c>
      <c r="Z362">
        <f>MAX(0,ROUND(AX361*(1+'Calc base'!L362),2)-N362-'Calc base'!X362)</f>
        <v>0</v>
      </c>
      <c r="AA362">
        <f>MAX(0,ROUND(AY361*(1+'Calc base'!M362),2)-O362-'Calc base'!Y362)</f>
        <v>0</v>
      </c>
      <c r="AB362">
        <f>MAX(0,ROUND(AZ361*(1+'Calc base'!N362),2)-P362-'Calc base'!Z362)</f>
        <v>0</v>
      </c>
      <c r="AC362">
        <f>MAX(0,ROUND(BA361*(1+'Calc base'!O362),2)-Q362-'Calc base'!AA362)</f>
        <v>0</v>
      </c>
      <c r="AD362">
        <f>MAX(0,ROUND(BB361*(1+'Calc base'!P362),2)-R362-'Calc base'!AB362)</f>
        <v>0</v>
      </c>
      <c r="AE362">
        <f>MAX(0,ROUND(BC361*(1+'Calc base'!Q362),2)-S362-'Calc base'!AC362)</f>
        <v>0</v>
      </c>
      <c r="AF362">
        <f>MAX(0,ROUND(BD361*(1+'Calc base'!R362),2)-T362-'Calc base'!AD362)</f>
        <v>0</v>
      </c>
      <c r="AG362">
        <f>MAX(0,ROUND(BE361*(1+'Calc base'!S362),2)-U362-'Calc base'!AE362)</f>
        <v>0</v>
      </c>
      <c r="AH362">
        <f>IF('Calc base'!C$14=0,0,MIN(V362,MAX(0,$E362-SUMIFS($V362:$AG362,'Calc base'!$C$17:$N$17,"&lt;"&amp;'Calc base'!C$17,'Calc base'!$C$14:$N$14,1))))</f>
        <v>0</v>
      </c>
      <c r="AI362">
        <f>IF('Calc base'!D$14=0,0,MIN(W362,MAX(0,$E362-SUMIFS($V362:$AG362,'Calc base'!$C$17:$N$17,"&lt;"&amp;'Calc base'!D$17,'Calc base'!$C$14:$N$14,1))))</f>
        <v>0</v>
      </c>
      <c r="AJ362">
        <f>IF('Calc base'!E$14=0,0,MIN(X362,MAX(0,$E362-SUMIFS($V362:$AG362,'Calc base'!$C$17:$N$17,"&lt;"&amp;'Calc base'!E$17,'Calc base'!$C$14:$N$14,1))))</f>
        <v>0</v>
      </c>
      <c r="AK362">
        <f>IF('Calc base'!F$14=0,0,MIN(Y362,MAX(0,$E362-SUMIFS($V362:$AG362,'Calc base'!$C$17:$N$17,"&lt;"&amp;'Calc base'!F$17,'Calc base'!$C$14:$N$14,1))))</f>
        <v>0</v>
      </c>
      <c r="AL362">
        <f>IF('Calc base'!G$14=0,0,MIN(Z362,MAX(0,$E362-SUMIFS($V362:$AG362,'Calc base'!$C$17:$N$17,"&lt;"&amp;'Calc base'!G$17,'Calc base'!$C$14:$N$14,1))))</f>
        <v>0</v>
      </c>
      <c r="AM362">
        <f>IF('Calc base'!H$14=0,0,MIN(AA362,MAX(0,$E362-SUMIFS($V362:$AG362,'Calc base'!$C$17:$N$17,"&lt;"&amp;'Calc base'!H$17,'Calc base'!$C$14:$N$14,1))))</f>
        <v>0</v>
      </c>
      <c r="AN362">
        <f>IF('Calc base'!I$14=0,0,MIN(AB362,MAX(0,$E362-SUMIFS($V362:$AG362,'Calc base'!$C$17:$N$17,"&lt;"&amp;'Calc base'!I$17,'Calc base'!$C$14:$N$14,1))))</f>
        <v>0</v>
      </c>
      <c r="AO362">
        <f>IF('Calc base'!J$14=0,0,MIN(AC362,MAX(0,$E362-SUMIFS($V362:$AG362,'Calc base'!$C$17:$N$17,"&lt;"&amp;'Calc base'!J$17,'Calc base'!$C$14:$N$14,1))))</f>
        <v>0</v>
      </c>
      <c r="AP362">
        <f>IF('Calc base'!K$14=0,0,MIN(AD362,MAX(0,$E362-SUMIFS($V362:$AG362,'Calc base'!$C$17:$N$17,"&lt;"&amp;'Calc base'!K$17,'Calc base'!$C$14:$N$14,1))))</f>
        <v>0</v>
      </c>
      <c r="AQ362">
        <f>IF('Calc base'!L$14=0,0,MIN(AE362,MAX(0,$E362-SUMIFS($V362:$AG362,'Calc base'!$C$17:$N$17,"&lt;"&amp;'Calc base'!L$17,'Calc base'!$C$14:$N$14,1))))</f>
        <v>0</v>
      </c>
      <c r="AR362">
        <f>IF('Calc base'!M$14=0,0,MIN(AF362,MAX(0,$E362-SUMIFS($V362:$AG362,'Calc base'!$C$17:$N$17,"&lt;"&amp;'Calc base'!M$17,'Calc base'!$C$14:$N$14,1))))</f>
        <v>0</v>
      </c>
      <c r="AS362">
        <f>IF('Calc base'!N$14=0,0,MIN(AG362,MAX(0,$E362-SUMIFS($V362:$AG362,'Calc base'!$C$17:$N$17,"&lt;"&amp;'Calc base'!N$17,'Calc base'!$C$14:$N$14,1))))</f>
        <v>0</v>
      </c>
      <c r="AT362">
        <f>V362-AH362</f>
        <v>0</v>
      </c>
      <c r="AU362">
        <f>W362-AI362</f>
        <v>0</v>
      </c>
      <c r="AV362">
        <f>X362-AJ362</f>
        <v>0</v>
      </c>
      <c r="AW362">
        <f>Y362-AK362</f>
        <v>0</v>
      </c>
      <c r="AX362">
        <f>Z362-AL362</f>
        <v>0</v>
      </c>
      <c r="AY362">
        <f>AA362-AM362</f>
        <v>0</v>
      </c>
      <c r="AZ362">
        <f>AB362-AN362</f>
        <v>0</v>
      </c>
      <c r="BA362">
        <f>AC362-AO362</f>
        <v>0</v>
      </c>
      <c r="BB362">
        <f>AD362-AP362</f>
        <v>0</v>
      </c>
      <c r="BC362">
        <f>AE362-AQ362</f>
        <v>0</v>
      </c>
      <c r="BD362">
        <f>AF362-AR362</f>
        <v>0</v>
      </c>
      <c r="BE362">
        <f>AG362-AS362</f>
        <v>0</v>
      </c>
    </row>
    <row r="363">
      <c r="A363" t="n">
        <v>333</v>
      </c>
      <c r="B363">
        <f>SUMPRODUCT(ROUND($AT362:$BE362*(1+'Calc base'!$H363:$S363),2))</f>
        <v>0</v>
      </c>
      <c r="C363">
        <f>SUM(J363:U363)</f>
        <v>0</v>
      </c>
      <c r="D363">
        <f>SUM(V363:AG363)</f>
        <v>0</v>
      </c>
      <c r="E363">
        <f>MAX(0,IF(Impostazioni!$B$7="No",'Calc base'!$C363-$C$31,'Calc base'!$C363-C363)+'Calc base'!$G363+'Calc base'!$F363-(B363-C363-D363))</f>
        <v>900</v>
      </c>
      <c r="F363">
        <f>SUM(AH363:AS363)</f>
        <v>0</v>
      </c>
      <c r="G363">
        <f>SUM(AT363:BE363)</f>
        <v>0</v>
      </c>
      <c r="H363">
        <f>B363-G362</f>
        <v>0</v>
      </c>
      <c r="I363">
        <f>B363-G363</f>
        <v>0</v>
      </c>
      <c r="J363">
        <f>IF(AT362&lt;=0,0,IF(ROUND(AT362*(1+'Calc base'!H363),2)-MAX('Calc base'!C$12,ROUND('Calc base'!C$13*AT362,2))&lt;1,ROUND(AT362*(1+'Calc base'!H363),2),MAX('Calc base'!C$12,ROUND('Calc base'!C$13*AT362,2))))</f>
        <v>0</v>
      </c>
      <c r="K363">
        <f>IF(AU362&lt;=0,0,IF(ROUND(AU362*(1+'Calc base'!I363),2)-MAX('Calc base'!D$12,ROUND('Calc base'!D$13*AU362,2))&lt;1,ROUND(AU362*(1+'Calc base'!I363),2),MAX('Calc base'!D$12,ROUND('Calc base'!D$13*AU362,2))))</f>
        <v>0</v>
      </c>
      <c r="L363">
        <f>IF(AV362&lt;=0,0,IF(ROUND(AV362*(1+'Calc base'!J363),2)-MAX('Calc base'!E$12,ROUND('Calc base'!E$13*AV362,2))&lt;1,ROUND(AV362*(1+'Calc base'!J363),2),MAX('Calc base'!E$12,ROUND('Calc base'!E$13*AV362,2))))</f>
        <v>0</v>
      </c>
      <c r="M363">
        <f>IF(AW362&lt;=0,0,IF(ROUND(AW362*(1+'Calc base'!K363),2)-MAX('Calc base'!F$12,ROUND('Calc base'!F$13*AW362,2))&lt;1,ROUND(AW362*(1+'Calc base'!K363),2),MAX('Calc base'!F$12,ROUND('Calc base'!F$13*AW362,2))))</f>
        <v>0</v>
      </c>
      <c r="N363">
        <f>IF(AX362&lt;=0,0,IF(ROUND(AX362*(1+'Calc base'!L363),2)-MAX('Calc base'!G$12,ROUND('Calc base'!G$13*AX362,2))&lt;1,ROUND(AX362*(1+'Calc base'!L363),2),MAX('Calc base'!G$12,ROUND('Calc base'!G$13*AX362,2))))</f>
        <v>0</v>
      </c>
      <c r="O363">
        <f>IF(AY362&lt;=0,0,IF(ROUND(AY362*(1+'Calc base'!M363),2)-MAX('Calc base'!H$12,ROUND('Calc base'!H$13*AY362,2))&lt;1,ROUND(AY362*(1+'Calc base'!M363),2),MAX('Calc base'!H$12,ROUND('Calc base'!H$13*AY362,2))))</f>
        <v>0</v>
      </c>
      <c r="P363">
        <f>IF(AZ362&lt;=0,0,IF(ROUND(AZ362*(1+'Calc base'!N363),2)-MAX('Calc base'!I$12,ROUND('Calc base'!I$13*AZ362,2))&lt;1,ROUND(AZ362*(1+'Calc base'!N363),2),MAX('Calc base'!I$12,ROUND('Calc base'!I$13*AZ362,2))))</f>
        <v>0</v>
      </c>
      <c r="Q363">
        <f>IF(BA362&lt;=0,0,IF(ROUND(BA362*(1+'Calc base'!O363),2)-MAX('Calc base'!J$12,ROUND('Calc base'!J$13*BA362,2))&lt;1,ROUND(BA362*(1+'Calc base'!O363),2),MAX('Calc base'!J$12,ROUND('Calc base'!J$13*BA362,2))))</f>
        <v>0</v>
      </c>
      <c r="R363">
        <f>IF(BB362&lt;=0,0,IF(ROUND(BB362*(1+'Calc base'!P363),2)-MAX('Calc base'!K$12,ROUND('Calc base'!K$13*BB362,2))&lt;1,ROUND(BB362*(1+'Calc base'!P363),2),MAX('Calc base'!K$12,ROUND('Calc base'!K$13*BB362,2))))</f>
        <v>0</v>
      </c>
      <c r="S363">
        <f>IF(BC362&lt;=0,0,IF(ROUND(BC362*(1+'Calc base'!Q363),2)-MAX('Calc base'!L$12,ROUND('Calc base'!L$13*BC362,2))&lt;1,ROUND(BC362*(1+'Calc base'!Q363),2),MAX('Calc base'!L$12,ROUND('Calc base'!L$13*BC362,2))))</f>
        <v>0</v>
      </c>
      <c r="T363">
        <f>IF(BD362&lt;=0,0,IF(ROUND(BD362*(1+'Calc base'!R363),2)-MAX('Calc base'!M$12,ROUND('Calc base'!M$13*BD362,2))&lt;1,ROUND(BD362*(1+'Calc base'!R363),2),MAX('Calc base'!M$12,ROUND('Calc base'!M$13*BD362,2))))</f>
        <v>0</v>
      </c>
      <c r="U363">
        <f>IF(BE362&lt;=0,0,IF(ROUND(BE362*(1+'Calc base'!S363),2)-MAX('Calc base'!N$12,ROUND('Calc base'!N$13*BE362,2))&lt;1,ROUND(BE362*(1+'Calc base'!S363),2),MAX('Calc base'!N$12,ROUND('Calc base'!N$13*BE362,2))))</f>
        <v>0</v>
      </c>
      <c r="V363">
        <f>MAX(0,ROUND(AT362*(1+'Calc base'!H363),2)-J363-'Calc base'!T363)</f>
        <v>0</v>
      </c>
      <c r="W363">
        <f>MAX(0,ROUND(AU362*(1+'Calc base'!I363),2)-K363-'Calc base'!U363)</f>
        <v>0</v>
      </c>
      <c r="X363">
        <f>MAX(0,ROUND(AV362*(1+'Calc base'!J363),2)-L363-'Calc base'!V363)</f>
        <v>0</v>
      </c>
      <c r="Y363">
        <f>MAX(0,ROUND(AW362*(1+'Calc base'!K363),2)-M363-'Calc base'!W363)</f>
        <v>0</v>
      </c>
      <c r="Z363">
        <f>MAX(0,ROUND(AX362*(1+'Calc base'!L363),2)-N363-'Calc base'!X363)</f>
        <v>0</v>
      </c>
      <c r="AA363">
        <f>MAX(0,ROUND(AY362*(1+'Calc base'!M363),2)-O363-'Calc base'!Y363)</f>
        <v>0</v>
      </c>
      <c r="AB363">
        <f>MAX(0,ROUND(AZ362*(1+'Calc base'!N363),2)-P363-'Calc base'!Z363)</f>
        <v>0</v>
      </c>
      <c r="AC363">
        <f>MAX(0,ROUND(BA362*(1+'Calc base'!O363),2)-Q363-'Calc base'!AA363)</f>
        <v>0</v>
      </c>
      <c r="AD363">
        <f>MAX(0,ROUND(BB362*(1+'Calc base'!P363),2)-R363-'Calc base'!AB363)</f>
        <v>0</v>
      </c>
      <c r="AE363">
        <f>MAX(0,ROUND(BC362*(1+'Calc base'!Q363),2)-S363-'Calc base'!AC363)</f>
        <v>0</v>
      </c>
      <c r="AF363">
        <f>MAX(0,ROUND(BD362*(1+'Calc base'!R363),2)-T363-'Calc base'!AD363)</f>
        <v>0</v>
      </c>
      <c r="AG363">
        <f>MAX(0,ROUND(BE362*(1+'Calc base'!S363),2)-U363-'Calc base'!AE363)</f>
        <v>0</v>
      </c>
      <c r="AH363">
        <f>IF('Calc base'!C$14=0,0,MIN(V363,MAX(0,$E363-SUMIFS($V363:$AG363,'Calc base'!$C$17:$N$17,"&lt;"&amp;'Calc base'!C$17,'Calc base'!$C$14:$N$14,1))))</f>
        <v>0</v>
      </c>
      <c r="AI363">
        <f>IF('Calc base'!D$14=0,0,MIN(W363,MAX(0,$E363-SUMIFS($V363:$AG363,'Calc base'!$C$17:$N$17,"&lt;"&amp;'Calc base'!D$17,'Calc base'!$C$14:$N$14,1))))</f>
        <v>0</v>
      </c>
      <c r="AJ363">
        <f>IF('Calc base'!E$14=0,0,MIN(X363,MAX(0,$E363-SUMIFS($V363:$AG363,'Calc base'!$C$17:$N$17,"&lt;"&amp;'Calc base'!E$17,'Calc base'!$C$14:$N$14,1))))</f>
        <v>0</v>
      </c>
      <c r="AK363">
        <f>IF('Calc base'!F$14=0,0,MIN(Y363,MAX(0,$E363-SUMIFS($V363:$AG363,'Calc base'!$C$17:$N$17,"&lt;"&amp;'Calc base'!F$17,'Calc base'!$C$14:$N$14,1))))</f>
        <v>0</v>
      </c>
      <c r="AL363">
        <f>IF('Calc base'!G$14=0,0,MIN(Z363,MAX(0,$E363-SUMIFS($V363:$AG363,'Calc base'!$C$17:$N$17,"&lt;"&amp;'Calc base'!G$17,'Calc base'!$C$14:$N$14,1))))</f>
        <v>0</v>
      </c>
      <c r="AM363">
        <f>IF('Calc base'!H$14=0,0,MIN(AA363,MAX(0,$E363-SUMIFS($V363:$AG363,'Calc base'!$C$17:$N$17,"&lt;"&amp;'Calc base'!H$17,'Calc base'!$C$14:$N$14,1))))</f>
        <v>0</v>
      </c>
      <c r="AN363">
        <f>IF('Calc base'!I$14=0,0,MIN(AB363,MAX(0,$E363-SUMIFS($V363:$AG363,'Calc base'!$C$17:$N$17,"&lt;"&amp;'Calc base'!I$17,'Calc base'!$C$14:$N$14,1))))</f>
        <v>0</v>
      </c>
      <c r="AO363">
        <f>IF('Calc base'!J$14=0,0,MIN(AC363,MAX(0,$E363-SUMIFS($V363:$AG363,'Calc base'!$C$17:$N$17,"&lt;"&amp;'Calc base'!J$17,'Calc base'!$C$14:$N$14,1))))</f>
        <v>0</v>
      </c>
      <c r="AP363">
        <f>IF('Calc base'!K$14=0,0,MIN(AD363,MAX(0,$E363-SUMIFS($V363:$AG363,'Calc base'!$C$17:$N$17,"&lt;"&amp;'Calc base'!K$17,'Calc base'!$C$14:$N$14,1))))</f>
        <v>0</v>
      </c>
      <c r="AQ363">
        <f>IF('Calc base'!L$14=0,0,MIN(AE363,MAX(0,$E363-SUMIFS($V363:$AG363,'Calc base'!$C$17:$N$17,"&lt;"&amp;'Calc base'!L$17,'Calc base'!$C$14:$N$14,1))))</f>
        <v>0</v>
      </c>
      <c r="AR363">
        <f>IF('Calc base'!M$14=0,0,MIN(AF363,MAX(0,$E363-SUMIFS($V363:$AG363,'Calc base'!$C$17:$N$17,"&lt;"&amp;'Calc base'!M$17,'Calc base'!$C$14:$N$14,1))))</f>
        <v>0</v>
      </c>
      <c r="AS363">
        <f>IF('Calc base'!N$14=0,0,MIN(AG363,MAX(0,$E363-SUMIFS($V363:$AG363,'Calc base'!$C$17:$N$17,"&lt;"&amp;'Calc base'!N$17,'Calc base'!$C$14:$N$14,1))))</f>
        <v>0</v>
      </c>
      <c r="AT363">
        <f>V363-AH363</f>
        <v>0</v>
      </c>
      <c r="AU363">
        <f>W363-AI363</f>
        <v>0</v>
      </c>
      <c r="AV363">
        <f>X363-AJ363</f>
        <v>0</v>
      </c>
      <c r="AW363">
        <f>Y363-AK363</f>
        <v>0</v>
      </c>
      <c r="AX363">
        <f>Z363-AL363</f>
        <v>0</v>
      </c>
      <c r="AY363">
        <f>AA363-AM363</f>
        <v>0</v>
      </c>
      <c r="AZ363">
        <f>AB363-AN363</f>
        <v>0</v>
      </c>
      <c r="BA363">
        <f>AC363-AO363</f>
        <v>0</v>
      </c>
      <c r="BB363">
        <f>AD363-AP363</f>
        <v>0</v>
      </c>
      <c r="BC363">
        <f>AE363-AQ363</f>
        <v>0</v>
      </c>
      <c r="BD363">
        <f>AF363-AR363</f>
        <v>0</v>
      </c>
      <c r="BE363">
        <f>AG363-AS363</f>
        <v>0</v>
      </c>
    </row>
    <row r="364">
      <c r="A364" t="n">
        <v>334</v>
      </c>
      <c r="B364">
        <f>SUMPRODUCT(ROUND($AT363:$BE363*(1+'Calc base'!$H364:$S364),2))</f>
        <v>0</v>
      </c>
      <c r="C364">
        <f>SUM(J364:U364)</f>
        <v>0</v>
      </c>
      <c r="D364">
        <f>SUM(V364:AG364)</f>
        <v>0</v>
      </c>
      <c r="E364">
        <f>MAX(0,IF(Impostazioni!$B$7="No",'Calc base'!$C364-$C$31,'Calc base'!$C364-C364)+'Calc base'!$G364+'Calc base'!$F364-(B364-C364-D364))</f>
        <v>900</v>
      </c>
      <c r="F364">
        <f>SUM(AH364:AS364)</f>
        <v>0</v>
      </c>
      <c r="G364">
        <f>SUM(AT364:BE364)</f>
        <v>0</v>
      </c>
      <c r="H364">
        <f>B364-G363</f>
        <v>0</v>
      </c>
      <c r="I364">
        <f>B364-G364</f>
        <v>0</v>
      </c>
      <c r="J364">
        <f>IF(AT363&lt;=0,0,IF(ROUND(AT363*(1+'Calc base'!H364),2)-MAX('Calc base'!C$12,ROUND('Calc base'!C$13*AT363,2))&lt;1,ROUND(AT363*(1+'Calc base'!H364),2),MAX('Calc base'!C$12,ROUND('Calc base'!C$13*AT363,2))))</f>
        <v>0</v>
      </c>
      <c r="K364">
        <f>IF(AU363&lt;=0,0,IF(ROUND(AU363*(1+'Calc base'!I364),2)-MAX('Calc base'!D$12,ROUND('Calc base'!D$13*AU363,2))&lt;1,ROUND(AU363*(1+'Calc base'!I364),2),MAX('Calc base'!D$12,ROUND('Calc base'!D$13*AU363,2))))</f>
        <v>0</v>
      </c>
      <c r="L364">
        <f>IF(AV363&lt;=0,0,IF(ROUND(AV363*(1+'Calc base'!J364),2)-MAX('Calc base'!E$12,ROUND('Calc base'!E$13*AV363,2))&lt;1,ROUND(AV363*(1+'Calc base'!J364),2),MAX('Calc base'!E$12,ROUND('Calc base'!E$13*AV363,2))))</f>
        <v>0</v>
      </c>
      <c r="M364">
        <f>IF(AW363&lt;=0,0,IF(ROUND(AW363*(1+'Calc base'!K364),2)-MAX('Calc base'!F$12,ROUND('Calc base'!F$13*AW363,2))&lt;1,ROUND(AW363*(1+'Calc base'!K364),2),MAX('Calc base'!F$12,ROUND('Calc base'!F$13*AW363,2))))</f>
        <v>0</v>
      </c>
      <c r="N364">
        <f>IF(AX363&lt;=0,0,IF(ROUND(AX363*(1+'Calc base'!L364),2)-MAX('Calc base'!G$12,ROUND('Calc base'!G$13*AX363,2))&lt;1,ROUND(AX363*(1+'Calc base'!L364),2),MAX('Calc base'!G$12,ROUND('Calc base'!G$13*AX363,2))))</f>
        <v>0</v>
      </c>
      <c r="O364">
        <f>IF(AY363&lt;=0,0,IF(ROUND(AY363*(1+'Calc base'!M364),2)-MAX('Calc base'!H$12,ROUND('Calc base'!H$13*AY363,2))&lt;1,ROUND(AY363*(1+'Calc base'!M364),2),MAX('Calc base'!H$12,ROUND('Calc base'!H$13*AY363,2))))</f>
        <v>0</v>
      </c>
      <c r="P364">
        <f>IF(AZ363&lt;=0,0,IF(ROUND(AZ363*(1+'Calc base'!N364),2)-MAX('Calc base'!I$12,ROUND('Calc base'!I$13*AZ363,2))&lt;1,ROUND(AZ363*(1+'Calc base'!N364),2),MAX('Calc base'!I$12,ROUND('Calc base'!I$13*AZ363,2))))</f>
        <v>0</v>
      </c>
      <c r="Q364">
        <f>IF(BA363&lt;=0,0,IF(ROUND(BA363*(1+'Calc base'!O364),2)-MAX('Calc base'!J$12,ROUND('Calc base'!J$13*BA363,2))&lt;1,ROUND(BA363*(1+'Calc base'!O364),2),MAX('Calc base'!J$12,ROUND('Calc base'!J$13*BA363,2))))</f>
        <v>0</v>
      </c>
      <c r="R364">
        <f>IF(BB363&lt;=0,0,IF(ROUND(BB363*(1+'Calc base'!P364),2)-MAX('Calc base'!K$12,ROUND('Calc base'!K$13*BB363,2))&lt;1,ROUND(BB363*(1+'Calc base'!P364),2),MAX('Calc base'!K$12,ROUND('Calc base'!K$13*BB363,2))))</f>
        <v>0</v>
      </c>
      <c r="S364">
        <f>IF(BC363&lt;=0,0,IF(ROUND(BC363*(1+'Calc base'!Q364),2)-MAX('Calc base'!L$12,ROUND('Calc base'!L$13*BC363,2))&lt;1,ROUND(BC363*(1+'Calc base'!Q364),2),MAX('Calc base'!L$12,ROUND('Calc base'!L$13*BC363,2))))</f>
        <v>0</v>
      </c>
      <c r="T364">
        <f>IF(BD363&lt;=0,0,IF(ROUND(BD363*(1+'Calc base'!R364),2)-MAX('Calc base'!M$12,ROUND('Calc base'!M$13*BD363,2))&lt;1,ROUND(BD363*(1+'Calc base'!R364),2),MAX('Calc base'!M$12,ROUND('Calc base'!M$13*BD363,2))))</f>
        <v>0</v>
      </c>
      <c r="U364">
        <f>IF(BE363&lt;=0,0,IF(ROUND(BE363*(1+'Calc base'!S364),2)-MAX('Calc base'!N$12,ROUND('Calc base'!N$13*BE363,2))&lt;1,ROUND(BE363*(1+'Calc base'!S364),2),MAX('Calc base'!N$12,ROUND('Calc base'!N$13*BE363,2))))</f>
        <v>0</v>
      </c>
      <c r="V364">
        <f>MAX(0,ROUND(AT363*(1+'Calc base'!H364),2)-J364-'Calc base'!T364)</f>
        <v>0</v>
      </c>
      <c r="W364">
        <f>MAX(0,ROUND(AU363*(1+'Calc base'!I364),2)-K364-'Calc base'!U364)</f>
        <v>0</v>
      </c>
      <c r="X364">
        <f>MAX(0,ROUND(AV363*(1+'Calc base'!J364),2)-L364-'Calc base'!V364)</f>
        <v>0</v>
      </c>
      <c r="Y364">
        <f>MAX(0,ROUND(AW363*(1+'Calc base'!K364),2)-M364-'Calc base'!W364)</f>
        <v>0</v>
      </c>
      <c r="Z364">
        <f>MAX(0,ROUND(AX363*(1+'Calc base'!L364),2)-N364-'Calc base'!X364)</f>
        <v>0</v>
      </c>
      <c r="AA364">
        <f>MAX(0,ROUND(AY363*(1+'Calc base'!M364),2)-O364-'Calc base'!Y364)</f>
        <v>0</v>
      </c>
      <c r="AB364">
        <f>MAX(0,ROUND(AZ363*(1+'Calc base'!N364),2)-P364-'Calc base'!Z364)</f>
        <v>0</v>
      </c>
      <c r="AC364">
        <f>MAX(0,ROUND(BA363*(1+'Calc base'!O364),2)-Q364-'Calc base'!AA364)</f>
        <v>0</v>
      </c>
      <c r="AD364">
        <f>MAX(0,ROUND(BB363*(1+'Calc base'!P364),2)-R364-'Calc base'!AB364)</f>
        <v>0</v>
      </c>
      <c r="AE364">
        <f>MAX(0,ROUND(BC363*(1+'Calc base'!Q364),2)-S364-'Calc base'!AC364)</f>
        <v>0</v>
      </c>
      <c r="AF364">
        <f>MAX(0,ROUND(BD363*(1+'Calc base'!R364),2)-T364-'Calc base'!AD364)</f>
        <v>0</v>
      </c>
      <c r="AG364">
        <f>MAX(0,ROUND(BE363*(1+'Calc base'!S364),2)-U364-'Calc base'!AE364)</f>
        <v>0</v>
      </c>
      <c r="AH364">
        <f>IF('Calc base'!C$14=0,0,MIN(V364,MAX(0,$E364-SUMIFS($V364:$AG364,'Calc base'!$C$17:$N$17,"&lt;"&amp;'Calc base'!C$17,'Calc base'!$C$14:$N$14,1))))</f>
        <v>0</v>
      </c>
      <c r="AI364">
        <f>IF('Calc base'!D$14=0,0,MIN(W364,MAX(0,$E364-SUMIFS($V364:$AG364,'Calc base'!$C$17:$N$17,"&lt;"&amp;'Calc base'!D$17,'Calc base'!$C$14:$N$14,1))))</f>
        <v>0</v>
      </c>
      <c r="AJ364">
        <f>IF('Calc base'!E$14=0,0,MIN(X364,MAX(0,$E364-SUMIFS($V364:$AG364,'Calc base'!$C$17:$N$17,"&lt;"&amp;'Calc base'!E$17,'Calc base'!$C$14:$N$14,1))))</f>
        <v>0</v>
      </c>
      <c r="AK364">
        <f>IF('Calc base'!F$14=0,0,MIN(Y364,MAX(0,$E364-SUMIFS($V364:$AG364,'Calc base'!$C$17:$N$17,"&lt;"&amp;'Calc base'!F$17,'Calc base'!$C$14:$N$14,1))))</f>
        <v>0</v>
      </c>
      <c r="AL364">
        <f>IF('Calc base'!G$14=0,0,MIN(Z364,MAX(0,$E364-SUMIFS($V364:$AG364,'Calc base'!$C$17:$N$17,"&lt;"&amp;'Calc base'!G$17,'Calc base'!$C$14:$N$14,1))))</f>
        <v>0</v>
      </c>
      <c r="AM364">
        <f>IF('Calc base'!H$14=0,0,MIN(AA364,MAX(0,$E364-SUMIFS($V364:$AG364,'Calc base'!$C$17:$N$17,"&lt;"&amp;'Calc base'!H$17,'Calc base'!$C$14:$N$14,1))))</f>
        <v>0</v>
      </c>
      <c r="AN364">
        <f>IF('Calc base'!I$14=0,0,MIN(AB364,MAX(0,$E364-SUMIFS($V364:$AG364,'Calc base'!$C$17:$N$17,"&lt;"&amp;'Calc base'!I$17,'Calc base'!$C$14:$N$14,1))))</f>
        <v>0</v>
      </c>
      <c r="AO364">
        <f>IF('Calc base'!J$14=0,0,MIN(AC364,MAX(0,$E364-SUMIFS($V364:$AG364,'Calc base'!$C$17:$N$17,"&lt;"&amp;'Calc base'!J$17,'Calc base'!$C$14:$N$14,1))))</f>
        <v>0</v>
      </c>
      <c r="AP364">
        <f>IF('Calc base'!K$14=0,0,MIN(AD364,MAX(0,$E364-SUMIFS($V364:$AG364,'Calc base'!$C$17:$N$17,"&lt;"&amp;'Calc base'!K$17,'Calc base'!$C$14:$N$14,1))))</f>
        <v>0</v>
      </c>
      <c r="AQ364">
        <f>IF('Calc base'!L$14=0,0,MIN(AE364,MAX(0,$E364-SUMIFS($V364:$AG364,'Calc base'!$C$17:$N$17,"&lt;"&amp;'Calc base'!L$17,'Calc base'!$C$14:$N$14,1))))</f>
        <v>0</v>
      </c>
      <c r="AR364">
        <f>IF('Calc base'!M$14=0,0,MIN(AF364,MAX(0,$E364-SUMIFS($V364:$AG364,'Calc base'!$C$17:$N$17,"&lt;"&amp;'Calc base'!M$17,'Calc base'!$C$14:$N$14,1))))</f>
        <v>0</v>
      </c>
      <c r="AS364">
        <f>IF('Calc base'!N$14=0,0,MIN(AG364,MAX(0,$E364-SUMIFS($V364:$AG364,'Calc base'!$C$17:$N$17,"&lt;"&amp;'Calc base'!N$17,'Calc base'!$C$14:$N$14,1))))</f>
        <v>0</v>
      </c>
      <c r="AT364">
        <f>V364-AH364</f>
        <v>0</v>
      </c>
      <c r="AU364">
        <f>W364-AI364</f>
        <v>0</v>
      </c>
      <c r="AV364">
        <f>X364-AJ364</f>
        <v>0</v>
      </c>
      <c r="AW364">
        <f>Y364-AK364</f>
        <v>0</v>
      </c>
      <c r="AX364">
        <f>Z364-AL364</f>
        <v>0</v>
      </c>
      <c r="AY364">
        <f>AA364-AM364</f>
        <v>0</v>
      </c>
      <c r="AZ364">
        <f>AB364-AN364</f>
        <v>0</v>
      </c>
      <c r="BA364">
        <f>AC364-AO364</f>
        <v>0</v>
      </c>
      <c r="BB364">
        <f>AD364-AP364</f>
        <v>0</v>
      </c>
      <c r="BC364">
        <f>AE364-AQ364</f>
        <v>0</v>
      </c>
      <c r="BD364">
        <f>AF364-AR364</f>
        <v>0</v>
      </c>
      <c r="BE364">
        <f>AG364-AS364</f>
        <v>0</v>
      </c>
    </row>
    <row r="365">
      <c r="A365" t="n">
        <v>335</v>
      </c>
      <c r="B365">
        <f>SUMPRODUCT(ROUND($AT364:$BE364*(1+'Calc base'!$H365:$S365),2))</f>
        <v>0</v>
      </c>
      <c r="C365">
        <f>SUM(J365:U365)</f>
        <v>0</v>
      </c>
      <c r="D365">
        <f>SUM(V365:AG365)</f>
        <v>0</v>
      </c>
      <c r="E365">
        <f>MAX(0,IF(Impostazioni!$B$7="No",'Calc base'!$C365-$C$31,'Calc base'!$C365-C365)+'Calc base'!$G365+'Calc base'!$F365-(B365-C365-D365))</f>
        <v>900</v>
      </c>
      <c r="F365">
        <f>SUM(AH365:AS365)</f>
        <v>0</v>
      </c>
      <c r="G365">
        <f>SUM(AT365:BE365)</f>
        <v>0</v>
      </c>
      <c r="H365">
        <f>B365-G364</f>
        <v>0</v>
      </c>
      <c r="I365">
        <f>B365-G365</f>
        <v>0</v>
      </c>
      <c r="J365">
        <f>IF(AT364&lt;=0,0,IF(ROUND(AT364*(1+'Calc base'!H365),2)-MAX('Calc base'!C$12,ROUND('Calc base'!C$13*AT364,2))&lt;1,ROUND(AT364*(1+'Calc base'!H365),2),MAX('Calc base'!C$12,ROUND('Calc base'!C$13*AT364,2))))</f>
        <v>0</v>
      </c>
      <c r="K365">
        <f>IF(AU364&lt;=0,0,IF(ROUND(AU364*(1+'Calc base'!I365),2)-MAX('Calc base'!D$12,ROUND('Calc base'!D$13*AU364,2))&lt;1,ROUND(AU364*(1+'Calc base'!I365),2),MAX('Calc base'!D$12,ROUND('Calc base'!D$13*AU364,2))))</f>
        <v>0</v>
      </c>
      <c r="L365">
        <f>IF(AV364&lt;=0,0,IF(ROUND(AV364*(1+'Calc base'!J365),2)-MAX('Calc base'!E$12,ROUND('Calc base'!E$13*AV364,2))&lt;1,ROUND(AV364*(1+'Calc base'!J365),2),MAX('Calc base'!E$12,ROUND('Calc base'!E$13*AV364,2))))</f>
        <v>0</v>
      </c>
      <c r="M365">
        <f>IF(AW364&lt;=0,0,IF(ROUND(AW364*(1+'Calc base'!K365),2)-MAX('Calc base'!F$12,ROUND('Calc base'!F$13*AW364,2))&lt;1,ROUND(AW364*(1+'Calc base'!K365),2),MAX('Calc base'!F$12,ROUND('Calc base'!F$13*AW364,2))))</f>
        <v>0</v>
      </c>
      <c r="N365">
        <f>IF(AX364&lt;=0,0,IF(ROUND(AX364*(1+'Calc base'!L365),2)-MAX('Calc base'!G$12,ROUND('Calc base'!G$13*AX364,2))&lt;1,ROUND(AX364*(1+'Calc base'!L365),2),MAX('Calc base'!G$12,ROUND('Calc base'!G$13*AX364,2))))</f>
        <v>0</v>
      </c>
      <c r="O365">
        <f>IF(AY364&lt;=0,0,IF(ROUND(AY364*(1+'Calc base'!M365),2)-MAX('Calc base'!H$12,ROUND('Calc base'!H$13*AY364,2))&lt;1,ROUND(AY364*(1+'Calc base'!M365),2),MAX('Calc base'!H$12,ROUND('Calc base'!H$13*AY364,2))))</f>
        <v>0</v>
      </c>
      <c r="P365">
        <f>IF(AZ364&lt;=0,0,IF(ROUND(AZ364*(1+'Calc base'!N365),2)-MAX('Calc base'!I$12,ROUND('Calc base'!I$13*AZ364,2))&lt;1,ROUND(AZ364*(1+'Calc base'!N365),2),MAX('Calc base'!I$12,ROUND('Calc base'!I$13*AZ364,2))))</f>
        <v>0</v>
      </c>
      <c r="Q365">
        <f>IF(BA364&lt;=0,0,IF(ROUND(BA364*(1+'Calc base'!O365),2)-MAX('Calc base'!J$12,ROUND('Calc base'!J$13*BA364,2))&lt;1,ROUND(BA364*(1+'Calc base'!O365),2),MAX('Calc base'!J$12,ROUND('Calc base'!J$13*BA364,2))))</f>
        <v>0</v>
      </c>
      <c r="R365">
        <f>IF(BB364&lt;=0,0,IF(ROUND(BB364*(1+'Calc base'!P365),2)-MAX('Calc base'!K$12,ROUND('Calc base'!K$13*BB364,2))&lt;1,ROUND(BB364*(1+'Calc base'!P365),2),MAX('Calc base'!K$12,ROUND('Calc base'!K$13*BB364,2))))</f>
        <v>0</v>
      </c>
      <c r="S365">
        <f>IF(BC364&lt;=0,0,IF(ROUND(BC364*(1+'Calc base'!Q365),2)-MAX('Calc base'!L$12,ROUND('Calc base'!L$13*BC364,2))&lt;1,ROUND(BC364*(1+'Calc base'!Q365),2),MAX('Calc base'!L$12,ROUND('Calc base'!L$13*BC364,2))))</f>
        <v>0</v>
      </c>
      <c r="T365">
        <f>IF(BD364&lt;=0,0,IF(ROUND(BD364*(1+'Calc base'!R365),2)-MAX('Calc base'!M$12,ROUND('Calc base'!M$13*BD364,2))&lt;1,ROUND(BD364*(1+'Calc base'!R365),2),MAX('Calc base'!M$12,ROUND('Calc base'!M$13*BD364,2))))</f>
        <v>0</v>
      </c>
      <c r="U365">
        <f>IF(BE364&lt;=0,0,IF(ROUND(BE364*(1+'Calc base'!S365),2)-MAX('Calc base'!N$12,ROUND('Calc base'!N$13*BE364,2))&lt;1,ROUND(BE364*(1+'Calc base'!S365),2),MAX('Calc base'!N$12,ROUND('Calc base'!N$13*BE364,2))))</f>
        <v>0</v>
      </c>
      <c r="V365">
        <f>MAX(0,ROUND(AT364*(1+'Calc base'!H365),2)-J365-'Calc base'!T365)</f>
        <v>0</v>
      </c>
      <c r="W365">
        <f>MAX(0,ROUND(AU364*(1+'Calc base'!I365),2)-K365-'Calc base'!U365)</f>
        <v>0</v>
      </c>
      <c r="X365">
        <f>MAX(0,ROUND(AV364*(1+'Calc base'!J365),2)-L365-'Calc base'!V365)</f>
        <v>0</v>
      </c>
      <c r="Y365">
        <f>MAX(0,ROUND(AW364*(1+'Calc base'!K365),2)-M365-'Calc base'!W365)</f>
        <v>0</v>
      </c>
      <c r="Z365">
        <f>MAX(0,ROUND(AX364*(1+'Calc base'!L365),2)-N365-'Calc base'!X365)</f>
        <v>0</v>
      </c>
      <c r="AA365">
        <f>MAX(0,ROUND(AY364*(1+'Calc base'!M365),2)-O365-'Calc base'!Y365)</f>
        <v>0</v>
      </c>
      <c r="AB365">
        <f>MAX(0,ROUND(AZ364*(1+'Calc base'!N365),2)-P365-'Calc base'!Z365)</f>
        <v>0</v>
      </c>
      <c r="AC365">
        <f>MAX(0,ROUND(BA364*(1+'Calc base'!O365),2)-Q365-'Calc base'!AA365)</f>
        <v>0</v>
      </c>
      <c r="AD365">
        <f>MAX(0,ROUND(BB364*(1+'Calc base'!P365),2)-R365-'Calc base'!AB365)</f>
        <v>0</v>
      </c>
      <c r="AE365">
        <f>MAX(0,ROUND(BC364*(1+'Calc base'!Q365),2)-S365-'Calc base'!AC365)</f>
        <v>0</v>
      </c>
      <c r="AF365">
        <f>MAX(0,ROUND(BD364*(1+'Calc base'!R365),2)-T365-'Calc base'!AD365)</f>
        <v>0</v>
      </c>
      <c r="AG365">
        <f>MAX(0,ROUND(BE364*(1+'Calc base'!S365),2)-U365-'Calc base'!AE365)</f>
        <v>0</v>
      </c>
      <c r="AH365">
        <f>IF('Calc base'!C$14=0,0,MIN(V365,MAX(0,$E365-SUMIFS($V365:$AG365,'Calc base'!$C$17:$N$17,"&lt;"&amp;'Calc base'!C$17,'Calc base'!$C$14:$N$14,1))))</f>
        <v>0</v>
      </c>
      <c r="AI365">
        <f>IF('Calc base'!D$14=0,0,MIN(W365,MAX(0,$E365-SUMIFS($V365:$AG365,'Calc base'!$C$17:$N$17,"&lt;"&amp;'Calc base'!D$17,'Calc base'!$C$14:$N$14,1))))</f>
        <v>0</v>
      </c>
      <c r="AJ365">
        <f>IF('Calc base'!E$14=0,0,MIN(X365,MAX(0,$E365-SUMIFS($V365:$AG365,'Calc base'!$C$17:$N$17,"&lt;"&amp;'Calc base'!E$17,'Calc base'!$C$14:$N$14,1))))</f>
        <v>0</v>
      </c>
      <c r="AK365">
        <f>IF('Calc base'!F$14=0,0,MIN(Y365,MAX(0,$E365-SUMIFS($V365:$AG365,'Calc base'!$C$17:$N$17,"&lt;"&amp;'Calc base'!F$17,'Calc base'!$C$14:$N$14,1))))</f>
        <v>0</v>
      </c>
      <c r="AL365">
        <f>IF('Calc base'!G$14=0,0,MIN(Z365,MAX(0,$E365-SUMIFS($V365:$AG365,'Calc base'!$C$17:$N$17,"&lt;"&amp;'Calc base'!G$17,'Calc base'!$C$14:$N$14,1))))</f>
        <v>0</v>
      </c>
      <c r="AM365">
        <f>IF('Calc base'!H$14=0,0,MIN(AA365,MAX(0,$E365-SUMIFS($V365:$AG365,'Calc base'!$C$17:$N$17,"&lt;"&amp;'Calc base'!H$17,'Calc base'!$C$14:$N$14,1))))</f>
        <v>0</v>
      </c>
      <c r="AN365">
        <f>IF('Calc base'!I$14=0,0,MIN(AB365,MAX(0,$E365-SUMIFS($V365:$AG365,'Calc base'!$C$17:$N$17,"&lt;"&amp;'Calc base'!I$17,'Calc base'!$C$14:$N$14,1))))</f>
        <v>0</v>
      </c>
      <c r="AO365">
        <f>IF('Calc base'!J$14=0,0,MIN(AC365,MAX(0,$E365-SUMIFS($V365:$AG365,'Calc base'!$C$17:$N$17,"&lt;"&amp;'Calc base'!J$17,'Calc base'!$C$14:$N$14,1))))</f>
        <v>0</v>
      </c>
      <c r="AP365">
        <f>IF('Calc base'!K$14=0,0,MIN(AD365,MAX(0,$E365-SUMIFS($V365:$AG365,'Calc base'!$C$17:$N$17,"&lt;"&amp;'Calc base'!K$17,'Calc base'!$C$14:$N$14,1))))</f>
        <v>0</v>
      </c>
      <c r="AQ365">
        <f>IF('Calc base'!L$14=0,0,MIN(AE365,MAX(0,$E365-SUMIFS($V365:$AG365,'Calc base'!$C$17:$N$17,"&lt;"&amp;'Calc base'!L$17,'Calc base'!$C$14:$N$14,1))))</f>
        <v>0</v>
      </c>
      <c r="AR365">
        <f>IF('Calc base'!M$14=0,0,MIN(AF365,MAX(0,$E365-SUMIFS($V365:$AG365,'Calc base'!$C$17:$N$17,"&lt;"&amp;'Calc base'!M$17,'Calc base'!$C$14:$N$14,1))))</f>
        <v>0</v>
      </c>
      <c r="AS365">
        <f>IF('Calc base'!N$14=0,0,MIN(AG365,MAX(0,$E365-SUMIFS($V365:$AG365,'Calc base'!$C$17:$N$17,"&lt;"&amp;'Calc base'!N$17,'Calc base'!$C$14:$N$14,1))))</f>
        <v>0</v>
      </c>
      <c r="AT365">
        <f>V365-AH365</f>
        <v>0</v>
      </c>
      <c r="AU365">
        <f>W365-AI365</f>
        <v>0</v>
      </c>
      <c r="AV365">
        <f>X365-AJ365</f>
        <v>0</v>
      </c>
      <c r="AW365">
        <f>Y365-AK365</f>
        <v>0</v>
      </c>
      <c r="AX365">
        <f>Z365-AL365</f>
        <v>0</v>
      </c>
      <c r="AY365">
        <f>AA365-AM365</f>
        <v>0</v>
      </c>
      <c r="AZ365">
        <f>AB365-AN365</f>
        <v>0</v>
      </c>
      <c r="BA365">
        <f>AC365-AO365</f>
        <v>0</v>
      </c>
      <c r="BB365">
        <f>AD365-AP365</f>
        <v>0</v>
      </c>
      <c r="BC365">
        <f>AE365-AQ365</f>
        <v>0</v>
      </c>
      <c r="BD365">
        <f>AF365-AR365</f>
        <v>0</v>
      </c>
      <c r="BE365">
        <f>AG365-AS365</f>
        <v>0</v>
      </c>
    </row>
    <row r="366">
      <c r="A366" t="n">
        <v>336</v>
      </c>
      <c r="B366">
        <f>SUMPRODUCT(ROUND($AT365:$BE365*(1+'Calc base'!$H366:$S366),2))</f>
        <v>0</v>
      </c>
      <c r="C366">
        <f>SUM(J366:U366)</f>
        <v>0</v>
      </c>
      <c r="D366">
        <f>SUM(V366:AG366)</f>
        <v>0</v>
      </c>
      <c r="E366">
        <f>MAX(0,IF(Impostazioni!$B$7="No",'Calc base'!$C366-$C$31,'Calc base'!$C366-C366)+'Calc base'!$G366+'Calc base'!$F366-(B366-C366-D366))</f>
        <v>900</v>
      </c>
      <c r="F366">
        <f>SUM(AH366:AS366)</f>
        <v>0</v>
      </c>
      <c r="G366">
        <f>SUM(AT366:BE366)</f>
        <v>0</v>
      </c>
      <c r="H366">
        <f>B366-G365</f>
        <v>0</v>
      </c>
      <c r="I366">
        <f>B366-G366</f>
        <v>0</v>
      </c>
      <c r="J366">
        <f>IF(AT365&lt;=0,0,IF(ROUND(AT365*(1+'Calc base'!H366),2)-MAX('Calc base'!C$12,ROUND('Calc base'!C$13*AT365,2))&lt;1,ROUND(AT365*(1+'Calc base'!H366),2),MAX('Calc base'!C$12,ROUND('Calc base'!C$13*AT365,2))))</f>
        <v>0</v>
      </c>
      <c r="K366">
        <f>IF(AU365&lt;=0,0,IF(ROUND(AU365*(1+'Calc base'!I366),2)-MAX('Calc base'!D$12,ROUND('Calc base'!D$13*AU365,2))&lt;1,ROUND(AU365*(1+'Calc base'!I366),2),MAX('Calc base'!D$12,ROUND('Calc base'!D$13*AU365,2))))</f>
        <v>0</v>
      </c>
      <c r="L366">
        <f>IF(AV365&lt;=0,0,IF(ROUND(AV365*(1+'Calc base'!J366),2)-MAX('Calc base'!E$12,ROUND('Calc base'!E$13*AV365,2))&lt;1,ROUND(AV365*(1+'Calc base'!J366),2),MAX('Calc base'!E$12,ROUND('Calc base'!E$13*AV365,2))))</f>
        <v>0</v>
      </c>
      <c r="M366">
        <f>IF(AW365&lt;=0,0,IF(ROUND(AW365*(1+'Calc base'!K366),2)-MAX('Calc base'!F$12,ROUND('Calc base'!F$13*AW365,2))&lt;1,ROUND(AW365*(1+'Calc base'!K366),2),MAX('Calc base'!F$12,ROUND('Calc base'!F$13*AW365,2))))</f>
        <v>0</v>
      </c>
      <c r="N366">
        <f>IF(AX365&lt;=0,0,IF(ROUND(AX365*(1+'Calc base'!L366),2)-MAX('Calc base'!G$12,ROUND('Calc base'!G$13*AX365,2))&lt;1,ROUND(AX365*(1+'Calc base'!L366),2),MAX('Calc base'!G$12,ROUND('Calc base'!G$13*AX365,2))))</f>
        <v>0</v>
      </c>
      <c r="O366">
        <f>IF(AY365&lt;=0,0,IF(ROUND(AY365*(1+'Calc base'!M366),2)-MAX('Calc base'!H$12,ROUND('Calc base'!H$13*AY365,2))&lt;1,ROUND(AY365*(1+'Calc base'!M366),2),MAX('Calc base'!H$12,ROUND('Calc base'!H$13*AY365,2))))</f>
        <v>0</v>
      </c>
      <c r="P366">
        <f>IF(AZ365&lt;=0,0,IF(ROUND(AZ365*(1+'Calc base'!N366),2)-MAX('Calc base'!I$12,ROUND('Calc base'!I$13*AZ365,2))&lt;1,ROUND(AZ365*(1+'Calc base'!N366),2),MAX('Calc base'!I$12,ROUND('Calc base'!I$13*AZ365,2))))</f>
        <v>0</v>
      </c>
      <c r="Q366">
        <f>IF(BA365&lt;=0,0,IF(ROUND(BA365*(1+'Calc base'!O366),2)-MAX('Calc base'!J$12,ROUND('Calc base'!J$13*BA365,2))&lt;1,ROUND(BA365*(1+'Calc base'!O366),2),MAX('Calc base'!J$12,ROUND('Calc base'!J$13*BA365,2))))</f>
        <v>0</v>
      </c>
      <c r="R366">
        <f>IF(BB365&lt;=0,0,IF(ROUND(BB365*(1+'Calc base'!P366),2)-MAX('Calc base'!K$12,ROUND('Calc base'!K$13*BB365,2))&lt;1,ROUND(BB365*(1+'Calc base'!P366),2),MAX('Calc base'!K$12,ROUND('Calc base'!K$13*BB365,2))))</f>
        <v>0</v>
      </c>
      <c r="S366">
        <f>IF(BC365&lt;=0,0,IF(ROUND(BC365*(1+'Calc base'!Q366),2)-MAX('Calc base'!L$12,ROUND('Calc base'!L$13*BC365,2))&lt;1,ROUND(BC365*(1+'Calc base'!Q366),2),MAX('Calc base'!L$12,ROUND('Calc base'!L$13*BC365,2))))</f>
        <v>0</v>
      </c>
      <c r="T366">
        <f>IF(BD365&lt;=0,0,IF(ROUND(BD365*(1+'Calc base'!R366),2)-MAX('Calc base'!M$12,ROUND('Calc base'!M$13*BD365,2))&lt;1,ROUND(BD365*(1+'Calc base'!R366),2),MAX('Calc base'!M$12,ROUND('Calc base'!M$13*BD365,2))))</f>
        <v>0</v>
      </c>
      <c r="U366">
        <f>IF(BE365&lt;=0,0,IF(ROUND(BE365*(1+'Calc base'!S366),2)-MAX('Calc base'!N$12,ROUND('Calc base'!N$13*BE365,2))&lt;1,ROUND(BE365*(1+'Calc base'!S366),2),MAX('Calc base'!N$12,ROUND('Calc base'!N$13*BE365,2))))</f>
        <v>0</v>
      </c>
      <c r="V366">
        <f>MAX(0,ROUND(AT365*(1+'Calc base'!H366),2)-J366-'Calc base'!T366)</f>
        <v>0</v>
      </c>
      <c r="W366">
        <f>MAX(0,ROUND(AU365*(1+'Calc base'!I366),2)-K366-'Calc base'!U366)</f>
        <v>0</v>
      </c>
      <c r="X366">
        <f>MAX(0,ROUND(AV365*(1+'Calc base'!J366),2)-L366-'Calc base'!V366)</f>
        <v>0</v>
      </c>
      <c r="Y366">
        <f>MAX(0,ROUND(AW365*(1+'Calc base'!K366),2)-M366-'Calc base'!W366)</f>
        <v>0</v>
      </c>
      <c r="Z366">
        <f>MAX(0,ROUND(AX365*(1+'Calc base'!L366),2)-N366-'Calc base'!X366)</f>
        <v>0</v>
      </c>
      <c r="AA366">
        <f>MAX(0,ROUND(AY365*(1+'Calc base'!M366),2)-O366-'Calc base'!Y366)</f>
        <v>0</v>
      </c>
      <c r="AB366">
        <f>MAX(0,ROUND(AZ365*(1+'Calc base'!N366),2)-P366-'Calc base'!Z366)</f>
        <v>0</v>
      </c>
      <c r="AC366">
        <f>MAX(0,ROUND(BA365*(1+'Calc base'!O366),2)-Q366-'Calc base'!AA366)</f>
        <v>0</v>
      </c>
      <c r="AD366">
        <f>MAX(0,ROUND(BB365*(1+'Calc base'!P366),2)-R366-'Calc base'!AB366)</f>
        <v>0</v>
      </c>
      <c r="AE366">
        <f>MAX(0,ROUND(BC365*(1+'Calc base'!Q366),2)-S366-'Calc base'!AC366)</f>
        <v>0</v>
      </c>
      <c r="AF366">
        <f>MAX(0,ROUND(BD365*(1+'Calc base'!R366),2)-T366-'Calc base'!AD366)</f>
        <v>0</v>
      </c>
      <c r="AG366">
        <f>MAX(0,ROUND(BE365*(1+'Calc base'!S366),2)-U366-'Calc base'!AE366)</f>
        <v>0</v>
      </c>
      <c r="AH366">
        <f>IF('Calc base'!C$14=0,0,MIN(V366,MAX(0,$E366-SUMIFS($V366:$AG366,'Calc base'!$C$17:$N$17,"&lt;"&amp;'Calc base'!C$17,'Calc base'!$C$14:$N$14,1))))</f>
        <v>0</v>
      </c>
      <c r="AI366">
        <f>IF('Calc base'!D$14=0,0,MIN(W366,MAX(0,$E366-SUMIFS($V366:$AG366,'Calc base'!$C$17:$N$17,"&lt;"&amp;'Calc base'!D$17,'Calc base'!$C$14:$N$14,1))))</f>
        <v>0</v>
      </c>
      <c r="AJ366">
        <f>IF('Calc base'!E$14=0,0,MIN(X366,MAX(0,$E366-SUMIFS($V366:$AG366,'Calc base'!$C$17:$N$17,"&lt;"&amp;'Calc base'!E$17,'Calc base'!$C$14:$N$14,1))))</f>
        <v>0</v>
      </c>
      <c r="AK366">
        <f>IF('Calc base'!F$14=0,0,MIN(Y366,MAX(0,$E366-SUMIFS($V366:$AG366,'Calc base'!$C$17:$N$17,"&lt;"&amp;'Calc base'!F$17,'Calc base'!$C$14:$N$14,1))))</f>
        <v>0</v>
      </c>
      <c r="AL366">
        <f>IF('Calc base'!G$14=0,0,MIN(Z366,MAX(0,$E366-SUMIFS($V366:$AG366,'Calc base'!$C$17:$N$17,"&lt;"&amp;'Calc base'!G$17,'Calc base'!$C$14:$N$14,1))))</f>
        <v>0</v>
      </c>
      <c r="AM366">
        <f>IF('Calc base'!H$14=0,0,MIN(AA366,MAX(0,$E366-SUMIFS($V366:$AG366,'Calc base'!$C$17:$N$17,"&lt;"&amp;'Calc base'!H$17,'Calc base'!$C$14:$N$14,1))))</f>
        <v>0</v>
      </c>
      <c r="AN366">
        <f>IF('Calc base'!I$14=0,0,MIN(AB366,MAX(0,$E366-SUMIFS($V366:$AG366,'Calc base'!$C$17:$N$17,"&lt;"&amp;'Calc base'!I$17,'Calc base'!$C$14:$N$14,1))))</f>
        <v>0</v>
      </c>
      <c r="AO366">
        <f>IF('Calc base'!J$14=0,0,MIN(AC366,MAX(0,$E366-SUMIFS($V366:$AG366,'Calc base'!$C$17:$N$17,"&lt;"&amp;'Calc base'!J$17,'Calc base'!$C$14:$N$14,1))))</f>
        <v>0</v>
      </c>
      <c r="AP366">
        <f>IF('Calc base'!K$14=0,0,MIN(AD366,MAX(0,$E366-SUMIFS($V366:$AG366,'Calc base'!$C$17:$N$17,"&lt;"&amp;'Calc base'!K$17,'Calc base'!$C$14:$N$14,1))))</f>
        <v>0</v>
      </c>
      <c r="AQ366">
        <f>IF('Calc base'!L$14=0,0,MIN(AE366,MAX(0,$E366-SUMIFS($V366:$AG366,'Calc base'!$C$17:$N$17,"&lt;"&amp;'Calc base'!L$17,'Calc base'!$C$14:$N$14,1))))</f>
        <v>0</v>
      </c>
      <c r="AR366">
        <f>IF('Calc base'!M$14=0,0,MIN(AF366,MAX(0,$E366-SUMIFS($V366:$AG366,'Calc base'!$C$17:$N$17,"&lt;"&amp;'Calc base'!M$17,'Calc base'!$C$14:$N$14,1))))</f>
        <v>0</v>
      </c>
      <c r="AS366">
        <f>IF('Calc base'!N$14=0,0,MIN(AG366,MAX(0,$E366-SUMIFS($V366:$AG366,'Calc base'!$C$17:$N$17,"&lt;"&amp;'Calc base'!N$17,'Calc base'!$C$14:$N$14,1))))</f>
        <v>0</v>
      </c>
      <c r="AT366">
        <f>V366-AH366</f>
        <v>0</v>
      </c>
      <c r="AU366">
        <f>W366-AI366</f>
        <v>0</v>
      </c>
      <c r="AV366">
        <f>X366-AJ366</f>
        <v>0</v>
      </c>
      <c r="AW366">
        <f>Y366-AK366</f>
        <v>0</v>
      </c>
      <c r="AX366">
        <f>Z366-AL366</f>
        <v>0</v>
      </c>
      <c r="AY366">
        <f>AA366-AM366</f>
        <v>0</v>
      </c>
      <c r="AZ366">
        <f>AB366-AN366</f>
        <v>0</v>
      </c>
      <c r="BA366">
        <f>AC366-AO366</f>
        <v>0</v>
      </c>
      <c r="BB366">
        <f>AD366-AP366</f>
        <v>0</v>
      </c>
      <c r="BC366">
        <f>AE366-AQ366</f>
        <v>0</v>
      </c>
      <c r="BD366">
        <f>AF366-AR366</f>
        <v>0</v>
      </c>
      <c r="BE366">
        <f>AG366-AS366</f>
        <v>0</v>
      </c>
    </row>
    <row r="367">
      <c r="A367" t="n">
        <v>337</v>
      </c>
      <c r="B367">
        <f>SUMPRODUCT(ROUND($AT366:$BE366*(1+'Calc base'!$H367:$S367),2))</f>
        <v>0</v>
      </c>
      <c r="C367">
        <f>SUM(J367:U367)</f>
        <v>0</v>
      </c>
      <c r="D367">
        <f>SUM(V367:AG367)</f>
        <v>0</v>
      </c>
      <c r="E367">
        <f>MAX(0,IF(Impostazioni!$B$7="No",'Calc base'!$C367-$C$31,'Calc base'!$C367-C367)+'Calc base'!$G367+'Calc base'!$F367-(B367-C367-D367))</f>
        <v>900</v>
      </c>
      <c r="F367">
        <f>SUM(AH367:AS367)</f>
        <v>0</v>
      </c>
      <c r="G367">
        <f>SUM(AT367:BE367)</f>
        <v>0</v>
      </c>
      <c r="H367">
        <f>B367-G366</f>
        <v>0</v>
      </c>
      <c r="I367">
        <f>B367-G367</f>
        <v>0</v>
      </c>
      <c r="J367">
        <f>IF(AT366&lt;=0,0,IF(ROUND(AT366*(1+'Calc base'!H367),2)-MAX('Calc base'!C$12,ROUND('Calc base'!C$13*AT366,2))&lt;1,ROUND(AT366*(1+'Calc base'!H367),2),MAX('Calc base'!C$12,ROUND('Calc base'!C$13*AT366,2))))</f>
        <v>0</v>
      </c>
      <c r="K367">
        <f>IF(AU366&lt;=0,0,IF(ROUND(AU366*(1+'Calc base'!I367),2)-MAX('Calc base'!D$12,ROUND('Calc base'!D$13*AU366,2))&lt;1,ROUND(AU366*(1+'Calc base'!I367),2),MAX('Calc base'!D$12,ROUND('Calc base'!D$13*AU366,2))))</f>
        <v>0</v>
      </c>
      <c r="L367">
        <f>IF(AV366&lt;=0,0,IF(ROUND(AV366*(1+'Calc base'!J367),2)-MAX('Calc base'!E$12,ROUND('Calc base'!E$13*AV366,2))&lt;1,ROUND(AV366*(1+'Calc base'!J367),2),MAX('Calc base'!E$12,ROUND('Calc base'!E$13*AV366,2))))</f>
        <v>0</v>
      </c>
      <c r="M367">
        <f>IF(AW366&lt;=0,0,IF(ROUND(AW366*(1+'Calc base'!K367),2)-MAX('Calc base'!F$12,ROUND('Calc base'!F$13*AW366,2))&lt;1,ROUND(AW366*(1+'Calc base'!K367),2),MAX('Calc base'!F$12,ROUND('Calc base'!F$13*AW366,2))))</f>
        <v>0</v>
      </c>
      <c r="N367">
        <f>IF(AX366&lt;=0,0,IF(ROUND(AX366*(1+'Calc base'!L367),2)-MAX('Calc base'!G$12,ROUND('Calc base'!G$13*AX366,2))&lt;1,ROUND(AX366*(1+'Calc base'!L367),2),MAX('Calc base'!G$12,ROUND('Calc base'!G$13*AX366,2))))</f>
        <v>0</v>
      </c>
      <c r="O367">
        <f>IF(AY366&lt;=0,0,IF(ROUND(AY366*(1+'Calc base'!M367),2)-MAX('Calc base'!H$12,ROUND('Calc base'!H$13*AY366,2))&lt;1,ROUND(AY366*(1+'Calc base'!M367),2),MAX('Calc base'!H$12,ROUND('Calc base'!H$13*AY366,2))))</f>
        <v>0</v>
      </c>
      <c r="P367">
        <f>IF(AZ366&lt;=0,0,IF(ROUND(AZ366*(1+'Calc base'!N367),2)-MAX('Calc base'!I$12,ROUND('Calc base'!I$13*AZ366,2))&lt;1,ROUND(AZ366*(1+'Calc base'!N367),2),MAX('Calc base'!I$12,ROUND('Calc base'!I$13*AZ366,2))))</f>
        <v>0</v>
      </c>
      <c r="Q367">
        <f>IF(BA366&lt;=0,0,IF(ROUND(BA366*(1+'Calc base'!O367),2)-MAX('Calc base'!J$12,ROUND('Calc base'!J$13*BA366,2))&lt;1,ROUND(BA366*(1+'Calc base'!O367),2),MAX('Calc base'!J$12,ROUND('Calc base'!J$13*BA366,2))))</f>
        <v>0</v>
      </c>
      <c r="R367">
        <f>IF(BB366&lt;=0,0,IF(ROUND(BB366*(1+'Calc base'!P367),2)-MAX('Calc base'!K$12,ROUND('Calc base'!K$13*BB366,2))&lt;1,ROUND(BB366*(1+'Calc base'!P367),2),MAX('Calc base'!K$12,ROUND('Calc base'!K$13*BB366,2))))</f>
        <v>0</v>
      </c>
      <c r="S367">
        <f>IF(BC366&lt;=0,0,IF(ROUND(BC366*(1+'Calc base'!Q367),2)-MAX('Calc base'!L$12,ROUND('Calc base'!L$13*BC366,2))&lt;1,ROUND(BC366*(1+'Calc base'!Q367),2),MAX('Calc base'!L$12,ROUND('Calc base'!L$13*BC366,2))))</f>
        <v>0</v>
      </c>
      <c r="T367">
        <f>IF(BD366&lt;=0,0,IF(ROUND(BD366*(1+'Calc base'!R367),2)-MAX('Calc base'!M$12,ROUND('Calc base'!M$13*BD366,2))&lt;1,ROUND(BD366*(1+'Calc base'!R367),2),MAX('Calc base'!M$12,ROUND('Calc base'!M$13*BD366,2))))</f>
        <v>0</v>
      </c>
      <c r="U367">
        <f>IF(BE366&lt;=0,0,IF(ROUND(BE366*(1+'Calc base'!S367),2)-MAX('Calc base'!N$12,ROUND('Calc base'!N$13*BE366,2))&lt;1,ROUND(BE366*(1+'Calc base'!S367),2),MAX('Calc base'!N$12,ROUND('Calc base'!N$13*BE366,2))))</f>
        <v>0</v>
      </c>
      <c r="V367">
        <f>MAX(0,ROUND(AT366*(1+'Calc base'!H367),2)-J367-'Calc base'!T367)</f>
        <v>0</v>
      </c>
      <c r="W367">
        <f>MAX(0,ROUND(AU366*(1+'Calc base'!I367),2)-K367-'Calc base'!U367)</f>
        <v>0</v>
      </c>
      <c r="X367">
        <f>MAX(0,ROUND(AV366*(1+'Calc base'!J367),2)-L367-'Calc base'!V367)</f>
        <v>0</v>
      </c>
      <c r="Y367">
        <f>MAX(0,ROUND(AW366*(1+'Calc base'!K367),2)-M367-'Calc base'!W367)</f>
        <v>0</v>
      </c>
      <c r="Z367">
        <f>MAX(0,ROUND(AX366*(1+'Calc base'!L367),2)-N367-'Calc base'!X367)</f>
        <v>0</v>
      </c>
      <c r="AA367">
        <f>MAX(0,ROUND(AY366*(1+'Calc base'!M367),2)-O367-'Calc base'!Y367)</f>
        <v>0</v>
      </c>
      <c r="AB367">
        <f>MAX(0,ROUND(AZ366*(1+'Calc base'!N367),2)-P367-'Calc base'!Z367)</f>
        <v>0</v>
      </c>
      <c r="AC367">
        <f>MAX(0,ROUND(BA366*(1+'Calc base'!O367),2)-Q367-'Calc base'!AA367)</f>
        <v>0</v>
      </c>
      <c r="AD367">
        <f>MAX(0,ROUND(BB366*(1+'Calc base'!P367),2)-R367-'Calc base'!AB367)</f>
        <v>0</v>
      </c>
      <c r="AE367">
        <f>MAX(0,ROUND(BC366*(1+'Calc base'!Q367),2)-S367-'Calc base'!AC367)</f>
        <v>0</v>
      </c>
      <c r="AF367">
        <f>MAX(0,ROUND(BD366*(1+'Calc base'!R367),2)-T367-'Calc base'!AD367)</f>
        <v>0</v>
      </c>
      <c r="AG367">
        <f>MAX(0,ROUND(BE366*(1+'Calc base'!S367),2)-U367-'Calc base'!AE367)</f>
        <v>0</v>
      </c>
      <c r="AH367">
        <f>IF('Calc base'!C$14=0,0,MIN(V367,MAX(0,$E367-SUMIFS($V367:$AG367,'Calc base'!$C$17:$N$17,"&lt;"&amp;'Calc base'!C$17,'Calc base'!$C$14:$N$14,1))))</f>
        <v>0</v>
      </c>
      <c r="AI367">
        <f>IF('Calc base'!D$14=0,0,MIN(W367,MAX(0,$E367-SUMIFS($V367:$AG367,'Calc base'!$C$17:$N$17,"&lt;"&amp;'Calc base'!D$17,'Calc base'!$C$14:$N$14,1))))</f>
        <v>0</v>
      </c>
      <c r="AJ367">
        <f>IF('Calc base'!E$14=0,0,MIN(X367,MAX(0,$E367-SUMIFS($V367:$AG367,'Calc base'!$C$17:$N$17,"&lt;"&amp;'Calc base'!E$17,'Calc base'!$C$14:$N$14,1))))</f>
        <v>0</v>
      </c>
      <c r="AK367">
        <f>IF('Calc base'!F$14=0,0,MIN(Y367,MAX(0,$E367-SUMIFS($V367:$AG367,'Calc base'!$C$17:$N$17,"&lt;"&amp;'Calc base'!F$17,'Calc base'!$C$14:$N$14,1))))</f>
        <v>0</v>
      </c>
      <c r="AL367">
        <f>IF('Calc base'!G$14=0,0,MIN(Z367,MAX(0,$E367-SUMIFS($V367:$AG367,'Calc base'!$C$17:$N$17,"&lt;"&amp;'Calc base'!G$17,'Calc base'!$C$14:$N$14,1))))</f>
        <v>0</v>
      </c>
      <c r="AM367">
        <f>IF('Calc base'!H$14=0,0,MIN(AA367,MAX(0,$E367-SUMIFS($V367:$AG367,'Calc base'!$C$17:$N$17,"&lt;"&amp;'Calc base'!H$17,'Calc base'!$C$14:$N$14,1))))</f>
        <v>0</v>
      </c>
      <c r="AN367">
        <f>IF('Calc base'!I$14=0,0,MIN(AB367,MAX(0,$E367-SUMIFS($V367:$AG367,'Calc base'!$C$17:$N$17,"&lt;"&amp;'Calc base'!I$17,'Calc base'!$C$14:$N$14,1))))</f>
        <v>0</v>
      </c>
      <c r="AO367">
        <f>IF('Calc base'!J$14=0,0,MIN(AC367,MAX(0,$E367-SUMIFS($V367:$AG367,'Calc base'!$C$17:$N$17,"&lt;"&amp;'Calc base'!J$17,'Calc base'!$C$14:$N$14,1))))</f>
        <v>0</v>
      </c>
      <c r="AP367">
        <f>IF('Calc base'!K$14=0,0,MIN(AD367,MAX(0,$E367-SUMIFS($V367:$AG367,'Calc base'!$C$17:$N$17,"&lt;"&amp;'Calc base'!K$17,'Calc base'!$C$14:$N$14,1))))</f>
        <v>0</v>
      </c>
      <c r="AQ367">
        <f>IF('Calc base'!L$14=0,0,MIN(AE367,MAX(0,$E367-SUMIFS($V367:$AG367,'Calc base'!$C$17:$N$17,"&lt;"&amp;'Calc base'!L$17,'Calc base'!$C$14:$N$14,1))))</f>
        <v>0</v>
      </c>
      <c r="AR367">
        <f>IF('Calc base'!M$14=0,0,MIN(AF367,MAX(0,$E367-SUMIFS($V367:$AG367,'Calc base'!$C$17:$N$17,"&lt;"&amp;'Calc base'!M$17,'Calc base'!$C$14:$N$14,1))))</f>
        <v>0</v>
      </c>
      <c r="AS367">
        <f>IF('Calc base'!N$14=0,0,MIN(AG367,MAX(0,$E367-SUMIFS($V367:$AG367,'Calc base'!$C$17:$N$17,"&lt;"&amp;'Calc base'!N$17,'Calc base'!$C$14:$N$14,1))))</f>
        <v>0</v>
      </c>
      <c r="AT367">
        <f>V367-AH367</f>
        <v>0</v>
      </c>
      <c r="AU367">
        <f>W367-AI367</f>
        <v>0</v>
      </c>
      <c r="AV367">
        <f>X367-AJ367</f>
        <v>0</v>
      </c>
      <c r="AW367">
        <f>Y367-AK367</f>
        <v>0</v>
      </c>
      <c r="AX367">
        <f>Z367-AL367</f>
        <v>0</v>
      </c>
      <c r="AY367">
        <f>AA367-AM367</f>
        <v>0</v>
      </c>
      <c r="AZ367">
        <f>AB367-AN367</f>
        <v>0</v>
      </c>
      <c r="BA367">
        <f>AC367-AO367</f>
        <v>0</v>
      </c>
      <c r="BB367">
        <f>AD367-AP367</f>
        <v>0</v>
      </c>
      <c r="BC367">
        <f>AE367-AQ367</f>
        <v>0</v>
      </c>
      <c r="BD367">
        <f>AF367-AR367</f>
        <v>0</v>
      </c>
      <c r="BE367">
        <f>AG367-AS367</f>
        <v>0</v>
      </c>
    </row>
    <row r="368">
      <c r="A368" t="n">
        <v>338</v>
      </c>
      <c r="B368">
        <f>SUMPRODUCT(ROUND($AT367:$BE367*(1+'Calc base'!$H368:$S368),2))</f>
        <v>0</v>
      </c>
      <c r="C368">
        <f>SUM(J368:U368)</f>
        <v>0</v>
      </c>
      <c r="D368">
        <f>SUM(V368:AG368)</f>
        <v>0</v>
      </c>
      <c r="E368">
        <f>MAX(0,IF(Impostazioni!$B$7="No",'Calc base'!$C368-$C$31,'Calc base'!$C368-C368)+'Calc base'!$G368+'Calc base'!$F368-(B368-C368-D368))</f>
        <v>900</v>
      </c>
      <c r="F368">
        <f>SUM(AH368:AS368)</f>
        <v>0</v>
      </c>
      <c r="G368">
        <f>SUM(AT368:BE368)</f>
        <v>0</v>
      </c>
      <c r="H368">
        <f>B368-G367</f>
        <v>0</v>
      </c>
      <c r="I368">
        <f>B368-G368</f>
        <v>0</v>
      </c>
      <c r="J368">
        <f>IF(AT367&lt;=0,0,IF(ROUND(AT367*(1+'Calc base'!H368),2)-MAX('Calc base'!C$12,ROUND('Calc base'!C$13*AT367,2))&lt;1,ROUND(AT367*(1+'Calc base'!H368),2),MAX('Calc base'!C$12,ROUND('Calc base'!C$13*AT367,2))))</f>
        <v>0</v>
      </c>
      <c r="K368">
        <f>IF(AU367&lt;=0,0,IF(ROUND(AU367*(1+'Calc base'!I368),2)-MAX('Calc base'!D$12,ROUND('Calc base'!D$13*AU367,2))&lt;1,ROUND(AU367*(1+'Calc base'!I368),2),MAX('Calc base'!D$12,ROUND('Calc base'!D$13*AU367,2))))</f>
        <v>0</v>
      </c>
      <c r="L368">
        <f>IF(AV367&lt;=0,0,IF(ROUND(AV367*(1+'Calc base'!J368),2)-MAX('Calc base'!E$12,ROUND('Calc base'!E$13*AV367,2))&lt;1,ROUND(AV367*(1+'Calc base'!J368),2),MAX('Calc base'!E$12,ROUND('Calc base'!E$13*AV367,2))))</f>
        <v>0</v>
      </c>
      <c r="M368">
        <f>IF(AW367&lt;=0,0,IF(ROUND(AW367*(1+'Calc base'!K368),2)-MAX('Calc base'!F$12,ROUND('Calc base'!F$13*AW367,2))&lt;1,ROUND(AW367*(1+'Calc base'!K368),2),MAX('Calc base'!F$12,ROUND('Calc base'!F$13*AW367,2))))</f>
        <v>0</v>
      </c>
      <c r="N368">
        <f>IF(AX367&lt;=0,0,IF(ROUND(AX367*(1+'Calc base'!L368),2)-MAX('Calc base'!G$12,ROUND('Calc base'!G$13*AX367,2))&lt;1,ROUND(AX367*(1+'Calc base'!L368),2),MAX('Calc base'!G$12,ROUND('Calc base'!G$13*AX367,2))))</f>
        <v>0</v>
      </c>
      <c r="O368">
        <f>IF(AY367&lt;=0,0,IF(ROUND(AY367*(1+'Calc base'!M368),2)-MAX('Calc base'!H$12,ROUND('Calc base'!H$13*AY367,2))&lt;1,ROUND(AY367*(1+'Calc base'!M368),2),MAX('Calc base'!H$12,ROUND('Calc base'!H$13*AY367,2))))</f>
        <v>0</v>
      </c>
      <c r="P368">
        <f>IF(AZ367&lt;=0,0,IF(ROUND(AZ367*(1+'Calc base'!N368),2)-MAX('Calc base'!I$12,ROUND('Calc base'!I$13*AZ367,2))&lt;1,ROUND(AZ367*(1+'Calc base'!N368),2),MAX('Calc base'!I$12,ROUND('Calc base'!I$13*AZ367,2))))</f>
        <v>0</v>
      </c>
      <c r="Q368">
        <f>IF(BA367&lt;=0,0,IF(ROUND(BA367*(1+'Calc base'!O368),2)-MAX('Calc base'!J$12,ROUND('Calc base'!J$13*BA367,2))&lt;1,ROUND(BA367*(1+'Calc base'!O368),2),MAX('Calc base'!J$12,ROUND('Calc base'!J$13*BA367,2))))</f>
        <v>0</v>
      </c>
      <c r="R368">
        <f>IF(BB367&lt;=0,0,IF(ROUND(BB367*(1+'Calc base'!P368),2)-MAX('Calc base'!K$12,ROUND('Calc base'!K$13*BB367,2))&lt;1,ROUND(BB367*(1+'Calc base'!P368),2),MAX('Calc base'!K$12,ROUND('Calc base'!K$13*BB367,2))))</f>
        <v>0</v>
      </c>
      <c r="S368">
        <f>IF(BC367&lt;=0,0,IF(ROUND(BC367*(1+'Calc base'!Q368),2)-MAX('Calc base'!L$12,ROUND('Calc base'!L$13*BC367,2))&lt;1,ROUND(BC367*(1+'Calc base'!Q368),2),MAX('Calc base'!L$12,ROUND('Calc base'!L$13*BC367,2))))</f>
        <v>0</v>
      </c>
      <c r="T368">
        <f>IF(BD367&lt;=0,0,IF(ROUND(BD367*(1+'Calc base'!R368),2)-MAX('Calc base'!M$12,ROUND('Calc base'!M$13*BD367,2))&lt;1,ROUND(BD367*(1+'Calc base'!R368),2),MAX('Calc base'!M$12,ROUND('Calc base'!M$13*BD367,2))))</f>
        <v>0</v>
      </c>
      <c r="U368">
        <f>IF(BE367&lt;=0,0,IF(ROUND(BE367*(1+'Calc base'!S368),2)-MAX('Calc base'!N$12,ROUND('Calc base'!N$13*BE367,2))&lt;1,ROUND(BE367*(1+'Calc base'!S368),2),MAX('Calc base'!N$12,ROUND('Calc base'!N$13*BE367,2))))</f>
        <v>0</v>
      </c>
      <c r="V368">
        <f>MAX(0,ROUND(AT367*(1+'Calc base'!H368),2)-J368-'Calc base'!T368)</f>
        <v>0</v>
      </c>
      <c r="W368">
        <f>MAX(0,ROUND(AU367*(1+'Calc base'!I368),2)-K368-'Calc base'!U368)</f>
        <v>0</v>
      </c>
      <c r="X368">
        <f>MAX(0,ROUND(AV367*(1+'Calc base'!J368),2)-L368-'Calc base'!V368)</f>
        <v>0</v>
      </c>
      <c r="Y368">
        <f>MAX(0,ROUND(AW367*(1+'Calc base'!K368),2)-M368-'Calc base'!W368)</f>
        <v>0</v>
      </c>
      <c r="Z368">
        <f>MAX(0,ROUND(AX367*(1+'Calc base'!L368),2)-N368-'Calc base'!X368)</f>
        <v>0</v>
      </c>
      <c r="AA368">
        <f>MAX(0,ROUND(AY367*(1+'Calc base'!M368),2)-O368-'Calc base'!Y368)</f>
        <v>0</v>
      </c>
      <c r="AB368">
        <f>MAX(0,ROUND(AZ367*(1+'Calc base'!N368),2)-P368-'Calc base'!Z368)</f>
        <v>0</v>
      </c>
      <c r="AC368">
        <f>MAX(0,ROUND(BA367*(1+'Calc base'!O368),2)-Q368-'Calc base'!AA368)</f>
        <v>0</v>
      </c>
      <c r="AD368">
        <f>MAX(0,ROUND(BB367*(1+'Calc base'!P368),2)-R368-'Calc base'!AB368)</f>
        <v>0</v>
      </c>
      <c r="AE368">
        <f>MAX(0,ROUND(BC367*(1+'Calc base'!Q368),2)-S368-'Calc base'!AC368)</f>
        <v>0</v>
      </c>
      <c r="AF368">
        <f>MAX(0,ROUND(BD367*(1+'Calc base'!R368),2)-T368-'Calc base'!AD368)</f>
        <v>0</v>
      </c>
      <c r="AG368">
        <f>MAX(0,ROUND(BE367*(1+'Calc base'!S368),2)-U368-'Calc base'!AE368)</f>
        <v>0</v>
      </c>
      <c r="AH368">
        <f>IF('Calc base'!C$14=0,0,MIN(V368,MAX(0,$E368-SUMIFS($V368:$AG368,'Calc base'!$C$17:$N$17,"&lt;"&amp;'Calc base'!C$17,'Calc base'!$C$14:$N$14,1))))</f>
        <v>0</v>
      </c>
      <c r="AI368">
        <f>IF('Calc base'!D$14=0,0,MIN(W368,MAX(0,$E368-SUMIFS($V368:$AG368,'Calc base'!$C$17:$N$17,"&lt;"&amp;'Calc base'!D$17,'Calc base'!$C$14:$N$14,1))))</f>
        <v>0</v>
      </c>
      <c r="AJ368">
        <f>IF('Calc base'!E$14=0,0,MIN(X368,MAX(0,$E368-SUMIFS($V368:$AG368,'Calc base'!$C$17:$N$17,"&lt;"&amp;'Calc base'!E$17,'Calc base'!$C$14:$N$14,1))))</f>
        <v>0</v>
      </c>
      <c r="AK368">
        <f>IF('Calc base'!F$14=0,0,MIN(Y368,MAX(0,$E368-SUMIFS($V368:$AG368,'Calc base'!$C$17:$N$17,"&lt;"&amp;'Calc base'!F$17,'Calc base'!$C$14:$N$14,1))))</f>
        <v>0</v>
      </c>
      <c r="AL368">
        <f>IF('Calc base'!G$14=0,0,MIN(Z368,MAX(0,$E368-SUMIFS($V368:$AG368,'Calc base'!$C$17:$N$17,"&lt;"&amp;'Calc base'!G$17,'Calc base'!$C$14:$N$14,1))))</f>
        <v>0</v>
      </c>
      <c r="AM368">
        <f>IF('Calc base'!H$14=0,0,MIN(AA368,MAX(0,$E368-SUMIFS($V368:$AG368,'Calc base'!$C$17:$N$17,"&lt;"&amp;'Calc base'!H$17,'Calc base'!$C$14:$N$14,1))))</f>
        <v>0</v>
      </c>
      <c r="AN368">
        <f>IF('Calc base'!I$14=0,0,MIN(AB368,MAX(0,$E368-SUMIFS($V368:$AG368,'Calc base'!$C$17:$N$17,"&lt;"&amp;'Calc base'!I$17,'Calc base'!$C$14:$N$14,1))))</f>
        <v>0</v>
      </c>
      <c r="AO368">
        <f>IF('Calc base'!J$14=0,0,MIN(AC368,MAX(0,$E368-SUMIFS($V368:$AG368,'Calc base'!$C$17:$N$17,"&lt;"&amp;'Calc base'!J$17,'Calc base'!$C$14:$N$14,1))))</f>
        <v>0</v>
      </c>
      <c r="AP368">
        <f>IF('Calc base'!K$14=0,0,MIN(AD368,MAX(0,$E368-SUMIFS($V368:$AG368,'Calc base'!$C$17:$N$17,"&lt;"&amp;'Calc base'!K$17,'Calc base'!$C$14:$N$14,1))))</f>
        <v>0</v>
      </c>
      <c r="AQ368">
        <f>IF('Calc base'!L$14=0,0,MIN(AE368,MAX(0,$E368-SUMIFS($V368:$AG368,'Calc base'!$C$17:$N$17,"&lt;"&amp;'Calc base'!L$17,'Calc base'!$C$14:$N$14,1))))</f>
        <v>0</v>
      </c>
      <c r="AR368">
        <f>IF('Calc base'!M$14=0,0,MIN(AF368,MAX(0,$E368-SUMIFS($V368:$AG368,'Calc base'!$C$17:$N$17,"&lt;"&amp;'Calc base'!M$17,'Calc base'!$C$14:$N$14,1))))</f>
        <v>0</v>
      </c>
      <c r="AS368">
        <f>IF('Calc base'!N$14=0,0,MIN(AG368,MAX(0,$E368-SUMIFS($V368:$AG368,'Calc base'!$C$17:$N$17,"&lt;"&amp;'Calc base'!N$17,'Calc base'!$C$14:$N$14,1))))</f>
        <v>0</v>
      </c>
      <c r="AT368">
        <f>V368-AH368</f>
        <v>0</v>
      </c>
      <c r="AU368">
        <f>W368-AI368</f>
        <v>0</v>
      </c>
      <c r="AV368">
        <f>X368-AJ368</f>
        <v>0</v>
      </c>
      <c r="AW368">
        <f>Y368-AK368</f>
        <v>0</v>
      </c>
      <c r="AX368">
        <f>Z368-AL368</f>
        <v>0</v>
      </c>
      <c r="AY368">
        <f>AA368-AM368</f>
        <v>0</v>
      </c>
      <c r="AZ368">
        <f>AB368-AN368</f>
        <v>0</v>
      </c>
      <c r="BA368">
        <f>AC368-AO368</f>
        <v>0</v>
      </c>
      <c r="BB368">
        <f>AD368-AP368</f>
        <v>0</v>
      </c>
      <c r="BC368">
        <f>AE368-AQ368</f>
        <v>0</v>
      </c>
      <c r="BD368">
        <f>AF368-AR368</f>
        <v>0</v>
      </c>
      <c r="BE368">
        <f>AG368-AS368</f>
        <v>0</v>
      </c>
    </row>
    <row r="369">
      <c r="A369" t="n">
        <v>339</v>
      </c>
      <c r="B369">
        <f>SUMPRODUCT(ROUND($AT368:$BE368*(1+'Calc base'!$H369:$S369),2))</f>
        <v>0</v>
      </c>
      <c r="C369">
        <f>SUM(J369:U369)</f>
        <v>0</v>
      </c>
      <c r="D369">
        <f>SUM(V369:AG369)</f>
        <v>0</v>
      </c>
      <c r="E369">
        <f>MAX(0,IF(Impostazioni!$B$7="No",'Calc base'!$C369-$C$31,'Calc base'!$C369-C369)+'Calc base'!$G369+'Calc base'!$F369-(B369-C369-D369))</f>
        <v>900</v>
      </c>
      <c r="F369">
        <f>SUM(AH369:AS369)</f>
        <v>0</v>
      </c>
      <c r="G369">
        <f>SUM(AT369:BE369)</f>
        <v>0</v>
      </c>
      <c r="H369">
        <f>B369-G368</f>
        <v>0</v>
      </c>
      <c r="I369">
        <f>B369-G369</f>
        <v>0</v>
      </c>
      <c r="J369">
        <f>IF(AT368&lt;=0,0,IF(ROUND(AT368*(1+'Calc base'!H369),2)-MAX('Calc base'!C$12,ROUND('Calc base'!C$13*AT368,2))&lt;1,ROUND(AT368*(1+'Calc base'!H369),2),MAX('Calc base'!C$12,ROUND('Calc base'!C$13*AT368,2))))</f>
        <v>0</v>
      </c>
      <c r="K369">
        <f>IF(AU368&lt;=0,0,IF(ROUND(AU368*(1+'Calc base'!I369),2)-MAX('Calc base'!D$12,ROUND('Calc base'!D$13*AU368,2))&lt;1,ROUND(AU368*(1+'Calc base'!I369),2),MAX('Calc base'!D$12,ROUND('Calc base'!D$13*AU368,2))))</f>
        <v>0</v>
      </c>
      <c r="L369">
        <f>IF(AV368&lt;=0,0,IF(ROUND(AV368*(1+'Calc base'!J369),2)-MAX('Calc base'!E$12,ROUND('Calc base'!E$13*AV368,2))&lt;1,ROUND(AV368*(1+'Calc base'!J369),2),MAX('Calc base'!E$12,ROUND('Calc base'!E$13*AV368,2))))</f>
        <v>0</v>
      </c>
      <c r="M369">
        <f>IF(AW368&lt;=0,0,IF(ROUND(AW368*(1+'Calc base'!K369),2)-MAX('Calc base'!F$12,ROUND('Calc base'!F$13*AW368,2))&lt;1,ROUND(AW368*(1+'Calc base'!K369),2),MAX('Calc base'!F$12,ROUND('Calc base'!F$13*AW368,2))))</f>
        <v>0</v>
      </c>
      <c r="N369">
        <f>IF(AX368&lt;=0,0,IF(ROUND(AX368*(1+'Calc base'!L369),2)-MAX('Calc base'!G$12,ROUND('Calc base'!G$13*AX368,2))&lt;1,ROUND(AX368*(1+'Calc base'!L369),2),MAX('Calc base'!G$12,ROUND('Calc base'!G$13*AX368,2))))</f>
        <v>0</v>
      </c>
      <c r="O369">
        <f>IF(AY368&lt;=0,0,IF(ROUND(AY368*(1+'Calc base'!M369),2)-MAX('Calc base'!H$12,ROUND('Calc base'!H$13*AY368,2))&lt;1,ROUND(AY368*(1+'Calc base'!M369),2),MAX('Calc base'!H$12,ROUND('Calc base'!H$13*AY368,2))))</f>
        <v>0</v>
      </c>
      <c r="P369">
        <f>IF(AZ368&lt;=0,0,IF(ROUND(AZ368*(1+'Calc base'!N369),2)-MAX('Calc base'!I$12,ROUND('Calc base'!I$13*AZ368,2))&lt;1,ROUND(AZ368*(1+'Calc base'!N369),2),MAX('Calc base'!I$12,ROUND('Calc base'!I$13*AZ368,2))))</f>
        <v>0</v>
      </c>
      <c r="Q369">
        <f>IF(BA368&lt;=0,0,IF(ROUND(BA368*(1+'Calc base'!O369),2)-MAX('Calc base'!J$12,ROUND('Calc base'!J$13*BA368,2))&lt;1,ROUND(BA368*(1+'Calc base'!O369),2),MAX('Calc base'!J$12,ROUND('Calc base'!J$13*BA368,2))))</f>
        <v>0</v>
      </c>
      <c r="R369">
        <f>IF(BB368&lt;=0,0,IF(ROUND(BB368*(1+'Calc base'!P369),2)-MAX('Calc base'!K$12,ROUND('Calc base'!K$13*BB368,2))&lt;1,ROUND(BB368*(1+'Calc base'!P369),2),MAX('Calc base'!K$12,ROUND('Calc base'!K$13*BB368,2))))</f>
        <v>0</v>
      </c>
      <c r="S369">
        <f>IF(BC368&lt;=0,0,IF(ROUND(BC368*(1+'Calc base'!Q369),2)-MAX('Calc base'!L$12,ROUND('Calc base'!L$13*BC368,2))&lt;1,ROUND(BC368*(1+'Calc base'!Q369),2),MAX('Calc base'!L$12,ROUND('Calc base'!L$13*BC368,2))))</f>
        <v>0</v>
      </c>
      <c r="T369">
        <f>IF(BD368&lt;=0,0,IF(ROUND(BD368*(1+'Calc base'!R369),2)-MAX('Calc base'!M$12,ROUND('Calc base'!M$13*BD368,2))&lt;1,ROUND(BD368*(1+'Calc base'!R369),2),MAX('Calc base'!M$12,ROUND('Calc base'!M$13*BD368,2))))</f>
        <v>0</v>
      </c>
      <c r="U369">
        <f>IF(BE368&lt;=0,0,IF(ROUND(BE368*(1+'Calc base'!S369),2)-MAX('Calc base'!N$12,ROUND('Calc base'!N$13*BE368,2))&lt;1,ROUND(BE368*(1+'Calc base'!S369),2),MAX('Calc base'!N$12,ROUND('Calc base'!N$13*BE368,2))))</f>
        <v>0</v>
      </c>
      <c r="V369">
        <f>MAX(0,ROUND(AT368*(1+'Calc base'!H369),2)-J369-'Calc base'!T369)</f>
        <v>0</v>
      </c>
      <c r="W369">
        <f>MAX(0,ROUND(AU368*(1+'Calc base'!I369),2)-K369-'Calc base'!U369)</f>
        <v>0</v>
      </c>
      <c r="X369">
        <f>MAX(0,ROUND(AV368*(1+'Calc base'!J369),2)-L369-'Calc base'!V369)</f>
        <v>0</v>
      </c>
      <c r="Y369">
        <f>MAX(0,ROUND(AW368*(1+'Calc base'!K369),2)-M369-'Calc base'!W369)</f>
        <v>0</v>
      </c>
      <c r="Z369">
        <f>MAX(0,ROUND(AX368*(1+'Calc base'!L369),2)-N369-'Calc base'!X369)</f>
        <v>0</v>
      </c>
      <c r="AA369">
        <f>MAX(0,ROUND(AY368*(1+'Calc base'!M369),2)-O369-'Calc base'!Y369)</f>
        <v>0</v>
      </c>
      <c r="AB369">
        <f>MAX(0,ROUND(AZ368*(1+'Calc base'!N369),2)-P369-'Calc base'!Z369)</f>
        <v>0</v>
      </c>
      <c r="AC369">
        <f>MAX(0,ROUND(BA368*(1+'Calc base'!O369),2)-Q369-'Calc base'!AA369)</f>
        <v>0</v>
      </c>
      <c r="AD369">
        <f>MAX(0,ROUND(BB368*(1+'Calc base'!P369),2)-R369-'Calc base'!AB369)</f>
        <v>0</v>
      </c>
      <c r="AE369">
        <f>MAX(0,ROUND(BC368*(1+'Calc base'!Q369),2)-S369-'Calc base'!AC369)</f>
        <v>0</v>
      </c>
      <c r="AF369">
        <f>MAX(0,ROUND(BD368*(1+'Calc base'!R369),2)-T369-'Calc base'!AD369)</f>
        <v>0</v>
      </c>
      <c r="AG369">
        <f>MAX(0,ROUND(BE368*(1+'Calc base'!S369),2)-U369-'Calc base'!AE369)</f>
        <v>0</v>
      </c>
      <c r="AH369">
        <f>IF('Calc base'!C$14=0,0,MIN(V369,MAX(0,$E369-SUMIFS($V369:$AG369,'Calc base'!$C$17:$N$17,"&lt;"&amp;'Calc base'!C$17,'Calc base'!$C$14:$N$14,1))))</f>
        <v>0</v>
      </c>
      <c r="AI369">
        <f>IF('Calc base'!D$14=0,0,MIN(W369,MAX(0,$E369-SUMIFS($V369:$AG369,'Calc base'!$C$17:$N$17,"&lt;"&amp;'Calc base'!D$17,'Calc base'!$C$14:$N$14,1))))</f>
        <v>0</v>
      </c>
      <c r="AJ369">
        <f>IF('Calc base'!E$14=0,0,MIN(X369,MAX(0,$E369-SUMIFS($V369:$AG369,'Calc base'!$C$17:$N$17,"&lt;"&amp;'Calc base'!E$17,'Calc base'!$C$14:$N$14,1))))</f>
        <v>0</v>
      </c>
      <c r="AK369">
        <f>IF('Calc base'!F$14=0,0,MIN(Y369,MAX(0,$E369-SUMIFS($V369:$AG369,'Calc base'!$C$17:$N$17,"&lt;"&amp;'Calc base'!F$17,'Calc base'!$C$14:$N$14,1))))</f>
        <v>0</v>
      </c>
      <c r="AL369">
        <f>IF('Calc base'!G$14=0,0,MIN(Z369,MAX(0,$E369-SUMIFS($V369:$AG369,'Calc base'!$C$17:$N$17,"&lt;"&amp;'Calc base'!G$17,'Calc base'!$C$14:$N$14,1))))</f>
        <v>0</v>
      </c>
      <c r="AM369">
        <f>IF('Calc base'!H$14=0,0,MIN(AA369,MAX(0,$E369-SUMIFS($V369:$AG369,'Calc base'!$C$17:$N$17,"&lt;"&amp;'Calc base'!H$17,'Calc base'!$C$14:$N$14,1))))</f>
        <v>0</v>
      </c>
      <c r="AN369">
        <f>IF('Calc base'!I$14=0,0,MIN(AB369,MAX(0,$E369-SUMIFS($V369:$AG369,'Calc base'!$C$17:$N$17,"&lt;"&amp;'Calc base'!I$17,'Calc base'!$C$14:$N$14,1))))</f>
        <v>0</v>
      </c>
      <c r="AO369">
        <f>IF('Calc base'!J$14=0,0,MIN(AC369,MAX(0,$E369-SUMIFS($V369:$AG369,'Calc base'!$C$17:$N$17,"&lt;"&amp;'Calc base'!J$17,'Calc base'!$C$14:$N$14,1))))</f>
        <v>0</v>
      </c>
      <c r="AP369">
        <f>IF('Calc base'!K$14=0,0,MIN(AD369,MAX(0,$E369-SUMIFS($V369:$AG369,'Calc base'!$C$17:$N$17,"&lt;"&amp;'Calc base'!K$17,'Calc base'!$C$14:$N$14,1))))</f>
        <v>0</v>
      </c>
      <c r="AQ369">
        <f>IF('Calc base'!L$14=0,0,MIN(AE369,MAX(0,$E369-SUMIFS($V369:$AG369,'Calc base'!$C$17:$N$17,"&lt;"&amp;'Calc base'!L$17,'Calc base'!$C$14:$N$14,1))))</f>
        <v>0</v>
      </c>
      <c r="AR369">
        <f>IF('Calc base'!M$14=0,0,MIN(AF369,MAX(0,$E369-SUMIFS($V369:$AG369,'Calc base'!$C$17:$N$17,"&lt;"&amp;'Calc base'!M$17,'Calc base'!$C$14:$N$14,1))))</f>
        <v>0</v>
      </c>
      <c r="AS369">
        <f>IF('Calc base'!N$14=0,0,MIN(AG369,MAX(0,$E369-SUMIFS($V369:$AG369,'Calc base'!$C$17:$N$17,"&lt;"&amp;'Calc base'!N$17,'Calc base'!$C$14:$N$14,1))))</f>
        <v>0</v>
      </c>
      <c r="AT369">
        <f>V369-AH369</f>
        <v>0</v>
      </c>
      <c r="AU369">
        <f>W369-AI369</f>
        <v>0</v>
      </c>
      <c r="AV369">
        <f>X369-AJ369</f>
        <v>0</v>
      </c>
      <c r="AW369">
        <f>Y369-AK369</f>
        <v>0</v>
      </c>
      <c r="AX369">
        <f>Z369-AL369</f>
        <v>0</v>
      </c>
      <c r="AY369">
        <f>AA369-AM369</f>
        <v>0</v>
      </c>
      <c r="AZ369">
        <f>AB369-AN369</f>
        <v>0</v>
      </c>
      <c r="BA369">
        <f>AC369-AO369</f>
        <v>0</v>
      </c>
      <c r="BB369">
        <f>AD369-AP369</f>
        <v>0</v>
      </c>
      <c r="BC369">
        <f>AE369-AQ369</f>
        <v>0</v>
      </c>
      <c r="BD369">
        <f>AF369-AR369</f>
        <v>0</v>
      </c>
      <c r="BE369">
        <f>AG369-AS369</f>
        <v>0</v>
      </c>
    </row>
    <row r="370">
      <c r="A370" t="n">
        <v>340</v>
      </c>
      <c r="B370">
        <f>SUMPRODUCT(ROUND($AT369:$BE369*(1+'Calc base'!$H370:$S370),2))</f>
        <v>0</v>
      </c>
      <c r="C370">
        <f>SUM(J370:U370)</f>
        <v>0</v>
      </c>
      <c r="D370">
        <f>SUM(V370:AG370)</f>
        <v>0</v>
      </c>
      <c r="E370">
        <f>MAX(0,IF(Impostazioni!$B$7="No",'Calc base'!$C370-$C$31,'Calc base'!$C370-C370)+'Calc base'!$G370+'Calc base'!$F370-(B370-C370-D370))</f>
        <v>900</v>
      </c>
      <c r="F370">
        <f>SUM(AH370:AS370)</f>
        <v>0</v>
      </c>
      <c r="G370">
        <f>SUM(AT370:BE370)</f>
        <v>0</v>
      </c>
      <c r="H370">
        <f>B370-G369</f>
        <v>0</v>
      </c>
      <c r="I370">
        <f>B370-G370</f>
        <v>0</v>
      </c>
      <c r="J370">
        <f>IF(AT369&lt;=0,0,IF(ROUND(AT369*(1+'Calc base'!H370),2)-MAX('Calc base'!C$12,ROUND('Calc base'!C$13*AT369,2))&lt;1,ROUND(AT369*(1+'Calc base'!H370),2),MAX('Calc base'!C$12,ROUND('Calc base'!C$13*AT369,2))))</f>
        <v>0</v>
      </c>
      <c r="K370">
        <f>IF(AU369&lt;=0,0,IF(ROUND(AU369*(1+'Calc base'!I370),2)-MAX('Calc base'!D$12,ROUND('Calc base'!D$13*AU369,2))&lt;1,ROUND(AU369*(1+'Calc base'!I370),2),MAX('Calc base'!D$12,ROUND('Calc base'!D$13*AU369,2))))</f>
        <v>0</v>
      </c>
      <c r="L370">
        <f>IF(AV369&lt;=0,0,IF(ROUND(AV369*(1+'Calc base'!J370),2)-MAX('Calc base'!E$12,ROUND('Calc base'!E$13*AV369,2))&lt;1,ROUND(AV369*(1+'Calc base'!J370),2),MAX('Calc base'!E$12,ROUND('Calc base'!E$13*AV369,2))))</f>
        <v>0</v>
      </c>
      <c r="M370">
        <f>IF(AW369&lt;=0,0,IF(ROUND(AW369*(1+'Calc base'!K370),2)-MAX('Calc base'!F$12,ROUND('Calc base'!F$13*AW369,2))&lt;1,ROUND(AW369*(1+'Calc base'!K370),2),MAX('Calc base'!F$12,ROUND('Calc base'!F$13*AW369,2))))</f>
        <v>0</v>
      </c>
      <c r="N370">
        <f>IF(AX369&lt;=0,0,IF(ROUND(AX369*(1+'Calc base'!L370),2)-MAX('Calc base'!G$12,ROUND('Calc base'!G$13*AX369,2))&lt;1,ROUND(AX369*(1+'Calc base'!L370),2),MAX('Calc base'!G$12,ROUND('Calc base'!G$13*AX369,2))))</f>
        <v>0</v>
      </c>
      <c r="O370">
        <f>IF(AY369&lt;=0,0,IF(ROUND(AY369*(1+'Calc base'!M370),2)-MAX('Calc base'!H$12,ROUND('Calc base'!H$13*AY369,2))&lt;1,ROUND(AY369*(1+'Calc base'!M370),2),MAX('Calc base'!H$12,ROUND('Calc base'!H$13*AY369,2))))</f>
        <v>0</v>
      </c>
      <c r="P370">
        <f>IF(AZ369&lt;=0,0,IF(ROUND(AZ369*(1+'Calc base'!N370),2)-MAX('Calc base'!I$12,ROUND('Calc base'!I$13*AZ369,2))&lt;1,ROUND(AZ369*(1+'Calc base'!N370),2),MAX('Calc base'!I$12,ROUND('Calc base'!I$13*AZ369,2))))</f>
        <v>0</v>
      </c>
      <c r="Q370">
        <f>IF(BA369&lt;=0,0,IF(ROUND(BA369*(1+'Calc base'!O370),2)-MAX('Calc base'!J$12,ROUND('Calc base'!J$13*BA369,2))&lt;1,ROUND(BA369*(1+'Calc base'!O370),2),MAX('Calc base'!J$12,ROUND('Calc base'!J$13*BA369,2))))</f>
        <v>0</v>
      </c>
      <c r="R370">
        <f>IF(BB369&lt;=0,0,IF(ROUND(BB369*(1+'Calc base'!P370),2)-MAX('Calc base'!K$12,ROUND('Calc base'!K$13*BB369,2))&lt;1,ROUND(BB369*(1+'Calc base'!P370),2),MAX('Calc base'!K$12,ROUND('Calc base'!K$13*BB369,2))))</f>
        <v>0</v>
      </c>
      <c r="S370">
        <f>IF(BC369&lt;=0,0,IF(ROUND(BC369*(1+'Calc base'!Q370),2)-MAX('Calc base'!L$12,ROUND('Calc base'!L$13*BC369,2))&lt;1,ROUND(BC369*(1+'Calc base'!Q370),2),MAX('Calc base'!L$12,ROUND('Calc base'!L$13*BC369,2))))</f>
        <v>0</v>
      </c>
      <c r="T370">
        <f>IF(BD369&lt;=0,0,IF(ROUND(BD369*(1+'Calc base'!R370),2)-MAX('Calc base'!M$12,ROUND('Calc base'!M$13*BD369,2))&lt;1,ROUND(BD369*(1+'Calc base'!R370),2),MAX('Calc base'!M$12,ROUND('Calc base'!M$13*BD369,2))))</f>
        <v>0</v>
      </c>
      <c r="U370">
        <f>IF(BE369&lt;=0,0,IF(ROUND(BE369*(1+'Calc base'!S370),2)-MAX('Calc base'!N$12,ROUND('Calc base'!N$13*BE369,2))&lt;1,ROUND(BE369*(1+'Calc base'!S370),2),MAX('Calc base'!N$12,ROUND('Calc base'!N$13*BE369,2))))</f>
        <v>0</v>
      </c>
      <c r="V370">
        <f>MAX(0,ROUND(AT369*(1+'Calc base'!H370),2)-J370-'Calc base'!T370)</f>
        <v>0</v>
      </c>
      <c r="W370">
        <f>MAX(0,ROUND(AU369*(1+'Calc base'!I370),2)-K370-'Calc base'!U370)</f>
        <v>0</v>
      </c>
      <c r="X370">
        <f>MAX(0,ROUND(AV369*(1+'Calc base'!J370),2)-L370-'Calc base'!V370)</f>
        <v>0</v>
      </c>
      <c r="Y370">
        <f>MAX(0,ROUND(AW369*(1+'Calc base'!K370),2)-M370-'Calc base'!W370)</f>
        <v>0</v>
      </c>
      <c r="Z370">
        <f>MAX(0,ROUND(AX369*(1+'Calc base'!L370),2)-N370-'Calc base'!X370)</f>
        <v>0</v>
      </c>
      <c r="AA370">
        <f>MAX(0,ROUND(AY369*(1+'Calc base'!M370),2)-O370-'Calc base'!Y370)</f>
        <v>0</v>
      </c>
      <c r="AB370">
        <f>MAX(0,ROUND(AZ369*(1+'Calc base'!N370),2)-P370-'Calc base'!Z370)</f>
        <v>0</v>
      </c>
      <c r="AC370">
        <f>MAX(0,ROUND(BA369*(1+'Calc base'!O370),2)-Q370-'Calc base'!AA370)</f>
        <v>0</v>
      </c>
      <c r="AD370">
        <f>MAX(0,ROUND(BB369*(1+'Calc base'!P370),2)-R370-'Calc base'!AB370)</f>
        <v>0</v>
      </c>
      <c r="AE370">
        <f>MAX(0,ROUND(BC369*(1+'Calc base'!Q370),2)-S370-'Calc base'!AC370)</f>
        <v>0</v>
      </c>
      <c r="AF370">
        <f>MAX(0,ROUND(BD369*(1+'Calc base'!R370),2)-T370-'Calc base'!AD370)</f>
        <v>0</v>
      </c>
      <c r="AG370">
        <f>MAX(0,ROUND(BE369*(1+'Calc base'!S370),2)-U370-'Calc base'!AE370)</f>
        <v>0</v>
      </c>
      <c r="AH370">
        <f>IF('Calc base'!C$14=0,0,MIN(V370,MAX(0,$E370-SUMIFS($V370:$AG370,'Calc base'!$C$17:$N$17,"&lt;"&amp;'Calc base'!C$17,'Calc base'!$C$14:$N$14,1))))</f>
        <v>0</v>
      </c>
      <c r="AI370">
        <f>IF('Calc base'!D$14=0,0,MIN(W370,MAX(0,$E370-SUMIFS($V370:$AG370,'Calc base'!$C$17:$N$17,"&lt;"&amp;'Calc base'!D$17,'Calc base'!$C$14:$N$14,1))))</f>
        <v>0</v>
      </c>
      <c r="AJ370">
        <f>IF('Calc base'!E$14=0,0,MIN(X370,MAX(0,$E370-SUMIFS($V370:$AG370,'Calc base'!$C$17:$N$17,"&lt;"&amp;'Calc base'!E$17,'Calc base'!$C$14:$N$14,1))))</f>
        <v>0</v>
      </c>
      <c r="AK370">
        <f>IF('Calc base'!F$14=0,0,MIN(Y370,MAX(0,$E370-SUMIFS($V370:$AG370,'Calc base'!$C$17:$N$17,"&lt;"&amp;'Calc base'!F$17,'Calc base'!$C$14:$N$14,1))))</f>
        <v>0</v>
      </c>
      <c r="AL370">
        <f>IF('Calc base'!G$14=0,0,MIN(Z370,MAX(0,$E370-SUMIFS($V370:$AG370,'Calc base'!$C$17:$N$17,"&lt;"&amp;'Calc base'!G$17,'Calc base'!$C$14:$N$14,1))))</f>
        <v>0</v>
      </c>
      <c r="AM370">
        <f>IF('Calc base'!H$14=0,0,MIN(AA370,MAX(0,$E370-SUMIFS($V370:$AG370,'Calc base'!$C$17:$N$17,"&lt;"&amp;'Calc base'!H$17,'Calc base'!$C$14:$N$14,1))))</f>
        <v>0</v>
      </c>
      <c r="AN370">
        <f>IF('Calc base'!I$14=0,0,MIN(AB370,MAX(0,$E370-SUMIFS($V370:$AG370,'Calc base'!$C$17:$N$17,"&lt;"&amp;'Calc base'!I$17,'Calc base'!$C$14:$N$14,1))))</f>
        <v>0</v>
      </c>
      <c r="AO370">
        <f>IF('Calc base'!J$14=0,0,MIN(AC370,MAX(0,$E370-SUMIFS($V370:$AG370,'Calc base'!$C$17:$N$17,"&lt;"&amp;'Calc base'!J$17,'Calc base'!$C$14:$N$14,1))))</f>
        <v>0</v>
      </c>
      <c r="AP370">
        <f>IF('Calc base'!K$14=0,0,MIN(AD370,MAX(0,$E370-SUMIFS($V370:$AG370,'Calc base'!$C$17:$N$17,"&lt;"&amp;'Calc base'!K$17,'Calc base'!$C$14:$N$14,1))))</f>
        <v>0</v>
      </c>
      <c r="AQ370">
        <f>IF('Calc base'!L$14=0,0,MIN(AE370,MAX(0,$E370-SUMIFS($V370:$AG370,'Calc base'!$C$17:$N$17,"&lt;"&amp;'Calc base'!L$17,'Calc base'!$C$14:$N$14,1))))</f>
        <v>0</v>
      </c>
      <c r="AR370">
        <f>IF('Calc base'!M$14=0,0,MIN(AF370,MAX(0,$E370-SUMIFS($V370:$AG370,'Calc base'!$C$17:$N$17,"&lt;"&amp;'Calc base'!M$17,'Calc base'!$C$14:$N$14,1))))</f>
        <v>0</v>
      </c>
      <c r="AS370">
        <f>IF('Calc base'!N$14=0,0,MIN(AG370,MAX(0,$E370-SUMIFS($V370:$AG370,'Calc base'!$C$17:$N$17,"&lt;"&amp;'Calc base'!N$17,'Calc base'!$C$14:$N$14,1))))</f>
        <v>0</v>
      </c>
      <c r="AT370">
        <f>V370-AH370</f>
        <v>0</v>
      </c>
      <c r="AU370">
        <f>W370-AI370</f>
        <v>0</v>
      </c>
      <c r="AV370">
        <f>X370-AJ370</f>
        <v>0</v>
      </c>
      <c r="AW370">
        <f>Y370-AK370</f>
        <v>0</v>
      </c>
      <c r="AX370">
        <f>Z370-AL370</f>
        <v>0</v>
      </c>
      <c r="AY370">
        <f>AA370-AM370</f>
        <v>0</v>
      </c>
      <c r="AZ370">
        <f>AB370-AN370</f>
        <v>0</v>
      </c>
      <c r="BA370">
        <f>AC370-AO370</f>
        <v>0</v>
      </c>
      <c r="BB370">
        <f>AD370-AP370</f>
        <v>0</v>
      </c>
      <c r="BC370">
        <f>AE370-AQ370</f>
        <v>0</v>
      </c>
      <c r="BD370">
        <f>AF370-AR370</f>
        <v>0</v>
      </c>
      <c r="BE370">
        <f>AG370-AS370</f>
        <v>0</v>
      </c>
    </row>
    <row r="371">
      <c r="A371" t="n">
        <v>341</v>
      </c>
      <c r="B371">
        <f>SUMPRODUCT(ROUND($AT370:$BE370*(1+'Calc base'!$H371:$S371),2))</f>
        <v>0</v>
      </c>
      <c r="C371">
        <f>SUM(J371:U371)</f>
        <v>0</v>
      </c>
      <c r="D371">
        <f>SUM(V371:AG371)</f>
        <v>0</v>
      </c>
      <c r="E371">
        <f>MAX(0,IF(Impostazioni!$B$7="No",'Calc base'!$C371-$C$31,'Calc base'!$C371-C371)+'Calc base'!$G371+'Calc base'!$F371-(B371-C371-D371))</f>
        <v>900</v>
      </c>
      <c r="F371">
        <f>SUM(AH371:AS371)</f>
        <v>0</v>
      </c>
      <c r="G371">
        <f>SUM(AT371:BE371)</f>
        <v>0</v>
      </c>
      <c r="H371">
        <f>B371-G370</f>
        <v>0</v>
      </c>
      <c r="I371">
        <f>B371-G371</f>
        <v>0</v>
      </c>
      <c r="J371">
        <f>IF(AT370&lt;=0,0,IF(ROUND(AT370*(1+'Calc base'!H371),2)-MAX('Calc base'!C$12,ROUND('Calc base'!C$13*AT370,2))&lt;1,ROUND(AT370*(1+'Calc base'!H371),2),MAX('Calc base'!C$12,ROUND('Calc base'!C$13*AT370,2))))</f>
        <v>0</v>
      </c>
      <c r="K371">
        <f>IF(AU370&lt;=0,0,IF(ROUND(AU370*(1+'Calc base'!I371),2)-MAX('Calc base'!D$12,ROUND('Calc base'!D$13*AU370,2))&lt;1,ROUND(AU370*(1+'Calc base'!I371),2),MAX('Calc base'!D$12,ROUND('Calc base'!D$13*AU370,2))))</f>
        <v>0</v>
      </c>
      <c r="L371">
        <f>IF(AV370&lt;=0,0,IF(ROUND(AV370*(1+'Calc base'!J371),2)-MAX('Calc base'!E$12,ROUND('Calc base'!E$13*AV370,2))&lt;1,ROUND(AV370*(1+'Calc base'!J371),2),MAX('Calc base'!E$12,ROUND('Calc base'!E$13*AV370,2))))</f>
        <v>0</v>
      </c>
      <c r="M371">
        <f>IF(AW370&lt;=0,0,IF(ROUND(AW370*(1+'Calc base'!K371),2)-MAX('Calc base'!F$12,ROUND('Calc base'!F$13*AW370,2))&lt;1,ROUND(AW370*(1+'Calc base'!K371),2),MAX('Calc base'!F$12,ROUND('Calc base'!F$13*AW370,2))))</f>
        <v>0</v>
      </c>
      <c r="N371">
        <f>IF(AX370&lt;=0,0,IF(ROUND(AX370*(1+'Calc base'!L371),2)-MAX('Calc base'!G$12,ROUND('Calc base'!G$13*AX370,2))&lt;1,ROUND(AX370*(1+'Calc base'!L371),2),MAX('Calc base'!G$12,ROUND('Calc base'!G$13*AX370,2))))</f>
        <v>0</v>
      </c>
      <c r="O371">
        <f>IF(AY370&lt;=0,0,IF(ROUND(AY370*(1+'Calc base'!M371),2)-MAX('Calc base'!H$12,ROUND('Calc base'!H$13*AY370,2))&lt;1,ROUND(AY370*(1+'Calc base'!M371),2),MAX('Calc base'!H$12,ROUND('Calc base'!H$13*AY370,2))))</f>
        <v>0</v>
      </c>
      <c r="P371">
        <f>IF(AZ370&lt;=0,0,IF(ROUND(AZ370*(1+'Calc base'!N371),2)-MAX('Calc base'!I$12,ROUND('Calc base'!I$13*AZ370,2))&lt;1,ROUND(AZ370*(1+'Calc base'!N371),2),MAX('Calc base'!I$12,ROUND('Calc base'!I$13*AZ370,2))))</f>
        <v>0</v>
      </c>
      <c r="Q371">
        <f>IF(BA370&lt;=0,0,IF(ROUND(BA370*(1+'Calc base'!O371),2)-MAX('Calc base'!J$12,ROUND('Calc base'!J$13*BA370,2))&lt;1,ROUND(BA370*(1+'Calc base'!O371),2),MAX('Calc base'!J$12,ROUND('Calc base'!J$13*BA370,2))))</f>
        <v>0</v>
      </c>
      <c r="R371">
        <f>IF(BB370&lt;=0,0,IF(ROUND(BB370*(1+'Calc base'!P371),2)-MAX('Calc base'!K$12,ROUND('Calc base'!K$13*BB370,2))&lt;1,ROUND(BB370*(1+'Calc base'!P371),2),MAX('Calc base'!K$12,ROUND('Calc base'!K$13*BB370,2))))</f>
        <v>0</v>
      </c>
      <c r="S371">
        <f>IF(BC370&lt;=0,0,IF(ROUND(BC370*(1+'Calc base'!Q371),2)-MAX('Calc base'!L$12,ROUND('Calc base'!L$13*BC370,2))&lt;1,ROUND(BC370*(1+'Calc base'!Q371),2),MAX('Calc base'!L$12,ROUND('Calc base'!L$13*BC370,2))))</f>
        <v>0</v>
      </c>
      <c r="T371">
        <f>IF(BD370&lt;=0,0,IF(ROUND(BD370*(1+'Calc base'!R371),2)-MAX('Calc base'!M$12,ROUND('Calc base'!M$13*BD370,2))&lt;1,ROUND(BD370*(1+'Calc base'!R371),2),MAX('Calc base'!M$12,ROUND('Calc base'!M$13*BD370,2))))</f>
        <v>0</v>
      </c>
      <c r="U371">
        <f>IF(BE370&lt;=0,0,IF(ROUND(BE370*(1+'Calc base'!S371),2)-MAX('Calc base'!N$12,ROUND('Calc base'!N$13*BE370,2))&lt;1,ROUND(BE370*(1+'Calc base'!S371),2),MAX('Calc base'!N$12,ROUND('Calc base'!N$13*BE370,2))))</f>
        <v>0</v>
      </c>
      <c r="V371">
        <f>MAX(0,ROUND(AT370*(1+'Calc base'!H371),2)-J371-'Calc base'!T371)</f>
        <v>0</v>
      </c>
      <c r="W371">
        <f>MAX(0,ROUND(AU370*(1+'Calc base'!I371),2)-K371-'Calc base'!U371)</f>
        <v>0</v>
      </c>
      <c r="X371">
        <f>MAX(0,ROUND(AV370*(1+'Calc base'!J371),2)-L371-'Calc base'!V371)</f>
        <v>0</v>
      </c>
      <c r="Y371">
        <f>MAX(0,ROUND(AW370*(1+'Calc base'!K371),2)-M371-'Calc base'!W371)</f>
        <v>0</v>
      </c>
      <c r="Z371">
        <f>MAX(0,ROUND(AX370*(1+'Calc base'!L371),2)-N371-'Calc base'!X371)</f>
        <v>0</v>
      </c>
      <c r="AA371">
        <f>MAX(0,ROUND(AY370*(1+'Calc base'!M371),2)-O371-'Calc base'!Y371)</f>
        <v>0</v>
      </c>
      <c r="AB371">
        <f>MAX(0,ROUND(AZ370*(1+'Calc base'!N371),2)-P371-'Calc base'!Z371)</f>
        <v>0</v>
      </c>
      <c r="AC371">
        <f>MAX(0,ROUND(BA370*(1+'Calc base'!O371),2)-Q371-'Calc base'!AA371)</f>
        <v>0</v>
      </c>
      <c r="AD371">
        <f>MAX(0,ROUND(BB370*(1+'Calc base'!P371),2)-R371-'Calc base'!AB371)</f>
        <v>0</v>
      </c>
      <c r="AE371">
        <f>MAX(0,ROUND(BC370*(1+'Calc base'!Q371),2)-S371-'Calc base'!AC371)</f>
        <v>0</v>
      </c>
      <c r="AF371">
        <f>MAX(0,ROUND(BD370*(1+'Calc base'!R371),2)-T371-'Calc base'!AD371)</f>
        <v>0</v>
      </c>
      <c r="AG371">
        <f>MAX(0,ROUND(BE370*(1+'Calc base'!S371),2)-U371-'Calc base'!AE371)</f>
        <v>0</v>
      </c>
      <c r="AH371">
        <f>IF('Calc base'!C$14=0,0,MIN(V371,MAX(0,$E371-SUMIFS($V371:$AG371,'Calc base'!$C$17:$N$17,"&lt;"&amp;'Calc base'!C$17,'Calc base'!$C$14:$N$14,1))))</f>
        <v>0</v>
      </c>
      <c r="AI371">
        <f>IF('Calc base'!D$14=0,0,MIN(W371,MAX(0,$E371-SUMIFS($V371:$AG371,'Calc base'!$C$17:$N$17,"&lt;"&amp;'Calc base'!D$17,'Calc base'!$C$14:$N$14,1))))</f>
        <v>0</v>
      </c>
      <c r="AJ371">
        <f>IF('Calc base'!E$14=0,0,MIN(X371,MAX(0,$E371-SUMIFS($V371:$AG371,'Calc base'!$C$17:$N$17,"&lt;"&amp;'Calc base'!E$17,'Calc base'!$C$14:$N$14,1))))</f>
        <v>0</v>
      </c>
      <c r="AK371">
        <f>IF('Calc base'!F$14=0,0,MIN(Y371,MAX(0,$E371-SUMIFS($V371:$AG371,'Calc base'!$C$17:$N$17,"&lt;"&amp;'Calc base'!F$17,'Calc base'!$C$14:$N$14,1))))</f>
        <v>0</v>
      </c>
      <c r="AL371">
        <f>IF('Calc base'!G$14=0,0,MIN(Z371,MAX(0,$E371-SUMIFS($V371:$AG371,'Calc base'!$C$17:$N$17,"&lt;"&amp;'Calc base'!G$17,'Calc base'!$C$14:$N$14,1))))</f>
        <v>0</v>
      </c>
      <c r="AM371">
        <f>IF('Calc base'!H$14=0,0,MIN(AA371,MAX(0,$E371-SUMIFS($V371:$AG371,'Calc base'!$C$17:$N$17,"&lt;"&amp;'Calc base'!H$17,'Calc base'!$C$14:$N$14,1))))</f>
        <v>0</v>
      </c>
      <c r="AN371">
        <f>IF('Calc base'!I$14=0,0,MIN(AB371,MAX(0,$E371-SUMIFS($V371:$AG371,'Calc base'!$C$17:$N$17,"&lt;"&amp;'Calc base'!I$17,'Calc base'!$C$14:$N$14,1))))</f>
        <v>0</v>
      </c>
      <c r="AO371">
        <f>IF('Calc base'!J$14=0,0,MIN(AC371,MAX(0,$E371-SUMIFS($V371:$AG371,'Calc base'!$C$17:$N$17,"&lt;"&amp;'Calc base'!J$17,'Calc base'!$C$14:$N$14,1))))</f>
        <v>0</v>
      </c>
      <c r="AP371">
        <f>IF('Calc base'!K$14=0,0,MIN(AD371,MAX(0,$E371-SUMIFS($V371:$AG371,'Calc base'!$C$17:$N$17,"&lt;"&amp;'Calc base'!K$17,'Calc base'!$C$14:$N$14,1))))</f>
        <v>0</v>
      </c>
      <c r="AQ371">
        <f>IF('Calc base'!L$14=0,0,MIN(AE371,MAX(0,$E371-SUMIFS($V371:$AG371,'Calc base'!$C$17:$N$17,"&lt;"&amp;'Calc base'!L$17,'Calc base'!$C$14:$N$14,1))))</f>
        <v>0</v>
      </c>
      <c r="AR371">
        <f>IF('Calc base'!M$14=0,0,MIN(AF371,MAX(0,$E371-SUMIFS($V371:$AG371,'Calc base'!$C$17:$N$17,"&lt;"&amp;'Calc base'!M$17,'Calc base'!$C$14:$N$14,1))))</f>
        <v>0</v>
      </c>
      <c r="AS371">
        <f>IF('Calc base'!N$14=0,0,MIN(AG371,MAX(0,$E371-SUMIFS($V371:$AG371,'Calc base'!$C$17:$N$17,"&lt;"&amp;'Calc base'!N$17,'Calc base'!$C$14:$N$14,1))))</f>
        <v>0</v>
      </c>
      <c r="AT371">
        <f>V371-AH371</f>
        <v>0</v>
      </c>
      <c r="AU371">
        <f>W371-AI371</f>
        <v>0</v>
      </c>
      <c r="AV371">
        <f>X371-AJ371</f>
        <v>0</v>
      </c>
      <c r="AW371">
        <f>Y371-AK371</f>
        <v>0</v>
      </c>
      <c r="AX371">
        <f>Z371-AL371</f>
        <v>0</v>
      </c>
      <c r="AY371">
        <f>AA371-AM371</f>
        <v>0</v>
      </c>
      <c r="AZ371">
        <f>AB371-AN371</f>
        <v>0</v>
      </c>
      <c r="BA371">
        <f>AC371-AO371</f>
        <v>0</v>
      </c>
      <c r="BB371">
        <f>AD371-AP371</f>
        <v>0</v>
      </c>
      <c r="BC371">
        <f>AE371-AQ371</f>
        <v>0</v>
      </c>
      <c r="BD371">
        <f>AF371-AR371</f>
        <v>0</v>
      </c>
      <c r="BE371">
        <f>AG371-AS371</f>
        <v>0</v>
      </c>
    </row>
    <row r="372">
      <c r="A372" t="n">
        <v>342</v>
      </c>
      <c r="B372">
        <f>SUMPRODUCT(ROUND($AT371:$BE371*(1+'Calc base'!$H372:$S372),2))</f>
        <v>0</v>
      </c>
      <c r="C372">
        <f>SUM(J372:U372)</f>
        <v>0</v>
      </c>
      <c r="D372">
        <f>SUM(V372:AG372)</f>
        <v>0</v>
      </c>
      <c r="E372">
        <f>MAX(0,IF(Impostazioni!$B$7="No",'Calc base'!$C372-$C$31,'Calc base'!$C372-C372)+'Calc base'!$G372+'Calc base'!$F372-(B372-C372-D372))</f>
        <v>900</v>
      </c>
      <c r="F372">
        <f>SUM(AH372:AS372)</f>
        <v>0</v>
      </c>
      <c r="G372">
        <f>SUM(AT372:BE372)</f>
        <v>0</v>
      </c>
      <c r="H372">
        <f>B372-G371</f>
        <v>0</v>
      </c>
      <c r="I372">
        <f>B372-G372</f>
        <v>0</v>
      </c>
      <c r="J372">
        <f>IF(AT371&lt;=0,0,IF(ROUND(AT371*(1+'Calc base'!H372),2)-MAX('Calc base'!C$12,ROUND('Calc base'!C$13*AT371,2))&lt;1,ROUND(AT371*(1+'Calc base'!H372),2),MAX('Calc base'!C$12,ROUND('Calc base'!C$13*AT371,2))))</f>
        <v>0</v>
      </c>
      <c r="K372">
        <f>IF(AU371&lt;=0,0,IF(ROUND(AU371*(1+'Calc base'!I372),2)-MAX('Calc base'!D$12,ROUND('Calc base'!D$13*AU371,2))&lt;1,ROUND(AU371*(1+'Calc base'!I372),2),MAX('Calc base'!D$12,ROUND('Calc base'!D$13*AU371,2))))</f>
        <v>0</v>
      </c>
      <c r="L372">
        <f>IF(AV371&lt;=0,0,IF(ROUND(AV371*(1+'Calc base'!J372),2)-MAX('Calc base'!E$12,ROUND('Calc base'!E$13*AV371,2))&lt;1,ROUND(AV371*(1+'Calc base'!J372),2),MAX('Calc base'!E$12,ROUND('Calc base'!E$13*AV371,2))))</f>
        <v>0</v>
      </c>
      <c r="M372">
        <f>IF(AW371&lt;=0,0,IF(ROUND(AW371*(1+'Calc base'!K372),2)-MAX('Calc base'!F$12,ROUND('Calc base'!F$13*AW371,2))&lt;1,ROUND(AW371*(1+'Calc base'!K372),2),MAX('Calc base'!F$12,ROUND('Calc base'!F$13*AW371,2))))</f>
        <v>0</v>
      </c>
      <c r="N372">
        <f>IF(AX371&lt;=0,0,IF(ROUND(AX371*(1+'Calc base'!L372),2)-MAX('Calc base'!G$12,ROUND('Calc base'!G$13*AX371,2))&lt;1,ROUND(AX371*(1+'Calc base'!L372),2),MAX('Calc base'!G$12,ROUND('Calc base'!G$13*AX371,2))))</f>
        <v>0</v>
      </c>
      <c r="O372">
        <f>IF(AY371&lt;=0,0,IF(ROUND(AY371*(1+'Calc base'!M372),2)-MAX('Calc base'!H$12,ROUND('Calc base'!H$13*AY371,2))&lt;1,ROUND(AY371*(1+'Calc base'!M372),2),MAX('Calc base'!H$12,ROUND('Calc base'!H$13*AY371,2))))</f>
        <v>0</v>
      </c>
      <c r="P372">
        <f>IF(AZ371&lt;=0,0,IF(ROUND(AZ371*(1+'Calc base'!N372),2)-MAX('Calc base'!I$12,ROUND('Calc base'!I$13*AZ371,2))&lt;1,ROUND(AZ371*(1+'Calc base'!N372),2),MAX('Calc base'!I$12,ROUND('Calc base'!I$13*AZ371,2))))</f>
        <v>0</v>
      </c>
      <c r="Q372">
        <f>IF(BA371&lt;=0,0,IF(ROUND(BA371*(1+'Calc base'!O372),2)-MAX('Calc base'!J$12,ROUND('Calc base'!J$13*BA371,2))&lt;1,ROUND(BA371*(1+'Calc base'!O372),2),MAX('Calc base'!J$12,ROUND('Calc base'!J$13*BA371,2))))</f>
        <v>0</v>
      </c>
      <c r="R372">
        <f>IF(BB371&lt;=0,0,IF(ROUND(BB371*(1+'Calc base'!P372),2)-MAX('Calc base'!K$12,ROUND('Calc base'!K$13*BB371,2))&lt;1,ROUND(BB371*(1+'Calc base'!P372),2),MAX('Calc base'!K$12,ROUND('Calc base'!K$13*BB371,2))))</f>
        <v>0</v>
      </c>
      <c r="S372">
        <f>IF(BC371&lt;=0,0,IF(ROUND(BC371*(1+'Calc base'!Q372),2)-MAX('Calc base'!L$12,ROUND('Calc base'!L$13*BC371,2))&lt;1,ROUND(BC371*(1+'Calc base'!Q372),2),MAX('Calc base'!L$12,ROUND('Calc base'!L$13*BC371,2))))</f>
        <v>0</v>
      </c>
      <c r="T372">
        <f>IF(BD371&lt;=0,0,IF(ROUND(BD371*(1+'Calc base'!R372),2)-MAX('Calc base'!M$12,ROUND('Calc base'!M$13*BD371,2))&lt;1,ROUND(BD371*(1+'Calc base'!R372),2),MAX('Calc base'!M$12,ROUND('Calc base'!M$13*BD371,2))))</f>
        <v>0</v>
      </c>
      <c r="U372">
        <f>IF(BE371&lt;=0,0,IF(ROUND(BE371*(1+'Calc base'!S372),2)-MAX('Calc base'!N$12,ROUND('Calc base'!N$13*BE371,2))&lt;1,ROUND(BE371*(1+'Calc base'!S372),2),MAX('Calc base'!N$12,ROUND('Calc base'!N$13*BE371,2))))</f>
        <v>0</v>
      </c>
      <c r="V372">
        <f>MAX(0,ROUND(AT371*(1+'Calc base'!H372),2)-J372-'Calc base'!T372)</f>
        <v>0</v>
      </c>
      <c r="W372">
        <f>MAX(0,ROUND(AU371*(1+'Calc base'!I372),2)-K372-'Calc base'!U372)</f>
        <v>0</v>
      </c>
      <c r="X372">
        <f>MAX(0,ROUND(AV371*(1+'Calc base'!J372),2)-L372-'Calc base'!V372)</f>
        <v>0</v>
      </c>
      <c r="Y372">
        <f>MAX(0,ROUND(AW371*(1+'Calc base'!K372),2)-M372-'Calc base'!W372)</f>
        <v>0</v>
      </c>
      <c r="Z372">
        <f>MAX(0,ROUND(AX371*(1+'Calc base'!L372),2)-N372-'Calc base'!X372)</f>
        <v>0</v>
      </c>
      <c r="AA372">
        <f>MAX(0,ROUND(AY371*(1+'Calc base'!M372),2)-O372-'Calc base'!Y372)</f>
        <v>0</v>
      </c>
      <c r="AB372">
        <f>MAX(0,ROUND(AZ371*(1+'Calc base'!N372),2)-P372-'Calc base'!Z372)</f>
        <v>0</v>
      </c>
      <c r="AC372">
        <f>MAX(0,ROUND(BA371*(1+'Calc base'!O372),2)-Q372-'Calc base'!AA372)</f>
        <v>0</v>
      </c>
      <c r="AD372">
        <f>MAX(0,ROUND(BB371*(1+'Calc base'!P372),2)-R372-'Calc base'!AB372)</f>
        <v>0</v>
      </c>
      <c r="AE372">
        <f>MAX(0,ROUND(BC371*(1+'Calc base'!Q372),2)-S372-'Calc base'!AC372)</f>
        <v>0</v>
      </c>
      <c r="AF372">
        <f>MAX(0,ROUND(BD371*(1+'Calc base'!R372),2)-T372-'Calc base'!AD372)</f>
        <v>0</v>
      </c>
      <c r="AG372">
        <f>MAX(0,ROUND(BE371*(1+'Calc base'!S372),2)-U372-'Calc base'!AE372)</f>
        <v>0</v>
      </c>
      <c r="AH372">
        <f>IF('Calc base'!C$14=0,0,MIN(V372,MAX(0,$E372-SUMIFS($V372:$AG372,'Calc base'!$C$17:$N$17,"&lt;"&amp;'Calc base'!C$17,'Calc base'!$C$14:$N$14,1))))</f>
        <v>0</v>
      </c>
      <c r="AI372">
        <f>IF('Calc base'!D$14=0,0,MIN(W372,MAX(0,$E372-SUMIFS($V372:$AG372,'Calc base'!$C$17:$N$17,"&lt;"&amp;'Calc base'!D$17,'Calc base'!$C$14:$N$14,1))))</f>
        <v>0</v>
      </c>
      <c r="AJ372">
        <f>IF('Calc base'!E$14=0,0,MIN(X372,MAX(0,$E372-SUMIFS($V372:$AG372,'Calc base'!$C$17:$N$17,"&lt;"&amp;'Calc base'!E$17,'Calc base'!$C$14:$N$14,1))))</f>
        <v>0</v>
      </c>
      <c r="AK372">
        <f>IF('Calc base'!F$14=0,0,MIN(Y372,MAX(0,$E372-SUMIFS($V372:$AG372,'Calc base'!$C$17:$N$17,"&lt;"&amp;'Calc base'!F$17,'Calc base'!$C$14:$N$14,1))))</f>
        <v>0</v>
      </c>
      <c r="AL372">
        <f>IF('Calc base'!G$14=0,0,MIN(Z372,MAX(0,$E372-SUMIFS($V372:$AG372,'Calc base'!$C$17:$N$17,"&lt;"&amp;'Calc base'!G$17,'Calc base'!$C$14:$N$14,1))))</f>
        <v>0</v>
      </c>
      <c r="AM372">
        <f>IF('Calc base'!H$14=0,0,MIN(AA372,MAX(0,$E372-SUMIFS($V372:$AG372,'Calc base'!$C$17:$N$17,"&lt;"&amp;'Calc base'!H$17,'Calc base'!$C$14:$N$14,1))))</f>
        <v>0</v>
      </c>
      <c r="AN372">
        <f>IF('Calc base'!I$14=0,0,MIN(AB372,MAX(0,$E372-SUMIFS($V372:$AG372,'Calc base'!$C$17:$N$17,"&lt;"&amp;'Calc base'!I$17,'Calc base'!$C$14:$N$14,1))))</f>
        <v>0</v>
      </c>
      <c r="AO372">
        <f>IF('Calc base'!J$14=0,0,MIN(AC372,MAX(0,$E372-SUMIFS($V372:$AG372,'Calc base'!$C$17:$N$17,"&lt;"&amp;'Calc base'!J$17,'Calc base'!$C$14:$N$14,1))))</f>
        <v>0</v>
      </c>
      <c r="AP372">
        <f>IF('Calc base'!K$14=0,0,MIN(AD372,MAX(0,$E372-SUMIFS($V372:$AG372,'Calc base'!$C$17:$N$17,"&lt;"&amp;'Calc base'!K$17,'Calc base'!$C$14:$N$14,1))))</f>
        <v>0</v>
      </c>
      <c r="AQ372">
        <f>IF('Calc base'!L$14=0,0,MIN(AE372,MAX(0,$E372-SUMIFS($V372:$AG372,'Calc base'!$C$17:$N$17,"&lt;"&amp;'Calc base'!L$17,'Calc base'!$C$14:$N$14,1))))</f>
        <v>0</v>
      </c>
      <c r="AR372">
        <f>IF('Calc base'!M$14=0,0,MIN(AF372,MAX(0,$E372-SUMIFS($V372:$AG372,'Calc base'!$C$17:$N$17,"&lt;"&amp;'Calc base'!M$17,'Calc base'!$C$14:$N$14,1))))</f>
        <v>0</v>
      </c>
      <c r="AS372">
        <f>IF('Calc base'!N$14=0,0,MIN(AG372,MAX(0,$E372-SUMIFS($V372:$AG372,'Calc base'!$C$17:$N$17,"&lt;"&amp;'Calc base'!N$17,'Calc base'!$C$14:$N$14,1))))</f>
        <v>0</v>
      </c>
      <c r="AT372">
        <f>V372-AH372</f>
        <v>0</v>
      </c>
      <c r="AU372">
        <f>W372-AI372</f>
        <v>0</v>
      </c>
      <c r="AV372">
        <f>X372-AJ372</f>
        <v>0</v>
      </c>
      <c r="AW372">
        <f>Y372-AK372</f>
        <v>0</v>
      </c>
      <c r="AX372">
        <f>Z372-AL372</f>
        <v>0</v>
      </c>
      <c r="AY372">
        <f>AA372-AM372</f>
        <v>0</v>
      </c>
      <c r="AZ372">
        <f>AB372-AN372</f>
        <v>0</v>
      </c>
      <c r="BA372">
        <f>AC372-AO372</f>
        <v>0</v>
      </c>
      <c r="BB372">
        <f>AD372-AP372</f>
        <v>0</v>
      </c>
      <c r="BC372">
        <f>AE372-AQ372</f>
        <v>0</v>
      </c>
      <c r="BD372">
        <f>AF372-AR372</f>
        <v>0</v>
      </c>
      <c r="BE372">
        <f>AG372-AS372</f>
        <v>0</v>
      </c>
    </row>
    <row r="373">
      <c r="A373" t="n">
        <v>343</v>
      </c>
      <c r="B373">
        <f>SUMPRODUCT(ROUND($AT372:$BE372*(1+'Calc base'!$H373:$S373),2))</f>
        <v>0</v>
      </c>
      <c r="C373">
        <f>SUM(J373:U373)</f>
        <v>0</v>
      </c>
      <c r="D373">
        <f>SUM(V373:AG373)</f>
        <v>0</v>
      </c>
      <c r="E373">
        <f>MAX(0,IF(Impostazioni!$B$7="No",'Calc base'!$C373-$C$31,'Calc base'!$C373-C373)+'Calc base'!$G373+'Calc base'!$F373-(B373-C373-D373))</f>
        <v>900</v>
      </c>
      <c r="F373">
        <f>SUM(AH373:AS373)</f>
        <v>0</v>
      </c>
      <c r="G373">
        <f>SUM(AT373:BE373)</f>
        <v>0</v>
      </c>
      <c r="H373">
        <f>B373-G372</f>
        <v>0</v>
      </c>
      <c r="I373">
        <f>B373-G373</f>
        <v>0</v>
      </c>
      <c r="J373">
        <f>IF(AT372&lt;=0,0,IF(ROUND(AT372*(1+'Calc base'!H373),2)-MAX('Calc base'!C$12,ROUND('Calc base'!C$13*AT372,2))&lt;1,ROUND(AT372*(1+'Calc base'!H373),2),MAX('Calc base'!C$12,ROUND('Calc base'!C$13*AT372,2))))</f>
        <v>0</v>
      </c>
      <c r="K373">
        <f>IF(AU372&lt;=0,0,IF(ROUND(AU372*(1+'Calc base'!I373),2)-MAX('Calc base'!D$12,ROUND('Calc base'!D$13*AU372,2))&lt;1,ROUND(AU372*(1+'Calc base'!I373),2),MAX('Calc base'!D$12,ROUND('Calc base'!D$13*AU372,2))))</f>
        <v>0</v>
      </c>
      <c r="L373">
        <f>IF(AV372&lt;=0,0,IF(ROUND(AV372*(1+'Calc base'!J373),2)-MAX('Calc base'!E$12,ROUND('Calc base'!E$13*AV372,2))&lt;1,ROUND(AV372*(1+'Calc base'!J373),2),MAX('Calc base'!E$12,ROUND('Calc base'!E$13*AV372,2))))</f>
        <v>0</v>
      </c>
      <c r="M373">
        <f>IF(AW372&lt;=0,0,IF(ROUND(AW372*(1+'Calc base'!K373),2)-MAX('Calc base'!F$12,ROUND('Calc base'!F$13*AW372,2))&lt;1,ROUND(AW372*(1+'Calc base'!K373),2),MAX('Calc base'!F$12,ROUND('Calc base'!F$13*AW372,2))))</f>
        <v>0</v>
      </c>
      <c r="N373">
        <f>IF(AX372&lt;=0,0,IF(ROUND(AX372*(1+'Calc base'!L373),2)-MAX('Calc base'!G$12,ROUND('Calc base'!G$13*AX372,2))&lt;1,ROUND(AX372*(1+'Calc base'!L373),2),MAX('Calc base'!G$12,ROUND('Calc base'!G$13*AX372,2))))</f>
        <v>0</v>
      </c>
      <c r="O373">
        <f>IF(AY372&lt;=0,0,IF(ROUND(AY372*(1+'Calc base'!M373),2)-MAX('Calc base'!H$12,ROUND('Calc base'!H$13*AY372,2))&lt;1,ROUND(AY372*(1+'Calc base'!M373),2),MAX('Calc base'!H$12,ROUND('Calc base'!H$13*AY372,2))))</f>
        <v>0</v>
      </c>
      <c r="P373">
        <f>IF(AZ372&lt;=0,0,IF(ROUND(AZ372*(1+'Calc base'!N373),2)-MAX('Calc base'!I$12,ROUND('Calc base'!I$13*AZ372,2))&lt;1,ROUND(AZ372*(1+'Calc base'!N373),2),MAX('Calc base'!I$12,ROUND('Calc base'!I$13*AZ372,2))))</f>
        <v>0</v>
      </c>
      <c r="Q373">
        <f>IF(BA372&lt;=0,0,IF(ROUND(BA372*(1+'Calc base'!O373),2)-MAX('Calc base'!J$12,ROUND('Calc base'!J$13*BA372,2))&lt;1,ROUND(BA372*(1+'Calc base'!O373),2),MAX('Calc base'!J$12,ROUND('Calc base'!J$13*BA372,2))))</f>
        <v>0</v>
      </c>
      <c r="R373">
        <f>IF(BB372&lt;=0,0,IF(ROUND(BB372*(1+'Calc base'!P373),2)-MAX('Calc base'!K$12,ROUND('Calc base'!K$13*BB372,2))&lt;1,ROUND(BB372*(1+'Calc base'!P373),2),MAX('Calc base'!K$12,ROUND('Calc base'!K$13*BB372,2))))</f>
        <v>0</v>
      </c>
      <c r="S373">
        <f>IF(BC372&lt;=0,0,IF(ROUND(BC372*(1+'Calc base'!Q373),2)-MAX('Calc base'!L$12,ROUND('Calc base'!L$13*BC372,2))&lt;1,ROUND(BC372*(1+'Calc base'!Q373),2),MAX('Calc base'!L$12,ROUND('Calc base'!L$13*BC372,2))))</f>
        <v>0</v>
      </c>
      <c r="T373">
        <f>IF(BD372&lt;=0,0,IF(ROUND(BD372*(1+'Calc base'!R373),2)-MAX('Calc base'!M$12,ROUND('Calc base'!M$13*BD372,2))&lt;1,ROUND(BD372*(1+'Calc base'!R373),2),MAX('Calc base'!M$12,ROUND('Calc base'!M$13*BD372,2))))</f>
        <v>0</v>
      </c>
      <c r="U373">
        <f>IF(BE372&lt;=0,0,IF(ROUND(BE372*(1+'Calc base'!S373),2)-MAX('Calc base'!N$12,ROUND('Calc base'!N$13*BE372,2))&lt;1,ROUND(BE372*(1+'Calc base'!S373),2),MAX('Calc base'!N$12,ROUND('Calc base'!N$13*BE372,2))))</f>
        <v>0</v>
      </c>
      <c r="V373">
        <f>MAX(0,ROUND(AT372*(1+'Calc base'!H373),2)-J373-'Calc base'!T373)</f>
        <v>0</v>
      </c>
      <c r="W373">
        <f>MAX(0,ROUND(AU372*(1+'Calc base'!I373),2)-K373-'Calc base'!U373)</f>
        <v>0</v>
      </c>
      <c r="X373">
        <f>MAX(0,ROUND(AV372*(1+'Calc base'!J373),2)-L373-'Calc base'!V373)</f>
        <v>0</v>
      </c>
      <c r="Y373">
        <f>MAX(0,ROUND(AW372*(1+'Calc base'!K373),2)-M373-'Calc base'!W373)</f>
        <v>0</v>
      </c>
      <c r="Z373">
        <f>MAX(0,ROUND(AX372*(1+'Calc base'!L373),2)-N373-'Calc base'!X373)</f>
        <v>0</v>
      </c>
      <c r="AA373">
        <f>MAX(0,ROUND(AY372*(1+'Calc base'!M373),2)-O373-'Calc base'!Y373)</f>
        <v>0</v>
      </c>
      <c r="AB373">
        <f>MAX(0,ROUND(AZ372*(1+'Calc base'!N373),2)-P373-'Calc base'!Z373)</f>
        <v>0</v>
      </c>
      <c r="AC373">
        <f>MAX(0,ROUND(BA372*(1+'Calc base'!O373),2)-Q373-'Calc base'!AA373)</f>
        <v>0</v>
      </c>
      <c r="AD373">
        <f>MAX(0,ROUND(BB372*(1+'Calc base'!P373),2)-R373-'Calc base'!AB373)</f>
        <v>0</v>
      </c>
      <c r="AE373">
        <f>MAX(0,ROUND(BC372*(1+'Calc base'!Q373),2)-S373-'Calc base'!AC373)</f>
        <v>0</v>
      </c>
      <c r="AF373">
        <f>MAX(0,ROUND(BD372*(1+'Calc base'!R373),2)-T373-'Calc base'!AD373)</f>
        <v>0</v>
      </c>
      <c r="AG373">
        <f>MAX(0,ROUND(BE372*(1+'Calc base'!S373),2)-U373-'Calc base'!AE373)</f>
        <v>0</v>
      </c>
      <c r="AH373">
        <f>IF('Calc base'!C$14=0,0,MIN(V373,MAX(0,$E373-SUMIFS($V373:$AG373,'Calc base'!$C$17:$N$17,"&lt;"&amp;'Calc base'!C$17,'Calc base'!$C$14:$N$14,1))))</f>
        <v>0</v>
      </c>
      <c r="AI373">
        <f>IF('Calc base'!D$14=0,0,MIN(W373,MAX(0,$E373-SUMIFS($V373:$AG373,'Calc base'!$C$17:$N$17,"&lt;"&amp;'Calc base'!D$17,'Calc base'!$C$14:$N$14,1))))</f>
        <v>0</v>
      </c>
      <c r="AJ373">
        <f>IF('Calc base'!E$14=0,0,MIN(X373,MAX(0,$E373-SUMIFS($V373:$AG373,'Calc base'!$C$17:$N$17,"&lt;"&amp;'Calc base'!E$17,'Calc base'!$C$14:$N$14,1))))</f>
        <v>0</v>
      </c>
      <c r="AK373">
        <f>IF('Calc base'!F$14=0,0,MIN(Y373,MAX(0,$E373-SUMIFS($V373:$AG373,'Calc base'!$C$17:$N$17,"&lt;"&amp;'Calc base'!F$17,'Calc base'!$C$14:$N$14,1))))</f>
        <v>0</v>
      </c>
      <c r="AL373">
        <f>IF('Calc base'!G$14=0,0,MIN(Z373,MAX(0,$E373-SUMIFS($V373:$AG373,'Calc base'!$C$17:$N$17,"&lt;"&amp;'Calc base'!G$17,'Calc base'!$C$14:$N$14,1))))</f>
        <v>0</v>
      </c>
      <c r="AM373">
        <f>IF('Calc base'!H$14=0,0,MIN(AA373,MAX(0,$E373-SUMIFS($V373:$AG373,'Calc base'!$C$17:$N$17,"&lt;"&amp;'Calc base'!H$17,'Calc base'!$C$14:$N$14,1))))</f>
        <v>0</v>
      </c>
      <c r="AN373">
        <f>IF('Calc base'!I$14=0,0,MIN(AB373,MAX(0,$E373-SUMIFS($V373:$AG373,'Calc base'!$C$17:$N$17,"&lt;"&amp;'Calc base'!I$17,'Calc base'!$C$14:$N$14,1))))</f>
        <v>0</v>
      </c>
      <c r="AO373">
        <f>IF('Calc base'!J$14=0,0,MIN(AC373,MAX(0,$E373-SUMIFS($V373:$AG373,'Calc base'!$C$17:$N$17,"&lt;"&amp;'Calc base'!J$17,'Calc base'!$C$14:$N$14,1))))</f>
        <v>0</v>
      </c>
      <c r="AP373">
        <f>IF('Calc base'!K$14=0,0,MIN(AD373,MAX(0,$E373-SUMIFS($V373:$AG373,'Calc base'!$C$17:$N$17,"&lt;"&amp;'Calc base'!K$17,'Calc base'!$C$14:$N$14,1))))</f>
        <v>0</v>
      </c>
      <c r="AQ373">
        <f>IF('Calc base'!L$14=0,0,MIN(AE373,MAX(0,$E373-SUMIFS($V373:$AG373,'Calc base'!$C$17:$N$17,"&lt;"&amp;'Calc base'!L$17,'Calc base'!$C$14:$N$14,1))))</f>
        <v>0</v>
      </c>
      <c r="AR373">
        <f>IF('Calc base'!M$14=0,0,MIN(AF373,MAX(0,$E373-SUMIFS($V373:$AG373,'Calc base'!$C$17:$N$17,"&lt;"&amp;'Calc base'!M$17,'Calc base'!$C$14:$N$14,1))))</f>
        <v>0</v>
      </c>
      <c r="AS373">
        <f>IF('Calc base'!N$14=0,0,MIN(AG373,MAX(0,$E373-SUMIFS($V373:$AG373,'Calc base'!$C$17:$N$17,"&lt;"&amp;'Calc base'!N$17,'Calc base'!$C$14:$N$14,1))))</f>
        <v>0</v>
      </c>
      <c r="AT373">
        <f>V373-AH373</f>
        <v>0</v>
      </c>
      <c r="AU373">
        <f>W373-AI373</f>
        <v>0</v>
      </c>
      <c r="AV373">
        <f>X373-AJ373</f>
        <v>0</v>
      </c>
      <c r="AW373">
        <f>Y373-AK373</f>
        <v>0</v>
      </c>
      <c r="AX373">
        <f>Z373-AL373</f>
        <v>0</v>
      </c>
      <c r="AY373">
        <f>AA373-AM373</f>
        <v>0</v>
      </c>
      <c r="AZ373">
        <f>AB373-AN373</f>
        <v>0</v>
      </c>
      <c r="BA373">
        <f>AC373-AO373</f>
        <v>0</v>
      </c>
      <c r="BB373">
        <f>AD373-AP373</f>
        <v>0</v>
      </c>
      <c r="BC373">
        <f>AE373-AQ373</f>
        <v>0</v>
      </c>
      <c r="BD373">
        <f>AF373-AR373</f>
        <v>0</v>
      </c>
      <c r="BE373">
        <f>AG373-AS373</f>
        <v>0</v>
      </c>
    </row>
    <row r="374">
      <c r="A374" t="n">
        <v>344</v>
      </c>
      <c r="B374">
        <f>SUMPRODUCT(ROUND($AT373:$BE373*(1+'Calc base'!$H374:$S374),2))</f>
        <v>0</v>
      </c>
      <c r="C374">
        <f>SUM(J374:U374)</f>
        <v>0</v>
      </c>
      <c r="D374">
        <f>SUM(V374:AG374)</f>
        <v>0</v>
      </c>
      <c r="E374">
        <f>MAX(0,IF(Impostazioni!$B$7="No",'Calc base'!$C374-$C$31,'Calc base'!$C374-C374)+'Calc base'!$G374+'Calc base'!$F374-(B374-C374-D374))</f>
        <v>900</v>
      </c>
      <c r="F374">
        <f>SUM(AH374:AS374)</f>
        <v>0</v>
      </c>
      <c r="G374">
        <f>SUM(AT374:BE374)</f>
        <v>0</v>
      </c>
      <c r="H374">
        <f>B374-G373</f>
        <v>0</v>
      </c>
      <c r="I374">
        <f>B374-G374</f>
        <v>0</v>
      </c>
      <c r="J374">
        <f>IF(AT373&lt;=0,0,IF(ROUND(AT373*(1+'Calc base'!H374),2)-MAX('Calc base'!C$12,ROUND('Calc base'!C$13*AT373,2))&lt;1,ROUND(AT373*(1+'Calc base'!H374),2),MAX('Calc base'!C$12,ROUND('Calc base'!C$13*AT373,2))))</f>
        <v>0</v>
      </c>
      <c r="K374">
        <f>IF(AU373&lt;=0,0,IF(ROUND(AU373*(1+'Calc base'!I374),2)-MAX('Calc base'!D$12,ROUND('Calc base'!D$13*AU373,2))&lt;1,ROUND(AU373*(1+'Calc base'!I374),2),MAX('Calc base'!D$12,ROUND('Calc base'!D$13*AU373,2))))</f>
        <v>0</v>
      </c>
      <c r="L374">
        <f>IF(AV373&lt;=0,0,IF(ROUND(AV373*(1+'Calc base'!J374),2)-MAX('Calc base'!E$12,ROUND('Calc base'!E$13*AV373,2))&lt;1,ROUND(AV373*(1+'Calc base'!J374),2),MAX('Calc base'!E$12,ROUND('Calc base'!E$13*AV373,2))))</f>
        <v>0</v>
      </c>
      <c r="M374">
        <f>IF(AW373&lt;=0,0,IF(ROUND(AW373*(1+'Calc base'!K374),2)-MAX('Calc base'!F$12,ROUND('Calc base'!F$13*AW373,2))&lt;1,ROUND(AW373*(1+'Calc base'!K374),2),MAX('Calc base'!F$12,ROUND('Calc base'!F$13*AW373,2))))</f>
        <v>0</v>
      </c>
      <c r="N374">
        <f>IF(AX373&lt;=0,0,IF(ROUND(AX373*(1+'Calc base'!L374),2)-MAX('Calc base'!G$12,ROUND('Calc base'!G$13*AX373,2))&lt;1,ROUND(AX373*(1+'Calc base'!L374),2),MAX('Calc base'!G$12,ROUND('Calc base'!G$13*AX373,2))))</f>
        <v>0</v>
      </c>
      <c r="O374">
        <f>IF(AY373&lt;=0,0,IF(ROUND(AY373*(1+'Calc base'!M374),2)-MAX('Calc base'!H$12,ROUND('Calc base'!H$13*AY373,2))&lt;1,ROUND(AY373*(1+'Calc base'!M374),2),MAX('Calc base'!H$12,ROUND('Calc base'!H$13*AY373,2))))</f>
        <v>0</v>
      </c>
      <c r="P374">
        <f>IF(AZ373&lt;=0,0,IF(ROUND(AZ373*(1+'Calc base'!N374),2)-MAX('Calc base'!I$12,ROUND('Calc base'!I$13*AZ373,2))&lt;1,ROUND(AZ373*(1+'Calc base'!N374),2),MAX('Calc base'!I$12,ROUND('Calc base'!I$13*AZ373,2))))</f>
        <v>0</v>
      </c>
      <c r="Q374">
        <f>IF(BA373&lt;=0,0,IF(ROUND(BA373*(1+'Calc base'!O374),2)-MAX('Calc base'!J$12,ROUND('Calc base'!J$13*BA373,2))&lt;1,ROUND(BA373*(1+'Calc base'!O374),2),MAX('Calc base'!J$12,ROUND('Calc base'!J$13*BA373,2))))</f>
        <v>0</v>
      </c>
      <c r="R374">
        <f>IF(BB373&lt;=0,0,IF(ROUND(BB373*(1+'Calc base'!P374),2)-MAX('Calc base'!K$12,ROUND('Calc base'!K$13*BB373,2))&lt;1,ROUND(BB373*(1+'Calc base'!P374),2),MAX('Calc base'!K$12,ROUND('Calc base'!K$13*BB373,2))))</f>
        <v>0</v>
      </c>
      <c r="S374">
        <f>IF(BC373&lt;=0,0,IF(ROUND(BC373*(1+'Calc base'!Q374),2)-MAX('Calc base'!L$12,ROUND('Calc base'!L$13*BC373,2))&lt;1,ROUND(BC373*(1+'Calc base'!Q374),2),MAX('Calc base'!L$12,ROUND('Calc base'!L$13*BC373,2))))</f>
        <v>0</v>
      </c>
      <c r="T374">
        <f>IF(BD373&lt;=0,0,IF(ROUND(BD373*(1+'Calc base'!R374),2)-MAX('Calc base'!M$12,ROUND('Calc base'!M$13*BD373,2))&lt;1,ROUND(BD373*(1+'Calc base'!R374),2),MAX('Calc base'!M$12,ROUND('Calc base'!M$13*BD373,2))))</f>
        <v>0</v>
      </c>
      <c r="U374">
        <f>IF(BE373&lt;=0,0,IF(ROUND(BE373*(1+'Calc base'!S374),2)-MAX('Calc base'!N$12,ROUND('Calc base'!N$13*BE373,2))&lt;1,ROUND(BE373*(1+'Calc base'!S374),2),MAX('Calc base'!N$12,ROUND('Calc base'!N$13*BE373,2))))</f>
        <v>0</v>
      </c>
      <c r="V374">
        <f>MAX(0,ROUND(AT373*(1+'Calc base'!H374),2)-J374-'Calc base'!T374)</f>
        <v>0</v>
      </c>
      <c r="W374">
        <f>MAX(0,ROUND(AU373*(1+'Calc base'!I374),2)-K374-'Calc base'!U374)</f>
        <v>0</v>
      </c>
      <c r="X374">
        <f>MAX(0,ROUND(AV373*(1+'Calc base'!J374),2)-L374-'Calc base'!V374)</f>
        <v>0</v>
      </c>
      <c r="Y374">
        <f>MAX(0,ROUND(AW373*(1+'Calc base'!K374),2)-M374-'Calc base'!W374)</f>
        <v>0</v>
      </c>
      <c r="Z374">
        <f>MAX(0,ROUND(AX373*(1+'Calc base'!L374),2)-N374-'Calc base'!X374)</f>
        <v>0</v>
      </c>
      <c r="AA374">
        <f>MAX(0,ROUND(AY373*(1+'Calc base'!M374),2)-O374-'Calc base'!Y374)</f>
        <v>0</v>
      </c>
      <c r="AB374">
        <f>MAX(0,ROUND(AZ373*(1+'Calc base'!N374),2)-P374-'Calc base'!Z374)</f>
        <v>0</v>
      </c>
      <c r="AC374">
        <f>MAX(0,ROUND(BA373*(1+'Calc base'!O374),2)-Q374-'Calc base'!AA374)</f>
        <v>0</v>
      </c>
      <c r="AD374">
        <f>MAX(0,ROUND(BB373*(1+'Calc base'!P374),2)-R374-'Calc base'!AB374)</f>
        <v>0</v>
      </c>
      <c r="AE374">
        <f>MAX(0,ROUND(BC373*(1+'Calc base'!Q374),2)-S374-'Calc base'!AC374)</f>
        <v>0</v>
      </c>
      <c r="AF374">
        <f>MAX(0,ROUND(BD373*(1+'Calc base'!R374),2)-T374-'Calc base'!AD374)</f>
        <v>0</v>
      </c>
      <c r="AG374">
        <f>MAX(0,ROUND(BE373*(1+'Calc base'!S374),2)-U374-'Calc base'!AE374)</f>
        <v>0</v>
      </c>
      <c r="AH374">
        <f>IF('Calc base'!C$14=0,0,MIN(V374,MAX(0,$E374-SUMIFS($V374:$AG374,'Calc base'!$C$17:$N$17,"&lt;"&amp;'Calc base'!C$17,'Calc base'!$C$14:$N$14,1))))</f>
        <v>0</v>
      </c>
      <c r="AI374">
        <f>IF('Calc base'!D$14=0,0,MIN(W374,MAX(0,$E374-SUMIFS($V374:$AG374,'Calc base'!$C$17:$N$17,"&lt;"&amp;'Calc base'!D$17,'Calc base'!$C$14:$N$14,1))))</f>
        <v>0</v>
      </c>
      <c r="AJ374">
        <f>IF('Calc base'!E$14=0,0,MIN(X374,MAX(0,$E374-SUMIFS($V374:$AG374,'Calc base'!$C$17:$N$17,"&lt;"&amp;'Calc base'!E$17,'Calc base'!$C$14:$N$14,1))))</f>
        <v>0</v>
      </c>
      <c r="AK374">
        <f>IF('Calc base'!F$14=0,0,MIN(Y374,MAX(0,$E374-SUMIFS($V374:$AG374,'Calc base'!$C$17:$N$17,"&lt;"&amp;'Calc base'!F$17,'Calc base'!$C$14:$N$14,1))))</f>
        <v>0</v>
      </c>
      <c r="AL374">
        <f>IF('Calc base'!G$14=0,0,MIN(Z374,MAX(0,$E374-SUMIFS($V374:$AG374,'Calc base'!$C$17:$N$17,"&lt;"&amp;'Calc base'!G$17,'Calc base'!$C$14:$N$14,1))))</f>
        <v>0</v>
      </c>
      <c r="AM374">
        <f>IF('Calc base'!H$14=0,0,MIN(AA374,MAX(0,$E374-SUMIFS($V374:$AG374,'Calc base'!$C$17:$N$17,"&lt;"&amp;'Calc base'!H$17,'Calc base'!$C$14:$N$14,1))))</f>
        <v>0</v>
      </c>
      <c r="AN374">
        <f>IF('Calc base'!I$14=0,0,MIN(AB374,MAX(0,$E374-SUMIFS($V374:$AG374,'Calc base'!$C$17:$N$17,"&lt;"&amp;'Calc base'!I$17,'Calc base'!$C$14:$N$14,1))))</f>
        <v>0</v>
      </c>
      <c r="AO374">
        <f>IF('Calc base'!J$14=0,0,MIN(AC374,MAX(0,$E374-SUMIFS($V374:$AG374,'Calc base'!$C$17:$N$17,"&lt;"&amp;'Calc base'!J$17,'Calc base'!$C$14:$N$14,1))))</f>
        <v>0</v>
      </c>
      <c r="AP374">
        <f>IF('Calc base'!K$14=0,0,MIN(AD374,MAX(0,$E374-SUMIFS($V374:$AG374,'Calc base'!$C$17:$N$17,"&lt;"&amp;'Calc base'!K$17,'Calc base'!$C$14:$N$14,1))))</f>
        <v>0</v>
      </c>
      <c r="AQ374">
        <f>IF('Calc base'!L$14=0,0,MIN(AE374,MAX(0,$E374-SUMIFS($V374:$AG374,'Calc base'!$C$17:$N$17,"&lt;"&amp;'Calc base'!L$17,'Calc base'!$C$14:$N$14,1))))</f>
        <v>0</v>
      </c>
      <c r="AR374">
        <f>IF('Calc base'!M$14=0,0,MIN(AF374,MAX(0,$E374-SUMIFS($V374:$AG374,'Calc base'!$C$17:$N$17,"&lt;"&amp;'Calc base'!M$17,'Calc base'!$C$14:$N$14,1))))</f>
        <v>0</v>
      </c>
      <c r="AS374">
        <f>IF('Calc base'!N$14=0,0,MIN(AG374,MAX(0,$E374-SUMIFS($V374:$AG374,'Calc base'!$C$17:$N$17,"&lt;"&amp;'Calc base'!N$17,'Calc base'!$C$14:$N$14,1))))</f>
        <v>0</v>
      </c>
      <c r="AT374">
        <f>V374-AH374</f>
        <v>0</v>
      </c>
      <c r="AU374">
        <f>W374-AI374</f>
        <v>0</v>
      </c>
      <c r="AV374">
        <f>X374-AJ374</f>
        <v>0</v>
      </c>
      <c r="AW374">
        <f>Y374-AK374</f>
        <v>0</v>
      </c>
      <c r="AX374">
        <f>Z374-AL374</f>
        <v>0</v>
      </c>
      <c r="AY374">
        <f>AA374-AM374</f>
        <v>0</v>
      </c>
      <c r="AZ374">
        <f>AB374-AN374</f>
        <v>0</v>
      </c>
      <c r="BA374">
        <f>AC374-AO374</f>
        <v>0</v>
      </c>
      <c r="BB374">
        <f>AD374-AP374</f>
        <v>0</v>
      </c>
      <c r="BC374">
        <f>AE374-AQ374</f>
        <v>0</v>
      </c>
      <c r="BD374">
        <f>AF374-AR374</f>
        <v>0</v>
      </c>
      <c r="BE374">
        <f>AG374-AS374</f>
        <v>0</v>
      </c>
    </row>
    <row r="375">
      <c r="A375" t="n">
        <v>345</v>
      </c>
      <c r="B375">
        <f>SUMPRODUCT(ROUND($AT374:$BE374*(1+'Calc base'!$H375:$S375),2))</f>
        <v>0</v>
      </c>
      <c r="C375">
        <f>SUM(J375:U375)</f>
        <v>0</v>
      </c>
      <c r="D375">
        <f>SUM(V375:AG375)</f>
        <v>0</v>
      </c>
      <c r="E375">
        <f>MAX(0,IF(Impostazioni!$B$7="No",'Calc base'!$C375-$C$31,'Calc base'!$C375-C375)+'Calc base'!$G375+'Calc base'!$F375-(B375-C375-D375))</f>
        <v>900</v>
      </c>
      <c r="F375">
        <f>SUM(AH375:AS375)</f>
        <v>0</v>
      </c>
      <c r="G375">
        <f>SUM(AT375:BE375)</f>
        <v>0</v>
      </c>
      <c r="H375">
        <f>B375-G374</f>
        <v>0</v>
      </c>
      <c r="I375">
        <f>B375-G375</f>
        <v>0</v>
      </c>
      <c r="J375">
        <f>IF(AT374&lt;=0,0,IF(ROUND(AT374*(1+'Calc base'!H375),2)-MAX('Calc base'!C$12,ROUND('Calc base'!C$13*AT374,2))&lt;1,ROUND(AT374*(1+'Calc base'!H375),2),MAX('Calc base'!C$12,ROUND('Calc base'!C$13*AT374,2))))</f>
        <v>0</v>
      </c>
      <c r="K375">
        <f>IF(AU374&lt;=0,0,IF(ROUND(AU374*(1+'Calc base'!I375),2)-MAX('Calc base'!D$12,ROUND('Calc base'!D$13*AU374,2))&lt;1,ROUND(AU374*(1+'Calc base'!I375),2),MAX('Calc base'!D$12,ROUND('Calc base'!D$13*AU374,2))))</f>
        <v>0</v>
      </c>
      <c r="L375">
        <f>IF(AV374&lt;=0,0,IF(ROUND(AV374*(1+'Calc base'!J375),2)-MAX('Calc base'!E$12,ROUND('Calc base'!E$13*AV374,2))&lt;1,ROUND(AV374*(1+'Calc base'!J375),2),MAX('Calc base'!E$12,ROUND('Calc base'!E$13*AV374,2))))</f>
        <v>0</v>
      </c>
      <c r="M375">
        <f>IF(AW374&lt;=0,0,IF(ROUND(AW374*(1+'Calc base'!K375),2)-MAX('Calc base'!F$12,ROUND('Calc base'!F$13*AW374,2))&lt;1,ROUND(AW374*(1+'Calc base'!K375),2),MAX('Calc base'!F$12,ROUND('Calc base'!F$13*AW374,2))))</f>
        <v>0</v>
      </c>
      <c r="N375">
        <f>IF(AX374&lt;=0,0,IF(ROUND(AX374*(1+'Calc base'!L375),2)-MAX('Calc base'!G$12,ROUND('Calc base'!G$13*AX374,2))&lt;1,ROUND(AX374*(1+'Calc base'!L375),2),MAX('Calc base'!G$12,ROUND('Calc base'!G$13*AX374,2))))</f>
        <v>0</v>
      </c>
      <c r="O375">
        <f>IF(AY374&lt;=0,0,IF(ROUND(AY374*(1+'Calc base'!M375),2)-MAX('Calc base'!H$12,ROUND('Calc base'!H$13*AY374,2))&lt;1,ROUND(AY374*(1+'Calc base'!M375),2),MAX('Calc base'!H$12,ROUND('Calc base'!H$13*AY374,2))))</f>
        <v>0</v>
      </c>
      <c r="P375">
        <f>IF(AZ374&lt;=0,0,IF(ROUND(AZ374*(1+'Calc base'!N375),2)-MAX('Calc base'!I$12,ROUND('Calc base'!I$13*AZ374,2))&lt;1,ROUND(AZ374*(1+'Calc base'!N375),2),MAX('Calc base'!I$12,ROUND('Calc base'!I$13*AZ374,2))))</f>
        <v>0</v>
      </c>
      <c r="Q375">
        <f>IF(BA374&lt;=0,0,IF(ROUND(BA374*(1+'Calc base'!O375),2)-MAX('Calc base'!J$12,ROUND('Calc base'!J$13*BA374,2))&lt;1,ROUND(BA374*(1+'Calc base'!O375),2),MAX('Calc base'!J$12,ROUND('Calc base'!J$13*BA374,2))))</f>
        <v>0</v>
      </c>
      <c r="R375">
        <f>IF(BB374&lt;=0,0,IF(ROUND(BB374*(1+'Calc base'!P375),2)-MAX('Calc base'!K$12,ROUND('Calc base'!K$13*BB374,2))&lt;1,ROUND(BB374*(1+'Calc base'!P375),2),MAX('Calc base'!K$12,ROUND('Calc base'!K$13*BB374,2))))</f>
        <v>0</v>
      </c>
      <c r="S375">
        <f>IF(BC374&lt;=0,0,IF(ROUND(BC374*(1+'Calc base'!Q375),2)-MAX('Calc base'!L$12,ROUND('Calc base'!L$13*BC374,2))&lt;1,ROUND(BC374*(1+'Calc base'!Q375),2),MAX('Calc base'!L$12,ROUND('Calc base'!L$13*BC374,2))))</f>
        <v>0</v>
      </c>
      <c r="T375">
        <f>IF(BD374&lt;=0,0,IF(ROUND(BD374*(1+'Calc base'!R375),2)-MAX('Calc base'!M$12,ROUND('Calc base'!M$13*BD374,2))&lt;1,ROUND(BD374*(1+'Calc base'!R375),2),MAX('Calc base'!M$12,ROUND('Calc base'!M$13*BD374,2))))</f>
        <v>0</v>
      </c>
      <c r="U375">
        <f>IF(BE374&lt;=0,0,IF(ROUND(BE374*(1+'Calc base'!S375),2)-MAX('Calc base'!N$12,ROUND('Calc base'!N$13*BE374,2))&lt;1,ROUND(BE374*(1+'Calc base'!S375),2),MAX('Calc base'!N$12,ROUND('Calc base'!N$13*BE374,2))))</f>
        <v>0</v>
      </c>
      <c r="V375">
        <f>MAX(0,ROUND(AT374*(1+'Calc base'!H375),2)-J375-'Calc base'!T375)</f>
        <v>0</v>
      </c>
      <c r="W375">
        <f>MAX(0,ROUND(AU374*(1+'Calc base'!I375),2)-K375-'Calc base'!U375)</f>
        <v>0</v>
      </c>
      <c r="X375">
        <f>MAX(0,ROUND(AV374*(1+'Calc base'!J375),2)-L375-'Calc base'!V375)</f>
        <v>0</v>
      </c>
      <c r="Y375">
        <f>MAX(0,ROUND(AW374*(1+'Calc base'!K375),2)-M375-'Calc base'!W375)</f>
        <v>0</v>
      </c>
      <c r="Z375">
        <f>MAX(0,ROUND(AX374*(1+'Calc base'!L375),2)-N375-'Calc base'!X375)</f>
        <v>0</v>
      </c>
      <c r="AA375">
        <f>MAX(0,ROUND(AY374*(1+'Calc base'!M375),2)-O375-'Calc base'!Y375)</f>
        <v>0</v>
      </c>
      <c r="AB375">
        <f>MAX(0,ROUND(AZ374*(1+'Calc base'!N375),2)-P375-'Calc base'!Z375)</f>
        <v>0</v>
      </c>
      <c r="AC375">
        <f>MAX(0,ROUND(BA374*(1+'Calc base'!O375),2)-Q375-'Calc base'!AA375)</f>
        <v>0</v>
      </c>
      <c r="AD375">
        <f>MAX(0,ROUND(BB374*(1+'Calc base'!P375),2)-R375-'Calc base'!AB375)</f>
        <v>0</v>
      </c>
      <c r="AE375">
        <f>MAX(0,ROUND(BC374*(1+'Calc base'!Q375),2)-S375-'Calc base'!AC375)</f>
        <v>0</v>
      </c>
      <c r="AF375">
        <f>MAX(0,ROUND(BD374*(1+'Calc base'!R375),2)-T375-'Calc base'!AD375)</f>
        <v>0</v>
      </c>
      <c r="AG375">
        <f>MAX(0,ROUND(BE374*(1+'Calc base'!S375),2)-U375-'Calc base'!AE375)</f>
        <v>0</v>
      </c>
      <c r="AH375">
        <f>IF('Calc base'!C$14=0,0,MIN(V375,MAX(0,$E375-SUMIFS($V375:$AG375,'Calc base'!$C$17:$N$17,"&lt;"&amp;'Calc base'!C$17,'Calc base'!$C$14:$N$14,1))))</f>
        <v>0</v>
      </c>
      <c r="AI375">
        <f>IF('Calc base'!D$14=0,0,MIN(W375,MAX(0,$E375-SUMIFS($V375:$AG375,'Calc base'!$C$17:$N$17,"&lt;"&amp;'Calc base'!D$17,'Calc base'!$C$14:$N$14,1))))</f>
        <v>0</v>
      </c>
      <c r="AJ375">
        <f>IF('Calc base'!E$14=0,0,MIN(X375,MAX(0,$E375-SUMIFS($V375:$AG375,'Calc base'!$C$17:$N$17,"&lt;"&amp;'Calc base'!E$17,'Calc base'!$C$14:$N$14,1))))</f>
        <v>0</v>
      </c>
      <c r="AK375">
        <f>IF('Calc base'!F$14=0,0,MIN(Y375,MAX(0,$E375-SUMIFS($V375:$AG375,'Calc base'!$C$17:$N$17,"&lt;"&amp;'Calc base'!F$17,'Calc base'!$C$14:$N$14,1))))</f>
        <v>0</v>
      </c>
      <c r="AL375">
        <f>IF('Calc base'!G$14=0,0,MIN(Z375,MAX(0,$E375-SUMIFS($V375:$AG375,'Calc base'!$C$17:$N$17,"&lt;"&amp;'Calc base'!G$17,'Calc base'!$C$14:$N$14,1))))</f>
        <v>0</v>
      </c>
      <c r="AM375">
        <f>IF('Calc base'!H$14=0,0,MIN(AA375,MAX(0,$E375-SUMIFS($V375:$AG375,'Calc base'!$C$17:$N$17,"&lt;"&amp;'Calc base'!H$17,'Calc base'!$C$14:$N$14,1))))</f>
        <v>0</v>
      </c>
      <c r="AN375">
        <f>IF('Calc base'!I$14=0,0,MIN(AB375,MAX(0,$E375-SUMIFS($V375:$AG375,'Calc base'!$C$17:$N$17,"&lt;"&amp;'Calc base'!I$17,'Calc base'!$C$14:$N$14,1))))</f>
        <v>0</v>
      </c>
      <c r="AO375">
        <f>IF('Calc base'!J$14=0,0,MIN(AC375,MAX(0,$E375-SUMIFS($V375:$AG375,'Calc base'!$C$17:$N$17,"&lt;"&amp;'Calc base'!J$17,'Calc base'!$C$14:$N$14,1))))</f>
        <v>0</v>
      </c>
      <c r="AP375">
        <f>IF('Calc base'!K$14=0,0,MIN(AD375,MAX(0,$E375-SUMIFS($V375:$AG375,'Calc base'!$C$17:$N$17,"&lt;"&amp;'Calc base'!K$17,'Calc base'!$C$14:$N$14,1))))</f>
        <v>0</v>
      </c>
      <c r="AQ375">
        <f>IF('Calc base'!L$14=0,0,MIN(AE375,MAX(0,$E375-SUMIFS($V375:$AG375,'Calc base'!$C$17:$N$17,"&lt;"&amp;'Calc base'!L$17,'Calc base'!$C$14:$N$14,1))))</f>
        <v>0</v>
      </c>
      <c r="AR375">
        <f>IF('Calc base'!M$14=0,0,MIN(AF375,MAX(0,$E375-SUMIFS($V375:$AG375,'Calc base'!$C$17:$N$17,"&lt;"&amp;'Calc base'!M$17,'Calc base'!$C$14:$N$14,1))))</f>
        <v>0</v>
      </c>
      <c r="AS375">
        <f>IF('Calc base'!N$14=0,0,MIN(AG375,MAX(0,$E375-SUMIFS($V375:$AG375,'Calc base'!$C$17:$N$17,"&lt;"&amp;'Calc base'!N$17,'Calc base'!$C$14:$N$14,1))))</f>
        <v>0</v>
      </c>
      <c r="AT375">
        <f>V375-AH375</f>
        <v>0</v>
      </c>
      <c r="AU375">
        <f>W375-AI375</f>
        <v>0</v>
      </c>
      <c r="AV375">
        <f>X375-AJ375</f>
        <v>0</v>
      </c>
      <c r="AW375">
        <f>Y375-AK375</f>
        <v>0</v>
      </c>
      <c r="AX375">
        <f>Z375-AL375</f>
        <v>0</v>
      </c>
      <c r="AY375">
        <f>AA375-AM375</f>
        <v>0</v>
      </c>
      <c r="AZ375">
        <f>AB375-AN375</f>
        <v>0</v>
      </c>
      <c r="BA375">
        <f>AC375-AO375</f>
        <v>0</v>
      </c>
      <c r="BB375">
        <f>AD375-AP375</f>
        <v>0</v>
      </c>
      <c r="BC375">
        <f>AE375-AQ375</f>
        <v>0</v>
      </c>
      <c r="BD375">
        <f>AF375-AR375</f>
        <v>0</v>
      </c>
      <c r="BE375">
        <f>AG375-AS375</f>
        <v>0</v>
      </c>
    </row>
    <row r="376">
      <c r="A376" t="n">
        <v>346</v>
      </c>
      <c r="B376">
        <f>SUMPRODUCT(ROUND($AT375:$BE375*(1+'Calc base'!$H376:$S376),2))</f>
        <v>0</v>
      </c>
      <c r="C376">
        <f>SUM(J376:U376)</f>
        <v>0</v>
      </c>
      <c r="D376">
        <f>SUM(V376:AG376)</f>
        <v>0</v>
      </c>
      <c r="E376">
        <f>MAX(0,IF(Impostazioni!$B$7="No",'Calc base'!$C376-$C$31,'Calc base'!$C376-C376)+'Calc base'!$G376+'Calc base'!$F376-(B376-C376-D376))</f>
        <v>900</v>
      </c>
      <c r="F376">
        <f>SUM(AH376:AS376)</f>
        <v>0</v>
      </c>
      <c r="G376">
        <f>SUM(AT376:BE376)</f>
        <v>0</v>
      </c>
      <c r="H376">
        <f>B376-G375</f>
        <v>0</v>
      </c>
      <c r="I376">
        <f>B376-G376</f>
        <v>0</v>
      </c>
      <c r="J376">
        <f>IF(AT375&lt;=0,0,IF(ROUND(AT375*(1+'Calc base'!H376),2)-MAX('Calc base'!C$12,ROUND('Calc base'!C$13*AT375,2))&lt;1,ROUND(AT375*(1+'Calc base'!H376),2),MAX('Calc base'!C$12,ROUND('Calc base'!C$13*AT375,2))))</f>
        <v>0</v>
      </c>
      <c r="K376">
        <f>IF(AU375&lt;=0,0,IF(ROUND(AU375*(1+'Calc base'!I376),2)-MAX('Calc base'!D$12,ROUND('Calc base'!D$13*AU375,2))&lt;1,ROUND(AU375*(1+'Calc base'!I376),2),MAX('Calc base'!D$12,ROUND('Calc base'!D$13*AU375,2))))</f>
        <v>0</v>
      </c>
      <c r="L376">
        <f>IF(AV375&lt;=0,0,IF(ROUND(AV375*(1+'Calc base'!J376),2)-MAX('Calc base'!E$12,ROUND('Calc base'!E$13*AV375,2))&lt;1,ROUND(AV375*(1+'Calc base'!J376),2),MAX('Calc base'!E$12,ROUND('Calc base'!E$13*AV375,2))))</f>
        <v>0</v>
      </c>
      <c r="M376">
        <f>IF(AW375&lt;=0,0,IF(ROUND(AW375*(1+'Calc base'!K376),2)-MAX('Calc base'!F$12,ROUND('Calc base'!F$13*AW375,2))&lt;1,ROUND(AW375*(1+'Calc base'!K376),2),MAX('Calc base'!F$12,ROUND('Calc base'!F$13*AW375,2))))</f>
        <v>0</v>
      </c>
      <c r="N376">
        <f>IF(AX375&lt;=0,0,IF(ROUND(AX375*(1+'Calc base'!L376),2)-MAX('Calc base'!G$12,ROUND('Calc base'!G$13*AX375,2))&lt;1,ROUND(AX375*(1+'Calc base'!L376),2),MAX('Calc base'!G$12,ROUND('Calc base'!G$13*AX375,2))))</f>
        <v>0</v>
      </c>
      <c r="O376">
        <f>IF(AY375&lt;=0,0,IF(ROUND(AY375*(1+'Calc base'!M376),2)-MAX('Calc base'!H$12,ROUND('Calc base'!H$13*AY375,2))&lt;1,ROUND(AY375*(1+'Calc base'!M376),2),MAX('Calc base'!H$12,ROUND('Calc base'!H$13*AY375,2))))</f>
        <v>0</v>
      </c>
      <c r="P376">
        <f>IF(AZ375&lt;=0,0,IF(ROUND(AZ375*(1+'Calc base'!N376),2)-MAX('Calc base'!I$12,ROUND('Calc base'!I$13*AZ375,2))&lt;1,ROUND(AZ375*(1+'Calc base'!N376),2),MAX('Calc base'!I$12,ROUND('Calc base'!I$13*AZ375,2))))</f>
        <v>0</v>
      </c>
      <c r="Q376">
        <f>IF(BA375&lt;=0,0,IF(ROUND(BA375*(1+'Calc base'!O376),2)-MAX('Calc base'!J$12,ROUND('Calc base'!J$13*BA375,2))&lt;1,ROUND(BA375*(1+'Calc base'!O376),2),MAX('Calc base'!J$12,ROUND('Calc base'!J$13*BA375,2))))</f>
        <v>0</v>
      </c>
      <c r="R376">
        <f>IF(BB375&lt;=0,0,IF(ROUND(BB375*(1+'Calc base'!P376),2)-MAX('Calc base'!K$12,ROUND('Calc base'!K$13*BB375,2))&lt;1,ROUND(BB375*(1+'Calc base'!P376),2),MAX('Calc base'!K$12,ROUND('Calc base'!K$13*BB375,2))))</f>
        <v>0</v>
      </c>
      <c r="S376">
        <f>IF(BC375&lt;=0,0,IF(ROUND(BC375*(1+'Calc base'!Q376),2)-MAX('Calc base'!L$12,ROUND('Calc base'!L$13*BC375,2))&lt;1,ROUND(BC375*(1+'Calc base'!Q376),2),MAX('Calc base'!L$12,ROUND('Calc base'!L$13*BC375,2))))</f>
        <v>0</v>
      </c>
      <c r="T376">
        <f>IF(BD375&lt;=0,0,IF(ROUND(BD375*(1+'Calc base'!R376),2)-MAX('Calc base'!M$12,ROUND('Calc base'!M$13*BD375,2))&lt;1,ROUND(BD375*(1+'Calc base'!R376),2),MAX('Calc base'!M$12,ROUND('Calc base'!M$13*BD375,2))))</f>
        <v>0</v>
      </c>
      <c r="U376">
        <f>IF(BE375&lt;=0,0,IF(ROUND(BE375*(1+'Calc base'!S376),2)-MAX('Calc base'!N$12,ROUND('Calc base'!N$13*BE375,2))&lt;1,ROUND(BE375*(1+'Calc base'!S376),2),MAX('Calc base'!N$12,ROUND('Calc base'!N$13*BE375,2))))</f>
        <v>0</v>
      </c>
      <c r="V376">
        <f>MAX(0,ROUND(AT375*(1+'Calc base'!H376),2)-J376-'Calc base'!T376)</f>
        <v>0</v>
      </c>
      <c r="W376">
        <f>MAX(0,ROUND(AU375*(1+'Calc base'!I376),2)-K376-'Calc base'!U376)</f>
        <v>0</v>
      </c>
      <c r="X376">
        <f>MAX(0,ROUND(AV375*(1+'Calc base'!J376),2)-L376-'Calc base'!V376)</f>
        <v>0</v>
      </c>
      <c r="Y376">
        <f>MAX(0,ROUND(AW375*(1+'Calc base'!K376),2)-M376-'Calc base'!W376)</f>
        <v>0</v>
      </c>
      <c r="Z376">
        <f>MAX(0,ROUND(AX375*(1+'Calc base'!L376),2)-N376-'Calc base'!X376)</f>
        <v>0</v>
      </c>
      <c r="AA376">
        <f>MAX(0,ROUND(AY375*(1+'Calc base'!M376),2)-O376-'Calc base'!Y376)</f>
        <v>0</v>
      </c>
      <c r="AB376">
        <f>MAX(0,ROUND(AZ375*(1+'Calc base'!N376),2)-P376-'Calc base'!Z376)</f>
        <v>0</v>
      </c>
      <c r="AC376">
        <f>MAX(0,ROUND(BA375*(1+'Calc base'!O376),2)-Q376-'Calc base'!AA376)</f>
        <v>0</v>
      </c>
      <c r="AD376">
        <f>MAX(0,ROUND(BB375*(1+'Calc base'!P376),2)-R376-'Calc base'!AB376)</f>
        <v>0</v>
      </c>
      <c r="AE376">
        <f>MAX(0,ROUND(BC375*(1+'Calc base'!Q376),2)-S376-'Calc base'!AC376)</f>
        <v>0</v>
      </c>
      <c r="AF376">
        <f>MAX(0,ROUND(BD375*(1+'Calc base'!R376),2)-T376-'Calc base'!AD376)</f>
        <v>0</v>
      </c>
      <c r="AG376">
        <f>MAX(0,ROUND(BE375*(1+'Calc base'!S376),2)-U376-'Calc base'!AE376)</f>
        <v>0</v>
      </c>
      <c r="AH376">
        <f>IF('Calc base'!C$14=0,0,MIN(V376,MAX(0,$E376-SUMIFS($V376:$AG376,'Calc base'!$C$17:$N$17,"&lt;"&amp;'Calc base'!C$17,'Calc base'!$C$14:$N$14,1))))</f>
        <v>0</v>
      </c>
      <c r="AI376">
        <f>IF('Calc base'!D$14=0,0,MIN(W376,MAX(0,$E376-SUMIFS($V376:$AG376,'Calc base'!$C$17:$N$17,"&lt;"&amp;'Calc base'!D$17,'Calc base'!$C$14:$N$14,1))))</f>
        <v>0</v>
      </c>
      <c r="AJ376">
        <f>IF('Calc base'!E$14=0,0,MIN(X376,MAX(0,$E376-SUMIFS($V376:$AG376,'Calc base'!$C$17:$N$17,"&lt;"&amp;'Calc base'!E$17,'Calc base'!$C$14:$N$14,1))))</f>
        <v>0</v>
      </c>
      <c r="AK376">
        <f>IF('Calc base'!F$14=0,0,MIN(Y376,MAX(0,$E376-SUMIFS($V376:$AG376,'Calc base'!$C$17:$N$17,"&lt;"&amp;'Calc base'!F$17,'Calc base'!$C$14:$N$14,1))))</f>
        <v>0</v>
      </c>
      <c r="AL376">
        <f>IF('Calc base'!G$14=0,0,MIN(Z376,MAX(0,$E376-SUMIFS($V376:$AG376,'Calc base'!$C$17:$N$17,"&lt;"&amp;'Calc base'!G$17,'Calc base'!$C$14:$N$14,1))))</f>
        <v>0</v>
      </c>
      <c r="AM376">
        <f>IF('Calc base'!H$14=0,0,MIN(AA376,MAX(0,$E376-SUMIFS($V376:$AG376,'Calc base'!$C$17:$N$17,"&lt;"&amp;'Calc base'!H$17,'Calc base'!$C$14:$N$14,1))))</f>
        <v>0</v>
      </c>
      <c r="AN376">
        <f>IF('Calc base'!I$14=0,0,MIN(AB376,MAX(0,$E376-SUMIFS($V376:$AG376,'Calc base'!$C$17:$N$17,"&lt;"&amp;'Calc base'!I$17,'Calc base'!$C$14:$N$14,1))))</f>
        <v>0</v>
      </c>
      <c r="AO376">
        <f>IF('Calc base'!J$14=0,0,MIN(AC376,MAX(0,$E376-SUMIFS($V376:$AG376,'Calc base'!$C$17:$N$17,"&lt;"&amp;'Calc base'!J$17,'Calc base'!$C$14:$N$14,1))))</f>
        <v>0</v>
      </c>
      <c r="AP376">
        <f>IF('Calc base'!K$14=0,0,MIN(AD376,MAX(0,$E376-SUMIFS($V376:$AG376,'Calc base'!$C$17:$N$17,"&lt;"&amp;'Calc base'!K$17,'Calc base'!$C$14:$N$14,1))))</f>
        <v>0</v>
      </c>
      <c r="AQ376">
        <f>IF('Calc base'!L$14=0,0,MIN(AE376,MAX(0,$E376-SUMIFS($V376:$AG376,'Calc base'!$C$17:$N$17,"&lt;"&amp;'Calc base'!L$17,'Calc base'!$C$14:$N$14,1))))</f>
        <v>0</v>
      </c>
      <c r="AR376">
        <f>IF('Calc base'!M$14=0,0,MIN(AF376,MAX(0,$E376-SUMIFS($V376:$AG376,'Calc base'!$C$17:$N$17,"&lt;"&amp;'Calc base'!M$17,'Calc base'!$C$14:$N$14,1))))</f>
        <v>0</v>
      </c>
      <c r="AS376">
        <f>IF('Calc base'!N$14=0,0,MIN(AG376,MAX(0,$E376-SUMIFS($V376:$AG376,'Calc base'!$C$17:$N$17,"&lt;"&amp;'Calc base'!N$17,'Calc base'!$C$14:$N$14,1))))</f>
        <v>0</v>
      </c>
      <c r="AT376">
        <f>V376-AH376</f>
        <v>0</v>
      </c>
      <c r="AU376">
        <f>W376-AI376</f>
        <v>0</v>
      </c>
      <c r="AV376">
        <f>X376-AJ376</f>
        <v>0</v>
      </c>
      <c r="AW376">
        <f>Y376-AK376</f>
        <v>0</v>
      </c>
      <c r="AX376">
        <f>Z376-AL376</f>
        <v>0</v>
      </c>
      <c r="AY376">
        <f>AA376-AM376</f>
        <v>0</v>
      </c>
      <c r="AZ376">
        <f>AB376-AN376</f>
        <v>0</v>
      </c>
      <c r="BA376">
        <f>AC376-AO376</f>
        <v>0</v>
      </c>
      <c r="BB376">
        <f>AD376-AP376</f>
        <v>0</v>
      </c>
      <c r="BC376">
        <f>AE376-AQ376</f>
        <v>0</v>
      </c>
      <c r="BD376">
        <f>AF376-AR376</f>
        <v>0</v>
      </c>
      <c r="BE376">
        <f>AG376-AS376</f>
        <v>0</v>
      </c>
    </row>
    <row r="377">
      <c r="A377" t="n">
        <v>347</v>
      </c>
      <c r="B377">
        <f>SUMPRODUCT(ROUND($AT376:$BE376*(1+'Calc base'!$H377:$S377),2))</f>
        <v>0</v>
      </c>
      <c r="C377">
        <f>SUM(J377:U377)</f>
        <v>0</v>
      </c>
      <c r="D377">
        <f>SUM(V377:AG377)</f>
        <v>0</v>
      </c>
      <c r="E377">
        <f>MAX(0,IF(Impostazioni!$B$7="No",'Calc base'!$C377-$C$31,'Calc base'!$C377-C377)+'Calc base'!$G377+'Calc base'!$F377-(B377-C377-D377))</f>
        <v>900</v>
      </c>
      <c r="F377">
        <f>SUM(AH377:AS377)</f>
        <v>0</v>
      </c>
      <c r="G377">
        <f>SUM(AT377:BE377)</f>
        <v>0</v>
      </c>
      <c r="H377">
        <f>B377-G376</f>
        <v>0</v>
      </c>
      <c r="I377">
        <f>B377-G377</f>
        <v>0</v>
      </c>
      <c r="J377">
        <f>IF(AT376&lt;=0,0,IF(ROUND(AT376*(1+'Calc base'!H377),2)-MAX('Calc base'!C$12,ROUND('Calc base'!C$13*AT376,2))&lt;1,ROUND(AT376*(1+'Calc base'!H377),2),MAX('Calc base'!C$12,ROUND('Calc base'!C$13*AT376,2))))</f>
        <v>0</v>
      </c>
      <c r="K377">
        <f>IF(AU376&lt;=0,0,IF(ROUND(AU376*(1+'Calc base'!I377),2)-MAX('Calc base'!D$12,ROUND('Calc base'!D$13*AU376,2))&lt;1,ROUND(AU376*(1+'Calc base'!I377),2),MAX('Calc base'!D$12,ROUND('Calc base'!D$13*AU376,2))))</f>
        <v>0</v>
      </c>
      <c r="L377">
        <f>IF(AV376&lt;=0,0,IF(ROUND(AV376*(1+'Calc base'!J377),2)-MAX('Calc base'!E$12,ROUND('Calc base'!E$13*AV376,2))&lt;1,ROUND(AV376*(1+'Calc base'!J377),2),MAX('Calc base'!E$12,ROUND('Calc base'!E$13*AV376,2))))</f>
        <v>0</v>
      </c>
      <c r="M377">
        <f>IF(AW376&lt;=0,0,IF(ROUND(AW376*(1+'Calc base'!K377),2)-MAX('Calc base'!F$12,ROUND('Calc base'!F$13*AW376,2))&lt;1,ROUND(AW376*(1+'Calc base'!K377),2),MAX('Calc base'!F$12,ROUND('Calc base'!F$13*AW376,2))))</f>
        <v>0</v>
      </c>
      <c r="N377">
        <f>IF(AX376&lt;=0,0,IF(ROUND(AX376*(1+'Calc base'!L377),2)-MAX('Calc base'!G$12,ROUND('Calc base'!G$13*AX376,2))&lt;1,ROUND(AX376*(1+'Calc base'!L377),2),MAX('Calc base'!G$12,ROUND('Calc base'!G$13*AX376,2))))</f>
        <v>0</v>
      </c>
      <c r="O377">
        <f>IF(AY376&lt;=0,0,IF(ROUND(AY376*(1+'Calc base'!M377),2)-MAX('Calc base'!H$12,ROUND('Calc base'!H$13*AY376,2))&lt;1,ROUND(AY376*(1+'Calc base'!M377),2),MAX('Calc base'!H$12,ROUND('Calc base'!H$13*AY376,2))))</f>
        <v>0</v>
      </c>
      <c r="P377">
        <f>IF(AZ376&lt;=0,0,IF(ROUND(AZ376*(1+'Calc base'!N377),2)-MAX('Calc base'!I$12,ROUND('Calc base'!I$13*AZ376,2))&lt;1,ROUND(AZ376*(1+'Calc base'!N377),2),MAX('Calc base'!I$12,ROUND('Calc base'!I$13*AZ376,2))))</f>
        <v>0</v>
      </c>
      <c r="Q377">
        <f>IF(BA376&lt;=0,0,IF(ROUND(BA376*(1+'Calc base'!O377),2)-MAX('Calc base'!J$12,ROUND('Calc base'!J$13*BA376,2))&lt;1,ROUND(BA376*(1+'Calc base'!O377),2),MAX('Calc base'!J$12,ROUND('Calc base'!J$13*BA376,2))))</f>
        <v>0</v>
      </c>
      <c r="R377">
        <f>IF(BB376&lt;=0,0,IF(ROUND(BB376*(1+'Calc base'!P377),2)-MAX('Calc base'!K$12,ROUND('Calc base'!K$13*BB376,2))&lt;1,ROUND(BB376*(1+'Calc base'!P377),2),MAX('Calc base'!K$12,ROUND('Calc base'!K$13*BB376,2))))</f>
        <v>0</v>
      </c>
      <c r="S377">
        <f>IF(BC376&lt;=0,0,IF(ROUND(BC376*(1+'Calc base'!Q377),2)-MAX('Calc base'!L$12,ROUND('Calc base'!L$13*BC376,2))&lt;1,ROUND(BC376*(1+'Calc base'!Q377),2),MAX('Calc base'!L$12,ROUND('Calc base'!L$13*BC376,2))))</f>
        <v>0</v>
      </c>
      <c r="T377">
        <f>IF(BD376&lt;=0,0,IF(ROUND(BD376*(1+'Calc base'!R377),2)-MAX('Calc base'!M$12,ROUND('Calc base'!M$13*BD376,2))&lt;1,ROUND(BD376*(1+'Calc base'!R377),2),MAX('Calc base'!M$12,ROUND('Calc base'!M$13*BD376,2))))</f>
        <v>0</v>
      </c>
      <c r="U377">
        <f>IF(BE376&lt;=0,0,IF(ROUND(BE376*(1+'Calc base'!S377),2)-MAX('Calc base'!N$12,ROUND('Calc base'!N$13*BE376,2))&lt;1,ROUND(BE376*(1+'Calc base'!S377),2),MAX('Calc base'!N$12,ROUND('Calc base'!N$13*BE376,2))))</f>
        <v>0</v>
      </c>
      <c r="V377">
        <f>MAX(0,ROUND(AT376*(1+'Calc base'!H377),2)-J377-'Calc base'!T377)</f>
        <v>0</v>
      </c>
      <c r="W377">
        <f>MAX(0,ROUND(AU376*(1+'Calc base'!I377),2)-K377-'Calc base'!U377)</f>
        <v>0</v>
      </c>
      <c r="X377">
        <f>MAX(0,ROUND(AV376*(1+'Calc base'!J377),2)-L377-'Calc base'!V377)</f>
        <v>0</v>
      </c>
      <c r="Y377">
        <f>MAX(0,ROUND(AW376*(1+'Calc base'!K377),2)-M377-'Calc base'!W377)</f>
        <v>0</v>
      </c>
      <c r="Z377">
        <f>MAX(0,ROUND(AX376*(1+'Calc base'!L377),2)-N377-'Calc base'!X377)</f>
        <v>0</v>
      </c>
      <c r="AA377">
        <f>MAX(0,ROUND(AY376*(1+'Calc base'!M377),2)-O377-'Calc base'!Y377)</f>
        <v>0</v>
      </c>
      <c r="AB377">
        <f>MAX(0,ROUND(AZ376*(1+'Calc base'!N377),2)-P377-'Calc base'!Z377)</f>
        <v>0</v>
      </c>
      <c r="AC377">
        <f>MAX(0,ROUND(BA376*(1+'Calc base'!O377),2)-Q377-'Calc base'!AA377)</f>
        <v>0</v>
      </c>
      <c r="AD377">
        <f>MAX(0,ROUND(BB376*(1+'Calc base'!P377),2)-R377-'Calc base'!AB377)</f>
        <v>0</v>
      </c>
      <c r="AE377">
        <f>MAX(0,ROUND(BC376*(1+'Calc base'!Q377),2)-S377-'Calc base'!AC377)</f>
        <v>0</v>
      </c>
      <c r="AF377">
        <f>MAX(0,ROUND(BD376*(1+'Calc base'!R377),2)-T377-'Calc base'!AD377)</f>
        <v>0</v>
      </c>
      <c r="AG377">
        <f>MAX(0,ROUND(BE376*(1+'Calc base'!S377),2)-U377-'Calc base'!AE377)</f>
        <v>0</v>
      </c>
      <c r="AH377">
        <f>IF('Calc base'!C$14=0,0,MIN(V377,MAX(0,$E377-SUMIFS($V377:$AG377,'Calc base'!$C$17:$N$17,"&lt;"&amp;'Calc base'!C$17,'Calc base'!$C$14:$N$14,1))))</f>
        <v>0</v>
      </c>
      <c r="AI377">
        <f>IF('Calc base'!D$14=0,0,MIN(W377,MAX(0,$E377-SUMIFS($V377:$AG377,'Calc base'!$C$17:$N$17,"&lt;"&amp;'Calc base'!D$17,'Calc base'!$C$14:$N$14,1))))</f>
        <v>0</v>
      </c>
      <c r="AJ377">
        <f>IF('Calc base'!E$14=0,0,MIN(X377,MAX(0,$E377-SUMIFS($V377:$AG377,'Calc base'!$C$17:$N$17,"&lt;"&amp;'Calc base'!E$17,'Calc base'!$C$14:$N$14,1))))</f>
        <v>0</v>
      </c>
      <c r="AK377">
        <f>IF('Calc base'!F$14=0,0,MIN(Y377,MAX(0,$E377-SUMIFS($V377:$AG377,'Calc base'!$C$17:$N$17,"&lt;"&amp;'Calc base'!F$17,'Calc base'!$C$14:$N$14,1))))</f>
        <v>0</v>
      </c>
      <c r="AL377">
        <f>IF('Calc base'!G$14=0,0,MIN(Z377,MAX(0,$E377-SUMIFS($V377:$AG377,'Calc base'!$C$17:$N$17,"&lt;"&amp;'Calc base'!G$17,'Calc base'!$C$14:$N$14,1))))</f>
        <v>0</v>
      </c>
      <c r="AM377">
        <f>IF('Calc base'!H$14=0,0,MIN(AA377,MAX(0,$E377-SUMIFS($V377:$AG377,'Calc base'!$C$17:$N$17,"&lt;"&amp;'Calc base'!H$17,'Calc base'!$C$14:$N$14,1))))</f>
        <v>0</v>
      </c>
      <c r="AN377">
        <f>IF('Calc base'!I$14=0,0,MIN(AB377,MAX(0,$E377-SUMIFS($V377:$AG377,'Calc base'!$C$17:$N$17,"&lt;"&amp;'Calc base'!I$17,'Calc base'!$C$14:$N$14,1))))</f>
        <v>0</v>
      </c>
      <c r="AO377">
        <f>IF('Calc base'!J$14=0,0,MIN(AC377,MAX(0,$E377-SUMIFS($V377:$AG377,'Calc base'!$C$17:$N$17,"&lt;"&amp;'Calc base'!J$17,'Calc base'!$C$14:$N$14,1))))</f>
        <v>0</v>
      </c>
      <c r="AP377">
        <f>IF('Calc base'!K$14=0,0,MIN(AD377,MAX(0,$E377-SUMIFS($V377:$AG377,'Calc base'!$C$17:$N$17,"&lt;"&amp;'Calc base'!K$17,'Calc base'!$C$14:$N$14,1))))</f>
        <v>0</v>
      </c>
      <c r="AQ377">
        <f>IF('Calc base'!L$14=0,0,MIN(AE377,MAX(0,$E377-SUMIFS($V377:$AG377,'Calc base'!$C$17:$N$17,"&lt;"&amp;'Calc base'!L$17,'Calc base'!$C$14:$N$14,1))))</f>
        <v>0</v>
      </c>
      <c r="AR377">
        <f>IF('Calc base'!M$14=0,0,MIN(AF377,MAX(0,$E377-SUMIFS($V377:$AG377,'Calc base'!$C$17:$N$17,"&lt;"&amp;'Calc base'!M$17,'Calc base'!$C$14:$N$14,1))))</f>
        <v>0</v>
      </c>
      <c r="AS377">
        <f>IF('Calc base'!N$14=0,0,MIN(AG377,MAX(0,$E377-SUMIFS($V377:$AG377,'Calc base'!$C$17:$N$17,"&lt;"&amp;'Calc base'!N$17,'Calc base'!$C$14:$N$14,1))))</f>
        <v>0</v>
      </c>
      <c r="AT377">
        <f>V377-AH377</f>
        <v>0</v>
      </c>
      <c r="AU377">
        <f>W377-AI377</f>
        <v>0</v>
      </c>
      <c r="AV377">
        <f>X377-AJ377</f>
        <v>0</v>
      </c>
      <c r="AW377">
        <f>Y377-AK377</f>
        <v>0</v>
      </c>
      <c r="AX377">
        <f>Z377-AL377</f>
        <v>0</v>
      </c>
      <c r="AY377">
        <f>AA377-AM377</f>
        <v>0</v>
      </c>
      <c r="AZ377">
        <f>AB377-AN377</f>
        <v>0</v>
      </c>
      <c r="BA377">
        <f>AC377-AO377</f>
        <v>0</v>
      </c>
      <c r="BB377">
        <f>AD377-AP377</f>
        <v>0</v>
      </c>
      <c r="BC377">
        <f>AE377-AQ377</f>
        <v>0</v>
      </c>
      <c r="BD377">
        <f>AF377-AR377</f>
        <v>0</v>
      </c>
      <c r="BE377">
        <f>AG377-AS377</f>
        <v>0</v>
      </c>
    </row>
    <row r="378">
      <c r="A378" t="n">
        <v>348</v>
      </c>
      <c r="B378">
        <f>SUMPRODUCT(ROUND($AT377:$BE377*(1+'Calc base'!$H378:$S378),2))</f>
        <v>0</v>
      </c>
      <c r="C378">
        <f>SUM(J378:U378)</f>
        <v>0</v>
      </c>
      <c r="D378">
        <f>SUM(V378:AG378)</f>
        <v>0</v>
      </c>
      <c r="E378">
        <f>MAX(0,IF(Impostazioni!$B$7="No",'Calc base'!$C378-$C$31,'Calc base'!$C378-C378)+'Calc base'!$G378+'Calc base'!$F378-(B378-C378-D378))</f>
        <v>900</v>
      </c>
      <c r="F378">
        <f>SUM(AH378:AS378)</f>
        <v>0</v>
      </c>
      <c r="G378">
        <f>SUM(AT378:BE378)</f>
        <v>0</v>
      </c>
      <c r="H378">
        <f>B378-G377</f>
        <v>0</v>
      </c>
      <c r="I378">
        <f>B378-G378</f>
        <v>0</v>
      </c>
      <c r="J378">
        <f>IF(AT377&lt;=0,0,IF(ROUND(AT377*(1+'Calc base'!H378),2)-MAX('Calc base'!C$12,ROUND('Calc base'!C$13*AT377,2))&lt;1,ROUND(AT377*(1+'Calc base'!H378),2),MAX('Calc base'!C$12,ROUND('Calc base'!C$13*AT377,2))))</f>
        <v>0</v>
      </c>
      <c r="K378">
        <f>IF(AU377&lt;=0,0,IF(ROUND(AU377*(1+'Calc base'!I378),2)-MAX('Calc base'!D$12,ROUND('Calc base'!D$13*AU377,2))&lt;1,ROUND(AU377*(1+'Calc base'!I378),2),MAX('Calc base'!D$12,ROUND('Calc base'!D$13*AU377,2))))</f>
        <v>0</v>
      </c>
      <c r="L378">
        <f>IF(AV377&lt;=0,0,IF(ROUND(AV377*(1+'Calc base'!J378),2)-MAX('Calc base'!E$12,ROUND('Calc base'!E$13*AV377,2))&lt;1,ROUND(AV377*(1+'Calc base'!J378),2),MAX('Calc base'!E$12,ROUND('Calc base'!E$13*AV377,2))))</f>
        <v>0</v>
      </c>
      <c r="M378">
        <f>IF(AW377&lt;=0,0,IF(ROUND(AW377*(1+'Calc base'!K378),2)-MAX('Calc base'!F$12,ROUND('Calc base'!F$13*AW377,2))&lt;1,ROUND(AW377*(1+'Calc base'!K378),2),MAX('Calc base'!F$12,ROUND('Calc base'!F$13*AW377,2))))</f>
        <v>0</v>
      </c>
      <c r="N378">
        <f>IF(AX377&lt;=0,0,IF(ROUND(AX377*(1+'Calc base'!L378),2)-MAX('Calc base'!G$12,ROUND('Calc base'!G$13*AX377,2))&lt;1,ROUND(AX377*(1+'Calc base'!L378),2),MAX('Calc base'!G$12,ROUND('Calc base'!G$13*AX377,2))))</f>
        <v>0</v>
      </c>
      <c r="O378">
        <f>IF(AY377&lt;=0,0,IF(ROUND(AY377*(1+'Calc base'!M378),2)-MAX('Calc base'!H$12,ROUND('Calc base'!H$13*AY377,2))&lt;1,ROUND(AY377*(1+'Calc base'!M378),2),MAX('Calc base'!H$12,ROUND('Calc base'!H$13*AY377,2))))</f>
        <v>0</v>
      </c>
      <c r="P378">
        <f>IF(AZ377&lt;=0,0,IF(ROUND(AZ377*(1+'Calc base'!N378),2)-MAX('Calc base'!I$12,ROUND('Calc base'!I$13*AZ377,2))&lt;1,ROUND(AZ377*(1+'Calc base'!N378),2),MAX('Calc base'!I$12,ROUND('Calc base'!I$13*AZ377,2))))</f>
        <v>0</v>
      </c>
      <c r="Q378">
        <f>IF(BA377&lt;=0,0,IF(ROUND(BA377*(1+'Calc base'!O378),2)-MAX('Calc base'!J$12,ROUND('Calc base'!J$13*BA377,2))&lt;1,ROUND(BA377*(1+'Calc base'!O378),2),MAX('Calc base'!J$12,ROUND('Calc base'!J$13*BA377,2))))</f>
        <v>0</v>
      </c>
      <c r="R378">
        <f>IF(BB377&lt;=0,0,IF(ROUND(BB377*(1+'Calc base'!P378),2)-MAX('Calc base'!K$12,ROUND('Calc base'!K$13*BB377,2))&lt;1,ROUND(BB377*(1+'Calc base'!P378),2),MAX('Calc base'!K$12,ROUND('Calc base'!K$13*BB377,2))))</f>
        <v>0</v>
      </c>
      <c r="S378">
        <f>IF(BC377&lt;=0,0,IF(ROUND(BC377*(1+'Calc base'!Q378),2)-MAX('Calc base'!L$12,ROUND('Calc base'!L$13*BC377,2))&lt;1,ROUND(BC377*(1+'Calc base'!Q378),2),MAX('Calc base'!L$12,ROUND('Calc base'!L$13*BC377,2))))</f>
        <v>0</v>
      </c>
      <c r="T378">
        <f>IF(BD377&lt;=0,0,IF(ROUND(BD377*(1+'Calc base'!R378),2)-MAX('Calc base'!M$12,ROUND('Calc base'!M$13*BD377,2))&lt;1,ROUND(BD377*(1+'Calc base'!R378),2),MAX('Calc base'!M$12,ROUND('Calc base'!M$13*BD377,2))))</f>
        <v>0</v>
      </c>
      <c r="U378">
        <f>IF(BE377&lt;=0,0,IF(ROUND(BE377*(1+'Calc base'!S378),2)-MAX('Calc base'!N$12,ROUND('Calc base'!N$13*BE377,2))&lt;1,ROUND(BE377*(1+'Calc base'!S378),2),MAX('Calc base'!N$12,ROUND('Calc base'!N$13*BE377,2))))</f>
        <v>0</v>
      </c>
      <c r="V378">
        <f>MAX(0,ROUND(AT377*(1+'Calc base'!H378),2)-J378-'Calc base'!T378)</f>
        <v>0</v>
      </c>
      <c r="W378">
        <f>MAX(0,ROUND(AU377*(1+'Calc base'!I378),2)-K378-'Calc base'!U378)</f>
        <v>0</v>
      </c>
      <c r="X378">
        <f>MAX(0,ROUND(AV377*(1+'Calc base'!J378),2)-L378-'Calc base'!V378)</f>
        <v>0</v>
      </c>
      <c r="Y378">
        <f>MAX(0,ROUND(AW377*(1+'Calc base'!K378),2)-M378-'Calc base'!W378)</f>
        <v>0</v>
      </c>
      <c r="Z378">
        <f>MAX(0,ROUND(AX377*(1+'Calc base'!L378),2)-N378-'Calc base'!X378)</f>
        <v>0</v>
      </c>
      <c r="AA378">
        <f>MAX(0,ROUND(AY377*(1+'Calc base'!M378),2)-O378-'Calc base'!Y378)</f>
        <v>0</v>
      </c>
      <c r="AB378">
        <f>MAX(0,ROUND(AZ377*(1+'Calc base'!N378),2)-P378-'Calc base'!Z378)</f>
        <v>0</v>
      </c>
      <c r="AC378">
        <f>MAX(0,ROUND(BA377*(1+'Calc base'!O378),2)-Q378-'Calc base'!AA378)</f>
        <v>0</v>
      </c>
      <c r="AD378">
        <f>MAX(0,ROUND(BB377*(1+'Calc base'!P378),2)-R378-'Calc base'!AB378)</f>
        <v>0</v>
      </c>
      <c r="AE378">
        <f>MAX(0,ROUND(BC377*(1+'Calc base'!Q378),2)-S378-'Calc base'!AC378)</f>
        <v>0</v>
      </c>
      <c r="AF378">
        <f>MAX(0,ROUND(BD377*(1+'Calc base'!R378),2)-T378-'Calc base'!AD378)</f>
        <v>0</v>
      </c>
      <c r="AG378">
        <f>MAX(0,ROUND(BE377*(1+'Calc base'!S378),2)-U378-'Calc base'!AE378)</f>
        <v>0</v>
      </c>
      <c r="AH378">
        <f>IF('Calc base'!C$14=0,0,MIN(V378,MAX(0,$E378-SUMIFS($V378:$AG378,'Calc base'!$C$17:$N$17,"&lt;"&amp;'Calc base'!C$17,'Calc base'!$C$14:$N$14,1))))</f>
        <v>0</v>
      </c>
      <c r="AI378">
        <f>IF('Calc base'!D$14=0,0,MIN(W378,MAX(0,$E378-SUMIFS($V378:$AG378,'Calc base'!$C$17:$N$17,"&lt;"&amp;'Calc base'!D$17,'Calc base'!$C$14:$N$14,1))))</f>
        <v>0</v>
      </c>
      <c r="AJ378">
        <f>IF('Calc base'!E$14=0,0,MIN(X378,MAX(0,$E378-SUMIFS($V378:$AG378,'Calc base'!$C$17:$N$17,"&lt;"&amp;'Calc base'!E$17,'Calc base'!$C$14:$N$14,1))))</f>
        <v>0</v>
      </c>
      <c r="AK378">
        <f>IF('Calc base'!F$14=0,0,MIN(Y378,MAX(0,$E378-SUMIFS($V378:$AG378,'Calc base'!$C$17:$N$17,"&lt;"&amp;'Calc base'!F$17,'Calc base'!$C$14:$N$14,1))))</f>
        <v>0</v>
      </c>
      <c r="AL378">
        <f>IF('Calc base'!G$14=0,0,MIN(Z378,MAX(0,$E378-SUMIFS($V378:$AG378,'Calc base'!$C$17:$N$17,"&lt;"&amp;'Calc base'!G$17,'Calc base'!$C$14:$N$14,1))))</f>
        <v>0</v>
      </c>
      <c r="AM378">
        <f>IF('Calc base'!H$14=0,0,MIN(AA378,MAX(0,$E378-SUMIFS($V378:$AG378,'Calc base'!$C$17:$N$17,"&lt;"&amp;'Calc base'!H$17,'Calc base'!$C$14:$N$14,1))))</f>
        <v>0</v>
      </c>
      <c r="AN378">
        <f>IF('Calc base'!I$14=0,0,MIN(AB378,MAX(0,$E378-SUMIFS($V378:$AG378,'Calc base'!$C$17:$N$17,"&lt;"&amp;'Calc base'!I$17,'Calc base'!$C$14:$N$14,1))))</f>
        <v>0</v>
      </c>
      <c r="AO378">
        <f>IF('Calc base'!J$14=0,0,MIN(AC378,MAX(0,$E378-SUMIFS($V378:$AG378,'Calc base'!$C$17:$N$17,"&lt;"&amp;'Calc base'!J$17,'Calc base'!$C$14:$N$14,1))))</f>
        <v>0</v>
      </c>
      <c r="AP378">
        <f>IF('Calc base'!K$14=0,0,MIN(AD378,MAX(0,$E378-SUMIFS($V378:$AG378,'Calc base'!$C$17:$N$17,"&lt;"&amp;'Calc base'!K$17,'Calc base'!$C$14:$N$14,1))))</f>
        <v>0</v>
      </c>
      <c r="AQ378">
        <f>IF('Calc base'!L$14=0,0,MIN(AE378,MAX(0,$E378-SUMIFS($V378:$AG378,'Calc base'!$C$17:$N$17,"&lt;"&amp;'Calc base'!L$17,'Calc base'!$C$14:$N$14,1))))</f>
        <v>0</v>
      </c>
      <c r="AR378">
        <f>IF('Calc base'!M$14=0,0,MIN(AF378,MAX(0,$E378-SUMIFS($V378:$AG378,'Calc base'!$C$17:$N$17,"&lt;"&amp;'Calc base'!M$17,'Calc base'!$C$14:$N$14,1))))</f>
        <v>0</v>
      </c>
      <c r="AS378">
        <f>IF('Calc base'!N$14=0,0,MIN(AG378,MAX(0,$E378-SUMIFS($V378:$AG378,'Calc base'!$C$17:$N$17,"&lt;"&amp;'Calc base'!N$17,'Calc base'!$C$14:$N$14,1))))</f>
        <v>0</v>
      </c>
      <c r="AT378">
        <f>V378-AH378</f>
        <v>0</v>
      </c>
      <c r="AU378">
        <f>W378-AI378</f>
        <v>0</v>
      </c>
      <c r="AV378">
        <f>X378-AJ378</f>
        <v>0</v>
      </c>
      <c r="AW378">
        <f>Y378-AK378</f>
        <v>0</v>
      </c>
      <c r="AX378">
        <f>Z378-AL378</f>
        <v>0</v>
      </c>
      <c r="AY378">
        <f>AA378-AM378</f>
        <v>0</v>
      </c>
      <c r="AZ378">
        <f>AB378-AN378</f>
        <v>0</v>
      </c>
      <c r="BA378">
        <f>AC378-AO378</f>
        <v>0</v>
      </c>
      <c r="BB378">
        <f>AD378-AP378</f>
        <v>0</v>
      </c>
      <c r="BC378">
        <f>AE378-AQ378</f>
        <v>0</v>
      </c>
      <c r="BD378">
        <f>AF378-AR378</f>
        <v>0</v>
      </c>
      <c r="BE378">
        <f>AG378-AS378</f>
        <v>0</v>
      </c>
    </row>
    <row r="379">
      <c r="A379" t="n">
        <v>349</v>
      </c>
      <c r="B379">
        <f>SUMPRODUCT(ROUND($AT378:$BE378*(1+'Calc base'!$H379:$S379),2))</f>
        <v>0</v>
      </c>
      <c r="C379">
        <f>SUM(J379:U379)</f>
        <v>0</v>
      </c>
      <c r="D379">
        <f>SUM(V379:AG379)</f>
        <v>0</v>
      </c>
      <c r="E379">
        <f>MAX(0,IF(Impostazioni!$B$7="No",'Calc base'!$C379-$C$31,'Calc base'!$C379-C379)+'Calc base'!$G379+'Calc base'!$F379-(B379-C379-D379))</f>
        <v>900</v>
      </c>
      <c r="F379">
        <f>SUM(AH379:AS379)</f>
        <v>0</v>
      </c>
      <c r="G379">
        <f>SUM(AT379:BE379)</f>
        <v>0</v>
      </c>
      <c r="H379">
        <f>B379-G378</f>
        <v>0</v>
      </c>
      <c r="I379">
        <f>B379-G379</f>
        <v>0</v>
      </c>
      <c r="J379">
        <f>IF(AT378&lt;=0,0,IF(ROUND(AT378*(1+'Calc base'!H379),2)-MAX('Calc base'!C$12,ROUND('Calc base'!C$13*AT378,2))&lt;1,ROUND(AT378*(1+'Calc base'!H379),2),MAX('Calc base'!C$12,ROUND('Calc base'!C$13*AT378,2))))</f>
        <v>0</v>
      </c>
      <c r="K379">
        <f>IF(AU378&lt;=0,0,IF(ROUND(AU378*(1+'Calc base'!I379),2)-MAX('Calc base'!D$12,ROUND('Calc base'!D$13*AU378,2))&lt;1,ROUND(AU378*(1+'Calc base'!I379),2),MAX('Calc base'!D$12,ROUND('Calc base'!D$13*AU378,2))))</f>
        <v>0</v>
      </c>
      <c r="L379">
        <f>IF(AV378&lt;=0,0,IF(ROUND(AV378*(1+'Calc base'!J379),2)-MAX('Calc base'!E$12,ROUND('Calc base'!E$13*AV378,2))&lt;1,ROUND(AV378*(1+'Calc base'!J379),2),MAX('Calc base'!E$12,ROUND('Calc base'!E$13*AV378,2))))</f>
        <v>0</v>
      </c>
      <c r="M379">
        <f>IF(AW378&lt;=0,0,IF(ROUND(AW378*(1+'Calc base'!K379),2)-MAX('Calc base'!F$12,ROUND('Calc base'!F$13*AW378,2))&lt;1,ROUND(AW378*(1+'Calc base'!K379),2),MAX('Calc base'!F$12,ROUND('Calc base'!F$13*AW378,2))))</f>
        <v>0</v>
      </c>
      <c r="N379">
        <f>IF(AX378&lt;=0,0,IF(ROUND(AX378*(1+'Calc base'!L379),2)-MAX('Calc base'!G$12,ROUND('Calc base'!G$13*AX378,2))&lt;1,ROUND(AX378*(1+'Calc base'!L379),2),MAX('Calc base'!G$12,ROUND('Calc base'!G$13*AX378,2))))</f>
        <v>0</v>
      </c>
      <c r="O379">
        <f>IF(AY378&lt;=0,0,IF(ROUND(AY378*(1+'Calc base'!M379),2)-MAX('Calc base'!H$12,ROUND('Calc base'!H$13*AY378,2))&lt;1,ROUND(AY378*(1+'Calc base'!M379),2),MAX('Calc base'!H$12,ROUND('Calc base'!H$13*AY378,2))))</f>
        <v>0</v>
      </c>
      <c r="P379">
        <f>IF(AZ378&lt;=0,0,IF(ROUND(AZ378*(1+'Calc base'!N379),2)-MAX('Calc base'!I$12,ROUND('Calc base'!I$13*AZ378,2))&lt;1,ROUND(AZ378*(1+'Calc base'!N379),2),MAX('Calc base'!I$12,ROUND('Calc base'!I$13*AZ378,2))))</f>
        <v>0</v>
      </c>
      <c r="Q379">
        <f>IF(BA378&lt;=0,0,IF(ROUND(BA378*(1+'Calc base'!O379),2)-MAX('Calc base'!J$12,ROUND('Calc base'!J$13*BA378,2))&lt;1,ROUND(BA378*(1+'Calc base'!O379),2),MAX('Calc base'!J$12,ROUND('Calc base'!J$13*BA378,2))))</f>
        <v>0</v>
      </c>
      <c r="R379">
        <f>IF(BB378&lt;=0,0,IF(ROUND(BB378*(1+'Calc base'!P379),2)-MAX('Calc base'!K$12,ROUND('Calc base'!K$13*BB378,2))&lt;1,ROUND(BB378*(1+'Calc base'!P379),2),MAX('Calc base'!K$12,ROUND('Calc base'!K$13*BB378,2))))</f>
        <v>0</v>
      </c>
      <c r="S379">
        <f>IF(BC378&lt;=0,0,IF(ROUND(BC378*(1+'Calc base'!Q379),2)-MAX('Calc base'!L$12,ROUND('Calc base'!L$13*BC378,2))&lt;1,ROUND(BC378*(1+'Calc base'!Q379),2),MAX('Calc base'!L$12,ROUND('Calc base'!L$13*BC378,2))))</f>
        <v>0</v>
      </c>
      <c r="T379">
        <f>IF(BD378&lt;=0,0,IF(ROUND(BD378*(1+'Calc base'!R379),2)-MAX('Calc base'!M$12,ROUND('Calc base'!M$13*BD378,2))&lt;1,ROUND(BD378*(1+'Calc base'!R379),2),MAX('Calc base'!M$12,ROUND('Calc base'!M$13*BD378,2))))</f>
        <v>0</v>
      </c>
      <c r="U379">
        <f>IF(BE378&lt;=0,0,IF(ROUND(BE378*(1+'Calc base'!S379),2)-MAX('Calc base'!N$12,ROUND('Calc base'!N$13*BE378,2))&lt;1,ROUND(BE378*(1+'Calc base'!S379),2),MAX('Calc base'!N$12,ROUND('Calc base'!N$13*BE378,2))))</f>
        <v>0</v>
      </c>
      <c r="V379">
        <f>MAX(0,ROUND(AT378*(1+'Calc base'!H379),2)-J379-'Calc base'!T379)</f>
        <v>0</v>
      </c>
      <c r="W379">
        <f>MAX(0,ROUND(AU378*(1+'Calc base'!I379),2)-K379-'Calc base'!U379)</f>
        <v>0</v>
      </c>
      <c r="X379">
        <f>MAX(0,ROUND(AV378*(1+'Calc base'!J379),2)-L379-'Calc base'!V379)</f>
        <v>0</v>
      </c>
      <c r="Y379">
        <f>MAX(0,ROUND(AW378*(1+'Calc base'!K379),2)-M379-'Calc base'!W379)</f>
        <v>0</v>
      </c>
      <c r="Z379">
        <f>MAX(0,ROUND(AX378*(1+'Calc base'!L379),2)-N379-'Calc base'!X379)</f>
        <v>0</v>
      </c>
      <c r="AA379">
        <f>MAX(0,ROUND(AY378*(1+'Calc base'!M379),2)-O379-'Calc base'!Y379)</f>
        <v>0</v>
      </c>
      <c r="AB379">
        <f>MAX(0,ROUND(AZ378*(1+'Calc base'!N379),2)-P379-'Calc base'!Z379)</f>
        <v>0</v>
      </c>
      <c r="AC379">
        <f>MAX(0,ROUND(BA378*(1+'Calc base'!O379),2)-Q379-'Calc base'!AA379)</f>
        <v>0</v>
      </c>
      <c r="AD379">
        <f>MAX(0,ROUND(BB378*(1+'Calc base'!P379),2)-R379-'Calc base'!AB379)</f>
        <v>0</v>
      </c>
      <c r="AE379">
        <f>MAX(0,ROUND(BC378*(1+'Calc base'!Q379),2)-S379-'Calc base'!AC379)</f>
        <v>0</v>
      </c>
      <c r="AF379">
        <f>MAX(0,ROUND(BD378*(1+'Calc base'!R379),2)-T379-'Calc base'!AD379)</f>
        <v>0</v>
      </c>
      <c r="AG379">
        <f>MAX(0,ROUND(BE378*(1+'Calc base'!S379),2)-U379-'Calc base'!AE379)</f>
        <v>0</v>
      </c>
      <c r="AH379">
        <f>IF('Calc base'!C$14=0,0,MIN(V379,MAX(0,$E379-SUMIFS($V379:$AG379,'Calc base'!$C$17:$N$17,"&lt;"&amp;'Calc base'!C$17,'Calc base'!$C$14:$N$14,1))))</f>
        <v>0</v>
      </c>
      <c r="AI379">
        <f>IF('Calc base'!D$14=0,0,MIN(W379,MAX(0,$E379-SUMIFS($V379:$AG379,'Calc base'!$C$17:$N$17,"&lt;"&amp;'Calc base'!D$17,'Calc base'!$C$14:$N$14,1))))</f>
        <v>0</v>
      </c>
      <c r="AJ379">
        <f>IF('Calc base'!E$14=0,0,MIN(X379,MAX(0,$E379-SUMIFS($V379:$AG379,'Calc base'!$C$17:$N$17,"&lt;"&amp;'Calc base'!E$17,'Calc base'!$C$14:$N$14,1))))</f>
        <v>0</v>
      </c>
      <c r="AK379">
        <f>IF('Calc base'!F$14=0,0,MIN(Y379,MAX(0,$E379-SUMIFS($V379:$AG379,'Calc base'!$C$17:$N$17,"&lt;"&amp;'Calc base'!F$17,'Calc base'!$C$14:$N$14,1))))</f>
        <v>0</v>
      </c>
      <c r="AL379">
        <f>IF('Calc base'!G$14=0,0,MIN(Z379,MAX(0,$E379-SUMIFS($V379:$AG379,'Calc base'!$C$17:$N$17,"&lt;"&amp;'Calc base'!G$17,'Calc base'!$C$14:$N$14,1))))</f>
        <v>0</v>
      </c>
      <c r="AM379">
        <f>IF('Calc base'!H$14=0,0,MIN(AA379,MAX(0,$E379-SUMIFS($V379:$AG379,'Calc base'!$C$17:$N$17,"&lt;"&amp;'Calc base'!H$17,'Calc base'!$C$14:$N$14,1))))</f>
        <v>0</v>
      </c>
      <c r="AN379">
        <f>IF('Calc base'!I$14=0,0,MIN(AB379,MAX(0,$E379-SUMIFS($V379:$AG379,'Calc base'!$C$17:$N$17,"&lt;"&amp;'Calc base'!I$17,'Calc base'!$C$14:$N$14,1))))</f>
        <v>0</v>
      </c>
      <c r="AO379">
        <f>IF('Calc base'!J$14=0,0,MIN(AC379,MAX(0,$E379-SUMIFS($V379:$AG379,'Calc base'!$C$17:$N$17,"&lt;"&amp;'Calc base'!J$17,'Calc base'!$C$14:$N$14,1))))</f>
        <v>0</v>
      </c>
      <c r="AP379">
        <f>IF('Calc base'!K$14=0,0,MIN(AD379,MAX(0,$E379-SUMIFS($V379:$AG379,'Calc base'!$C$17:$N$17,"&lt;"&amp;'Calc base'!K$17,'Calc base'!$C$14:$N$14,1))))</f>
        <v>0</v>
      </c>
      <c r="AQ379">
        <f>IF('Calc base'!L$14=0,0,MIN(AE379,MAX(0,$E379-SUMIFS($V379:$AG379,'Calc base'!$C$17:$N$17,"&lt;"&amp;'Calc base'!L$17,'Calc base'!$C$14:$N$14,1))))</f>
        <v>0</v>
      </c>
      <c r="AR379">
        <f>IF('Calc base'!M$14=0,0,MIN(AF379,MAX(0,$E379-SUMIFS($V379:$AG379,'Calc base'!$C$17:$N$17,"&lt;"&amp;'Calc base'!M$17,'Calc base'!$C$14:$N$14,1))))</f>
        <v>0</v>
      </c>
      <c r="AS379">
        <f>IF('Calc base'!N$14=0,0,MIN(AG379,MAX(0,$E379-SUMIFS($V379:$AG379,'Calc base'!$C$17:$N$17,"&lt;"&amp;'Calc base'!N$17,'Calc base'!$C$14:$N$14,1))))</f>
        <v>0</v>
      </c>
      <c r="AT379">
        <f>V379-AH379</f>
        <v>0</v>
      </c>
      <c r="AU379">
        <f>W379-AI379</f>
        <v>0</v>
      </c>
      <c r="AV379">
        <f>X379-AJ379</f>
        <v>0</v>
      </c>
      <c r="AW379">
        <f>Y379-AK379</f>
        <v>0</v>
      </c>
      <c r="AX379">
        <f>Z379-AL379</f>
        <v>0</v>
      </c>
      <c r="AY379">
        <f>AA379-AM379</f>
        <v>0</v>
      </c>
      <c r="AZ379">
        <f>AB379-AN379</f>
        <v>0</v>
      </c>
      <c r="BA379">
        <f>AC379-AO379</f>
        <v>0</v>
      </c>
      <c r="BB379">
        <f>AD379-AP379</f>
        <v>0</v>
      </c>
      <c r="BC379">
        <f>AE379-AQ379</f>
        <v>0</v>
      </c>
      <c r="BD379">
        <f>AF379-AR379</f>
        <v>0</v>
      </c>
      <c r="BE379">
        <f>AG379-AS379</f>
        <v>0</v>
      </c>
    </row>
    <row r="380">
      <c r="A380" t="n">
        <v>350</v>
      </c>
      <c r="B380">
        <f>SUMPRODUCT(ROUND($AT379:$BE379*(1+'Calc base'!$H380:$S380),2))</f>
        <v>0</v>
      </c>
      <c r="C380">
        <f>SUM(J380:U380)</f>
        <v>0</v>
      </c>
      <c r="D380">
        <f>SUM(V380:AG380)</f>
        <v>0</v>
      </c>
      <c r="E380">
        <f>MAX(0,IF(Impostazioni!$B$7="No",'Calc base'!$C380-$C$31,'Calc base'!$C380-C380)+'Calc base'!$G380+'Calc base'!$F380-(B380-C380-D380))</f>
        <v>900</v>
      </c>
      <c r="F380">
        <f>SUM(AH380:AS380)</f>
        <v>0</v>
      </c>
      <c r="G380">
        <f>SUM(AT380:BE380)</f>
        <v>0</v>
      </c>
      <c r="H380">
        <f>B380-G379</f>
        <v>0</v>
      </c>
      <c r="I380">
        <f>B380-G380</f>
        <v>0</v>
      </c>
      <c r="J380">
        <f>IF(AT379&lt;=0,0,IF(ROUND(AT379*(1+'Calc base'!H380),2)-MAX('Calc base'!C$12,ROUND('Calc base'!C$13*AT379,2))&lt;1,ROUND(AT379*(1+'Calc base'!H380),2),MAX('Calc base'!C$12,ROUND('Calc base'!C$13*AT379,2))))</f>
        <v>0</v>
      </c>
      <c r="K380">
        <f>IF(AU379&lt;=0,0,IF(ROUND(AU379*(1+'Calc base'!I380),2)-MAX('Calc base'!D$12,ROUND('Calc base'!D$13*AU379,2))&lt;1,ROUND(AU379*(1+'Calc base'!I380),2),MAX('Calc base'!D$12,ROUND('Calc base'!D$13*AU379,2))))</f>
        <v>0</v>
      </c>
      <c r="L380">
        <f>IF(AV379&lt;=0,0,IF(ROUND(AV379*(1+'Calc base'!J380),2)-MAX('Calc base'!E$12,ROUND('Calc base'!E$13*AV379,2))&lt;1,ROUND(AV379*(1+'Calc base'!J380),2),MAX('Calc base'!E$12,ROUND('Calc base'!E$13*AV379,2))))</f>
        <v>0</v>
      </c>
      <c r="M380">
        <f>IF(AW379&lt;=0,0,IF(ROUND(AW379*(1+'Calc base'!K380),2)-MAX('Calc base'!F$12,ROUND('Calc base'!F$13*AW379,2))&lt;1,ROUND(AW379*(1+'Calc base'!K380),2),MAX('Calc base'!F$12,ROUND('Calc base'!F$13*AW379,2))))</f>
        <v>0</v>
      </c>
      <c r="N380">
        <f>IF(AX379&lt;=0,0,IF(ROUND(AX379*(1+'Calc base'!L380),2)-MAX('Calc base'!G$12,ROUND('Calc base'!G$13*AX379,2))&lt;1,ROUND(AX379*(1+'Calc base'!L380),2),MAX('Calc base'!G$12,ROUND('Calc base'!G$13*AX379,2))))</f>
        <v>0</v>
      </c>
      <c r="O380">
        <f>IF(AY379&lt;=0,0,IF(ROUND(AY379*(1+'Calc base'!M380),2)-MAX('Calc base'!H$12,ROUND('Calc base'!H$13*AY379,2))&lt;1,ROUND(AY379*(1+'Calc base'!M380),2),MAX('Calc base'!H$12,ROUND('Calc base'!H$13*AY379,2))))</f>
        <v>0</v>
      </c>
      <c r="P380">
        <f>IF(AZ379&lt;=0,0,IF(ROUND(AZ379*(1+'Calc base'!N380),2)-MAX('Calc base'!I$12,ROUND('Calc base'!I$13*AZ379,2))&lt;1,ROUND(AZ379*(1+'Calc base'!N380),2),MAX('Calc base'!I$12,ROUND('Calc base'!I$13*AZ379,2))))</f>
        <v>0</v>
      </c>
      <c r="Q380">
        <f>IF(BA379&lt;=0,0,IF(ROUND(BA379*(1+'Calc base'!O380),2)-MAX('Calc base'!J$12,ROUND('Calc base'!J$13*BA379,2))&lt;1,ROUND(BA379*(1+'Calc base'!O380),2),MAX('Calc base'!J$12,ROUND('Calc base'!J$13*BA379,2))))</f>
        <v>0</v>
      </c>
      <c r="R380">
        <f>IF(BB379&lt;=0,0,IF(ROUND(BB379*(1+'Calc base'!P380),2)-MAX('Calc base'!K$12,ROUND('Calc base'!K$13*BB379,2))&lt;1,ROUND(BB379*(1+'Calc base'!P380),2),MAX('Calc base'!K$12,ROUND('Calc base'!K$13*BB379,2))))</f>
        <v>0</v>
      </c>
      <c r="S380">
        <f>IF(BC379&lt;=0,0,IF(ROUND(BC379*(1+'Calc base'!Q380),2)-MAX('Calc base'!L$12,ROUND('Calc base'!L$13*BC379,2))&lt;1,ROUND(BC379*(1+'Calc base'!Q380),2),MAX('Calc base'!L$12,ROUND('Calc base'!L$13*BC379,2))))</f>
        <v>0</v>
      </c>
      <c r="T380">
        <f>IF(BD379&lt;=0,0,IF(ROUND(BD379*(1+'Calc base'!R380),2)-MAX('Calc base'!M$12,ROUND('Calc base'!M$13*BD379,2))&lt;1,ROUND(BD379*(1+'Calc base'!R380),2),MAX('Calc base'!M$12,ROUND('Calc base'!M$13*BD379,2))))</f>
        <v>0</v>
      </c>
      <c r="U380">
        <f>IF(BE379&lt;=0,0,IF(ROUND(BE379*(1+'Calc base'!S380),2)-MAX('Calc base'!N$12,ROUND('Calc base'!N$13*BE379,2))&lt;1,ROUND(BE379*(1+'Calc base'!S380),2),MAX('Calc base'!N$12,ROUND('Calc base'!N$13*BE379,2))))</f>
        <v>0</v>
      </c>
      <c r="V380">
        <f>MAX(0,ROUND(AT379*(1+'Calc base'!H380),2)-J380-'Calc base'!T380)</f>
        <v>0</v>
      </c>
      <c r="W380">
        <f>MAX(0,ROUND(AU379*(1+'Calc base'!I380),2)-K380-'Calc base'!U380)</f>
        <v>0</v>
      </c>
      <c r="X380">
        <f>MAX(0,ROUND(AV379*(1+'Calc base'!J380),2)-L380-'Calc base'!V380)</f>
        <v>0</v>
      </c>
      <c r="Y380">
        <f>MAX(0,ROUND(AW379*(1+'Calc base'!K380),2)-M380-'Calc base'!W380)</f>
        <v>0</v>
      </c>
      <c r="Z380">
        <f>MAX(0,ROUND(AX379*(1+'Calc base'!L380),2)-N380-'Calc base'!X380)</f>
        <v>0</v>
      </c>
      <c r="AA380">
        <f>MAX(0,ROUND(AY379*(1+'Calc base'!M380),2)-O380-'Calc base'!Y380)</f>
        <v>0</v>
      </c>
      <c r="AB380">
        <f>MAX(0,ROUND(AZ379*(1+'Calc base'!N380),2)-P380-'Calc base'!Z380)</f>
        <v>0</v>
      </c>
      <c r="AC380">
        <f>MAX(0,ROUND(BA379*(1+'Calc base'!O380),2)-Q380-'Calc base'!AA380)</f>
        <v>0</v>
      </c>
      <c r="AD380">
        <f>MAX(0,ROUND(BB379*(1+'Calc base'!P380),2)-R380-'Calc base'!AB380)</f>
        <v>0</v>
      </c>
      <c r="AE380">
        <f>MAX(0,ROUND(BC379*(1+'Calc base'!Q380),2)-S380-'Calc base'!AC380)</f>
        <v>0</v>
      </c>
      <c r="AF380">
        <f>MAX(0,ROUND(BD379*(1+'Calc base'!R380),2)-T380-'Calc base'!AD380)</f>
        <v>0</v>
      </c>
      <c r="AG380">
        <f>MAX(0,ROUND(BE379*(1+'Calc base'!S380),2)-U380-'Calc base'!AE380)</f>
        <v>0</v>
      </c>
      <c r="AH380">
        <f>IF('Calc base'!C$14=0,0,MIN(V380,MAX(0,$E380-SUMIFS($V380:$AG380,'Calc base'!$C$17:$N$17,"&lt;"&amp;'Calc base'!C$17,'Calc base'!$C$14:$N$14,1))))</f>
        <v>0</v>
      </c>
      <c r="AI380">
        <f>IF('Calc base'!D$14=0,0,MIN(W380,MAX(0,$E380-SUMIFS($V380:$AG380,'Calc base'!$C$17:$N$17,"&lt;"&amp;'Calc base'!D$17,'Calc base'!$C$14:$N$14,1))))</f>
        <v>0</v>
      </c>
      <c r="AJ380">
        <f>IF('Calc base'!E$14=0,0,MIN(X380,MAX(0,$E380-SUMIFS($V380:$AG380,'Calc base'!$C$17:$N$17,"&lt;"&amp;'Calc base'!E$17,'Calc base'!$C$14:$N$14,1))))</f>
        <v>0</v>
      </c>
      <c r="AK380">
        <f>IF('Calc base'!F$14=0,0,MIN(Y380,MAX(0,$E380-SUMIFS($V380:$AG380,'Calc base'!$C$17:$N$17,"&lt;"&amp;'Calc base'!F$17,'Calc base'!$C$14:$N$14,1))))</f>
        <v>0</v>
      </c>
      <c r="AL380">
        <f>IF('Calc base'!G$14=0,0,MIN(Z380,MAX(0,$E380-SUMIFS($V380:$AG380,'Calc base'!$C$17:$N$17,"&lt;"&amp;'Calc base'!G$17,'Calc base'!$C$14:$N$14,1))))</f>
        <v>0</v>
      </c>
      <c r="AM380">
        <f>IF('Calc base'!H$14=0,0,MIN(AA380,MAX(0,$E380-SUMIFS($V380:$AG380,'Calc base'!$C$17:$N$17,"&lt;"&amp;'Calc base'!H$17,'Calc base'!$C$14:$N$14,1))))</f>
        <v>0</v>
      </c>
      <c r="AN380">
        <f>IF('Calc base'!I$14=0,0,MIN(AB380,MAX(0,$E380-SUMIFS($V380:$AG380,'Calc base'!$C$17:$N$17,"&lt;"&amp;'Calc base'!I$17,'Calc base'!$C$14:$N$14,1))))</f>
        <v>0</v>
      </c>
      <c r="AO380">
        <f>IF('Calc base'!J$14=0,0,MIN(AC380,MAX(0,$E380-SUMIFS($V380:$AG380,'Calc base'!$C$17:$N$17,"&lt;"&amp;'Calc base'!J$17,'Calc base'!$C$14:$N$14,1))))</f>
        <v>0</v>
      </c>
      <c r="AP380">
        <f>IF('Calc base'!K$14=0,0,MIN(AD380,MAX(0,$E380-SUMIFS($V380:$AG380,'Calc base'!$C$17:$N$17,"&lt;"&amp;'Calc base'!K$17,'Calc base'!$C$14:$N$14,1))))</f>
        <v>0</v>
      </c>
      <c r="AQ380">
        <f>IF('Calc base'!L$14=0,0,MIN(AE380,MAX(0,$E380-SUMIFS($V380:$AG380,'Calc base'!$C$17:$N$17,"&lt;"&amp;'Calc base'!L$17,'Calc base'!$C$14:$N$14,1))))</f>
        <v>0</v>
      </c>
      <c r="AR380">
        <f>IF('Calc base'!M$14=0,0,MIN(AF380,MAX(0,$E380-SUMIFS($V380:$AG380,'Calc base'!$C$17:$N$17,"&lt;"&amp;'Calc base'!M$17,'Calc base'!$C$14:$N$14,1))))</f>
        <v>0</v>
      </c>
      <c r="AS380">
        <f>IF('Calc base'!N$14=0,0,MIN(AG380,MAX(0,$E380-SUMIFS($V380:$AG380,'Calc base'!$C$17:$N$17,"&lt;"&amp;'Calc base'!N$17,'Calc base'!$C$14:$N$14,1))))</f>
        <v>0</v>
      </c>
      <c r="AT380">
        <f>V380-AH380</f>
        <v>0</v>
      </c>
      <c r="AU380">
        <f>W380-AI380</f>
        <v>0</v>
      </c>
      <c r="AV380">
        <f>X380-AJ380</f>
        <v>0</v>
      </c>
      <c r="AW380">
        <f>Y380-AK380</f>
        <v>0</v>
      </c>
      <c r="AX380">
        <f>Z380-AL380</f>
        <v>0</v>
      </c>
      <c r="AY380">
        <f>AA380-AM380</f>
        <v>0</v>
      </c>
      <c r="AZ380">
        <f>AB380-AN380</f>
        <v>0</v>
      </c>
      <c r="BA380">
        <f>AC380-AO380</f>
        <v>0</v>
      </c>
      <c r="BB380">
        <f>AD380-AP380</f>
        <v>0</v>
      </c>
      <c r="BC380">
        <f>AE380-AQ380</f>
        <v>0</v>
      </c>
      <c r="BD380">
        <f>AF380-AR380</f>
        <v>0</v>
      </c>
      <c r="BE380">
        <f>AG380-AS380</f>
        <v>0</v>
      </c>
    </row>
    <row r="381">
      <c r="A381" t="n">
        <v>351</v>
      </c>
      <c r="B381">
        <f>SUMPRODUCT(ROUND($AT380:$BE380*(1+'Calc base'!$H381:$S381),2))</f>
        <v>0</v>
      </c>
      <c r="C381">
        <f>SUM(J381:U381)</f>
        <v>0</v>
      </c>
      <c r="D381">
        <f>SUM(V381:AG381)</f>
        <v>0</v>
      </c>
      <c r="E381">
        <f>MAX(0,IF(Impostazioni!$B$7="No",'Calc base'!$C381-$C$31,'Calc base'!$C381-C381)+'Calc base'!$G381+'Calc base'!$F381-(B381-C381-D381))</f>
        <v>900</v>
      </c>
      <c r="F381">
        <f>SUM(AH381:AS381)</f>
        <v>0</v>
      </c>
      <c r="G381">
        <f>SUM(AT381:BE381)</f>
        <v>0</v>
      </c>
      <c r="H381">
        <f>B381-G380</f>
        <v>0</v>
      </c>
      <c r="I381">
        <f>B381-G381</f>
        <v>0</v>
      </c>
      <c r="J381">
        <f>IF(AT380&lt;=0,0,IF(ROUND(AT380*(1+'Calc base'!H381),2)-MAX('Calc base'!C$12,ROUND('Calc base'!C$13*AT380,2))&lt;1,ROUND(AT380*(1+'Calc base'!H381),2),MAX('Calc base'!C$12,ROUND('Calc base'!C$13*AT380,2))))</f>
        <v>0</v>
      </c>
      <c r="K381">
        <f>IF(AU380&lt;=0,0,IF(ROUND(AU380*(1+'Calc base'!I381),2)-MAX('Calc base'!D$12,ROUND('Calc base'!D$13*AU380,2))&lt;1,ROUND(AU380*(1+'Calc base'!I381),2),MAX('Calc base'!D$12,ROUND('Calc base'!D$13*AU380,2))))</f>
        <v>0</v>
      </c>
      <c r="L381">
        <f>IF(AV380&lt;=0,0,IF(ROUND(AV380*(1+'Calc base'!J381),2)-MAX('Calc base'!E$12,ROUND('Calc base'!E$13*AV380,2))&lt;1,ROUND(AV380*(1+'Calc base'!J381),2),MAX('Calc base'!E$12,ROUND('Calc base'!E$13*AV380,2))))</f>
        <v>0</v>
      </c>
      <c r="M381">
        <f>IF(AW380&lt;=0,0,IF(ROUND(AW380*(1+'Calc base'!K381),2)-MAX('Calc base'!F$12,ROUND('Calc base'!F$13*AW380,2))&lt;1,ROUND(AW380*(1+'Calc base'!K381),2),MAX('Calc base'!F$12,ROUND('Calc base'!F$13*AW380,2))))</f>
        <v>0</v>
      </c>
      <c r="N381">
        <f>IF(AX380&lt;=0,0,IF(ROUND(AX380*(1+'Calc base'!L381),2)-MAX('Calc base'!G$12,ROUND('Calc base'!G$13*AX380,2))&lt;1,ROUND(AX380*(1+'Calc base'!L381),2),MAX('Calc base'!G$12,ROUND('Calc base'!G$13*AX380,2))))</f>
        <v>0</v>
      </c>
      <c r="O381">
        <f>IF(AY380&lt;=0,0,IF(ROUND(AY380*(1+'Calc base'!M381),2)-MAX('Calc base'!H$12,ROUND('Calc base'!H$13*AY380,2))&lt;1,ROUND(AY380*(1+'Calc base'!M381),2),MAX('Calc base'!H$12,ROUND('Calc base'!H$13*AY380,2))))</f>
        <v>0</v>
      </c>
      <c r="P381">
        <f>IF(AZ380&lt;=0,0,IF(ROUND(AZ380*(1+'Calc base'!N381),2)-MAX('Calc base'!I$12,ROUND('Calc base'!I$13*AZ380,2))&lt;1,ROUND(AZ380*(1+'Calc base'!N381),2),MAX('Calc base'!I$12,ROUND('Calc base'!I$13*AZ380,2))))</f>
        <v>0</v>
      </c>
      <c r="Q381">
        <f>IF(BA380&lt;=0,0,IF(ROUND(BA380*(1+'Calc base'!O381),2)-MAX('Calc base'!J$12,ROUND('Calc base'!J$13*BA380,2))&lt;1,ROUND(BA380*(1+'Calc base'!O381),2),MAX('Calc base'!J$12,ROUND('Calc base'!J$13*BA380,2))))</f>
        <v>0</v>
      </c>
      <c r="R381">
        <f>IF(BB380&lt;=0,0,IF(ROUND(BB380*(1+'Calc base'!P381),2)-MAX('Calc base'!K$12,ROUND('Calc base'!K$13*BB380,2))&lt;1,ROUND(BB380*(1+'Calc base'!P381),2),MAX('Calc base'!K$12,ROUND('Calc base'!K$13*BB380,2))))</f>
        <v>0</v>
      </c>
      <c r="S381">
        <f>IF(BC380&lt;=0,0,IF(ROUND(BC380*(1+'Calc base'!Q381),2)-MAX('Calc base'!L$12,ROUND('Calc base'!L$13*BC380,2))&lt;1,ROUND(BC380*(1+'Calc base'!Q381),2),MAX('Calc base'!L$12,ROUND('Calc base'!L$13*BC380,2))))</f>
        <v>0</v>
      </c>
      <c r="T381">
        <f>IF(BD380&lt;=0,0,IF(ROUND(BD380*(1+'Calc base'!R381),2)-MAX('Calc base'!M$12,ROUND('Calc base'!M$13*BD380,2))&lt;1,ROUND(BD380*(1+'Calc base'!R381),2),MAX('Calc base'!M$12,ROUND('Calc base'!M$13*BD380,2))))</f>
        <v>0</v>
      </c>
      <c r="U381">
        <f>IF(BE380&lt;=0,0,IF(ROUND(BE380*(1+'Calc base'!S381),2)-MAX('Calc base'!N$12,ROUND('Calc base'!N$13*BE380,2))&lt;1,ROUND(BE380*(1+'Calc base'!S381),2),MAX('Calc base'!N$12,ROUND('Calc base'!N$13*BE380,2))))</f>
        <v>0</v>
      </c>
      <c r="V381">
        <f>MAX(0,ROUND(AT380*(1+'Calc base'!H381),2)-J381-'Calc base'!T381)</f>
        <v>0</v>
      </c>
      <c r="W381">
        <f>MAX(0,ROUND(AU380*(1+'Calc base'!I381),2)-K381-'Calc base'!U381)</f>
        <v>0</v>
      </c>
      <c r="X381">
        <f>MAX(0,ROUND(AV380*(1+'Calc base'!J381),2)-L381-'Calc base'!V381)</f>
        <v>0</v>
      </c>
      <c r="Y381">
        <f>MAX(0,ROUND(AW380*(1+'Calc base'!K381),2)-M381-'Calc base'!W381)</f>
        <v>0</v>
      </c>
      <c r="Z381">
        <f>MAX(0,ROUND(AX380*(1+'Calc base'!L381),2)-N381-'Calc base'!X381)</f>
        <v>0</v>
      </c>
      <c r="AA381">
        <f>MAX(0,ROUND(AY380*(1+'Calc base'!M381),2)-O381-'Calc base'!Y381)</f>
        <v>0</v>
      </c>
      <c r="AB381">
        <f>MAX(0,ROUND(AZ380*(1+'Calc base'!N381),2)-P381-'Calc base'!Z381)</f>
        <v>0</v>
      </c>
      <c r="AC381">
        <f>MAX(0,ROUND(BA380*(1+'Calc base'!O381),2)-Q381-'Calc base'!AA381)</f>
        <v>0</v>
      </c>
      <c r="AD381">
        <f>MAX(0,ROUND(BB380*(1+'Calc base'!P381),2)-R381-'Calc base'!AB381)</f>
        <v>0</v>
      </c>
      <c r="AE381">
        <f>MAX(0,ROUND(BC380*(1+'Calc base'!Q381),2)-S381-'Calc base'!AC381)</f>
        <v>0</v>
      </c>
      <c r="AF381">
        <f>MAX(0,ROUND(BD380*(1+'Calc base'!R381),2)-T381-'Calc base'!AD381)</f>
        <v>0</v>
      </c>
      <c r="AG381">
        <f>MAX(0,ROUND(BE380*(1+'Calc base'!S381),2)-U381-'Calc base'!AE381)</f>
        <v>0</v>
      </c>
      <c r="AH381">
        <f>IF('Calc base'!C$14=0,0,MIN(V381,MAX(0,$E381-SUMIFS($V381:$AG381,'Calc base'!$C$17:$N$17,"&lt;"&amp;'Calc base'!C$17,'Calc base'!$C$14:$N$14,1))))</f>
        <v>0</v>
      </c>
      <c r="AI381">
        <f>IF('Calc base'!D$14=0,0,MIN(W381,MAX(0,$E381-SUMIFS($V381:$AG381,'Calc base'!$C$17:$N$17,"&lt;"&amp;'Calc base'!D$17,'Calc base'!$C$14:$N$14,1))))</f>
        <v>0</v>
      </c>
      <c r="AJ381">
        <f>IF('Calc base'!E$14=0,0,MIN(X381,MAX(0,$E381-SUMIFS($V381:$AG381,'Calc base'!$C$17:$N$17,"&lt;"&amp;'Calc base'!E$17,'Calc base'!$C$14:$N$14,1))))</f>
        <v>0</v>
      </c>
      <c r="AK381">
        <f>IF('Calc base'!F$14=0,0,MIN(Y381,MAX(0,$E381-SUMIFS($V381:$AG381,'Calc base'!$C$17:$N$17,"&lt;"&amp;'Calc base'!F$17,'Calc base'!$C$14:$N$14,1))))</f>
        <v>0</v>
      </c>
      <c r="AL381">
        <f>IF('Calc base'!G$14=0,0,MIN(Z381,MAX(0,$E381-SUMIFS($V381:$AG381,'Calc base'!$C$17:$N$17,"&lt;"&amp;'Calc base'!G$17,'Calc base'!$C$14:$N$14,1))))</f>
        <v>0</v>
      </c>
      <c r="AM381">
        <f>IF('Calc base'!H$14=0,0,MIN(AA381,MAX(0,$E381-SUMIFS($V381:$AG381,'Calc base'!$C$17:$N$17,"&lt;"&amp;'Calc base'!H$17,'Calc base'!$C$14:$N$14,1))))</f>
        <v>0</v>
      </c>
      <c r="AN381">
        <f>IF('Calc base'!I$14=0,0,MIN(AB381,MAX(0,$E381-SUMIFS($V381:$AG381,'Calc base'!$C$17:$N$17,"&lt;"&amp;'Calc base'!I$17,'Calc base'!$C$14:$N$14,1))))</f>
        <v>0</v>
      </c>
      <c r="AO381">
        <f>IF('Calc base'!J$14=0,0,MIN(AC381,MAX(0,$E381-SUMIFS($V381:$AG381,'Calc base'!$C$17:$N$17,"&lt;"&amp;'Calc base'!J$17,'Calc base'!$C$14:$N$14,1))))</f>
        <v>0</v>
      </c>
      <c r="AP381">
        <f>IF('Calc base'!K$14=0,0,MIN(AD381,MAX(0,$E381-SUMIFS($V381:$AG381,'Calc base'!$C$17:$N$17,"&lt;"&amp;'Calc base'!K$17,'Calc base'!$C$14:$N$14,1))))</f>
        <v>0</v>
      </c>
      <c r="AQ381">
        <f>IF('Calc base'!L$14=0,0,MIN(AE381,MAX(0,$E381-SUMIFS($V381:$AG381,'Calc base'!$C$17:$N$17,"&lt;"&amp;'Calc base'!L$17,'Calc base'!$C$14:$N$14,1))))</f>
        <v>0</v>
      </c>
      <c r="AR381">
        <f>IF('Calc base'!M$14=0,0,MIN(AF381,MAX(0,$E381-SUMIFS($V381:$AG381,'Calc base'!$C$17:$N$17,"&lt;"&amp;'Calc base'!M$17,'Calc base'!$C$14:$N$14,1))))</f>
        <v>0</v>
      </c>
      <c r="AS381">
        <f>IF('Calc base'!N$14=0,0,MIN(AG381,MAX(0,$E381-SUMIFS($V381:$AG381,'Calc base'!$C$17:$N$17,"&lt;"&amp;'Calc base'!N$17,'Calc base'!$C$14:$N$14,1))))</f>
        <v>0</v>
      </c>
      <c r="AT381">
        <f>V381-AH381</f>
        <v>0</v>
      </c>
      <c r="AU381">
        <f>W381-AI381</f>
        <v>0</v>
      </c>
      <c r="AV381">
        <f>X381-AJ381</f>
        <v>0</v>
      </c>
      <c r="AW381">
        <f>Y381-AK381</f>
        <v>0</v>
      </c>
      <c r="AX381">
        <f>Z381-AL381</f>
        <v>0</v>
      </c>
      <c r="AY381">
        <f>AA381-AM381</f>
        <v>0</v>
      </c>
      <c r="AZ381">
        <f>AB381-AN381</f>
        <v>0</v>
      </c>
      <c r="BA381">
        <f>AC381-AO381</f>
        <v>0</v>
      </c>
      <c r="BB381">
        <f>AD381-AP381</f>
        <v>0</v>
      </c>
      <c r="BC381">
        <f>AE381-AQ381</f>
        <v>0</v>
      </c>
      <c r="BD381">
        <f>AF381-AR381</f>
        <v>0</v>
      </c>
      <c r="BE381">
        <f>AG381-AS381</f>
        <v>0</v>
      </c>
    </row>
    <row r="382">
      <c r="A382" t="n">
        <v>352</v>
      </c>
      <c r="B382">
        <f>SUMPRODUCT(ROUND($AT381:$BE381*(1+'Calc base'!$H382:$S382),2))</f>
        <v>0</v>
      </c>
      <c r="C382">
        <f>SUM(J382:U382)</f>
        <v>0</v>
      </c>
      <c r="D382">
        <f>SUM(V382:AG382)</f>
        <v>0</v>
      </c>
      <c r="E382">
        <f>MAX(0,IF(Impostazioni!$B$7="No",'Calc base'!$C382-$C$31,'Calc base'!$C382-C382)+'Calc base'!$G382+'Calc base'!$F382-(B382-C382-D382))</f>
        <v>900</v>
      </c>
      <c r="F382">
        <f>SUM(AH382:AS382)</f>
        <v>0</v>
      </c>
      <c r="G382">
        <f>SUM(AT382:BE382)</f>
        <v>0</v>
      </c>
      <c r="H382">
        <f>B382-G381</f>
        <v>0</v>
      </c>
      <c r="I382">
        <f>B382-G382</f>
        <v>0</v>
      </c>
      <c r="J382">
        <f>IF(AT381&lt;=0,0,IF(ROUND(AT381*(1+'Calc base'!H382),2)-MAX('Calc base'!C$12,ROUND('Calc base'!C$13*AT381,2))&lt;1,ROUND(AT381*(1+'Calc base'!H382),2),MAX('Calc base'!C$12,ROUND('Calc base'!C$13*AT381,2))))</f>
        <v>0</v>
      </c>
      <c r="K382">
        <f>IF(AU381&lt;=0,0,IF(ROUND(AU381*(1+'Calc base'!I382),2)-MAX('Calc base'!D$12,ROUND('Calc base'!D$13*AU381,2))&lt;1,ROUND(AU381*(1+'Calc base'!I382),2),MAX('Calc base'!D$12,ROUND('Calc base'!D$13*AU381,2))))</f>
        <v>0</v>
      </c>
      <c r="L382">
        <f>IF(AV381&lt;=0,0,IF(ROUND(AV381*(1+'Calc base'!J382),2)-MAX('Calc base'!E$12,ROUND('Calc base'!E$13*AV381,2))&lt;1,ROUND(AV381*(1+'Calc base'!J382),2),MAX('Calc base'!E$12,ROUND('Calc base'!E$13*AV381,2))))</f>
        <v>0</v>
      </c>
      <c r="M382">
        <f>IF(AW381&lt;=0,0,IF(ROUND(AW381*(1+'Calc base'!K382),2)-MAX('Calc base'!F$12,ROUND('Calc base'!F$13*AW381,2))&lt;1,ROUND(AW381*(1+'Calc base'!K382),2),MAX('Calc base'!F$12,ROUND('Calc base'!F$13*AW381,2))))</f>
        <v>0</v>
      </c>
      <c r="N382">
        <f>IF(AX381&lt;=0,0,IF(ROUND(AX381*(1+'Calc base'!L382),2)-MAX('Calc base'!G$12,ROUND('Calc base'!G$13*AX381,2))&lt;1,ROUND(AX381*(1+'Calc base'!L382),2),MAX('Calc base'!G$12,ROUND('Calc base'!G$13*AX381,2))))</f>
        <v>0</v>
      </c>
      <c r="O382">
        <f>IF(AY381&lt;=0,0,IF(ROUND(AY381*(1+'Calc base'!M382),2)-MAX('Calc base'!H$12,ROUND('Calc base'!H$13*AY381,2))&lt;1,ROUND(AY381*(1+'Calc base'!M382),2),MAX('Calc base'!H$12,ROUND('Calc base'!H$13*AY381,2))))</f>
        <v>0</v>
      </c>
      <c r="P382">
        <f>IF(AZ381&lt;=0,0,IF(ROUND(AZ381*(1+'Calc base'!N382),2)-MAX('Calc base'!I$12,ROUND('Calc base'!I$13*AZ381,2))&lt;1,ROUND(AZ381*(1+'Calc base'!N382),2),MAX('Calc base'!I$12,ROUND('Calc base'!I$13*AZ381,2))))</f>
        <v>0</v>
      </c>
      <c r="Q382">
        <f>IF(BA381&lt;=0,0,IF(ROUND(BA381*(1+'Calc base'!O382),2)-MAX('Calc base'!J$12,ROUND('Calc base'!J$13*BA381,2))&lt;1,ROUND(BA381*(1+'Calc base'!O382),2),MAX('Calc base'!J$12,ROUND('Calc base'!J$13*BA381,2))))</f>
        <v>0</v>
      </c>
      <c r="R382">
        <f>IF(BB381&lt;=0,0,IF(ROUND(BB381*(1+'Calc base'!P382),2)-MAX('Calc base'!K$12,ROUND('Calc base'!K$13*BB381,2))&lt;1,ROUND(BB381*(1+'Calc base'!P382),2),MAX('Calc base'!K$12,ROUND('Calc base'!K$13*BB381,2))))</f>
        <v>0</v>
      </c>
      <c r="S382">
        <f>IF(BC381&lt;=0,0,IF(ROUND(BC381*(1+'Calc base'!Q382),2)-MAX('Calc base'!L$12,ROUND('Calc base'!L$13*BC381,2))&lt;1,ROUND(BC381*(1+'Calc base'!Q382),2),MAX('Calc base'!L$12,ROUND('Calc base'!L$13*BC381,2))))</f>
        <v>0</v>
      </c>
      <c r="T382">
        <f>IF(BD381&lt;=0,0,IF(ROUND(BD381*(1+'Calc base'!R382),2)-MAX('Calc base'!M$12,ROUND('Calc base'!M$13*BD381,2))&lt;1,ROUND(BD381*(1+'Calc base'!R382),2),MAX('Calc base'!M$12,ROUND('Calc base'!M$13*BD381,2))))</f>
        <v>0</v>
      </c>
      <c r="U382">
        <f>IF(BE381&lt;=0,0,IF(ROUND(BE381*(1+'Calc base'!S382),2)-MAX('Calc base'!N$12,ROUND('Calc base'!N$13*BE381,2))&lt;1,ROUND(BE381*(1+'Calc base'!S382),2),MAX('Calc base'!N$12,ROUND('Calc base'!N$13*BE381,2))))</f>
        <v>0</v>
      </c>
      <c r="V382">
        <f>MAX(0,ROUND(AT381*(1+'Calc base'!H382),2)-J382-'Calc base'!T382)</f>
        <v>0</v>
      </c>
      <c r="W382">
        <f>MAX(0,ROUND(AU381*(1+'Calc base'!I382),2)-K382-'Calc base'!U382)</f>
        <v>0</v>
      </c>
      <c r="X382">
        <f>MAX(0,ROUND(AV381*(1+'Calc base'!J382),2)-L382-'Calc base'!V382)</f>
        <v>0</v>
      </c>
      <c r="Y382">
        <f>MAX(0,ROUND(AW381*(1+'Calc base'!K382),2)-M382-'Calc base'!W382)</f>
        <v>0</v>
      </c>
      <c r="Z382">
        <f>MAX(0,ROUND(AX381*(1+'Calc base'!L382),2)-N382-'Calc base'!X382)</f>
        <v>0</v>
      </c>
      <c r="AA382">
        <f>MAX(0,ROUND(AY381*(1+'Calc base'!M382),2)-O382-'Calc base'!Y382)</f>
        <v>0</v>
      </c>
      <c r="AB382">
        <f>MAX(0,ROUND(AZ381*(1+'Calc base'!N382),2)-P382-'Calc base'!Z382)</f>
        <v>0</v>
      </c>
      <c r="AC382">
        <f>MAX(0,ROUND(BA381*(1+'Calc base'!O382),2)-Q382-'Calc base'!AA382)</f>
        <v>0</v>
      </c>
      <c r="AD382">
        <f>MAX(0,ROUND(BB381*(1+'Calc base'!P382),2)-R382-'Calc base'!AB382)</f>
        <v>0</v>
      </c>
      <c r="AE382">
        <f>MAX(0,ROUND(BC381*(1+'Calc base'!Q382),2)-S382-'Calc base'!AC382)</f>
        <v>0</v>
      </c>
      <c r="AF382">
        <f>MAX(0,ROUND(BD381*(1+'Calc base'!R382),2)-T382-'Calc base'!AD382)</f>
        <v>0</v>
      </c>
      <c r="AG382">
        <f>MAX(0,ROUND(BE381*(1+'Calc base'!S382),2)-U382-'Calc base'!AE382)</f>
        <v>0</v>
      </c>
      <c r="AH382">
        <f>IF('Calc base'!C$14=0,0,MIN(V382,MAX(0,$E382-SUMIFS($V382:$AG382,'Calc base'!$C$17:$N$17,"&lt;"&amp;'Calc base'!C$17,'Calc base'!$C$14:$N$14,1))))</f>
        <v>0</v>
      </c>
      <c r="AI382">
        <f>IF('Calc base'!D$14=0,0,MIN(W382,MAX(0,$E382-SUMIFS($V382:$AG382,'Calc base'!$C$17:$N$17,"&lt;"&amp;'Calc base'!D$17,'Calc base'!$C$14:$N$14,1))))</f>
        <v>0</v>
      </c>
      <c r="AJ382">
        <f>IF('Calc base'!E$14=0,0,MIN(X382,MAX(0,$E382-SUMIFS($V382:$AG382,'Calc base'!$C$17:$N$17,"&lt;"&amp;'Calc base'!E$17,'Calc base'!$C$14:$N$14,1))))</f>
        <v>0</v>
      </c>
      <c r="AK382">
        <f>IF('Calc base'!F$14=0,0,MIN(Y382,MAX(0,$E382-SUMIFS($V382:$AG382,'Calc base'!$C$17:$N$17,"&lt;"&amp;'Calc base'!F$17,'Calc base'!$C$14:$N$14,1))))</f>
        <v>0</v>
      </c>
      <c r="AL382">
        <f>IF('Calc base'!G$14=0,0,MIN(Z382,MAX(0,$E382-SUMIFS($V382:$AG382,'Calc base'!$C$17:$N$17,"&lt;"&amp;'Calc base'!G$17,'Calc base'!$C$14:$N$14,1))))</f>
        <v>0</v>
      </c>
      <c r="AM382">
        <f>IF('Calc base'!H$14=0,0,MIN(AA382,MAX(0,$E382-SUMIFS($V382:$AG382,'Calc base'!$C$17:$N$17,"&lt;"&amp;'Calc base'!H$17,'Calc base'!$C$14:$N$14,1))))</f>
        <v>0</v>
      </c>
      <c r="AN382">
        <f>IF('Calc base'!I$14=0,0,MIN(AB382,MAX(0,$E382-SUMIFS($V382:$AG382,'Calc base'!$C$17:$N$17,"&lt;"&amp;'Calc base'!I$17,'Calc base'!$C$14:$N$14,1))))</f>
        <v>0</v>
      </c>
      <c r="AO382">
        <f>IF('Calc base'!J$14=0,0,MIN(AC382,MAX(0,$E382-SUMIFS($V382:$AG382,'Calc base'!$C$17:$N$17,"&lt;"&amp;'Calc base'!J$17,'Calc base'!$C$14:$N$14,1))))</f>
        <v>0</v>
      </c>
      <c r="AP382">
        <f>IF('Calc base'!K$14=0,0,MIN(AD382,MAX(0,$E382-SUMIFS($V382:$AG382,'Calc base'!$C$17:$N$17,"&lt;"&amp;'Calc base'!K$17,'Calc base'!$C$14:$N$14,1))))</f>
        <v>0</v>
      </c>
      <c r="AQ382">
        <f>IF('Calc base'!L$14=0,0,MIN(AE382,MAX(0,$E382-SUMIFS($V382:$AG382,'Calc base'!$C$17:$N$17,"&lt;"&amp;'Calc base'!L$17,'Calc base'!$C$14:$N$14,1))))</f>
        <v>0</v>
      </c>
      <c r="AR382">
        <f>IF('Calc base'!M$14=0,0,MIN(AF382,MAX(0,$E382-SUMIFS($V382:$AG382,'Calc base'!$C$17:$N$17,"&lt;"&amp;'Calc base'!M$17,'Calc base'!$C$14:$N$14,1))))</f>
        <v>0</v>
      </c>
      <c r="AS382">
        <f>IF('Calc base'!N$14=0,0,MIN(AG382,MAX(0,$E382-SUMIFS($V382:$AG382,'Calc base'!$C$17:$N$17,"&lt;"&amp;'Calc base'!N$17,'Calc base'!$C$14:$N$14,1))))</f>
        <v>0</v>
      </c>
      <c r="AT382">
        <f>V382-AH382</f>
        <v>0</v>
      </c>
      <c r="AU382">
        <f>W382-AI382</f>
        <v>0</v>
      </c>
      <c r="AV382">
        <f>X382-AJ382</f>
        <v>0</v>
      </c>
      <c r="AW382">
        <f>Y382-AK382</f>
        <v>0</v>
      </c>
      <c r="AX382">
        <f>Z382-AL382</f>
        <v>0</v>
      </c>
      <c r="AY382">
        <f>AA382-AM382</f>
        <v>0</v>
      </c>
      <c r="AZ382">
        <f>AB382-AN382</f>
        <v>0</v>
      </c>
      <c r="BA382">
        <f>AC382-AO382</f>
        <v>0</v>
      </c>
      <c r="BB382">
        <f>AD382-AP382</f>
        <v>0</v>
      </c>
      <c r="BC382">
        <f>AE382-AQ382</f>
        <v>0</v>
      </c>
      <c r="BD382">
        <f>AF382-AR382</f>
        <v>0</v>
      </c>
      <c r="BE382">
        <f>AG382-AS382</f>
        <v>0</v>
      </c>
    </row>
    <row r="383">
      <c r="A383" t="n">
        <v>353</v>
      </c>
      <c r="B383">
        <f>SUMPRODUCT(ROUND($AT382:$BE382*(1+'Calc base'!$H383:$S383),2))</f>
        <v>0</v>
      </c>
      <c r="C383">
        <f>SUM(J383:U383)</f>
        <v>0</v>
      </c>
      <c r="D383">
        <f>SUM(V383:AG383)</f>
        <v>0</v>
      </c>
      <c r="E383">
        <f>MAX(0,IF(Impostazioni!$B$7="No",'Calc base'!$C383-$C$31,'Calc base'!$C383-C383)+'Calc base'!$G383+'Calc base'!$F383-(B383-C383-D383))</f>
        <v>900</v>
      </c>
      <c r="F383">
        <f>SUM(AH383:AS383)</f>
        <v>0</v>
      </c>
      <c r="G383">
        <f>SUM(AT383:BE383)</f>
        <v>0</v>
      </c>
      <c r="H383">
        <f>B383-G382</f>
        <v>0</v>
      </c>
      <c r="I383">
        <f>B383-G383</f>
        <v>0</v>
      </c>
      <c r="J383">
        <f>IF(AT382&lt;=0,0,IF(ROUND(AT382*(1+'Calc base'!H383),2)-MAX('Calc base'!C$12,ROUND('Calc base'!C$13*AT382,2))&lt;1,ROUND(AT382*(1+'Calc base'!H383),2),MAX('Calc base'!C$12,ROUND('Calc base'!C$13*AT382,2))))</f>
        <v>0</v>
      </c>
      <c r="K383">
        <f>IF(AU382&lt;=0,0,IF(ROUND(AU382*(1+'Calc base'!I383),2)-MAX('Calc base'!D$12,ROUND('Calc base'!D$13*AU382,2))&lt;1,ROUND(AU382*(1+'Calc base'!I383),2),MAX('Calc base'!D$12,ROUND('Calc base'!D$13*AU382,2))))</f>
        <v>0</v>
      </c>
      <c r="L383">
        <f>IF(AV382&lt;=0,0,IF(ROUND(AV382*(1+'Calc base'!J383),2)-MAX('Calc base'!E$12,ROUND('Calc base'!E$13*AV382,2))&lt;1,ROUND(AV382*(1+'Calc base'!J383),2),MAX('Calc base'!E$12,ROUND('Calc base'!E$13*AV382,2))))</f>
        <v>0</v>
      </c>
      <c r="M383">
        <f>IF(AW382&lt;=0,0,IF(ROUND(AW382*(1+'Calc base'!K383),2)-MAX('Calc base'!F$12,ROUND('Calc base'!F$13*AW382,2))&lt;1,ROUND(AW382*(1+'Calc base'!K383),2),MAX('Calc base'!F$12,ROUND('Calc base'!F$13*AW382,2))))</f>
        <v>0</v>
      </c>
      <c r="N383">
        <f>IF(AX382&lt;=0,0,IF(ROUND(AX382*(1+'Calc base'!L383),2)-MAX('Calc base'!G$12,ROUND('Calc base'!G$13*AX382,2))&lt;1,ROUND(AX382*(1+'Calc base'!L383),2),MAX('Calc base'!G$12,ROUND('Calc base'!G$13*AX382,2))))</f>
        <v>0</v>
      </c>
      <c r="O383">
        <f>IF(AY382&lt;=0,0,IF(ROUND(AY382*(1+'Calc base'!M383),2)-MAX('Calc base'!H$12,ROUND('Calc base'!H$13*AY382,2))&lt;1,ROUND(AY382*(1+'Calc base'!M383),2),MAX('Calc base'!H$12,ROUND('Calc base'!H$13*AY382,2))))</f>
        <v>0</v>
      </c>
      <c r="P383">
        <f>IF(AZ382&lt;=0,0,IF(ROUND(AZ382*(1+'Calc base'!N383),2)-MAX('Calc base'!I$12,ROUND('Calc base'!I$13*AZ382,2))&lt;1,ROUND(AZ382*(1+'Calc base'!N383),2),MAX('Calc base'!I$12,ROUND('Calc base'!I$13*AZ382,2))))</f>
        <v>0</v>
      </c>
      <c r="Q383">
        <f>IF(BA382&lt;=0,0,IF(ROUND(BA382*(1+'Calc base'!O383),2)-MAX('Calc base'!J$12,ROUND('Calc base'!J$13*BA382,2))&lt;1,ROUND(BA382*(1+'Calc base'!O383),2),MAX('Calc base'!J$12,ROUND('Calc base'!J$13*BA382,2))))</f>
        <v>0</v>
      </c>
      <c r="R383">
        <f>IF(BB382&lt;=0,0,IF(ROUND(BB382*(1+'Calc base'!P383),2)-MAX('Calc base'!K$12,ROUND('Calc base'!K$13*BB382,2))&lt;1,ROUND(BB382*(1+'Calc base'!P383),2),MAX('Calc base'!K$12,ROUND('Calc base'!K$13*BB382,2))))</f>
        <v>0</v>
      </c>
      <c r="S383">
        <f>IF(BC382&lt;=0,0,IF(ROUND(BC382*(1+'Calc base'!Q383),2)-MAX('Calc base'!L$12,ROUND('Calc base'!L$13*BC382,2))&lt;1,ROUND(BC382*(1+'Calc base'!Q383),2),MAX('Calc base'!L$12,ROUND('Calc base'!L$13*BC382,2))))</f>
        <v>0</v>
      </c>
      <c r="T383">
        <f>IF(BD382&lt;=0,0,IF(ROUND(BD382*(1+'Calc base'!R383),2)-MAX('Calc base'!M$12,ROUND('Calc base'!M$13*BD382,2))&lt;1,ROUND(BD382*(1+'Calc base'!R383),2),MAX('Calc base'!M$12,ROUND('Calc base'!M$13*BD382,2))))</f>
        <v>0</v>
      </c>
      <c r="U383">
        <f>IF(BE382&lt;=0,0,IF(ROUND(BE382*(1+'Calc base'!S383),2)-MAX('Calc base'!N$12,ROUND('Calc base'!N$13*BE382,2))&lt;1,ROUND(BE382*(1+'Calc base'!S383),2),MAX('Calc base'!N$12,ROUND('Calc base'!N$13*BE382,2))))</f>
        <v>0</v>
      </c>
      <c r="V383">
        <f>MAX(0,ROUND(AT382*(1+'Calc base'!H383),2)-J383-'Calc base'!T383)</f>
        <v>0</v>
      </c>
      <c r="W383">
        <f>MAX(0,ROUND(AU382*(1+'Calc base'!I383),2)-K383-'Calc base'!U383)</f>
        <v>0</v>
      </c>
      <c r="X383">
        <f>MAX(0,ROUND(AV382*(1+'Calc base'!J383),2)-L383-'Calc base'!V383)</f>
        <v>0</v>
      </c>
      <c r="Y383">
        <f>MAX(0,ROUND(AW382*(1+'Calc base'!K383),2)-M383-'Calc base'!W383)</f>
        <v>0</v>
      </c>
      <c r="Z383">
        <f>MAX(0,ROUND(AX382*(1+'Calc base'!L383),2)-N383-'Calc base'!X383)</f>
        <v>0</v>
      </c>
      <c r="AA383">
        <f>MAX(0,ROUND(AY382*(1+'Calc base'!M383),2)-O383-'Calc base'!Y383)</f>
        <v>0</v>
      </c>
      <c r="AB383">
        <f>MAX(0,ROUND(AZ382*(1+'Calc base'!N383),2)-P383-'Calc base'!Z383)</f>
        <v>0</v>
      </c>
      <c r="AC383">
        <f>MAX(0,ROUND(BA382*(1+'Calc base'!O383),2)-Q383-'Calc base'!AA383)</f>
        <v>0</v>
      </c>
      <c r="AD383">
        <f>MAX(0,ROUND(BB382*(1+'Calc base'!P383),2)-R383-'Calc base'!AB383)</f>
        <v>0</v>
      </c>
      <c r="AE383">
        <f>MAX(0,ROUND(BC382*(1+'Calc base'!Q383),2)-S383-'Calc base'!AC383)</f>
        <v>0</v>
      </c>
      <c r="AF383">
        <f>MAX(0,ROUND(BD382*(1+'Calc base'!R383),2)-T383-'Calc base'!AD383)</f>
        <v>0</v>
      </c>
      <c r="AG383">
        <f>MAX(0,ROUND(BE382*(1+'Calc base'!S383),2)-U383-'Calc base'!AE383)</f>
        <v>0</v>
      </c>
      <c r="AH383">
        <f>IF('Calc base'!C$14=0,0,MIN(V383,MAX(0,$E383-SUMIFS($V383:$AG383,'Calc base'!$C$17:$N$17,"&lt;"&amp;'Calc base'!C$17,'Calc base'!$C$14:$N$14,1))))</f>
        <v>0</v>
      </c>
      <c r="AI383">
        <f>IF('Calc base'!D$14=0,0,MIN(W383,MAX(0,$E383-SUMIFS($V383:$AG383,'Calc base'!$C$17:$N$17,"&lt;"&amp;'Calc base'!D$17,'Calc base'!$C$14:$N$14,1))))</f>
        <v>0</v>
      </c>
      <c r="AJ383">
        <f>IF('Calc base'!E$14=0,0,MIN(X383,MAX(0,$E383-SUMIFS($V383:$AG383,'Calc base'!$C$17:$N$17,"&lt;"&amp;'Calc base'!E$17,'Calc base'!$C$14:$N$14,1))))</f>
        <v>0</v>
      </c>
      <c r="AK383">
        <f>IF('Calc base'!F$14=0,0,MIN(Y383,MAX(0,$E383-SUMIFS($V383:$AG383,'Calc base'!$C$17:$N$17,"&lt;"&amp;'Calc base'!F$17,'Calc base'!$C$14:$N$14,1))))</f>
        <v>0</v>
      </c>
      <c r="AL383">
        <f>IF('Calc base'!G$14=0,0,MIN(Z383,MAX(0,$E383-SUMIFS($V383:$AG383,'Calc base'!$C$17:$N$17,"&lt;"&amp;'Calc base'!G$17,'Calc base'!$C$14:$N$14,1))))</f>
        <v>0</v>
      </c>
      <c r="AM383">
        <f>IF('Calc base'!H$14=0,0,MIN(AA383,MAX(0,$E383-SUMIFS($V383:$AG383,'Calc base'!$C$17:$N$17,"&lt;"&amp;'Calc base'!H$17,'Calc base'!$C$14:$N$14,1))))</f>
        <v>0</v>
      </c>
      <c r="AN383">
        <f>IF('Calc base'!I$14=0,0,MIN(AB383,MAX(0,$E383-SUMIFS($V383:$AG383,'Calc base'!$C$17:$N$17,"&lt;"&amp;'Calc base'!I$17,'Calc base'!$C$14:$N$14,1))))</f>
        <v>0</v>
      </c>
      <c r="AO383">
        <f>IF('Calc base'!J$14=0,0,MIN(AC383,MAX(0,$E383-SUMIFS($V383:$AG383,'Calc base'!$C$17:$N$17,"&lt;"&amp;'Calc base'!J$17,'Calc base'!$C$14:$N$14,1))))</f>
        <v>0</v>
      </c>
      <c r="AP383">
        <f>IF('Calc base'!K$14=0,0,MIN(AD383,MAX(0,$E383-SUMIFS($V383:$AG383,'Calc base'!$C$17:$N$17,"&lt;"&amp;'Calc base'!K$17,'Calc base'!$C$14:$N$14,1))))</f>
        <v>0</v>
      </c>
      <c r="AQ383">
        <f>IF('Calc base'!L$14=0,0,MIN(AE383,MAX(0,$E383-SUMIFS($V383:$AG383,'Calc base'!$C$17:$N$17,"&lt;"&amp;'Calc base'!L$17,'Calc base'!$C$14:$N$14,1))))</f>
        <v>0</v>
      </c>
      <c r="AR383">
        <f>IF('Calc base'!M$14=0,0,MIN(AF383,MAX(0,$E383-SUMIFS($V383:$AG383,'Calc base'!$C$17:$N$17,"&lt;"&amp;'Calc base'!M$17,'Calc base'!$C$14:$N$14,1))))</f>
        <v>0</v>
      </c>
      <c r="AS383">
        <f>IF('Calc base'!N$14=0,0,MIN(AG383,MAX(0,$E383-SUMIFS($V383:$AG383,'Calc base'!$C$17:$N$17,"&lt;"&amp;'Calc base'!N$17,'Calc base'!$C$14:$N$14,1))))</f>
        <v>0</v>
      </c>
      <c r="AT383">
        <f>V383-AH383</f>
        <v>0</v>
      </c>
      <c r="AU383">
        <f>W383-AI383</f>
        <v>0</v>
      </c>
      <c r="AV383">
        <f>X383-AJ383</f>
        <v>0</v>
      </c>
      <c r="AW383">
        <f>Y383-AK383</f>
        <v>0</v>
      </c>
      <c r="AX383">
        <f>Z383-AL383</f>
        <v>0</v>
      </c>
      <c r="AY383">
        <f>AA383-AM383</f>
        <v>0</v>
      </c>
      <c r="AZ383">
        <f>AB383-AN383</f>
        <v>0</v>
      </c>
      <c r="BA383">
        <f>AC383-AO383</f>
        <v>0</v>
      </c>
      <c r="BB383">
        <f>AD383-AP383</f>
        <v>0</v>
      </c>
      <c r="BC383">
        <f>AE383-AQ383</f>
        <v>0</v>
      </c>
      <c r="BD383">
        <f>AF383-AR383</f>
        <v>0</v>
      </c>
      <c r="BE383">
        <f>AG383-AS383</f>
        <v>0</v>
      </c>
    </row>
    <row r="384">
      <c r="A384" t="n">
        <v>354</v>
      </c>
      <c r="B384">
        <f>SUMPRODUCT(ROUND($AT383:$BE383*(1+'Calc base'!$H384:$S384),2))</f>
        <v>0</v>
      </c>
      <c r="C384">
        <f>SUM(J384:U384)</f>
        <v>0</v>
      </c>
      <c r="D384">
        <f>SUM(V384:AG384)</f>
        <v>0</v>
      </c>
      <c r="E384">
        <f>MAX(0,IF(Impostazioni!$B$7="No",'Calc base'!$C384-$C$31,'Calc base'!$C384-C384)+'Calc base'!$G384+'Calc base'!$F384-(B384-C384-D384))</f>
        <v>900</v>
      </c>
      <c r="F384">
        <f>SUM(AH384:AS384)</f>
        <v>0</v>
      </c>
      <c r="G384">
        <f>SUM(AT384:BE384)</f>
        <v>0</v>
      </c>
      <c r="H384">
        <f>B384-G383</f>
        <v>0</v>
      </c>
      <c r="I384">
        <f>B384-G384</f>
        <v>0</v>
      </c>
      <c r="J384">
        <f>IF(AT383&lt;=0,0,IF(ROUND(AT383*(1+'Calc base'!H384),2)-MAX('Calc base'!C$12,ROUND('Calc base'!C$13*AT383,2))&lt;1,ROUND(AT383*(1+'Calc base'!H384),2),MAX('Calc base'!C$12,ROUND('Calc base'!C$13*AT383,2))))</f>
        <v>0</v>
      </c>
      <c r="K384">
        <f>IF(AU383&lt;=0,0,IF(ROUND(AU383*(1+'Calc base'!I384),2)-MAX('Calc base'!D$12,ROUND('Calc base'!D$13*AU383,2))&lt;1,ROUND(AU383*(1+'Calc base'!I384),2),MAX('Calc base'!D$12,ROUND('Calc base'!D$13*AU383,2))))</f>
        <v>0</v>
      </c>
      <c r="L384">
        <f>IF(AV383&lt;=0,0,IF(ROUND(AV383*(1+'Calc base'!J384),2)-MAX('Calc base'!E$12,ROUND('Calc base'!E$13*AV383,2))&lt;1,ROUND(AV383*(1+'Calc base'!J384),2),MAX('Calc base'!E$12,ROUND('Calc base'!E$13*AV383,2))))</f>
        <v>0</v>
      </c>
      <c r="M384">
        <f>IF(AW383&lt;=0,0,IF(ROUND(AW383*(1+'Calc base'!K384),2)-MAX('Calc base'!F$12,ROUND('Calc base'!F$13*AW383,2))&lt;1,ROUND(AW383*(1+'Calc base'!K384),2),MAX('Calc base'!F$12,ROUND('Calc base'!F$13*AW383,2))))</f>
        <v>0</v>
      </c>
      <c r="N384">
        <f>IF(AX383&lt;=0,0,IF(ROUND(AX383*(1+'Calc base'!L384),2)-MAX('Calc base'!G$12,ROUND('Calc base'!G$13*AX383,2))&lt;1,ROUND(AX383*(1+'Calc base'!L384),2),MAX('Calc base'!G$12,ROUND('Calc base'!G$13*AX383,2))))</f>
        <v>0</v>
      </c>
      <c r="O384">
        <f>IF(AY383&lt;=0,0,IF(ROUND(AY383*(1+'Calc base'!M384),2)-MAX('Calc base'!H$12,ROUND('Calc base'!H$13*AY383,2))&lt;1,ROUND(AY383*(1+'Calc base'!M384),2),MAX('Calc base'!H$12,ROUND('Calc base'!H$13*AY383,2))))</f>
        <v>0</v>
      </c>
      <c r="P384">
        <f>IF(AZ383&lt;=0,0,IF(ROUND(AZ383*(1+'Calc base'!N384),2)-MAX('Calc base'!I$12,ROUND('Calc base'!I$13*AZ383,2))&lt;1,ROUND(AZ383*(1+'Calc base'!N384),2),MAX('Calc base'!I$12,ROUND('Calc base'!I$13*AZ383,2))))</f>
        <v>0</v>
      </c>
      <c r="Q384">
        <f>IF(BA383&lt;=0,0,IF(ROUND(BA383*(1+'Calc base'!O384),2)-MAX('Calc base'!J$12,ROUND('Calc base'!J$13*BA383,2))&lt;1,ROUND(BA383*(1+'Calc base'!O384),2),MAX('Calc base'!J$12,ROUND('Calc base'!J$13*BA383,2))))</f>
        <v>0</v>
      </c>
      <c r="R384">
        <f>IF(BB383&lt;=0,0,IF(ROUND(BB383*(1+'Calc base'!P384),2)-MAX('Calc base'!K$12,ROUND('Calc base'!K$13*BB383,2))&lt;1,ROUND(BB383*(1+'Calc base'!P384),2),MAX('Calc base'!K$12,ROUND('Calc base'!K$13*BB383,2))))</f>
        <v>0</v>
      </c>
      <c r="S384">
        <f>IF(BC383&lt;=0,0,IF(ROUND(BC383*(1+'Calc base'!Q384),2)-MAX('Calc base'!L$12,ROUND('Calc base'!L$13*BC383,2))&lt;1,ROUND(BC383*(1+'Calc base'!Q384),2),MAX('Calc base'!L$12,ROUND('Calc base'!L$13*BC383,2))))</f>
        <v>0</v>
      </c>
      <c r="T384">
        <f>IF(BD383&lt;=0,0,IF(ROUND(BD383*(1+'Calc base'!R384),2)-MAX('Calc base'!M$12,ROUND('Calc base'!M$13*BD383,2))&lt;1,ROUND(BD383*(1+'Calc base'!R384),2),MAX('Calc base'!M$12,ROUND('Calc base'!M$13*BD383,2))))</f>
        <v>0</v>
      </c>
      <c r="U384">
        <f>IF(BE383&lt;=0,0,IF(ROUND(BE383*(1+'Calc base'!S384),2)-MAX('Calc base'!N$12,ROUND('Calc base'!N$13*BE383,2))&lt;1,ROUND(BE383*(1+'Calc base'!S384),2),MAX('Calc base'!N$12,ROUND('Calc base'!N$13*BE383,2))))</f>
        <v>0</v>
      </c>
      <c r="V384">
        <f>MAX(0,ROUND(AT383*(1+'Calc base'!H384),2)-J384-'Calc base'!T384)</f>
        <v>0</v>
      </c>
      <c r="W384">
        <f>MAX(0,ROUND(AU383*(1+'Calc base'!I384),2)-K384-'Calc base'!U384)</f>
        <v>0</v>
      </c>
      <c r="X384">
        <f>MAX(0,ROUND(AV383*(1+'Calc base'!J384),2)-L384-'Calc base'!V384)</f>
        <v>0</v>
      </c>
      <c r="Y384">
        <f>MAX(0,ROUND(AW383*(1+'Calc base'!K384),2)-M384-'Calc base'!W384)</f>
        <v>0</v>
      </c>
      <c r="Z384">
        <f>MAX(0,ROUND(AX383*(1+'Calc base'!L384),2)-N384-'Calc base'!X384)</f>
        <v>0</v>
      </c>
      <c r="AA384">
        <f>MAX(0,ROUND(AY383*(1+'Calc base'!M384),2)-O384-'Calc base'!Y384)</f>
        <v>0</v>
      </c>
      <c r="AB384">
        <f>MAX(0,ROUND(AZ383*(1+'Calc base'!N384),2)-P384-'Calc base'!Z384)</f>
        <v>0</v>
      </c>
      <c r="AC384">
        <f>MAX(0,ROUND(BA383*(1+'Calc base'!O384),2)-Q384-'Calc base'!AA384)</f>
        <v>0</v>
      </c>
      <c r="AD384">
        <f>MAX(0,ROUND(BB383*(1+'Calc base'!P384),2)-R384-'Calc base'!AB384)</f>
        <v>0</v>
      </c>
      <c r="AE384">
        <f>MAX(0,ROUND(BC383*(1+'Calc base'!Q384),2)-S384-'Calc base'!AC384)</f>
        <v>0</v>
      </c>
      <c r="AF384">
        <f>MAX(0,ROUND(BD383*(1+'Calc base'!R384),2)-T384-'Calc base'!AD384)</f>
        <v>0</v>
      </c>
      <c r="AG384">
        <f>MAX(0,ROUND(BE383*(1+'Calc base'!S384),2)-U384-'Calc base'!AE384)</f>
        <v>0</v>
      </c>
      <c r="AH384">
        <f>IF('Calc base'!C$14=0,0,MIN(V384,MAX(0,$E384-SUMIFS($V384:$AG384,'Calc base'!$C$17:$N$17,"&lt;"&amp;'Calc base'!C$17,'Calc base'!$C$14:$N$14,1))))</f>
        <v>0</v>
      </c>
      <c r="AI384">
        <f>IF('Calc base'!D$14=0,0,MIN(W384,MAX(0,$E384-SUMIFS($V384:$AG384,'Calc base'!$C$17:$N$17,"&lt;"&amp;'Calc base'!D$17,'Calc base'!$C$14:$N$14,1))))</f>
        <v>0</v>
      </c>
      <c r="AJ384">
        <f>IF('Calc base'!E$14=0,0,MIN(X384,MAX(0,$E384-SUMIFS($V384:$AG384,'Calc base'!$C$17:$N$17,"&lt;"&amp;'Calc base'!E$17,'Calc base'!$C$14:$N$14,1))))</f>
        <v>0</v>
      </c>
      <c r="AK384">
        <f>IF('Calc base'!F$14=0,0,MIN(Y384,MAX(0,$E384-SUMIFS($V384:$AG384,'Calc base'!$C$17:$N$17,"&lt;"&amp;'Calc base'!F$17,'Calc base'!$C$14:$N$14,1))))</f>
        <v>0</v>
      </c>
      <c r="AL384">
        <f>IF('Calc base'!G$14=0,0,MIN(Z384,MAX(0,$E384-SUMIFS($V384:$AG384,'Calc base'!$C$17:$N$17,"&lt;"&amp;'Calc base'!G$17,'Calc base'!$C$14:$N$14,1))))</f>
        <v>0</v>
      </c>
      <c r="AM384">
        <f>IF('Calc base'!H$14=0,0,MIN(AA384,MAX(0,$E384-SUMIFS($V384:$AG384,'Calc base'!$C$17:$N$17,"&lt;"&amp;'Calc base'!H$17,'Calc base'!$C$14:$N$14,1))))</f>
        <v>0</v>
      </c>
      <c r="AN384">
        <f>IF('Calc base'!I$14=0,0,MIN(AB384,MAX(0,$E384-SUMIFS($V384:$AG384,'Calc base'!$C$17:$N$17,"&lt;"&amp;'Calc base'!I$17,'Calc base'!$C$14:$N$14,1))))</f>
        <v>0</v>
      </c>
      <c r="AO384">
        <f>IF('Calc base'!J$14=0,0,MIN(AC384,MAX(0,$E384-SUMIFS($V384:$AG384,'Calc base'!$C$17:$N$17,"&lt;"&amp;'Calc base'!J$17,'Calc base'!$C$14:$N$14,1))))</f>
        <v>0</v>
      </c>
      <c r="AP384">
        <f>IF('Calc base'!K$14=0,0,MIN(AD384,MAX(0,$E384-SUMIFS($V384:$AG384,'Calc base'!$C$17:$N$17,"&lt;"&amp;'Calc base'!K$17,'Calc base'!$C$14:$N$14,1))))</f>
        <v>0</v>
      </c>
      <c r="AQ384">
        <f>IF('Calc base'!L$14=0,0,MIN(AE384,MAX(0,$E384-SUMIFS($V384:$AG384,'Calc base'!$C$17:$N$17,"&lt;"&amp;'Calc base'!L$17,'Calc base'!$C$14:$N$14,1))))</f>
        <v>0</v>
      </c>
      <c r="AR384">
        <f>IF('Calc base'!M$14=0,0,MIN(AF384,MAX(0,$E384-SUMIFS($V384:$AG384,'Calc base'!$C$17:$N$17,"&lt;"&amp;'Calc base'!M$17,'Calc base'!$C$14:$N$14,1))))</f>
        <v>0</v>
      </c>
      <c r="AS384">
        <f>IF('Calc base'!N$14=0,0,MIN(AG384,MAX(0,$E384-SUMIFS($V384:$AG384,'Calc base'!$C$17:$N$17,"&lt;"&amp;'Calc base'!N$17,'Calc base'!$C$14:$N$14,1))))</f>
        <v>0</v>
      </c>
      <c r="AT384">
        <f>V384-AH384</f>
        <v>0</v>
      </c>
      <c r="AU384">
        <f>W384-AI384</f>
        <v>0</v>
      </c>
      <c r="AV384">
        <f>X384-AJ384</f>
        <v>0</v>
      </c>
      <c r="AW384">
        <f>Y384-AK384</f>
        <v>0</v>
      </c>
      <c r="AX384">
        <f>Z384-AL384</f>
        <v>0</v>
      </c>
      <c r="AY384">
        <f>AA384-AM384</f>
        <v>0</v>
      </c>
      <c r="AZ384">
        <f>AB384-AN384</f>
        <v>0</v>
      </c>
      <c r="BA384">
        <f>AC384-AO384</f>
        <v>0</v>
      </c>
      <c r="BB384">
        <f>AD384-AP384</f>
        <v>0</v>
      </c>
      <c r="BC384">
        <f>AE384-AQ384</f>
        <v>0</v>
      </c>
      <c r="BD384">
        <f>AF384-AR384</f>
        <v>0</v>
      </c>
      <c r="BE384">
        <f>AG384-AS384</f>
        <v>0</v>
      </c>
    </row>
    <row r="385">
      <c r="A385" t="n">
        <v>355</v>
      </c>
      <c r="B385">
        <f>SUMPRODUCT(ROUND($AT384:$BE384*(1+'Calc base'!$H385:$S385),2))</f>
        <v>0</v>
      </c>
      <c r="C385">
        <f>SUM(J385:U385)</f>
        <v>0</v>
      </c>
      <c r="D385">
        <f>SUM(V385:AG385)</f>
        <v>0</v>
      </c>
      <c r="E385">
        <f>MAX(0,IF(Impostazioni!$B$7="No",'Calc base'!$C385-$C$31,'Calc base'!$C385-C385)+'Calc base'!$G385+'Calc base'!$F385-(B385-C385-D385))</f>
        <v>900</v>
      </c>
      <c r="F385">
        <f>SUM(AH385:AS385)</f>
        <v>0</v>
      </c>
      <c r="G385">
        <f>SUM(AT385:BE385)</f>
        <v>0</v>
      </c>
      <c r="H385">
        <f>B385-G384</f>
        <v>0</v>
      </c>
      <c r="I385">
        <f>B385-G385</f>
        <v>0</v>
      </c>
      <c r="J385">
        <f>IF(AT384&lt;=0,0,IF(ROUND(AT384*(1+'Calc base'!H385),2)-MAX('Calc base'!C$12,ROUND('Calc base'!C$13*AT384,2))&lt;1,ROUND(AT384*(1+'Calc base'!H385),2),MAX('Calc base'!C$12,ROUND('Calc base'!C$13*AT384,2))))</f>
        <v>0</v>
      </c>
      <c r="K385">
        <f>IF(AU384&lt;=0,0,IF(ROUND(AU384*(1+'Calc base'!I385),2)-MAX('Calc base'!D$12,ROUND('Calc base'!D$13*AU384,2))&lt;1,ROUND(AU384*(1+'Calc base'!I385),2),MAX('Calc base'!D$12,ROUND('Calc base'!D$13*AU384,2))))</f>
        <v>0</v>
      </c>
      <c r="L385">
        <f>IF(AV384&lt;=0,0,IF(ROUND(AV384*(1+'Calc base'!J385),2)-MAX('Calc base'!E$12,ROUND('Calc base'!E$13*AV384,2))&lt;1,ROUND(AV384*(1+'Calc base'!J385),2),MAX('Calc base'!E$12,ROUND('Calc base'!E$13*AV384,2))))</f>
        <v>0</v>
      </c>
      <c r="M385">
        <f>IF(AW384&lt;=0,0,IF(ROUND(AW384*(1+'Calc base'!K385),2)-MAX('Calc base'!F$12,ROUND('Calc base'!F$13*AW384,2))&lt;1,ROUND(AW384*(1+'Calc base'!K385),2),MAX('Calc base'!F$12,ROUND('Calc base'!F$13*AW384,2))))</f>
        <v>0</v>
      </c>
      <c r="N385">
        <f>IF(AX384&lt;=0,0,IF(ROUND(AX384*(1+'Calc base'!L385),2)-MAX('Calc base'!G$12,ROUND('Calc base'!G$13*AX384,2))&lt;1,ROUND(AX384*(1+'Calc base'!L385),2),MAX('Calc base'!G$12,ROUND('Calc base'!G$13*AX384,2))))</f>
        <v>0</v>
      </c>
      <c r="O385">
        <f>IF(AY384&lt;=0,0,IF(ROUND(AY384*(1+'Calc base'!M385),2)-MAX('Calc base'!H$12,ROUND('Calc base'!H$13*AY384,2))&lt;1,ROUND(AY384*(1+'Calc base'!M385),2),MAX('Calc base'!H$12,ROUND('Calc base'!H$13*AY384,2))))</f>
        <v>0</v>
      </c>
      <c r="P385">
        <f>IF(AZ384&lt;=0,0,IF(ROUND(AZ384*(1+'Calc base'!N385),2)-MAX('Calc base'!I$12,ROUND('Calc base'!I$13*AZ384,2))&lt;1,ROUND(AZ384*(1+'Calc base'!N385),2),MAX('Calc base'!I$12,ROUND('Calc base'!I$13*AZ384,2))))</f>
        <v>0</v>
      </c>
      <c r="Q385">
        <f>IF(BA384&lt;=0,0,IF(ROUND(BA384*(1+'Calc base'!O385),2)-MAX('Calc base'!J$12,ROUND('Calc base'!J$13*BA384,2))&lt;1,ROUND(BA384*(1+'Calc base'!O385),2),MAX('Calc base'!J$12,ROUND('Calc base'!J$13*BA384,2))))</f>
        <v>0</v>
      </c>
      <c r="R385">
        <f>IF(BB384&lt;=0,0,IF(ROUND(BB384*(1+'Calc base'!P385),2)-MAX('Calc base'!K$12,ROUND('Calc base'!K$13*BB384,2))&lt;1,ROUND(BB384*(1+'Calc base'!P385),2),MAX('Calc base'!K$12,ROUND('Calc base'!K$13*BB384,2))))</f>
        <v>0</v>
      </c>
      <c r="S385">
        <f>IF(BC384&lt;=0,0,IF(ROUND(BC384*(1+'Calc base'!Q385),2)-MAX('Calc base'!L$12,ROUND('Calc base'!L$13*BC384,2))&lt;1,ROUND(BC384*(1+'Calc base'!Q385),2),MAX('Calc base'!L$12,ROUND('Calc base'!L$13*BC384,2))))</f>
        <v>0</v>
      </c>
      <c r="T385">
        <f>IF(BD384&lt;=0,0,IF(ROUND(BD384*(1+'Calc base'!R385),2)-MAX('Calc base'!M$12,ROUND('Calc base'!M$13*BD384,2))&lt;1,ROUND(BD384*(1+'Calc base'!R385),2),MAX('Calc base'!M$12,ROUND('Calc base'!M$13*BD384,2))))</f>
        <v>0</v>
      </c>
      <c r="U385">
        <f>IF(BE384&lt;=0,0,IF(ROUND(BE384*(1+'Calc base'!S385),2)-MAX('Calc base'!N$12,ROUND('Calc base'!N$13*BE384,2))&lt;1,ROUND(BE384*(1+'Calc base'!S385),2),MAX('Calc base'!N$12,ROUND('Calc base'!N$13*BE384,2))))</f>
        <v>0</v>
      </c>
      <c r="V385">
        <f>MAX(0,ROUND(AT384*(1+'Calc base'!H385),2)-J385-'Calc base'!T385)</f>
        <v>0</v>
      </c>
      <c r="W385">
        <f>MAX(0,ROUND(AU384*(1+'Calc base'!I385),2)-K385-'Calc base'!U385)</f>
        <v>0</v>
      </c>
      <c r="X385">
        <f>MAX(0,ROUND(AV384*(1+'Calc base'!J385),2)-L385-'Calc base'!V385)</f>
        <v>0</v>
      </c>
      <c r="Y385">
        <f>MAX(0,ROUND(AW384*(1+'Calc base'!K385),2)-M385-'Calc base'!W385)</f>
        <v>0</v>
      </c>
      <c r="Z385">
        <f>MAX(0,ROUND(AX384*(1+'Calc base'!L385),2)-N385-'Calc base'!X385)</f>
        <v>0</v>
      </c>
      <c r="AA385">
        <f>MAX(0,ROUND(AY384*(1+'Calc base'!M385),2)-O385-'Calc base'!Y385)</f>
        <v>0</v>
      </c>
      <c r="AB385">
        <f>MAX(0,ROUND(AZ384*(1+'Calc base'!N385),2)-P385-'Calc base'!Z385)</f>
        <v>0</v>
      </c>
      <c r="AC385">
        <f>MAX(0,ROUND(BA384*(1+'Calc base'!O385),2)-Q385-'Calc base'!AA385)</f>
        <v>0</v>
      </c>
      <c r="AD385">
        <f>MAX(0,ROUND(BB384*(1+'Calc base'!P385),2)-R385-'Calc base'!AB385)</f>
        <v>0</v>
      </c>
      <c r="AE385">
        <f>MAX(0,ROUND(BC384*(1+'Calc base'!Q385),2)-S385-'Calc base'!AC385)</f>
        <v>0</v>
      </c>
      <c r="AF385">
        <f>MAX(0,ROUND(BD384*(1+'Calc base'!R385),2)-T385-'Calc base'!AD385)</f>
        <v>0</v>
      </c>
      <c r="AG385">
        <f>MAX(0,ROUND(BE384*(1+'Calc base'!S385),2)-U385-'Calc base'!AE385)</f>
        <v>0</v>
      </c>
      <c r="AH385">
        <f>IF('Calc base'!C$14=0,0,MIN(V385,MAX(0,$E385-SUMIFS($V385:$AG385,'Calc base'!$C$17:$N$17,"&lt;"&amp;'Calc base'!C$17,'Calc base'!$C$14:$N$14,1))))</f>
        <v>0</v>
      </c>
      <c r="AI385">
        <f>IF('Calc base'!D$14=0,0,MIN(W385,MAX(0,$E385-SUMIFS($V385:$AG385,'Calc base'!$C$17:$N$17,"&lt;"&amp;'Calc base'!D$17,'Calc base'!$C$14:$N$14,1))))</f>
        <v>0</v>
      </c>
      <c r="AJ385">
        <f>IF('Calc base'!E$14=0,0,MIN(X385,MAX(0,$E385-SUMIFS($V385:$AG385,'Calc base'!$C$17:$N$17,"&lt;"&amp;'Calc base'!E$17,'Calc base'!$C$14:$N$14,1))))</f>
        <v>0</v>
      </c>
      <c r="AK385">
        <f>IF('Calc base'!F$14=0,0,MIN(Y385,MAX(0,$E385-SUMIFS($V385:$AG385,'Calc base'!$C$17:$N$17,"&lt;"&amp;'Calc base'!F$17,'Calc base'!$C$14:$N$14,1))))</f>
        <v>0</v>
      </c>
      <c r="AL385">
        <f>IF('Calc base'!G$14=0,0,MIN(Z385,MAX(0,$E385-SUMIFS($V385:$AG385,'Calc base'!$C$17:$N$17,"&lt;"&amp;'Calc base'!G$17,'Calc base'!$C$14:$N$14,1))))</f>
        <v>0</v>
      </c>
      <c r="AM385">
        <f>IF('Calc base'!H$14=0,0,MIN(AA385,MAX(0,$E385-SUMIFS($V385:$AG385,'Calc base'!$C$17:$N$17,"&lt;"&amp;'Calc base'!H$17,'Calc base'!$C$14:$N$14,1))))</f>
        <v>0</v>
      </c>
      <c r="AN385">
        <f>IF('Calc base'!I$14=0,0,MIN(AB385,MAX(0,$E385-SUMIFS($V385:$AG385,'Calc base'!$C$17:$N$17,"&lt;"&amp;'Calc base'!I$17,'Calc base'!$C$14:$N$14,1))))</f>
        <v>0</v>
      </c>
      <c r="AO385">
        <f>IF('Calc base'!J$14=0,0,MIN(AC385,MAX(0,$E385-SUMIFS($V385:$AG385,'Calc base'!$C$17:$N$17,"&lt;"&amp;'Calc base'!J$17,'Calc base'!$C$14:$N$14,1))))</f>
        <v>0</v>
      </c>
      <c r="AP385">
        <f>IF('Calc base'!K$14=0,0,MIN(AD385,MAX(0,$E385-SUMIFS($V385:$AG385,'Calc base'!$C$17:$N$17,"&lt;"&amp;'Calc base'!K$17,'Calc base'!$C$14:$N$14,1))))</f>
        <v>0</v>
      </c>
      <c r="AQ385">
        <f>IF('Calc base'!L$14=0,0,MIN(AE385,MAX(0,$E385-SUMIFS($V385:$AG385,'Calc base'!$C$17:$N$17,"&lt;"&amp;'Calc base'!L$17,'Calc base'!$C$14:$N$14,1))))</f>
        <v>0</v>
      </c>
      <c r="AR385">
        <f>IF('Calc base'!M$14=0,0,MIN(AF385,MAX(0,$E385-SUMIFS($V385:$AG385,'Calc base'!$C$17:$N$17,"&lt;"&amp;'Calc base'!M$17,'Calc base'!$C$14:$N$14,1))))</f>
        <v>0</v>
      </c>
      <c r="AS385">
        <f>IF('Calc base'!N$14=0,0,MIN(AG385,MAX(0,$E385-SUMIFS($V385:$AG385,'Calc base'!$C$17:$N$17,"&lt;"&amp;'Calc base'!N$17,'Calc base'!$C$14:$N$14,1))))</f>
        <v>0</v>
      </c>
      <c r="AT385">
        <f>V385-AH385</f>
        <v>0</v>
      </c>
      <c r="AU385">
        <f>W385-AI385</f>
        <v>0</v>
      </c>
      <c r="AV385">
        <f>X385-AJ385</f>
        <v>0</v>
      </c>
      <c r="AW385">
        <f>Y385-AK385</f>
        <v>0</v>
      </c>
      <c r="AX385">
        <f>Z385-AL385</f>
        <v>0</v>
      </c>
      <c r="AY385">
        <f>AA385-AM385</f>
        <v>0</v>
      </c>
      <c r="AZ385">
        <f>AB385-AN385</f>
        <v>0</v>
      </c>
      <c r="BA385">
        <f>AC385-AO385</f>
        <v>0</v>
      </c>
      <c r="BB385">
        <f>AD385-AP385</f>
        <v>0</v>
      </c>
      <c r="BC385">
        <f>AE385-AQ385</f>
        <v>0</v>
      </c>
      <c r="BD385">
        <f>AF385-AR385</f>
        <v>0</v>
      </c>
      <c r="BE385">
        <f>AG385-AS385</f>
        <v>0</v>
      </c>
    </row>
    <row r="386">
      <c r="A386" t="n">
        <v>356</v>
      </c>
      <c r="B386">
        <f>SUMPRODUCT(ROUND($AT385:$BE385*(1+'Calc base'!$H386:$S386),2))</f>
        <v>0</v>
      </c>
      <c r="C386">
        <f>SUM(J386:U386)</f>
        <v>0</v>
      </c>
      <c r="D386">
        <f>SUM(V386:AG386)</f>
        <v>0</v>
      </c>
      <c r="E386">
        <f>MAX(0,IF(Impostazioni!$B$7="No",'Calc base'!$C386-$C$31,'Calc base'!$C386-C386)+'Calc base'!$G386+'Calc base'!$F386-(B386-C386-D386))</f>
        <v>900</v>
      </c>
      <c r="F386">
        <f>SUM(AH386:AS386)</f>
        <v>0</v>
      </c>
      <c r="G386">
        <f>SUM(AT386:BE386)</f>
        <v>0</v>
      </c>
      <c r="H386">
        <f>B386-G385</f>
        <v>0</v>
      </c>
      <c r="I386">
        <f>B386-G386</f>
        <v>0</v>
      </c>
      <c r="J386">
        <f>IF(AT385&lt;=0,0,IF(ROUND(AT385*(1+'Calc base'!H386),2)-MAX('Calc base'!C$12,ROUND('Calc base'!C$13*AT385,2))&lt;1,ROUND(AT385*(1+'Calc base'!H386),2),MAX('Calc base'!C$12,ROUND('Calc base'!C$13*AT385,2))))</f>
        <v>0</v>
      </c>
      <c r="K386">
        <f>IF(AU385&lt;=0,0,IF(ROUND(AU385*(1+'Calc base'!I386),2)-MAX('Calc base'!D$12,ROUND('Calc base'!D$13*AU385,2))&lt;1,ROUND(AU385*(1+'Calc base'!I386),2),MAX('Calc base'!D$12,ROUND('Calc base'!D$13*AU385,2))))</f>
        <v>0</v>
      </c>
      <c r="L386">
        <f>IF(AV385&lt;=0,0,IF(ROUND(AV385*(1+'Calc base'!J386),2)-MAX('Calc base'!E$12,ROUND('Calc base'!E$13*AV385,2))&lt;1,ROUND(AV385*(1+'Calc base'!J386),2),MAX('Calc base'!E$12,ROUND('Calc base'!E$13*AV385,2))))</f>
        <v>0</v>
      </c>
      <c r="M386">
        <f>IF(AW385&lt;=0,0,IF(ROUND(AW385*(1+'Calc base'!K386),2)-MAX('Calc base'!F$12,ROUND('Calc base'!F$13*AW385,2))&lt;1,ROUND(AW385*(1+'Calc base'!K386),2),MAX('Calc base'!F$12,ROUND('Calc base'!F$13*AW385,2))))</f>
        <v>0</v>
      </c>
      <c r="N386">
        <f>IF(AX385&lt;=0,0,IF(ROUND(AX385*(1+'Calc base'!L386),2)-MAX('Calc base'!G$12,ROUND('Calc base'!G$13*AX385,2))&lt;1,ROUND(AX385*(1+'Calc base'!L386),2),MAX('Calc base'!G$12,ROUND('Calc base'!G$13*AX385,2))))</f>
        <v>0</v>
      </c>
      <c r="O386">
        <f>IF(AY385&lt;=0,0,IF(ROUND(AY385*(1+'Calc base'!M386),2)-MAX('Calc base'!H$12,ROUND('Calc base'!H$13*AY385,2))&lt;1,ROUND(AY385*(1+'Calc base'!M386),2),MAX('Calc base'!H$12,ROUND('Calc base'!H$13*AY385,2))))</f>
        <v>0</v>
      </c>
      <c r="P386">
        <f>IF(AZ385&lt;=0,0,IF(ROUND(AZ385*(1+'Calc base'!N386),2)-MAX('Calc base'!I$12,ROUND('Calc base'!I$13*AZ385,2))&lt;1,ROUND(AZ385*(1+'Calc base'!N386),2),MAX('Calc base'!I$12,ROUND('Calc base'!I$13*AZ385,2))))</f>
        <v>0</v>
      </c>
      <c r="Q386">
        <f>IF(BA385&lt;=0,0,IF(ROUND(BA385*(1+'Calc base'!O386),2)-MAX('Calc base'!J$12,ROUND('Calc base'!J$13*BA385,2))&lt;1,ROUND(BA385*(1+'Calc base'!O386),2),MAX('Calc base'!J$12,ROUND('Calc base'!J$13*BA385,2))))</f>
        <v>0</v>
      </c>
      <c r="R386">
        <f>IF(BB385&lt;=0,0,IF(ROUND(BB385*(1+'Calc base'!P386),2)-MAX('Calc base'!K$12,ROUND('Calc base'!K$13*BB385,2))&lt;1,ROUND(BB385*(1+'Calc base'!P386),2),MAX('Calc base'!K$12,ROUND('Calc base'!K$13*BB385,2))))</f>
        <v>0</v>
      </c>
      <c r="S386">
        <f>IF(BC385&lt;=0,0,IF(ROUND(BC385*(1+'Calc base'!Q386),2)-MAX('Calc base'!L$12,ROUND('Calc base'!L$13*BC385,2))&lt;1,ROUND(BC385*(1+'Calc base'!Q386),2),MAX('Calc base'!L$12,ROUND('Calc base'!L$13*BC385,2))))</f>
        <v>0</v>
      </c>
      <c r="T386">
        <f>IF(BD385&lt;=0,0,IF(ROUND(BD385*(1+'Calc base'!R386),2)-MAX('Calc base'!M$12,ROUND('Calc base'!M$13*BD385,2))&lt;1,ROUND(BD385*(1+'Calc base'!R386),2),MAX('Calc base'!M$12,ROUND('Calc base'!M$13*BD385,2))))</f>
        <v>0</v>
      </c>
      <c r="U386">
        <f>IF(BE385&lt;=0,0,IF(ROUND(BE385*(1+'Calc base'!S386),2)-MAX('Calc base'!N$12,ROUND('Calc base'!N$13*BE385,2))&lt;1,ROUND(BE385*(1+'Calc base'!S386),2),MAX('Calc base'!N$12,ROUND('Calc base'!N$13*BE385,2))))</f>
        <v>0</v>
      </c>
      <c r="V386">
        <f>MAX(0,ROUND(AT385*(1+'Calc base'!H386),2)-J386-'Calc base'!T386)</f>
        <v>0</v>
      </c>
      <c r="W386">
        <f>MAX(0,ROUND(AU385*(1+'Calc base'!I386),2)-K386-'Calc base'!U386)</f>
        <v>0</v>
      </c>
      <c r="X386">
        <f>MAX(0,ROUND(AV385*(1+'Calc base'!J386),2)-L386-'Calc base'!V386)</f>
        <v>0</v>
      </c>
      <c r="Y386">
        <f>MAX(0,ROUND(AW385*(1+'Calc base'!K386),2)-M386-'Calc base'!W386)</f>
        <v>0</v>
      </c>
      <c r="Z386">
        <f>MAX(0,ROUND(AX385*(1+'Calc base'!L386),2)-N386-'Calc base'!X386)</f>
        <v>0</v>
      </c>
      <c r="AA386">
        <f>MAX(0,ROUND(AY385*(1+'Calc base'!M386),2)-O386-'Calc base'!Y386)</f>
        <v>0</v>
      </c>
      <c r="AB386">
        <f>MAX(0,ROUND(AZ385*(1+'Calc base'!N386),2)-P386-'Calc base'!Z386)</f>
        <v>0</v>
      </c>
      <c r="AC386">
        <f>MAX(0,ROUND(BA385*(1+'Calc base'!O386),2)-Q386-'Calc base'!AA386)</f>
        <v>0</v>
      </c>
      <c r="AD386">
        <f>MAX(0,ROUND(BB385*(1+'Calc base'!P386),2)-R386-'Calc base'!AB386)</f>
        <v>0</v>
      </c>
      <c r="AE386">
        <f>MAX(0,ROUND(BC385*(1+'Calc base'!Q386),2)-S386-'Calc base'!AC386)</f>
        <v>0</v>
      </c>
      <c r="AF386">
        <f>MAX(0,ROUND(BD385*(1+'Calc base'!R386),2)-T386-'Calc base'!AD386)</f>
        <v>0</v>
      </c>
      <c r="AG386">
        <f>MAX(0,ROUND(BE385*(1+'Calc base'!S386),2)-U386-'Calc base'!AE386)</f>
        <v>0</v>
      </c>
      <c r="AH386">
        <f>IF('Calc base'!C$14=0,0,MIN(V386,MAX(0,$E386-SUMIFS($V386:$AG386,'Calc base'!$C$17:$N$17,"&lt;"&amp;'Calc base'!C$17,'Calc base'!$C$14:$N$14,1))))</f>
        <v>0</v>
      </c>
      <c r="AI386">
        <f>IF('Calc base'!D$14=0,0,MIN(W386,MAX(0,$E386-SUMIFS($V386:$AG386,'Calc base'!$C$17:$N$17,"&lt;"&amp;'Calc base'!D$17,'Calc base'!$C$14:$N$14,1))))</f>
        <v>0</v>
      </c>
      <c r="AJ386">
        <f>IF('Calc base'!E$14=0,0,MIN(X386,MAX(0,$E386-SUMIFS($V386:$AG386,'Calc base'!$C$17:$N$17,"&lt;"&amp;'Calc base'!E$17,'Calc base'!$C$14:$N$14,1))))</f>
        <v>0</v>
      </c>
      <c r="AK386">
        <f>IF('Calc base'!F$14=0,0,MIN(Y386,MAX(0,$E386-SUMIFS($V386:$AG386,'Calc base'!$C$17:$N$17,"&lt;"&amp;'Calc base'!F$17,'Calc base'!$C$14:$N$14,1))))</f>
        <v>0</v>
      </c>
      <c r="AL386">
        <f>IF('Calc base'!G$14=0,0,MIN(Z386,MAX(0,$E386-SUMIFS($V386:$AG386,'Calc base'!$C$17:$N$17,"&lt;"&amp;'Calc base'!G$17,'Calc base'!$C$14:$N$14,1))))</f>
        <v>0</v>
      </c>
      <c r="AM386">
        <f>IF('Calc base'!H$14=0,0,MIN(AA386,MAX(0,$E386-SUMIFS($V386:$AG386,'Calc base'!$C$17:$N$17,"&lt;"&amp;'Calc base'!H$17,'Calc base'!$C$14:$N$14,1))))</f>
        <v>0</v>
      </c>
      <c r="AN386">
        <f>IF('Calc base'!I$14=0,0,MIN(AB386,MAX(0,$E386-SUMIFS($V386:$AG386,'Calc base'!$C$17:$N$17,"&lt;"&amp;'Calc base'!I$17,'Calc base'!$C$14:$N$14,1))))</f>
        <v>0</v>
      </c>
      <c r="AO386">
        <f>IF('Calc base'!J$14=0,0,MIN(AC386,MAX(0,$E386-SUMIFS($V386:$AG386,'Calc base'!$C$17:$N$17,"&lt;"&amp;'Calc base'!J$17,'Calc base'!$C$14:$N$14,1))))</f>
        <v>0</v>
      </c>
      <c r="AP386">
        <f>IF('Calc base'!K$14=0,0,MIN(AD386,MAX(0,$E386-SUMIFS($V386:$AG386,'Calc base'!$C$17:$N$17,"&lt;"&amp;'Calc base'!K$17,'Calc base'!$C$14:$N$14,1))))</f>
        <v>0</v>
      </c>
      <c r="AQ386">
        <f>IF('Calc base'!L$14=0,0,MIN(AE386,MAX(0,$E386-SUMIFS($V386:$AG386,'Calc base'!$C$17:$N$17,"&lt;"&amp;'Calc base'!L$17,'Calc base'!$C$14:$N$14,1))))</f>
        <v>0</v>
      </c>
      <c r="AR386">
        <f>IF('Calc base'!M$14=0,0,MIN(AF386,MAX(0,$E386-SUMIFS($V386:$AG386,'Calc base'!$C$17:$N$17,"&lt;"&amp;'Calc base'!M$17,'Calc base'!$C$14:$N$14,1))))</f>
        <v>0</v>
      </c>
      <c r="AS386">
        <f>IF('Calc base'!N$14=0,0,MIN(AG386,MAX(0,$E386-SUMIFS($V386:$AG386,'Calc base'!$C$17:$N$17,"&lt;"&amp;'Calc base'!N$17,'Calc base'!$C$14:$N$14,1))))</f>
        <v>0</v>
      </c>
      <c r="AT386">
        <f>V386-AH386</f>
        <v>0</v>
      </c>
      <c r="AU386">
        <f>W386-AI386</f>
        <v>0</v>
      </c>
      <c r="AV386">
        <f>X386-AJ386</f>
        <v>0</v>
      </c>
      <c r="AW386">
        <f>Y386-AK386</f>
        <v>0</v>
      </c>
      <c r="AX386">
        <f>Z386-AL386</f>
        <v>0</v>
      </c>
      <c r="AY386">
        <f>AA386-AM386</f>
        <v>0</v>
      </c>
      <c r="AZ386">
        <f>AB386-AN386</f>
        <v>0</v>
      </c>
      <c r="BA386">
        <f>AC386-AO386</f>
        <v>0</v>
      </c>
      <c r="BB386">
        <f>AD386-AP386</f>
        <v>0</v>
      </c>
      <c r="BC386">
        <f>AE386-AQ386</f>
        <v>0</v>
      </c>
      <c r="BD386">
        <f>AF386-AR386</f>
        <v>0</v>
      </c>
      <c r="BE386">
        <f>AG386-AS386</f>
        <v>0</v>
      </c>
    </row>
    <row r="387">
      <c r="A387" t="n">
        <v>357</v>
      </c>
      <c r="B387">
        <f>SUMPRODUCT(ROUND($AT386:$BE386*(1+'Calc base'!$H387:$S387),2))</f>
        <v>0</v>
      </c>
      <c r="C387">
        <f>SUM(J387:U387)</f>
        <v>0</v>
      </c>
      <c r="D387">
        <f>SUM(V387:AG387)</f>
        <v>0</v>
      </c>
      <c r="E387">
        <f>MAX(0,IF(Impostazioni!$B$7="No",'Calc base'!$C387-$C$31,'Calc base'!$C387-C387)+'Calc base'!$G387+'Calc base'!$F387-(B387-C387-D387))</f>
        <v>900</v>
      </c>
      <c r="F387">
        <f>SUM(AH387:AS387)</f>
        <v>0</v>
      </c>
      <c r="G387">
        <f>SUM(AT387:BE387)</f>
        <v>0</v>
      </c>
      <c r="H387">
        <f>B387-G386</f>
        <v>0</v>
      </c>
      <c r="I387">
        <f>B387-G387</f>
        <v>0</v>
      </c>
      <c r="J387">
        <f>IF(AT386&lt;=0,0,IF(ROUND(AT386*(1+'Calc base'!H387),2)-MAX('Calc base'!C$12,ROUND('Calc base'!C$13*AT386,2))&lt;1,ROUND(AT386*(1+'Calc base'!H387),2),MAX('Calc base'!C$12,ROUND('Calc base'!C$13*AT386,2))))</f>
        <v>0</v>
      </c>
      <c r="K387">
        <f>IF(AU386&lt;=0,0,IF(ROUND(AU386*(1+'Calc base'!I387),2)-MAX('Calc base'!D$12,ROUND('Calc base'!D$13*AU386,2))&lt;1,ROUND(AU386*(1+'Calc base'!I387),2),MAX('Calc base'!D$12,ROUND('Calc base'!D$13*AU386,2))))</f>
        <v>0</v>
      </c>
      <c r="L387">
        <f>IF(AV386&lt;=0,0,IF(ROUND(AV386*(1+'Calc base'!J387),2)-MAX('Calc base'!E$12,ROUND('Calc base'!E$13*AV386,2))&lt;1,ROUND(AV386*(1+'Calc base'!J387),2),MAX('Calc base'!E$12,ROUND('Calc base'!E$13*AV386,2))))</f>
        <v>0</v>
      </c>
      <c r="M387">
        <f>IF(AW386&lt;=0,0,IF(ROUND(AW386*(1+'Calc base'!K387),2)-MAX('Calc base'!F$12,ROUND('Calc base'!F$13*AW386,2))&lt;1,ROUND(AW386*(1+'Calc base'!K387),2),MAX('Calc base'!F$12,ROUND('Calc base'!F$13*AW386,2))))</f>
        <v>0</v>
      </c>
      <c r="N387">
        <f>IF(AX386&lt;=0,0,IF(ROUND(AX386*(1+'Calc base'!L387),2)-MAX('Calc base'!G$12,ROUND('Calc base'!G$13*AX386,2))&lt;1,ROUND(AX386*(1+'Calc base'!L387),2),MAX('Calc base'!G$12,ROUND('Calc base'!G$13*AX386,2))))</f>
        <v>0</v>
      </c>
      <c r="O387">
        <f>IF(AY386&lt;=0,0,IF(ROUND(AY386*(1+'Calc base'!M387),2)-MAX('Calc base'!H$12,ROUND('Calc base'!H$13*AY386,2))&lt;1,ROUND(AY386*(1+'Calc base'!M387),2),MAX('Calc base'!H$12,ROUND('Calc base'!H$13*AY386,2))))</f>
        <v>0</v>
      </c>
      <c r="P387">
        <f>IF(AZ386&lt;=0,0,IF(ROUND(AZ386*(1+'Calc base'!N387),2)-MAX('Calc base'!I$12,ROUND('Calc base'!I$13*AZ386,2))&lt;1,ROUND(AZ386*(1+'Calc base'!N387),2),MAX('Calc base'!I$12,ROUND('Calc base'!I$13*AZ386,2))))</f>
        <v>0</v>
      </c>
      <c r="Q387">
        <f>IF(BA386&lt;=0,0,IF(ROUND(BA386*(1+'Calc base'!O387),2)-MAX('Calc base'!J$12,ROUND('Calc base'!J$13*BA386,2))&lt;1,ROUND(BA386*(1+'Calc base'!O387),2),MAX('Calc base'!J$12,ROUND('Calc base'!J$13*BA386,2))))</f>
        <v>0</v>
      </c>
      <c r="R387">
        <f>IF(BB386&lt;=0,0,IF(ROUND(BB386*(1+'Calc base'!P387),2)-MAX('Calc base'!K$12,ROUND('Calc base'!K$13*BB386,2))&lt;1,ROUND(BB386*(1+'Calc base'!P387),2),MAX('Calc base'!K$12,ROUND('Calc base'!K$13*BB386,2))))</f>
        <v>0</v>
      </c>
      <c r="S387">
        <f>IF(BC386&lt;=0,0,IF(ROUND(BC386*(1+'Calc base'!Q387),2)-MAX('Calc base'!L$12,ROUND('Calc base'!L$13*BC386,2))&lt;1,ROUND(BC386*(1+'Calc base'!Q387),2),MAX('Calc base'!L$12,ROUND('Calc base'!L$13*BC386,2))))</f>
        <v>0</v>
      </c>
      <c r="T387">
        <f>IF(BD386&lt;=0,0,IF(ROUND(BD386*(1+'Calc base'!R387),2)-MAX('Calc base'!M$12,ROUND('Calc base'!M$13*BD386,2))&lt;1,ROUND(BD386*(1+'Calc base'!R387),2),MAX('Calc base'!M$12,ROUND('Calc base'!M$13*BD386,2))))</f>
        <v>0</v>
      </c>
      <c r="U387">
        <f>IF(BE386&lt;=0,0,IF(ROUND(BE386*(1+'Calc base'!S387),2)-MAX('Calc base'!N$12,ROUND('Calc base'!N$13*BE386,2))&lt;1,ROUND(BE386*(1+'Calc base'!S387),2),MAX('Calc base'!N$12,ROUND('Calc base'!N$13*BE386,2))))</f>
        <v>0</v>
      </c>
      <c r="V387">
        <f>MAX(0,ROUND(AT386*(1+'Calc base'!H387),2)-J387-'Calc base'!T387)</f>
        <v>0</v>
      </c>
      <c r="W387">
        <f>MAX(0,ROUND(AU386*(1+'Calc base'!I387),2)-K387-'Calc base'!U387)</f>
        <v>0</v>
      </c>
      <c r="X387">
        <f>MAX(0,ROUND(AV386*(1+'Calc base'!J387),2)-L387-'Calc base'!V387)</f>
        <v>0</v>
      </c>
      <c r="Y387">
        <f>MAX(0,ROUND(AW386*(1+'Calc base'!K387),2)-M387-'Calc base'!W387)</f>
        <v>0</v>
      </c>
      <c r="Z387">
        <f>MAX(0,ROUND(AX386*(1+'Calc base'!L387),2)-N387-'Calc base'!X387)</f>
        <v>0</v>
      </c>
      <c r="AA387">
        <f>MAX(0,ROUND(AY386*(1+'Calc base'!M387),2)-O387-'Calc base'!Y387)</f>
        <v>0</v>
      </c>
      <c r="AB387">
        <f>MAX(0,ROUND(AZ386*(1+'Calc base'!N387),2)-P387-'Calc base'!Z387)</f>
        <v>0</v>
      </c>
      <c r="AC387">
        <f>MAX(0,ROUND(BA386*(1+'Calc base'!O387),2)-Q387-'Calc base'!AA387)</f>
        <v>0</v>
      </c>
      <c r="AD387">
        <f>MAX(0,ROUND(BB386*(1+'Calc base'!P387),2)-R387-'Calc base'!AB387)</f>
        <v>0</v>
      </c>
      <c r="AE387">
        <f>MAX(0,ROUND(BC386*(1+'Calc base'!Q387),2)-S387-'Calc base'!AC387)</f>
        <v>0</v>
      </c>
      <c r="AF387">
        <f>MAX(0,ROUND(BD386*(1+'Calc base'!R387),2)-T387-'Calc base'!AD387)</f>
        <v>0</v>
      </c>
      <c r="AG387">
        <f>MAX(0,ROUND(BE386*(1+'Calc base'!S387),2)-U387-'Calc base'!AE387)</f>
        <v>0</v>
      </c>
      <c r="AH387">
        <f>IF('Calc base'!C$14=0,0,MIN(V387,MAX(0,$E387-SUMIFS($V387:$AG387,'Calc base'!$C$17:$N$17,"&lt;"&amp;'Calc base'!C$17,'Calc base'!$C$14:$N$14,1))))</f>
        <v>0</v>
      </c>
      <c r="AI387">
        <f>IF('Calc base'!D$14=0,0,MIN(W387,MAX(0,$E387-SUMIFS($V387:$AG387,'Calc base'!$C$17:$N$17,"&lt;"&amp;'Calc base'!D$17,'Calc base'!$C$14:$N$14,1))))</f>
        <v>0</v>
      </c>
      <c r="AJ387">
        <f>IF('Calc base'!E$14=0,0,MIN(X387,MAX(0,$E387-SUMIFS($V387:$AG387,'Calc base'!$C$17:$N$17,"&lt;"&amp;'Calc base'!E$17,'Calc base'!$C$14:$N$14,1))))</f>
        <v>0</v>
      </c>
      <c r="AK387">
        <f>IF('Calc base'!F$14=0,0,MIN(Y387,MAX(0,$E387-SUMIFS($V387:$AG387,'Calc base'!$C$17:$N$17,"&lt;"&amp;'Calc base'!F$17,'Calc base'!$C$14:$N$14,1))))</f>
        <v>0</v>
      </c>
      <c r="AL387">
        <f>IF('Calc base'!G$14=0,0,MIN(Z387,MAX(0,$E387-SUMIFS($V387:$AG387,'Calc base'!$C$17:$N$17,"&lt;"&amp;'Calc base'!G$17,'Calc base'!$C$14:$N$14,1))))</f>
        <v>0</v>
      </c>
      <c r="AM387">
        <f>IF('Calc base'!H$14=0,0,MIN(AA387,MAX(0,$E387-SUMIFS($V387:$AG387,'Calc base'!$C$17:$N$17,"&lt;"&amp;'Calc base'!H$17,'Calc base'!$C$14:$N$14,1))))</f>
        <v>0</v>
      </c>
      <c r="AN387">
        <f>IF('Calc base'!I$14=0,0,MIN(AB387,MAX(0,$E387-SUMIFS($V387:$AG387,'Calc base'!$C$17:$N$17,"&lt;"&amp;'Calc base'!I$17,'Calc base'!$C$14:$N$14,1))))</f>
        <v>0</v>
      </c>
      <c r="AO387">
        <f>IF('Calc base'!J$14=0,0,MIN(AC387,MAX(0,$E387-SUMIFS($V387:$AG387,'Calc base'!$C$17:$N$17,"&lt;"&amp;'Calc base'!J$17,'Calc base'!$C$14:$N$14,1))))</f>
        <v>0</v>
      </c>
      <c r="AP387">
        <f>IF('Calc base'!K$14=0,0,MIN(AD387,MAX(0,$E387-SUMIFS($V387:$AG387,'Calc base'!$C$17:$N$17,"&lt;"&amp;'Calc base'!K$17,'Calc base'!$C$14:$N$14,1))))</f>
        <v>0</v>
      </c>
      <c r="AQ387">
        <f>IF('Calc base'!L$14=0,0,MIN(AE387,MAX(0,$E387-SUMIFS($V387:$AG387,'Calc base'!$C$17:$N$17,"&lt;"&amp;'Calc base'!L$17,'Calc base'!$C$14:$N$14,1))))</f>
        <v>0</v>
      </c>
      <c r="AR387">
        <f>IF('Calc base'!M$14=0,0,MIN(AF387,MAX(0,$E387-SUMIFS($V387:$AG387,'Calc base'!$C$17:$N$17,"&lt;"&amp;'Calc base'!M$17,'Calc base'!$C$14:$N$14,1))))</f>
        <v>0</v>
      </c>
      <c r="AS387">
        <f>IF('Calc base'!N$14=0,0,MIN(AG387,MAX(0,$E387-SUMIFS($V387:$AG387,'Calc base'!$C$17:$N$17,"&lt;"&amp;'Calc base'!N$17,'Calc base'!$C$14:$N$14,1))))</f>
        <v>0</v>
      </c>
      <c r="AT387">
        <f>V387-AH387</f>
        <v>0</v>
      </c>
      <c r="AU387">
        <f>W387-AI387</f>
        <v>0</v>
      </c>
      <c r="AV387">
        <f>X387-AJ387</f>
        <v>0</v>
      </c>
      <c r="AW387">
        <f>Y387-AK387</f>
        <v>0</v>
      </c>
      <c r="AX387">
        <f>Z387-AL387</f>
        <v>0</v>
      </c>
      <c r="AY387">
        <f>AA387-AM387</f>
        <v>0</v>
      </c>
      <c r="AZ387">
        <f>AB387-AN387</f>
        <v>0</v>
      </c>
      <c r="BA387">
        <f>AC387-AO387</f>
        <v>0</v>
      </c>
      <c r="BB387">
        <f>AD387-AP387</f>
        <v>0</v>
      </c>
      <c r="BC387">
        <f>AE387-AQ387</f>
        <v>0</v>
      </c>
      <c r="BD387">
        <f>AF387-AR387</f>
        <v>0</v>
      </c>
      <c r="BE387">
        <f>AG387-AS387</f>
        <v>0</v>
      </c>
    </row>
    <row r="388">
      <c r="A388" t="n">
        <v>358</v>
      </c>
      <c r="B388">
        <f>SUMPRODUCT(ROUND($AT387:$BE387*(1+'Calc base'!$H388:$S388),2))</f>
        <v>0</v>
      </c>
      <c r="C388">
        <f>SUM(J388:U388)</f>
        <v>0</v>
      </c>
      <c r="D388">
        <f>SUM(V388:AG388)</f>
        <v>0</v>
      </c>
      <c r="E388">
        <f>MAX(0,IF(Impostazioni!$B$7="No",'Calc base'!$C388-$C$31,'Calc base'!$C388-C388)+'Calc base'!$G388+'Calc base'!$F388-(B388-C388-D388))</f>
        <v>900</v>
      </c>
      <c r="F388">
        <f>SUM(AH388:AS388)</f>
        <v>0</v>
      </c>
      <c r="G388">
        <f>SUM(AT388:BE388)</f>
        <v>0</v>
      </c>
      <c r="H388">
        <f>B388-G387</f>
        <v>0</v>
      </c>
      <c r="I388">
        <f>B388-G388</f>
        <v>0</v>
      </c>
      <c r="J388">
        <f>IF(AT387&lt;=0,0,IF(ROUND(AT387*(1+'Calc base'!H388),2)-MAX('Calc base'!C$12,ROUND('Calc base'!C$13*AT387,2))&lt;1,ROUND(AT387*(1+'Calc base'!H388),2),MAX('Calc base'!C$12,ROUND('Calc base'!C$13*AT387,2))))</f>
        <v>0</v>
      </c>
      <c r="K388">
        <f>IF(AU387&lt;=0,0,IF(ROUND(AU387*(1+'Calc base'!I388),2)-MAX('Calc base'!D$12,ROUND('Calc base'!D$13*AU387,2))&lt;1,ROUND(AU387*(1+'Calc base'!I388),2),MAX('Calc base'!D$12,ROUND('Calc base'!D$13*AU387,2))))</f>
        <v>0</v>
      </c>
      <c r="L388">
        <f>IF(AV387&lt;=0,0,IF(ROUND(AV387*(1+'Calc base'!J388),2)-MAX('Calc base'!E$12,ROUND('Calc base'!E$13*AV387,2))&lt;1,ROUND(AV387*(1+'Calc base'!J388),2),MAX('Calc base'!E$12,ROUND('Calc base'!E$13*AV387,2))))</f>
        <v>0</v>
      </c>
      <c r="M388">
        <f>IF(AW387&lt;=0,0,IF(ROUND(AW387*(1+'Calc base'!K388),2)-MAX('Calc base'!F$12,ROUND('Calc base'!F$13*AW387,2))&lt;1,ROUND(AW387*(1+'Calc base'!K388),2),MAX('Calc base'!F$12,ROUND('Calc base'!F$13*AW387,2))))</f>
        <v>0</v>
      </c>
      <c r="N388">
        <f>IF(AX387&lt;=0,0,IF(ROUND(AX387*(1+'Calc base'!L388),2)-MAX('Calc base'!G$12,ROUND('Calc base'!G$13*AX387,2))&lt;1,ROUND(AX387*(1+'Calc base'!L388),2),MAX('Calc base'!G$12,ROUND('Calc base'!G$13*AX387,2))))</f>
        <v>0</v>
      </c>
      <c r="O388">
        <f>IF(AY387&lt;=0,0,IF(ROUND(AY387*(1+'Calc base'!M388),2)-MAX('Calc base'!H$12,ROUND('Calc base'!H$13*AY387,2))&lt;1,ROUND(AY387*(1+'Calc base'!M388),2),MAX('Calc base'!H$12,ROUND('Calc base'!H$13*AY387,2))))</f>
        <v>0</v>
      </c>
      <c r="P388">
        <f>IF(AZ387&lt;=0,0,IF(ROUND(AZ387*(1+'Calc base'!N388),2)-MAX('Calc base'!I$12,ROUND('Calc base'!I$13*AZ387,2))&lt;1,ROUND(AZ387*(1+'Calc base'!N388),2),MAX('Calc base'!I$12,ROUND('Calc base'!I$13*AZ387,2))))</f>
        <v>0</v>
      </c>
      <c r="Q388">
        <f>IF(BA387&lt;=0,0,IF(ROUND(BA387*(1+'Calc base'!O388),2)-MAX('Calc base'!J$12,ROUND('Calc base'!J$13*BA387,2))&lt;1,ROUND(BA387*(1+'Calc base'!O388),2),MAX('Calc base'!J$12,ROUND('Calc base'!J$13*BA387,2))))</f>
        <v>0</v>
      </c>
      <c r="R388">
        <f>IF(BB387&lt;=0,0,IF(ROUND(BB387*(1+'Calc base'!P388),2)-MAX('Calc base'!K$12,ROUND('Calc base'!K$13*BB387,2))&lt;1,ROUND(BB387*(1+'Calc base'!P388),2),MAX('Calc base'!K$12,ROUND('Calc base'!K$13*BB387,2))))</f>
        <v>0</v>
      </c>
      <c r="S388">
        <f>IF(BC387&lt;=0,0,IF(ROUND(BC387*(1+'Calc base'!Q388),2)-MAX('Calc base'!L$12,ROUND('Calc base'!L$13*BC387,2))&lt;1,ROUND(BC387*(1+'Calc base'!Q388),2),MAX('Calc base'!L$12,ROUND('Calc base'!L$13*BC387,2))))</f>
        <v>0</v>
      </c>
      <c r="T388">
        <f>IF(BD387&lt;=0,0,IF(ROUND(BD387*(1+'Calc base'!R388),2)-MAX('Calc base'!M$12,ROUND('Calc base'!M$13*BD387,2))&lt;1,ROUND(BD387*(1+'Calc base'!R388),2),MAX('Calc base'!M$12,ROUND('Calc base'!M$13*BD387,2))))</f>
        <v>0</v>
      </c>
      <c r="U388">
        <f>IF(BE387&lt;=0,0,IF(ROUND(BE387*(1+'Calc base'!S388),2)-MAX('Calc base'!N$12,ROUND('Calc base'!N$13*BE387,2))&lt;1,ROUND(BE387*(1+'Calc base'!S388),2),MAX('Calc base'!N$12,ROUND('Calc base'!N$13*BE387,2))))</f>
        <v>0</v>
      </c>
      <c r="V388">
        <f>MAX(0,ROUND(AT387*(1+'Calc base'!H388),2)-J388-'Calc base'!T388)</f>
        <v>0</v>
      </c>
      <c r="W388">
        <f>MAX(0,ROUND(AU387*(1+'Calc base'!I388),2)-K388-'Calc base'!U388)</f>
        <v>0</v>
      </c>
      <c r="X388">
        <f>MAX(0,ROUND(AV387*(1+'Calc base'!J388),2)-L388-'Calc base'!V388)</f>
        <v>0</v>
      </c>
      <c r="Y388">
        <f>MAX(0,ROUND(AW387*(1+'Calc base'!K388),2)-M388-'Calc base'!W388)</f>
        <v>0</v>
      </c>
      <c r="Z388">
        <f>MAX(0,ROUND(AX387*(1+'Calc base'!L388),2)-N388-'Calc base'!X388)</f>
        <v>0</v>
      </c>
      <c r="AA388">
        <f>MAX(0,ROUND(AY387*(1+'Calc base'!M388),2)-O388-'Calc base'!Y388)</f>
        <v>0</v>
      </c>
      <c r="AB388">
        <f>MAX(0,ROUND(AZ387*(1+'Calc base'!N388),2)-P388-'Calc base'!Z388)</f>
        <v>0</v>
      </c>
      <c r="AC388">
        <f>MAX(0,ROUND(BA387*(1+'Calc base'!O388),2)-Q388-'Calc base'!AA388)</f>
        <v>0</v>
      </c>
      <c r="AD388">
        <f>MAX(0,ROUND(BB387*(1+'Calc base'!P388),2)-R388-'Calc base'!AB388)</f>
        <v>0</v>
      </c>
      <c r="AE388">
        <f>MAX(0,ROUND(BC387*(1+'Calc base'!Q388),2)-S388-'Calc base'!AC388)</f>
        <v>0</v>
      </c>
      <c r="AF388">
        <f>MAX(0,ROUND(BD387*(1+'Calc base'!R388),2)-T388-'Calc base'!AD388)</f>
        <v>0</v>
      </c>
      <c r="AG388">
        <f>MAX(0,ROUND(BE387*(1+'Calc base'!S388),2)-U388-'Calc base'!AE388)</f>
        <v>0</v>
      </c>
      <c r="AH388">
        <f>IF('Calc base'!C$14=0,0,MIN(V388,MAX(0,$E388-SUMIFS($V388:$AG388,'Calc base'!$C$17:$N$17,"&lt;"&amp;'Calc base'!C$17,'Calc base'!$C$14:$N$14,1))))</f>
        <v>0</v>
      </c>
      <c r="AI388">
        <f>IF('Calc base'!D$14=0,0,MIN(W388,MAX(0,$E388-SUMIFS($V388:$AG388,'Calc base'!$C$17:$N$17,"&lt;"&amp;'Calc base'!D$17,'Calc base'!$C$14:$N$14,1))))</f>
        <v>0</v>
      </c>
      <c r="AJ388">
        <f>IF('Calc base'!E$14=0,0,MIN(X388,MAX(0,$E388-SUMIFS($V388:$AG388,'Calc base'!$C$17:$N$17,"&lt;"&amp;'Calc base'!E$17,'Calc base'!$C$14:$N$14,1))))</f>
        <v>0</v>
      </c>
      <c r="AK388">
        <f>IF('Calc base'!F$14=0,0,MIN(Y388,MAX(0,$E388-SUMIFS($V388:$AG388,'Calc base'!$C$17:$N$17,"&lt;"&amp;'Calc base'!F$17,'Calc base'!$C$14:$N$14,1))))</f>
        <v>0</v>
      </c>
      <c r="AL388">
        <f>IF('Calc base'!G$14=0,0,MIN(Z388,MAX(0,$E388-SUMIFS($V388:$AG388,'Calc base'!$C$17:$N$17,"&lt;"&amp;'Calc base'!G$17,'Calc base'!$C$14:$N$14,1))))</f>
        <v>0</v>
      </c>
      <c r="AM388">
        <f>IF('Calc base'!H$14=0,0,MIN(AA388,MAX(0,$E388-SUMIFS($V388:$AG388,'Calc base'!$C$17:$N$17,"&lt;"&amp;'Calc base'!H$17,'Calc base'!$C$14:$N$14,1))))</f>
        <v>0</v>
      </c>
      <c r="AN388">
        <f>IF('Calc base'!I$14=0,0,MIN(AB388,MAX(0,$E388-SUMIFS($V388:$AG388,'Calc base'!$C$17:$N$17,"&lt;"&amp;'Calc base'!I$17,'Calc base'!$C$14:$N$14,1))))</f>
        <v>0</v>
      </c>
      <c r="AO388">
        <f>IF('Calc base'!J$14=0,0,MIN(AC388,MAX(0,$E388-SUMIFS($V388:$AG388,'Calc base'!$C$17:$N$17,"&lt;"&amp;'Calc base'!J$17,'Calc base'!$C$14:$N$14,1))))</f>
        <v>0</v>
      </c>
      <c r="AP388">
        <f>IF('Calc base'!K$14=0,0,MIN(AD388,MAX(0,$E388-SUMIFS($V388:$AG388,'Calc base'!$C$17:$N$17,"&lt;"&amp;'Calc base'!K$17,'Calc base'!$C$14:$N$14,1))))</f>
        <v>0</v>
      </c>
      <c r="AQ388">
        <f>IF('Calc base'!L$14=0,0,MIN(AE388,MAX(0,$E388-SUMIFS($V388:$AG388,'Calc base'!$C$17:$N$17,"&lt;"&amp;'Calc base'!L$17,'Calc base'!$C$14:$N$14,1))))</f>
        <v>0</v>
      </c>
      <c r="AR388">
        <f>IF('Calc base'!M$14=0,0,MIN(AF388,MAX(0,$E388-SUMIFS($V388:$AG388,'Calc base'!$C$17:$N$17,"&lt;"&amp;'Calc base'!M$17,'Calc base'!$C$14:$N$14,1))))</f>
        <v>0</v>
      </c>
      <c r="AS388">
        <f>IF('Calc base'!N$14=0,0,MIN(AG388,MAX(0,$E388-SUMIFS($V388:$AG388,'Calc base'!$C$17:$N$17,"&lt;"&amp;'Calc base'!N$17,'Calc base'!$C$14:$N$14,1))))</f>
        <v>0</v>
      </c>
      <c r="AT388">
        <f>V388-AH388</f>
        <v>0</v>
      </c>
      <c r="AU388">
        <f>W388-AI388</f>
        <v>0</v>
      </c>
      <c r="AV388">
        <f>X388-AJ388</f>
        <v>0</v>
      </c>
      <c r="AW388">
        <f>Y388-AK388</f>
        <v>0</v>
      </c>
      <c r="AX388">
        <f>Z388-AL388</f>
        <v>0</v>
      </c>
      <c r="AY388">
        <f>AA388-AM388</f>
        <v>0</v>
      </c>
      <c r="AZ388">
        <f>AB388-AN388</f>
        <v>0</v>
      </c>
      <c r="BA388">
        <f>AC388-AO388</f>
        <v>0</v>
      </c>
      <c r="BB388">
        <f>AD388-AP388</f>
        <v>0</v>
      </c>
      <c r="BC388">
        <f>AE388-AQ388</f>
        <v>0</v>
      </c>
      <c r="BD388">
        <f>AF388-AR388</f>
        <v>0</v>
      </c>
      <c r="BE388">
        <f>AG388-AS388</f>
        <v>0</v>
      </c>
    </row>
    <row r="389">
      <c r="A389" t="n">
        <v>359</v>
      </c>
      <c r="B389">
        <f>SUMPRODUCT(ROUND($AT388:$BE388*(1+'Calc base'!$H389:$S389),2))</f>
        <v>0</v>
      </c>
      <c r="C389">
        <f>SUM(J389:U389)</f>
        <v>0</v>
      </c>
      <c r="D389">
        <f>SUM(V389:AG389)</f>
        <v>0</v>
      </c>
      <c r="E389">
        <f>MAX(0,IF(Impostazioni!$B$7="No",'Calc base'!$C389-$C$31,'Calc base'!$C389-C389)+'Calc base'!$G389+'Calc base'!$F389-(B389-C389-D389))</f>
        <v>900</v>
      </c>
      <c r="F389">
        <f>SUM(AH389:AS389)</f>
        <v>0</v>
      </c>
      <c r="G389">
        <f>SUM(AT389:BE389)</f>
        <v>0</v>
      </c>
      <c r="H389">
        <f>B389-G388</f>
        <v>0</v>
      </c>
      <c r="I389">
        <f>B389-G389</f>
        <v>0</v>
      </c>
      <c r="J389">
        <f>IF(AT388&lt;=0,0,IF(ROUND(AT388*(1+'Calc base'!H389),2)-MAX('Calc base'!C$12,ROUND('Calc base'!C$13*AT388,2))&lt;1,ROUND(AT388*(1+'Calc base'!H389),2),MAX('Calc base'!C$12,ROUND('Calc base'!C$13*AT388,2))))</f>
        <v>0</v>
      </c>
      <c r="K389">
        <f>IF(AU388&lt;=0,0,IF(ROUND(AU388*(1+'Calc base'!I389),2)-MAX('Calc base'!D$12,ROUND('Calc base'!D$13*AU388,2))&lt;1,ROUND(AU388*(1+'Calc base'!I389),2),MAX('Calc base'!D$12,ROUND('Calc base'!D$13*AU388,2))))</f>
        <v>0</v>
      </c>
      <c r="L389">
        <f>IF(AV388&lt;=0,0,IF(ROUND(AV388*(1+'Calc base'!J389),2)-MAX('Calc base'!E$12,ROUND('Calc base'!E$13*AV388,2))&lt;1,ROUND(AV388*(1+'Calc base'!J389),2),MAX('Calc base'!E$12,ROUND('Calc base'!E$13*AV388,2))))</f>
        <v>0</v>
      </c>
      <c r="M389">
        <f>IF(AW388&lt;=0,0,IF(ROUND(AW388*(1+'Calc base'!K389),2)-MAX('Calc base'!F$12,ROUND('Calc base'!F$13*AW388,2))&lt;1,ROUND(AW388*(1+'Calc base'!K389),2),MAX('Calc base'!F$12,ROUND('Calc base'!F$13*AW388,2))))</f>
        <v>0</v>
      </c>
      <c r="N389">
        <f>IF(AX388&lt;=0,0,IF(ROUND(AX388*(1+'Calc base'!L389),2)-MAX('Calc base'!G$12,ROUND('Calc base'!G$13*AX388,2))&lt;1,ROUND(AX388*(1+'Calc base'!L389),2),MAX('Calc base'!G$12,ROUND('Calc base'!G$13*AX388,2))))</f>
        <v>0</v>
      </c>
      <c r="O389">
        <f>IF(AY388&lt;=0,0,IF(ROUND(AY388*(1+'Calc base'!M389),2)-MAX('Calc base'!H$12,ROUND('Calc base'!H$13*AY388,2))&lt;1,ROUND(AY388*(1+'Calc base'!M389),2),MAX('Calc base'!H$12,ROUND('Calc base'!H$13*AY388,2))))</f>
        <v>0</v>
      </c>
      <c r="P389">
        <f>IF(AZ388&lt;=0,0,IF(ROUND(AZ388*(1+'Calc base'!N389),2)-MAX('Calc base'!I$12,ROUND('Calc base'!I$13*AZ388,2))&lt;1,ROUND(AZ388*(1+'Calc base'!N389),2),MAX('Calc base'!I$12,ROUND('Calc base'!I$13*AZ388,2))))</f>
        <v>0</v>
      </c>
      <c r="Q389">
        <f>IF(BA388&lt;=0,0,IF(ROUND(BA388*(1+'Calc base'!O389),2)-MAX('Calc base'!J$12,ROUND('Calc base'!J$13*BA388,2))&lt;1,ROUND(BA388*(1+'Calc base'!O389),2),MAX('Calc base'!J$12,ROUND('Calc base'!J$13*BA388,2))))</f>
        <v>0</v>
      </c>
      <c r="R389">
        <f>IF(BB388&lt;=0,0,IF(ROUND(BB388*(1+'Calc base'!P389),2)-MAX('Calc base'!K$12,ROUND('Calc base'!K$13*BB388,2))&lt;1,ROUND(BB388*(1+'Calc base'!P389),2),MAX('Calc base'!K$12,ROUND('Calc base'!K$13*BB388,2))))</f>
        <v>0</v>
      </c>
      <c r="S389">
        <f>IF(BC388&lt;=0,0,IF(ROUND(BC388*(1+'Calc base'!Q389),2)-MAX('Calc base'!L$12,ROUND('Calc base'!L$13*BC388,2))&lt;1,ROUND(BC388*(1+'Calc base'!Q389),2),MAX('Calc base'!L$12,ROUND('Calc base'!L$13*BC388,2))))</f>
        <v>0</v>
      </c>
      <c r="T389">
        <f>IF(BD388&lt;=0,0,IF(ROUND(BD388*(1+'Calc base'!R389),2)-MAX('Calc base'!M$12,ROUND('Calc base'!M$13*BD388,2))&lt;1,ROUND(BD388*(1+'Calc base'!R389),2),MAX('Calc base'!M$12,ROUND('Calc base'!M$13*BD388,2))))</f>
        <v>0</v>
      </c>
      <c r="U389">
        <f>IF(BE388&lt;=0,0,IF(ROUND(BE388*(1+'Calc base'!S389),2)-MAX('Calc base'!N$12,ROUND('Calc base'!N$13*BE388,2))&lt;1,ROUND(BE388*(1+'Calc base'!S389),2),MAX('Calc base'!N$12,ROUND('Calc base'!N$13*BE388,2))))</f>
        <v>0</v>
      </c>
      <c r="V389">
        <f>MAX(0,ROUND(AT388*(1+'Calc base'!H389),2)-J389-'Calc base'!T389)</f>
        <v>0</v>
      </c>
      <c r="W389">
        <f>MAX(0,ROUND(AU388*(1+'Calc base'!I389),2)-K389-'Calc base'!U389)</f>
        <v>0</v>
      </c>
      <c r="X389">
        <f>MAX(0,ROUND(AV388*(1+'Calc base'!J389),2)-L389-'Calc base'!V389)</f>
        <v>0</v>
      </c>
      <c r="Y389">
        <f>MAX(0,ROUND(AW388*(1+'Calc base'!K389),2)-M389-'Calc base'!W389)</f>
        <v>0</v>
      </c>
      <c r="Z389">
        <f>MAX(0,ROUND(AX388*(1+'Calc base'!L389),2)-N389-'Calc base'!X389)</f>
        <v>0</v>
      </c>
      <c r="AA389">
        <f>MAX(0,ROUND(AY388*(1+'Calc base'!M389),2)-O389-'Calc base'!Y389)</f>
        <v>0</v>
      </c>
      <c r="AB389">
        <f>MAX(0,ROUND(AZ388*(1+'Calc base'!N389),2)-P389-'Calc base'!Z389)</f>
        <v>0</v>
      </c>
      <c r="AC389">
        <f>MAX(0,ROUND(BA388*(1+'Calc base'!O389),2)-Q389-'Calc base'!AA389)</f>
        <v>0</v>
      </c>
      <c r="AD389">
        <f>MAX(0,ROUND(BB388*(1+'Calc base'!P389),2)-R389-'Calc base'!AB389)</f>
        <v>0</v>
      </c>
      <c r="AE389">
        <f>MAX(0,ROUND(BC388*(1+'Calc base'!Q389),2)-S389-'Calc base'!AC389)</f>
        <v>0</v>
      </c>
      <c r="AF389">
        <f>MAX(0,ROUND(BD388*(1+'Calc base'!R389),2)-T389-'Calc base'!AD389)</f>
        <v>0</v>
      </c>
      <c r="AG389">
        <f>MAX(0,ROUND(BE388*(1+'Calc base'!S389),2)-U389-'Calc base'!AE389)</f>
        <v>0</v>
      </c>
      <c r="AH389">
        <f>IF('Calc base'!C$14=0,0,MIN(V389,MAX(0,$E389-SUMIFS($V389:$AG389,'Calc base'!$C$17:$N$17,"&lt;"&amp;'Calc base'!C$17,'Calc base'!$C$14:$N$14,1))))</f>
        <v>0</v>
      </c>
      <c r="AI389">
        <f>IF('Calc base'!D$14=0,0,MIN(W389,MAX(0,$E389-SUMIFS($V389:$AG389,'Calc base'!$C$17:$N$17,"&lt;"&amp;'Calc base'!D$17,'Calc base'!$C$14:$N$14,1))))</f>
        <v>0</v>
      </c>
      <c r="AJ389">
        <f>IF('Calc base'!E$14=0,0,MIN(X389,MAX(0,$E389-SUMIFS($V389:$AG389,'Calc base'!$C$17:$N$17,"&lt;"&amp;'Calc base'!E$17,'Calc base'!$C$14:$N$14,1))))</f>
        <v>0</v>
      </c>
      <c r="AK389">
        <f>IF('Calc base'!F$14=0,0,MIN(Y389,MAX(0,$E389-SUMIFS($V389:$AG389,'Calc base'!$C$17:$N$17,"&lt;"&amp;'Calc base'!F$17,'Calc base'!$C$14:$N$14,1))))</f>
        <v>0</v>
      </c>
      <c r="AL389">
        <f>IF('Calc base'!G$14=0,0,MIN(Z389,MAX(0,$E389-SUMIFS($V389:$AG389,'Calc base'!$C$17:$N$17,"&lt;"&amp;'Calc base'!G$17,'Calc base'!$C$14:$N$14,1))))</f>
        <v>0</v>
      </c>
      <c r="AM389">
        <f>IF('Calc base'!H$14=0,0,MIN(AA389,MAX(0,$E389-SUMIFS($V389:$AG389,'Calc base'!$C$17:$N$17,"&lt;"&amp;'Calc base'!H$17,'Calc base'!$C$14:$N$14,1))))</f>
        <v>0</v>
      </c>
      <c r="AN389">
        <f>IF('Calc base'!I$14=0,0,MIN(AB389,MAX(0,$E389-SUMIFS($V389:$AG389,'Calc base'!$C$17:$N$17,"&lt;"&amp;'Calc base'!I$17,'Calc base'!$C$14:$N$14,1))))</f>
        <v>0</v>
      </c>
      <c r="AO389">
        <f>IF('Calc base'!J$14=0,0,MIN(AC389,MAX(0,$E389-SUMIFS($V389:$AG389,'Calc base'!$C$17:$N$17,"&lt;"&amp;'Calc base'!J$17,'Calc base'!$C$14:$N$14,1))))</f>
        <v>0</v>
      </c>
      <c r="AP389">
        <f>IF('Calc base'!K$14=0,0,MIN(AD389,MAX(0,$E389-SUMIFS($V389:$AG389,'Calc base'!$C$17:$N$17,"&lt;"&amp;'Calc base'!K$17,'Calc base'!$C$14:$N$14,1))))</f>
        <v>0</v>
      </c>
      <c r="AQ389">
        <f>IF('Calc base'!L$14=0,0,MIN(AE389,MAX(0,$E389-SUMIFS($V389:$AG389,'Calc base'!$C$17:$N$17,"&lt;"&amp;'Calc base'!L$17,'Calc base'!$C$14:$N$14,1))))</f>
        <v>0</v>
      </c>
      <c r="AR389">
        <f>IF('Calc base'!M$14=0,0,MIN(AF389,MAX(0,$E389-SUMIFS($V389:$AG389,'Calc base'!$C$17:$N$17,"&lt;"&amp;'Calc base'!M$17,'Calc base'!$C$14:$N$14,1))))</f>
        <v>0</v>
      </c>
      <c r="AS389">
        <f>IF('Calc base'!N$14=0,0,MIN(AG389,MAX(0,$E389-SUMIFS($V389:$AG389,'Calc base'!$C$17:$N$17,"&lt;"&amp;'Calc base'!N$17,'Calc base'!$C$14:$N$14,1))))</f>
        <v>0</v>
      </c>
      <c r="AT389">
        <f>V389-AH389</f>
        <v>0</v>
      </c>
      <c r="AU389">
        <f>W389-AI389</f>
        <v>0</v>
      </c>
      <c r="AV389">
        <f>X389-AJ389</f>
        <v>0</v>
      </c>
      <c r="AW389">
        <f>Y389-AK389</f>
        <v>0</v>
      </c>
      <c r="AX389">
        <f>Z389-AL389</f>
        <v>0</v>
      </c>
      <c r="AY389">
        <f>AA389-AM389</f>
        <v>0</v>
      </c>
      <c r="AZ389">
        <f>AB389-AN389</f>
        <v>0</v>
      </c>
      <c r="BA389">
        <f>AC389-AO389</f>
        <v>0</v>
      </c>
      <c r="BB389">
        <f>AD389-AP389</f>
        <v>0</v>
      </c>
      <c r="BC389">
        <f>AE389-AQ389</f>
        <v>0</v>
      </c>
      <c r="BD389">
        <f>AF389-AR389</f>
        <v>0</v>
      </c>
      <c r="BE389">
        <f>AG389-AS389</f>
        <v>0</v>
      </c>
    </row>
    <row r="390">
      <c r="A390" t="n">
        <v>360</v>
      </c>
      <c r="B390">
        <f>SUMPRODUCT(ROUND($AT389:$BE389*(1+'Calc base'!$H390:$S390),2))</f>
        <v>0</v>
      </c>
      <c r="C390">
        <f>SUM(J390:U390)</f>
        <v>0</v>
      </c>
      <c r="D390">
        <f>SUM(V390:AG390)</f>
        <v>0</v>
      </c>
      <c r="E390">
        <f>MAX(0,IF(Impostazioni!$B$7="No",'Calc base'!$C390-$C$31,'Calc base'!$C390-C390)+'Calc base'!$G390+'Calc base'!$F390-(B390-C390-D390))</f>
        <v>900</v>
      </c>
      <c r="F390">
        <f>SUM(AH390:AS390)</f>
        <v>0</v>
      </c>
      <c r="G390">
        <f>SUM(AT390:BE390)</f>
        <v>0</v>
      </c>
      <c r="H390">
        <f>B390-G389</f>
        <v>0</v>
      </c>
      <c r="I390">
        <f>B390-G390</f>
        <v>0</v>
      </c>
      <c r="J390">
        <f>IF(AT389&lt;=0,0,IF(ROUND(AT389*(1+'Calc base'!H390),2)-MAX('Calc base'!C$12,ROUND('Calc base'!C$13*AT389,2))&lt;1,ROUND(AT389*(1+'Calc base'!H390),2),MAX('Calc base'!C$12,ROUND('Calc base'!C$13*AT389,2))))</f>
        <v>0</v>
      </c>
      <c r="K390">
        <f>IF(AU389&lt;=0,0,IF(ROUND(AU389*(1+'Calc base'!I390),2)-MAX('Calc base'!D$12,ROUND('Calc base'!D$13*AU389,2))&lt;1,ROUND(AU389*(1+'Calc base'!I390),2),MAX('Calc base'!D$12,ROUND('Calc base'!D$13*AU389,2))))</f>
        <v>0</v>
      </c>
      <c r="L390">
        <f>IF(AV389&lt;=0,0,IF(ROUND(AV389*(1+'Calc base'!J390),2)-MAX('Calc base'!E$12,ROUND('Calc base'!E$13*AV389,2))&lt;1,ROUND(AV389*(1+'Calc base'!J390),2),MAX('Calc base'!E$12,ROUND('Calc base'!E$13*AV389,2))))</f>
        <v>0</v>
      </c>
      <c r="M390">
        <f>IF(AW389&lt;=0,0,IF(ROUND(AW389*(1+'Calc base'!K390),2)-MAX('Calc base'!F$12,ROUND('Calc base'!F$13*AW389,2))&lt;1,ROUND(AW389*(1+'Calc base'!K390),2),MAX('Calc base'!F$12,ROUND('Calc base'!F$13*AW389,2))))</f>
        <v>0</v>
      </c>
      <c r="N390">
        <f>IF(AX389&lt;=0,0,IF(ROUND(AX389*(1+'Calc base'!L390),2)-MAX('Calc base'!G$12,ROUND('Calc base'!G$13*AX389,2))&lt;1,ROUND(AX389*(1+'Calc base'!L390),2),MAX('Calc base'!G$12,ROUND('Calc base'!G$13*AX389,2))))</f>
        <v>0</v>
      </c>
      <c r="O390">
        <f>IF(AY389&lt;=0,0,IF(ROUND(AY389*(1+'Calc base'!M390),2)-MAX('Calc base'!H$12,ROUND('Calc base'!H$13*AY389,2))&lt;1,ROUND(AY389*(1+'Calc base'!M390),2),MAX('Calc base'!H$12,ROUND('Calc base'!H$13*AY389,2))))</f>
        <v>0</v>
      </c>
      <c r="P390">
        <f>IF(AZ389&lt;=0,0,IF(ROUND(AZ389*(1+'Calc base'!N390),2)-MAX('Calc base'!I$12,ROUND('Calc base'!I$13*AZ389,2))&lt;1,ROUND(AZ389*(1+'Calc base'!N390),2),MAX('Calc base'!I$12,ROUND('Calc base'!I$13*AZ389,2))))</f>
        <v>0</v>
      </c>
      <c r="Q390">
        <f>IF(BA389&lt;=0,0,IF(ROUND(BA389*(1+'Calc base'!O390),2)-MAX('Calc base'!J$12,ROUND('Calc base'!J$13*BA389,2))&lt;1,ROUND(BA389*(1+'Calc base'!O390),2),MAX('Calc base'!J$12,ROUND('Calc base'!J$13*BA389,2))))</f>
        <v>0</v>
      </c>
      <c r="R390">
        <f>IF(BB389&lt;=0,0,IF(ROUND(BB389*(1+'Calc base'!P390),2)-MAX('Calc base'!K$12,ROUND('Calc base'!K$13*BB389,2))&lt;1,ROUND(BB389*(1+'Calc base'!P390),2),MAX('Calc base'!K$12,ROUND('Calc base'!K$13*BB389,2))))</f>
        <v>0</v>
      </c>
      <c r="S390">
        <f>IF(BC389&lt;=0,0,IF(ROUND(BC389*(1+'Calc base'!Q390),2)-MAX('Calc base'!L$12,ROUND('Calc base'!L$13*BC389,2))&lt;1,ROUND(BC389*(1+'Calc base'!Q390),2),MAX('Calc base'!L$12,ROUND('Calc base'!L$13*BC389,2))))</f>
        <v>0</v>
      </c>
      <c r="T390">
        <f>IF(BD389&lt;=0,0,IF(ROUND(BD389*(1+'Calc base'!R390),2)-MAX('Calc base'!M$12,ROUND('Calc base'!M$13*BD389,2))&lt;1,ROUND(BD389*(1+'Calc base'!R390),2),MAX('Calc base'!M$12,ROUND('Calc base'!M$13*BD389,2))))</f>
        <v>0</v>
      </c>
      <c r="U390">
        <f>IF(BE389&lt;=0,0,IF(ROUND(BE389*(1+'Calc base'!S390),2)-MAX('Calc base'!N$12,ROUND('Calc base'!N$13*BE389,2))&lt;1,ROUND(BE389*(1+'Calc base'!S390),2),MAX('Calc base'!N$12,ROUND('Calc base'!N$13*BE389,2))))</f>
        <v>0</v>
      </c>
      <c r="V390">
        <f>MAX(0,ROUND(AT389*(1+'Calc base'!H390),2)-J390-'Calc base'!T390)</f>
        <v>0</v>
      </c>
      <c r="W390">
        <f>MAX(0,ROUND(AU389*(1+'Calc base'!I390),2)-K390-'Calc base'!U390)</f>
        <v>0</v>
      </c>
      <c r="X390">
        <f>MAX(0,ROUND(AV389*(1+'Calc base'!J390),2)-L390-'Calc base'!V390)</f>
        <v>0</v>
      </c>
      <c r="Y390">
        <f>MAX(0,ROUND(AW389*(1+'Calc base'!K390),2)-M390-'Calc base'!W390)</f>
        <v>0</v>
      </c>
      <c r="Z390">
        <f>MAX(0,ROUND(AX389*(1+'Calc base'!L390),2)-N390-'Calc base'!X390)</f>
        <v>0</v>
      </c>
      <c r="AA390">
        <f>MAX(0,ROUND(AY389*(1+'Calc base'!M390),2)-O390-'Calc base'!Y390)</f>
        <v>0</v>
      </c>
      <c r="AB390">
        <f>MAX(0,ROUND(AZ389*(1+'Calc base'!N390),2)-P390-'Calc base'!Z390)</f>
        <v>0</v>
      </c>
      <c r="AC390">
        <f>MAX(0,ROUND(BA389*(1+'Calc base'!O390),2)-Q390-'Calc base'!AA390)</f>
        <v>0</v>
      </c>
      <c r="AD390">
        <f>MAX(0,ROUND(BB389*(1+'Calc base'!P390),2)-R390-'Calc base'!AB390)</f>
        <v>0</v>
      </c>
      <c r="AE390">
        <f>MAX(0,ROUND(BC389*(1+'Calc base'!Q390),2)-S390-'Calc base'!AC390)</f>
        <v>0</v>
      </c>
      <c r="AF390">
        <f>MAX(0,ROUND(BD389*(1+'Calc base'!R390),2)-T390-'Calc base'!AD390)</f>
        <v>0</v>
      </c>
      <c r="AG390">
        <f>MAX(0,ROUND(BE389*(1+'Calc base'!S390),2)-U390-'Calc base'!AE390)</f>
        <v>0</v>
      </c>
      <c r="AH390">
        <f>IF('Calc base'!C$14=0,0,MIN(V390,MAX(0,$E390-SUMIFS($V390:$AG390,'Calc base'!$C$17:$N$17,"&lt;"&amp;'Calc base'!C$17,'Calc base'!$C$14:$N$14,1))))</f>
        <v>0</v>
      </c>
      <c r="AI390">
        <f>IF('Calc base'!D$14=0,0,MIN(W390,MAX(0,$E390-SUMIFS($V390:$AG390,'Calc base'!$C$17:$N$17,"&lt;"&amp;'Calc base'!D$17,'Calc base'!$C$14:$N$14,1))))</f>
        <v>0</v>
      </c>
      <c r="AJ390">
        <f>IF('Calc base'!E$14=0,0,MIN(X390,MAX(0,$E390-SUMIFS($V390:$AG390,'Calc base'!$C$17:$N$17,"&lt;"&amp;'Calc base'!E$17,'Calc base'!$C$14:$N$14,1))))</f>
        <v>0</v>
      </c>
      <c r="AK390">
        <f>IF('Calc base'!F$14=0,0,MIN(Y390,MAX(0,$E390-SUMIFS($V390:$AG390,'Calc base'!$C$17:$N$17,"&lt;"&amp;'Calc base'!F$17,'Calc base'!$C$14:$N$14,1))))</f>
        <v>0</v>
      </c>
      <c r="AL390">
        <f>IF('Calc base'!G$14=0,0,MIN(Z390,MAX(0,$E390-SUMIFS($V390:$AG390,'Calc base'!$C$17:$N$17,"&lt;"&amp;'Calc base'!G$17,'Calc base'!$C$14:$N$14,1))))</f>
        <v>0</v>
      </c>
      <c r="AM390">
        <f>IF('Calc base'!H$14=0,0,MIN(AA390,MAX(0,$E390-SUMIFS($V390:$AG390,'Calc base'!$C$17:$N$17,"&lt;"&amp;'Calc base'!H$17,'Calc base'!$C$14:$N$14,1))))</f>
        <v>0</v>
      </c>
      <c r="AN390">
        <f>IF('Calc base'!I$14=0,0,MIN(AB390,MAX(0,$E390-SUMIFS($V390:$AG390,'Calc base'!$C$17:$N$17,"&lt;"&amp;'Calc base'!I$17,'Calc base'!$C$14:$N$14,1))))</f>
        <v>0</v>
      </c>
      <c r="AO390">
        <f>IF('Calc base'!J$14=0,0,MIN(AC390,MAX(0,$E390-SUMIFS($V390:$AG390,'Calc base'!$C$17:$N$17,"&lt;"&amp;'Calc base'!J$17,'Calc base'!$C$14:$N$14,1))))</f>
        <v>0</v>
      </c>
      <c r="AP390">
        <f>IF('Calc base'!K$14=0,0,MIN(AD390,MAX(0,$E390-SUMIFS($V390:$AG390,'Calc base'!$C$17:$N$17,"&lt;"&amp;'Calc base'!K$17,'Calc base'!$C$14:$N$14,1))))</f>
        <v>0</v>
      </c>
      <c r="AQ390">
        <f>IF('Calc base'!L$14=0,0,MIN(AE390,MAX(0,$E390-SUMIFS($V390:$AG390,'Calc base'!$C$17:$N$17,"&lt;"&amp;'Calc base'!L$17,'Calc base'!$C$14:$N$14,1))))</f>
        <v>0</v>
      </c>
      <c r="AR390">
        <f>IF('Calc base'!M$14=0,0,MIN(AF390,MAX(0,$E390-SUMIFS($V390:$AG390,'Calc base'!$C$17:$N$17,"&lt;"&amp;'Calc base'!M$17,'Calc base'!$C$14:$N$14,1))))</f>
        <v>0</v>
      </c>
      <c r="AS390">
        <f>IF('Calc base'!N$14=0,0,MIN(AG390,MAX(0,$E390-SUMIFS($V390:$AG390,'Calc base'!$C$17:$N$17,"&lt;"&amp;'Calc base'!N$17,'Calc base'!$C$14:$N$14,1))))</f>
        <v>0</v>
      </c>
      <c r="AT390">
        <f>V390-AH390</f>
        <v>0</v>
      </c>
      <c r="AU390">
        <f>W390-AI390</f>
        <v>0</v>
      </c>
      <c r="AV390">
        <f>X390-AJ390</f>
        <v>0</v>
      </c>
      <c r="AW390">
        <f>Y390-AK390</f>
        <v>0</v>
      </c>
      <c r="AX390">
        <f>Z390-AL390</f>
        <v>0</v>
      </c>
      <c r="AY390">
        <f>AA390-AM390</f>
        <v>0</v>
      </c>
      <c r="AZ390">
        <f>AB390-AN390</f>
        <v>0</v>
      </c>
      <c r="BA390">
        <f>AC390-AO390</f>
        <v>0</v>
      </c>
      <c r="BB390">
        <f>AD390-AP390</f>
        <v>0</v>
      </c>
      <c r="BC390">
        <f>AE390-AQ390</f>
        <v>0</v>
      </c>
      <c r="BD390">
        <f>AF390-AR390</f>
        <v>0</v>
      </c>
      <c r="BE390">
        <f>AG390-AS390</f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E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Strategia personalizzata</t>
        </is>
      </c>
    </row>
    <row r="2">
      <c r="A2" t="inlineStr">
        <is>
          <t>Mesi per finire</t>
        </is>
      </c>
      <c r="B2">
        <f>MAX(AT3:BE3)</f>
        <v>25</v>
      </c>
    </row>
    <row r="3">
      <c r="A3" t="inlineStr">
        <is>
          <t>Interessi totali</t>
        </is>
      </c>
      <c r="B3">
        <f>SUM(H31:H390)</f>
        <v>1717.72</v>
      </c>
      <c r="AT3">
        <f>IF('Calc base'!C$8&lt;=0,0,IF(COUNTIF(AT31:AT390,"&gt;0.004")&gt;=360,9999,COUNTIF(AT31:AT390,"&gt;0.004")+1))</f>
        <v>10</v>
      </c>
      <c r="AU3">
        <f>IF('Calc base'!D$8&lt;=0,0,IF(COUNTIF(AU31:AU390,"&gt;0.004")&gt;=360,9999,COUNTIF(AU31:AU390,"&gt;0.004")+1))</f>
        <v>3</v>
      </c>
      <c r="AV3">
        <f>IF('Calc base'!E$8&lt;=0,0,IF(COUNTIF(AV31:AV390,"&gt;0.004")&gt;=360,9999,COUNTIF(AV31:AV390,"&gt;0.004")+1))</f>
        <v>18</v>
      </c>
      <c r="AW3">
        <f>IF('Calc base'!F$8&lt;=0,0,IF(COUNTIF(AW31:AW390,"&gt;0.004")&gt;=360,9999,COUNTIF(AW31:AW390,"&gt;0.004")+1))</f>
        <v>25</v>
      </c>
      <c r="AX3">
        <f>IF('Calc base'!G$8&lt;=0,0,IF(COUNTIF(AX31:AX390,"&gt;0.004")&gt;=360,9999,COUNTIF(AX31:AX390,"&gt;0.004")+1))</f>
        <v>12</v>
      </c>
      <c r="AY3">
        <f>IF('Calc base'!H$8&lt;=0,0,IF(COUNTIF(AY31:AY390,"&gt;0.004")&gt;=360,9999,COUNTIF(AY31:AY390,"&gt;0.004")+1))</f>
        <v>25</v>
      </c>
      <c r="AZ3">
        <f>IF('Calc base'!I$8&lt;=0,0,IF(COUNTIF(AZ31:AZ390,"&gt;0.004")&gt;=360,9999,COUNTIF(AZ31:AZ390,"&gt;0.004")+1))</f>
        <v>0</v>
      </c>
      <c r="BA3">
        <f>IF('Calc base'!J$8&lt;=0,0,IF(COUNTIF(BA31:BA390,"&gt;0.004")&gt;=360,9999,COUNTIF(BA31:BA390,"&gt;0.004")+1))</f>
        <v>0</v>
      </c>
      <c r="BB3">
        <f>IF('Calc base'!K$8&lt;=0,0,IF(COUNTIF(BB31:BB390,"&gt;0.004")&gt;=360,9999,COUNTIF(BB31:BB390,"&gt;0.004")+1))</f>
        <v>0</v>
      </c>
      <c r="BC3">
        <f>IF('Calc base'!L$8&lt;=0,0,IF(COUNTIF(BC31:BC390,"&gt;0.004")&gt;=360,9999,COUNTIF(BC31:BC390,"&gt;0.004")+1))</f>
        <v>0</v>
      </c>
      <c r="BD3">
        <f>IF('Calc base'!M$8&lt;=0,0,IF(COUNTIF(BD31:BD390,"&gt;0.004")&gt;=360,9999,COUNTIF(BD31:BD390,"&gt;0.004")+1))</f>
        <v>0</v>
      </c>
      <c r="BE3">
        <f>IF('Calc base'!N$8&lt;=0,0,IF(COUNTIF(BE31:BE390,"&gt;0.004")&gt;=360,9999,COUNTIF(BE31:BE390,"&gt;0.004")+1))</f>
        <v>0</v>
      </c>
    </row>
    <row r="4">
      <c r="A4" t="inlineStr">
        <is>
          <t>Pagato in tutto</t>
        </is>
      </c>
      <c r="B4">
        <f>SUM(I31:I390)</f>
        <v>23307.72</v>
      </c>
      <c r="AT4">
        <f>SUMPRODUCT(ROUND(AT30:AT389*(1+'Calc base'!H31:H390),2)-AT30:AT389)</f>
        <v>245.16</v>
      </c>
      <c r="AU4">
        <f>SUMPRODUCT(ROUND(AU30:AU389*(1+'Calc base'!I31:I390),2)-AU30:AU389)</f>
        <v>0</v>
      </c>
      <c r="AV4">
        <f>SUMPRODUCT(ROUND(AV30:AV389*(1+'Calc base'!J31:J390),2)-AV30:AV389)</f>
        <v>633.58</v>
      </c>
      <c r="AW4">
        <f>SUMPRODUCT(ROUND(AW30:AW389*(1+'Calc base'!K31:K390),2)-AW30:AW389)</f>
        <v>838.98</v>
      </c>
      <c r="AX4">
        <f>SUMPRODUCT(ROUND(AX30:AX389*(1+'Calc base'!L31:L390),2)-AX30:AX389)</f>
        <v>0</v>
      </c>
      <c r="AY4">
        <f>SUMPRODUCT(ROUND(AY30:AY389*(1+'Calc base'!M31:M390),2)-AY30:AY389)</f>
        <v>0</v>
      </c>
      <c r="AZ4">
        <f>SUMPRODUCT(ROUND(AZ30:AZ389*(1+'Calc base'!N31:N390),2)-AZ30:AZ389)</f>
        <v>0</v>
      </c>
      <c r="BA4">
        <f>SUMPRODUCT(ROUND(BA30:BA389*(1+'Calc base'!O31:O390),2)-BA30:BA389)</f>
        <v>0</v>
      </c>
      <c r="BB4">
        <f>SUMPRODUCT(ROUND(BB30:BB389*(1+'Calc base'!P31:P390),2)-BB30:BB389)</f>
        <v>0</v>
      </c>
      <c r="BC4">
        <f>SUMPRODUCT(ROUND(BC30:BC389*(1+'Calc base'!Q31:Q390),2)-BC30:BC389)</f>
        <v>0</v>
      </c>
      <c r="BD4">
        <f>SUMPRODUCT(ROUND(BD30:BD389*(1+'Calc base'!R31:R390),2)-BD30:BD389)</f>
        <v>0</v>
      </c>
      <c r="BE4">
        <f>SUMPRODUCT(ROUND(BE30:BE389*(1+'Calc base'!S31:S390),2)-BE30:BE389)</f>
        <v>0</v>
      </c>
    </row>
    <row r="5">
      <c r="A5" t="inlineStr">
        <is>
          <t>Debito dopo 30 anni</t>
        </is>
      </c>
      <c r="B5">
        <f>G390</f>
        <v>0</v>
      </c>
      <c r="AT5">
        <f>'Calc base'!C$8+AT4-AT390</f>
        <v>2645.16</v>
      </c>
      <c r="AU5">
        <f>'Calc base'!D$8+AU4-AU390</f>
        <v>850</v>
      </c>
      <c r="AV5">
        <f>'Calc base'!E$8+AV4-AV390</f>
        <v>7433.58</v>
      </c>
      <c r="AW5">
        <f>'Calc base'!F$8+AW4-AW390</f>
        <v>10338.98</v>
      </c>
      <c r="AX5">
        <f>'Calc base'!G$8+AX4-AX390</f>
        <v>540</v>
      </c>
      <c r="AY5">
        <f>'Calc base'!H$8+AY4-AY390</f>
        <v>1500</v>
      </c>
      <c r="AZ5">
        <f>'Calc base'!I$8+AZ4-AZ390</f>
        <v>0</v>
      </c>
      <c r="BA5">
        <f>'Calc base'!J$8+BA4-BA390</f>
        <v>0</v>
      </c>
      <c r="BB5">
        <f>'Calc base'!K$8+BB4-BB390</f>
        <v>0</v>
      </c>
      <c r="BC5">
        <f>'Calc base'!L$8+BC4-BC390</f>
        <v>0</v>
      </c>
      <c r="BD5">
        <f>'Calc base'!M$8+BD4-BD390</f>
        <v>0</v>
      </c>
      <c r="BE5">
        <f>'Calc base'!N$8+BE4-BE390</f>
        <v>0</v>
      </c>
    </row>
    <row r="6">
      <c r="A6" t="inlineStr">
        <is>
          <t>Fine</t>
        </is>
      </c>
      <c r="B6">
        <f>IF(B2=0,"",IF(B2=9999,"oltre 30 anni",DATE('Calc base'!$B$2,'Calc base'!$B$3+B2-1,1)))</f>
        <v>47058.0</v>
      </c>
    </row>
    <row r="7">
      <c r="A7" t="inlineStr">
        <is>
          <t>Debito iniziale</t>
        </is>
      </c>
      <c r="B7">
        <f>G30</f>
        <v>21590</v>
      </c>
    </row>
    <row r="29">
      <c r="B29" t="inlineStr">
        <is>
          <t>ΣA</t>
        </is>
      </c>
      <c r="C29" t="inlineStr">
        <is>
          <t>Σ rate minime</t>
        </is>
      </c>
      <c r="D29" t="inlineStr">
        <is>
          <t>Σ resto</t>
        </is>
      </c>
      <c r="E29" t="inlineStr">
        <is>
          <t>Extra disponibile</t>
        </is>
      </c>
      <c r="F29" t="inlineStr">
        <is>
          <t>Σ extra</t>
        </is>
      </c>
      <c r="G29" t="inlineStr">
        <is>
          <t>Debito totale</t>
        </is>
      </c>
      <c r="H29" t="inlineStr">
        <is>
          <t>Interessi</t>
        </is>
      </c>
      <c r="I29" t="inlineStr">
        <is>
          <t>Pagato</t>
        </is>
      </c>
    </row>
    <row r="30">
      <c r="G30">
        <f>SUM(AT30:BE30)</f>
        <v>21590</v>
      </c>
      <c r="AT30">
        <f>'Calc base'!C$8</f>
        <v>2400</v>
      </c>
      <c r="AU30">
        <f>'Calc base'!D$8</f>
        <v>850</v>
      </c>
      <c r="AV30">
        <f>'Calc base'!E$8</f>
        <v>6800</v>
      </c>
      <c r="AW30">
        <f>'Calc base'!F$8</f>
        <v>9500</v>
      </c>
      <c r="AX30">
        <f>'Calc base'!G$8</f>
        <v>540</v>
      </c>
      <c r="AY30">
        <f>'Calc base'!H$8</f>
        <v>1500</v>
      </c>
      <c r="AZ30">
        <f>'Calc base'!I$8</f>
        <v>0</v>
      </c>
      <c r="BA30">
        <f>'Calc base'!J$8</f>
        <v>0</v>
      </c>
      <c r="BB30">
        <f>'Calc base'!K$8</f>
        <v>0</v>
      </c>
      <c r="BC30">
        <f>'Calc base'!L$8</f>
        <v>0</v>
      </c>
      <c r="BD30">
        <f>'Calc base'!M$8</f>
        <v>0</v>
      </c>
      <c r="BE30">
        <f>'Calc base'!N$8</f>
        <v>0</v>
      </c>
    </row>
    <row r="31">
      <c r="A31" t="n">
        <v>1</v>
      </c>
      <c r="B31">
        <f>SUMPRODUCT(ROUND($AT30:$BE30*(1+'Calc base'!$H31:$S31),2))</f>
        <v>21730.6</v>
      </c>
      <c r="C31">
        <f>SUM(J31:U31)</f>
        <v>676</v>
      </c>
      <c r="D31">
        <f>SUM(V31:AG31)</f>
        <v>21054.6</v>
      </c>
      <c r="E31">
        <f>MAX(0,IF(Impostazioni!$B$7="No",'Calc base'!$C31-$C$31,'Calc base'!$C31-C31)+'Calc base'!$G31+'Calc base'!$F31-(B31-C31-D31))</f>
        <v>124</v>
      </c>
      <c r="F31">
        <f>SUM(AH31:AS31)</f>
        <v>124</v>
      </c>
      <c r="G31">
        <f>SUM(AT31:BE31)</f>
        <v>20930.6</v>
      </c>
      <c r="H31">
        <f>B31-G30</f>
        <v>140.599999999999</v>
      </c>
      <c r="I31">
        <f>B31-G31</f>
        <v>800</v>
      </c>
      <c r="J31">
        <f>IF(AT30&lt;=0,0,IF(ROUND(AT30*(1+'Calc base'!H31),2)-MAX('Calc base'!C$12,ROUND('Calc base'!C$13*AT30,2))&lt;1,ROUND(AT30*(1+'Calc base'!H31),2),MAX('Calc base'!C$12,ROUND('Calc base'!C$13*AT30,2))))</f>
        <v>72</v>
      </c>
      <c r="K31">
        <f>IF(AU30&lt;=0,0,IF(ROUND(AU30*(1+'Calc base'!I31),2)-MAX('Calc base'!D$12,ROUND('Calc base'!D$13*AU30,2))&lt;1,ROUND(AU30*(1+'Calc base'!I31),2),MAX('Calc base'!D$12,ROUND('Calc base'!D$13*AU30,2))))</f>
        <v>34</v>
      </c>
      <c r="L31">
        <f>IF(AV30&lt;=0,0,IF(ROUND(AV30*(1+'Calc base'!J31),2)-MAX('Calc base'!E$12,ROUND('Calc base'!E$13*AV30,2))&lt;1,ROUND(AV30*(1+'Calc base'!J31),2),MAX('Calc base'!E$12,ROUND('Calc base'!E$13*AV30,2))))</f>
        <v>210</v>
      </c>
      <c r="M31">
        <f>IF(AW30&lt;=0,0,IF(ROUND(AW30*(1+'Calc base'!K31),2)-MAX('Calc base'!F$12,ROUND('Calc base'!F$13*AW30,2))&lt;1,ROUND(AW30*(1+'Calc base'!K31),2),MAX('Calc base'!F$12,ROUND('Calc base'!F$13*AW30,2))))</f>
        <v>265</v>
      </c>
      <c r="N31">
        <f>IF(AX30&lt;=0,0,IF(ROUND(AX30*(1+'Calc base'!L31),2)-MAX('Calc base'!G$12,ROUND('Calc base'!G$13*AX30,2))&lt;1,ROUND(AX30*(1+'Calc base'!L31),2),MAX('Calc base'!G$12,ROUND('Calc base'!G$13*AX30,2))))</f>
        <v>45</v>
      </c>
      <c r="O31">
        <f>IF(AY30&lt;=0,0,IF(ROUND(AY30*(1+'Calc base'!M31),2)-MAX('Calc base'!H$12,ROUND('Calc base'!H$13*AY30,2))&lt;1,ROUND(AY30*(1+'Calc base'!M31),2),MAX('Calc base'!H$12,ROUND('Calc base'!H$13*AY30,2))))</f>
        <v>50</v>
      </c>
      <c r="P31">
        <f>IF(AZ30&lt;=0,0,IF(ROUND(AZ30*(1+'Calc base'!N31),2)-MAX('Calc base'!I$12,ROUND('Calc base'!I$13*AZ30,2))&lt;1,ROUND(AZ30*(1+'Calc base'!N31),2),MAX('Calc base'!I$12,ROUND('Calc base'!I$13*AZ30,2))))</f>
        <v>0</v>
      </c>
      <c r="Q31">
        <f>IF(BA30&lt;=0,0,IF(ROUND(BA30*(1+'Calc base'!O31),2)-MAX('Calc base'!J$12,ROUND('Calc base'!J$13*BA30,2))&lt;1,ROUND(BA30*(1+'Calc base'!O31),2),MAX('Calc base'!J$12,ROUND('Calc base'!J$13*BA30,2))))</f>
        <v>0</v>
      </c>
      <c r="R31">
        <f>IF(BB30&lt;=0,0,IF(ROUND(BB30*(1+'Calc base'!P31),2)-MAX('Calc base'!K$12,ROUND('Calc base'!K$13*BB30,2))&lt;1,ROUND(BB30*(1+'Calc base'!P31),2),MAX('Calc base'!K$12,ROUND('Calc base'!K$13*BB30,2))))</f>
        <v>0</v>
      </c>
      <c r="S31">
        <f>IF(BC30&lt;=0,0,IF(ROUND(BC30*(1+'Calc base'!Q31),2)-MAX('Calc base'!L$12,ROUND('Calc base'!L$13*BC30,2))&lt;1,ROUND(BC30*(1+'Calc base'!Q31),2),MAX('Calc base'!L$12,ROUND('Calc base'!L$13*BC30,2))))</f>
        <v>0</v>
      </c>
      <c r="T31">
        <f>IF(BD30&lt;=0,0,IF(ROUND(BD30*(1+'Calc base'!R31),2)-MAX('Calc base'!M$12,ROUND('Calc base'!M$13*BD30,2))&lt;1,ROUND(BD30*(1+'Calc base'!R31),2),MAX('Calc base'!M$12,ROUND('Calc base'!M$13*BD30,2))))</f>
        <v>0</v>
      </c>
      <c r="U31">
        <f>IF(BE30&lt;=0,0,IF(ROUND(BE30*(1+'Calc base'!S31),2)-MAX('Calc base'!N$12,ROUND('Calc base'!N$13*BE30,2))&lt;1,ROUND(BE30*(1+'Calc base'!S31),2),MAX('Calc base'!N$12,ROUND('Calc base'!N$13*BE30,2))))</f>
        <v>0</v>
      </c>
      <c r="V31">
        <f>MAX(0,ROUND(AT30*(1+'Calc base'!H31),2)-J31-'Calc base'!T31)</f>
        <v>2365.8</v>
      </c>
      <c r="W31">
        <f>MAX(0,ROUND(AU30*(1+'Calc base'!I31),2)-K31-'Calc base'!U31)</f>
        <v>816</v>
      </c>
      <c r="X31">
        <f>MAX(0,ROUND(AV30*(1+'Calc base'!J31),2)-L31-'Calc base'!V31)</f>
        <v>6642.13</v>
      </c>
      <c r="Y31">
        <f>MAX(0,ROUND(AW30*(1+'Calc base'!K31),2)-M31-'Calc base'!W31)</f>
        <v>9285.67</v>
      </c>
      <c r="Z31">
        <f>MAX(0,ROUND(AX30*(1+'Calc base'!L31),2)-N31-'Calc base'!X31)</f>
        <v>495</v>
      </c>
      <c r="AA31">
        <f>MAX(0,ROUND(AY30*(1+'Calc base'!M31),2)-O31-'Calc base'!Y31)</f>
        <v>1450</v>
      </c>
      <c r="AB31">
        <f>MAX(0,ROUND(AZ30*(1+'Calc base'!N31),2)-P31-'Calc base'!Z31)</f>
        <v>0</v>
      </c>
      <c r="AC31">
        <f>MAX(0,ROUND(BA30*(1+'Calc base'!O31),2)-Q31-'Calc base'!AA31)</f>
        <v>0</v>
      </c>
      <c r="AD31">
        <f>MAX(0,ROUND(BB30*(1+'Calc base'!P31),2)-R31-'Calc base'!AB31)</f>
        <v>0</v>
      </c>
      <c r="AE31">
        <f>MAX(0,ROUND(BC30*(1+'Calc base'!Q31),2)-S31-'Calc base'!AC31)</f>
        <v>0</v>
      </c>
      <c r="AF31">
        <f>MAX(0,ROUND(BD30*(1+'Calc base'!R31),2)-T31-'Calc base'!AD31)</f>
        <v>0</v>
      </c>
      <c r="AG31">
        <f>MAX(0,ROUND(BE30*(1+'Calc base'!S31),2)-U31-'Calc base'!AE31)</f>
        <v>0</v>
      </c>
      <c r="AH31">
        <f>IF('Calc base'!C$14=0,0,MIN(V31,MAX(0,$E31-SUMIFS($V31:$AG31,'Calc base'!$C$19:$N$19,"&lt;"&amp;'Calc base'!C$19,'Calc base'!$C$14:$N$14,1))))</f>
        <v>0</v>
      </c>
      <c r="AI31">
        <f>IF('Calc base'!D$14=0,0,MIN(W31,MAX(0,$E31-SUMIFS($V31:$AG31,'Calc base'!$C$19:$N$19,"&lt;"&amp;'Calc base'!D$19,'Calc base'!$C$14:$N$14,1))))</f>
        <v>124</v>
      </c>
      <c r="AJ31">
        <f>IF('Calc base'!E$14=0,0,MIN(X31,MAX(0,$E31-SUMIFS($V31:$AG31,'Calc base'!$C$19:$N$19,"&lt;"&amp;'Calc base'!E$19,'Calc base'!$C$14:$N$14,1))))</f>
        <v>0</v>
      </c>
      <c r="AK31">
        <f>IF('Calc base'!F$14=0,0,MIN(Y31,MAX(0,$E31-SUMIFS($V31:$AG31,'Calc base'!$C$19:$N$19,"&lt;"&amp;'Calc base'!F$19,'Calc base'!$C$14:$N$14,1))))</f>
        <v>0</v>
      </c>
      <c r="AL31">
        <f>IF('Calc base'!G$14=0,0,MIN(Z31,MAX(0,$E31-SUMIFS($V31:$AG31,'Calc base'!$C$19:$N$19,"&lt;"&amp;'Calc base'!G$19,'Calc base'!$C$14:$N$14,1))))</f>
        <v>0</v>
      </c>
      <c r="AM31">
        <f>IF('Calc base'!H$14=0,0,MIN(AA31,MAX(0,$E31-SUMIFS($V31:$AG31,'Calc base'!$C$19:$N$19,"&lt;"&amp;'Calc base'!H$19,'Calc base'!$C$14:$N$14,1))))</f>
        <v>0</v>
      </c>
      <c r="AN31">
        <f>IF('Calc base'!I$14=0,0,MIN(AB31,MAX(0,$E31-SUMIFS($V31:$AG31,'Calc base'!$C$19:$N$19,"&lt;"&amp;'Calc base'!I$19,'Calc base'!$C$14:$N$14,1))))</f>
        <v>0</v>
      </c>
      <c r="AO31">
        <f>IF('Calc base'!J$14=0,0,MIN(AC31,MAX(0,$E31-SUMIFS($V31:$AG31,'Calc base'!$C$19:$N$19,"&lt;"&amp;'Calc base'!J$19,'Calc base'!$C$14:$N$14,1))))</f>
        <v>0</v>
      </c>
      <c r="AP31">
        <f>IF('Calc base'!K$14=0,0,MIN(AD31,MAX(0,$E31-SUMIFS($V31:$AG31,'Calc base'!$C$19:$N$19,"&lt;"&amp;'Calc base'!K$19,'Calc base'!$C$14:$N$14,1))))</f>
        <v>0</v>
      </c>
      <c r="AQ31">
        <f>IF('Calc base'!L$14=0,0,MIN(AE31,MAX(0,$E31-SUMIFS($V31:$AG31,'Calc base'!$C$19:$N$19,"&lt;"&amp;'Calc base'!L$19,'Calc base'!$C$14:$N$14,1))))</f>
        <v>0</v>
      </c>
      <c r="AR31">
        <f>IF('Calc base'!M$14=0,0,MIN(AF31,MAX(0,$E31-SUMIFS($V31:$AG31,'Calc base'!$C$19:$N$19,"&lt;"&amp;'Calc base'!M$19,'Calc base'!$C$14:$N$14,1))))</f>
        <v>0</v>
      </c>
      <c r="AS31">
        <f>IF('Calc base'!N$14=0,0,MIN(AG31,MAX(0,$E31-SUMIFS($V31:$AG31,'Calc base'!$C$19:$N$19,"&lt;"&amp;'Calc base'!N$19,'Calc base'!$C$14:$N$14,1))))</f>
        <v>0</v>
      </c>
      <c r="AT31">
        <f>V31-AH31</f>
        <v>2365.8</v>
      </c>
      <c r="AU31">
        <f>W31-AI31</f>
        <v>692</v>
      </c>
      <c r="AV31">
        <f>X31-AJ31</f>
        <v>6642.13</v>
      </c>
      <c r="AW31">
        <f>Y31-AK31</f>
        <v>9285.67</v>
      </c>
      <c r="AX31">
        <f>Z31-AL31</f>
        <v>495</v>
      </c>
      <c r="AY31">
        <f>AA31-AM31</f>
        <v>1450</v>
      </c>
      <c r="AZ31">
        <f>AB31-AN31</f>
        <v>0</v>
      </c>
      <c r="BA31">
        <f>AC31-AO31</f>
        <v>0</v>
      </c>
      <c r="BB31">
        <f>AD31-AP31</f>
        <v>0</v>
      </c>
      <c r="BC31">
        <f>AE31-AQ31</f>
        <v>0</v>
      </c>
      <c r="BD31">
        <f>AF31-AR31</f>
        <v>0</v>
      </c>
      <c r="BE31">
        <f>AG31-AS31</f>
        <v>0</v>
      </c>
    </row>
    <row r="32">
      <c r="A32" t="n">
        <v>2</v>
      </c>
      <c r="B32">
        <f>SUMPRODUCT(ROUND($AT31:$BE31*(1+'Calc base'!$H32:$S32),2))</f>
        <v>21068.3</v>
      </c>
      <c r="C32">
        <f>SUM(J32:U32)</f>
        <v>668.65</v>
      </c>
      <c r="D32">
        <f>SUM(V32:AG32)</f>
        <v>20399.65</v>
      </c>
      <c r="E32">
        <f>MAX(0,IF(Impostazioni!$B$7="No",'Calc base'!$C32-$C$31,'Calc base'!$C32-C32)+'Calc base'!$G32+'Calc base'!$F32-(B32-C32-D32))</f>
        <v>631.35</v>
      </c>
      <c r="F32">
        <f>SUM(AH32:AS32)</f>
        <v>631.35</v>
      </c>
      <c r="G32">
        <f>SUM(AT32:BE32)</f>
        <v>19768.3</v>
      </c>
      <c r="H32">
        <f>B32-G31</f>
        <v>137.700000000001</v>
      </c>
      <c r="I32">
        <f>B32-G32</f>
        <v>1300</v>
      </c>
      <c r="J32">
        <f>IF(AT31&lt;=0,0,IF(ROUND(AT31*(1+'Calc base'!H32),2)-MAX('Calc base'!C$12,ROUND('Calc base'!C$13*AT31,2))&lt;1,ROUND(AT31*(1+'Calc base'!H32),2),MAX('Calc base'!C$12,ROUND('Calc base'!C$13*AT31,2))))</f>
        <v>70.97</v>
      </c>
      <c r="K32">
        <f>IF(AU31&lt;=0,0,IF(ROUND(AU31*(1+'Calc base'!I32),2)-MAX('Calc base'!D$12,ROUND('Calc base'!D$13*AU31,2))&lt;1,ROUND(AU31*(1+'Calc base'!I32),2),MAX('Calc base'!D$12,ROUND('Calc base'!D$13*AU31,2))))</f>
        <v>27.68</v>
      </c>
      <c r="L32">
        <f>IF(AV31&lt;=0,0,IF(ROUND(AV31*(1+'Calc base'!J32),2)-MAX('Calc base'!E$12,ROUND('Calc base'!E$13*AV31,2))&lt;1,ROUND(AV31*(1+'Calc base'!J32),2),MAX('Calc base'!E$12,ROUND('Calc base'!E$13*AV31,2))))</f>
        <v>210</v>
      </c>
      <c r="M32">
        <f>IF(AW31&lt;=0,0,IF(ROUND(AW31*(1+'Calc base'!K32),2)-MAX('Calc base'!F$12,ROUND('Calc base'!F$13*AW31,2))&lt;1,ROUND(AW31*(1+'Calc base'!K32),2),MAX('Calc base'!F$12,ROUND('Calc base'!F$13*AW31,2))))</f>
        <v>265</v>
      </c>
      <c r="N32">
        <f>IF(AX31&lt;=0,0,IF(ROUND(AX31*(1+'Calc base'!L32),2)-MAX('Calc base'!G$12,ROUND('Calc base'!G$13*AX31,2))&lt;1,ROUND(AX31*(1+'Calc base'!L32),2),MAX('Calc base'!G$12,ROUND('Calc base'!G$13*AX31,2))))</f>
        <v>45</v>
      </c>
      <c r="O32">
        <f>IF(AY31&lt;=0,0,IF(ROUND(AY31*(1+'Calc base'!M32),2)-MAX('Calc base'!H$12,ROUND('Calc base'!H$13*AY31,2))&lt;1,ROUND(AY31*(1+'Calc base'!M32),2),MAX('Calc base'!H$12,ROUND('Calc base'!H$13*AY31,2))))</f>
        <v>50</v>
      </c>
      <c r="P32">
        <f>IF(AZ31&lt;=0,0,IF(ROUND(AZ31*(1+'Calc base'!N32),2)-MAX('Calc base'!I$12,ROUND('Calc base'!I$13*AZ31,2))&lt;1,ROUND(AZ31*(1+'Calc base'!N32),2),MAX('Calc base'!I$12,ROUND('Calc base'!I$13*AZ31,2))))</f>
        <v>0</v>
      </c>
      <c r="Q32">
        <f>IF(BA31&lt;=0,0,IF(ROUND(BA31*(1+'Calc base'!O32),2)-MAX('Calc base'!J$12,ROUND('Calc base'!J$13*BA31,2))&lt;1,ROUND(BA31*(1+'Calc base'!O32),2),MAX('Calc base'!J$12,ROUND('Calc base'!J$13*BA31,2))))</f>
        <v>0</v>
      </c>
      <c r="R32">
        <f>IF(BB31&lt;=0,0,IF(ROUND(BB31*(1+'Calc base'!P32),2)-MAX('Calc base'!K$12,ROUND('Calc base'!K$13*BB31,2))&lt;1,ROUND(BB31*(1+'Calc base'!P32),2),MAX('Calc base'!K$12,ROUND('Calc base'!K$13*BB31,2))))</f>
        <v>0</v>
      </c>
      <c r="S32">
        <f>IF(BC31&lt;=0,0,IF(ROUND(BC31*(1+'Calc base'!Q32),2)-MAX('Calc base'!L$12,ROUND('Calc base'!L$13*BC31,2))&lt;1,ROUND(BC31*(1+'Calc base'!Q32),2),MAX('Calc base'!L$12,ROUND('Calc base'!L$13*BC31,2))))</f>
        <v>0</v>
      </c>
      <c r="T32">
        <f>IF(BD31&lt;=0,0,IF(ROUND(BD31*(1+'Calc base'!R32),2)-MAX('Calc base'!M$12,ROUND('Calc base'!M$13*BD31,2))&lt;1,ROUND(BD31*(1+'Calc base'!R32),2),MAX('Calc base'!M$12,ROUND('Calc base'!M$13*BD31,2))))</f>
        <v>0</v>
      </c>
      <c r="U32">
        <f>IF(BE31&lt;=0,0,IF(ROUND(BE31*(1+'Calc base'!S32),2)-MAX('Calc base'!N$12,ROUND('Calc base'!N$13*BE31,2))&lt;1,ROUND(BE31*(1+'Calc base'!S32),2),MAX('Calc base'!N$12,ROUND('Calc base'!N$13*BE31,2))))</f>
        <v>0</v>
      </c>
      <c r="V32">
        <f>MAX(0,ROUND(AT31*(1+'Calc base'!H32),2)-J32-'Calc base'!T32)</f>
        <v>2332.09</v>
      </c>
      <c r="W32">
        <f>MAX(0,ROUND(AU31*(1+'Calc base'!I32),2)-K32-'Calc base'!U32)</f>
        <v>664.32</v>
      </c>
      <c r="X32">
        <f>MAX(0,ROUND(AV31*(1+'Calc base'!J32),2)-L32-'Calc base'!V32)</f>
        <v>6483.05</v>
      </c>
      <c r="Y32">
        <f>MAX(0,ROUND(AW31*(1+'Calc base'!K32),2)-M32-'Calc base'!W32)</f>
        <v>9070.19</v>
      </c>
      <c r="Z32">
        <f>MAX(0,ROUND(AX31*(1+'Calc base'!L32),2)-N32-'Calc base'!X32)</f>
        <v>450</v>
      </c>
      <c r="AA32">
        <f>MAX(0,ROUND(AY31*(1+'Calc base'!M32),2)-O32-'Calc base'!Y32)</f>
        <v>1400</v>
      </c>
      <c r="AB32">
        <f>MAX(0,ROUND(AZ31*(1+'Calc base'!N32),2)-P32-'Calc base'!Z32)</f>
        <v>0</v>
      </c>
      <c r="AC32">
        <f>MAX(0,ROUND(BA31*(1+'Calc base'!O32),2)-Q32-'Calc base'!AA32)</f>
        <v>0</v>
      </c>
      <c r="AD32">
        <f>MAX(0,ROUND(BB31*(1+'Calc base'!P32),2)-R32-'Calc base'!AB32)</f>
        <v>0</v>
      </c>
      <c r="AE32">
        <f>MAX(0,ROUND(BC31*(1+'Calc base'!Q32),2)-S32-'Calc base'!AC32)</f>
        <v>0</v>
      </c>
      <c r="AF32">
        <f>MAX(0,ROUND(BD31*(1+'Calc base'!R32),2)-T32-'Calc base'!AD32)</f>
        <v>0</v>
      </c>
      <c r="AG32">
        <f>MAX(0,ROUND(BE31*(1+'Calc base'!S32),2)-U32-'Calc base'!AE32)</f>
        <v>0</v>
      </c>
      <c r="AH32">
        <f>IF('Calc base'!C$14=0,0,MIN(V32,MAX(0,$E32-SUMIFS($V32:$AG32,'Calc base'!$C$19:$N$19,"&lt;"&amp;'Calc base'!C$19,'Calc base'!$C$14:$N$14,1))))</f>
        <v>0</v>
      </c>
      <c r="AI32">
        <f>IF('Calc base'!D$14=0,0,MIN(W32,MAX(0,$E32-SUMIFS($V32:$AG32,'Calc base'!$C$19:$N$19,"&lt;"&amp;'Calc base'!D$19,'Calc base'!$C$14:$N$14,1))))</f>
        <v>631.35</v>
      </c>
      <c r="AJ32">
        <f>IF('Calc base'!E$14=0,0,MIN(X32,MAX(0,$E32-SUMIFS($V32:$AG32,'Calc base'!$C$19:$N$19,"&lt;"&amp;'Calc base'!E$19,'Calc base'!$C$14:$N$14,1))))</f>
        <v>0</v>
      </c>
      <c r="AK32">
        <f>IF('Calc base'!F$14=0,0,MIN(Y32,MAX(0,$E32-SUMIFS($V32:$AG32,'Calc base'!$C$19:$N$19,"&lt;"&amp;'Calc base'!F$19,'Calc base'!$C$14:$N$14,1))))</f>
        <v>0</v>
      </c>
      <c r="AL32">
        <f>IF('Calc base'!G$14=0,0,MIN(Z32,MAX(0,$E32-SUMIFS($V32:$AG32,'Calc base'!$C$19:$N$19,"&lt;"&amp;'Calc base'!G$19,'Calc base'!$C$14:$N$14,1))))</f>
        <v>0</v>
      </c>
      <c r="AM32">
        <f>IF('Calc base'!H$14=0,0,MIN(AA32,MAX(0,$E32-SUMIFS($V32:$AG32,'Calc base'!$C$19:$N$19,"&lt;"&amp;'Calc base'!H$19,'Calc base'!$C$14:$N$14,1))))</f>
        <v>0</v>
      </c>
      <c r="AN32">
        <f>IF('Calc base'!I$14=0,0,MIN(AB32,MAX(0,$E32-SUMIFS($V32:$AG32,'Calc base'!$C$19:$N$19,"&lt;"&amp;'Calc base'!I$19,'Calc base'!$C$14:$N$14,1))))</f>
        <v>0</v>
      </c>
      <c r="AO32">
        <f>IF('Calc base'!J$14=0,0,MIN(AC32,MAX(0,$E32-SUMIFS($V32:$AG32,'Calc base'!$C$19:$N$19,"&lt;"&amp;'Calc base'!J$19,'Calc base'!$C$14:$N$14,1))))</f>
        <v>0</v>
      </c>
      <c r="AP32">
        <f>IF('Calc base'!K$14=0,0,MIN(AD32,MAX(0,$E32-SUMIFS($V32:$AG32,'Calc base'!$C$19:$N$19,"&lt;"&amp;'Calc base'!K$19,'Calc base'!$C$14:$N$14,1))))</f>
        <v>0</v>
      </c>
      <c r="AQ32">
        <f>IF('Calc base'!L$14=0,0,MIN(AE32,MAX(0,$E32-SUMIFS($V32:$AG32,'Calc base'!$C$19:$N$19,"&lt;"&amp;'Calc base'!L$19,'Calc base'!$C$14:$N$14,1))))</f>
        <v>0</v>
      </c>
      <c r="AR32">
        <f>IF('Calc base'!M$14=0,0,MIN(AF32,MAX(0,$E32-SUMIFS($V32:$AG32,'Calc base'!$C$19:$N$19,"&lt;"&amp;'Calc base'!M$19,'Calc base'!$C$14:$N$14,1))))</f>
        <v>0</v>
      </c>
      <c r="AS32">
        <f>IF('Calc base'!N$14=0,0,MIN(AG32,MAX(0,$E32-SUMIFS($V32:$AG32,'Calc base'!$C$19:$N$19,"&lt;"&amp;'Calc base'!N$19,'Calc base'!$C$14:$N$14,1))))</f>
        <v>0</v>
      </c>
      <c r="AT32">
        <f>V32-AH32</f>
        <v>2332.09</v>
      </c>
      <c r="AU32">
        <f>W32-AI32</f>
        <v>32.97</v>
      </c>
      <c r="AV32">
        <f>X32-AJ32</f>
        <v>6483.05</v>
      </c>
      <c r="AW32">
        <f>Y32-AK32</f>
        <v>9070.19</v>
      </c>
      <c r="AX32">
        <f>Z32-AL32</f>
        <v>450</v>
      </c>
      <c r="AY32">
        <f>AA32-AM32</f>
        <v>1400</v>
      </c>
      <c r="AZ32">
        <f>AB32-AN32</f>
        <v>0</v>
      </c>
      <c r="BA32">
        <f>AC32-AO32</f>
        <v>0</v>
      </c>
      <c r="BB32">
        <f>AD32-AP32</f>
        <v>0</v>
      </c>
      <c r="BC32">
        <f>AE32-AQ32</f>
        <v>0</v>
      </c>
      <c r="BD32">
        <f>AF32-AR32</f>
        <v>0</v>
      </c>
      <c r="BE32">
        <f>AG32-AS32</f>
        <v>0</v>
      </c>
    </row>
    <row r="33">
      <c r="A33" t="n">
        <v>3</v>
      </c>
      <c r="B33">
        <f>SUMPRODUCT(ROUND($AT32:$BE32*(1+'Calc base'!$H33:$S33),2))</f>
        <v>19903.1</v>
      </c>
      <c r="C33">
        <f>SUM(J33:U33)</f>
        <v>664.96</v>
      </c>
      <c r="D33">
        <f>SUM(V33:AG33)</f>
        <v>19238.14</v>
      </c>
      <c r="E33">
        <f>MAX(0,IF(Impostazioni!$B$7="No",'Calc base'!$C33-$C$31,'Calc base'!$C33-C33)+'Calc base'!$G33+'Calc base'!$F33-(B33-C33-D33))</f>
        <v>135.04</v>
      </c>
      <c r="F33">
        <f>SUM(AH33:AS33)</f>
        <v>135.04</v>
      </c>
      <c r="G33">
        <f>SUM(AT33:BE33)</f>
        <v>19103.1</v>
      </c>
      <c r="H33">
        <f>B33-G32</f>
        <v>134.799999999999</v>
      </c>
      <c r="I33">
        <f>B33-G33</f>
        <v>800</v>
      </c>
      <c r="J33">
        <f>IF(AT32&lt;=0,0,IF(ROUND(AT32*(1+'Calc base'!H33),2)-MAX('Calc base'!C$12,ROUND('Calc base'!C$13*AT32,2))&lt;1,ROUND(AT32*(1+'Calc base'!H33),2),MAX('Calc base'!C$12,ROUND('Calc base'!C$13*AT32,2))))</f>
        <v>69.96</v>
      </c>
      <c r="K33">
        <f>IF(AU32&lt;=0,0,IF(ROUND(AU32*(1+'Calc base'!I33),2)-MAX('Calc base'!D$12,ROUND('Calc base'!D$13*AU32,2))&lt;1,ROUND(AU32*(1+'Calc base'!I33),2),MAX('Calc base'!D$12,ROUND('Calc base'!D$13*AU32,2))))</f>
        <v>25</v>
      </c>
      <c r="L33">
        <f>IF(AV32&lt;=0,0,IF(ROUND(AV32*(1+'Calc base'!J33),2)-MAX('Calc base'!E$12,ROUND('Calc base'!E$13*AV32,2))&lt;1,ROUND(AV32*(1+'Calc base'!J33),2),MAX('Calc base'!E$12,ROUND('Calc base'!E$13*AV32,2))))</f>
        <v>210</v>
      </c>
      <c r="M33">
        <f>IF(AW32&lt;=0,0,IF(ROUND(AW32*(1+'Calc base'!K33),2)-MAX('Calc base'!F$12,ROUND('Calc base'!F$13*AW32,2))&lt;1,ROUND(AW32*(1+'Calc base'!K33),2),MAX('Calc base'!F$12,ROUND('Calc base'!F$13*AW32,2))))</f>
        <v>265</v>
      </c>
      <c r="N33">
        <f>IF(AX32&lt;=0,0,IF(ROUND(AX32*(1+'Calc base'!L33),2)-MAX('Calc base'!G$12,ROUND('Calc base'!G$13*AX32,2))&lt;1,ROUND(AX32*(1+'Calc base'!L33),2),MAX('Calc base'!G$12,ROUND('Calc base'!G$13*AX32,2))))</f>
        <v>45</v>
      </c>
      <c r="O33">
        <f>IF(AY32&lt;=0,0,IF(ROUND(AY32*(1+'Calc base'!M33),2)-MAX('Calc base'!H$12,ROUND('Calc base'!H$13*AY32,2))&lt;1,ROUND(AY32*(1+'Calc base'!M33),2),MAX('Calc base'!H$12,ROUND('Calc base'!H$13*AY32,2))))</f>
        <v>50</v>
      </c>
      <c r="P33">
        <f>IF(AZ32&lt;=0,0,IF(ROUND(AZ32*(1+'Calc base'!N33),2)-MAX('Calc base'!I$12,ROUND('Calc base'!I$13*AZ32,2))&lt;1,ROUND(AZ32*(1+'Calc base'!N33),2),MAX('Calc base'!I$12,ROUND('Calc base'!I$13*AZ32,2))))</f>
        <v>0</v>
      </c>
      <c r="Q33">
        <f>IF(BA32&lt;=0,0,IF(ROUND(BA32*(1+'Calc base'!O33),2)-MAX('Calc base'!J$12,ROUND('Calc base'!J$13*BA32,2))&lt;1,ROUND(BA32*(1+'Calc base'!O33),2),MAX('Calc base'!J$12,ROUND('Calc base'!J$13*BA32,2))))</f>
        <v>0</v>
      </c>
      <c r="R33">
        <f>IF(BB32&lt;=0,0,IF(ROUND(BB32*(1+'Calc base'!P33),2)-MAX('Calc base'!K$12,ROUND('Calc base'!K$13*BB32,2))&lt;1,ROUND(BB32*(1+'Calc base'!P33),2),MAX('Calc base'!K$12,ROUND('Calc base'!K$13*BB32,2))))</f>
        <v>0</v>
      </c>
      <c r="S33">
        <f>IF(BC32&lt;=0,0,IF(ROUND(BC32*(1+'Calc base'!Q33),2)-MAX('Calc base'!L$12,ROUND('Calc base'!L$13*BC32,2))&lt;1,ROUND(BC32*(1+'Calc base'!Q33),2),MAX('Calc base'!L$12,ROUND('Calc base'!L$13*BC32,2))))</f>
        <v>0</v>
      </c>
      <c r="T33">
        <f>IF(BD32&lt;=0,0,IF(ROUND(BD32*(1+'Calc base'!R33),2)-MAX('Calc base'!M$12,ROUND('Calc base'!M$13*BD32,2))&lt;1,ROUND(BD32*(1+'Calc base'!R33),2),MAX('Calc base'!M$12,ROUND('Calc base'!M$13*BD32,2))))</f>
        <v>0</v>
      </c>
      <c r="U33">
        <f>IF(BE32&lt;=0,0,IF(ROUND(BE32*(1+'Calc base'!S33),2)-MAX('Calc base'!N$12,ROUND('Calc base'!N$13*BE32,2))&lt;1,ROUND(BE32*(1+'Calc base'!S33),2),MAX('Calc base'!N$12,ROUND('Calc base'!N$13*BE32,2))))</f>
        <v>0</v>
      </c>
      <c r="V33">
        <f>MAX(0,ROUND(AT32*(1+'Calc base'!H33),2)-J33-'Calc base'!T33)</f>
        <v>2298.86</v>
      </c>
      <c r="W33">
        <f>MAX(0,ROUND(AU32*(1+'Calc base'!I33),2)-K33-'Calc base'!U33)</f>
        <v>7.97</v>
      </c>
      <c r="X33">
        <f>MAX(0,ROUND(AV32*(1+'Calc base'!J33),2)-L33-'Calc base'!V33)</f>
        <v>6322.75</v>
      </c>
      <c r="Y33">
        <f>MAX(0,ROUND(AW32*(1+'Calc base'!K33),2)-M33-'Calc base'!W33)</f>
        <v>8853.56</v>
      </c>
      <c r="Z33">
        <f>MAX(0,ROUND(AX32*(1+'Calc base'!L33),2)-N33-'Calc base'!X33)</f>
        <v>405</v>
      </c>
      <c r="AA33">
        <f>MAX(0,ROUND(AY32*(1+'Calc base'!M33),2)-O33-'Calc base'!Y33)</f>
        <v>1350</v>
      </c>
      <c r="AB33">
        <f>MAX(0,ROUND(AZ32*(1+'Calc base'!N33),2)-P33-'Calc base'!Z33)</f>
        <v>0</v>
      </c>
      <c r="AC33">
        <f>MAX(0,ROUND(BA32*(1+'Calc base'!O33),2)-Q33-'Calc base'!AA33)</f>
        <v>0</v>
      </c>
      <c r="AD33">
        <f>MAX(0,ROUND(BB32*(1+'Calc base'!P33),2)-R33-'Calc base'!AB33)</f>
        <v>0</v>
      </c>
      <c r="AE33">
        <f>MAX(0,ROUND(BC32*(1+'Calc base'!Q33),2)-S33-'Calc base'!AC33)</f>
        <v>0</v>
      </c>
      <c r="AF33">
        <f>MAX(0,ROUND(BD32*(1+'Calc base'!R33),2)-T33-'Calc base'!AD33)</f>
        <v>0</v>
      </c>
      <c r="AG33">
        <f>MAX(0,ROUND(BE32*(1+'Calc base'!S33),2)-U33-'Calc base'!AE33)</f>
        <v>0</v>
      </c>
      <c r="AH33">
        <f>IF('Calc base'!C$14=0,0,MIN(V33,MAX(0,$E33-SUMIFS($V33:$AG33,'Calc base'!$C$19:$N$19,"&lt;"&amp;'Calc base'!C$19,'Calc base'!$C$14:$N$14,1))))</f>
        <v>127.07</v>
      </c>
      <c r="AI33">
        <f>IF('Calc base'!D$14=0,0,MIN(W33,MAX(0,$E33-SUMIFS($V33:$AG33,'Calc base'!$C$19:$N$19,"&lt;"&amp;'Calc base'!D$19,'Calc base'!$C$14:$N$14,1))))</f>
        <v>7.97</v>
      </c>
      <c r="AJ33">
        <f>IF('Calc base'!E$14=0,0,MIN(X33,MAX(0,$E33-SUMIFS($V33:$AG33,'Calc base'!$C$19:$N$19,"&lt;"&amp;'Calc base'!E$19,'Calc base'!$C$14:$N$14,1))))</f>
        <v>0</v>
      </c>
      <c r="AK33">
        <f>IF('Calc base'!F$14=0,0,MIN(Y33,MAX(0,$E33-SUMIFS($V33:$AG33,'Calc base'!$C$19:$N$19,"&lt;"&amp;'Calc base'!F$19,'Calc base'!$C$14:$N$14,1))))</f>
        <v>0</v>
      </c>
      <c r="AL33">
        <f>IF('Calc base'!G$14=0,0,MIN(Z33,MAX(0,$E33-SUMIFS($V33:$AG33,'Calc base'!$C$19:$N$19,"&lt;"&amp;'Calc base'!G$19,'Calc base'!$C$14:$N$14,1))))</f>
        <v>0</v>
      </c>
      <c r="AM33">
        <f>IF('Calc base'!H$14=0,0,MIN(AA33,MAX(0,$E33-SUMIFS($V33:$AG33,'Calc base'!$C$19:$N$19,"&lt;"&amp;'Calc base'!H$19,'Calc base'!$C$14:$N$14,1))))</f>
        <v>0</v>
      </c>
      <c r="AN33">
        <f>IF('Calc base'!I$14=0,0,MIN(AB33,MAX(0,$E33-SUMIFS($V33:$AG33,'Calc base'!$C$19:$N$19,"&lt;"&amp;'Calc base'!I$19,'Calc base'!$C$14:$N$14,1))))</f>
        <v>0</v>
      </c>
      <c r="AO33">
        <f>IF('Calc base'!J$14=0,0,MIN(AC33,MAX(0,$E33-SUMIFS($V33:$AG33,'Calc base'!$C$19:$N$19,"&lt;"&amp;'Calc base'!J$19,'Calc base'!$C$14:$N$14,1))))</f>
        <v>0</v>
      </c>
      <c r="AP33">
        <f>IF('Calc base'!K$14=0,0,MIN(AD33,MAX(0,$E33-SUMIFS($V33:$AG33,'Calc base'!$C$19:$N$19,"&lt;"&amp;'Calc base'!K$19,'Calc base'!$C$14:$N$14,1))))</f>
        <v>0</v>
      </c>
      <c r="AQ33">
        <f>IF('Calc base'!L$14=0,0,MIN(AE33,MAX(0,$E33-SUMIFS($V33:$AG33,'Calc base'!$C$19:$N$19,"&lt;"&amp;'Calc base'!L$19,'Calc base'!$C$14:$N$14,1))))</f>
        <v>0</v>
      </c>
      <c r="AR33">
        <f>IF('Calc base'!M$14=0,0,MIN(AF33,MAX(0,$E33-SUMIFS($V33:$AG33,'Calc base'!$C$19:$N$19,"&lt;"&amp;'Calc base'!M$19,'Calc base'!$C$14:$N$14,1))))</f>
        <v>0</v>
      </c>
      <c r="AS33">
        <f>IF('Calc base'!N$14=0,0,MIN(AG33,MAX(0,$E33-SUMIFS($V33:$AG33,'Calc base'!$C$19:$N$19,"&lt;"&amp;'Calc base'!N$19,'Calc base'!$C$14:$N$14,1))))</f>
        <v>0</v>
      </c>
      <c r="AT33">
        <f>V33-AH33</f>
        <v>2171.79</v>
      </c>
      <c r="AU33">
        <f>W33-AI33</f>
        <v>0</v>
      </c>
      <c r="AV33">
        <f>X33-AJ33</f>
        <v>6322.75</v>
      </c>
      <c r="AW33">
        <f>Y33-AK33</f>
        <v>8853.56</v>
      </c>
      <c r="AX33">
        <f>Z33-AL33</f>
        <v>405</v>
      </c>
      <c r="AY33">
        <f>AA33-AM33</f>
        <v>1350</v>
      </c>
      <c r="AZ33">
        <f>AB33-AN33</f>
        <v>0</v>
      </c>
      <c r="BA33">
        <f>AC33-AO33</f>
        <v>0</v>
      </c>
      <c r="BB33">
        <f>AD33-AP33</f>
        <v>0</v>
      </c>
      <c r="BC33">
        <f>AE33-AQ33</f>
        <v>0</v>
      </c>
      <c r="BD33">
        <f>AF33-AR33</f>
        <v>0</v>
      </c>
      <c r="BE33">
        <f>AG33-AS33</f>
        <v>0</v>
      </c>
    </row>
    <row r="34">
      <c r="A34" t="n">
        <v>4</v>
      </c>
      <c r="B34">
        <f>SUMPRODUCT(ROUND($AT33:$BE33*(1+'Calc base'!$H34:$S34),2))</f>
        <v>19233</v>
      </c>
      <c r="C34">
        <f>SUM(J34:U34)</f>
        <v>635.15</v>
      </c>
      <c r="D34">
        <f>SUM(V34:AG34)</f>
        <v>18597.85</v>
      </c>
      <c r="E34">
        <f>MAX(0,IF(Impostazioni!$B$7="No",'Calc base'!$C34-$C$31,'Calc base'!$C34-C34)+'Calc base'!$G34+'Calc base'!$F34-(B34-C34-D34))</f>
        <v>164.85</v>
      </c>
      <c r="F34">
        <f>SUM(AH34:AS34)</f>
        <v>164.85</v>
      </c>
      <c r="G34">
        <f>SUM(AT34:BE34)</f>
        <v>18433</v>
      </c>
      <c r="H34">
        <f>B34-G33</f>
        <v>129.900000000001</v>
      </c>
      <c r="I34">
        <f>B34-G34</f>
        <v>800</v>
      </c>
      <c r="J34">
        <f>IF(AT33&lt;=0,0,IF(ROUND(AT33*(1+'Calc base'!H34),2)-MAX('Calc base'!C$12,ROUND('Calc base'!C$13*AT33,2))&lt;1,ROUND(AT33*(1+'Calc base'!H34),2),MAX('Calc base'!C$12,ROUND('Calc base'!C$13*AT33,2))))</f>
        <v>65.15</v>
      </c>
      <c r="K34">
        <f>IF(AU33&lt;=0,0,IF(ROUND(AU33*(1+'Calc base'!I34),2)-MAX('Calc base'!D$12,ROUND('Calc base'!D$13*AU33,2))&lt;1,ROUND(AU33*(1+'Calc base'!I34),2),MAX('Calc base'!D$12,ROUND('Calc base'!D$13*AU33,2))))</f>
        <v>0</v>
      </c>
      <c r="L34">
        <f>IF(AV33&lt;=0,0,IF(ROUND(AV33*(1+'Calc base'!J34),2)-MAX('Calc base'!E$12,ROUND('Calc base'!E$13*AV33,2))&lt;1,ROUND(AV33*(1+'Calc base'!J34),2),MAX('Calc base'!E$12,ROUND('Calc base'!E$13*AV33,2))))</f>
        <v>210</v>
      </c>
      <c r="M34">
        <f>IF(AW33&lt;=0,0,IF(ROUND(AW33*(1+'Calc base'!K34),2)-MAX('Calc base'!F$12,ROUND('Calc base'!F$13*AW33,2))&lt;1,ROUND(AW33*(1+'Calc base'!K34),2),MAX('Calc base'!F$12,ROUND('Calc base'!F$13*AW33,2))))</f>
        <v>265</v>
      </c>
      <c r="N34">
        <f>IF(AX33&lt;=0,0,IF(ROUND(AX33*(1+'Calc base'!L34),2)-MAX('Calc base'!G$12,ROUND('Calc base'!G$13*AX33,2))&lt;1,ROUND(AX33*(1+'Calc base'!L34),2),MAX('Calc base'!G$12,ROUND('Calc base'!G$13*AX33,2))))</f>
        <v>45</v>
      </c>
      <c r="O34">
        <f>IF(AY33&lt;=0,0,IF(ROUND(AY33*(1+'Calc base'!M34),2)-MAX('Calc base'!H$12,ROUND('Calc base'!H$13*AY33,2))&lt;1,ROUND(AY33*(1+'Calc base'!M34),2),MAX('Calc base'!H$12,ROUND('Calc base'!H$13*AY33,2))))</f>
        <v>50</v>
      </c>
      <c r="P34">
        <f>IF(AZ33&lt;=0,0,IF(ROUND(AZ33*(1+'Calc base'!N34),2)-MAX('Calc base'!I$12,ROUND('Calc base'!I$13*AZ33,2))&lt;1,ROUND(AZ33*(1+'Calc base'!N34),2),MAX('Calc base'!I$12,ROUND('Calc base'!I$13*AZ33,2))))</f>
        <v>0</v>
      </c>
      <c r="Q34">
        <f>IF(BA33&lt;=0,0,IF(ROUND(BA33*(1+'Calc base'!O34),2)-MAX('Calc base'!J$12,ROUND('Calc base'!J$13*BA33,2))&lt;1,ROUND(BA33*(1+'Calc base'!O34),2),MAX('Calc base'!J$12,ROUND('Calc base'!J$13*BA33,2))))</f>
        <v>0</v>
      </c>
      <c r="R34">
        <f>IF(BB33&lt;=0,0,IF(ROUND(BB33*(1+'Calc base'!P34),2)-MAX('Calc base'!K$12,ROUND('Calc base'!K$13*BB33,2))&lt;1,ROUND(BB33*(1+'Calc base'!P34),2),MAX('Calc base'!K$12,ROUND('Calc base'!K$13*BB33,2))))</f>
        <v>0</v>
      </c>
      <c r="S34">
        <f>IF(BC33&lt;=0,0,IF(ROUND(BC33*(1+'Calc base'!Q34),2)-MAX('Calc base'!L$12,ROUND('Calc base'!L$13*BC33,2))&lt;1,ROUND(BC33*(1+'Calc base'!Q34),2),MAX('Calc base'!L$12,ROUND('Calc base'!L$13*BC33,2))))</f>
        <v>0</v>
      </c>
      <c r="T34">
        <f>IF(BD33&lt;=0,0,IF(ROUND(BD33*(1+'Calc base'!R34),2)-MAX('Calc base'!M$12,ROUND('Calc base'!M$13*BD33,2))&lt;1,ROUND(BD33*(1+'Calc base'!R34),2),MAX('Calc base'!M$12,ROUND('Calc base'!M$13*BD33,2))))</f>
        <v>0</v>
      </c>
      <c r="U34">
        <f>IF(BE33&lt;=0,0,IF(ROUND(BE33*(1+'Calc base'!S34),2)-MAX('Calc base'!N$12,ROUND('Calc base'!N$13*BE33,2))&lt;1,ROUND(BE33*(1+'Calc base'!S34),2),MAX('Calc base'!N$12,ROUND('Calc base'!N$13*BE33,2))))</f>
        <v>0</v>
      </c>
      <c r="V34">
        <f>MAX(0,ROUND(AT33*(1+'Calc base'!H34),2)-J34-'Calc base'!T34)</f>
        <v>2140.85</v>
      </c>
      <c r="W34">
        <f>MAX(0,ROUND(AU33*(1+'Calc base'!I34),2)-K34-'Calc base'!U34)</f>
        <v>0</v>
      </c>
      <c r="X34">
        <f>MAX(0,ROUND(AV33*(1+'Calc base'!J34),2)-L34-'Calc base'!V34)</f>
        <v>6161.22</v>
      </c>
      <c r="Y34">
        <f>MAX(0,ROUND(AW33*(1+'Calc base'!K34),2)-M34-'Calc base'!W34)</f>
        <v>8635.78</v>
      </c>
      <c r="Z34">
        <f>MAX(0,ROUND(AX33*(1+'Calc base'!L34),2)-N34-'Calc base'!X34)</f>
        <v>360</v>
      </c>
      <c r="AA34">
        <f>MAX(0,ROUND(AY33*(1+'Calc base'!M34),2)-O34-'Calc base'!Y34)</f>
        <v>1300</v>
      </c>
      <c r="AB34">
        <f>MAX(0,ROUND(AZ33*(1+'Calc base'!N34),2)-P34-'Calc base'!Z34)</f>
        <v>0</v>
      </c>
      <c r="AC34">
        <f>MAX(0,ROUND(BA33*(1+'Calc base'!O34),2)-Q34-'Calc base'!AA34)</f>
        <v>0</v>
      </c>
      <c r="AD34">
        <f>MAX(0,ROUND(BB33*(1+'Calc base'!P34),2)-R34-'Calc base'!AB34)</f>
        <v>0</v>
      </c>
      <c r="AE34">
        <f>MAX(0,ROUND(BC33*(1+'Calc base'!Q34),2)-S34-'Calc base'!AC34)</f>
        <v>0</v>
      </c>
      <c r="AF34">
        <f>MAX(0,ROUND(BD33*(1+'Calc base'!R34),2)-T34-'Calc base'!AD34)</f>
        <v>0</v>
      </c>
      <c r="AG34">
        <f>MAX(0,ROUND(BE33*(1+'Calc base'!S34),2)-U34-'Calc base'!AE34)</f>
        <v>0</v>
      </c>
      <c r="AH34">
        <f>IF('Calc base'!C$14=0,0,MIN(V34,MAX(0,$E34-SUMIFS($V34:$AG34,'Calc base'!$C$19:$N$19,"&lt;"&amp;'Calc base'!C$19,'Calc base'!$C$14:$N$14,1))))</f>
        <v>164.85</v>
      </c>
      <c r="AI34">
        <f>IF('Calc base'!D$14=0,0,MIN(W34,MAX(0,$E34-SUMIFS($V34:$AG34,'Calc base'!$C$19:$N$19,"&lt;"&amp;'Calc base'!D$19,'Calc base'!$C$14:$N$14,1))))</f>
        <v>0</v>
      </c>
      <c r="AJ34">
        <f>IF('Calc base'!E$14=0,0,MIN(X34,MAX(0,$E34-SUMIFS($V34:$AG34,'Calc base'!$C$19:$N$19,"&lt;"&amp;'Calc base'!E$19,'Calc base'!$C$14:$N$14,1))))</f>
        <v>0</v>
      </c>
      <c r="AK34">
        <f>IF('Calc base'!F$14=0,0,MIN(Y34,MAX(0,$E34-SUMIFS($V34:$AG34,'Calc base'!$C$19:$N$19,"&lt;"&amp;'Calc base'!F$19,'Calc base'!$C$14:$N$14,1))))</f>
        <v>0</v>
      </c>
      <c r="AL34">
        <f>IF('Calc base'!G$14=0,0,MIN(Z34,MAX(0,$E34-SUMIFS($V34:$AG34,'Calc base'!$C$19:$N$19,"&lt;"&amp;'Calc base'!G$19,'Calc base'!$C$14:$N$14,1))))</f>
        <v>0</v>
      </c>
      <c r="AM34">
        <f>IF('Calc base'!H$14=0,0,MIN(AA34,MAX(0,$E34-SUMIFS($V34:$AG34,'Calc base'!$C$19:$N$19,"&lt;"&amp;'Calc base'!H$19,'Calc base'!$C$14:$N$14,1))))</f>
        <v>0</v>
      </c>
      <c r="AN34">
        <f>IF('Calc base'!I$14=0,0,MIN(AB34,MAX(0,$E34-SUMIFS($V34:$AG34,'Calc base'!$C$19:$N$19,"&lt;"&amp;'Calc base'!I$19,'Calc base'!$C$14:$N$14,1))))</f>
        <v>0</v>
      </c>
      <c r="AO34">
        <f>IF('Calc base'!J$14=0,0,MIN(AC34,MAX(0,$E34-SUMIFS($V34:$AG34,'Calc base'!$C$19:$N$19,"&lt;"&amp;'Calc base'!J$19,'Calc base'!$C$14:$N$14,1))))</f>
        <v>0</v>
      </c>
      <c r="AP34">
        <f>IF('Calc base'!K$14=0,0,MIN(AD34,MAX(0,$E34-SUMIFS($V34:$AG34,'Calc base'!$C$19:$N$19,"&lt;"&amp;'Calc base'!K$19,'Calc base'!$C$14:$N$14,1))))</f>
        <v>0</v>
      </c>
      <c r="AQ34">
        <f>IF('Calc base'!L$14=0,0,MIN(AE34,MAX(0,$E34-SUMIFS($V34:$AG34,'Calc base'!$C$19:$N$19,"&lt;"&amp;'Calc base'!L$19,'Calc base'!$C$14:$N$14,1))))</f>
        <v>0</v>
      </c>
      <c r="AR34">
        <f>IF('Calc base'!M$14=0,0,MIN(AF34,MAX(0,$E34-SUMIFS($V34:$AG34,'Calc base'!$C$19:$N$19,"&lt;"&amp;'Calc base'!M$19,'Calc base'!$C$14:$N$14,1))))</f>
        <v>0</v>
      </c>
      <c r="AS34">
        <f>IF('Calc base'!N$14=0,0,MIN(AG34,MAX(0,$E34-SUMIFS($V34:$AG34,'Calc base'!$C$19:$N$19,"&lt;"&amp;'Calc base'!N$19,'Calc base'!$C$14:$N$14,1))))</f>
        <v>0</v>
      </c>
      <c r="AT34">
        <f>V34-AH34</f>
        <v>1976</v>
      </c>
      <c r="AU34">
        <f>W34-AI34</f>
        <v>0</v>
      </c>
      <c r="AV34">
        <f>X34-AJ34</f>
        <v>6161.22</v>
      </c>
      <c r="AW34">
        <f>Y34-AK34</f>
        <v>8635.78</v>
      </c>
      <c r="AX34">
        <f>Z34-AL34</f>
        <v>360</v>
      </c>
      <c r="AY34">
        <f>AA34-AM34</f>
        <v>1300</v>
      </c>
      <c r="AZ34">
        <f>AB34-AN34</f>
        <v>0</v>
      </c>
      <c r="BA34">
        <f>AC34-AO34</f>
        <v>0</v>
      </c>
      <c r="BB34">
        <f>AD34-AP34</f>
        <v>0</v>
      </c>
      <c r="BC34">
        <f>AE34-AQ34</f>
        <v>0</v>
      </c>
      <c r="BD34">
        <f>AF34-AR34</f>
        <v>0</v>
      </c>
      <c r="BE34">
        <f>AG34-AS34</f>
        <v>0</v>
      </c>
    </row>
    <row r="35">
      <c r="A35" t="n">
        <v>5</v>
      </c>
      <c r="B35">
        <f>SUMPRODUCT(ROUND($AT34:$BE34*(1+'Calc base'!$H35:$S35),2))</f>
        <v>18557.42</v>
      </c>
      <c r="C35">
        <f>SUM(J35:U35)</f>
        <v>629.28</v>
      </c>
      <c r="D35">
        <f>SUM(V35:AG35)</f>
        <v>17928.14</v>
      </c>
      <c r="E35">
        <f>MAX(0,IF(Impostazioni!$B$7="No",'Calc base'!$C35-$C$31,'Calc base'!$C35-C35)+'Calc base'!$G35+'Calc base'!$F35-(B35-C35-D35))</f>
        <v>570.72</v>
      </c>
      <c r="F35">
        <f>SUM(AH35:AS35)</f>
        <v>570.72</v>
      </c>
      <c r="G35">
        <f>SUM(AT35:BE35)</f>
        <v>17357.42</v>
      </c>
      <c r="H35">
        <f>B35-G34</f>
        <v>124.419999999998</v>
      </c>
      <c r="I35">
        <f>B35-G35</f>
        <v>1200</v>
      </c>
      <c r="J35">
        <f>IF(AT34&lt;=0,0,IF(ROUND(AT34*(1+'Calc base'!H35),2)-MAX('Calc base'!C$12,ROUND('Calc base'!C$13*AT34,2))&lt;1,ROUND(AT34*(1+'Calc base'!H35),2),MAX('Calc base'!C$12,ROUND('Calc base'!C$13*AT34,2))))</f>
        <v>59.28</v>
      </c>
      <c r="K35">
        <f>IF(AU34&lt;=0,0,IF(ROUND(AU34*(1+'Calc base'!I35),2)-MAX('Calc base'!D$12,ROUND('Calc base'!D$13*AU34,2))&lt;1,ROUND(AU34*(1+'Calc base'!I35),2),MAX('Calc base'!D$12,ROUND('Calc base'!D$13*AU34,2))))</f>
        <v>0</v>
      </c>
      <c r="L35">
        <f>IF(AV34&lt;=0,0,IF(ROUND(AV34*(1+'Calc base'!J35),2)-MAX('Calc base'!E$12,ROUND('Calc base'!E$13*AV34,2))&lt;1,ROUND(AV34*(1+'Calc base'!J35),2),MAX('Calc base'!E$12,ROUND('Calc base'!E$13*AV34,2))))</f>
        <v>210</v>
      </c>
      <c r="M35">
        <f>IF(AW34&lt;=0,0,IF(ROUND(AW34*(1+'Calc base'!K35),2)-MAX('Calc base'!F$12,ROUND('Calc base'!F$13*AW34,2))&lt;1,ROUND(AW34*(1+'Calc base'!K35),2),MAX('Calc base'!F$12,ROUND('Calc base'!F$13*AW34,2))))</f>
        <v>265</v>
      </c>
      <c r="N35">
        <f>IF(AX34&lt;=0,0,IF(ROUND(AX34*(1+'Calc base'!L35),2)-MAX('Calc base'!G$12,ROUND('Calc base'!G$13*AX34,2))&lt;1,ROUND(AX34*(1+'Calc base'!L35),2),MAX('Calc base'!G$12,ROUND('Calc base'!G$13*AX34,2))))</f>
        <v>45</v>
      </c>
      <c r="O35">
        <f>IF(AY34&lt;=0,0,IF(ROUND(AY34*(1+'Calc base'!M35),2)-MAX('Calc base'!H$12,ROUND('Calc base'!H$13*AY34,2))&lt;1,ROUND(AY34*(1+'Calc base'!M35),2),MAX('Calc base'!H$12,ROUND('Calc base'!H$13*AY34,2))))</f>
        <v>50</v>
      </c>
      <c r="P35">
        <f>IF(AZ34&lt;=0,0,IF(ROUND(AZ34*(1+'Calc base'!N35),2)-MAX('Calc base'!I$12,ROUND('Calc base'!I$13*AZ34,2))&lt;1,ROUND(AZ34*(1+'Calc base'!N35),2),MAX('Calc base'!I$12,ROUND('Calc base'!I$13*AZ34,2))))</f>
        <v>0</v>
      </c>
      <c r="Q35">
        <f>IF(BA34&lt;=0,0,IF(ROUND(BA34*(1+'Calc base'!O35),2)-MAX('Calc base'!J$12,ROUND('Calc base'!J$13*BA34,2))&lt;1,ROUND(BA34*(1+'Calc base'!O35),2),MAX('Calc base'!J$12,ROUND('Calc base'!J$13*BA34,2))))</f>
        <v>0</v>
      </c>
      <c r="R35">
        <f>IF(BB34&lt;=0,0,IF(ROUND(BB34*(1+'Calc base'!P35),2)-MAX('Calc base'!K$12,ROUND('Calc base'!K$13*BB34,2))&lt;1,ROUND(BB34*(1+'Calc base'!P35),2),MAX('Calc base'!K$12,ROUND('Calc base'!K$13*BB34,2))))</f>
        <v>0</v>
      </c>
      <c r="S35">
        <f>IF(BC34&lt;=0,0,IF(ROUND(BC34*(1+'Calc base'!Q35),2)-MAX('Calc base'!L$12,ROUND('Calc base'!L$13*BC34,2))&lt;1,ROUND(BC34*(1+'Calc base'!Q35),2),MAX('Calc base'!L$12,ROUND('Calc base'!L$13*BC34,2))))</f>
        <v>0</v>
      </c>
      <c r="T35">
        <f>IF(BD34&lt;=0,0,IF(ROUND(BD34*(1+'Calc base'!R35),2)-MAX('Calc base'!M$12,ROUND('Calc base'!M$13*BD34,2))&lt;1,ROUND(BD34*(1+'Calc base'!R35),2),MAX('Calc base'!M$12,ROUND('Calc base'!M$13*BD34,2))))</f>
        <v>0</v>
      </c>
      <c r="U35">
        <f>IF(BE34&lt;=0,0,IF(ROUND(BE34*(1+'Calc base'!S35),2)-MAX('Calc base'!N$12,ROUND('Calc base'!N$13*BE34,2))&lt;1,ROUND(BE34*(1+'Calc base'!S35),2),MAX('Calc base'!N$12,ROUND('Calc base'!N$13*BE34,2))))</f>
        <v>0</v>
      </c>
      <c r="V35">
        <f>MAX(0,ROUND(AT34*(1+'Calc base'!H35),2)-J35-'Calc base'!T35)</f>
        <v>1947.84</v>
      </c>
      <c r="W35">
        <f>MAX(0,ROUND(AU34*(1+'Calc base'!I35),2)-K35-'Calc base'!U35)</f>
        <v>0</v>
      </c>
      <c r="X35">
        <f>MAX(0,ROUND(AV34*(1+'Calc base'!J35),2)-L35-'Calc base'!V35)</f>
        <v>5998.46</v>
      </c>
      <c r="Y35">
        <f>MAX(0,ROUND(AW34*(1+'Calc base'!K35),2)-M35-'Calc base'!W35)</f>
        <v>8416.84</v>
      </c>
      <c r="Z35">
        <f>MAX(0,ROUND(AX34*(1+'Calc base'!L35),2)-N35-'Calc base'!X35)</f>
        <v>315</v>
      </c>
      <c r="AA35">
        <f>MAX(0,ROUND(AY34*(1+'Calc base'!M35),2)-O35-'Calc base'!Y35)</f>
        <v>1250</v>
      </c>
      <c r="AB35">
        <f>MAX(0,ROUND(AZ34*(1+'Calc base'!N35),2)-P35-'Calc base'!Z35)</f>
        <v>0</v>
      </c>
      <c r="AC35">
        <f>MAX(0,ROUND(BA34*(1+'Calc base'!O35),2)-Q35-'Calc base'!AA35)</f>
        <v>0</v>
      </c>
      <c r="AD35">
        <f>MAX(0,ROUND(BB34*(1+'Calc base'!P35),2)-R35-'Calc base'!AB35)</f>
        <v>0</v>
      </c>
      <c r="AE35">
        <f>MAX(0,ROUND(BC34*(1+'Calc base'!Q35),2)-S35-'Calc base'!AC35)</f>
        <v>0</v>
      </c>
      <c r="AF35">
        <f>MAX(0,ROUND(BD34*(1+'Calc base'!R35),2)-T35-'Calc base'!AD35)</f>
        <v>0</v>
      </c>
      <c r="AG35">
        <f>MAX(0,ROUND(BE34*(1+'Calc base'!S35),2)-U35-'Calc base'!AE35)</f>
        <v>0</v>
      </c>
      <c r="AH35">
        <f>IF('Calc base'!C$14=0,0,MIN(V35,MAX(0,$E35-SUMIFS($V35:$AG35,'Calc base'!$C$19:$N$19,"&lt;"&amp;'Calc base'!C$19,'Calc base'!$C$14:$N$14,1))))</f>
        <v>570.72</v>
      </c>
      <c r="AI35">
        <f>IF('Calc base'!D$14=0,0,MIN(W35,MAX(0,$E35-SUMIFS($V35:$AG35,'Calc base'!$C$19:$N$19,"&lt;"&amp;'Calc base'!D$19,'Calc base'!$C$14:$N$14,1))))</f>
        <v>0</v>
      </c>
      <c r="AJ35">
        <f>IF('Calc base'!E$14=0,0,MIN(X35,MAX(0,$E35-SUMIFS($V35:$AG35,'Calc base'!$C$19:$N$19,"&lt;"&amp;'Calc base'!E$19,'Calc base'!$C$14:$N$14,1))))</f>
        <v>0</v>
      </c>
      <c r="AK35">
        <f>IF('Calc base'!F$14=0,0,MIN(Y35,MAX(0,$E35-SUMIFS($V35:$AG35,'Calc base'!$C$19:$N$19,"&lt;"&amp;'Calc base'!F$19,'Calc base'!$C$14:$N$14,1))))</f>
        <v>0</v>
      </c>
      <c r="AL35">
        <f>IF('Calc base'!G$14=0,0,MIN(Z35,MAX(0,$E35-SUMIFS($V35:$AG35,'Calc base'!$C$19:$N$19,"&lt;"&amp;'Calc base'!G$19,'Calc base'!$C$14:$N$14,1))))</f>
        <v>0</v>
      </c>
      <c r="AM35">
        <f>IF('Calc base'!H$14=0,0,MIN(AA35,MAX(0,$E35-SUMIFS($V35:$AG35,'Calc base'!$C$19:$N$19,"&lt;"&amp;'Calc base'!H$19,'Calc base'!$C$14:$N$14,1))))</f>
        <v>0</v>
      </c>
      <c r="AN35">
        <f>IF('Calc base'!I$14=0,0,MIN(AB35,MAX(0,$E35-SUMIFS($V35:$AG35,'Calc base'!$C$19:$N$19,"&lt;"&amp;'Calc base'!I$19,'Calc base'!$C$14:$N$14,1))))</f>
        <v>0</v>
      </c>
      <c r="AO35">
        <f>IF('Calc base'!J$14=0,0,MIN(AC35,MAX(0,$E35-SUMIFS($V35:$AG35,'Calc base'!$C$19:$N$19,"&lt;"&amp;'Calc base'!J$19,'Calc base'!$C$14:$N$14,1))))</f>
        <v>0</v>
      </c>
      <c r="AP35">
        <f>IF('Calc base'!K$14=0,0,MIN(AD35,MAX(0,$E35-SUMIFS($V35:$AG35,'Calc base'!$C$19:$N$19,"&lt;"&amp;'Calc base'!K$19,'Calc base'!$C$14:$N$14,1))))</f>
        <v>0</v>
      </c>
      <c r="AQ35">
        <f>IF('Calc base'!L$14=0,0,MIN(AE35,MAX(0,$E35-SUMIFS($V35:$AG35,'Calc base'!$C$19:$N$19,"&lt;"&amp;'Calc base'!L$19,'Calc base'!$C$14:$N$14,1))))</f>
        <v>0</v>
      </c>
      <c r="AR35">
        <f>IF('Calc base'!M$14=0,0,MIN(AF35,MAX(0,$E35-SUMIFS($V35:$AG35,'Calc base'!$C$19:$N$19,"&lt;"&amp;'Calc base'!M$19,'Calc base'!$C$14:$N$14,1))))</f>
        <v>0</v>
      </c>
      <c r="AS35">
        <f>IF('Calc base'!N$14=0,0,MIN(AG35,MAX(0,$E35-SUMIFS($V35:$AG35,'Calc base'!$C$19:$N$19,"&lt;"&amp;'Calc base'!N$19,'Calc base'!$C$14:$N$14,1))))</f>
        <v>0</v>
      </c>
      <c r="AT35">
        <f>V35-AH35</f>
        <v>1377.12</v>
      </c>
      <c r="AU35">
        <f>W35-AI35</f>
        <v>0</v>
      </c>
      <c r="AV35">
        <f>X35-AJ35</f>
        <v>5998.46</v>
      </c>
      <c r="AW35">
        <f>Y35-AK35</f>
        <v>8416.84</v>
      </c>
      <c r="AX35">
        <f>Z35-AL35</f>
        <v>315</v>
      </c>
      <c r="AY35">
        <f>AA35-AM35</f>
        <v>1250</v>
      </c>
      <c r="AZ35">
        <f>AB35-AN35</f>
        <v>0</v>
      </c>
      <c r="BA35">
        <f>AC35-AO35</f>
        <v>0</v>
      </c>
      <c r="BB35">
        <f>AD35-AP35</f>
        <v>0</v>
      </c>
      <c r="BC35">
        <f>AE35-AQ35</f>
        <v>0</v>
      </c>
      <c r="BD35">
        <f>AF35-AR35</f>
        <v>0</v>
      </c>
      <c r="BE35">
        <f>AG35-AS35</f>
        <v>0</v>
      </c>
    </row>
    <row r="36">
      <c r="A36" t="n">
        <v>6</v>
      </c>
      <c r="B36">
        <f>SUMPRODUCT(ROUND($AT35:$BE35*(1+'Calc base'!$H36:$S36),2))</f>
        <v>17469.99</v>
      </c>
      <c r="C36">
        <f>SUM(J36:U36)</f>
        <v>611.31</v>
      </c>
      <c r="D36">
        <f>SUM(V36:AG36)</f>
        <v>16858.68</v>
      </c>
      <c r="E36">
        <f>MAX(0,IF(Impostazioni!$B$7="No",'Calc base'!$C36-$C$31,'Calc base'!$C36-C36)+'Calc base'!$G36+'Calc base'!$F36-(B36-C36-D36))</f>
        <v>188.69</v>
      </c>
      <c r="F36">
        <f>SUM(AH36:AS36)</f>
        <v>188.69</v>
      </c>
      <c r="G36">
        <f>SUM(AT36:BE36)</f>
        <v>16669.99</v>
      </c>
      <c r="H36">
        <f>B36-G35</f>
        <v>112.57</v>
      </c>
      <c r="I36">
        <f>B36-G36</f>
        <v>800</v>
      </c>
      <c r="J36">
        <f>IF(AT35&lt;=0,0,IF(ROUND(AT35*(1+'Calc base'!H36),2)-MAX('Calc base'!C$12,ROUND('Calc base'!C$13*AT35,2))&lt;1,ROUND(AT35*(1+'Calc base'!H36),2),MAX('Calc base'!C$12,ROUND('Calc base'!C$13*AT35,2))))</f>
        <v>41.31</v>
      </c>
      <c r="K36">
        <f>IF(AU35&lt;=0,0,IF(ROUND(AU35*(1+'Calc base'!I36),2)-MAX('Calc base'!D$12,ROUND('Calc base'!D$13*AU35,2))&lt;1,ROUND(AU35*(1+'Calc base'!I36),2),MAX('Calc base'!D$12,ROUND('Calc base'!D$13*AU35,2))))</f>
        <v>0</v>
      </c>
      <c r="L36">
        <f>IF(AV35&lt;=0,0,IF(ROUND(AV35*(1+'Calc base'!J36),2)-MAX('Calc base'!E$12,ROUND('Calc base'!E$13*AV35,2))&lt;1,ROUND(AV35*(1+'Calc base'!J36),2),MAX('Calc base'!E$12,ROUND('Calc base'!E$13*AV35,2))))</f>
        <v>210</v>
      </c>
      <c r="M36">
        <f>IF(AW35&lt;=0,0,IF(ROUND(AW35*(1+'Calc base'!K36),2)-MAX('Calc base'!F$12,ROUND('Calc base'!F$13*AW35,2))&lt;1,ROUND(AW35*(1+'Calc base'!K36),2),MAX('Calc base'!F$12,ROUND('Calc base'!F$13*AW35,2))))</f>
        <v>265</v>
      </c>
      <c r="N36">
        <f>IF(AX35&lt;=0,0,IF(ROUND(AX35*(1+'Calc base'!L36),2)-MAX('Calc base'!G$12,ROUND('Calc base'!G$13*AX35,2))&lt;1,ROUND(AX35*(1+'Calc base'!L36),2),MAX('Calc base'!G$12,ROUND('Calc base'!G$13*AX35,2))))</f>
        <v>45</v>
      </c>
      <c r="O36">
        <f>IF(AY35&lt;=0,0,IF(ROUND(AY35*(1+'Calc base'!M36),2)-MAX('Calc base'!H$12,ROUND('Calc base'!H$13*AY35,2))&lt;1,ROUND(AY35*(1+'Calc base'!M36),2),MAX('Calc base'!H$12,ROUND('Calc base'!H$13*AY35,2))))</f>
        <v>50</v>
      </c>
      <c r="P36">
        <f>IF(AZ35&lt;=0,0,IF(ROUND(AZ35*(1+'Calc base'!N36),2)-MAX('Calc base'!I$12,ROUND('Calc base'!I$13*AZ35,2))&lt;1,ROUND(AZ35*(1+'Calc base'!N36),2),MAX('Calc base'!I$12,ROUND('Calc base'!I$13*AZ35,2))))</f>
        <v>0</v>
      </c>
      <c r="Q36">
        <f>IF(BA35&lt;=0,0,IF(ROUND(BA35*(1+'Calc base'!O36),2)-MAX('Calc base'!J$12,ROUND('Calc base'!J$13*BA35,2))&lt;1,ROUND(BA35*(1+'Calc base'!O36),2),MAX('Calc base'!J$12,ROUND('Calc base'!J$13*BA35,2))))</f>
        <v>0</v>
      </c>
      <c r="R36">
        <f>IF(BB35&lt;=0,0,IF(ROUND(BB35*(1+'Calc base'!P36),2)-MAX('Calc base'!K$12,ROUND('Calc base'!K$13*BB35,2))&lt;1,ROUND(BB35*(1+'Calc base'!P36),2),MAX('Calc base'!K$12,ROUND('Calc base'!K$13*BB35,2))))</f>
        <v>0</v>
      </c>
      <c r="S36">
        <f>IF(BC35&lt;=0,0,IF(ROUND(BC35*(1+'Calc base'!Q36),2)-MAX('Calc base'!L$12,ROUND('Calc base'!L$13*BC35,2))&lt;1,ROUND(BC35*(1+'Calc base'!Q36),2),MAX('Calc base'!L$12,ROUND('Calc base'!L$13*BC35,2))))</f>
        <v>0</v>
      </c>
      <c r="T36">
        <f>IF(BD35&lt;=0,0,IF(ROUND(BD35*(1+'Calc base'!R36),2)-MAX('Calc base'!M$12,ROUND('Calc base'!M$13*BD35,2))&lt;1,ROUND(BD35*(1+'Calc base'!R36),2),MAX('Calc base'!M$12,ROUND('Calc base'!M$13*BD35,2))))</f>
        <v>0</v>
      </c>
      <c r="U36">
        <f>IF(BE35&lt;=0,0,IF(ROUND(BE35*(1+'Calc base'!S36),2)-MAX('Calc base'!N$12,ROUND('Calc base'!N$13*BE35,2))&lt;1,ROUND(BE35*(1+'Calc base'!S36),2),MAX('Calc base'!N$12,ROUND('Calc base'!N$13*BE35,2))))</f>
        <v>0</v>
      </c>
      <c r="V36">
        <f>MAX(0,ROUND(AT35*(1+'Calc base'!H36),2)-J36-'Calc base'!T36)</f>
        <v>1357.5</v>
      </c>
      <c r="W36">
        <f>MAX(0,ROUND(AU35*(1+'Calc base'!I36),2)-K36-'Calc base'!U36)</f>
        <v>0</v>
      </c>
      <c r="X36">
        <f>MAX(0,ROUND(AV35*(1+'Calc base'!J36),2)-L36-'Calc base'!V36)</f>
        <v>5834.45</v>
      </c>
      <c r="Y36">
        <f>MAX(0,ROUND(AW35*(1+'Calc base'!K36),2)-M36-'Calc base'!W36)</f>
        <v>8196.73</v>
      </c>
      <c r="Z36">
        <f>MAX(0,ROUND(AX35*(1+'Calc base'!L36),2)-N36-'Calc base'!X36)</f>
        <v>270</v>
      </c>
      <c r="AA36">
        <f>MAX(0,ROUND(AY35*(1+'Calc base'!M36),2)-O36-'Calc base'!Y36)</f>
        <v>1200</v>
      </c>
      <c r="AB36">
        <f>MAX(0,ROUND(AZ35*(1+'Calc base'!N36),2)-P36-'Calc base'!Z36)</f>
        <v>0</v>
      </c>
      <c r="AC36">
        <f>MAX(0,ROUND(BA35*(1+'Calc base'!O36),2)-Q36-'Calc base'!AA36)</f>
        <v>0</v>
      </c>
      <c r="AD36">
        <f>MAX(0,ROUND(BB35*(1+'Calc base'!P36),2)-R36-'Calc base'!AB36)</f>
        <v>0</v>
      </c>
      <c r="AE36">
        <f>MAX(0,ROUND(BC35*(1+'Calc base'!Q36),2)-S36-'Calc base'!AC36)</f>
        <v>0</v>
      </c>
      <c r="AF36">
        <f>MAX(0,ROUND(BD35*(1+'Calc base'!R36),2)-T36-'Calc base'!AD36)</f>
        <v>0</v>
      </c>
      <c r="AG36">
        <f>MAX(0,ROUND(BE35*(1+'Calc base'!S36),2)-U36-'Calc base'!AE36)</f>
        <v>0</v>
      </c>
      <c r="AH36">
        <f>IF('Calc base'!C$14=0,0,MIN(V36,MAX(0,$E36-SUMIFS($V36:$AG36,'Calc base'!$C$19:$N$19,"&lt;"&amp;'Calc base'!C$19,'Calc base'!$C$14:$N$14,1))))</f>
        <v>188.69</v>
      </c>
      <c r="AI36">
        <f>IF('Calc base'!D$14=0,0,MIN(W36,MAX(0,$E36-SUMIFS($V36:$AG36,'Calc base'!$C$19:$N$19,"&lt;"&amp;'Calc base'!D$19,'Calc base'!$C$14:$N$14,1))))</f>
        <v>0</v>
      </c>
      <c r="AJ36">
        <f>IF('Calc base'!E$14=0,0,MIN(X36,MAX(0,$E36-SUMIFS($V36:$AG36,'Calc base'!$C$19:$N$19,"&lt;"&amp;'Calc base'!E$19,'Calc base'!$C$14:$N$14,1))))</f>
        <v>0</v>
      </c>
      <c r="AK36">
        <f>IF('Calc base'!F$14=0,0,MIN(Y36,MAX(0,$E36-SUMIFS($V36:$AG36,'Calc base'!$C$19:$N$19,"&lt;"&amp;'Calc base'!F$19,'Calc base'!$C$14:$N$14,1))))</f>
        <v>0</v>
      </c>
      <c r="AL36">
        <f>IF('Calc base'!G$14=0,0,MIN(Z36,MAX(0,$E36-SUMIFS($V36:$AG36,'Calc base'!$C$19:$N$19,"&lt;"&amp;'Calc base'!G$19,'Calc base'!$C$14:$N$14,1))))</f>
        <v>0</v>
      </c>
      <c r="AM36">
        <f>IF('Calc base'!H$14=0,0,MIN(AA36,MAX(0,$E36-SUMIFS($V36:$AG36,'Calc base'!$C$19:$N$19,"&lt;"&amp;'Calc base'!H$19,'Calc base'!$C$14:$N$14,1))))</f>
        <v>0</v>
      </c>
      <c r="AN36">
        <f>IF('Calc base'!I$14=0,0,MIN(AB36,MAX(0,$E36-SUMIFS($V36:$AG36,'Calc base'!$C$19:$N$19,"&lt;"&amp;'Calc base'!I$19,'Calc base'!$C$14:$N$14,1))))</f>
        <v>0</v>
      </c>
      <c r="AO36">
        <f>IF('Calc base'!J$14=0,0,MIN(AC36,MAX(0,$E36-SUMIFS($V36:$AG36,'Calc base'!$C$19:$N$19,"&lt;"&amp;'Calc base'!J$19,'Calc base'!$C$14:$N$14,1))))</f>
        <v>0</v>
      </c>
      <c r="AP36">
        <f>IF('Calc base'!K$14=0,0,MIN(AD36,MAX(0,$E36-SUMIFS($V36:$AG36,'Calc base'!$C$19:$N$19,"&lt;"&amp;'Calc base'!K$19,'Calc base'!$C$14:$N$14,1))))</f>
        <v>0</v>
      </c>
      <c r="AQ36">
        <f>IF('Calc base'!L$14=0,0,MIN(AE36,MAX(0,$E36-SUMIFS($V36:$AG36,'Calc base'!$C$19:$N$19,"&lt;"&amp;'Calc base'!L$19,'Calc base'!$C$14:$N$14,1))))</f>
        <v>0</v>
      </c>
      <c r="AR36">
        <f>IF('Calc base'!M$14=0,0,MIN(AF36,MAX(0,$E36-SUMIFS($V36:$AG36,'Calc base'!$C$19:$N$19,"&lt;"&amp;'Calc base'!M$19,'Calc base'!$C$14:$N$14,1))))</f>
        <v>0</v>
      </c>
      <c r="AS36">
        <f>IF('Calc base'!N$14=0,0,MIN(AG36,MAX(0,$E36-SUMIFS($V36:$AG36,'Calc base'!$C$19:$N$19,"&lt;"&amp;'Calc base'!N$19,'Calc base'!$C$14:$N$14,1))))</f>
        <v>0</v>
      </c>
      <c r="AT36">
        <f>V36-AH36</f>
        <v>1168.81</v>
      </c>
      <c r="AU36">
        <f>W36-AI36</f>
        <v>0</v>
      </c>
      <c r="AV36">
        <f>X36-AJ36</f>
        <v>5834.45</v>
      </c>
      <c r="AW36">
        <f>Y36-AK36</f>
        <v>8196.73</v>
      </c>
      <c r="AX36">
        <f>Z36-AL36</f>
        <v>270</v>
      </c>
      <c r="AY36">
        <f>AA36-AM36</f>
        <v>1200</v>
      </c>
      <c r="AZ36">
        <f>AB36-AN36</f>
        <v>0</v>
      </c>
      <c r="BA36">
        <f>AC36-AO36</f>
        <v>0</v>
      </c>
      <c r="BB36">
        <f>AD36-AP36</f>
        <v>0</v>
      </c>
      <c r="BC36">
        <f>AE36-AQ36</f>
        <v>0</v>
      </c>
      <c r="BD36">
        <f>AF36-AR36</f>
        <v>0</v>
      </c>
      <c r="BE36">
        <f>AG36-AS36</f>
        <v>0</v>
      </c>
    </row>
    <row r="37">
      <c r="A37" t="n">
        <v>7</v>
      </c>
      <c r="B37">
        <f>SUMPRODUCT(ROUND($AT36:$BE36*(1+'Calc base'!$H37:$S37),2))</f>
        <v>16776.85</v>
      </c>
      <c r="C37">
        <f>SUM(J37:U37)</f>
        <v>605.06</v>
      </c>
      <c r="D37">
        <f>SUM(V37:AG37)</f>
        <v>16171.79</v>
      </c>
      <c r="E37">
        <f>MAX(0,IF(Impostazioni!$B$7="No",'Calc base'!$C37-$C$31,'Calc base'!$C37-C37)+'Calc base'!$G37+'Calc base'!$F37-(B37-C37-D37))</f>
        <v>194.94</v>
      </c>
      <c r="F37">
        <f>SUM(AH37:AS37)</f>
        <v>194.94</v>
      </c>
      <c r="G37">
        <f>SUM(AT37:BE37)</f>
        <v>15976.85</v>
      </c>
      <c r="H37">
        <f>B37-G36</f>
        <v>106.860000000004</v>
      </c>
      <c r="I37">
        <f>B37-G37</f>
        <v>800.000000000002</v>
      </c>
      <c r="J37">
        <f>IF(AT36&lt;=0,0,IF(ROUND(AT36*(1+'Calc base'!H37),2)-MAX('Calc base'!C$12,ROUND('Calc base'!C$13*AT36,2))&lt;1,ROUND(AT36*(1+'Calc base'!H37),2),MAX('Calc base'!C$12,ROUND('Calc base'!C$13*AT36,2))))</f>
        <v>35.06</v>
      </c>
      <c r="K37">
        <f>IF(AU36&lt;=0,0,IF(ROUND(AU36*(1+'Calc base'!I37),2)-MAX('Calc base'!D$12,ROUND('Calc base'!D$13*AU36,2))&lt;1,ROUND(AU36*(1+'Calc base'!I37),2),MAX('Calc base'!D$12,ROUND('Calc base'!D$13*AU36,2))))</f>
        <v>0</v>
      </c>
      <c r="L37">
        <f>IF(AV36&lt;=0,0,IF(ROUND(AV36*(1+'Calc base'!J37),2)-MAX('Calc base'!E$12,ROUND('Calc base'!E$13*AV36,2))&lt;1,ROUND(AV36*(1+'Calc base'!J37),2),MAX('Calc base'!E$12,ROUND('Calc base'!E$13*AV36,2))))</f>
        <v>210</v>
      </c>
      <c r="M37">
        <f>IF(AW36&lt;=0,0,IF(ROUND(AW36*(1+'Calc base'!K37),2)-MAX('Calc base'!F$12,ROUND('Calc base'!F$13*AW36,2))&lt;1,ROUND(AW36*(1+'Calc base'!K37),2),MAX('Calc base'!F$12,ROUND('Calc base'!F$13*AW36,2))))</f>
        <v>265</v>
      </c>
      <c r="N37">
        <f>IF(AX36&lt;=0,0,IF(ROUND(AX36*(1+'Calc base'!L37),2)-MAX('Calc base'!G$12,ROUND('Calc base'!G$13*AX36,2))&lt;1,ROUND(AX36*(1+'Calc base'!L37),2),MAX('Calc base'!G$12,ROUND('Calc base'!G$13*AX36,2))))</f>
        <v>45</v>
      </c>
      <c r="O37">
        <f>IF(AY36&lt;=0,0,IF(ROUND(AY36*(1+'Calc base'!M37),2)-MAX('Calc base'!H$12,ROUND('Calc base'!H$13*AY36,2))&lt;1,ROUND(AY36*(1+'Calc base'!M37),2),MAX('Calc base'!H$12,ROUND('Calc base'!H$13*AY36,2))))</f>
        <v>50</v>
      </c>
      <c r="P37">
        <f>IF(AZ36&lt;=0,0,IF(ROUND(AZ36*(1+'Calc base'!N37),2)-MAX('Calc base'!I$12,ROUND('Calc base'!I$13*AZ36,2))&lt;1,ROUND(AZ36*(1+'Calc base'!N37),2),MAX('Calc base'!I$12,ROUND('Calc base'!I$13*AZ36,2))))</f>
        <v>0</v>
      </c>
      <c r="Q37">
        <f>IF(BA36&lt;=0,0,IF(ROUND(BA36*(1+'Calc base'!O37),2)-MAX('Calc base'!J$12,ROUND('Calc base'!J$13*BA36,2))&lt;1,ROUND(BA36*(1+'Calc base'!O37),2),MAX('Calc base'!J$12,ROUND('Calc base'!J$13*BA36,2))))</f>
        <v>0</v>
      </c>
      <c r="R37">
        <f>IF(BB36&lt;=0,0,IF(ROUND(BB36*(1+'Calc base'!P37),2)-MAX('Calc base'!K$12,ROUND('Calc base'!K$13*BB36,2))&lt;1,ROUND(BB36*(1+'Calc base'!P37),2),MAX('Calc base'!K$12,ROUND('Calc base'!K$13*BB36,2))))</f>
        <v>0</v>
      </c>
      <c r="S37">
        <f>IF(BC36&lt;=0,0,IF(ROUND(BC36*(1+'Calc base'!Q37),2)-MAX('Calc base'!L$12,ROUND('Calc base'!L$13*BC36,2))&lt;1,ROUND(BC36*(1+'Calc base'!Q37),2),MAX('Calc base'!L$12,ROUND('Calc base'!L$13*BC36,2))))</f>
        <v>0</v>
      </c>
      <c r="T37">
        <f>IF(BD36&lt;=0,0,IF(ROUND(BD36*(1+'Calc base'!R37),2)-MAX('Calc base'!M$12,ROUND('Calc base'!M$13*BD36,2))&lt;1,ROUND(BD36*(1+'Calc base'!R37),2),MAX('Calc base'!M$12,ROUND('Calc base'!M$13*BD36,2))))</f>
        <v>0</v>
      </c>
      <c r="U37">
        <f>IF(BE36&lt;=0,0,IF(ROUND(BE36*(1+'Calc base'!S37),2)-MAX('Calc base'!N$12,ROUND('Calc base'!N$13*BE36,2))&lt;1,ROUND(BE36*(1+'Calc base'!S37),2),MAX('Calc base'!N$12,ROUND('Calc base'!N$13*BE36,2))))</f>
        <v>0</v>
      </c>
      <c r="V37">
        <f>MAX(0,ROUND(AT36*(1+'Calc base'!H37),2)-J37-'Calc base'!T37)</f>
        <v>1152.16</v>
      </c>
      <c r="W37">
        <f>MAX(0,ROUND(AU36*(1+'Calc base'!I37),2)-K37-'Calc base'!U37)</f>
        <v>0</v>
      </c>
      <c r="X37">
        <f>MAX(0,ROUND(AV36*(1+'Calc base'!J37),2)-L37-'Calc base'!V37)</f>
        <v>5669.18</v>
      </c>
      <c r="Y37">
        <f>MAX(0,ROUND(AW36*(1+'Calc base'!K37),2)-M37-'Calc base'!W37)</f>
        <v>7975.45</v>
      </c>
      <c r="Z37">
        <f>MAX(0,ROUND(AX36*(1+'Calc base'!L37),2)-N37-'Calc base'!X37)</f>
        <v>225</v>
      </c>
      <c r="AA37">
        <f>MAX(0,ROUND(AY36*(1+'Calc base'!M37),2)-O37-'Calc base'!Y37)</f>
        <v>1150</v>
      </c>
      <c r="AB37">
        <f>MAX(0,ROUND(AZ36*(1+'Calc base'!N37),2)-P37-'Calc base'!Z37)</f>
        <v>0</v>
      </c>
      <c r="AC37">
        <f>MAX(0,ROUND(BA36*(1+'Calc base'!O37),2)-Q37-'Calc base'!AA37)</f>
        <v>0</v>
      </c>
      <c r="AD37">
        <f>MAX(0,ROUND(BB36*(1+'Calc base'!P37),2)-R37-'Calc base'!AB37)</f>
        <v>0</v>
      </c>
      <c r="AE37">
        <f>MAX(0,ROUND(BC36*(1+'Calc base'!Q37),2)-S37-'Calc base'!AC37)</f>
        <v>0</v>
      </c>
      <c r="AF37">
        <f>MAX(0,ROUND(BD36*(1+'Calc base'!R37),2)-T37-'Calc base'!AD37)</f>
        <v>0</v>
      </c>
      <c r="AG37">
        <f>MAX(0,ROUND(BE36*(1+'Calc base'!S37),2)-U37-'Calc base'!AE37)</f>
        <v>0</v>
      </c>
      <c r="AH37">
        <f>IF('Calc base'!C$14=0,0,MIN(V37,MAX(0,$E37-SUMIFS($V37:$AG37,'Calc base'!$C$19:$N$19,"&lt;"&amp;'Calc base'!C$19,'Calc base'!$C$14:$N$14,1))))</f>
        <v>194.94</v>
      </c>
      <c r="AI37">
        <f>IF('Calc base'!D$14=0,0,MIN(W37,MAX(0,$E37-SUMIFS($V37:$AG37,'Calc base'!$C$19:$N$19,"&lt;"&amp;'Calc base'!D$19,'Calc base'!$C$14:$N$14,1))))</f>
        <v>0</v>
      </c>
      <c r="AJ37">
        <f>IF('Calc base'!E$14=0,0,MIN(X37,MAX(0,$E37-SUMIFS($V37:$AG37,'Calc base'!$C$19:$N$19,"&lt;"&amp;'Calc base'!E$19,'Calc base'!$C$14:$N$14,1))))</f>
        <v>0</v>
      </c>
      <c r="AK37">
        <f>IF('Calc base'!F$14=0,0,MIN(Y37,MAX(0,$E37-SUMIFS($V37:$AG37,'Calc base'!$C$19:$N$19,"&lt;"&amp;'Calc base'!F$19,'Calc base'!$C$14:$N$14,1))))</f>
        <v>0</v>
      </c>
      <c r="AL37">
        <f>IF('Calc base'!G$14=0,0,MIN(Z37,MAX(0,$E37-SUMIFS($V37:$AG37,'Calc base'!$C$19:$N$19,"&lt;"&amp;'Calc base'!G$19,'Calc base'!$C$14:$N$14,1))))</f>
        <v>0</v>
      </c>
      <c r="AM37">
        <f>IF('Calc base'!H$14=0,0,MIN(AA37,MAX(0,$E37-SUMIFS($V37:$AG37,'Calc base'!$C$19:$N$19,"&lt;"&amp;'Calc base'!H$19,'Calc base'!$C$14:$N$14,1))))</f>
        <v>0</v>
      </c>
      <c r="AN37">
        <f>IF('Calc base'!I$14=0,0,MIN(AB37,MAX(0,$E37-SUMIFS($V37:$AG37,'Calc base'!$C$19:$N$19,"&lt;"&amp;'Calc base'!I$19,'Calc base'!$C$14:$N$14,1))))</f>
        <v>0</v>
      </c>
      <c r="AO37">
        <f>IF('Calc base'!J$14=0,0,MIN(AC37,MAX(0,$E37-SUMIFS($V37:$AG37,'Calc base'!$C$19:$N$19,"&lt;"&amp;'Calc base'!J$19,'Calc base'!$C$14:$N$14,1))))</f>
        <v>0</v>
      </c>
      <c r="AP37">
        <f>IF('Calc base'!K$14=0,0,MIN(AD37,MAX(0,$E37-SUMIFS($V37:$AG37,'Calc base'!$C$19:$N$19,"&lt;"&amp;'Calc base'!K$19,'Calc base'!$C$14:$N$14,1))))</f>
        <v>0</v>
      </c>
      <c r="AQ37">
        <f>IF('Calc base'!L$14=0,0,MIN(AE37,MAX(0,$E37-SUMIFS($V37:$AG37,'Calc base'!$C$19:$N$19,"&lt;"&amp;'Calc base'!L$19,'Calc base'!$C$14:$N$14,1))))</f>
        <v>0</v>
      </c>
      <c r="AR37">
        <f>IF('Calc base'!M$14=0,0,MIN(AF37,MAX(0,$E37-SUMIFS($V37:$AG37,'Calc base'!$C$19:$N$19,"&lt;"&amp;'Calc base'!M$19,'Calc base'!$C$14:$N$14,1))))</f>
        <v>0</v>
      </c>
      <c r="AS37">
        <f>IF('Calc base'!N$14=0,0,MIN(AG37,MAX(0,$E37-SUMIFS($V37:$AG37,'Calc base'!$C$19:$N$19,"&lt;"&amp;'Calc base'!N$19,'Calc base'!$C$14:$N$14,1))))</f>
        <v>0</v>
      </c>
      <c r="AT37">
        <f>V37-AH37</f>
        <v>957.22</v>
      </c>
      <c r="AU37">
        <f>W37-AI37</f>
        <v>0</v>
      </c>
      <c r="AV37">
        <f>X37-AJ37</f>
        <v>5669.18</v>
      </c>
      <c r="AW37">
        <f>Y37-AK37</f>
        <v>7975.45</v>
      </c>
      <c r="AX37">
        <f>Z37-AL37</f>
        <v>225</v>
      </c>
      <c r="AY37">
        <f>AA37-AM37</f>
        <v>1150</v>
      </c>
      <c r="AZ37">
        <f>AB37-AN37</f>
        <v>0</v>
      </c>
      <c r="BA37">
        <f>AC37-AO37</f>
        <v>0</v>
      </c>
      <c r="BB37">
        <f>AD37-AP37</f>
        <v>0</v>
      </c>
      <c r="BC37">
        <f>AE37-AQ37</f>
        <v>0</v>
      </c>
      <c r="BD37">
        <f>AF37-AR37</f>
        <v>0</v>
      </c>
      <c r="BE37">
        <f>AG37-AS37</f>
        <v>0</v>
      </c>
    </row>
    <row r="38">
      <c r="A38" t="n">
        <v>8</v>
      </c>
      <c r="B38">
        <f>SUMPRODUCT(ROUND($AT37:$BE37*(1+'Calc base'!$H38:$S38),2))</f>
        <v>16077.93</v>
      </c>
      <c r="C38">
        <f>SUM(J38:U38)</f>
        <v>600</v>
      </c>
      <c r="D38">
        <f>SUM(V38:AG38)</f>
        <v>15477.93</v>
      </c>
      <c r="E38">
        <f>MAX(0,IF(Impostazioni!$B$7="No",'Calc base'!$C38-$C$31,'Calc base'!$C38-C38)+'Calc base'!$G38+'Calc base'!$F38-(B38-C38-D38))</f>
        <v>200</v>
      </c>
      <c r="F38">
        <f>SUM(AH38:AS38)</f>
        <v>200</v>
      </c>
      <c r="G38">
        <f>SUM(AT38:BE38)</f>
        <v>15277.93</v>
      </c>
      <c r="H38">
        <f>B38-G37</f>
        <v>101.08</v>
      </c>
      <c r="I38">
        <f>B38-G38</f>
        <v>800</v>
      </c>
      <c r="J38">
        <f>IF(AT37&lt;=0,0,IF(ROUND(AT37*(1+'Calc base'!H38),2)-MAX('Calc base'!C$12,ROUND('Calc base'!C$13*AT37,2))&lt;1,ROUND(AT37*(1+'Calc base'!H38),2),MAX('Calc base'!C$12,ROUND('Calc base'!C$13*AT37,2))))</f>
        <v>30</v>
      </c>
      <c r="K38">
        <f>IF(AU37&lt;=0,0,IF(ROUND(AU37*(1+'Calc base'!I38),2)-MAX('Calc base'!D$12,ROUND('Calc base'!D$13*AU37,2))&lt;1,ROUND(AU37*(1+'Calc base'!I38),2),MAX('Calc base'!D$12,ROUND('Calc base'!D$13*AU37,2))))</f>
        <v>0</v>
      </c>
      <c r="L38">
        <f>IF(AV37&lt;=0,0,IF(ROUND(AV37*(1+'Calc base'!J38),2)-MAX('Calc base'!E$12,ROUND('Calc base'!E$13*AV37,2))&lt;1,ROUND(AV37*(1+'Calc base'!J38),2),MAX('Calc base'!E$12,ROUND('Calc base'!E$13*AV37,2))))</f>
        <v>210</v>
      </c>
      <c r="M38">
        <f>IF(AW37&lt;=0,0,IF(ROUND(AW37*(1+'Calc base'!K38),2)-MAX('Calc base'!F$12,ROUND('Calc base'!F$13*AW37,2))&lt;1,ROUND(AW37*(1+'Calc base'!K38),2),MAX('Calc base'!F$12,ROUND('Calc base'!F$13*AW37,2))))</f>
        <v>265</v>
      </c>
      <c r="N38">
        <f>IF(AX37&lt;=0,0,IF(ROUND(AX37*(1+'Calc base'!L38),2)-MAX('Calc base'!G$12,ROUND('Calc base'!G$13*AX37,2))&lt;1,ROUND(AX37*(1+'Calc base'!L38),2),MAX('Calc base'!G$12,ROUND('Calc base'!G$13*AX37,2))))</f>
        <v>45</v>
      </c>
      <c r="O38">
        <f>IF(AY37&lt;=0,0,IF(ROUND(AY37*(1+'Calc base'!M38),2)-MAX('Calc base'!H$12,ROUND('Calc base'!H$13*AY37,2))&lt;1,ROUND(AY37*(1+'Calc base'!M38),2),MAX('Calc base'!H$12,ROUND('Calc base'!H$13*AY37,2))))</f>
        <v>50</v>
      </c>
      <c r="P38">
        <f>IF(AZ37&lt;=0,0,IF(ROUND(AZ37*(1+'Calc base'!N38),2)-MAX('Calc base'!I$12,ROUND('Calc base'!I$13*AZ37,2))&lt;1,ROUND(AZ37*(1+'Calc base'!N38),2),MAX('Calc base'!I$12,ROUND('Calc base'!I$13*AZ37,2))))</f>
        <v>0</v>
      </c>
      <c r="Q38">
        <f>IF(BA37&lt;=0,0,IF(ROUND(BA37*(1+'Calc base'!O38),2)-MAX('Calc base'!J$12,ROUND('Calc base'!J$13*BA37,2))&lt;1,ROUND(BA37*(1+'Calc base'!O38),2),MAX('Calc base'!J$12,ROUND('Calc base'!J$13*BA37,2))))</f>
        <v>0</v>
      </c>
      <c r="R38">
        <f>IF(BB37&lt;=0,0,IF(ROUND(BB37*(1+'Calc base'!P38),2)-MAX('Calc base'!K$12,ROUND('Calc base'!K$13*BB37,2))&lt;1,ROUND(BB37*(1+'Calc base'!P38),2),MAX('Calc base'!K$12,ROUND('Calc base'!K$13*BB37,2))))</f>
        <v>0</v>
      </c>
      <c r="S38">
        <f>IF(BC37&lt;=0,0,IF(ROUND(BC37*(1+'Calc base'!Q38),2)-MAX('Calc base'!L$12,ROUND('Calc base'!L$13*BC37,2))&lt;1,ROUND(BC37*(1+'Calc base'!Q38),2),MAX('Calc base'!L$12,ROUND('Calc base'!L$13*BC37,2))))</f>
        <v>0</v>
      </c>
      <c r="T38">
        <f>IF(BD37&lt;=0,0,IF(ROUND(BD37*(1+'Calc base'!R38),2)-MAX('Calc base'!M$12,ROUND('Calc base'!M$13*BD37,2))&lt;1,ROUND(BD37*(1+'Calc base'!R38),2),MAX('Calc base'!M$12,ROUND('Calc base'!M$13*BD37,2))))</f>
        <v>0</v>
      </c>
      <c r="U38">
        <f>IF(BE37&lt;=0,0,IF(ROUND(BE37*(1+'Calc base'!S38),2)-MAX('Calc base'!N$12,ROUND('Calc base'!N$13*BE37,2))&lt;1,ROUND(BE37*(1+'Calc base'!S38),2),MAX('Calc base'!N$12,ROUND('Calc base'!N$13*BE37,2))))</f>
        <v>0</v>
      </c>
      <c r="V38">
        <f>MAX(0,ROUND(AT37*(1+'Calc base'!H38),2)-J38-'Calc base'!T38)</f>
        <v>942.3</v>
      </c>
      <c r="W38">
        <f>MAX(0,ROUND(AU37*(1+'Calc base'!I38),2)-K38-'Calc base'!U38)</f>
        <v>0</v>
      </c>
      <c r="X38">
        <f>MAX(0,ROUND(AV37*(1+'Calc base'!J38),2)-L38-'Calc base'!V38)</f>
        <v>5502.64</v>
      </c>
      <c r="Y38">
        <f>MAX(0,ROUND(AW37*(1+'Calc base'!K38),2)-M38-'Calc base'!W38)</f>
        <v>7752.99</v>
      </c>
      <c r="Z38">
        <f>MAX(0,ROUND(AX37*(1+'Calc base'!L38),2)-N38-'Calc base'!X38)</f>
        <v>180</v>
      </c>
      <c r="AA38">
        <f>MAX(0,ROUND(AY37*(1+'Calc base'!M38),2)-O38-'Calc base'!Y38)</f>
        <v>1100</v>
      </c>
      <c r="AB38">
        <f>MAX(0,ROUND(AZ37*(1+'Calc base'!N38),2)-P38-'Calc base'!Z38)</f>
        <v>0</v>
      </c>
      <c r="AC38">
        <f>MAX(0,ROUND(BA37*(1+'Calc base'!O38),2)-Q38-'Calc base'!AA38)</f>
        <v>0</v>
      </c>
      <c r="AD38">
        <f>MAX(0,ROUND(BB37*(1+'Calc base'!P38),2)-R38-'Calc base'!AB38)</f>
        <v>0</v>
      </c>
      <c r="AE38">
        <f>MAX(0,ROUND(BC37*(1+'Calc base'!Q38),2)-S38-'Calc base'!AC38)</f>
        <v>0</v>
      </c>
      <c r="AF38">
        <f>MAX(0,ROUND(BD37*(1+'Calc base'!R38),2)-T38-'Calc base'!AD38)</f>
        <v>0</v>
      </c>
      <c r="AG38">
        <f>MAX(0,ROUND(BE37*(1+'Calc base'!S38),2)-U38-'Calc base'!AE38)</f>
        <v>0</v>
      </c>
      <c r="AH38">
        <f>IF('Calc base'!C$14=0,0,MIN(V38,MAX(0,$E38-SUMIFS($V38:$AG38,'Calc base'!$C$19:$N$19,"&lt;"&amp;'Calc base'!C$19,'Calc base'!$C$14:$N$14,1))))</f>
        <v>200</v>
      </c>
      <c r="AI38">
        <f>IF('Calc base'!D$14=0,0,MIN(W38,MAX(0,$E38-SUMIFS($V38:$AG38,'Calc base'!$C$19:$N$19,"&lt;"&amp;'Calc base'!D$19,'Calc base'!$C$14:$N$14,1))))</f>
        <v>0</v>
      </c>
      <c r="AJ38">
        <f>IF('Calc base'!E$14=0,0,MIN(X38,MAX(0,$E38-SUMIFS($V38:$AG38,'Calc base'!$C$19:$N$19,"&lt;"&amp;'Calc base'!E$19,'Calc base'!$C$14:$N$14,1))))</f>
        <v>0</v>
      </c>
      <c r="AK38">
        <f>IF('Calc base'!F$14=0,0,MIN(Y38,MAX(0,$E38-SUMIFS($V38:$AG38,'Calc base'!$C$19:$N$19,"&lt;"&amp;'Calc base'!F$19,'Calc base'!$C$14:$N$14,1))))</f>
        <v>0</v>
      </c>
      <c r="AL38">
        <f>IF('Calc base'!G$14=0,0,MIN(Z38,MAX(0,$E38-SUMIFS($V38:$AG38,'Calc base'!$C$19:$N$19,"&lt;"&amp;'Calc base'!G$19,'Calc base'!$C$14:$N$14,1))))</f>
        <v>0</v>
      </c>
      <c r="AM38">
        <f>IF('Calc base'!H$14=0,0,MIN(AA38,MAX(0,$E38-SUMIFS($V38:$AG38,'Calc base'!$C$19:$N$19,"&lt;"&amp;'Calc base'!H$19,'Calc base'!$C$14:$N$14,1))))</f>
        <v>0</v>
      </c>
      <c r="AN38">
        <f>IF('Calc base'!I$14=0,0,MIN(AB38,MAX(0,$E38-SUMIFS($V38:$AG38,'Calc base'!$C$19:$N$19,"&lt;"&amp;'Calc base'!I$19,'Calc base'!$C$14:$N$14,1))))</f>
        <v>0</v>
      </c>
      <c r="AO38">
        <f>IF('Calc base'!J$14=0,0,MIN(AC38,MAX(0,$E38-SUMIFS($V38:$AG38,'Calc base'!$C$19:$N$19,"&lt;"&amp;'Calc base'!J$19,'Calc base'!$C$14:$N$14,1))))</f>
        <v>0</v>
      </c>
      <c r="AP38">
        <f>IF('Calc base'!K$14=0,0,MIN(AD38,MAX(0,$E38-SUMIFS($V38:$AG38,'Calc base'!$C$19:$N$19,"&lt;"&amp;'Calc base'!K$19,'Calc base'!$C$14:$N$14,1))))</f>
        <v>0</v>
      </c>
      <c r="AQ38">
        <f>IF('Calc base'!L$14=0,0,MIN(AE38,MAX(0,$E38-SUMIFS($V38:$AG38,'Calc base'!$C$19:$N$19,"&lt;"&amp;'Calc base'!L$19,'Calc base'!$C$14:$N$14,1))))</f>
        <v>0</v>
      </c>
      <c r="AR38">
        <f>IF('Calc base'!M$14=0,0,MIN(AF38,MAX(0,$E38-SUMIFS($V38:$AG38,'Calc base'!$C$19:$N$19,"&lt;"&amp;'Calc base'!M$19,'Calc base'!$C$14:$N$14,1))))</f>
        <v>0</v>
      </c>
      <c r="AS38">
        <f>IF('Calc base'!N$14=0,0,MIN(AG38,MAX(0,$E38-SUMIFS($V38:$AG38,'Calc base'!$C$19:$N$19,"&lt;"&amp;'Calc base'!N$19,'Calc base'!$C$14:$N$14,1))))</f>
        <v>0</v>
      </c>
      <c r="AT38">
        <f>V38-AH38</f>
        <v>742.3</v>
      </c>
      <c r="AU38">
        <f>W38-AI38</f>
        <v>0</v>
      </c>
      <c r="AV38">
        <f>X38-AJ38</f>
        <v>5502.64</v>
      </c>
      <c r="AW38">
        <f>Y38-AK38</f>
        <v>7752.99</v>
      </c>
      <c r="AX38">
        <f>Z38-AL38</f>
        <v>180</v>
      </c>
      <c r="AY38">
        <f>AA38-AM38</f>
        <v>1100</v>
      </c>
      <c r="AZ38">
        <f>AB38-AN38</f>
        <v>0</v>
      </c>
      <c r="BA38">
        <f>AC38-AO38</f>
        <v>0</v>
      </c>
      <c r="BB38">
        <f>AD38-AP38</f>
        <v>0</v>
      </c>
      <c r="BC38">
        <f>AE38-AQ38</f>
        <v>0</v>
      </c>
      <c r="BD38">
        <f>AF38-AR38</f>
        <v>0</v>
      </c>
      <c r="BE38">
        <f>AG38-AS38</f>
        <v>0</v>
      </c>
    </row>
    <row r="39">
      <c r="A39" t="n">
        <v>9</v>
      </c>
      <c r="B39">
        <f>SUMPRODUCT(ROUND($AT38:$BE38*(1+'Calc base'!$H39:$S39),2))</f>
        <v>15373.16</v>
      </c>
      <c r="C39">
        <f>SUM(J39:U39)</f>
        <v>600</v>
      </c>
      <c r="D39">
        <f>SUM(V39:AG39)</f>
        <v>14773.16</v>
      </c>
      <c r="E39">
        <f>MAX(0,IF(Impostazioni!$B$7="No",'Calc base'!$C39-$C$31,'Calc base'!$C39-C39)+'Calc base'!$G39+'Calc base'!$F39-(B39-C39-D39))</f>
        <v>650</v>
      </c>
      <c r="F39">
        <f>SUM(AH39:AS39)</f>
        <v>650</v>
      </c>
      <c r="G39">
        <f>SUM(AT39:BE39)</f>
        <v>14123.16</v>
      </c>
      <c r="H39">
        <f>B39-G38</f>
        <v>95.2299999999996</v>
      </c>
      <c r="I39">
        <f>B39-G39</f>
        <v>1250</v>
      </c>
      <c r="J39">
        <f>IF(AT38&lt;=0,0,IF(ROUND(AT38*(1+'Calc base'!H39),2)-MAX('Calc base'!C$12,ROUND('Calc base'!C$13*AT38,2))&lt;1,ROUND(AT38*(1+'Calc base'!H39),2),MAX('Calc base'!C$12,ROUND('Calc base'!C$13*AT38,2))))</f>
        <v>30</v>
      </c>
      <c r="K39">
        <f>IF(AU38&lt;=0,0,IF(ROUND(AU38*(1+'Calc base'!I39),2)-MAX('Calc base'!D$12,ROUND('Calc base'!D$13*AU38,2))&lt;1,ROUND(AU38*(1+'Calc base'!I39),2),MAX('Calc base'!D$12,ROUND('Calc base'!D$13*AU38,2))))</f>
        <v>0</v>
      </c>
      <c r="L39">
        <f>IF(AV38&lt;=0,0,IF(ROUND(AV38*(1+'Calc base'!J39),2)-MAX('Calc base'!E$12,ROUND('Calc base'!E$13*AV38,2))&lt;1,ROUND(AV38*(1+'Calc base'!J39),2),MAX('Calc base'!E$12,ROUND('Calc base'!E$13*AV38,2))))</f>
        <v>210</v>
      </c>
      <c r="M39">
        <f>IF(AW38&lt;=0,0,IF(ROUND(AW38*(1+'Calc base'!K39),2)-MAX('Calc base'!F$12,ROUND('Calc base'!F$13*AW38,2))&lt;1,ROUND(AW38*(1+'Calc base'!K39),2),MAX('Calc base'!F$12,ROUND('Calc base'!F$13*AW38,2))))</f>
        <v>265</v>
      </c>
      <c r="N39">
        <f>IF(AX38&lt;=0,0,IF(ROUND(AX38*(1+'Calc base'!L39),2)-MAX('Calc base'!G$12,ROUND('Calc base'!G$13*AX38,2))&lt;1,ROUND(AX38*(1+'Calc base'!L39),2),MAX('Calc base'!G$12,ROUND('Calc base'!G$13*AX38,2))))</f>
        <v>45</v>
      </c>
      <c r="O39">
        <f>IF(AY38&lt;=0,0,IF(ROUND(AY38*(1+'Calc base'!M39),2)-MAX('Calc base'!H$12,ROUND('Calc base'!H$13*AY38,2))&lt;1,ROUND(AY38*(1+'Calc base'!M39),2),MAX('Calc base'!H$12,ROUND('Calc base'!H$13*AY38,2))))</f>
        <v>50</v>
      </c>
      <c r="P39">
        <f>IF(AZ38&lt;=0,0,IF(ROUND(AZ38*(1+'Calc base'!N39),2)-MAX('Calc base'!I$12,ROUND('Calc base'!I$13*AZ38,2))&lt;1,ROUND(AZ38*(1+'Calc base'!N39),2),MAX('Calc base'!I$12,ROUND('Calc base'!I$13*AZ38,2))))</f>
        <v>0</v>
      </c>
      <c r="Q39">
        <f>IF(BA38&lt;=0,0,IF(ROUND(BA38*(1+'Calc base'!O39),2)-MAX('Calc base'!J$12,ROUND('Calc base'!J$13*BA38,2))&lt;1,ROUND(BA38*(1+'Calc base'!O39),2),MAX('Calc base'!J$12,ROUND('Calc base'!J$13*BA38,2))))</f>
        <v>0</v>
      </c>
      <c r="R39">
        <f>IF(BB38&lt;=0,0,IF(ROUND(BB38*(1+'Calc base'!P39),2)-MAX('Calc base'!K$12,ROUND('Calc base'!K$13*BB38,2))&lt;1,ROUND(BB38*(1+'Calc base'!P39),2),MAX('Calc base'!K$12,ROUND('Calc base'!K$13*BB38,2))))</f>
        <v>0</v>
      </c>
      <c r="S39">
        <f>IF(BC38&lt;=0,0,IF(ROUND(BC38*(1+'Calc base'!Q39),2)-MAX('Calc base'!L$12,ROUND('Calc base'!L$13*BC38,2))&lt;1,ROUND(BC38*(1+'Calc base'!Q39),2),MAX('Calc base'!L$12,ROUND('Calc base'!L$13*BC38,2))))</f>
        <v>0</v>
      </c>
      <c r="T39">
        <f>IF(BD38&lt;=0,0,IF(ROUND(BD38*(1+'Calc base'!R39),2)-MAX('Calc base'!M$12,ROUND('Calc base'!M$13*BD38,2))&lt;1,ROUND(BD38*(1+'Calc base'!R39),2),MAX('Calc base'!M$12,ROUND('Calc base'!M$13*BD38,2))))</f>
        <v>0</v>
      </c>
      <c r="U39">
        <f>IF(BE38&lt;=0,0,IF(ROUND(BE38*(1+'Calc base'!S39),2)-MAX('Calc base'!N$12,ROUND('Calc base'!N$13*BE38,2))&lt;1,ROUND(BE38*(1+'Calc base'!S39),2),MAX('Calc base'!N$12,ROUND('Calc base'!N$13*BE38,2))))</f>
        <v>0</v>
      </c>
      <c r="V39">
        <f>MAX(0,ROUND(AT38*(1+'Calc base'!H39),2)-J39-'Calc base'!T39)</f>
        <v>723.99</v>
      </c>
      <c r="W39">
        <f>MAX(0,ROUND(AU38*(1+'Calc base'!I39),2)-K39-'Calc base'!U39)</f>
        <v>0</v>
      </c>
      <c r="X39">
        <f>MAX(0,ROUND(AV38*(1+'Calc base'!J39),2)-L39-'Calc base'!V39)</f>
        <v>5334.83</v>
      </c>
      <c r="Y39">
        <f>MAX(0,ROUND(AW38*(1+'Calc base'!K39),2)-M39-'Calc base'!W39)</f>
        <v>7529.34</v>
      </c>
      <c r="Z39">
        <f>MAX(0,ROUND(AX38*(1+'Calc base'!L39),2)-N39-'Calc base'!X39)</f>
        <v>135</v>
      </c>
      <c r="AA39">
        <f>MAX(0,ROUND(AY38*(1+'Calc base'!M39),2)-O39-'Calc base'!Y39)</f>
        <v>1050</v>
      </c>
      <c r="AB39">
        <f>MAX(0,ROUND(AZ38*(1+'Calc base'!N39),2)-P39-'Calc base'!Z39)</f>
        <v>0</v>
      </c>
      <c r="AC39">
        <f>MAX(0,ROUND(BA38*(1+'Calc base'!O39),2)-Q39-'Calc base'!AA39)</f>
        <v>0</v>
      </c>
      <c r="AD39">
        <f>MAX(0,ROUND(BB38*(1+'Calc base'!P39),2)-R39-'Calc base'!AB39)</f>
        <v>0</v>
      </c>
      <c r="AE39">
        <f>MAX(0,ROUND(BC38*(1+'Calc base'!Q39),2)-S39-'Calc base'!AC39)</f>
        <v>0</v>
      </c>
      <c r="AF39">
        <f>MAX(0,ROUND(BD38*(1+'Calc base'!R39),2)-T39-'Calc base'!AD39)</f>
        <v>0</v>
      </c>
      <c r="AG39">
        <f>MAX(0,ROUND(BE38*(1+'Calc base'!S39),2)-U39-'Calc base'!AE39)</f>
        <v>0</v>
      </c>
      <c r="AH39">
        <f>IF('Calc base'!C$14=0,0,MIN(V39,MAX(0,$E39-SUMIFS($V39:$AG39,'Calc base'!$C$19:$N$19,"&lt;"&amp;'Calc base'!C$19,'Calc base'!$C$14:$N$14,1))))</f>
        <v>650</v>
      </c>
      <c r="AI39">
        <f>IF('Calc base'!D$14=0,0,MIN(W39,MAX(0,$E39-SUMIFS($V39:$AG39,'Calc base'!$C$19:$N$19,"&lt;"&amp;'Calc base'!D$19,'Calc base'!$C$14:$N$14,1))))</f>
        <v>0</v>
      </c>
      <c r="AJ39">
        <f>IF('Calc base'!E$14=0,0,MIN(X39,MAX(0,$E39-SUMIFS($V39:$AG39,'Calc base'!$C$19:$N$19,"&lt;"&amp;'Calc base'!E$19,'Calc base'!$C$14:$N$14,1))))</f>
        <v>0</v>
      </c>
      <c r="AK39">
        <f>IF('Calc base'!F$14=0,0,MIN(Y39,MAX(0,$E39-SUMIFS($V39:$AG39,'Calc base'!$C$19:$N$19,"&lt;"&amp;'Calc base'!F$19,'Calc base'!$C$14:$N$14,1))))</f>
        <v>0</v>
      </c>
      <c r="AL39">
        <f>IF('Calc base'!G$14=0,0,MIN(Z39,MAX(0,$E39-SUMIFS($V39:$AG39,'Calc base'!$C$19:$N$19,"&lt;"&amp;'Calc base'!G$19,'Calc base'!$C$14:$N$14,1))))</f>
        <v>0</v>
      </c>
      <c r="AM39">
        <f>IF('Calc base'!H$14=0,0,MIN(AA39,MAX(0,$E39-SUMIFS($V39:$AG39,'Calc base'!$C$19:$N$19,"&lt;"&amp;'Calc base'!H$19,'Calc base'!$C$14:$N$14,1))))</f>
        <v>0</v>
      </c>
      <c r="AN39">
        <f>IF('Calc base'!I$14=0,0,MIN(AB39,MAX(0,$E39-SUMIFS($V39:$AG39,'Calc base'!$C$19:$N$19,"&lt;"&amp;'Calc base'!I$19,'Calc base'!$C$14:$N$14,1))))</f>
        <v>0</v>
      </c>
      <c r="AO39">
        <f>IF('Calc base'!J$14=0,0,MIN(AC39,MAX(0,$E39-SUMIFS($V39:$AG39,'Calc base'!$C$19:$N$19,"&lt;"&amp;'Calc base'!J$19,'Calc base'!$C$14:$N$14,1))))</f>
        <v>0</v>
      </c>
      <c r="AP39">
        <f>IF('Calc base'!K$14=0,0,MIN(AD39,MAX(0,$E39-SUMIFS($V39:$AG39,'Calc base'!$C$19:$N$19,"&lt;"&amp;'Calc base'!K$19,'Calc base'!$C$14:$N$14,1))))</f>
        <v>0</v>
      </c>
      <c r="AQ39">
        <f>IF('Calc base'!L$14=0,0,MIN(AE39,MAX(0,$E39-SUMIFS($V39:$AG39,'Calc base'!$C$19:$N$19,"&lt;"&amp;'Calc base'!L$19,'Calc base'!$C$14:$N$14,1))))</f>
        <v>0</v>
      </c>
      <c r="AR39">
        <f>IF('Calc base'!M$14=0,0,MIN(AF39,MAX(0,$E39-SUMIFS($V39:$AG39,'Calc base'!$C$19:$N$19,"&lt;"&amp;'Calc base'!M$19,'Calc base'!$C$14:$N$14,1))))</f>
        <v>0</v>
      </c>
      <c r="AS39">
        <f>IF('Calc base'!N$14=0,0,MIN(AG39,MAX(0,$E39-SUMIFS($V39:$AG39,'Calc base'!$C$19:$N$19,"&lt;"&amp;'Calc base'!N$19,'Calc base'!$C$14:$N$14,1))))</f>
        <v>0</v>
      </c>
      <c r="AT39">
        <f>V39-AH39</f>
        <v>73.99</v>
      </c>
      <c r="AU39">
        <f>W39-AI39</f>
        <v>0</v>
      </c>
      <c r="AV39">
        <f>X39-AJ39</f>
        <v>5334.83</v>
      </c>
      <c r="AW39">
        <f>Y39-AK39</f>
        <v>7529.34</v>
      </c>
      <c r="AX39">
        <f>Z39-AL39</f>
        <v>135</v>
      </c>
      <c r="AY39">
        <f>AA39-AM39</f>
        <v>1050</v>
      </c>
      <c r="AZ39">
        <f>AB39-AN39</f>
        <v>0</v>
      </c>
      <c r="BA39">
        <f>AC39-AO39</f>
        <v>0</v>
      </c>
      <c r="BB39">
        <f>AD39-AP39</f>
        <v>0</v>
      </c>
      <c r="BC39">
        <f>AE39-AQ39</f>
        <v>0</v>
      </c>
      <c r="BD39">
        <f>AF39-AR39</f>
        <v>0</v>
      </c>
      <c r="BE39">
        <f>AG39-AS39</f>
        <v>0</v>
      </c>
    </row>
    <row r="40">
      <c r="A40" t="n">
        <v>10</v>
      </c>
      <c r="B40">
        <f>SUMPRODUCT(ROUND($AT39:$BE39*(1+'Calc base'!$H40:$S40),2))</f>
        <v>14205.39</v>
      </c>
      <c r="C40">
        <f>SUM(J40:U40)</f>
        <v>600</v>
      </c>
      <c r="D40">
        <f>SUM(V40:AG40)</f>
        <v>13605.39</v>
      </c>
      <c r="E40">
        <f>MAX(0,IF(Impostazioni!$B$7="No",'Calc base'!$C40-$C$31,'Calc base'!$C40-C40)+'Calc base'!$G40+'Calc base'!$F40-(B40-C40-D40))</f>
        <v>300</v>
      </c>
      <c r="F40">
        <f>SUM(AH40:AS40)</f>
        <v>300</v>
      </c>
      <c r="G40">
        <f>SUM(AT40:BE40)</f>
        <v>13305.39</v>
      </c>
      <c r="H40">
        <f>B40-G39</f>
        <v>82.2299999999996</v>
      </c>
      <c r="I40">
        <f>B40-G40</f>
        <v>900</v>
      </c>
      <c r="J40">
        <f>IF(AT39&lt;=0,0,IF(ROUND(AT39*(1+'Calc base'!H40),2)-MAX('Calc base'!C$12,ROUND('Calc base'!C$13*AT39,2))&lt;1,ROUND(AT39*(1+'Calc base'!H40),2),MAX('Calc base'!C$12,ROUND('Calc base'!C$13*AT39,2))))</f>
        <v>30</v>
      </c>
      <c r="K40">
        <f>IF(AU39&lt;=0,0,IF(ROUND(AU39*(1+'Calc base'!I40),2)-MAX('Calc base'!D$12,ROUND('Calc base'!D$13*AU39,2))&lt;1,ROUND(AU39*(1+'Calc base'!I40),2),MAX('Calc base'!D$12,ROUND('Calc base'!D$13*AU39,2))))</f>
        <v>0</v>
      </c>
      <c r="L40">
        <f>IF(AV39&lt;=0,0,IF(ROUND(AV39*(1+'Calc base'!J40),2)-MAX('Calc base'!E$12,ROUND('Calc base'!E$13*AV39,2))&lt;1,ROUND(AV39*(1+'Calc base'!J40),2),MAX('Calc base'!E$12,ROUND('Calc base'!E$13*AV39,2))))</f>
        <v>210</v>
      </c>
      <c r="M40">
        <f>IF(AW39&lt;=0,0,IF(ROUND(AW39*(1+'Calc base'!K40),2)-MAX('Calc base'!F$12,ROUND('Calc base'!F$13*AW39,2))&lt;1,ROUND(AW39*(1+'Calc base'!K40),2),MAX('Calc base'!F$12,ROUND('Calc base'!F$13*AW39,2))))</f>
        <v>265</v>
      </c>
      <c r="N40">
        <f>IF(AX39&lt;=0,0,IF(ROUND(AX39*(1+'Calc base'!L40),2)-MAX('Calc base'!G$12,ROUND('Calc base'!G$13*AX39,2))&lt;1,ROUND(AX39*(1+'Calc base'!L40),2),MAX('Calc base'!G$12,ROUND('Calc base'!G$13*AX39,2))))</f>
        <v>45</v>
      </c>
      <c r="O40">
        <f>IF(AY39&lt;=0,0,IF(ROUND(AY39*(1+'Calc base'!M40),2)-MAX('Calc base'!H$12,ROUND('Calc base'!H$13*AY39,2))&lt;1,ROUND(AY39*(1+'Calc base'!M40),2),MAX('Calc base'!H$12,ROUND('Calc base'!H$13*AY39,2))))</f>
        <v>50</v>
      </c>
      <c r="P40">
        <f>IF(AZ39&lt;=0,0,IF(ROUND(AZ39*(1+'Calc base'!N40),2)-MAX('Calc base'!I$12,ROUND('Calc base'!I$13*AZ39,2))&lt;1,ROUND(AZ39*(1+'Calc base'!N40),2),MAX('Calc base'!I$12,ROUND('Calc base'!I$13*AZ39,2))))</f>
        <v>0</v>
      </c>
      <c r="Q40">
        <f>IF(BA39&lt;=0,0,IF(ROUND(BA39*(1+'Calc base'!O40),2)-MAX('Calc base'!J$12,ROUND('Calc base'!J$13*BA39,2))&lt;1,ROUND(BA39*(1+'Calc base'!O40),2),MAX('Calc base'!J$12,ROUND('Calc base'!J$13*BA39,2))))</f>
        <v>0</v>
      </c>
      <c r="R40">
        <f>IF(BB39&lt;=0,0,IF(ROUND(BB39*(1+'Calc base'!P40),2)-MAX('Calc base'!K$12,ROUND('Calc base'!K$13*BB39,2))&lt;1,ROUND(BB39*(1+'Calc base'!P40),2),MAX('Calc base'!K$12,ROUND('Calc base'!K$13*BB39,2))))</f>
        <v>0</v>
      </c>
      <c r="S40">
        <f>IF(BC39&lt;=0,0,IF(ROUND(BC39*(1+'Calc base'!Q40),2)-MAX('Calc base'!L$12,ROUND('Calc base'!L$13*BC39,2))&lt;1,ROUND(BC39*(1+'Calc base'!Q40),2),MAX('Calc base'!L$12,ROUND('Calc base'!L$13*BC39,2))))</f>
        <v>0</v>
      </c>
      <c r="T40">
        <f>IF(BD39&lt;=0,0,IF(ROUND(BD39*(1+'Calc base'!R40),2)-MAX('Calc base'!M$12,ROUND('Calc base'!M$13*BD39,2))&lt;1,ROUND(BD39*(1+'Calc base'!R40),2),MAX('Calc base'!M$12,ROUND('Calc base'!M$13*BD39,2))))</f>
        <v>0</v>
      </c>
      <c r="U40">
        <f>IF(BE39&lt;=0,0,IF(ROUND(BE39*(1+'Calc base'!S40),2)-MAX('Calc base'!N$12,ROUND('Calc base'!N$13*BE39,2))&lt;1,ROUND(BE39*(1+'Calc base'!S40),2),MAX('Calc base'!N$12,ROUND('Calc base'!N$13*BE39,2))))</f>
        <v>0</v>
      </c>
      <c r="V40">
        <f>MAX(0,ROUND(AT39*(1+'Calc base'!H40),2)-J40-'Calc base'!T40)</f>
        <v>45.16</v>
      </c>
      <c r="W40">
        <f>MAX(0,ROUND(AU39*(1+'Calc base'!I40),2)-K40-'Calc base'!U40)</f>
        <v>0</v>
      </c>
      <c r="X40">
        <f>MAX(0,ROUND(AV39*(1+'Calc base'!J40),2)-L40-'Calc base'!V40)</f>
        <v>5165.73</v>
      </c>
      <c r="Y40">
        <f>MAX(0,ROUND(AW39*(1+'Calc base'!K40),2)-M40-'Calc base'!W40)</f>
        <v>7304.5</v>
      </c>
      <c r="Z40">
        <f>MAX(0,ROUND(AX39*(1+'Calc base'!L40),2)-N40-'Calc base'!X40)</f>
        <v>90</v>
      </c>
      <c r="AA40">
        <f>MAX(0,ROUND(AY39*(1+'Calc base'!M40),2)-O40-'Calc base'!Y40)</f>
        <v>1000</v>
      </c>
      <c r="AB40">
        <f>MAX(0,ROUND(AZ39*(1+'Calc base'!N40),2)-P40-'Calc base'!Z40)</f>
        <v>0</v>
      </c>
      <c r="AC40">
        <f>MAX(0,ROUND(BA39*(1+'Calc base'!O40),2)-Q40-'Calc base'!AA40)</f>
        <v>0</v>
      </c>
      <c r="AD40">
        <f>MAX(0,ROUND(BB39*(1+'Calc base'!P40),2)-R40-'Calc base'!AB40)</f>
        <v>0</v>
      </c>
      <c r="AE40">
        <f>MAX(0,ROUND(BC39*(1+'Calc base'!Q40),2)-S40-'Calc base'!AC40)</f>
        <v>0</v>
      </c>
      <c r="AF40">
        <f>MAX(0,ROUND(BD39*(1+'Calc base'!R40),2)-T40-'Calc base'!AD40)</f>
        <v>0</v>
      </c>
      <c r="AG40">
        <f>MAX(0,ROUND(BE39*(1+'Calc base'!S40),2)-U40-'Calc base'!AE40)</f>
        <v>0</v>
      </c>
      <c r="AH40">
        <f>IF('Calc base'!C$14=0,0,MIN(V40,MAX(0,$E40-SUMIFS($V40:$AG40,'Calc base'!$C$19:$N$19,"&lt;"&amp;'Calc base'!C$19,'Calc base'!$C$14:$N$14,1))))</f>
        <v>45.16</v>
      </c>
      <c r="AI40">
        <f>IF('Calc base'!D$14=0,0,MIN(W40,MAX(0,$E40-SUMIFS($V40:$AG40,'Calc base'!$C$19:$N$19,"&lt;"&amp;'Calc base'!D$19,'Calc base'!$C$14:$N$14,1))))</f>
        <v>0</v>
      </c>
      <c r="AJ40">
        <f>IF('Calc base'!E$14=0,0,MIN(X40,MAX(0,$E40-SUMIFS($V40:$AG40,'Calc base'!$C$19:$N$19,"&lt;"&amp;'Calc base'!E$19,'Calc base'!$C$14:$N$14,1))))</f>
        <v>254.84</v>
      </c>
      <c r="AK40">
        <f>IF('Calc base'!F$14=0,0,MIN(Y40,MAX(0,$E40-SUMIFS($V40:$AG40,'Calc base'!$C$19:$N$19,"&lt;"&amp;'Calc base'!F$19,'Calc base'!$C$14:$N$14,1))))</f>
        <v>0</v>
      </c>
      <c r="AL40">
        <f>IF('Calc base'!G$14=0,0,MIN(Z40,MAX(0,$E40-SUMIFS($V40:$AG40,'Calc base'!$C$19:$N$19,"&lt;"&amp;'Calc base'!G$19,'Calc base'!$C$14:$N$14,1))))</f>
        <v>0</v>
      </c>
      <c r="AM40">
        <f>IF('Calc base'!H$14=0,0,MIN(AA40,MAX(0,$E40-SUMIFS($V40:$AG40,'Calc base'!$C$19:$N$19,"&lt;"&amp;'Calc base'!H$19,'Calc base'!$C$14:$N$14,1))))</f>
        <v>0</v>
      </c>
      <c r="AN40">
        <f>IF('Calc base'!I$14=0,0,MIN(AB40,MAX(0,$E40-SUMIFS($V40:$AG40,'Calc base'!$C$19:$N$19,"&lt;"&amp;'Calc base'!I$19,'Calc base'!$C$14:$N$14,1))))</f>
        <v>0</v>
      </c>
      <c r="AO40">
        <f>IF('Calc base'!J$14=0,0,MIN(AC40,MAX(0,$E40-SUMIFS($V40:$AG40,'Calc base'!$C$19:$N$19,"&lt;"&amp;'Calc base'!J$19,'Calc base'!$C$14:$N$14,1))))</f>
        <v>0</v>
      </c>
      <c r="AP40">
        <f>IF('Calc base'!K$14=0,0,MIN(AD40,MAX(0,$E40-SUMIFS($V40:$AG40,'Calc base'!$C$19:$N$19,"&lt;"&amp;'Calc base'!K$19,'Calc base'!$C$14:$N$14,1))))</f>
        <v>0</v>
      </c>
      <c r="AQ40">
        <f>IF('Calc base'!L$14=0,0,MIN(AE40,MAX(0,$E40-SUMIFS($V40:$AG40,'Calc base'!$C$19:$N$19,"&lt;"&amp;'Calc base'!L$19,'Calc base'!$C$14:$N$14,1))))</f>
        <v>0</v>
      </c>
      <c r="AR40">
        <f>IF('Calc base'!M$14=0,0,MIN(AF40,MAX(0,$E40-SUMIFS($V40:$AG40,'Calc base'!$C$19:$N$19,"&lt;"&amp;'Calc base'!M$19,'Calc base'!$C$14:$N$14,1))))</f>
        <v>0</v>
      </c>
      <c r="AS40">
        <f>IF('Calc base'!N$14=0,0,MIN(AG40,MAX(0,$E40-SUMIFS($V40:$AG40,'Calc base'!$C$19:$N$19,"&lt;"&amp;'Calc base'!N$19,'Calc base'!$C$14:$N$14,1))))</f>
        <v>0</v>
      </c>
      <c r="AT40">
        <f>V40-AH40</f>
        <v>0</v>
      </c>
      <c r="AU40">
        <f>W40-AI40</f>
        <v>0</v>
      </c>
      <c r="AV40">
        <f>X40-AJ40</f>
        <v>4910.89</v>
      </c>
      <c r="AW40">
        <f>Y40-AK40</f>
        <v>7304.5</v>
      </c>
      <c r="AX40">
        <f>Z40-AL40</f>
        <v>90</v>
      </c>
      <c r="AY40">
        <f>AA40-AM40</f>
        <v>1000</v>
      </c>
      <c r="AZ40">
        <f>AB40-AN40</f>
        <v>0</v>
      </c>
      <c r="BA40">
        <f>AC40-AO40</f>
        <v>0</v>
      </c>
      <c r="BB40">
        <f>AD40-AP40</f>
        <v>0</v>
      </c>
      <c r="BC40">
        <f>AE40-AQ40</f>
        <v>0</v>
      </c>
      <c r="BD40">
        <f>AF40-AR40</f>
        <v>0</v>
      </c>
      <c r="BE40">
        <f>AG40-AS40</f>
        <v>0</v>
      </c>
    </row>
    <row r="41">
      <c r="A41" t="n">
        <v>11</v>
      </c>
      <c r="B41">
        <f>SUMPRODUCT(ROUND($AT40:$BE40*(1+'Calc base'!$H41:$S41),2))</f>
        <v>13382</v>
      </c>
      <c r="C41">
        <f>SUM(J41:U41)</f>
        <v>570</v>
      </c>
      <c r="D41">
        <f>SUM(V41:AG41)</f>
        <v>12812</v>
      </c>
      <c r="E41">
        <f>MAX(0,IF(Impostazioni!$B$7="No",'Calc base'!$C41-$C$31,'Calc base'!$C41-C41)+'Calc base'!$G41+'Calc base'!$F41-(B41-C41-D41))</f>
        <v>330</v>
      </c>
      <c r="F41">
        <f>SUM(AH41:AS41)</f>
        <v>330</v>
      </c>
      <c r="G41">
        <f>SUM(AT41:BE41)</f>
        <v>12482</v>
      </c>
      <c r="H41">
        <f>B41-G40</f>
        <v>76.6100000000006</v>
      </c>
      <c r="I41">
        <f>B41-G41</f>
        <v>900</v>
      </c>
      <c r="J41">
        <f>IF(AT40&lt;=0,0,IF(ROUND(AT40*(1+'Calc base'!H41),2)-MAX('Calc base'!C$12,ROUND('Calc base'!C$13*AT40,2))&lt;1,ROUND(AT40*(1+'Calc base'!H41),2),MAX('Calc base'!C$12,ROUND('Calc base'!C$13*AT40,2))))</f>
        <v>0</v>
      </c>
      <c r="K41">
        <f>IF(AU40&lt;=0,0,IF(ROUND(AU40*(1+'Calc base'!I41),2)-MAX('Calc base'!D$12,ROUND('Calc base'!D$13*AU40,2))&lt;1,ROUND(AU40*(1+'Calc base'!I41),2),MAX('Calc base'!D$12,ROUND('Calc base'!D$13*AU40,2))))</f>
        <v>0</v>
      </c>
      <c r="L41">
        <f>IF(AV40&lt;=0,0,IF(ROUND(AV40*(1+'Calc base'!J41),2)-MAX('Calc base'!E$12,ROUND('Calc base'!E$13*AV40,2))&lt;1,ROUND(AV40*(1+'Calc base'!J41),2),MAX('Calc base'!E$12,ROUND('Calc base'!E$13*AV40,2))))</f>
        <v>210</v>
      </c>
      <c r="M41">
        <f>IF(AW40&lt;=0,0,IF(ROUND(AW40*(1+'Calc base'!K41),2)-MAX('Calc base'!F$12,ROUND('Calc base'!F$13*AW40,2))&lt;1,ROUND(AW40*(1+'Calc base'!K41),2),MAX('Calc base'!F$12,ROUND('Calc base'!F$13*AW40,2))))</f>
        <v>265</v>
      </c>
      <c r="N41">
        <f>IF(AX40&lt;=0,0,IF(ROUND(AX40*(1+'Calc base'!L41),2)-MAX('Calc base'!G$12,ROUND('Calc base'!G$13*AX40,2))&lt;1,ROUND(AX40*(1+'Calc base'!L41),2),MAX('Calc base'!G$12,ROUND('Calc base'!G$13*AX40,2))))</f>
        <v>45</v>
      </c>
      <c r="O41">
        <f>IF(AY40&lt;=0,0,IF(ROUND(AY40*(1+'Calc base'!M41),2)-MAX('Calc base'!H$12,ROUND('Calc base'!H$13*AY40,2))&lt;1,ROUND(AY40*(1+'Calc base'!M41),2),MAX('Calc base'!H$12,ROUND('Calc base'!H$13*AY40,2))))</f>
        <v>50</v>
      </c>
      <c r="P41">
        <f>IF(AZ40&lt;=0,0,IF(ROUND(AZ40*(1+'Calc base'!N41),2)-MAX('Calc base'!I$12,ROUND('Calc base'!I$13*AZ40,2))&lt;1,ROUND(AZ40*(1+'Calc base'!N41),2),MAX('Calc base'!I$12,ROUND('Calc base'!I$13*AZ40,2))))</f>
        <v>0</v>
      </c>
      <c r="Q41">
        <f>IF(BA40&lt;=0,0,IF(ROUND(BA40*(1+'Calc base'!O41),2)-MAX('Calc base'!J$12,ROUND('Calc base'!J$13*BA40,2))&lt;1,ROUND(BA40*(1+'Calc base'!O41),2),MAX('Calc base'!J$12,ROUND('Calc base'!J$13*BA40,2))))</f>
        <v>0</v>
      </c>
      <c r="R41">
        <f>IF(BB40&lt;=0,0,IF(ROUND(BB40*(1+'Calc base'!P41),2)-MAX('Calc base'!K$12,ROUND('Calc base'!K$13*BB40,2))&lt;1,ROUND(BB40*(1+'Calc base'!P41),2),MAX('Calc base'!K$12,ROUND('Calc base'!K$13*BB40,2))))</f>
        <v>0</v>
      </c>
      <c r="S41">
        <f>IF(BC40&lt;=0,0,IF(ROUND(BC40*(1+'Calc base'!Q41),2)-MAX('Calc base'!L$12,ROUND('Calc base'!L$13*BC40,2))&lt;1,ROUND(BC40*(1+'Calc base'!Q41),2),MAX('Calc base'!L$12,ROUND('Calc base'!L$13*BC40,2))))</f>
        <v>0</v>
      </c>
      <c r="T41">
        <f>IF(BD40&lt;=0,0,IF(ROUND(BD40*(1+'Calc base'!R41),2)-MAX('Calc base'!M$12,ROUND('Calc base'!M$13*BD40,2))&lt;1,ROUND(BD40*(1+'Calc base'!R41),2),MAX('Calc base'!M$12,ROUND('Calc base'!M$13*BD40,2))))</f>
        <v>0</v>
      </c>
      <c r="U41">
        <f>IF(BE40&lt;=0,0,IF(ROUND(BE40*(1+'Calc base'!S41),2)-MAX('Calc base'!N$12,ROUND('Calc base'!N$13*BE40,2))&lt;1,ROUND(BE40*(1+'Calc base'!S41),2),MAX('Calc base'!N$12,ROUND('Calc base'!N$13*BE40,2))))</f>
        <v>0</v>
      </c>
      <c r="V41">
        <f>MAX(0,ROUND(AT40*(1+'Calc base'!H41),2)-J41-'Calc base'!T41)</f>
        <v>0</v>
      </c>
      <c r="W41">
        <f>MAX(0,ROUND(AU40*(1+'Calc base'!I41),2)-K41-'Calc base'!U41)</f>
        <v>0</v>
      </c>
      <c r="X41">
        <f>MAX(0,ROUND(AV40*(1+'Calc base'!J41),2)-L41-'Calc base'!V41)</f>
        <v>4738.54</v>
      </c>
      <c r="Y41">
        <f>MAX(0,ROUND(AW40*(1+'Calc base'!K41),2)-M41-'Calc base'!W41)</f>
        <v>7078.46</v>
      </c>
      <c r="Z41">
        <f>MAX(0,ROUND(AX40*(1+'Calc base'!L41),2)-N41-'Calc base'!X41)</f>
        <v>45</v>
      </c>
      <c r="AA41">
        <f>MAX(0,ROUND(AY40*(1+'Calc base'!M41),2)-O41-'Calc base'!Y41)</f>
        <v>950</v>
      </c>
      <c r="AB41">
        <f>MAX(0,ROUND(AZ40*(1+'Calc base'!N41),2)-P41-'Calc base'!Z41)</f>
        <v>0</v>
      </c>
      <c r="AC41">
        <f>MAX(0,ROUND(BA40*(1+'Calc base'!O41),2)-Q41-'Calc base'!AA41)</f>
        <v>0</v>
      </c>
      <c r="AD41">
        <f>MAX(0,ROUND(BB40*(1+'Calc base'!P41),2)-R41-'Calc base'!AB41)</f>
        <v>0</v>
      </c>
      <c r="AE41">
        <f>MAX(0,ROUND(BC40*(1+'Calc base'!Q41),2)-S41-'Calc base'!AC41)</f>
        <v>0</v>
      </c>
      <c r="AF41">
        <f>MAX(0,ROUND(BD40*(1+'Calc base'!R41),2)-T41-'Calc base'!AD41)</f>
        <v>0</v>
      </c>
      <c r="AG41">
        <f>MAX(0,ROUND(BE40*(1+'Calc base'!S41),2)-U41-'Calc base'!AE41)</f>
        <v>0</v>
      </c>
      <c r="AH41">
        <f>IF('Calc base'!C$14=0,0,MIN(V41,MAX(0,$E41-SUMIFS($V41:$AG41,'Calc base'!$C$19:$N$19,"&lt;"&amp;'Calc base'!C$19,'Calc base'!$C$14:$N$14,1))))</f>
        <v>0</v>
      </c>
      <c r="AI41">
        <f>IF('Calc base'!D$14=0,0,MIN(W41,MAX(0,$E41-SUMIFS($V41:$AG41,'Calc base'!$C$19:$N$19,"&lt;"&amp;'Calc base'!D$19,'Calc base'!$C$14:$N$14,1))))</f>
        <v>0</v>
      </c>
      <c r="AJ41">
        <f>IF('Calc base'!E$14=0,0,MIN(X41,MAX(0,$E41-SUMIFS($V41:$AG41,'Calc base'!$C$19:$N$19,"&lt;"&amp;'Calc base'!E$19,'Calc base'!$C$14:$N$14,1))))</f>
        <v>330</v>
      </c>
      <c r="AK41">
        <f>IF('Calc base'!F$14=0,0,MIN(Y41,MAX(0,$E41-SUMIFS($V41:$AG41,'Calc base'!$C$19:$N$19,"&lt;"&amp;'Calc base'!F$19,'Calc base'!$C$14:$N$14,1))))</f>
        <v>0</v>
      </c>
      <c r="AL41">
        <f>IF('Calc base'!G$14=0,0,MIN(Z41,MAX(0,$E41-SUMIFS($V41:$AG41,'Calc base'!$C$19:$N$19,"&lt;"&amp;'Calc base'!G$19,'Calc base'!$C$14:$N$14,1))))</f>
        <v>0</v>
      </c>
      <c r="AM41">
        <f>IF('Calc base'!H$14=0,0,MIN(AA41,MAX(0,$E41-SUMIFS($V41:$AG41,'Calc base'!$C$19:$N$19,"&lt;"&amp;'Calc base'!H$19,'Calc base'!$C$14:$N$14,1))))</f>
        <v>0</v>
      </c>
      <c r="AN41">
        <f>IF('Calc base'!I$14=0,0,MIN(AB41,MAX(0,$E41-SUMIFS($V41:$AG41,'Calc base'!$C$19:$N$19,"&lt;"&amp;'Calc base'!I$19,'Calc base'!$C$14:$N$14,1))))</f>
        <v>0</v>
      </c>
      <c r="AO41">
        <f>IF('Calc base'!J$14=0,0,MIN(AC41,MAX(0,$E41-SUMIFS($V41:$AG41,'Calc base'!$C$19:$N$19,"&lt;"&amp;'Calc base'!J$19,'Calc base'!$C$14:$N$14,1))))</f>
        <v>0</v>
      </c>
      <c r="AP41">
        <f>IF('Calc base'!K$14=0,0,MIN(AD41,MAX(0,$E41-SUMIFS($V41:$AG41,'Calc base'!$C$19:$N$19,"&lt;"&amp;'Calc base'!K$19,'Calc base'!$C$14:$N$14,1))))</f>
        <v>0</v>
      </c>
      <c r="AQ41">
        <f>IF('Calc base'!L$14=0,0,MIN(AE41,MAX(0,$E41-SUMIFS($V41:$AG41,'Calc base'!$C$19:$N$19,"&lt;"&amp;'Calc base'!L$19,'Calc base'!$C$14:$N$14,1))))</f>
        <v>0</v>
      </c>
      <c r="AR41">
        <f>IF('Calc base'!M$14=0,0,MIN(AF41,MAX(0,$E41-SUMIFS($V41:$AG41,'Calc base'!$C$19:$N$19,"&lt;"&amp;'Calc base'!M$19,'Calc base'!$C$14:$N$14,1))))</f>
        <v>0</v>
      </c>
      <c r="AS41">
        <f>IF('Calc base'!N$14=0,0,MIN(AG41,MAX(0,$E41-SUMIFS($V41:$AG41,'Calc base'!$C$19:$N$19,"&lt;"&amp;'Calc base'!N$19,'Calc base'!$C$14:$N$14,1))))</f>
        <v>0</v>
      </c>
      <c r="AT41">
        <f>V41-AH41</f>
        <v>0</v>
      </c>
      <c r="AU41">
        <f>W41-AI41</f>
        <v>0</v>
      </c>
      <c r="AV41">
        <f>X41-AJ41</f>
        <v>4408.54</v>
      </c>
      <c r="AW41">
        <f>Y41-AK41</f>
        <v>7078.46</v>
      </c>
      <c r="AX41">
        <f>Z41-AL41</f>
        <v>45</v>
      </c>
      <c r="AY41">
        <f>AA41-AM41</f>
        <v>950</v>
      </c>
      <c r="AZ41">
        <f>AB41-AN41</f>
        <v>0</v>
      </c>
      <c r="BA41">
        <f>AC41-AO41</f>
        <v>0</v>
      </c>
      <c r="BB41">
        <f>AD41-AP41</f>
        <v>0</v>
      </c>
      <c r="BC41">
        <f>AE41-AQ41</f>
        <v>0</v>
      </c>
      <c r="BD41">
        <f>AF41-AR41</f>
        <v>0</v>
      </c>
      <c r="BE41">
        <f>AG41-AS41</f>
        <v>0</v>
      </c>
    </row>
    <row r="42">
      <c r="A42" t="n">
        <v>12</v>
      </c>
      <c r="B42">
        <f>SUMPRODUCT(ROUND($AT41:$BE41*(1+'Calc base'!$H42:$S42),2))</f>
        <v>12553.55</v>
      </c>
      <c r="C42">
        <f>SUM(J42:U42)</f>
        <v>570</v>
      </c>
      <c r="D42">
        <f>SUM(V42:AG42)</f>
        <v>11983.55</v>
      </c>
      <c r="E42">
        <f>MAX(0,IF(Impostazioni!$B$7="No",'Calc base'!$C42-$C$31,'Calc base'!$C42-C42)+'Calc base'!$G42+'Calc base'!$F42-(B42-C42-D42))</f>
        <v>330</v>
      </c>
      <c r="F42">
        <f>SUM(AH42:AS42)</f>
        <v>330</v>
      </c>
      <c r="G42">
        <f>SUM(AT42:BE42)</f>
        <v>11653.55</v>
      </c>
      <c r="H42">
        <f>B42-G41</f>
        <v>71.5499999999993</v>
      </c>
      <c r="I42">
        <f>B42-G42</f>
        <v>900</v>
      </c>
      <c r="J42">
        <f>IF(AT41&lt;=0,0,IF(ROUND(AT41*(1+'Calc base'!H42),2)-MAX('Calc base'!C$12,ROUND('Calc base'!C$13*AT41,2))&lt;1,ROUND(AT41*(1+'Calc base'!H42),2),MAX('Calc base'!C$12,ROUND('Calc base'!C$13*AT41,2))))</f>
        <v>0</v>
      </c>
      <c r="K42">
        <f>IF(AU41&lt;=0,0,IF(ROUND(AU41*(1+'Calc base'!I42),2)-MAX('Calc base'!D$12,ROUND('Calc base'!D$13*AU41,2))&lt;1,ROUND(AU41*(1+'Calc base'!I42),2),MAX('Calc base'!D$12,ROUND('Calc base'!D$13*AU41,2))))</f>
        <v>0</v>
      </c>
      <c r="L42">
        <f>IF(AV41&lt;=0,0,IF(ROUND(AV41*(1+'Calc base'!J42),2)-MAX('Calc base'!E$12,ROUND('Calc base'!E$13*AV41,2))&lt;1,ROUND(AV41*(1+'Calc base'!J42),2),MAX('Calc base'!E$12,ROUND('Calc base'!E$13*AV41,2))))</f>
        <v>210</v>
      </c>
      <c r="M42">
        <f>IF(AW41&lt;=0,0,IF(ROUND(AW41*(1+'Calc base'!K42),2)-MAX('Calc base'!F$12,ROUND('Calc base'!F$13*AW41,2))&lt;1,ROUND(AW41*(1+'Calc base'!K42),2),MAX('Calc base'!F$12,ROUND('Calc base'!F$13*AW41,2))))</f>
        <v>265</v>
      </c>
      <c r="N42">
        <f>IF(AX41&lt;=0,0,IF(ROUND(AX41*(1+'Calc base'!L42),2)-MAX('Calc base'!G$12,ROUND('Calc base'!G$13*AX41,2))&lt;1,ROUND(AX41*(1+'Calc base'!L42),2),MAX('Calc base'!G$12,ROUND('Calc base'!G$13*AX41,2))))</f>
        <v>45</v>
      </c>
      <c r="O42">
        <f>IF(AY41&lt;=0,0,IF(ROUND(AY41*(1+'Calc base'!M42),2)-MAX('Calc base'!H$12,ROUND('Calc base'!H$13*AY41,2))&lt;1,ROUND(AY41*(1+'Calc base'!M42),2),MAX('Calc base'!H$12,ROUND('Calc base'!H$13*AY41,2))))</f>
        <v>50</v>
      </c>
      <c r="P42">
        <f>IF(AZ41&lt;=0,0,IF(ROUND(AZ41*(1+'Calc base'!N42),2)-MAX('Calc base'!I$12,ROUND('Calc base'!I$13*AZ41,2))&lt;1,ROUND(AZ41*(1+'Calc base'!N42),2),MAX('Calc base'!I$12,ROUND('Calc base'!I$13*AZ41,2))))</f>
        <v>0</v>
      </c>
      <c r="Q42">
        <f>IF(BA41&lt;=0,0,IF(ROUND(BA41*(1+'Calc base'!O42),2)-MAX('Calc base'!J$12,ROUND('Calc base'!J$13*BA41,2))&lt;1,ROUND(BA41*(1+'Calc base'!O42),2),MAX('Calc base'!J$12,ROUND('Calc base'!J$13*BA41,2))))</f>
        <v>0</v>
      </c>
      <c r="R42">
        <f>IF(BB41&lt;=0,0,IF(ROUND(BB41*(1+'Calc base'!P42),2)-MAX('Calc base'!K$12,ROUND('Calc base'!K$13*BB41,2))&lt;1,ROUND(BB41*(1+'Calc base'!P42),2),MAX('Calc base'!K$12,ROUND('Calc base'!K$13*BB41,2))))</f>
        <v>0</v>
      </c>
      <c r="S42">
        <f>IF(BC41&lt;=0,0,IF(ROUND(BC41*(1+'Calc base'!Q42),2)-MAX('Calc base'!L$12,ROUND('Calc base'!L$13*BC41,2))&lt;1,ROUND(BC41*(1+'Calc base'!Q42),2),MAX('Calc base'!L$12,ROUND('Calc base'!L$13*BC41,2))))</f>
        <v>0</v>
      </c>
      <c r="T42">
        <f>IF(BD41&lt;=0,0,IF(ROUND(BD41*(1+'Calc base'!R42),2)-MAX('Calc base'!M$12,ROUND('Calc base'!M$13*BD41,2))&lt;1,ROUND(BD41*(1+'Calc base'!R42),2),MAX('Calc base'!M$12,ROUND('Calc base'!M$13*BD41,2))))</f>
        <v>0</v>
      </c>
      <c r="U42">
        <f>IF(BE41&lt;=0,0,IF(ROUND(BE41*(1+'Calc base'!S42),2)-MAX('Calc base'!N$12,ROUND('Calc base'!N$13*BE41,2))&lt;1,ROUND(BE41*(1+'Calc base'!S42),2),MAX('Calc base'!N$12,ROUND('Calc base'!N$13*BE41,2))))</f>
        <v>0</v>
      </c>
      <c r="V42">
        <f>MAX(0,ROUND(AT41*(1+'Calc base'!H42),2)-J42-'Calc base'!T42)</f>
        <v>0</v>
      </c>
      <c r="W42">
        <f>MAX(0,ROUND(AU41*(1+'Calc base'!I42),2)-K42-'Calc base'!U42)</f>
        <v>0</v>
      </c>
      <c r="X42">
        <f>MAX(0,ROUND(AV41*(1+'Calc base'!J42),2)-L42-'Calc base'!V42)</f>
        <v>4232.34</v>
      </c>
      <c r="Y42">
        <f>MAX(0,ROUND(AW41*(1+'Calc base'!K42),2)-M42-'Calc base'!W42)</f>
        <v>6851.21</v>
      </c>
      <c r="Z42">
        <f>MAX(0,ROUND(AX41*(1+'Calc base'!L42),2)-N42-'Calc base'!X42)</f>
        <v>0</v>
      </c>
      <c r="AA42">
        <f>MAX(0,ROUND(AY41*(1+'Calc base'!M42),2)-O42-'Calc base'!Y42)</f>
        <v>900</v>
      </c>
      <c r="AB42">
        <f>MAX(0,ROUND(AZ41*(1+'Calc base'!N42),2)-P42-'Calc base'!Z42)</f>
        <v>0</v>
      </c>
      <c r="AC42">
        <f>MAX(0,ROUND(BA41*(1+'Calc base'!O42),2)-Q42-'Calc base'!AA42)</f>
        <v>0</v>
      </c>
      <c r="AD42">
        <f>MAX(0,ROUND(BB41*(1+'Calc base'!P42),2)-R42-'Calc base'!AB42)</f>
        <v>0</v>
      </c>
      <c r="AE42">
        <f>MAX(0,ROUND(BC41*(1+'Calc base'!Q42),2)-S42-'Calc base'!AC42)</f>
        <v>0</v>
      </c>
      <c r="AF42">
        <f>MAX(0,ROUND(BD41*(1+'Calc base'!R42),2)-T42-'Calc base'!AD42)</f>
        <v>0</v>
      </c>
      <c r="AG42">
        <f>MAX(0,ROUND(BE41*(1+'Calc base'!S42),2)-U42-'Calc base'!AE42)</f>
        <v>0</v>
      </c>
      <c r="AH42">
        <f>IF('Calc base'!C$14=0,0,MIN(V42,MAX(0,$E42-SUMIFS($V42:$AG42,'Calc base'!$C$19:$N$19,"&lt;"&amp;'Calc base'!C$19,'Calc base'!$C$14:$N$14,1))))</f>
        <v>0</v>
      </c>
      <c r="AI42">
        <f>IF('Calc base'!D$14=0,0,MIN(W42,MAX(0,$E42-SUMIFS($V42:$AG42,'Calc base'!$C$19:$N$19,"&lt;"&amp;'Calc base'!D$19,'Calc base'!$C$14:$N$14,1))))</f>
        <v>0</v>
      </c>
      <c r="AJ42">
        <f>IF('Calc base'!E$14=0,0,MIN(X42,MAX(0,$E42-SUMIFS($V42:$AG42,'Calc base'!$C$19:$N$19,"&lt;"&amp;'Calc base'!E$19,'Calc base'!$C$14:$N$14,1))))</f>
        <v>330</v>
      </c>
      <c r="AK42">
        <f>IF('Calc base'!F$14=0,0,MIN(Y42,MAX(0,$E42-SUMIFS($V42:$AG42,'Calc base'!$C$19:$N$19,"&lt;"&amp;'Calc base'!F$19,'Calc base'!$C$14:$N$14,1))))</f>
        <v>0</v>
      </c>
      <c r="AL42">
        <f>IF('Calc base'!G$14=0,0,MIN(Z42,MAX(0,$E42-SUMIFS($V42:$AG42,'Calc base'!$C$19:$N$19,"&lt;"&amp;'Calc base'!G$19,'Calc base'!$C$14:$N$14,1))))</f>
        <v>0</v>
      </c>
      <c r="AM42">
        <f>IF('Calc base'!H$14=0,0,MIN(AA42,MAX(0,$E42-SUMIFS($V42:$AG42,'Calc base'!$C$19:$N$19,"&lt;"&amp;'Calc base'!H$19,'Calc base'!$C$14:$N$14,1))))</f>
        <v>0</v>
      </c>
      <c r="AN42">
        <f>IF('Calc base'!I$14=0,0,MIN(AB42,MAX(0,$E42-SUMIFS($V42:$AG42,'Calc base'!$C$19:$N$19,"&lt;"&amp;'Calc base'!I$19,'Calc base'!$C$14:$N$14,1))))</f>
        <v>0</v>
      </c>
      <c r="AO42">
        <f>IF('Calc base'!J$14=0,0,MIN(AC42,MAX(0,$E42-SUMIFS($V42:$AG42,'Calc base'!$C$19:$N$19,"&lt;"&amp;'Calc base'!J$19,'Calc base'!$C$14:$N$14,1))))</f>
        <v>0</v>
      </c>
      <c r="AP42">
        <f>IF('Calc base'!K$14=0,0,MIN(AD42,MAX(0,$E42-SUMIFS($V42:$AG42,'Calc base'!$C$19:$N$19,"&lt;"&amp;'Calc base'!K$19,'Calc base'!$C$14:$N$14,1))))</f>
        <v>0</v>
      </c>
      <c r="AQ42">
        <f>IF('Calc base'!L$14=0,0,MIN(AE42,MAX(0,$E42-SUMIFS($V42:$AG42,'Calc base'!$C$19:$N$19,"&lt;"&amp;'Calc base'!L$19,'Calc base'!$C$14:$N$14,1))))</f>
        <v>0</v>
      </c>
      <c r="AR42">
        <f>IF('Calc base'!M$14=0,0,MIN(AF42,MAX(0,$E42-SUMIFS($V42:$AG42,'Calc base'!$C$19:$N$19,"&lt;"&amp;'Calc base'!M$19,'Calc base'!$C$14:$N$14,1))))</f>
        <v>0</v>
      </c>
      <c r="AS42">
        <f>IF('Calc base'!N$14=0,0,MIN(AG42,MAX(0,$E42-SUMIFS($V42:$AG42,'Calc base'!$C$19:$N$19,"&lt;"&amp;'Calc base'!N$19,'Calc base'!$C$14:$N$14,1))))</f>
        <v>0</v>
      </c>
      <c r="AT42">
        <f>V42-AH42</f>
        <v>0</v>
      </c>
      <c r="AU42">
        <f>W42-AI42</f>
        <v>0</v>
      </c>
      <c r="AV42">
        <f>X42-AJ42</f>
        <v>3902.34</v>
      </c>
      <c r="AW42">
        <f>Y42-AK42</f>
        <v>6851.21</v>
      </c>
      <c r="AX42">
        <f>Z42-AL42</f>
        <v>0</v>
      </c>
      <c r="AY42">
        <f>AA42-AM42</f>
        <v>900</v>
      </c>
      <c r="AZ42">
        <f>AB42-AN42</f>
        <v>0</v>
      </c>
      <c r="BA42">
        <f>AC42-AO42</f>
        <v>0</v>
      </c>
      <c r="BB42">
        <f>AD42-AP42</f>
        <v>0</v>
      </c>
      <c r="BC42">
        <f>AE42-AQ42</f>
        <v>0</v>
      </c>
      <c r="BD42">
        <f>AF42-AR42</f>
        <v>0</v>
      </c>
      <c r="BE42">
        <f>AG42-AS42</f>
        <v>0</v>
      </c>
    </row>
    <row r="43">
      <c r="A43" t="n">
        <v>13</v>
      </c>
      <c r="B43">
        <f>SUMPRODUCT(ROUND($AT42:$BE42*(1+'Calc base'!$H43:$S43),2))</f>
        <v>11720.01</v>
      </c>
      <c r="C43">
        <f>SUM(J43:U43)</f>
        <v>525</v>
      </c>
      <c r="D43">
        <f>SUM(V43:AG43)</f>
        <v>11195.01</v>
      </c>
      <c r="E43">
        <f>MAX(0,IF(Impostazioni!$B$7="No",'Calc base'!$C43-$C$31,'Calc base'!$C43-C43)+'Calc base'!$G43+'Calc base'!$F43-(B43-C43-D43))</f>
        <v>375</v>
      </c>
      <c r="F43">
        <f>SUM(AH43:AS43)</f>
        <v>375</v>
      </c>
      <c r="G43">
        <f>SUM(AT43:BE43)</f>
        <v>10820.01</v>
      </c>
      <c r="H43">
        <f>B43-G42</f>
        <v>66.460000000001</v>
      </c>
      <c r="I43">
        <f>B43-G43</f>
        <v>900</v>
      </c>
      <c r="J43">
        <f>IF(AT42&lt;=0,0,IF(ROUND(AT42*(1+'Calc base'!H43),2)-MAX('Calc base'!C$12,ROUND('Calc base'!C$13*AT42,2))&lt;1,ROUND(AT42*(1+'Calc base'!H43),2),MAX('Calc base'!C$12,ROUND('Calc base'!C$13*AT42,2))))</f>
        <v>0</v>
      </c>
      <c r="K43">
        <f>IF(AU42&lt;=0,0,IF(ROUND(AU42*(1+'Calc base'!I43),2)-MAX('Calc base'!D$12,ROUND('Calc base'!D$13*AU42,2))&lt;1,ROUND(AU42*(1+'Calc base'!I43),2),MAX('Calc base'!D$12,ROUND('Calc base'!D$13*AU42,2))))</f>
        <v>0</v>
      </c>
      <c r="L43">
        <f>IF(AV42&lt;=0,0,IF(ROUND(AV42*(1+'Calc base'!J43),2)-MAX('Calc base'!E$12,ROUND('Calc base'!E$13*AV42,2))&lt;1,ROUND(AV42*(1+'Calc base'!J43),2),MAX('Calc base'!E$12,ROUND('Calc base'!E$13*AV42,2))))</f>
        <v>210</v>
      </c>
      <c r="M43">
        <f>IF(AW42&lt;=0,0,IF(ROUND(AW42*(1+'Calc base'!K43),2)-MAX('Calc base'!F$12,ROUND('Calc base'!F$13*AW42,2))&lt;1,ROUND(AW42*(1+'Calc base'!K43),2),MAX('Calc base'!F$12,ROUND('Calc base'!F$13*AW42,2))))</f>
        <v>265</v>
      </c>
      <c r="N43">
        <f>IF(AX42&lt;=0,0,IF(ROUND(AX42*(1+'Calc base'!L43),2)-MAX('Calc base'!G$12,ROUND('Calc base'!G$13*AX42,2))&lt;1,ROUND(AX42*(1+'Calc base'!L43),2),MAX('Calc base'!G$12,ROUND('Calc base'!G$13*AX42,2))))</f>
        <v>0</v>
      </c>
      <c r="O43">
        <f>IF(AY42&lt;=0,0,IF(ROUND(AY42*(1+'Calc base'!M43),2)-MAX('Calc base'!H$12,ROUND('Calc base'!H$13*AY42,2))&lt;1,ROUND(AY42*(1+'Calc base'!M43),2),MAX('Calc base'!H$12,ROUND('Calc base'!H$13*AY42,2))))</f>
        <v>50</v>
      </c>
      <c r="P43">
        <f>IF(AZ42&lt;=0,0,IF(ROUND(AZ42*(1+'Calc base'!N43),2)-MAX('Calc base'!I$12,ROUND('Calc base'!I$13*AZ42,2))&lt;1,ROUND(AZ42*(1+'Calc base'!N43),2),MAX('Calc base'!I$12,ROUND('Calc base'!I$13*AZ42,2))))</f>
        <v>0</v>
      </c>
      <c r="Q43">
        <f>IF(BA42&lt;=0,0,IF(ROUND(BA42*(1+'Calc base'!O43),2)-MAX('Calc base'!J$12,ROUND('Calc base'!J$13*BA42,2))&lt;1,ROUND(BA42*(1+'Calc base'!O43),2),MAX('Calc base'!J$12,ROUND('Calc base'!J$13*BA42,2))))</f>
        <v>0</v>
      </c>
      <c r="R43">
        <f>IF(BB42&lt;=0,0,IF(ROUND(BB42*(1+'Calc base'!P43),2)-MAX('Calc base'!K$12,ROUND('Calc base'!K$13*BB42,2))&lt;1,ROUND(BB42*(1+'Calc base'!P43),2),MAX('Calc base'!K$12,ROUND('Calc base'!K$13*BB42,2))))</f>
        <v>0</v>
      </c>
      <c r="S43">
        <f>IF(BC42&lt;=0,0,IF(ROUND(BC42*(1+'Calc base'!Q43),2)-MAX('Calc base'!L$12,ROUND('Calc base'!L$13*BC42,2))&lt;1,ROUND(BC42*(1+'Calc base'!Q43),2),MAX('Calc base'!L$12,ROUND('Calc base'!L$13*BC42,2))))</f>
        <v>0</v>
      </c>
      <c r="T43">
        <f>IF(BD42&lt;=0,0,IF(ROUND(BD42*(1+'Calc base'!R43),2)-MAX('Calc base'!M$12,ROUND('Calc base'!M$13*BD42,2))&lt;1,ROUND(BD42*(1+'Calc base'!R43),2),MAX('Calc base'!M$12,ROUND('Calc base'!M$13*BD42,2))))</f>
        <v>0</v>
      </c>
      <c r="U43">
        <f>IF(BE42&lt;=0,0,IF(ROUND(BE42*(1+'Calc base'!S43),2)-MAX('Calc base'!N$12,ROUND('Calc base'!N$13*BE42,2))&lt;1,ROUND(BE42*(1+'Calc base'!S43),2),MAX('Calc base'!N$12,ROUND('Calc base'!N$13*BE42,2))))</f>
        <v>0</v>
      </c>
      <c r="V43">
        <f>MAX(0,ROUND(AT42*(1+'Calc base'!H43),2)-J43-'Calc base'!T43)</f>
        <v>0</v>
      </c>
      <c r="W43">
        <f>MAX(0,ROUND(AU42*(1+'Calc base'!I43),2)-K43-'Calc base'!U43)</f>
        <v>0</v>
      </c>
      <c r="X43">
        <f>MAX(0,ROUND(AV42*(1+'Calc base'!J43),2)-L43-'Calc base'!V43)</f>
        <v>3722.26</v>
      </c>
      <c r="Y43">
        <f>MAX(0,ROUND(AW42*(1+'Calc base'!K43),2)-M43-'Calc base'!W43)</f>
        <v>6622.75</v>
      </c>
      <c r="Z43">
        <f>MAX(0,ROUND(AX42*(1+'Calc base'!L43),2)-N43-'Calc base'!X43)</f>
        <v>0</v>
      </c>
      <c r="AA43">
        <f>MAX(0,ROUND(AY42*(1+'Calc base'!M43),2)-O43-'Calc base'!Y43)</f>
        <v>850</v>
      </c>
      <c r="AB43">
        <f>MAX(0,ROUND(AZ42*(1+'Calc base'!N43),2)-P43-'Calc base'!Z43)</f>
        <v>0</v>
      </c>
      <c r="AC43">
        <f>MAX(0,ROUND(BA42*(1+'Calc base'!O43),2)-Q43-'Calc base'!AA43)</f>
        <v>0</v>
      </c>
      <c r="AD43">
        <f>MAX(0,ROUND(BB42*(1+'Calc base'!P43),2)-R43-'Calc base'!AB43)</f>
        <v>0</v>
      </c>
      <c r="AE43">
        <f>MAX(0,ROUND(BC42*(1+'Calc base'!Q43),2)-S43-'Calc base'!AC43)</f>
        <v>0</v>
      </c>
      <c r="AF43">
        <f>MAX(0,ROUND(BD42*(1+'Calc base'!R43),2)-T43-'Calc base'!AD43)</f>
        <v>0</v>
      </c>
      <c r="AG43">
        <f>MAX(0,ROUND(BE42*(1+'Calc base'!S43),2)-U43-'Calc base'!AE43)</f>
        <v>0</v>
      </c>
      <c r="AH43">
        <f>IF('Calc base'!C$14=0,0,MIN(V43,MAX(0,$E43-SUMIFS($V43:$AG43,'Calc base'!$C$19:$N$19,"&lt;"&amp;'Calc base'!C$19,'Calc base'!$C$14:$N$14,1))))</f>
        <v>0</v>
      </c>
      <c r="AI43">
        <f>IF('Calc base'!D$14=0,0,MIN(W43,MAX(0,$E43-SUMIFS($V43:$AG43,'Calc base'!$C$19:$N$19,"&lt;"&amp;'Calc base'!D$19,'Calc base'!$C$14:$N$14,1))))</f>
        <v>0</v>
      </c>
      <c r="AJ43">
        <f>IF('Calc base'!E$14=0,0,MIN(X43,MAX(0,$E43-SUMIFS($V43:$AG43,'Calc base'!$C$19:$N$19,"&lt;"&amp;'Calc base'!E$19,'Calc base'!$C$14:$N$14,1))))</f>
        <v>375</v>
      </c>
      <c r="AK43">
        <f>IF('Calc base'!F$14=0,0,MIN(Y43,MAX(0,$E43-SUMIFS($V43:$AG43,'Calc base'!$C$19:$N$19,"&lt;"&amp;'Calc base'!F$19,'Calc base'!$C$14:$N$14,1))))</f>
        <v>0</v>
      </c>
      <c r="AL43">
        <f>IF('Calc base'!G$14=0,0,MIN(Z43,MAX(0,$E43-SUMIFS($V43:$AG43,'Calc base'!$C$19:$N$19,"&lt;"&amp;'Calc base'!G$19,'Calc base'!$C$14:$N$14,1))))</f>
        <v>0</v>
      </c>
      <c r="AM43">
        <f>IF('Calc base'!H$14=0,0,MIN(AA43,MAX(0,$E43-SUMIFS($V43:$AG43,'Calc base'!$C$19:$N$19,"&lt;"&amp;'Calc base'!H$19,'Calc base'!$C$14:$N$14,1))))</f>
        <v>0</v>
      </c>
      <c r="AN43">
        <f>IF('Calc base'!I$14=0,0,MIN(AB43,MAX(0,$E43-SUMIFS($V43:$AG43,'Calc base'!$C$19:$N$19,"&lt;"&amp;'Calc base'!I$19,'Calc base'!$C$14:$N$14,1))))</f>
        <v>0</v>
      </c>
      <c r="AO43">
        <f>IF('Calc base'!J$14=0,0,MIN(AC43,MAX(0,$E43-SUMIFS($V43:$AG43,'Calc base'!$C$19:$N$19,"&lt;"&amp;'Calc base'!J$19,'Calc base'!$C$14:$N$14,1))))</f>
        <v>0</v>
      </c>
      <c r="AP43">
        <f>IF('Calc base'!K$14=0,0,MIN(AD43,MAX(0,$E43-SUMIFS($V43:$AG43,'Calc base'!$C$19:$N$19,"&lt;"&amp;'Calc base'!K$19,'Calc base'!$C$14:$N$14,1))))</f>
        <v>0</v>
      </c>
      <c r="AQ43">
        <f>IF('Calc base'!L$14=0,0,MIN(AE43,MAX(0,$E43-SUMIFS($V43:$AG43,'Calc base'!$C$19:$N$19,"&lt;"&amp;'Calc base'!L$19,'Calc base'!$C$14:$N$14,1))))</f>
        <v>0</v>
      </c>
      <c r="AR43">
        <f>IF('Calc base'!M$14=0,0,MIN(AF43,MAX(0,$E43-SUMIFS($V43:$AG43,'Calc base'!$C$19:$N$19,"&lt;"&amp;'Calc base'!M$19,'Calc base'!$C$14:$N$14,1))))</f>
        <v>0</v>
      </c>
      <c r="AS43">
        <f>IF('Calc base'!N$14=0,0,MIN(AG43,MAX(0,$E43-SUMIFS($V43:$AG43,'Calc base'!$C$19:$N$19,"&lt;"&amp;'Calc base'!N$19,'Calc base'!$C$14:$N$14,1))))</f>
        <v>0</v>
      </c>
      <c r="AT43">
        <f>V43-AH43</f>
        <v>0</v>
      </c>
      <c r="AU43">
        <f>W43-AI43</f>
        <v>0</v>
      </c>
      <c r="AV43">
        <f>X43-AJ43</f>
        <v>3347.26</v>
      </c>
      <c r="AW43">
        <f>Y43-AK43</f>
        <v>6622.75</v>
      </c>
      <c r="AX43">
        <f>Z43-AL43</f>
        <v>0</v>
      </c>
      <c r="AY43">
        <f>AA43-AM43</f>
        <v>850</v>
      </c>
      <c r="AZ43">
        <f>AB43-AN43</f>
        <v>0</v>
      </c>
      <c r="BA43">
        <f>AC43-AO43</f>
        <v>0</v>
      </c>
      <c r="BB43">
        <f>AD43-AP43</f>
        <v>0</v>
      </c>
      <c r="BC43">
        <f>AE43-AQ43</f>
        <v>0</v>
      </c>
      <c r="BD43">
        <f>AF43-AR43</f>
        <v>0</v>
      </c>
      <c r="BE43">
        <f>AG43-AS43</f>
        <v>0</v>
      </c>
    </row>
    <row r="44">
      <c r="A44" t="n">
        <v>14</v>
      </c>
      <c r="B44">
        <f>SUMPRODUCT(ROUND($AT43:$BE43*(1+'Calc base'!$H44:$S44),2))</f>
        <v>10880.99</v>
      </c>
      <c r="C44">
        <f>SUM(J44:U44)</f>
        <v>525</v>
      </c>
      <c r="D44">
        <f>SUM(V44:AG44)</f>
        <v>10355.99</v>
      </c>
      <c r="E44">
        <f>MAX(0,IF(Impostazioni!$B$7="No",'Calc base'!$C44-$C$31,'Calc base'!$C44-C44)+'Calc base'!$G44+'Calc base'!$F44-(B44-C44-D44))</f>
        <v>975</v>
      </c>
      <c r="F44">
        <f>SUM(AH44:AS44)</f>
        <v>975</v>
      </c>
      <c r="G44">
        <f>SUM(AT44:BE44)</f>
        <v>9380.99</v>
      </c>
      <c r="H44">
        <f>B44-G43</f>
        <v>60.9799999999996</v>
      </c>
      <c r="I44">
        <f>B44-G44</f>
        <v>1500</v>
      </c>
      <c r="J44">
        <f>IF(AT43&lt;=0,0,IF(ROUND(AT43*(1+'Calc base'!H44),2)-MAX('Calc base'!C$12,ROUND('Calc base'!C$13*AT43,2))&lt;1,ROUND(AT43*(1+'Calc base'!H44),2),MAX('Calc base'!C$12,ROUND('Calc base'!C$13*AT43,2))))</f>
        <v>0</v>
      </c>
      <c r="K44">
        <f>IF(AU43&lt;=0,0,IF(ROUND(AU43*(1+'Calc base'!I44),2)-MAX('Calc base'!D$12,ROUND('Calc base'!D$13*AU43,2))&lt;1,ROUND(AU43*(1+'Calc base'!I44),2),MAX('Calc base'!D$12,ROUND('Calc base'!D$13*AU43,2))))</f>
        <v>0</v>
      </c>
      <c r="L44">
        <f>IF(AV43&lt;=0,0,IF(ROUND(AV43*(1+'Calc base'!J44),2)-MAX('Calc base'!E$12,ROUND('Calc base'!E$13*AV43,2))&lt;1,ROUND(AV43*(1+'Calc base'!J44),2),MAX('Calc base'!E$12,ROUND('Calc base'!E$13*AV43,2))))</f>
        <v>210</v>
      </c>
      <c r="M44">
        <f>IF(AW43&lt;=0,0,IF(ROUND(AW43*(1+'Calc base'!K44),2)-MAX('Calc base'!F$12,ROUND('Calc base'!F$13*AW43,2))&lt;1,ROUND(AW43*(1+'Calc base'!K44),2),MAX('Calc base'!F$12,ROUND('Calc base'!F$13*AW43,2))))</f>
        <v>265</v>
      </c>
      <c r="N44">
        <f>IF(AX43&lt;=0,0,IF(ROUND(AX43*(1+'Calc base'!L44),2)-MAX('Calc base'!G$12,ROUND('Calc base'!G$13*AX43,2))&lt;1,ROUND(AX43*(1+'Calc base'!L44),2),MAX('Calc base'!G$12,ROUND('Calc base'!G$13*AX43,2))))</f>
        <v>0</v>
      </c>
      <c r="O44">
        <f>IF(AY43&lt;=0,0,IF(ROUND(AY43*(1+'Calc base'!M44),2)-MAX('Calc base'!H$12,ROUND('Calc base'!H$13*AY43,2))&lt;1,ROUND(AY43*(1+'Calc base'!M44),2),MAX('Calc base'!H$12,ROUND('Calc base'!H$13*AY43,2))))</f>
        <v>50</v>
      </c>
      <c r="P44">
        <f>IF(AZ43&lt;=0,0,IF(ROUND(AZ43*(1+'Calc base'!N44),2)-MAX('Calc base'!I$12,ROUND('Calc base'!I$13*AZ43,2))&lt;1,ROUND(AZ43*(1+'Calc base'!N44),2),MAX('Calc base'!I$12,ROUND('Calc base'!I$13*AZ43,2))))</f>
        <v>0</v>
      </c>
      <c r="Q44">
        <f>IF(BA43&lt;=0,0,IF(ROUND(BA43*(1+'Calc base'!O44),2)-MAX('Calc base'!J$12,ROUND('Calc base'!J$13*BA43,2))&lt;1,ROUND(BA43*(1+'Calc base'!O44),2),MAX('Calc base'!J$12,ROUND('Calc base'!J$13*BA43,2))))</f>
        <v>0</v>
      </c>
      <c r="R44">
        <f>IF(BB43&lt;=0,0,IF(ROUND(BB43*(1+'Calc base'!P44),2)-MAX('Calc base'!K$12,ROUND('Calc base'!K$13*BB43,2))&lt;1,ROUND(BB43*(1+'Calc base'!P44),2),MAX('Calc base'!K$12,ROUND('Calc base'!K$13*BB43,2))))</f>
        <v>0</v>
      </c>
      <c r="S44">
        <f>IF(BC43&lt;=0,0,IF(ROUND(BC43*(1+'Calc base'!Q44),2)-MAX('Calc base'!L$12,ROUND('Calc base'!L$13*BC43,2))&lt;1,ROUND(BC43*(1+'Calc base'!Q44),2),MAX('Calc base'!L$12,ROUND('Calc base'!L$13*BC43,2))))</f>
        <v>0</v>
      </c>
      <c r="T44">
        <f>IF(BD43&lt;=0,0,IF(ROUND(BD43*(1+'Calc base'!R44),2)-MAX('Calc base'!M$12,ROUND('Calc base'!M$13*BD43,2))&lt;1,ROUND(BD43*(1+'Calc base'!R44),2),MAX('Calc base'!M$12,ROUND('Calc base'!M$13*BD43,2))))</f>
        <v>0</v>
      </c>
      <c r="U44">
        <f>IF(BE43&lt;=0,0,IF(ROUND(BE43*(1+'Calc base'!S44),2)-MAX('Calc base'!N$12,ROUND('Calc base'!N$13*BE43,2))&lt;1,ROUND(BE43*(1+'Calc base'!S44),2),MAX('Calc base'!N$12,ROUND('Calc base'!N$13*BE43,2))))</f>
        <v>0</v>
      </c>
      <c r="V44">
        <f>MAX(0,ROUND(AT43*(1+'Calc base'!H44),2)-J44-'Calc base'!T44)</f>
        <v>0</v>
      </c>
      <c r="W44">
        <f>MAX(0,ROUND(AU43*(1+'Calc base'!I44),2)-K44-'Calc base'!U44)</f>
        <v>0</v>
      </c>
      <c r="X44">
        <f>MAX(0,ROUND(AV43*(1+'Calc base'!J44),2)-L44-'Calc base'!V44)</f>
        <v>3162.92</v>
      </c>
      <c r="Y44">
        <f>MAX(0,ROUND(AW43*(1+'Calc base'!K44),2)-M44-'Calc base'!W44)</f>
        <v>6393.07</v>
      </c>
      <c r="Z44">
        <f>MAX(0,ROUND(AX43*(1+'Calc base'!L44),2)-N44-'Calc base'!X44)</f>
        <v>0</v>
      </c>
      <c r="AA44">
        <f>MAX(0,ROUND(AY43*(1+'Calc base'!M44),2)-O44-'Calc base'!Y44)</f>
        <v>800</v>
      </c>
      <c r="AB44">
        <f>MAX(0,ROUND(AZ43*(1+'Calc base'!N44),2)-P44-'Calc base'!Z44)</f>
        <v>0</v>
      </c>
      <c r="AC44">
        <f>MAX(0,ROUND(BA43*(1+'Calc base'!O44),2)-Q44-'Calc base'!AA44)</f>
        <v>0</v>
      </c>
      <c r="AD44">
        <f>MAX(0,ROUND(BB43*(1+'Calc base'!P44),2)-R44-'Calc base'!AB44)</f>
        <v>0</v>
      </c>
      <c r="AE44">
        <f>MAX(0,ROUND(BC43*(1+'Calc base'!Q44),2)-S44-'Calc base'!AC44)</f>
        <v>0</v>
      </c>
      <c r="AF44">
        <f>MAX(0,ROUND(BD43*(1+'Calc base'!R44),2)-T44-'Calc base'!AD44)</f>
        <v>0</v>
      </c>
      <c r="AG44">
        <f>MAX(0,ROUND(BE43*(1+'Calc base'!S44),2)-U44-'Calc base'!AE44)</f>
        <v>0</v>
      </c>
      <c r="AH44">
        <f>IF('Calc base'!C$14=0,0,MIN(V44,MAX(0,$E44-SUMIFS($V44:$AG44,'Calc base'!$C$19:$N$19,"&lt;"&amp;'Calc base'!C$19,'Calc base'!$C$14:$N$14,1))))</f>
        <v>0</v>
      </c>
      <c r="AI44">
        <f>IF('Calc base'!D$14=0,0,MIN(W44,MAX(0,$E44-SUMIFS($V44:$AG44,'Calc base'!$C$19:$N$19,"&lt;"&amp;'Calc base'!D$19,'Calc base'!$C$14:$N$14,1))))</f>
        <v>0</v>
      </c>
      <c r="AJ44">
        <f>IF('Calc base'!E$14=0,0,MIN(X44,MAX(0,$E44-SUMIFS($V44:$AG44,'Calc base'!$C$19:$N$19,"&lt;"&amp;'Calc base'!E$19,'Calc base'!$C$14:$N$14,1))))</f>
        <v>975</v>
      </c>
      <c r="AK44">
        <f>IF('Calc base'!F$14=0,0,MIN(Y44,MAX(0,$E44-SUMIFS($V44:$AG44,'Calc base'!$C$19:$N$19,"&lt;"&amp;'Calc base'!F$19,'Calc base'!$C$14:$N$14,1))))</f>
        <v>0</v>
      </c>
      <c r="AL44">
        <f>IF('Calc base'!G$14=0,0,MIN(Z44,MAX(0,$E44-SUMIFS($V44:$AG44,'Calc base'!$C$19:$N$19,"&lt;"&amp;'Calc base'!G$19,'Calc base'!$C$14:$N$14,1))))</f>
        <v>0</v>
      </c>
      <c r="AM44">
        <f>IF('Calc base'!H$14=0,0,MIN(AA44,MAX(0,$E44-SUMIFS($V44:$AG44,'Calc base'!$C$19:$N$19,"&lt;"&amp;'Calc base'!H$19,'Calc base'!$C$14:$N$14,1))))</f>
        <v>0</v>
      </c>
      <c r="AN44">
        <f>IF('Calc base'!I$14=0,0,MIN(AB44,MAX(0,$E44-SUMIFS($V44:$AG44,'Calc base'!$C$19:$N$19,"&lt;"&amp;'Calc base'!I$19,'Calc base'!$C$14:$N$14,1))))</f>
        <v>0</v>
      </c>
      <c r="AO44">
        <f>IF('Calc base'!J$14=0,0,MIN(AC44,MAX(0,$E44-SUMIFS($V44:$AG44,'Calc base'!$C$19:$N$19,"&lt;"&amp;'Calc base'!J$19,'Calc base'!$C$14:$N$14,1))))</f>
        <v>0</v>
      </c>
      <c r="AP44">
        <f>IF('Calc base'!K$14=0,0,MIN(AD44,MAX(0,$E44-SUMIFS($V44:$AG44,'Calc base'!$C$19:$N$19,"&lt;"&amp;'Calc base'!K$19,'Calc base'!$C$14:$N$14,1))))</f>
        <v>0</v>
      </c>
      <c r="AQ44">
        <f>IF('Calc base'!L$14=0,0,MIN(AE44,MAX(0,$E44-SUMIFS($V44:$AG44,'Calc base'!$C$19:$N$19,"&lt;"&amp;'Calc base'!L$19,'Calc base'!$C$14:$N$14,1))))</f>
        <v>0</v>
      </c>
      <c r="AR44">
        <f>IF('Calc base'!M$14=0,0,MIN(AF44,MAX(0,$E44-SUMIFS($V44:$AG44,'Calc base'!$C$19:$N$19,"&lt;"&amp;'Calc base'!M$19,'Calc base'!$C$14:$N$14,1))))</f>
        <v>0</v>
      </c>
      <c r="AS44">
        <f>IF('Calc base'!N$14=0,0,MIN(AG44,MAX(0,$E44-SUMIFS($V44:$AG44,'Calc base'!$C$19:$N$19,"&lt;"&amp;'Calc base'!N$19,'Calc base'!$C$14:$N$14,1))))</f>
        <v>0</v>
      </c>
      <c r="AT44">
        <f>V44-AH44</f>
        <v>0</v>
      </c>
      <c r="AU44">
        <f>W44-AI44</f>
        <v>0</v>
      </c>
      <c r="AV44">
        <f>X44-AJ44</f>
        <v>2187.92</v>
      </c>
      <c r="AW44">
        <f>Y44-AK44</f>
        <v>6393.07</v>
      </c>
      <c r="AX44">
        <f>Z44-AL44</f>
        <v>0</v>
      </c>
      <c r="AY44">
        <f>AA44-AM44</f>
        <v>800</v>
      </c>
      <c r="AZ44">
        <f>AB44-AN44</f>
        <v>0</v>
      </c>
      <c r="BA44">
        <f>AC44-AO44</f>
        <v>0</v>
      </c>
      <c r="BB44">
        <f>AD44-AP44</f>
        <v>0</v>
      </c>
      <c r="BC44">
        <f>AE44-AQ44</f>
        <v>0</v>
      </c>
      <c r="BD44">
        <f>AF44-AR44</f>
        <v>0</v>
      </c>
      <c r="BE44">
        <f>AG44-AS44</f>
        <v>0</v>
      </c>
    </row>
    <row r="45">
      <c r="A45" t="n">
        <v>15</v>
      </c>
      <c r="B45">
        <f>SUMPRODUCT(ROUND($AT44:$BE44*(1+'Calc base'!$H45:$S45),2))</f>
        <v>9431.86</v>
      </c>
      <c r="C45">
        <f>SUM(J45:U45)</f>
        <v>525</v>
      </c>
      <c r="D45">
        <f>SUM(V45:AG45)</f>
        <v>8906.86</v>
      </c>
      <c r="E45">
        <f>MAX(0,IF(Impostazioni!$B$7="No",'Calc base'!$C45-$C$31,'Calc base'!$C45-C45)+'Calc base'!$G45+'Calc base'!$F45-(B45-C45-D45))</f>
        <v>375</v>
      </c>
      <c r="F45">
        <f>SUM(AH45:AS45)</f>
        <v>375</v>
      </c>
      <c r="G45">
        <f>SUM(AT45:BE45)</f>
        <v>8531.86</v>
      </c>
      <c r="H45">
        <f>B45-G44</f>
        <v>50.8700000000008</v>
      </c>
      <c r="I45">
        <f>B45-G45</f>
        <v>900</v>
      </c>
      <c r="J45">
        <f>IF(AT44&lt;=0,0,IF(ROUND(AT44*(1+'Calc base'!H45),2)-MAX('Calc base'!C$12,ROUND('Calc base'!C$13*AT44,2))&lt;1,ROUND(AT44*(1+'Calc base'!H45),2),MAX('Calc base'!C$12,ROUND('Calc base'!C$13*AT44,2))))</f>
        <v>0</v>
      </c>
      <c r="K45">
        <f>IF(AU44&lt;=0,0,IF(ROUND(AU44*(1+'Calc base'!I45),2)-MAX('Calc base'!D$12,ROUND('Calc base'!D$13*AU44,2))&lt;1,ROUND(AU44*(1+'Calc base'!I45),2),MAX('Calc base'!D$12,ROUND('Calc base'!D$13*AU44,2))))</f>
        <v>0</v>
      </c>
      <c r="L45">
        <f>IF(AV44&lt;=0,0,IF(ROUND(AV44*(1+'Calc base'!J45),2)-MAX('Calc base'!E$12,ROUND('Calc base'!E$13*AV44,2))&lt;1,ROUND(AV44*(1+'Calc base'!J45),2),MAX('Calc base'!E$12,ROUND('Calc base'!E$13*AV44,2))))</f>
        <v>210</v>
      </c>
      <c r="M45">
        <f>IF(AW44&lt;=0,0,IF(ROUND(AW44*(1+'Calc base'!K45),2)-MAX('Calc base'!F$12,ROUND('Calc base'!F$13*AW44,2))&lt;1,ROUND(AW44*(1+'Calc base'!K45),2),MAX('Calc base'!F$12,ROUND('Calc base'!F$13*AW44,2))))</f>
        <v>265</v>
      </c>
      <c r="N45">
        <f>IF(AX44&lt;=0,0,IF(ROUND(AX44*(1+'Calc base'!L45),2)-MAX('Calc base'!G$12,ROUND('Calc base'!G$13*AX44,2))&lt;1,ROUND(AX44*(1+'Calc base'!L45),2),MAX('Calc base'!G$12,ROUND('Calc base'!G$13*AX44,2))))</f>
        <v>0</v>
      </c>
      <c r="O45">
        <f>IF(AY44&lt;=0,0,IF(ROUND(AY44*(1+'Calc base'!M45),2)-MAX('Calc base'!H$12,ROUND('Calc base'!H$13*AY44,2))&lt;1,ROUND(AY44*(1+'Calc base'!M45),2),MAX('Calc base'!H$12,ROUND('Calc base'!H$13*AY44,2))))</f>
        <v>50</v>
      </c>
      <c r="P45">
        <f>IF(AZ44&lt;=0,0,IF(ROUND(AZ44*(1+'Calc base'!N45),2)-MAX('Calc base'!I$12,ROUND('Calc base'!I$13*AZ44,2))&lt;1,ROUND(AZ44*(1+'Calc base'!N45),2),MAX('Calc base'!I$12,ROUND('Calc base'!I$13*AZ44,2))))</f>
        <v>0</v>
      </c>
      <c r="Q45">
        <f>IF(BA44&lt;=0,0,IF(ROUND(BA44*(1+'Calc base'!O45),2)-MAX('Calc base'!J$12,ROUND('Calc base'!J$13*BA44,2))&lt;1,ROUND(BA44*(1+'Calc base'!O45),2),MAX('Calc base'!J$12,ROUND('Calc base'!J$13*BA44,2))))</f>
        <v>0</v>
      </c>
      <c r="R45">
        <f>IF(BB44&lt;=0,0,IF(ROUND(BB44*(1+'Calc base'!P45),2)-MAX('Calc base'!K$12,ROUND('Calc base'!K$13*BB44,2))&lt;1,ROUND(BB44*(1+'Calc base'!P45),2),MAX('Calc base'!K$12,ROUND('Calc base'!K$13*BB44,2))))</f>
        <v>0</v>
      </c>
      <c r="S45">
        <f>IF(BC44&lt;=0,0,IF(ROUND(BC44*(1+'Calc base'!Q45),2)-MAX('Calc base'!L$12,ROUND('Calc base'!L$13*BC44,2))&lt;1,ROUND(BC44*(1+'Calc base'!Q45),2),MAX('Calc base'!L$12,ROUND('Calc base'!L$13*BC44,2))))</f>
        <v>0</v>
      </c>
      <c r="T45">
        <f>IF(BD44&lt;=0,0,IF(ROUND(BD44*(1+'Calc base'!R45),2)-MAX('Calc base'!M$12,ROUND('Calc base'!M$13*BD44,2))&lt;1,ROUND(BD44*(1+'Calc base'!R45),2),MAX('Calc base'!M$12,ROUND('Calc base'!M$13*BD44,2))))</f>
        <v>0</v>
      </c>
      <c r="U45">
        <f>IF(BE44&lt;=0,0,IF(ROUND(BE44*(1+'Calc base'!S45),2)-MAX('Calc base'!N$12,ROUND('Calc base'!N$13*BE44,2))&lt;1,ROUND(BE44*(1+'Calc base'!S45),2),MAX('Calc base'!N$12,ROUND('Calc base'!N$13*BE44,2))))</f>
        <v>0</v>
      </c>
      <c r="V45">
        <f>MAX(0,ROUND(AT44*(1+'Calc base'!H45),2)-J45-'Calc base'!T45)</f>
        <v>0</v>
      </c>
      <c r="W45">
        <f>MAX(0,ROUND(AU44*(1+'Calc base'!I45),2)-K45-'Calc base'!U45)</f>
        <v>0</v>
      </c>
      <c r="X45">
        <f>MAX(0,ROUND(AV44*(1+'Calc base'!J45),2)-L45-'Calc base'!V45)</f>
        <v>1994.69</v>
      </c>
      <c r="Y45">
        <f>MAX(0,ROUND(AW44*(1+'Calc base'!K45),2)-M45-'Calc base'!W45)</f>
        <v>6162.17</v>
      </c>
      <c r="Z45">
        <f>MAX(0,ROUND(AX44*(1+'Calc base'!L45),2)-N45-'Calc base'!X45)</f>
        <v>0</v>
      </c>
      <c r="AA45">
        <f>MAX(0,ROUND(AY44*(1+'Calc base'!M45),2)-O45-'Calc base'!Y45)</f>
        <v>750</v>
      </c>
      <c r="AB45">
        <f>MAX(0,ROUND(AZ44*(1+'Calc base'!N45),2)-P45-'Calc base'!Z45)</f>
        <v>0</v>
      </c>
      <c r="AC45">
        <f>MAX(0,ROUND(BA44*(1+'Calc base'!O45),2)-Q45-'Calc base'!AA45)</f>
        <v>0</v>
      </c>
      <c r="AD45">
        <f>MAX(0,ROUND(BB44*(1+'Calc base'!P45),2)-R45-'Calc base'!AB45)</f>
        <v>0</v>
      </c>
      <c r="AE45">
        <f>MAX(0,ROUND(BC44*(1+'Calc base'!Q45),2)-S45-'Calc base'!AC45)</f>
        <v>0</v>
      </c>
      <c r="AF45">
        <f>MAX(0,ROUND(BD44*(1+'Calc base'!R45),2)-T45-'Calc base'!AD45)</f>
        <v>0</v>
      </c>
      <c r="AG45">
        <f>MAX(0,ROUND(BE44*(1+'Calc base'!S45),2)-U45-'Calc base'!AE45)</f>
        <v>0</v>
      </c>
      <c r="AH45">
        <f>IF('Calc base'!C$14=0,0,MIN(V45,MAX(0,$E45-SUMIFS($V45:$AG45,'Calc base'!$C$19:$N$19,"&lt;"&amp;'Calc base'!C$19,'Calc base'!$C$14:$N$14,1))))</f>
        <v>0</v>
      </c>
      <c r="AI45">
        <f>IF('Calc base'!D$14=0,0,MIN(W45,MAX(0,$E45-SUMIFS($V45:$AG45,'Calc base'!$C$19:$N$19,"&lt;"&amp;'Calc base'!D$19,'Calc base'!$C$14:$N$14,1))))</f>
        <v>0</v>
      </c>
      <c r="AJ45">
        <f>IF('Calc base'!E$14=0,0,MIN(X45,MAX(0,$E45-SUMIFS($V45:$AG45,'Calc base'!$C$19:$N$19,"&lt;"&amp;'Calc base'!E$19,'Calc base'!$C$14:$N$14,1))))</f>
        <v>375</v>
      </c>
      <c r="AK45">
        <f>IF('Calc base'!F$14=0,0,MIN(Y45,MAX(0,$E45-SUMIFS($V45:$AG45,'Calc base'!$C$19:$N$19,"&lt;"&amp;'Calc base'!F$19,'Calc base'!$C$14:$N$14,1))))</f>
        <v>0</v>
      </c>
      <c r="AL45">
        <f>IF('Calc base'!G$14=0,0,MIN(Z45,MAX(0,$E45-SUMIFS($V45:$AG45,'Calc base'!$C$19:$N$19,"&lt;"&amp;'Calc base'!G$19,'Calc base'!$C$14:$N$14,1))))</f>
        <v>0</v>
      </c>
      <c r="AM45">
        <f>IF('Calc base'!H$14=0,0,MIN(AA45,MAX(0,$E45-SUMIFS($V45:$AG45,'Calc base'!$C$19:$N$19,"&lt;"&amp;'Calc base'!H$19,'Calc base'!$C$14:$N$14,1))))</f>
        <v>0</v>
      </c>
      <c r="AN45">
        <f>IF('Calc base'!I$14=0,0,MIN(AB45,MAX(0,$E45-SUMIFS($V45:$AG45,'Calc base'!$C$19:$N$19,"&lt;"&amp;'Calc base'!I$19,'Calc base'!$C$14:$N$14,1))))</f>
        <v>0</v>
      </c>
      <c r="AO45">
        <f>IF('Calc base'!J$14=0,0,MIN(AC45,MAX(0,$E45-SUMIFS($V45:$AG45,'Calc base'!$C$19:$N$19,"&lt;"&amp;'Calc base'!J$19,'Calc base'!$C$14:$N$14,1))))</f>
        <v>0</v>
      </c>
      <c r="AP45">
        <f>IF('Calc base'!K$14=0,0,MIN(AD45,MAX(0,$E45-SUMIFS($V45:$AG45,'Calc base'!$C$19:$N$19,"&lt;"&amp;'Calc base'!K$19,'Calc base'!$C$14:$N$14,1))))</f>
        <v>0</v>
      </c>
      <c r="AQ45">
        <f>IF('Calc base'!L$14=0,0,MIN(AE45,MAX(0,$E45-SUMIFS($V45:$AG45,'Calc base'!$C$19:$N$19,"&lt;"&amp;'Calc base'!L$19,'Calc base'!$C$14:$N$14,1))))</f>
        <v>0</v>
      </c>
      <c r="AR45">
        <f>IF('Calc base'!M$14=0,0,MIN(AF45,MAX(0,$E45-SUMIFS($V45:$AG45,'Calc base'!$C$19:$N$19,"&lt;"&amp;'Calc base'!M$19,'Calc base'!$C$14:$N$14,1))))</f>
        <v>0</v>
      </c>
      <c r="AS45">
        <f>IF('Calc base'!N$14=0,0,MIN(AG45,MAX(0,$E45-SUMIFS($V45:$AG45,'Calc base'!$C$19:$N$19,"&lt;"&amp;'Calc base'!N$19,'Calc base'!$C$14:$N$14,1))))</f>
        <v>0</v>
      </c>
      <c r="AT45">
        <f>V45-AH45</f>
        <v>0</v>
      </c>
      <c r="AU45">
        <f>W45-AI45</f>
        <v>0</v>
      </c>
      <c r="AV45">
        <f>X45-AJ45</f>
        <v>1619.69</v>
      </c>
      <c r="AW45">
        <f>Y45-AK45</f>
        <v>6162.17</v>
      </c>
      <c r="AX45">
        <f>Z45-AL45</f>
        <v>0</v>
      </c>
      <c r="AY45">
        <f>AA45-AM45</f>
        <v>750</v>
      </c>
      <c r="AZ45">
        <f>AB45-AN45</f>
        <v>0</v>
      </c>
      <c r="BA45">
        <f>AC45-AO45</f>
        <v>0</v>
      </c>
      <c r="BB45">
        <f>AD45-AP45</f>
        <v>0</v>
      </c>
      <c r="BC45">
        <f>AE45-AQ45</f>
        <v>0</v>
      </c>
      <c r="BD45">
        <f>AF45-AR45</f>
        <v>0</v>
      </c>
      <c r="BE45">
        <f>AG45-AS45</f>
        <v>0</v>
      </c>
    </row>
    <row r="46">
      <c r="A46" t="n">
        <v>16</v>
      </c>
      <c r="B46">
        <f>SUMPRODUCT(ROUND($AT45:$BE45*(1+'Calc base'!$H46:$S46),2))</f>
        <v>8577.14</v>
      </c>
      <c r="C46">
        <f>SUM(J46:U46)</f>
        <v>525</v>
      </c>
      <c r="D46">
        <f>SUM(V46:AG46)</f>
        <v>8052.14</v>
      </c>
      <c r="E46">
        <f>MAX(0,IF(Impostazioni!$B$7="No",'Calc base'!$C46-$C$31,'Calc base'!$C46-C46)+'Calc base'!$G46+'Calc base'!$F46-(B46-C46-D46))</f>
        <v>375</v>
      </c>
      <c r="F46">
        <f>SUM(AH46:AS46)</f>
        <v>375</v>
      </c>
      <c r="G46">
        <f>SUM(AT46:BE46)</f>
        <v>7677.14</v>
      </c>
      <c r="H46">
        <f>B46-G45</f>
        <v>45.2799999999988</v>
      </c>
      <c r="I46">
        <f>B46-G46</f>
        <v>900</v>
      </c>
      <c r="J46">
        <f>IF(AT45&lt;=0,0,IF(ROUND(AT45*(1+'Calc base'!H46),2)-MAX('Calc base'!C$12,ROUND('Calc base'!C$13*AT45,2))&lt;1,ROUND(AT45*(1+'Calc base'!H46),2),MAX('Calc base'!C$12,ROUND('Calc base'!C$13*AT45,2))))</f>
        <v>0</v>
      </c>
      <c r="K46">
        <f>IF(AU45&lt;=0,0,IF(ROUND(AU45*(1+'Calc base'!I46),2)-MAX('Calc base'!D$12,ROUND('Calc base'!D$13*AU45,2))&lt;1,ROUND(AU45*(1+'Calc base'!I46),2),MAX('Calc base'!D$12,ROUND('Calc base'!D$13*AU45,2))))</f>
        <v>0</v>
      </c>
      <c r="L46">
        <f>IF(AV45&lt;=0,0,IF(ROUND(AV45*(1+'Calc base'!J46),2)-MAX('Calc base'!E$12,ROUND('Calc base'!E$13*AV45,2))&lt;1,ROUND(AV45*(1+'Calc base'!J46),2),MAX('Calc base'!E$12,ROUND('Calc base'!E$13*AV45,2))))</f>
        <v>210</v>
      </c>
      <c r="M46">
        <f>IF(AW45&lt;=0,0,IF(ROUND(AW45*(1+'Calc base'!K46),2)-MAX('Calc base'!F$12,ROUND('Calc base'!F$13*AW45,2))&lt;1,ROUND(AW45*(1+'Calc base'!K46),2),MAX('Calc base'!F$12,ROUND('Calc base'!F$13*AW45,2))))</f>
        <v>265</v>
      </c>
      <c r="N46">
        <f>IF(AX45&lt;=0,0,IF(ROUND(AX45*(1+'Calc base'!L46),2)-MAX('Calc base'!G$12,ROUND('Calc base'!G$13*AX45,2))&lt;1,ROUND(AX45*(1+'Calc base'!L46),2),MAX('Calc base'!G$12,ROUND('Calc base'!G$13*AX45,2))))</f>
        <v>0</v>
      </c>
      <c r="O46">
        <f>IF(AY45&lt;=0,0,IF(ROUND(AY45*(1+'Calc base'!M46),2)-MAX('Calc base'!H$12,ROUND('Calc base'!H$13*AY45,2))&lt;1,ROUND(AY45*(1+'Calc base'!M46),2),MAX('Calc base'!H$12,ROUND('Calc base'!H$13*AY45,2))))</f>
        <v>50</v>
      </c>
      <c r="P46">
        <f>IF(AZ45&lt;=0,0,IF(ROUND(AZ45*(1+'Calc base'!N46),2)-MAX('Calc base'!I$12,ROUND('Calc base'!I$13*AZ45,2))&lt;1,ROUND(AZ45*(1+'Calc base'!N46),2),MAX('Calc base'!I$12,ROUND('Calc base'!I$13*AZ45,2))))</f>
        <v>0</v>
      </c>
      <c r="Q46">
        <f>IF(BA45&lt;=0,0,IF(ROUND(BA45*(1+'Calc base'!O46),2)-MAX('Calc base'!J$12,ROUND('Calc base'!J$13*BA45,2))&lt;1,ROUND(BA45*(1+'Calc base'!O46),2),MAX('Calc base'!J$12,ROUND('Calc base'!J$13*BA45,2))))</f>
        <v>0</v>
      </c>
      <c r="R46">
        <f>IF(BB45&lt;=0,0,IF(ROUND(BB45*(1+'Calc base'!P46),2)-MAX('Calc base'!K$12,ROUND('Calc base'!K$13*BB45,2))&lt;1,ROUND(BB45*(1+'Calc base'!P46),2),MAX('Calc base'!K$12,ROUND('Calc base'!K$13*BB45,2))))</f>
        <v>0</v>
      </c>
      <c r="S46">
        <f>IF(BC45&lt;=0,0,IF(ROUND(BC45*(1+'Calc base'!Q46),2)-MAX('Calc base'!L$12,ROUND('Calc base'!L$13*BC45,2))&lt;1,ROUND(BC45*(1+'Calc base'!Q46),2),MAX('Calc base'!L$12,ROUND('Calc base'!L$13*BC45,2))))</f>
        <v>0</v>
      </c>
      <c r="T46">
        <f>IF(BD45&lt;=0,0,IF(ROUND(BD45*(1+'Calc base'!R46),2)-MAX('Calc base'!M$12,ROUND('Calc base'!M$13*BD45,2))&lt;1,ROUND(BD45*(1+'Calc base'!R46),2),MAX('Calc base'!M$12,ROUND('Calc base'!M$13*BD45,2))))</f>
        <v>0</v>
      </c>
      <c r="U46">
        <f>IF(BE45&lt;=0,0,IF(ROUND(BE45*(1+'Calc base'!S46),2)-MAX('Calc base'!N$12,ROUND('Calc base'!N$13*BE45,2))&lt;1,ROUND(BE45*(1+'Calc base'!S46),2),MAX('Calc base'!N$12,ROUND('Calc base'!N$13*BE45,2))))</f>
        <v>0</v>
      </c>
      <c r="V46">
        <f>MAX(0,ROUND(AT45*(1+'Calc base'!H46),2)-J46-'Calc base'!T46)</f>
        <v>0</v>
      </c>
      <c r="W46">
        <f>MAX(0,ROUND(AU45*(1+'Calc base'!I46),2)-K46-'Calc base'!U46)</f>
        <v>0</v>
      </c>
      <c r="X46">
        <f>MAX(0,ROUND(AV45*(1+'Calc base'!J46),2)-L46-'Calc base'!V46)</f>
        <v>1422.11</v>
      </c>
      <c r="Y46">
        <f>MAX(0,ROUND(AW45*(1+'Calc base'!K46),2)-M46-'Calc base'!W46)</f>
        <v>5930.03</v>
      </c>
      <c r="Z46">
        <f>MAX(0,ROUND(AX45*(1+'Calc base'!L46),2)-N46-'Calc base'!X46)</f>
        <v>0</v>
      </c>
      <c r="AA46">
        <f>MAX(0,ROUND(AY45*(1+'Calc base'!M46),2)-O46-'Calc base'!Y46)</f>
        <v>700</v>
      </c>
      <c r="AB46">
        <f>MAX(0,ROUND(AZ45*(1+'Calc base'!N46),2)-P46-'Calc base'!Z46)</f>
        <v>0</v>
      </c>
      <c r="AC46">
        <f>MAX(0,ROUND(BA45*(1+'Calc base'!O46),2)-Q46-'Calc base'!AA46)</f>
        <v>0</v>
      </c>
      <c r="AD46">
        <f>MAX(0,ROUND(BB45*(1+'Calc base'!P46),2)-R46-'Calc base'!AB46)</f>
        <v>0</v>
      </c>
      <c r="AE46">
        <f>MAX(0,ROUND(BC45*(1+'Calc base'!Q46),2)-S46-'Calc base'!AC46)</f>
        <v>0</v>
      </c>
      <c r="AF46">
        <f>MAX(0,ROUND(BD45*(1+'Calc base'!R46),2)-T46-'Calc base'!AD46)</f>
        <v>0</v>
      </c>
      <c r="AG46">
        <f>MAX(0,ROUND(BE45*(1+'Calc base'!S46),2)-U46-'Calc base'!AE46)</f>
        <v>0</v>
      </c>
      <c r="AH46">
        <f>IF('Calc base'!C$14=0,0,MIN(V46,MAX(0,$E46-SUMIFS($V46:$AG46,'Calc base'!$C$19:$N$19,"&lt;"&amp;'Calc base'!C$19,'Calc base'!$C$14:$N$14,1))))</f>
        <v>0</v>
      </c>
      <c r="AI46">
        <f>IF('Calc base'!D$14=0,0,MIN(W46,MAX(0,$E46-SUMIFS($V46:$AG46,'Calc base'!$C$19:$N$19,"&lt;"&amp;'Calc base'!D$19,'Calc base'!$C$14:$N$14,1))))</f>
        <v>0</v>
      </c>
      <c r="AJ46">
        <f>IF('Calc base'!E$14=0,0,MIN(X46,MAX(0,$E46-SUMIFS($V46:$AG46,'Calc base'!$C$19:$N$19,"&lt;"&amp;'Calc base'!E$19,'Calc base'!$C$14:$N$14,1))))</f>
        <v>375</v>
      </c>
      <c r="AK46">
        <f>IF('Calc base'!F$14=0,0,MIN(Y46,MAX(0,$E46-SUMIFS($V46:$AG46,'Calc base'!$C$19:$N$19,"&lt;"&amp;'Calc base'!F$19,'Calc base'!$C$14:$N$14,1))))</f>
        <v>0</v>
      </c>
      <c r="AL46">
        <f>IF('Calc base'!G$14=0,0,MIN(Z46,MAX(0,$E46-SUMIFS($V46:$AG46,'Calc base'!$C$19:$N$19,"&lt;"&amp;'Calc base'!G$19,'Calc base'!$C$14:$N$14,1))))</f>
        <v>0</v>
      </c>
      <c r="AM46">
        <f>IF('Calc base'!H$14=0,0,MIN(AA46,MAX(0,$E46-SUMIFS($V46:$AG46,'Calc base'!$C$19:$N$19,"&lt;"&amp;'Calc base'!H$19,'Calc base'!$C$14:$N$14,1))))</f>
        <v>0</v>
      </c>
      <c r="AN46">
        <f>IF('Calc base'!I$14=0,0,MIN(AB46,MAX(0,$E46-SUMIFS($V46:$AG46,'Calc base'!$C$19:$N$19,"&lt;"&amp;'Calc base'!I$19,'Calc base'!$C$14:$N$14,1))))</f>
        <v>0</v>
      </c>
      <c r="AO46">
        <f>IF('Calc base'!J$14=0,0,MIN(AC46,MAX(0,$E46-SUMIFS($V46:$AG46,'Calc base'!$C$19:$N$19,"&lt;"&amp;'Calc base'!J$19,'Calc base'!$C$14:$N$14,1))))</f>
        <v>0</v>
      </c>
      <c r="AP46">
        <f>IF('Calc base'!K$14=0,0,MIN(AD46,MAX(0,$E46-SUMIFS($V46:$AG46,'Calc base'!$C$19:$N$19,"&lt;"&amp;'Calc base'!K$19,'Calc base'!$C$14:$N$14,1))))</f>
        <v>0</v>
      </c>
      <c r="AQ46">
        <f>IF('Calc base'!L$14=0,0,MIN(AE46,MAX(0,$E46-SUMIFS($V46:$AG46,'Calc base'!$C$19:$N$19,"&lt;"&amp;'Calc base'!L$19,'Calc base'!$C$14:$N$14,1))))</f>
        <v>0</v>
      </c>
      <c r="AR46">
        <f>IF('Calc base'!M$14=0,0,MIN(AF46,MAX(0,$E46-SUMIFS($V46:$AG46,'Calc base'!$C$19:$N$19,"&lt;"&amp;'Calc base'!M$19,'Calc base'!$C$14:$N$14,1))))</f>
        <v>0</v>
      </c>
      <c r="AS46">
        <f>IF('Calc base'!N$14=0,0,MIN(AG46,MAX(0,$E46-SUMIFS($V46:$AG46,'Calc base'!$C$19:$N$19,"&lt;"&amp;'Calc base'!N$19,'Calc base'!$C$14:$N$14,1))))</f>
        <v>0</v>
      </c>
      <c r="AT46">
        <f>V46-AH46</f>
        <v>0</v>
      </c>
      <c r="AU46">
        <f>W46-AI46</f>
        <v>0</v>
      </c>
      <c r="AV46">
        <f>X46-AJ46</f>
        <v>1047.11</v>
      </c>
      <c r="AW46">
        <f>Y46-AK46</f>
        <v>5930.03</v>
      </c>
      <c r="AX46">
        <f>Z46-AL46</f>
        <v>0</v>
      </c>
      <c r="AY46">
        <f>AA46-AM46</f>
        <v>700</v>
      </c>
      <c r="AZ46">
        <f>AB46-AN46</f>
        <v>0</v>
      </c>
      <c r="BA46">
        <f>AC46-AO46</f>
        <v>0</v>
      </c>
      <c r="BB46">
        <f>AD46-AP46</f>
        <v>0</v>
      </c>
      <c r="BC46">
        <f>AE46-AQ46</f>
        <v>0</v>
      </c>
      <c r="BD46">
        <f>AF46-AR46</f>
        <v>0</v>
      </c>
      <c r="BE46">
        <f>AG46-AS46</f>
        <v>0</v>
      </c>
    </row>
    <row r="47">
      <c r="A47" t="n">
        <v>17</v>
      </c>
      <c r="B47">
        <f>SUMPRODUCT(ROUND($AT46:$BE46*(1+'Calc base'!$H47:$S47),2))</f>
        <v>7716.8</v>
      </c>
      <c r="C47">
        <f>SUM(J47:U47)</f>
        <v>525</v>
      </c>
      <c r="D47">
        <f>SUM(V47:AG47)</f>
        <v>7191.8</v>
      </c>
      <c r="E47">
        <f>MAX(0,IF(Impostazioni!$B$7="No",'Calc base'!$C47-$C$31,'Calc base'!$C47-C47)+'Calc base'!$G47+'Calc base'!$F47-(B47-C47-D47))</f>
        <v>375</v>
      </c>
      <c r="F47">
        <f>SUM(AH47:AS47)</f>
        <v>375</v>
      </c>
      <c r="G47">
        <f>SUM(AT47:BE47)</f>
        <v>6816.8</v>
      </c>
      <c r="H47">
        <f>B47-G46</f>
        <v>39.6600000000008</v>
      </c>
      <c r="I47">
        <f>B47-G47</f>
        <v>900</v>
      </c>
      <c r="J47">
        <f>IF(AT46&lt;=0,0,IF(ROUND(AT46*(1+'Calc base'!H47),2)-MAX('Calc base'!C$12,ROUND('Calc base'!C$13*AT46,2))&lt;1,ROUND(AT46*(1+'Calc base'!H47),2),MAX('Calc base'!C$12,ROUND('Calc base'!C$13*AT46,2))))</f>
        <v>0</v>
      </c>
      <c r="K47">
        <f>IF(AU46&lt;=0,0,IF(ROUND(AU46*(1+'Calc base'!I47),2)-MAX('Calc base'!D$12,ROUND('Calc base'!D$13*AU46,2))&lt;1,ROUND(AU46*(1+'Calc base'!I47),2),MAX('Calc base'!D$12,ROUND('Calc base'!D$13*AU46,2))))</f>
        <v>0</v>
      </c>
      <c r="L47">
        <f>IF(AV46&lt;=0,0,IF(ROUND(AV46*(1+'Calc base'!J47),2)-MAX('Calc base'!E$12,ROUND('Calc base'!E$13*AV46,2))&lt;1,ROUND(AV46*(1+'Calc base'!J47),2),MAX('Calc base'!E$12,ROUND('Calc base'!E$13*AV46,2))))</f>
        <v>210</v>
      </c>
      <c r="M47">
        <f>IF(AW46&lt;=0,0,IF(ROUND(AW46*(1+'Calc base'!K47),2)-MAX('Calc base'!F$12,ROUND('Calc base'!F$13*AW46,2))&lt;1,ROUND(AW46*(1+'Calc base'!K47),2),MAX('Calc base'!F$12,ROUND('Calc base'!F$13*AW46,2))))</f>
        <v>265</v>
      </c>
      <c r="N47">
        <f>IF(AX46&lt;=0,0,IF(ROUND(AX46*(1+'Calc base'!L47),2)-MAX('Calc base'!G$12,ROUND('Calc base'!G$13*AX46,2))&lt;1,ROUND(AX46*(1+'Calc base'!L47),2),MAX('Calc base'!G$12,ROUND('Calc base'!G$13*AX46,2))))</f>
        <v>0</v>
      </c>
      <c r="O47">
        <f>IF(AY46&lt;=0,0,IF(ROUND(AY46*(1+'Calc base'!M47),2)-MAX('Calc base'!H$12,ROUND('Calc base'!H$13*AY46,2))&lt;1,ROUND(AY46*(1+'Calc base'!M47),2),MAX('Calc base'!H$12,ROUND('Calc base'!H$13*AY46,2))))</f>
        <v>50</v>
      </c>
      <c r="P47">
        <f>IF(AZ46&lt;=0,0,IF(ROUND(AZ46*(1+'Calc base'!N47),2)-MAX('Calc base'!I$12,ROUND('Calc base'!I$13*AZ46,2))&lt;1,ROUND(AZ46*(1+'Calc base'!N47),2),MAX('Calc base'!I$12,ROUND('Calc base'!I$13*AZ46,2))))</f>
        <v>0</v>
      </c>
      <c r="Q47">
        <f>IF(BA46&lt;=0,0,IF(ROUND(BA46*(1+'Calc base'!O47),2)-MAX('Calc base'!J$12,ROUND('Calc base'!J$13*BA46,2))&lt;1,ROUND(BA46*(1+'Calc base'!O47),2),MAX('Calc base'!J$12,ROUND('Calc base'!J$13*BA46,2))))</f>
        <v>0</v>
      </c>
      <c r="R47">
        <f>IF(BB46&lt;=0,0,IF(ROUND(BB46*(1+'Calc base'!P47),2)-MAX('Calc base'!K$12,ROUND('Calc base'!K$13*BB46,2))&lt;1,ROUND(BB46*(1+'Calc base'!P47),2),MAX('Calc base'!K$12,ROUND('Calc base'!K$13*BB46,2))))</f>
        <v>0</v>
      </c>
      <c r="S47">
        <f>IF(BC46&lt;=0,0,IF(ROUND(BC46*(1+'Calc base'!Q47),2)-MAX('Calc base'!L$12,ROUND('Calc base'!L$13*BC46,2))&lt;1,ROUND(BC46*(1+'Calc base'!Q47),2),MAX('Calc base'!L$12,ROUND('Calc base'!L$13*BC46,2))))</f>
        <v>0</v>
      </c>
      <c r="T47">
        <f>IF(BD46&lt;=0,0,IF(ROUND(BD46*(1+'Calc base'!R47),2)-MAX('Calc base'!M$12,ROUND('Calc base'!M$13*BD46,2))&lt;1,ROUND(BD46*(1+'Calc base'!R47),2),MAX('Calc base'!M$12,ROUND('Calc base'!M$13*BD46,2))))</f>
        <v>0</v>
      </c>
      <c r="U47">
        <f>IF(BE46&lt;=0,0,IF(ROUND(BE46*(1+'Calc base'!S47),2)-MAX('Calc base'!N$12,ROUND('Calc base'!N$13*BE46,2))&lt;1,ROUND(BE46*(1+'Calc base'!S47),2),MAX('Calc base'!N$12,ROUND('Calc base'!N$13*BE46,2))))</f>
        <v>0</v>
      </c>
      <c r="V47">
        <f>MAX(0,ROUND(AT46*(1+'Calc base'!H47),2)-J47-'Calc base'!T47)</f>
        <v>0</v>
      </c>
      <c r="W47">
        <f>MAX(0,ROUND(AU46*(1+'Calc base'!I47),2)-K47-'Calc base'!U47)</f>
        <v>0</v>
      </c>
      <c r="X47">
        <f>MAX(0,ROUND(AV46*(1+'Calc base'!J47),2)-L47-'Calc base'!V47)</f>
        <v>845.14</v>
      </c>
      <c r="Y47">
        <f>MAX(0,ROUND(AW46*(1+'Calc base'!K47),2)-M47-'Calc base'!W47)</f>
        <v>5696.66</v>
      </c>
      <c r="Z47">
        <f>MAX(0,ROUND(AX46*(1+'Calc base'!L47),2)-N47-'Calc base'!X47)</f>
        <v>0</v>
      </c>
      <c r="AA47">
        <f>MAX(0,ROUND(AY46*(1+'Calc base'!M47),2)-O47-'Calc base'!Y47)</f>
        <v>650</v>
      </c>
      <c r="AB47">
        <f>MAX(0,ROUND(AZ46*(1+'Calc base'!N47),2)-P47-'Calc base'!Z47)</f>
        <v>0</v>
      </c>
      <c r="AC47">
        <f>MAX(0,ROUND(BA46*(1+'Calc base'!O47),2)-Q47-'Calc base'!AA47)</f>
        <v>0</v>
      </c>
      <c r="AD47">
        <f>MAX(0,ROUND(BB46*(1+'Calc base'!P47),2)-R47-'Calc base'!AB47)</f>
        <v>0</v>
      </c>
      <c r="AE47">
        <f>MAX(0,ROUND(BC46*(1+'Calc base'!Q47),2)-S47-'Calc base'!AC47)</f>
        <v>0</v>
      </c>
      <c r="AF47">
        <f>MAX(0,ROUND(BD46*(1+'Calc base'!R47),2)-T47-'Calc base'!AD47)</f>
        <v>0</v>
      </c>
      <c r="AG47">
        <f>MAX(0,ROUND(BE46*(1+'Calc base'!S47),2)-U47-'Calc base'!AE47)</f>
        <v>0</v>
      </c>
      <c r="AH47">
        <f>IF('Calc base'!C$14=0,0,MIN(V47,MAX(0,$E47-SUMIFS($V47:$AG47,'Calc base'!$C$19:$N$19,"&lt;"&amp;'Calc base'!C$19,'Calc base'!$C$14:$N$14,1))))</f>
        <v>0</v>
      </c>
      <c r="AI47">
        <f>IF('Calc base'!D$14=0,0,MIN(W47,MAX(0,$E47-SUMIFS($V47:$AG47,'Calc base'!$C$19:$N$19,"&lt;"&amp;'Calc base'!D$19,'Calc base'!$C$14:$N$14,1))))</f>
        <v>0</v>
      </c>
      <c r="AJ47">
        <f>IF('Calc base'!E$14=0,0,MIN(X47,MAX(0,$E47-SUMIFS($V47:$AG47,'Calc base'!$C$19:$N$19,"&lt;"&amp;'Calc base'!E$19,'Calc base'!$C$14:$N$14,1))))</f>
        <v>375</v>
      </c>
      <c r="AK47">
        <f>IF('Calc base'!F$14=0,0,MIN(Y47,MAX(0,$E47-SUMIFS($V47:$AG47,'Calc base'!$C$19:$N$19,"&lt;"&amp;'Calc base'!F$19,'Calc base'!$C$14:$N$14,1))))</f>
        <v>0</v>
      </c>
      <c r="AL47">
        <f>IF('Calc base'!G$14=0,0,MIN(Z47,MAX(0,$E47-SUMIFS($V47:$AG47,'Calc base'!$C$19:$N$19,"&lt;"&amp;'Calc base'!G$19,'Calc base'!$C$14:$N$14,1))))</f>
        <v>0</v>
      </c>
      <c r="AM47">
        <f>IF('Calc base'!H$14=0,0,MIN(AA47,MAX(0,$E47-SUMIFS($V47:$AG47,'Calc base'!$C$19:$N$19,"&lt;"&amp;'Calc base'!H$19,'Calc base'!$C$14:$N$14,1))))</f>
        <v>0</v>
      </c>
      <c r="AN47">
        <f>IF('Calc base'!I$14=0,0,MIN(AB47,MAX(0,$E47-SUMIFS($V47:$AG47,'Calc base'!$C$19:$N$19,"&lt;"&amp;'Calc base'!I$19,'Calc base'!$C$14:$N$14,1))))</f>
        <v>0</v>
      </c>
      <c r="AO47">
        <f>IF('Calc base'!J$14=0,0,MIN(AC47,MAX(0,$E47-SUMIFS($V47:$AG47,'Calc base'!$C$19:$N$19,"&lt;"&amp;'Calc base'!J$19,'Calc base'!$C$14:$N$14,1))))</f>
        <v>0</v>
      </c>
      <c r="AP47">
        <f>IF('Calc base'!K$14=0,0,MIN(AD47,MAX(0,$E47-SUMIFS($V47:$AG47,'Calc base'!$C$19:$N$19,"&lt;"&amp;'Calc base'!K$19,'Calc base'!$C$14:$N$14,1))))</f>
        <v>0</v>
      </c>
      <c r="AQ47">
        <f>IF('Calc base'!L$14=0,0,MIN(AE47,MAX(0,$E47-SUMIFS($V47:$AG47,'Calc base'!$C$19:$N$19,"&lt;"&amp;'Calc base'!L$19,'Calc base'!$C$14:$N$14,1))))</f>
        <v>0</v>
      </c>
      <c r="AR47">
        <f>IF('Calc base'!M$14=0,0,MIN(AF47,MAX(0,$E47-SUMIFS($V47:$AG47,'Calc base'!$C$19:$N$19,"&lt;"&amp;'Calc base'!M$19,'Calc base'!$C$14:$N$14,1))))</f>
        <v>0</v>
      </c>
      <c r="AS47">
        <f>IF('Calc base'!N$14=0,0,MIN(AG47,MAX(0,$E47-SUMIFS($V47:$AG47,'Calc base'!$C$19:$N$19,"&lt;"&amp;'Calc base'!N$19,'Calc base'!$C$14:$N$14,1))))</f>
        <v>0</v>
      </c>
      <c r="AT47">
        <f>V47-AH47</f>
        <v>0</v>
      </c>
      <c r="AU47">
        <f>W47-AI47</f>
        <v>0</v>
      </c>
      <c r="AV47">
        <f>X47-AJ47</f>
        <v>470.14</v>
      </c>
      <c r="AW47">
        <f>Y47-AK47</f>
        <v>5696.66</v>
      </c>
      <c r="AX47">
        <f>Z47-AL47</f>
        <v>0</v>
      </c>
      <c r="AY47">
        <f>AA47-AM47</f>
        <v>650</v>
      </c>
      <c r="AZ47">
        <f>AB47-AN47</f>
        <v>0</v>
      </c>
      <c r="BA47">
        <f>AC47-AO47</f>
        <v>0</v>
      </c>
      <c r="BB47">
        <f>AD47-AP47</f>
        <v>0</v>
      </c>
      <c r="BC47">
        <f>AE47-AQ47</f>
        <v>0</v>
      </c>
      <c r="BD47">
        <f>AF47-AR47</f>
        <v>0</v>
      </c>
      <c r="BE47">
        <f>AG47-AS47</f>
        <v>0</v>
      </c>
    </row>
    <row r="48">
      <c r="A48" t="n">
        <v>18</v>
      </c>
      <c r="B48">
        <f>SUMPRODUCT(ROUND($AT47:$BE47*(1+'Calc base'!$H48:$S48),2))</f>
        <v>6850.78</v>
      </c>
      <c r="C48">
        <f>SUM(J48:U48)</f>
        <v>525</v>
      </c>
      <c r="D48">
        <f>SUM(V48:AG48)</f>
        <v>6325.78</v>
      </c>
      <c r="E48">
        <f>MAX(0,IF(Impostazioni!$B$7="No",'Calc base'!$C48-$C$31,'Calc base'!$C48-C48)+'Calc base'!$G48+'Calc base'!$F48-(B48-C48-D48))</f>
        <v>375</v>
      </c>
      <c r="F48">
        <f>SUM(AH48:AS48)</f>
        <v>375</v>
      </c>
      <c r="G48">
        <f>SUM(AT48:BE48)</f>
        <v>5950.78</v>
      </c>
      <c r="H48">
        <f>B48-G47</f>
        <v>33.9799999999996</v>
      </c>
      <c r="I48">
        <f>B48-G48</f>
        <v>900</v>
      </c>
      <c r="J48">
        <f>IF(AT47&lt;=0,0,IF(ROUND(AT47*(1+'Calc base'!H48),2)-MAX('Calc base'!C$12,ROUND('Calc base'!C$13*AT47,2))&lt;1,ROUND(AT47*(1+'Calc base'!H48),2),MAX('Calc base'!C$12,ROUND('Calc base'!C$13*AT47,2))))</f>
        <v>0</v>
      </c>
      <c r="K48">
        <f>IF(AU47&lt;=0,0,IF(ROUND(AU47*(1+'Calc base'!I48),2)-MAX('Calc base'!D$12,ROUND('Calc base'!D$13*AU47,2))&lt;1,ROUND(AU47*(1+'Calc base'!I48),2),MAX('Calc base'!D$12,ROUND('Calc base'!D$13*AU47,2))))</f>
        <v>0</v>
      </c>
      <c r="L48">
        <f>IF(AV47&lt;=0,0,IF(ROUND(AV47*(1+'Calc base'!J48),2)-MAX('Calc base'!E$12,ROUND('Calc base'!E$13*AV47,2))&lt;1,ROUND(AV47*(1+'Calc base'!J48),2),MAX('Calc base'!E$12,ROUND('Calc base'!E$13*AV47,2))))</f>
        <v>210</v>
      </c>
      <c r="M48">
        <f>IF(AW47&lt;=0,0,IF(ROUND(AW47*(1+'Calc base'!K48),2)-MAX('Calc base'!F$12,ROUND('Calc base'!F$13*AW47,2))&lt;1,ROUND(AW47*(1+'Calc base'!K48),2),MAX('Calc base'!F$12,ROUND('Calc base'!F$13*AW47,2))))</f>
        <v>265</v>
      </c>
      <c r="N48">
        <f>IF(AX47&lt;=0,0,IF(ROUND(AX47*(1+'Calc base'!L48),2)-MAX('Calc base'!G$12,ROUND('Calc base'!G$13*AX47,2))&lt;1,ROUND(AX47*(1+'Calc base'!L48),2),MAX('Calc base'!G$12,ROUND('Calc base'!G$13*AX47,2))))</f>
        <v>0</v>
      </c>
      <c r="O48">
        <f>IF(AY47&lt;=0,0,IF(ROUND(AY47*(1+'Calc base'!M48),2)-MAX('Calc base'!H$12,ROUND('Calc base'!H$13*AY47,2))&lt;1,ROUND(AY47*(1+'Calc base'!M48),2),MAX('Calc base'!H$12,ROUND('Calc base'!H$13*AY47,2))))</f>
        <v>50</v>
      </c>
      <c r="P48">
        <f>IF(AZ47&lt;=0,0,IF(ROUND(AZ47*(1+'Calc base'!N48),2)-MAX('Calc base'!I$12,ROUND('Calc base'!I$13*AZ47,2))&lt;1,ROUND(AZ47*(1+'Calc base'!N48),2),MAX('Calc base'!I$12,ROUND('Calc base'!I$13*AZ47,2))))</f>
        <v>0</v>
      </c>
      <c r="Q48">
        <f>IF(BA47&lt;=0,0,IF(ROUND(BA47*(1+'Calc base'!O48),2)-MAX('Calc base'!J$12,ROUND('Calc base'!J$13*BA47,2))&lt;1,ROUND(BA47*(1+'Calc base'!O48),2),MAX('Calc base'!J$12,ROUND('Calc base'!J$13*BA47,2))))</f>
        <v>0</v>
      </c>
      <c r="R48">
        <f>IF(BB47&lt;=0,0,IF(ROUND(BB47*(1+'Calc base'!P48),2)-MAX('Calc base'!K$12,ROUND('Calc base'!K$13*BB47,2))&lt;1,ROUND(BB47*(1+'Calc base'!P48),2),MAX('Calc base'!K$12,ROUND('Calc base'!K$13*BB47,2))))</f>
        <v>0</v>
      </c>
      <c r="S48">
        <f>IF(BC47&lt;=0,0,IF(ROUND(BC47*(1+'Calc base'!Q48),2)-MAX('Calc base'!L$12,ROUND('Calc base'!L$13*BC47,2))&lt;1,ROUND(BC47*(1+'Calc base'!Q48),2),MAX('Calc base'!L$12,ROUND('Calc base'!L$13*BC47,2))))</f>
        <v>0</v>
      </c>
      <c r="T48">
        <f>IF(BD47&lt;=0,0,IF(ROUND(BD47*(1+'Calc base'!R48),2)-MAX('Calc base'!M$12,ROUND('Calc base'!M$13*BD47,2))&lt;1,ROUND(BD47*(1+'Calc base'!R48),2),MAX('Calc base'!M$12,ROUND('Calc base'!M$13*BD47,2))))</f>
        <v>0</v>
      </c>
      <c r="U48">
        <f>IF(BE47&lt;=0,0,IF(ROUND(BE47*(1+'Calc base'!S48),2)-MAX('Calc base'!N$12,ROUND('Calc base'!N$13*BE47,2))&lt;1,ROUND(BE47*(1+'Calc base'!S48),2),MAX('Calc base'!N$12,ROUND('Calc base'!N$13*BE47,2))))</f>
        <v>0</v>
      </c>
      <c r="V48">
        <f>MAX(0,ROUND(AT47*(1+'Calc base'!H48),2)-J48-'Calc base'!T48)</f>
        <v>0</v>
      </c>
      <c r="W48">
        <f>MAX(0,ROUND(AU47*(1+'Calc base'!I48),2)-K48-'Calc base'!U48)</f>
        <v>0</v>
      </c>
      <c r="X48">
        <f>MAX(0,ROUND(AV47*(1+'Calc base'!J48),2)-L48-'Calc base'!V48)</f>
        <v>263.74</v>
      </c>
      <c r="Y48">
        <f>MAX(0,ROUND(AW47*(1+'Calc base'!K48),2)-M48-'Calc base'!W48)</f>
        <v>5462.04</v>
      </c>
      <c r="Z48">
        <f>MAX(0,ROUND(AX47*(1+'Calc base'!L48),2)-N48-'Calc base'!X48)</f>
        <v>0</v>
      </c>
      <c r="AA48">
        <f>MAX(0,ROUND(AY47*(1+'Calc base'!M48),2)-O48-'Calc base'!Y48)</f>
        <v>600</v>
      </c>
      <c r="AB48">
        <f>MAX(0,ROUND(AZ47*(1+'Calc base'!N48),2)-P48-'Calc base'!Z48)</f>
        <v>0</v>
      </c>
      <c r="AC48">
        <f>MAX(0,ROUND(BA47*(1+'Calc base'!O48),2)-Q48-'Calc base'!AA48)</f>
        <v>0</v>
      </c>
      <c r="AD48">
        <f>MAX(0,ROUND(BB47*(1+'Calc base'!P48),2)-R48-'Calc base'!AB48)</f>
        <v>0</v>
      </c>
      <c r="AE48">
        <f>MAX(0,ROUND(BC47*(1+'Calc base'!Q48),2)-S48-'Calc base'!AC48)</f>
        <v>0</v>
      </c>
      <c r="AF48">
        <f>MAX(0,ROUND(BD47*(1+'Calc base'!R48),2)-T48-'Calc base'!AD48)</f>
        <v>0</v>
      </c>
      <c r="AG48">
        <f>MAX(0,ROUND(BE47*(1+'Calc base'!S48),2)-U48-'Calc base'!AE48)</f>
        <v>0</v>
      </c>
      <c r="AH48">
        <f>IF('Calc base'!C$14=0,0,MIN(V48,MAX(0,$E48-SUMIFS($V48:$AG48,'Calc base'!$C$19:$N$19,"&lt;"&amp;'Calc base'!C$19,'Calc base'!$C$14:$N$14,1))))</f>
        <v>0</v>
      </c>
      <c r="AI48">
        <f>IF('Calc base'!D$14=0,0,MIN(W48,MAX(0,$E48-SUMIFS($V48:$AG48,'Calc base'!$C$19:$N$19,"&lt;"&amp;'Calc base'!D$19,'Calc base'!$C$14:$N$14,1))))</f>
        <v>0</v>
      </c>
      <c r="AJ48">
        <f>IF('Calc base'!E$14=0,0,MIN(X48,MAX(0,$E48-SUMIFS($V48:$AG48,'Calc base'!$C$19:$N$19,"&lt;"&amp;'Calc base'!E$19,'Calc base'!$C$14:$N$14,1))))</f>
        <v>263.74</v>
      </c>
      <c r="AK48">
        <f>IF('Calc base'!F$14=0,0,MIN(Y48,MAX(0,$E48-SUMIFS($V48:$AG48,'Calc base'!$C$19:$N$19,"&lt;"&amp;'Calc base'!F$19,'Calc base'!$C$14:$N$14,1))))</f>
        <v>111.26</v>
      </c>
      <c r="AL48">
        <f>IF('Calc base'!G$14=0,0,MIN(Z48,MAX(0,$E48-SUMIFS($V48:$AG48,'Calc base'!$C$19:$N$19,"&lt;"&amp;'Calc base'!G$19,'Calc base'!$C$14:$N$14,1))))</f>
        <v>0</v>
      </c>
      <c r="AM48">
        <f>IF('Calc base'!H$14=0,0,MIN(AA48,MAX(0,$E48-SUMIFS($V48:$AG48,'Calc base'!$C$19:$N$19,"&lt;"&amp;'Calc base'!H$19,'Calc base'!$C$14:$N$14,1))))</f>
        <v>0</v>
      </c>
      <c r="AN48">
        <f>IF('Calc base'!I$14=0,0,MIN(AB48,MAX(0,$E48-SUMIFS($V48:$AG48,'Calc base'!$C$19:$N$19,"&lt;"&amp;'Calc base'!I$19,'Calc base'!$C$14:$N$14,1))))</f>
        <v>0</v>
      </c>
      <c r="AO48">
        <f>IF('Calc base'!J$14=0,0,MIN(AC48,MAX(0,$E48-SUMIFS($V48:$AG48,'Calc base'!$C$19:$N$19,"&lt;"&amp;'Calc base'!J$19,'Calc base'!$C$14:$N$14,1))))</f>
        <v>0</v>
      </c>
      <c r="AP48">
        <f>IF('Calc base'!K$14=0,0,MIN(AD48,MAX(0,$E48-SUMIFS($V48:$AG48,'Calc base'!$C$19:$N$19,"&lt;"&amp;'Calc base'!K$19,'Calc base'!$C$14:$N$14,1))))</f>
        <v>0</v>
      </c>
      <c r="AQ48">
        <f>IF('Calc base'!L$14=0,0,MIN(AE48,MAX(0,$E48-SUMIFS($V48:$AG48,'Calc base'!$C$19:$N$19,"&lt;"&amp;'Calc base'!L$19,'Calc base'!$C$14:$N$14,1))))</f>
        <v>0</v>
      </c>
      <c r="AR48">
        <f>IF('Calc base'!M$14=0,0,MIN(AF48,MAX(0,$E48-SUMIFS($V48:$AG48,'Calc base'!$C$19:$N$19,"&lt;"&amp;'Calc base'!M$19,'Calc base'!$C$14:$N$14,1))))</f>
        <v>0</v>
      </c>
      <c r="AS48">
        <f>IF('Calc base'!N$14=0,0,MIN(AG48,MAX(0,$E48-SUMIFS($V48:$AG48,'Calc base'!$C$19:$N$19,"&lt;"&amp;'Calc base'!N$19,'Calc base'!$C$14:$N$14,1))))</f>
        <v>0</v>
      </c>
      <c r="AT48">
        <f>V48-AH48</f>
        <v>0</v>
      </c>
      <c r="AU48">
        <f>W48-AI48</f>
        <v>0</v>
      </c>
      <c r="AV48">
        <f>X48-AJ48</f>
        <v>0</v>
      </c>
      <c r="AW48">
        <f>Y48-AK48</f>
        <v>5350.78</v>
      </c>
      <c r="AX48">
        <f>Z48-AL48</f>
        <v>0</v>
      </c>
      <c r="AY48">
        <f>AA48-AM48</f>
        <v>600</v>
      </c>
      <c r="AZ48">
        <f>AB48-AN48</f>
        <v>0</v>
      </c>
      <c r="BA48">
        <f>AC48-AO48</f>
        <v>0</v>
      </c>
      <c r="BB48">
        <f>AD48-AP48</f>
        <v>0</v>
      </c>
      <c r="BC48">
        <f>AE48-AQ48</f>
        <v>0</v>
      </c>
      <c r="BD48">
        <f>AF48-AR48</f>
        <v>0</v>
      </c>
      <c r="BE48">
        <f>AG48-AS48</f>
        <v>0</v>
      </c>
    </row>
    <row r="49">
      <c r="A49" t="n">
        <v>19</v>
      </c>
      <c r="B49">
        <f>SUMPRODUCT(ROUND($AT48:$BE48*(1+'Calc base'!$H49:$S49),2))</f>
        <v>5979.32</v>
      </c>
      <c r="C49">
        <f>SUM(J49:U49)</f>
        <v>315</v>
      </c>
      <c r="D49">
        <f>SUM(V49:AG49)</f>
        <v>5664.32</v>
      </c>
      <c r="E49">
        <f>MAX(0,IF(Impostazioni!$B$7="No",'Calc base'!$C49-$C$31,'Calc base'!$C49-C49)+'Calc base'!$G49+'Calc base'!$F49-(B49-C49-D49))</f>
        <v>585</v>
      </c>
      <c r="F49">
        <f>SUM(AH49:AS49)</f>
        <v>585</v>
      </c>
      <c r="G49">
        <f>SUM(AT49:BE49)</f>
        <v>5079.32</v>
      </c>
      <c r="H49">
        <f>B49-G48</f>
        <v>28.54</v>
      </c>
      <c r="I49">
        <f>B49-G49</f>
        <v>900</v>
      </c>
      <c r="J49">
        <f>IF(AT48&lt;=0,0,IF(ROUND(AT48*(1+'Calc base'!H49),2)-MAX('Calc base'!C$12,ROUND('Calc base'!C$13*AT48,2))&lt;1,ROUND(AT48*(1+'Calc base'!H49),2),MAX('Calc base'!C$12,ROUND('Calc base'!C$13*AT48,2))))</f>
        <v>0</v>
      </c>
      <c r="K49">
        <f>IF(AU48&lt;=0,0,IF(ROUND(AU48*(1+'Calc base'!I49),2)-MAX('Calc base'!D$12,ROUND('Calc base'!D$13*AU48,2))&lt;1,ROUND(AU48*(1+'Calc base'!I49),2),MAX('Calc base'!D$12,ROUND('Calc base'!D$13*AU48,2))))</f>
        <v>0</v>
      </c>
      <c r="L49">
        <f>IF(AV48&lt;=0,0,IF(ROUND(AV48*(1+'Calc base'!J49),2)-MAX('Calc base'!E$12,ROUND('Calc base'!E$13*AV48,2))&lt;1,ROUND(AV48*(1+'Calc base'!J49),2),MAX('Calc base'!E$12,ROUND('Calc base'!E$13*AV48,2))))</f>
        <v>0</v>
      </c>
      <c r="M49">
        <f>IF(AW48&lt;=0,0,IF(ROUND(AW48*(1+'Calc base'!K49),2)-MAX('Calc base'!F$12,ROUND('Calc base'!F$13*AW48,2))&lt;1,ROUND(AW48*(1+'Calc base'!K49),2),MAX('Calc base'!F$12,ROUND('Calc base'!F$13*AW48,2))))</f>
        <v>265</v>
      </c>
      <c r="N49">
        <f>IF(AX48&lt;=0,0,IF(ROUND(AX48*(1+'Calc base'!L49),2)-MAX('Calc base'!G$12,ROUND('Calc base'!G$13*AX48,2))&lt;1,ROUND(AX48*(1+'Calc base'!L49),2),MAX('Calc base'!G$12,ROUND('Calc base'!G$13*AX48,2))))</f>
        <v>0</v>
      </c>
      <c r="O49">
        <f>IF(AY48&lt;=0,0,IF(ROUND(AY48*(1+'Calc base'!M49),2)-MAX('Calc base'!H$12,ROUND('Calc base'!H$13*AY48,2))&lt;1,ROUND(AY48*(1+'Calc base'!M49),2),MAX('Calc base'!H$12,ROUND('Calc base'!H$13*AY48,2))))</f>
        <v>50</v>
      </c>
      <c r="P49">
        <f>IF(AZ48&lt;=0,0,IF(ROUND(AZ48*(1+'Calc base'!N49),2)-MAX('Calc base'!I$12,ROUND('Calc base'!I$13*AZ48,2))&lt;1,ROUND(AZ48*(1+'Calc base'!N49),2),MAX('Calc base'!I$12,ROUND('Calc base'!I$13*AZ48,2))))</f>
        <v>0</v>
      </c>
      <c r="Q49">
        <f>IF(BA48&lt;=0,0,IF(ROUND(BA48*(1+'Calc base'!O49),2)-MAX('Calc base'!J$12,ROUND('Calc base'!J$13*BA48,2))&lt;1,ROUND(BA48*(1+'Calc base'!O49),2),MAX('Calc base'!J$12,ROUND('Calc base'!J$13*BA48,2))))</f>
        <v>0</v>
      </c>
      <c r="R49">
        <f>IF(BB48&lt;=0,0,IF(ROUND(BB48*(1+'Calc base'!P49),2)-MAX('Calc base'!K$12,ROUND('Calc base'!K$13*BB48,2))&lt;1,ROUND(BB48*(1+'Calc base'!P49),2),MAX('Calc base'!K$12,ROUND('Calc base'!K$13*BB48,2))))</f>
        <v>0</v>
      </c>
      <c r="S49">
        <f>IF(BC48&lt;=0,0,IF(ROUND(BC48*(1+'Calc base'!Q49),2)-MAX('Calc base'!L$12,ROUND('Calc base'!L$13*BC48,2))&lt;1,ROUND(BC48*(1+'Calc base'!Q49),2),MAX('Calc base'!L$12,ROUND('Calc base'!L$13*BC48,2))))</f>
        <v>0</v>
      </c>
      <c r="T49">
        <f>IF(BD48&lt;=0,0,IF(ROUND(BD48*(1+'Calc base'!R49),2)-MAX('Calc base'!M$12,ROUND('Calc base'!M$13*BD48,2))&lt;1,ROUND(BD48*(1+'Calc base'!R49),2),MAX('Calc base'!M$12,ROUND('Calc base'!M$13*BD48,2))))</f>
        <v>0</v>
      </c>
      <c r="U49">
        <f>IF(BE48&lt;=0,0,IF(ROUND(BE48*(1+'Calc base'!S49),2)-MAX('Calc base'!N$12,ROUND('Calc base'!N$13*BE48,2))&lt;1,ROUND(BE48*(1+'Calc base'!S49),2),MAX('Calc base'!N$12,ROUND('Calc base'!N$13*BE48,2))))</f>
        <v>0</v>
      </c>
      <c r="V49">
        <f>MAX(0,ROUND(AT48*(1+'Calc base'!H49),2)-J49-'Calc base'!T49)</f>
        <v>0</v>
      </c>
      <c r="W49">
        <f>MAX(0,ROUND(AU48*(1+'Calc base'!I49),2)-K49-'Calc base'!U49)</f>
        <v>0</v>
      </c>
      <c r="X49">
        <f>MAX(0,ROUND(AV48*(1+'Calc base'!J49),2)-L49-'Calc base'!V49)</f>
        <v>0</v>
      </c>
      <c r="Y49">
        <f>MAX(0,ROUND(AW48*(1+'Calc base'!K49),2)-M49-'Calc base'!W49)</f>
        <v>5114.32</v>
      </c>
      <c r="Z49">
        <f>MAX(0,ROUND(AX48*(1+'Calc base'!L49),2)-N49-'Calc base'!X49)</f>
        <v>0</v>
      </c>
      <c r="AA49">
        <f>MAX(0,ROUND(AY48*(1+'Calc base'!M49),2)-O49-'Calc base'!Y49)</f>
        <v>550</v>
      </c>
      <c r="AB49">
        <f>MAX(0,ROUND(AZ48*(1+'Calc base'!N49),2)-P49-'Calc base'!Z49)</f>
        <v>0</v>
      </c>
      <c r="AC49">
        <f>MAX(0,ROUND(BA48*(1+'Calc base'!O49),2)-Q49-'Calc base'!AA49)</f>
        <v>0</v>
      </c>
      <c r="AD49">
        <f>MAX(0,ROUND(BB48*(1+'Calc base'!P49),2)-R49-'Calc base'!AB49)</f>
        <v>0</v>
      </c>
      <c r="AE49">
        <f>MAX(0,ROUND(BC48*(1+'Calc base'!Q49),2)-S49-'Calc base'!AC49)</f>
        <v>0</v>
      </c>
      <c r="AF49">
        <f>MAX(0,ROUND(BD48*(1+'Calc base'!R49),2)-T49-'Calc base'!AD49)</f>
        <v>0</v>
      </c>
      <c r="AG49">
        <f>MAX(0,ROUND(BE48*(1+'Calc base'!S49),2)-U49-'Calc base'!AE49)</f>
        <v>0</v>
      </c>
      <c r="AH49">
        <f>IF('Calc base'!C$14=0,0,MIN(V49,MAX(0,$E49-SUMIFS($V49:$AG49,'Calc base'!$C$19:$N$19,"&lt;"&amp;'Calc base'!C$19,'Calc base'!$C$14:$N$14,1))))</f>
        <v>0</v>
      </c>
      <c r="AI49">
        <f>IF('Calc base'!D$14=0,0,MIN(W49,MAX(0,$E49-SUMIFS($V49:$AG49,'Calc base'!$C$19:$N$19,"&lt;"&amp;'Calc base'!D$19,'Calc base'!$C$14:$N$14,1))))</f>
        <v>0</v>
      </c>
      <c r="AJ49">
        <f>IF('Calc base'!E$14=0,0,MIN(X49,MAX(0,$E49-SUMIFS($V49:$AG49,'Calc base'!$C$19:$N$19,"&lt;"&amp;'Calc base'!E$19,'Calc base'!$C$14:$N$14,1))))</f>
        <v>0</v>
      </c>
      <c r="AK49">
        <f>IF('Calc base'!F$14=0,0,MIN(Y49,MAX(0,$E49-SUMIFS($V49:$AG49,'Calc base'!$C$19:$N$19,"&lt;"&amp;'Calc base'!F$19,'Calc base'!$C$14:$N$14,1))))</f>
        <v>585</v>
      </c>
      <c r="AL49">
        <f>IF('Calc base'!G$14=0,0,MIN(Z49,MAX(0,$E49-SUMIFS($V49:$AG49,'Calc base'!$C$19:$N$19,"&lt;"&amp;'Calc base'!G$19,'Calc base'!$C$14:$N$14,1))))</f>
        <v>0</v>
      </c>
      <c r="AM49">
        <f>IF('Calc base'!H$14=0,0,MIN(AA49,MAX(0,$E49-SUMIFS($V49:$AG49,'Calc base'!$C$19:$N$19,"&lt;"&amp;'Calc base'!H$19,'Calc base'!$C$14:$N$14,1))))</f>
        <v>0</v>
      </c>
      <c r="AN49">
        <f>IF('Calc base'!I$14=0,0,MIN(AB49,MAX(0,$E49-SUMIFS($V49:$AG49,'Calc base'!$C$19:$N$19,"&lt;"&amp;'Calc base'!I$19,'Calc base'!$C$14:$N$14,1))))</f>
        <v>0</v>
      </c>
      <c r="AO49">
        <f>IF('Calc base'!J$14=0,0,MIN(AC49,MAX(0,$E49-SUMIFS($V49:$AG49,'Calc base'!$C$19:$N$19,"&lt;"&amp;'Calc base'!J$19,'Calc base'!$C$14:$N$14,1))))</f>
        <v>0</v>
      </c>
      <c r="AP49">
        <f>IF('Calc base'!K$14=0,0,MIN(AD49,MAX(0,$E49-SUMIFS($V49:$AG49,'Calc base'!$C$19:$N$19,"&lt;"&amp;'Calc base'!K$19,'Calc base'!$C$14:$N$14,1))))</f>
        <v>0</v>
      </c>
      <c r="AQ49">
        <f>IF('Calc base'!L$14=0,0,MIN(AE49,MAX(0,$E49-SUMIFS($V49:$AG49,'Calc base'!$C$19:$N$19,"&lt;"&amp;'Calc base'!L$19,'Calc base'!$C$14:$N$14,1))))</f>
        <v>0</v>
      </c>
      <c r="AR49">
        <f>IF('Calc base'!M$14=0,0,MIN(AF49,MAX(0,$E49-SUMIFS($V49:$AG49,'Calc base'!$C$19:$N$19,"&lt;"&amp;'Calc base'!M$19,'Calc base'!$C$14:$N$14,1))))</f>
        <v>0</v>
      </c>
      <c r="AS49">
        <f>IF('Calc base'!N$14=0,0,MIN(AG49,MAX(0,$E49-SUMIFS($V49:$AG49,'Calc base'!$C$19:$N$19,"&lt;"&amp;'Calc base'!N$19,'Calc base'!$C$14:$N$14,1))))</f>
        <v>0</v>
      </c>
      <c r="AT49">
        <f>V49-AH49</f>
        <v>0</v>
      </c>
      <c r="AU49">
        <f>W49-AI49</f>
        <v>0</v>
      </c>
      <c r="AV49">
        <f>X49-AJ49</f>
        <v>0</v>
      </c>
      <c r="AW49">
        <f>Y49-AK49</f>
        <v>4529.32</v>
      </c>
      <c r="AX49">
        <f>Z49-AL49</f>
        <v>0</v>
      </c>
      <c r="AY49">
        <f>AA49-AM49</f>
        <v>550</v>
      </c>
      <c r="AZ49">
        <f>AB49-AN49</f>
        <v>0</v>
      </c>
      <c r="BA49">
        <f>AC49-AO49</f>
        <v>0</v>
      </c>
      <c r="BB49">
        <f>AD49-AP49</f>
        <v>0</v>
      </c>
      <c r="BC49">
        <f>AE49-AQ49</f>
        <v>0</v>
      </c>
      <c r="BD49">
        <f>AF49-AR49</f>
        <v>0</v>
      </c>
      <c r="BE49">
        <f>AG49-AS49</f>
        <v>0</v>
      </c>
    </row>
    <row r="50">
      <c r="A50" t="n">
        <v>20</v>
      </c>
      <c r="B50">
        <f>SUMPRODUCT(ROUND($AT49:$BE49*(1+'Calc base'!$H50:$S50),2))</f>
        <v>5103.48</v>
      </c>
      <c r="C50">
        <f>SUM(J50:U50)</f>
        <v>315</v>
      </c>
      <c r="D50">
        <f>SUM(V50:AG50)</f>
        <v>4788.48</v>
      </c>
      <c r="E50">
        <f>MAX(0,IF(Impostazioni!$B$7="No",'Calc base'!$C50-$C$31,'Calc base'!$C50-C50)+'Calc base'!$G50+'Calc base'!$F50-(B50-C50-D50))</f>
        <v>585</v>
      </c>
      <c r="F50">
        <f>SUM(AH50:AS50)</f>
        <v>585</v>
      </c>
      <c r="G50">
        <f>SUM(AT50:BE50)</f>
        <v>4203.48</v>
      </c>
      <c r="H50">
        <f>B50-G49</f>
        <v>24.1599999999999</v>
      </c>
      <c r="I50">
        <f>B50-G50</f>
        <v>900</v>
      </c>
      <c r="J50">
        <f>IF(AT49&lt;=0,0,IF(ROUND(AT49*(1+'Calc base'!H50),2)-MAX('Calc base'!C$12,ROUND('Calc base'!C$13*AT49,2))&lt;1,ROUND(AT49*(1+'Calc base'!H50),2),MAX('Calc base'!C$12,ROUND('Calc base'!C$13*AT49,2))))</f>
        <v>0</v>
      </c>
      <c r="K50">
        <f>IF(AU49&lt;=0,0,IF(ROUND(AU49*(1+'Calc base'!I50),2)-MAX('Calc base'!D$12,ROUND('Calc base'!D$13*AU49,2))&lt;1,ROUND(AU49*(1+'Calc base'!I50),2),MAX('Calc base'!D$12,ROUND('Calc base'!D$13*AU49,2))))</f>
        <v>0</v>
      </c>
      <c r="L50">
        <f>IF(AV49&lt;=0,0,IF(ROUND(AV49*(1+'Calc base'!J50),2)-MAX('Calc base'!E$12,ROUND('Calc base'!E$13*AV49,2))&lt;1,ROUND(AV49*(1+'Calc base'!J50),2),MAX('Calc base'!E$12,ROUND('Calc base'!E$13*AV49,2))))</f>
        <v>0</v>
      </c>
      <c r="M50">
        <f>IF(AW49&lt;=0,0,IF(ROUND(AW49*(1+'Calc base'!K50),2)-MAX('Calc base'!F$12,ROUND('Calc base'!F$13*AW49,2))&lt;1,ROUND(AW49*(1+'Calc base'!K50),2),MAX('Calc base'!F$12,ROUND('Calc base'!F$13*AW49,2))))</f>
        <v>265</v>
      </c>
      <c r="N50">
        <f>IF(AX49&lt;=0,0,IF(ROUND(AX49*(1+'Calc base'!L50),2)-MAX('Calc base'!G$12,ROUND('Calc base'!G$13*AX49,2))&lt;1,ROUND(AX49*(1+'Calc base'!L50),2),MAX('Calc base'!G$12,ROUND('Calc base'!G$13*AX49,2))))</f>
        <v>0</v>
      </c>
      <c r="O50">
        <f>IF(AY49&lt;=0,0,IF(ROUND(AY49*(1+'Calc base'!M50),2)-MAX('Calc base'!H$12,ROUND('Calc base'!H$13*AY49,2))&lt;1,ROUND(AY49*(1+'Calc base'!M50),2),MAX('Calc base'!H$12,ROUND('Calc base'!H$13*AY49,2))))</f>
        <v>50</v>
      </c>
      <c r="P50">
        <f>IF(AZ49&lt;=0,0,IF(ROUND(AZ49*(1+'Calc base'!N50),2)-MAX('Calc base'!I$12,ROUND('Calc base'!I$13*AZ49,2))&lt;1,ROUND(AZ49*(1+'Calc base'!N50),2),MAX('Calc base'!I$12,ROUND('Calc base'!I$13*AZ49,2))))</f>
        <v>0</v>
      </c>
      <c r="Q50">
        <f>IF(BA49&lt;=0,0,IF(ROUND(BA49*(1+'Calc base'!O50),2)-MAX('Calc base'!J$12,ROUND('Calc base'!J$13*BA49,2))&lt;1,ROUND(BA49*(1+'Calc base'!O50),2),MAX('Calc base'!J$12,ROUND('Calc base'!J$13*BA49,2))))</f>
        <v>0</v>
      </c>
      <c r="R50">
        <f>IF(BB49&lt;=0,0,IF(ROUND(BB49*(1+'Calc base'!P50),2)-MAX('Calc base'!K$12,ROUND('Calc base'!K$13*BB49,2))&lt;1,ROUND(BB49*(1+'Calc base'!P50),2),MAX('Calc base'!K$12,ROUND('Calc base'!K$13*BB49,2))))</f>
        <v>0</v>
      </c>
      <c r="S50">
        <f>IF(BC49&lt;=0,0,IF(ROUND(BC49*(1+'Calc base'!Q50),2)-MAX('Calc base'!L$12,ROUND('Calc base'!L$13*BC49,2))&lt;1,ROUND(BC49*(1+'Calc base'!Q50),2),MAX('Calc base'!L$12,ROUND('Calc base'!L$13*BC49,2))))</f>
        <v>0</v>
      </c>
      <c r="T50">
        <f>IF(BD49&lt;=0,0,IF(ROUND(BD49*(1+'Calc base'!R50),2)-MAX('Calc base'!M$12,ROUND('Calc base'!M$13*BD49,2))&lt;1,ROUND(BD49*(1+'Calc base'!R50),2),MAX('Calc base'!M$12,ROUND('Calc base'!M$13*BD49,2))))</f>
        <v>0</v>
      </c>
      <c r="U50">
        <f>IF(BE49&lt;=0,0,IF(ROUND(BE49*(1+'Calc base'!S50),2)-MAX('Calc base'!N$12,ROUND('Calc base'!N$13*BE49,2))&lt;1,ROUND(BE49*(1+'Calc base'!S50),2),MAX('Calc base'!N$12,ROUND('Calc base'!N$13*BE49,2))))</f>
        <v>0</v>
      </c>
      <c r="V50">
        <f>MAX(0,ROUND(AT49*(1+'Calc base'!H50),2)-J50-'Calc base'!T50)</f>
        <v>0</v>
      </c>
      <c r="W50">
        <f>MAX(0,ROUND(AU49*(1+'Calc base'!I50),2)-K50-'Calc base'!U50)</f>
        <v>0</v>
      </c>
      <c r="X50">
        <f>MAX(0,ROUND(AV49*(1+'Calc base'!J50),2)-L50-'Calc base'!V50)</f>
        <v>0</v>
      </c>
      <c r="Y50">
        <f>MAX(0,ROUND(AW49*(1+'Calc base'!K50),2)-M50-'Calc base'!W50)</f>
        <v>4288.48</v>
      </c>
      <c r="Z50">
        <f>MAX(0,ROUND(AX49*(1+'Calc base'!L50),2)-N50-'Calc base'!X50)</f>
        <v>0</v>
      </c>
      <c r="AA50">
        <f>MAX(0,ROUND(AY49*(1+'Calc base'!M50),2)-O50-'Calc base'!Y50)</f>
        <v>500</v>
      </c>
      <c r="AB50">
        <f>MAX(0,ROUND(AZ49*(1+'Calc base'!N50),2)-P50-'Calc base'!Z50)</f>
        <v>0</v>
      </c>
      <c r="AC50">
        <f>MAX(0,ROUND(BA49*(1+'Calc base'!O50),2)-Q50-'Calc base'!AA50)</f>
        <v>0</v>
      </c>
      <c r="AD50">
        <f>MAX(0,ROUND(BB49*(1+'Calc base'!P50),2)-R50-'Calc base'!AB50)</f>
        <v>0</v>
      </c>
      <c r="AE50">
        <f>MAX(0,ROUND(BC49*(1+'Calc base'!Q50),2)-S50-'Calc base'!AC50)</f>
        <v>0</v>
      </c>
      <c r="AF50">
        <f>MAX(0,ROUND(BD49*(1+'Calc base'!R50),2)-T50-'Calc base'!AD50)</f>
        <v>0</v>
      </c>
      <c r="AG50">
        <f>MAX(0,ROUND(BE49*(1+'Calc base'!S50),2)-U50-'Calc base'!AE50)</f>
        <v>0</v>
      </c>
      <c r="AH50">
        <f>IF('Calc base'!C$14=0,0,MIN(V50,MAX(0,$E50-SUMIFS($V50:$AG50,'Calc base'!$C$19:$N$19,"&lt;"&amp;'Calc base'!C$19,'Calc base'!$C$14:$N$14,1))))</f>
        <v>0</v>
      </c>
      <c r="AI50">
        <f>IF('Calc base'!D$14=0,0,MIN(W50,MAX(0,$E50-SUMIFS($V50:$AG50,'Calc base'!$C$19:$N$19,"&lt;"&amp;'Calc base'!D$19,'Calc base'!$C$14:$N$14,1))))</f>
        <v>0</v>
      </c>
      <c r="AJ50">
        <f>IF('Calc base'!E$14=0,0,MIN(X50,MAX(0,$E50-SUMIFS($V50:$AG50,'Calc base'!$C$19:$N$19,"&lt;"&amp;'Calc base'!E$19,'Calc base'!$C$14:$N$14,1))))</f>
        <v>0</v>
      </c>
      <c r="AK50">
        <f>IF('Calc base'!F$14=0,0,MIN(Y50,MAX(0,$E50-SUMIFS($V50:$AG50,'Calc base'!$C$19:$N$19,"&lt;"&amp;'Calc base'!F$19,'Calc base'!$C$14:$N$14,1))))</f>
        <v>585</v>
      </c>
      <c r="AL50">
        <f>IF('Calc base'!G$14=0,0,MIN(Z50,MAX(0,$E50-SUMIFS($V50:$AG50,'Calc base'!$C$19:$N$19,"&lt;"&amp;'Calc base'!G$19,'Calc base'!$C$14:$N$14,1))))</f>
        <v>0</v>
      </c>
      <c r="AM50">
        <f>IF('Calc base'!H$14=0,0,MIN(AA50,MAX(0,$E50-SUMIFS($V50:$AG50,'Calc base'!$C$19:$N$19,"&lt;"&amp;'Calc base'!H$19,'Calc base'!$C$14:$N$14,1))))</f>
        <v>0</v>
      </c>
      <c r="AN50">
        <f>IF('Calc base'!I$14=0,0,MIN(AB50,MAX(0,$E50-SUMIFS($V50:$AG50,'Calc base'!$C$19:$N$19,"&lt;"&amp;'Calc base'!I$19,'Calc base'!$C$14:$N$14,1))))</f>
        <v>0</v>
      </c>
      <c r="AO50">
        <f>IF('Calc base'!J$14=0,0,MIN(AC50,MAX(0,$E50-SUMIFS($V50:$AG50,'Calc base'!$C$19:$N$19,"&lt;"&amp;'Calc base'!J$19,'Calc base'!$C$14:$N$14,1))))</f>
        <v>0</v>
      </c>
      <c r="AP50">
        <f>IF('Calc base'!K$14=0,0,MIN(AD50,MAX(0,$E50-SUMIFS($V50:$AG50,'Calc base'!$C$19:$N$19,"&lt;"&amp;'Calc base'!K$19,'Calc base'!$C$14:$N$14,1))))</f>
        <v>0</v>
      </c>
      <c r="AQ50">
        <f>IF('Calc base'!L$14=0,0,MIN(AE50,MAX(0,$E50-SUMIFS($V50:$AG50,'Calc base'!$C$19:$N$19,"&lt;"&amp;'Calc base'!L$19,'Calc base'!$C$14:$N$14,1))))</f>
        <v>0</v>
      </c>
      <c r="AR50">
        <f>IF('Calc base'!M$14=0,0,MIN(AF50,MAX(0,$E50-SUMIFS($V50:$AG50,'Calc base'!$C$19:$N$19,"&lt;"&amp;'Calc base'!M$19,'Calc base'!$C$14:$N$14,1))))</f>
        <v>0</v>
      </c>
      <c r="AS50">
        <f>IF('Calc base'!N$14=0,0,MIN(AG50,MAX(0,$E50-SUMIFS($V50:$AG50,'Calc base'!$C$19:$N$19,"&lt;"&amp;'Calc base'!N$19,'Calc base'!$C$14:$N$14,1))))</f>
        <v>0</v>
      </c>
      <c r="AT50">
        <f>V50-AH50</f>
        <v>0</v>
      </c>
      <c r="AU50">
        <f>W50-AI50</f>
        <v>0</v>
      </c>
      <c r="AV50">
        <f>X50-AJ50</f>
        <v>0</v>
      </c>
      <c r="AW50">
        <f>Y50-AK50</f>
        <v>3703.48</v>
      </c>
      <c r="AX50">
        <f>Z50-AL50</f>
        <v>0</v>
      </c>
      <c r="AY50">
        <f>AA50-AM50</f>
        <v>500</v>
      </c>
      <c r="AZ50">
        <f>AB50-AN50</f>
        <v>0</v>
      </c>
      <c r="BA50">
        <f>AC50-AO50</f>
        <v>0</v>
      </c>
      <c r="BB50">
        <f>AD50-AP50</f>
        <v>0</v>
      </c>
      <c r="BC50">
        <f>AE50-AQ50</f>
        <v>0</v>
      </c>
      <c r="BD50">
        <f>AF50-AR50</f>
        <v>0</v>
      </c>
      <c r="BE50">
        <f>AG50-AS50</f>
        <v>0</v>
      </c>
    </row>
    <row r="51">
      <c r="A51" t="n">
        <v>21</v>
      </c>
      <c r="B51">
        <f>SUMPRODUCT(ROUND($AT50:$BE50*(1+'Calc base'!$H51:$S51),2))</f>
        <v>4223.23</v>
      </c>
      <c r="C51">
        <f>SUM(J51:U51)</f>
        <v>315</v>
      </c>
      <c r="D51">
        <f>SUM(V51:AG51)</f>
        <v>3908.23</v>
      </c>
      <c r="E51">
        <f>MAX(0,IF(Impostazioni!$B$7="No",'Calc base'!$C51-$C$31,'Calc base'!$C51-C51)+'Calc base'!$G51+'Calc base'!$F51-(B51-C51-D51))</f>
        <v>585</v>
      </c>
      <c r="F51">
        <f>SUM(AH51:AS51)</f>
        <v>585</v>
      </c>
      <c r="G51">
        <f>SUM(AT51:BE51)</f>
        <v>3323.23</v>
      </c>
      <c r="H51">
        <f>B51-G50</f>
        <v>19.75</v>
      </c>
      <c r="I51">
        <f>B51-G51</f>
        <v>900</v>
      </c>
      <c r="J51">
        <f>IF(AT50&lt;=0,0,IF(ROUND(AT50*(1+'Calc base'!H51),2)-MAX('Calc base'!C$12,ROUND('Calc base'!C$13*AT50,2))&lt;1,ROUND(AT50*(1+'Calc base'!H51),2),MAX('Calc base'!C$12,ROUND('Calc base'!C$13*AT50,2))))</f>
        <v>0</v>
      </c>
      <c r="K51">
        <f>IF(AU50&lt;=0,0,IF(ROUND(AU50*(1+'Calc base'!I51),2)-MAX('Calc base'!D$12,ROUND('Calc base'!D$13*AU50,2))&lt;1,ROUND(AU50*(1+'Calc base'!I51),2),MAX('Calc base'!D$12,ROUND('Calc base'!D$13*AU50,2))))</f>
        <v>0</v>
      </c>
      <c r="L51">
        <f>IF(AV50&lt;=0,0,IF(ROUND(AV50*(1+'Calc base'!J51),2)-MAX('Calc base'!E$12,ROUND('Calc base'!E$13*AV50,2))&lt;1,ROUND(AV50*(1+'Calc base'!J51),2),MAX('Calc base'!E$12,ROUND('Calc base'!E$13*AV50,2))))</f>
        <v>0</v>
      </c>
      <c r="M51">
        <f>IF(AW50&lt;=0,0,IF(ROUND(AW50*(1+'Calc base'!K51),2)-MAX('Calc base'!F$12,ROUND('Calc base'!F$13*AW50,2))&lt;1,ROUND(AW50*(1+'Calc base'!K51),2),MAX('Calc base'!F$12,ROUND('Calc base'!F$13*AW50,2))))</f>
        <v>265</v>
      </c>
      <c r="N51">
        <f>IF(AX50&lt;=0,0,IF(ROUND(AX50*(1+'Calc base'!L51),2)-MAX('Calc base'!G$12,ROUND('Calc base'!G$13*AX50,2))&lt;1,ROUND(AX50*(1+'Calc base'!L51),2),MAX('Calc base'!G$12,ROUND('Calc base'!G$13*AX50,2))))</f>
        <v>0</v>
      </c>
      <c r="O51">
        <f>IF(AY50&lt;=0,0,IF(ROUND(AY50*(1+'Calc base'!M51),2)-MAX('Calc base'!H$12,ROUND('Calc base'!H$13*AY50,2))&lt;1,ROUND(AY50*(1+'Calc base'!M51),2),MAX('Calc base'!H$12,ROUND('Calc base'!H$13*AY50,2))))</f>
        <v>50</v>
      </c>
      <c r="P51">
        <f>IF(AZ50&lt;=0,0,IF(ROUND(AZ50*(1+'Calc base'!N51),2)-MAX('Calc base'!I$12,ROUND('Calc base'!I$13*AZ50,2))&lt;1,ROUND(AZ50*(1+'Calc base'!N51),2),MAX('Calc base'!I$12,ROUND('Calc base'!I$13*AZ50,2))))</f>
        <v>0</v>
      </c>
      <c r="Q51">
        <f>IF(BA50&lt;=0,0,IF(ROUND(BA50*(1+'Calc base'!O51),2)-MAX('Calc base'!J$12,ROUND('Calc base'!J$13*BA50,2))&lt;1,ROUND(BA50*(1+'Calc base'!O51),2),MAX('Calc base'!J$12,ROUND('Calc base'!J$13*BA50,2))))</f>
        <v>0</v>
      </c>
      <c r="R51">
        <f>IF(BB50&lt;=0,0,IF(ROUND(BB50*(1+'Calc base'!P51),2)-MAX('Calc base'!K$12,ROUND('Calc base'!K$13*BB50,2))&lt;1,ROUND(BB50*(1+'Calc base'!P51),2),MAX('Calc base'!K$12,ROUND('Calc base'!K$13*BB50,2))))</f>
        <v>0</v>
      </c>
      <c r="S51">
        <f>IF(BC50&lt;=0,0,IF(ROUND(BC50*(1+'Calc base'!Q51),2)-MAX('Calc base'!L$12,ROUND('Calc base'!L$13*BC50,2))&lt;1,ROUND(BC50*(1+'Calc base'!Q51),2),MAX('Calc base'!L$12,ROUND('Calc base'!L$13*BC50,2))))</f>
        <v>0</v>
      </c>
      <c r="T51">
        <f>IF(BD50&lt;=0,0,IF(ROUND(BD50*(1+'Calc base'!R51),2)-MAX('Calc base'!M$12,ROUND('Calc base'!M$13*BD50,2))&lt;1,ROUND(BD50*(1+'Calc base'!R51),2),MAX('Calc base'!M$12,ROUND('Calc base'!M$13*BD50,2))))</f>
        <v>0</v>
      </c>
      <c r="U51">
        <f>IF(BE50&lt;=0,0,IF(ROUND(BE50*(1+'Calc base'!S51),2)-MAX('Calc base'!N$12,ROUND('Calc base'!N$13*BE50,2))&lt;1,ROUND(BE50*(1+'Calc base'!S51),2),MAX('Calc base'!N$12,ROUND('Calc base'!N$13*BE50,2))))</f>
        <v>0</v>
      </c>
      <c r="V51">
        <f>MAX(0,ROUND(AT50*(1+'Calc base'!H51),2)-J51-'Calc base'!T51)</f>
        <v>0</v>
      </c>
      <c r="W51">
        <f>MAX(0,ROUND(AU50*(1+'Calc base'!I51),2)-K51-'Calc base'!U51)</f>
        <v>0</v>
      </c>
      <c r="X51">
        <f>MAX(0,ROUND(AV50*(1+'Calc base'!J51),2)-L51-'Calc base'!V51)</f>
        <v>0</v>
      </c>
      <c r="Y51">
        <f>MAX(0,ROUND(AW50*(1+'Calc base'!K51),2)-M51-'Calc base'!W51)</f>
        <v>3458.23</v>
      </c>
      <c r="Z51">
        <f>MAX(0,ROUND(AX50*(1+'Calc base'!L51),2)-N51-'Calc base'!X51)</f>
        <v>0</v>
      </c>
      <c r="AA51">
        <f>MAX(0,ROUND(AY50*(1+'Calc base'!M51),2)-O51-'Calc base'!Y51)</f>
        <v>450</v>
      </c>
      <c r="AB51">
        <f>MAX(0,ROUND(AZ50*(1+'Calc base'!N51),2)-P51-'Calc base'!Z51)</f>
        <v>0</v>
      </c>
      <c r="AC51">
        <f>MAX(0,ROUND(BA50*(1+'Calc base'!O51),2)-Q51-'Calc base'!AA51)</f>
        <v>0</v>
      </c>
      <c r="AD51">
        <f>MAX(0,ROUND(BB50*(1+'Calc base'!P51),2)-R51-'Calc base'!AB51)</f>
        <v>0</v>
      </c>
      <c r="AE51">
        <f>MAX(0,ROUND(BC50*(1+'Calc base'!Q51),2)-S51-'Calc base'!AC51)</f>
        <v>0</v>
      </c>
      <c r="AF51">
        <f>MAX(0,ROUND(BD50*(1+'Calc base'!R51),2)-T51-'Calc base'!AD51)</f>
        <v>0</v>
      </c>
      <c r="AG51">
        <f>MAX(0,ROUND(BE50*(1+'Calc base'!S51),2)-U51-'Calc base'!AE51)</f>
        <v>0</v>
      </c>
      <c r="AH51">
        <f>IF('Calc base'!C$14=0,0,MIN(V51,MAX(0,$E51-SUMIFS($V51:$AG51,'Calc base'!$C$19:$N$19,"&lt;"&amp;'Calc base'!C$19,'Calc base'!$C$14:$N$14,1))))</f>
        <v>0</v>
      </c>
      <c r="AI51">
        <f>IF('Calc base'!D$14=0,0,MIN(W51,MAX(0,$E51-SUMIFS($V51:$AG51,'Calc base'!$C$19:$N$19,"&lt;"&amp;'Calc base'!D$19,'Calc base'!$C$14:$N$14,1))))</f>
        <v>0</v>
      </c>
      <c r="AJ51">
        <f>IF('Calc base'!E$14=0,0,MIN(X51,MAX(0,$E51-SUMIFS($V51:$AG51,'Calc base'!$C$19:$N$19,"&lt;"&amp;'Calc base'!E$19,'Calc base'!$C$14:$N$14,1))))</f>
        <v>0</v>
      </c>
      <c r="AK51">
        <f>IF('Calc base'!F$14=0,0,MIN(Y51,MAX(0,$E51-SUMIFS($V51:$AG51,'Calc base'!$C$19:$N$19,"&lt;"&amp;'Calc base'!F$19,'Calc base'!$C$14:$N$14,1))))</f>
        <v>585</v>
      </c>
      <c r="AL51">
        <f>IF('Calc base'!G$14=0,0,MIN(Z51,MAX(0,$E51-SUMIFS($V51:$AG51,'Calc base'!$C$19:$N$19,"&lt;"&amp;'Calc base'!G$19,'Calc base'!$C$14:$N$14,1))))</f>
        <v>0</v>
      </c>
      <c r="AM51">
        <f>IF('Calc base'!H$14=0,0,MIN(AA51,MAX(0,$E51-SUMIFS($V51:$AG51,'Calc base'!$C$19:$N$19,"&lt;"&amp;'Calc base'!H$19,'Calc base'!$C$14:$N$14,1))))</f>
        <v>0</v>
      </c>
      <c r="AN51">
        <f>IF('Calc base'!I$14=0,0,MIN(AB51,MAX(0,$E51-SUMIFS($V51:$AG51,'Calc base'!$C$19:$N$19,"&lt;"&amp;'Calc base'!I$19,'Calc base'!$C$14:$N$14,1))))</f>
        <v>0</v>
      </c>
      <c r="AO51">
        <f>IF('Calc base'!J$14=0,0,MIN(AC51,MAX(0,$E51-SUMIFS($V51:$AG51,'Calc base'!$C$19:$N$19,"&lt;"&amp;'Calc base'!J$19,'Calc base'!$C$14:$N$14,1))))</f>
        <v>0</v>
      </c>
      <c r="AP51">
        <f>IF('Calc base'!K$14=0,0,MIN(AD51,MAX(0,$E51-SUMIFS($V51:$AG51,'Calc base'!$C$19:$N$19,"&lt;"&amp;'Calc base'!K$19,'Calc base'!$C$14:$N$14,1))))</f>
        <v>0</v>
      </c>
      <c r="AQ51">
        <f>IF('Calc base'!L$14=0,0,MIN(AE51,MAX(0,$E51-SUMIFS($V51:$AG51,'Calc base'!$C$19:$N$19,"&lt;"&amp;'Calc base'!L$19,'Calc base'!$C$14:$N$14,1))))</f>
        <v>0</v>
      </c>
      <c r="AR51">
        <f>IF('Calc base'!M$14=0,0,MIN(AF51,MAX(0,$E51-SUMIFS($V51:$AG51,'Calc base'!$C$19:$N$19,"&lt;"&amp;'Calc base'!M$19,'Calc base'!$C$14:$N$14,1))))</f>
        <v>0</v>
      </c>
      <c r="AS51">
        <f>IF('Calc base'!N$14=0,0,MIN(AG51,MAX(0,$E51-SUMIFS($V51:$AG51,'Calc base'!$C$19:$N$19,"&lt;"&amp;'Calc base'!N$19,'Calc base'!$C$14:$N$14,1))))</f>
        <v>0</v>
      </c>
      <c r="AT51">
        <f>V51-AH51</f>
        <v>0</v>
      </c>
      <c r="AU51">
        <f>W51-AI51</f>
        <v>0</v>
      </c>
      <c r="AV51">
        <f>X51-AJ51</f>
        <v>0</v>
      </c>
      <c r="AW51">
        <f>Y51-AK51</f>
        <v>2873.23</v>
      </c>
      <c r="AX51">
        <f>Z51-AL51</f>
        <v>0</v>
      </c>
      <c r="AY51">
        <f>AA51-AM51</f>
        <v>450</v>
      </c>
      <c r="AZ51">
        <f>AB51-AN51</f>
        <v>0</v>
      </c>
      <c r="BA51">
        <f>AC51-AO51</f>
        <v>0</v>
      </c>
      <c r="BB51">
        <f>AD51-AP51</f>
        <v>0</v>
      </c>
      <c r="BC51">
        <f>AE51-AQ51</f>
        <v>0</v>
      </c>
      <c r="BD51">
        <f>AF51-AR51</f>
        <v>0</v>
      </c>
      <c r="BE51">
        <f>AG51-AS51</f>
        <v>0</v>
      </c>
    </row>
    <row r="52">
      <c r="A52" t="n">
        <v>22</v>
      </c>
      <c r="B52">
        <f>SUMPRODUCT(ROUND($AT51:$BE51*(1+'Calc base'!$H52:$S52),2))</f>
        <v>3338.55</v>
      </c>
      <c r="C52">
        <f>SUM(J52:U52)</f>
        <v>315</v>
      </c>
      <c r="D52">
        <f>SUM(V52:AG52)</f>
        <v>3023.55</v>
      </c>
      <c r="E52">
        <f>MAX(0,IF(Impostazioni!$B$7="No",'Calc base'!$C52-$C$31,'Calc base'!$C52-C52)+'Calc base'!$G52+'Calc base'!$F52-(B52-C52-D52))</f>
        <v>585</v>
      </c>
      <c r="F52">
        <f>SUM(AH52:AS52)</f>
        <v>585</v>
      </c>
      <c r="G52">
        <f>SUM(AT52:BE52)</f>
        <v>2438.55</v>
      </c>
      <c r="H52">
        <f>B52-G51</f>
        <v>15.3200000000002</v>
      </c>
      <c r="I52">
        <f>B52-G52</f>
        <v>900</v>
      </c>
      <c r="J52">
        <f>IF(AT51&lt;=0,0,IF(ROUND(AT51*(1+'Calc base'!H52),2)-MAX('Calc base'!C$12,ROUND('Calc base'!C$13*AT51,2))&lt;1,ROUND(AT51*(1+'Calc base'!H52),2),MAX('Calc base'!C$12,ROUND('Calc base'!C$13*AT51,2))))</f>
        <v>0</v>
      </c>
      <c r="K52">
        <f>IF(AU51&lt;=0,0,IF(ROUND(AU51*(1+'Calc base'!I52),2)-MAX('Calc base'!D$12,ROUND('Calc base'!D$13*AU51,2))&lt;1,ROUND(AU51*(1+'Calc base'!I52),2),MAX('Calc base'!D$12,ROUND('Calc base'!D$13*AU51,2))))</f>
        <v>0</v>
      </c>
      <c r="L52">
        <f>IF(AV51&lt;=0,0,IF(ROUND(AV51*(1+'Calc base'!J52),2)-MAX('Calc base'!E$12,ROUND('Calc base'!E$13*AV51,2))&lt;1,ROUND(AV51*(1+'Calc base'!J52),2),MAX('Calc base'!E$12,ROUND('Calc base'!E$13*AV51,2))))</f>
        <v>0</v>
      </c>
      <c r="M52">
        <f>IF(AW51&lt;=0,0,IF(ROUND(AW51*(1+'Calc base'!K52),2)-MAX('Calc base'!F$12,ROUND('Calc base'!F$13*AW51,2))&lt;1,ROUND(AW51*(1+'Calc base'!K52),2),MAX('Calc base'!F$12,ROUND('Calc base'!F$13*AW51,2))))</f>
        <v>265</v>
      </c>
      <c r="N52">
        <f>IF(AX51&lt;=0,0,IF(ROUND(AX51*(1+'Calc base'!L52),2)-MAX('Calc base'!G$12,ROUND('Calc base'!G$13*AX51,2))&lt;1,ROUND(AX51*(1+'Calc base'!L52),2),MAX('Calc base'!G$12,ROUND('Calc base'!G$13*AX51,2))))</f>
        <v>0</v>
      </c>
      <c r="O52">
        <f>IF(AY51&lt;=0,0,IF(ROUND(AY51*(1+'Calc base'!M52),2)-MAX('Calc base'!H$12,ROUND('Calc base'!H$13*AY51,2))&lt;1,ROUND(AY51*(1+'Calc base'!M52),2),MAX('Calc base'!H$12,ROUND('Calc base'!H$13*AY51,2))))</f>
        <v>50</v>
      </c>
      <c r="P52">
        <f>IF(AZ51&lt;=0,0,IF(ROUND(AZ51*(1+'Calc base'!N52),2)-MAX('Calc base'!I$12,ROUND('Calc base'!I$13*AZ51,2))&lt;1,ROUND(AZ51*(1+'Calc base'!N52),2),MAX('Calc base'!I$12,ROUND('Calc base'!I$13*AZ51,2))))</f>
        <v>0</v>
      </c>
      <c r="Q52">
        <f>IF(BA51&lt;=0,0,IF(ROUND(BA51*(1+'Calc base'!O52),2)-MAX('Calc base'!J$12,ROUND('Calc base'!J$13*BA51,2))&lt;1,ROUND(BA51*(1+'Calc base'!O52),2),MAX('Calc base'!J$12,ROUND('Calc base'!J$13*BA51,2))))</f>
        <v>0</v>
      </c>
      <c r="R52">
        <f>IF(BB51&lt;=0,0,IF(ROUND(BB51*(1+'Calc base'!P52),2)-MAX('Calc base'!K$12,ROUND('Calc base'!K$13*BB51,2))&lt;1,ROUND(BB51*(1+'Calc base'!P52),2),MAX('Calc base'!K$12,ROUND('Calc base'!K$13*BB51,2))))</f>
        <v>0</v>
      </c>
      <c r="S52">
        <f>IF(BC51&lt;=0,0,IF(ROUND(BC51*(1+'Calc base'!Q52),2)-MAX('Calc base'!L$12,ROUND('Calc base'!L$13*BC51,2))&lt;1,ROUND(BC51*(1+'Calc base'!Q52),2),MAX('Calc base'!L$12,ROUND('Calc base'!L$13*BC51,2))))</f>
        <v>0</v>
      </c>
      <c r="T52">
        <f>IF(BD51&lt;=0,0,IF(ROUND(BD51*(1+'Calc base'!R52),2)-MAX('Calc base'!M$12,ROUND('Calc base'!M$13*BD51,2))&lt;1,ROUND(BD51*(1+'Calc base'!R52),2),MAX('Calc base'!M$12,ROUND('Calc base'!M$13*BD51,2))))</f>
        <v>0</v>
      </c>
      <c r="U52">
        <f>IF(BE51&lt;=0,0,IF(ROUND(BE51*(1+'Calc base'!S52),2)-MAX('Calc base'!N$12,ROUND('Calc base'!N$13*BE51,2))&lt;1,ROUND(BE51*(1+'Calc base'!S52),2),MAX('Calc base'!N$12,ROUND('Calc base'!N$13*BE51,2))))</f>
        <v>0</v>
      </c>
      <c r="V52">
        <f>MAX(0,ROUND(AT51*(1+'Calc base'!H52),2)-J52-'Calc base'!T52)</f>
        <v>0</v>
      </c>
      <c r="W52">
        <f>MAX(0,ROUND(AU51*(1+'Calc base'!I52),2)-K52-'Calc base'!U52)</f>
        <v>0</v>
      </c>
      <c r="X52">
        <f>MAX(0,ROUND(AV51*(1+'Calc base'!J52),2)-L52-'Calc base'!V52)</f>
        <v>0</v>
      </c>
      <c r="Y52">
        <f>MAX(0,ROUND(AW51*(1+'Calc base'!K52),2)-M52-'Calc base'!W52)</f>
        <v>2623.55</v>
      </c>
      <c r="Z52">
        <f>MAX(0,ROUND(AX51*(1+'Calc base'!L52),2)-N52-'Calc base'!X52)</f>
        <v>0</v>
      </c>
      <c r="AA52">
        <f>MAX(0,ROUND(AY51*(1+'Calc base'!M52),2)-O52-'Calc base'!Y52)</f>
        <v>400</v>
      </c>
      <c r="AB52">
        <f>MAX(0,ROUND(AZ51*(1+'Calc base'!N52),2)-P52-'Calc base'!Z52)</f>
        <v>0</v>
      </c>
      <c r="AC52">
        <f>MAX(0,ROUND(BA51*(1+'Calc base'!O52),2)-Q52-'Calc base'!AA52)</f>
        <v>0</v>
      </c>
      <c r="AD52">
        <f>MAX(0,ROUND(BB51*(1+'Calc base'!P52),2)-R52-'Calc base'!AB52)</f>
        <v>0</v>
      </c>
      <c r="AE52">
        <f>MAX(0,ROUND(BC51*(1+'Calc base'!Q52),2)-S52-'Calc base'!AC52)</f>
        <v>0</v>
      </c>
      <c r="AF52">
        <f>MAX(0,ROUND(BD51*(1+'Calc base'!R52),2)-T52-'Calc base'!AD52)</f>
        <v>0</v>
      </c>
      <c r="AG52">
        <f>MAX(0,ROUND(BE51*(1+'Calc base'!S52),2)-U52-'Calc base'!AE52)</f>
        <v>0</v>
      </c>
      <c r="AH52">
        <f>IF('Calc base'!C$14=0,0,MIN(V52,MAX(0,$E52-SUMIFS($V52:$AG52,'Calc base'!$C$19:$N$19,"&lt;"&amp;'Calc base'!C$19,'Calc base'!$C$14:$N$14,1))))</f>
        <v>0</v>
      </c>
      <c r="AI52">
        <f>IF('Calc base'!D$14=0,0,MIN(W52,MAX(0,$E52-SUMIFS($V52:$AG52,'Calc base'!$C$19:$N$19,"&lt;"&amp;'Calc base'!D$19,'Calc base'!$C$14:$N$14,1))))</f>
        <v>0</v>
      </c>
      <c r="AJ52">
        <f>IF('Calc base'!E$14=0,0,MIN(X52,MAX(0,$E52-SUMIFS($V52:$AG52,'Calc base'!$C$19:$N$19,"&lt;"&amp;'Calc base'!E$19,'Calc base'!$C$14:$N$14,1))))</f>
        <v>0</v>
      </c>
      <c r="AK52">
        <f>IF('Calc base'!F$14=0,0,MIN(Y52,MAX(0,$E52-SUMIFS($V52:$AG52,'Calc base'!$C$19:$N$19,"&lt;"&amp;'Calc base'!F$19,'Calc base'!$C$14:$N$14,1))))</f>
        <v>585</v>
      </c>
      <c r="AL52">
        <f>IF('Calc base'!G$14=0,0,MIN(Z52,MAX(0,$E52-SUMIFS($V52:$AG52,'Calc base'!$C$19:$N$19,"&lt;"&amp;'Calc base'!G$19,'Calc base'!$C$14:$N$14,1))))</f>
        <v>0</v>
      </c>
      <c r="AM52">
        <f>IF('Calc base'!H$14=0,0,MIN(AA52,MAX(0,$E52-SUMIFS($V52:$AG52,'Calc base'!$C$19:$N$19,"&lt;"&amp;'Calc base'!H$19,'Calc base'!$C$14:$N$14,1))))</f>
        <v>0</v>
      </c>
      <c r="AN52">
        <f>IF('Calc base'!I$14=0,0,MIN(AB52,MAX(0,$E52-SUMIFS($V52:$AG52,'Calc base'!$C$19:$N$19,"&lt;"&amp;'Calc base'!I$19,'Calc base'!$C$14:$N$14,1))))</f>
        <v>0</v>
      </c>
      <c r="AO52">
        <f>IF('Calc base'!J$14=0,0,MIN(AC52,MAX(0,$E52-SUMIFS($V52:$AG52,'Calc base'!$C$19:$N$19,"&lt;"&amp;'Calc base'!J$19,'Calc base'!$C$14:$N$14,1))))</f>
        <v>0</v>
      </c>
      <c r="AP52">
        <f>IF('Calc base'!K$14=0,0,MIN(AD52,MAX(0,$E52-SUMIFS($V52:$AG52,'Calc base'!$C$19:$N$19,"&lt;"&amp;'Calc base'!K$19,'Calc base'!$C$14:$N$14,1))))</f>
        <v>0</v>
      </c>
      <c r="AQ52">
        <f>IF('Calc base'!L$14=0,0,MIN(AE52,MAX(0,$E52-SUMIFS($V52:$AG52,'Calc base'!$C$19:$N$19,"&lt;"&amp;'Calc base'!L$19,'Calc base'!$C$14:$N$14,1))))</f>
        <v>0</v>
      </c>
      <c r="AR52">
        <f>IF('Calc base'!M$14=0,0,MIN(AF52,MAX(0,$E52-SUMIFS($V52:$AG52,'Calc base'!$C$19:$N$19,"&lt;"&amp;'Calc base'!M$19,'Calc base'!$C$14:$N$14,1))))</f>
        <v>0</v>
      </c>
      <c r="AS52">
        <f>IF('Calc base'!N$14=0,0,MIN(AG52,MAX(0,$E52-SUMIFS($V52:$AG52,'Calc base'!$C$19:$N$19,"&lt;"&amp;'Calc base'!N$19,'Calc base'!$C$14:$N$14,1))))</f>
        <v>0</v>
      </c>
      <c r="AT52">
        <f>V52-AH52</f>
        <v>0</v>
      </c>
      <c r="AU52">
        <f>W52-AI52</f>
        <v>0</v>
      </c>
      <c r="AV52">
        <f>X52-AJ52</f>
        <v>0</v>
      </c>
      <c r="AW52">
        <f>Y52-AK52</f>
        <v>2038.55</v>
      </c>
      <c r="AX52">
        <f>Z52-AL52</f>
        <v>0</v>
      </c>
      <c r="AY52">
        <f>AA52-AM52</f>
        <v>400</v>
      </c>
      <c r="AZ52">
        <f>AB52-AN52</f>
        <v>0</v>
      </c>
      <c r="BA52">
        <f>AC52-AO52</f>
        <v>0</v>
      </c>
      <c r="BB52">
        <f>AD52-AP52</f>
        <v>0</v>
      </c>
      <c r="BC52">
        <f>AE52-AQ52</f>
        <v>0</v>
      </c>
      <c r="BD52">
        <f>AF52-AR52</f>
        <v>0</v>
      </c>
      <c r="BE52">
        <f>AG52-AS52</f>
        <v>0</v>
      </c>
    </row>
    <row r="53">
      <c r="A53" t="n">
        <v>23</v>
      </c>
      <c r="B53">
        <f>SUMPRODUCT(ROUND($AT52:$BE52*(1+'Calc base'!$H53:$S53),2))</f>
        <v>2449.42</v>
      </c>
      <c r="C53">
        <f>SUM(J53:U53)</f>
        <v>315</v>
      </c>
      <c r="D53">
        <f>SUM(V53:AG53)</f>
        <v>2134.42</v>
      </c>
      <c r="E53">
        <f>MAX(0,IF(Impostazioni!$B$7="No",'Calc base'!$C53-$C$31,'Calc base'!$C53-C53)+'Calc base'!$G53+'Calc base'!$F53-(B53-C53-D53))</f>
        <v>585</v>
      </c>
      <c r="F53">
        <f>SUM(AH53:AS53)</f>
        <v>585</v>
      </c>
      <c r="G53">
        <f>SUM(AT53:BE53)</f>
        <v>1549.42</v>
      </c>
      <c r="H53">
        <f>B53-G52</f>
        <v>10.8699999999999</v>
      </c>
      <c r="I53">
        <f>B53-G53</f>
        <v>900</v>
      </c>
      <c r="J53">
        <f>IF(AT52&lt;=0,0,IF(ROUND(AT52*(1+'Calc base'!H53),2)-MAX('Calc base'!C$12,ROUND('Calc base'!C$13*AT52,2))&lt;1,ROUND(AT52*(1+'Calc base'!H53),2),MAX('Calc base'!C$12,ROUND('Calc base'!C$13*AT52,2))))</f>
        <v>0</v>
      </c>
      <c r="K53">
        <f>IF(AU52&lt;=0,0,IF(ROUND(AU52*(1+'Calc base'!I53),2)-MAX('Calc base'!D$12,ROUND('Calc base'!D$13*AU52,2))&lt;1,ROUND(AU52*(1+'Calc base'!I53),2),MAX('Calc base'!D$12,ROUND('Calc base'!D$13*AU52,2))))</f>
        <v>0</v>
      </c>
      <c r="L53">
        <f>IF(AV52&lt;=0,0,IF(ROUND(AV52*(1+'Calc base'!J53),2)-MAX('Calc base'!E$12,ROUND('Calc base'!E$13*AV52,2))&lt;1,ROUND(AV52*(1+'Calc base'!J53),2),MAX('Calc base'!E$12,ROUND('Calc base'!E$13*AV52,2))))</f>
        <v>0</v>
      </c>
      <c r="M53">
        <f>IF(AW52&lt;=0,0,IF(ROUND(AW52*(1+'Calc base'!K53),2)-MAX('Calc base'!F$12,ROUND('Calc base'!F$13*AW52,2))&lt;1,ROUND(AW52*(1+'Calc base'!K53),2),MAX('Calc base'!F$12,ROUND('Calc base'!F$13*AW52,2))))</f>
        <v>265</v>
      </c>
      <c r="N53">
        <f>IF(AX52&lt;=0,0,IF(ROUND(AX52*(1+'Calc base'!L53),2)-MAX('Calc base'!G$12,ROUND('Calc base'!G$13*AX52,2))&lt;1,ROUND(AX52*(1+'Calc base'!L53),2),MAX('Calc base'!G$12,ROUND('Calc base'!G$13*AX52,2))))</f>
        <v>0</v>
      </c>
      <c r="O53">
        <f>IF(AY52&lt;=0,0,IF(ROUND(AY52*(1+'Calc base'!M53),2)-MAX('Calc base'!H$12,ROUND('Calc base'!H$13*AY52,2))&lt;1,ROUND(AY52*(1+'Calc base'!M53),2),MAX('Calc base'!H$12,ROUND('Calc base'!H$13*AY52,2))))</f>
        <v>50</v>
      </c>
      <c r="P53">
        <f>IF(AZ52&lt;=0,0,IF(ROUND(AZ52*(1+'Calc base'!N53),2)-MAX('Calc base'!I$12,ROUND('Calc base'!I$13*AZ52,2))&lt;1,ROUND(AZ52*(1+'Calc base'!N53),2),MAX('Calc base'!I$12,ROUND('Calc base'!I$13*AZ52,2))))</f>
        <v>0</v>
      </c>
      <c r="Q53">
        <f>IF(BA52&lt;=0,0,IF(ROUND(BA52*(1+'Calc base'!O53),2)-MAX('Calc base'!J$12,ROUND('Calc base'!J$13*BA52,2))&lt;1,ROUND(BA52*(1+'Calc base'!O53),2),MAX('Calc base'!J$12,ROUND('Calc base'!J$13*BA52,2))))</f>
        <v>0</v>
      </c>
      <c r="R53">
        <f>IF(BB52&lt;=0,0,IF(ROUND(BB52*(1+'Calc base'!P53),2)-MAX('Calc base'!K$12,ROUND('Calc base'!K$13*BB52,2))&lt;1,ROUND(BB52*(1+'Calc base'!P53),2),MAX('Calc base'!K$12,ROUND('Calc base'!K$13*BB52,2))))</f>
        <v>0</v>
      </c>
      <c r="S53">
        <f>IF(BC52&lt;=0,0,IF(ROUND(BC52*(1+'Calc base'!Q53),2)-MAX('Calc base'!L$12,ROUND('Calc base'!L$13*BC52,2))&lt;1,ROUND(BC52*(1+'Calc base'!Q53),2),MAX('Calc base'!L$12,ROUND('Calc base'!L$13*BC52,2))))</f>
        <v>0</v>
      </c>
      <c r="T53">
        <f>IF(BD52&lt;=0,0,IF(ROUND(BD52*(1+'Calc base'!R53),2)-MAX('Calc base'!M$12,ROUND('Calc base'!M$13*BD52,2))&lt;1,ROUND(BD52*(1+'Calc base'!R53),2),MAX('Calc base'!M$12,ROUND('Calc base'!M$13*BD52,2))))</f>
        <v>0</v>
      </c>
      <c r="U53">
        <f>IF(BE52&lt;=0,0,IF(ROUND(BE52*(1+'Calc base'!S53),2)-MAX('Calc base'!N$12,ROUND('Calc base'!N$13*BE52,2))&lt;1,ROUND(BE52*(1+'Calc base'!S53),2),MAX('Calc base'!N$12,ROUND('Calc base'!N$13*BE52,2))))</f>
        <v>0</v>
      </c>
      <c r="V53">
        <f>MAX(0,ROUND(AT52*(1+'Calc base'!H53),2)-J53-'Calc base'!T53)</f>
        <v>0</v>
      </c>
      <c r="W53">
        <f>MAX(0,ROUND(AU52*(1+'Calc base'!I53),2)-K53-'Calc base'!U53)</f>
        <v>0</v>
      </c>
      <c r="X53">
        <f>MAX(0,ROUND(AV52*(1+'Calc base'!J53),2)-L53-'Calc base'!V53)</f>
        <v>0</v>
      </c>
      <c r="Y53">
        <f>MAX(0,ROUND(AW52*(1+'Calc base'!K53),2)-M53-'Calc base'!W53)</f>
        <v>1784.42</v>
      </c>
      <c r="Z53">
        <f>MAX(0,ROUND(AX52*(1+'Calc base'!L53),2)-N53-'Calc base'!X53)</f>
        <v>0</v>
      </c>
      <c r="AA53">
        <f>MAX(0,ROUND(AY52*(1+'Calc base'!M53),2)-O53-'Calc base'!Y53)</f>
        <v>350</v>
      </c>
      <c r="AB53">
        <f>MAX(0,ROUND(AZ52*(1+'Calc base'!N53),2)-P53-'Calc base'!Z53)</f>
        <v>0</v>
      </c>
      <c r="AC53">
        <f>MAX(0,ROUND(BA52*(1+'Calc base'!O53),2)-Q53-'Calc base'!AA53)</f>
        <v>0</v>
      </c>
      <c r="AD53">
        <f>MAX(0,ROUND(BB52*(1+'Calc base'!P53),2)-R53-'Calc base'!AB53)</f>
        <v>0</v>
      </c>
      <c r="AE53">
        <f>MAX(0,ROUND(BC52*(1+'Calc base'!Q53),2)-S53-'Calc base'!AC53)</f>
        <v>0</v>
      </c>
      <c r="AF53">
        <f>MAX(0,ROUND(BD52*(1+'Calc base'!R53),2)-T53-'Calc base'!AD53)</f>
        <v>0</v>
      </c>
      <c r="AG53">
        <f>MAX(0,ROUND(BE52*(1+'Calc base'!S53),2)-U53-'Calc base'!AE53)</f>
        <v>0</v>
      </c>
      <c r="AH53">
        <f>IF('Calc base'!C$14=0,0,MIN(V53,MAX(0,$E53-SUMIFS($V53:$AG53,'Calc base'!$C$19:$N$19,"&lt;"&amp;'Calc base'!C$19,'Calc base'!$C$14:$N$14,1))))</f>
        <v>0</v>
      </c>
      <c r="AI53">
        <f>IF('Calc base'!D$14=0,0,MIN(W53,MAX(0,$E53-SUMIFS($V53:$AG53,'Calc base'!$C$19:$N$19,"&lt;"&amp;'Calc base'!D$19,'Calc base'!$C$14:$N$14,1))))</f>
        <v>0</v>
      </c>
      <c r="AJ53">
        <f>IF('Calc base'!E$14=0,0,MIN(X53,MAX(0,$E53-SUMIFS($V53:$AG53,'Calc base'!$C$19:$N$19,"&lt;"&amp;'Calc base'!E$19,'Calc base'!$C$14:$N$14,1))))</f>
        <v>0</v>
      </c>
      <c r="AK53">
        <f>IF('Calc base'!F$14=0,0,MIN(Y53,MAX(0,$E53-SUMIFS($V53:$AG53,'Calc base'!$C$19:$N$19,"&lt;"&amp;'Calc base'!F$19,'Calc base'!$C$14:$N$14,1))))</f>
        <v>585</v>
      </c>
      <c r="AL53">
        <f>IF('Calc base'!G$14=0,0,MIN(Z53,MAX(0,$E53-SUMIFS($V53:$AG53,'Calc base'!$C$19:$N$19,"&lt;"&amp;'Calc base'!G$19,'Calc base'!$C$14:$N$14,1))))</f>
        <v>0</v>
      </c>
      <c r="AM53">
        <f>IF('Calc base'!H$14=0,0,MIN(AA53,MAX(0,$E53-SUMIFS($V53:$AG53,'Calc base'!$C$19:$N$19,"&lt;"&amp;'Calc base'!H$19,'Calc base'!$C$14:$N$14,1))))</f>
        <v>0</v>
      </c>
      <c r="AN53">
        <f>IF('Calc base'!I$14=0,0,MIN(AB53,MAX(0,$E53-SUMIFS($V53:$AG53,'Calc base'!$C$19:$N$19,"&lt;"&amp;'Calc base'!I$19,'Calc base'!$C$14:$N$14,1))))</f>
        <v>0</v>
      </c>
      <c r="AO53">
        <f>IF('Calc base'!J$14=0,0,MIN(AC53,MAX(0,$E53-SUMIFS($V53:$AG53,'Calc base'!$C$19:$N$19,"&lt;"&amp;'Calc base'!J$19,'Calc base'!$C$14:$N$14,1))))</f>
        <v>0</v>
      </c>
      <c r="AP53">
        <f>IF('Calc base'!K$14=0,0,MIN(AD53,MAX(0,$E53-SUMIFS($V53:$AG53,'Calc base'!$C$19:$N$19,"&lt;"&amp;'Calc base'!K$19,'Calc base'!$C$14:$N$14,1))))</f>
        <v>0</v>
      </c>
      <c r="AQ53">
        <f>IF('Calc base'!L$14=0,0,MIN(AE53,MAX(0,$E53-SUMIFS($V53:$AG53,'Calc base'!$C$19:$N$19,"&lt;"&amp;'Calc base'!L$19,'Calc base'!$C$14:$N$14,1))))</f>
        <v>0</v>
      </c>
      <c r="AR53">
        <f>IF('Calc base'!M$14=0,0,MIN(AF53,MAX(0,$E53-SUMIFS($V53:$AG53,'Calc base'!$C$19:$N$19,"&lt;"&amp;'Calc base'!M$19,'Calc base'!$C$14:$N$14,1))))</f>
        <v>0</v>
      </c>
      <c r="AS53">
        <f>IF('Calc base'!N$14=0,0,MIN(AG53,MAX(0,$E53-SUMIFS($V53:$AG53,'Calc base'!$C$19:$N$19,"&lt;"&amp;'Calc base'!N$19,'Calc base'!$C$14:$N$14,1))))</f>
        <v>0</v>
      </c>
      <c r="AT53">
        <f>V53-AH53</f>
        <v>0</v>
      </c>
      <c r="AU53">
        <f>W53-AI53</f>
        <v>0</v>
      </c>
      <c r="AV53">
        <f>X53-AJ53</f>
        <v>0</v>
      </c>
      <c r="AW53">
        <f>Y53-AK53</f>
        <v>1199.42</v>
      </c>
      <c r="AX53">
        <f>Z53-AL53</f>
        <v>0</v>
      </c>
      <c r="AY53">
        <f>AA53-AM53</f>
        <v>350</v>
      </c>
      <c r="AZ53">
        <f>AB53-AN53</f>
        <v>0</v>
      </c>
      <c r="BA53">
        <f>AC53-AO53</f>
        <v>0</v>
      </c>
      <c r="BB53">
        <f>AD53-AP53</f>
        <v>0</v>
      </c>
      <c r="BC53">
        <f>AE53-AQ53</f>
        <v>0</v>
      </c>
      <c r="BD53">
        <f>AF53-AR53</f>
        <v>0</v>
      </c>
      <c r="BE53">
        <f>AG53-AS53</f>
        <v>0</v>
      </c>
    </row>
    <row r="54">
      <c r="A54" t="n">
        <v>24</v>
      </c>
      <c r="B54">
        <f>SUMPRODUCT(ROUND($AT53:$BE53*(1+'Calc base'!$H54:$S54),2))</f>
        <v>1555.82</v>
      </c>
      <c r="C54">
        <f>SUM(J54:U54)</f>
        <v>315</v>
      </c>
      <c r="D54">
        <f>SUM(V54:AG54)</f>
        <v>1240.82</v>
      </c>
      <c r="E54">
        <f>MAX(0,IF(Impostazioni!$B$7="No",'Calc base'!$C54-$C$31,'Calc base'!$C54-C54)+'Calc base'!$G54+'Calc base'!$F54-(B54-C54-D54))</f>
        <v>585</v>
      </c>
      <c r="F54">
        <f>SUM(AH54:AS54)</f>
        <v>585</v>
      </c>
      <c r="G54">
        <f>SUM(AT54:BE54)</f>
        <v>655.82</v>
      </c>
      <c r="H54">
        <f>B54-G53</f>
        <v>6.39999999999986</v>
      </c>
      <c r="I54">
        <f>B54-G54</f>
        <v>900</v>
      </c>
      <c r="J54">
        <f>IF(AT53&lt;=0,0,IF(ROUND(AT53*(1+'Calc base'!H54),2)-MAX('Calc base'!C$12,ROUND('Calc base'!C$13*AT53,2))&lt;1,ROUND(AT53*(1+'Calc base'!H54),2),MAX('Calc base'!C$12,ROUND('Calc base'!C$13*AT53,2))))</f>
        <v>0</v>
      </c>
      <c r="K54">
        <f>IF(AU53&lt;=0,0,IF(ROUND(AU53*(1+'Calc base'!I54),2)-MAX('Calc base'!D$12,ROUND('Calc base'!D$13*AU53,2))&lt;1,ROUND(AU53*(1+'Calc base'!I54),2),MAX('Calc base'!D$12,ROUND('Calc base'!D$13*AU53,2))))</f>
        <v>0</v>
      </c>
      <c r="L54">
        <f>IF(AV53&lt;=0,0,IF(ROUND(AV53*(1+'Calc base'!J54),2)-MAX('Calc base'!E$12,ROUND('Calc base'!E$13*AV53,2))&lt;1,ROUND(AV53*(1+'Calc base'!J54),2),MAX('Calc base'!E$12,ROUND('Calc base'!E$13*AV53,2))))</f>
        <v>0</v>
      </c>
      <c r="M54">
        <f>IF(AW53&lt;=0,0,IF(ROUND(AW53*(1+'Calc base'!K54),2)-MAX('Calc base'!F$12,ROUND('Calc base'!F$13*AW53,2))&lt;1,ROUND(AW53*(1+'Calc base'!K54),2),MAX('Calc base'!F$12,ROUND('Calc base'!F$13*AW53,2))))</f>
        <v>265</v>
      </c>
      <c r="N54">
        <f>IF(AX53&lt;=0,0,IF(ROUND(AX53*(1+'Calc base'!L54),2)-MAX('Calc base'!G$12,ROUND('Calc base'!G$13*AX53,2))&lt;1,ROUND(AX53*(1+'Calc base'!L54),2),MAX('Calc base'!G$12,ROUND('Calc base'!G$13*AX53,2))))</f>
        <v>0</v>
      </c>
      <c r="O54">
        <f>IF(AY53&lt;=0,0,IF(ROUND(AY53*(1+'Calc base'!M54),2)-MAX('Calc base'!H$12,ROUND('Calc base'!H$13*AY53,2))&lt;1,ROUND(AY53*(1+'Calc base'!M54),2),MAX('Calc base'!H$12,ROUND('Calc base'!H$13*AY53,2))))</f>
        <v>50</v>
      </c>
      <c r="P54">
        <f>IF(AZ53&lt;=0,0,IF(ROUND(AZ53*(1+'Calc base'!N54),2)-MAX('Calc base'!I$12,ROUND('Calc base'!I$13*AZ53,2))&lt;1,ROUND(AZ53*(1+'Calc base'!N54),2),MAX('Calc base'!I$12,ROUND('Calc base'!I$13*AZ53,2))))</f>
        <v>0</v>
      </c>
      <c r="Q54">
        <f>IF(BA53&lt;=0,0,IF(ROUND(BA53*(1+'Calc base'!O54),2)-MAX('Calc base'!J$12,ROUND('Calc base'!J$13*BA53,2))&lt;1,ROUND(BA53*(1+'Calc base'!O54),2),MAX('Calc base'!J$12,ROUND('Calc base'!J$13*BA53,2))))</f>
        <v>0</v>
      </c>
      <c r="R54">
        <f>IF(BB53&lt;=0,0,IF(ROUND(BB53*(1+'Calc base'!P54),2)-MAX('Calc base'!K$12,ROUND('Calc base'!K$13*BB53,2))&lt;1,ROUND(BB53*(1+'Calc base'!P54),2),MAX('Calc base'!K$12,ROUND('Calc base'!K$13*BB53,2))))</f>
        <v>0</v>
      </c>
      <c r="S54">
        <f>IF(BC53&lt;=0,0,IF(ROUND(BC53*(1+'Calc base'!Q54),2)-MAX('Calc base'!L$12,ROUND('Calc base'!L$13*BC53,2))&lt;1,ROUND(BC53*(1+'Calc base'!Q54),2),MAX('Calc base'!L$12,ROUND('Calc base'!L$13*BC53,2))))</f>
        <v>0</v>
      </c>
      <c r="T54">
        <f>IF(BD53&lt;=0,0,IF(ROUND(BD53*(1+'Calc base'!R54),2)-MAX('Calc base'!M$12,ROUND('Calc base'!M$13*BD53,2))&lt;1,ROUND(BD53*(1+'Calc base'!R54),2),MAX('Calc base'!M$12,ROUND('Calc base'!M$13*BD53,2))))</f>
        <v>0</v>
      </c>
      <c r="U54">
        <f>IF(BE53&lt;=0,0,IF(ROUND(BE53*(1+'Calc base'!S54),2)-MAX('Calc base'!N$12,ROUND('Calc base'!N$13*BE53,2))&lt;1,ROUND(BE53*(1+'Calc base'!S54),2),MAX('Calc base'!N$12,ROUND('Calc base'!N$13*BE53,2))))</f>
        <v>0</v>
      </c>
      <c r="V54">
        <f>MAX(0,ROUND(AT53*(1+'Calc base'!H54),2)-J54-'Calc base'!T54)</f>
        <v>0</v>
      </c>
      <c r="W54">
        <f>MAX(0,ROUND(AU53*(1+'Calc base'!I54),2)-K54-'Calc base'!U54)</f>
        <v>0</v>
      </c>
      <c r="X54">
        <f>MAX(0,ROUND(AV53*(1+'Calc base'!J54),2)-L54-'Calc base'!V54)</f>
        <v>0</v>
      </c>
      <c r="Y54">
        <f>MAX(0,ROUND(AW53*(1+'Calc base'!K54),2)-M54-'Calc base'!W54)</f>
        <v>940.82</v>
      </c>
      <c r="Z54">
        <f>MAX(0,ROUND(AX53*(1+'Calc base'!L54),2)-N54-'Calc base'!X54)</f>
        <v>0</v>
      </c>
      <c r="AA54">
        <f>MAX(0,ROUND(AY53*(1+'Calc base'!M54),2)-O54-'Calc base'!Y54)</f>
        <v>300</v>
      </c>
      <c r="AB54">
        <f>MAX(0,ROUND(AZ53*(1+'Calc base'!N54),2)-P54-'Calc base'!Z54)</f>
        <v>0</v>
      </c>
      <c r="AC54">
        <f>MAX(0,ROUND(BA53*(1+'Calc base'!O54),2)-Q54-'Calc base'!AA54)</f>
        <v>0</v>
      </c>
      <c r="AD54">
        <f>MAX(0,ROUND(BB53*(1+'Calc base'!P54),2)-R54-'Calc base'!AB54)</f>
        <v>0</v>
      </c>
      <c r="AE54">
        <f>MAX(0,ROUND(BC53*(1+'Calc base'!Q54),2)-S54-'Calc base'!AC54)</f>
        <v>0</v>
      </c>
      <c r="AF54">
        <f>MAX(0,ROUND(BD53*(1+'Calc base'!R54),2)-T54-'Calc base'!AD54)</f>
        <v>0</v>
      </c>
      <c r="AG54">
        <f>MAX(0,ROUND(BE53*(1+'Calc base'!S54),2)-U54-'Calc base'!AE54)</f>
        <v>0</v>
      </c>
      <c r="AH54">
        <f>IF('Calc base'!C$14=0,0,MIN(V54,MAX(0,$E54-SUMIFS($V54:$AG54,'Calc base'!$C$19:$N$19,"&lt;"&amp;'Calc base'!C$19,'Calc base'!$C$14:$N$14,1))))</f>
        <v>0</v>
      </c>
      <c r="AI54">
        <f>IF('Calc base'!D$14=0,0,MIN(W54,MAX(0,$E54-SUMIFS($V54:$AG54,'Calc base'!$C$19:$N$19,"&lt;"&amp;'Calc base'!D$19,'Calc base'!$C$14:$N$14,1))))</f>
        <v>0</v>
      </c>
      <c r="AJ54">
        <f>IF('Calc base'!E$14=0,0,MIN(X54,MAX(0,$E54-SUMIFS($V54:$AG54,'Calc base'!$C$19:$N$19,"&lt;"&amp;'Calc base'!E$19,'Calc base'!$C$14:$N$14,1))))</f>
        <v>0</v>
      </c>
      <c r="AK54">
        <f>IF('Calc base'!F$14=0,0,MIN(Y54,MAX(0,$E54-SUMIFS($V54:$AG54,'Calc base'!$C$19:$N$19,"&lt;"&amp;'Calc base'!F$19,'Calc base'!$C$14:$N$14,1))))</f>
        <v>585</v>
      </c>
      <c r="AL54">
        <f>IF('Calc base'!G$14=0,0,MIN(Z54,MAX(0,$E54-SUMIFS($V54:$AG54,'Calc base'!$C$19:$N$19,"&lt;"&amp;'Calc base'!G$19,'Calc base'!$C$14:$N$14,1))))</f>
        <v>0</v>
      </c>
      <c r="AM54">
        <f>IF('Calc base'!H$14=0,0,MIN(AA54,MAX(0,$E54-SUMIFS($V54:$AG54,'Calc base'!$C$19:$N$19,"&lt;"&amp;'Calc base'!H$19,'Calc base'!$C$14:$N$14,1))))</f>
        <v>0</v>
      </c>
      <c r="AN54">
        <f>IF('Calc base'!I$14=0,0,MIN(AB54,MAX(0,$E54-SUMIFS($V54:$AG54,'Calc base'!$C$19:$N$19,"&lt;"&amp;'Calc base'!I$19,'Calc base'!$C$14:$N$14,1))))</f>
        <v>0</v>
      </c>
      <c r="AO54">
        <f>IF('Calc base'!J$14=0,0,MIN(AC54,MAX(0,$E54-SUMIFS($V54:$AG54,'Calc base'!$C$19:$N$19,"&lt;"&amp;'Calc base'!J$19,'Calc base'!$C$14:$N$14,1))))</f>
        <v>0</v>
      </c>
      <c r="AP54">
        <f>IF('Calc base'!K$14=0,0,MIN(AD54,MAX(0,$E54-SUMIFS($V54:$AG54,'Calc base'!$C$19:$N$19,"&lt;"&amp;'Calc base'!K$19,'Calc base'!$C$14:$N$14,1))))</f>
        <v>0</v>
      </c>
      <c r="AQ54">
        <f>IF('Calc base'!L$14=0,0,MIN(AE54,MAX(0,$E54-SUMIFS($V54:$AG54,'Calc base'!$C$19:$N$19,"&lt;"&amp;'Calc base'!L$19,'Calc base'!$C$14:$N$14,1))))</f>
        <v>0</v>
      </c>
      <c r="AR54">
        <f>IF('Calc base'!M$14=0,0,MIN(AF54,MAX(0,$E54-SUMIFS($V54:$AG54,'Calc base'!$C$19:$N$19,"&lt;"&amp;'Calc base'!M$19,'Calc base'!$C$14:$N$14,1))))</f>
        <v>0</v>
      </c>
      <c r="AS54">
        <f>IF('Calc base'!N$14=0,0,MIN(AG54,MAX(0,$E54-SUMIFS($V54:$AG54,'Calc base'!$C$19:$N$19,"&lt;"&amp;'Calc base'!N$19,'Calc base'!$C$14:$N$14,1))))</f>
        <v>0</v>
      </c>
      <c r="AT54">
        <f>V54-AH54</f>
        <v>0</v>
      </c>
      <c r="AU54">
        <f>W54-AI54</f>
        <v>0</v>
      </c>
      <c r="AV54">
        <f>X54-AJ54</f>
        <v>0</v>
      </c>
      <c r="AW54">
        <f>Y54-AK54</f>
        <v>355.82</v>
      </c>
      <c r="AX54">
        <f>Z54-AL54</f>
        <v>0</v>
      </c>
      <c r="AY54">
        <f>AA54-AM54</f>
        <v>300</v>
      </c>
      <c r="AZ54">
        <f>AB54-AN54</f>
        <v>0</v>
      </c>
      <c r="BA54">
        <f>AC54-AO54</f>
        <v>0</v>
      </c>
      <c r="BB54">
        <f>AD54-AP54</f>
        <v>0</v>
      </c>
      <c r="BC54">
        <f>AE54-AQ54</f>
        <v>0</v>
      </c>
      <c r="BD54">
        <f>AF54-AR54</f>
        <v>0</v>
      </c>
      <c r="BE54">
        <f>AG54-AS54</f>
        <v>0</v>
      </c>
    </row>
    <row r="55">
      <c r="A55" t="n">
        <v>25</v>
      </c>
      <c r="B55">
        <f>SUMPRODUCT(ROUND($AT54:$BE54*(1+'Calc base'!$H55:$S55),2))</f>
        <v>657.72</v>
      </c>
      <c r="C55">
        <f>SUM(J55:U55)</f>
        <v>315</v>
      </c>
      <c r="D55">
        <f>SUM(V55:AG55)</f>
        <v>342.72</v>
      </c>
      <c r="E55">
        <f>MAX(0,IF(Impostazioni!$B$7="No",'Calc base'!$C55-$C$31,'Calc base'!$C55-C55)+'Calc base'!$G55+'Calc base'!$F55-(B55-C55-D55))</f>
        <v>585</v>
      </c>
      <c r="F55">
        <f>SUM(AH55:AS55)</f>
        <v>342.72</v>
      </c>
      <c r="G55">
        <f>SUM(AT55:BE55)</f>
        <v>0</v>
      </c>
      <c r="H55">
        <f>B55-G54</f>
        <v>1.90000000000009</v>
      </c>
      <c r="I55">
        <f>B55-G55</f>
        <v>657.72</v>
      </c>
      <c r="J55">
        <f>IF(AT54&lt;=0,0,IF(ROUND(AT54*(1+'Calc base'!H55),2)-MAX('Calc base'!C$12,ROUND('Calc base'!C$13*AT54,2))&lt;1,ROUND(AT54*(1+'Calc base'!H55),2),MAX('Calc base'!C$12,ROUND('Calc base'!C$13*AT54,2))))</f>
        <v>0</v>
      </c>
      <c r="K55">
        <f>IF(AU54&lt;=0,0,IF(ROUND(AU54*(1+'Calc base'!I55),2)-MAX('Calc base'!D$12,ROUND('Calc base'!D$13*AU54,2))&lt;1,ROUND(AU54*(1+'Calc base'!I55),2),MAX('Calc base'!D$12,ROUND('Calc base'!D$13*AU54,2))))</f>
        <v>0</v>
      </c>
      <c r="L55">
        <f>IF(AV54&lt;=0,0,IF(ROUND(AV54*(1+'Calc base'!J55),2)-MAX('Calc base'!E$12,ROUND('Calc base'!E$13*AV54,2))&lt;1,ROUND(AV54*(1+'Calc base'!J55),2),MAX('Calc base'!E$12,ROUND('Calc base'!E$13*AV54,2))))</f>
        <v>0</v>
      </c>
      <c r="M55">
        <f>IF(AW54&lt;=0,0,IF(ROUND(AW54*(1+'Calc base'!K55),2)-MAX('Calc base'!F$12,ROUND('Calc base'!F$13*AW54,2))&lt;1,ROUND(AW54*(1+'Calc base'!K55),2),MAX('Calc base'!F$12,ROUND('Calc base'!F$13*AW54,2))))</f>
        <v>265</v>
      </c>
      <c r="N55">
        <f>IF(AX54&lt;=0,0,IF(ROUND(AX54*(1+'Calc base'!L55),2)-MAX('Calc base'!G$12,ROUND('Calc base'!G$13*AX54,2))&lt;1,ROUND(AX54*(1+'Calc base'!L55),2),MAX('Calc base'!G$12,ROUND('Calc base'!G$13*AX54,2))))</f>
        <v>0</v>
      </c>
      <c r="O55">
        <f>IF(AY54&lt;=0,0,IF(ROUND(AY54*(1+'Calc base'!M55),2)-MAX('Calc base'!H$12,ROUND('Calc base'!H$13*AY54,2))&lt;1,ROUND(AY54*(1+'Calc base'!M55),2),MAX('Calc base'!H$12,ROUND('Calc base'!H$13*AY54,2))))</f>
        <v>50</v>
      </c>
      <c r="P55">
        <f>IF(AZ54&lt;=0,0,IF(ROUND(AZ54*(1+'Calc base'!N55),2)-MAX('Calc base'!I$12,ROUND('Calc base'!I$13*AZ54,2))&lt;1,ROUND(AZ54*(1+'Calc base'!N55),2),MAX('Calc base'!I$12,ROUND('Calc base'!I$13*AZ54,2))))</f>
        <v>0</v>
      </c>
      <c r="Q55">
        <f>IF(BA54&lt;=0,0,IF(ROUND(BA54*(1+'Calc base'!O55),2)-MAX('Calc base'!J$12,ROUND('Calc base'!J$13*BA54,2))&lt;1,ROUND(BA54*(1+'Calc base'!O55),2),MAX('Calc base'!J$12,ROUND('Calc base'!J$13*BA54,2))))</f>
        <v>0</v>
      </c>
      <c r="R55">
        <f>IF(BB54&lt;=0,0,IF(ROUND(BB54*(1+'Calc base'!P55),2)-MAX('Calc base'!K$12,ROUND('Calc base'!K$13*BB54,2))&lt;1,ROUND(BB54*(1+'Calc base'!P55),2),MAX('Calc base'!K$12,ROUND('Calc base'!K$13*BB54,2))))</f>
        <v>0</v>
      </c>
      <c r="S55">
        <f>IF(BC54&lt;=0,0,IF(ROUND(BC54*(1+'Calc base'!Q55),2)-MAX('Calc base'!L$12,ROUND('Calc base'!L$13*BC54,2))&lt;1,ROUND(BC54*(1+'Calc base'!Q55),2),MAX('Calc base'!L$12,ROUND('Calc base'!L$13*BC54,2))))</f>
        <v>0</v>
      </c>
      <c r="T55">
        <f>IF(BD54&lt;=0,0,IF(ROUND(BD54*(1+'Calc base'!R55),2)-MAX('Calc base'!M$12,ROUND('Calc base'!M$13*BD54,2))&lt;1,ROUND(BD54*(1+'Calc base'!R55),2),MAX('Calc base'!M$12,ROUND('Calc base'!M$13*BD54,2))))</f>
        <v>0</v>
      </c>
      <c r="U55">
        <f>IF(BE54&lt;=0,0,IF(ROUND(BE54*(1+'Calc base'!S55),2)-MAX('Calc base'!N$12,ROUND('Calc base'!N$13*BE54,2))&lt;1,ROUND(BE54*(1+'Calc base'!S55),2),MAX('Calc base'!N$12,ROUND('Calc base'!N$13*BE54,2))))</f>
        <v>0</v>
      </c>
      <c r="V55">
        <f>MAX(0,ROUND(AT54*(1+'Calc base'!H55),2)-J55-'Calc base'!T55)</f>
        <v>0</v>
      </c>
      <c r="W55">
        <f>MAX(0,ROUND(AU54*(1+'Calc base'!I55),2)-K55-'Calc base'!U55)</f>
        <v>0</v>
      </c>
      <c r="X55">
        <f>MAX(0,ROUND(AV54*(1+'Calc base'!J55),2)-L55-'Calc base'!V55)</f>
        <v>0</v>
      </c>
      <c r="Y55">
        <f>MAX(0,ROUND(AW54*(1+'Calc base'!K55),2)-M55-'Calc base'!W55)</f>
        <v>92.72</v>
      </c>
      <c r="Z55">
        <f>MAX(0,ROUND(AX54*(1+'Calc base'!L55),2)-N55-'Calc base'!X55)</f>
        <v>0</v>
      </c>
      <c r="AA55">
        <f>MAX(0,ROUND(AY54*(1+'Calc base'!M55),2)-O55-'Calc base'!Y55)</f>
        <v>250</v>
      </c>
      <c r="AB55">
        <f>MAX(0,ROUND(AZ54*(1+'Calc base'!N55),2)-P55-'Calc base'!Z55)</f>
        <v>0</v>
      </c>
      <c r="AC55">
        <f>MAX(0,ROUND(BA54*(1+'Calc base'!O55),2)-Q55-'Calc base'!AA55)</f>
        <v>0</v>
      </c>
      <c r="AD55">
        <f>MAX(0,ROUND(BB54*(1+'Calc base'!P55),2)-R55-'Calc base'!AB55)</f>
        <v>0</v>
      </c>
      <c r="AE55">
        <f>MAX(0,ROUND(BC54*(1+'Calc base'!Q55),2)-S55-'Calc base'!AC55)</f>
        <v>0</v>
      </c>
      <c r="AF55">
        <f>MAX(0,ROUND(BD54*(1+'Calc base'!R55),2)-T55-'Calc base'!AD55)</f>
        <v>0</v>
      </c>
      <c r="AG55">
        <f>MAX(0,ROUND(BE54*(1+'Calc base'!S55),2)-U55-'Calc base'!AE55)</f>
        <v>0</v>
      </c>
      <c r="AH55">
        <f>IF('Calc base'!C$14=0,0,MIN(V55,MAX(0,$E55-SUMIFS($V55:$AG55,'Calc base'!$C$19:$N$19,"&lt;"&amp;'Calc base'!C$19,'Calc base'!$C$14:$N$14,1))))</f>
        <v>0</v>
      </c>
      <c r="AI55">
        <f>IF('Calc base'!D$14=0,0,MIN(W55,MAX(0,$E55-SUMIFS($V55:$AG55,'Calc base'!$C$19:$N$19,"&lt;"&amp;'Calc base'!D$19,'Calc base'!$C$14:$N$14,1))))</f>
        <v>0</v>
      </c>
      <c r="AJ55">
        <f>IF('Calc base'!E$14=0,0,MIN(X55,MAX(0,$E55-SUMIFS($V55:$AG55,'Calc base'!$C$19:$N$19,"&lt;"&amp;'Calc base'!E$19,'Calc base'!$C$14:$N$14,1))))</f>
        <v>0</v>
      </c>
      <c r="AK55">
        <f>IF('Calc base'!F$14=0,0,MIN(Y55,MAX(0,$E55-SUMIFS($V55:$AG55,'Calc base'!$C$19:$N$19,"&lt;"&amp;'Calc base'!F$19,'Calc base'!$C$14:$N$14,1))))</f>
        <v>92.72</v>
      </c>
      <c r="AL55">
        <f>IF('Calc base'!G$14=0,0,MIN(Z55,MAX(0,$E55-SUMIFS($V55:$AG55,'Calc base'!$C$19:$N$19,"&lt;"&amp;'Calc base'!G$19,'Calc base'!$C$14:$N$14,1))))</f>
        <v>0</v>
      </c>
      <c r="AM55">
        <f>IF('Calc base'!H$14=0,0,MIN(AA55,MAX(0,$E55-SUMIFS($V55:$AG55,'Calc base'!$C$19:$N$19,"&lt;"&amp;'Calc base'!H$19,'Calc base'!$C$14:$N$14,1))))</f>
        <v>250</v>
      </c>
      <c r="AN55">
        <f>IF('Calc base'!I$14=0,0,MIN(AB55,MAX(0,$E55-SUMIFS($V55:$AG55,'Calc base'!$C$19:$N$19,"&lt;"&amp;'Calc base'!I$19,'Calc base'!$C$14:$N$14,1))))</f>
        <v>0</v>
      </c>
      <c r="AO55">
        <f>IF('Calc base'!J$14=0,0,MIN(AC55,MAX(0,$E55-SUMIFS($V55:$AG55,'Calc base'!$C$19:$N$19,"&lt;"&amp;'Calc base'!J$19,'Calc base'!$C$14:$N$14,1))))</f>
        <v>0</v>
      </c>
      <c r="AP55">
        <f>IF('Calc base'!K$14=0,0,MIN(AD55,MAX(0,$E55-SUMIFS($V55:$AG55,'Calc base'!$C$19:$N$19,"&lt;"&amp;'Calc base'!K$19,'Calc base'!$C$14:$N$14,1))))</f>
        <v>0</v>
      </c>
      <c r="AQ55">
        <f>IF('Calc base'!L$14=0,0,MIN(AE55,MAX(0,$E55-SUMIFS($V55:$AG55,'Calc base'!$C$19:$N$19,"&lt;"&amp;'Calc base'!L$19,'Calc base'!$C$14:$N$14,1))))</f>
        <v>0</v>
      </c>
      <c r="AR55">
        <f>IF('Calc base'!M$14=0,0,MIN(AF55,MAX(0,$E55-SUMIFS($V55:$AG55,'Calc base'!$C$19:$N$19,"&lt;"&amp;'Calc base'!M$19,'Calc base'!$C$14:$N$14,1))))</f>
        <v>0</v>
      </c>
      <c r="AS55">
        <f>IF('Calc base'!N$14=0,0,MIN(AG55,MAX(0,$E55-SUMIFS($V55:$AG55,'Calc base'!$C$19:$N$19,"&lt;"&amp;'Calc base'!N$19,'Calc base'!$C$14:$N$14,1))))</f>
        <v>0</v>
      </c>
      <c r="AT55">
        <f>V55-AH55</f>
        <v>0</v>
      </c>
      <c r="AU55">
        <f>W55-AI55</f>
        <v>0</v>
      </c>
      <c r="AV55">
        <f>X55-AJ55</f>
        <v>0</v>
      </c>
      <c r="AW55">
        <f>Y55-AK55</f>
        <v>0</v>
      </c>
      <c r="AX55">
        <f>Z55-AL55</f>
        <v>0</v>
      </c>
      <c r="AY55">
        <f>AA55-AM55</f>
        <v>0</v>
      </c>
      <c r="AZ55">
        <f>AB55-AN55</f>
        <v>0</v>
      </c>
      <c r="BA55">
        <f>AC55-AO55</f>
        <v>0</v>
      </c>
      <c r="BB55">
        <f>AD55-AP55</f>
        <v>0</v>
      </c>
      <c r="BC55">
        <f>AE55-AQ55</f>
        <v>0</v>
      </c>
      <c r="BD55">
        <f>AF55-AR55</f>
        <v>0</v>
      </c>
      <c r="BE55">
        <f>AG55-AS55</f>
        <v>0</v>
      </c>
    </row>
    <row r="56">
      <c r="A56" t="n">
        <v>26</v>
      </c>
      <c r="B56">
        <f>SUMPRODUCT(ROUND($AT55:$BE55*(1+'Calc base'!$H56:$S56),2))</f>
        <v>0</v>
      </c>
      <c r="C56">
        <f>SUM(J56:U56)</f>
        <v>0</v>
      </c>
      <c r="D56">
        <f>SUM(V56:AG56)</f>
        <v>0</v>
      </c>
      <c r="E56">
        <f>MAX(0,IF(Impostazioni!$B$7="No",'Calc base'!$C56-$C$31,'Calc base'!$C56-C56)+'Calc base'!$G56+'Calc base'!$F56-(B56-C56-D56))</f>
        <v>1500</v>
      </c>
      <c r="F56">
        <f>SUM(AH56:AS56)</f>
        <v>0</v>
      </c>
      <c r="G56">
        <f>SUM(AT56:BE56)</f>
        <v>0</v>
      </c>
      <c r="H56">
        <f>B56-G55</f>
        <v>0</v>
      </c>
      <c r="I56">
        <f>B56-G56</f>
        <v>0</v>
      </c>
      <c r="J56">
        <f>IF(AT55&lt;=0,0,IF(ROUND(AT55*(1+'Calc base'!H56),2)-MAX('Calc base'!C$12,ROUND('Calc base'!C$13*AT55,2))&lt;1,ROUND(AT55*(1+'Calc base'!H56),2),MAX('Calc base'!C$12,ROUND('Calc base'!C$13*AT55,2))))</f>
        <v>0</v>
      </c>
      <c r="K56">
        <f>IF(AU55&lt;=0,0,IF(ROUND(AU55*(1+'Calc base'!I56),2)-MAX('Calc base'!D$12,ROUND('Calc base'!D$13*AU55,2))&lt;1,ROUND(AU55*(1+'Calc base'!I56),2),MAX('Calc base'!D$12,ROUND('Calc base'!D$13*AU55,2))))</f>
        <v>0</v>
      </c>
      <c r="L56">
        <f>IF(AV55&lt;=0,0,IF(ROUND(AV55*(1+'Calc base'!J56),2)-MAX('Calc base'!E$12,ROUND('Calc base'!E$13*AV55,2))&lt;1,ROUND(AV55*(1+'Calc base'!J56),2),MAX('Calc base'!E$12,ROUND('Calc base'!E$13*AV55,2))))</f>
        <v>0</v>
      </c>
      <c r="M56">
        <f>IF(AW55&lt;=0,0,IF(ROUND(AW55*(1+'Calc base'!K56),2)-MAX('Calc base'!F$12,ROUND('Calc base'!F$13*AW55,2))&lt;1,ROUND(AW55*(1+'Calc base'!K56),2),MAX('Calc base'!F$12,ROUND('Calc base'!F$13*AW55,2))))</f>
        <v>0</v>
      </c>
      <c r="N56">
        <f>IF(AX55&lt;=0,0,IF(ROUND(AX55*(1+'Calc base'!L56),2)-MAX('Calc base'!G$12,ROUND('Calc base'!G$13*AX55,2))&lt;1,ROUND(AX55*(1+'Calc base'!L56),2),MAX('Calc base'!G$12,ROUND('Calc base'!G$13*AX55,2))))</f>
        <v>0</v>
      </c>
      <c r="O56">
        <f>IF(AY55&lt;=0,0,IF(ROUND(AY55*(1+'Calc base'!M56),2)-MAX('Calc base'!H$12,ROUND('Calc base'!H$13*AY55,2))&lt;1,ROUND(AY55*(1+'Calc base'!M56),2),MAX('Calc base'!H$12,ROUND('Calc base'!H$13*AY55,2))))</f>
        <v>0</v>
      </c>
      <c r="P56">
        <f>IF(AZ55&lt;=0,0,IF(ROUND(AZ55*(1+'Calc base'!N56),2)-MAX('Calc base'!I$12,ROUND('Calc base'!I$13*AZ55,2))&lt;1,ROUND(AZ55*(1+'Calc base'!N56),2),MAX('Calc base'!I$12,ROUND('Calc base'!I$13*AZ55,2))))</f>
        <v>0</v>
      </c>
      <c r="Q56">
        <f>IF(BA55&lt;=0,0,IF(ROUND(BA55*(1+'Calc base'!O56),2)-MAX('Calc base'!J$12,ROUND('Calc base'!J$13*BA55,2))&lt;1,ROUND(BA55*(1+'Calc base'!O56),2),MAX('Calc base'!J$12,ROUND('Calc base'!J$13*BA55,2))))</f>
        <v>0</v>
      </c>
      <c r="R56">
        <f>IF(BB55&lt;=0,0,IF(ROUND(BB55*(1+'Calc base'!P56),2)-MAX('Calc base'!K$12,ROUND('Calc base'!K$13*BB55,2))&lt;1,ROUND(BB55*(1+'Calc base'!P56),2),MAX('Calc base'!K$12,ROUND('Calc base'!K$13*BB55,2))))</f>
        <v>0</v>
      </c>
      <c r="S56">
        <f>IF(BC55&lt;=0,0,IF(ROUND(BC55*(1+'Calc base'!Q56),2)-MAX('Calc base'!L$12,ROUND('Calc base'!L$13*BC55,2))&lt;1,ROUND(BC55*(1+'Calc base'!Q56),2),MAX('Calc base'!L$12,ROUND('Calc base'!L$13*BC55,2))))</f>
        <v>0</v>
      </c>
      <c r="T56">
        <f>IF(BD55&lt;=0,0,IF(ROUND(BD55*(1+'Calc base'!R56),2)-MAX('Calc base'!M$12,ROUND('Calc base'!M$13*BD55,2))&lt;1,ROUND(BD55*(1+'Calc base'!R56),2),MAX('Calc base'!M$12,ROUND('Calc base'!M$13*BD55,2))))</f>
        <v>0</v>
      </c>
      <c r="U56">
        <f>IF(BE55&lt;=0,0,IF(ROUND(BE55*(1+'Calc base'!S56),2)-MAX('Calc base'!N$12,ROUND('Calc base'!N$13*BE55,2))&lt;1,ROUND(BE55*(1+'Calc base'!S56),2),MAX('Calc base'!N$12,ROUND('Calc base'!N$13*BE55,2))))</f>
        <v>0</v>
      </c>
      <c r="V56">
        <f>MAX(0,ROUND(AT55*(1+'Calc base'!H56),2)-J56-'Calc base'!T56)</f>
        <v>0</v>
      </c>
      <c r="W56">
        <f>MAX(0,ROUND(AU55*(1+'Calc base'!I56),2)-K56-'Calc base'!U56)</f>
        <v>0</v>
      </c>
      <c r="X56">
        <f>MAX(0,ROUND(AV55*(1+'Calc base'!J56),2)-L56-'Calc base'!V56)</f>
        <v>0</v>
      </c>
      <c r="Y56">
        <f>MAX(0,ROUND(AW55*(1+'Calc base'!K56),2)-M56-'Calc base'!W56)</f>
        <v>0</v>
      </c>
      <c r="Z56">
        <f>MAX(0,ROUND(AX55*(1+'Calc base'!L56),2)-N56-'Calc base'!X56)</f>
        <v>0</v>
      </c>
      <c r="AA56">
        <f>MAX(0,ROUND(AY55*(1+'Calc base'!M56),2)-O56-'Calc base'!Y56)</f>
        <v>0</v>
      </c>
      <c r="AB56">
        <f>MAX(0,ROUND(AZ55*(1+'Calc base'!N56),2)-P56-'Calc base'!Z56)</f>
        <v>0</v>
      </c>
      <c r="AC56">
        <f>MAX(0,ROUND(BA55*(1+'Calc base'!O56),2)-Q56-'Calc base'!AA56)</f>
        <v>0</v>
      </c>
      <c r="AD56">
        <f>MAX(0,ROUND(BB55*(1+'Calc base'!P56),2)-R56-'Calc base'!AB56)</f>
        <v>0</v>
      </c>
      <c r="AE56">
        <f>MAX(0,ROUND(BC55*(1+'Calc base'!Q56),2)-S56-'Calc base'!AC56)</f>
        <v>0</v>
      </c>
      <c r="AF56">
        <f>MAX(0,ROUND(BD55*(1+'Calc base'!R56),2)-T56-'Calc base'!AD56)</f>
        <v>0</v>
      </c>
      <c r="AG56">
        <f>MAX(0,ROUND(BE55*(1+'Calc base'!S56),2)-U56-'Calc base'!AE56)</f>
        <v>0</v>
      </c>
      <c r="AH56">
        <f>IF('Calc base'!C$14=0,0,MIN(V56,MAX(0,$E56-SUMIFS($V56:$AG56,'Calc base'!$C$19:$N$19,"&lt;"&amp;'Calc base'!C$19,'Calc base'!$C$14:$N$14,1))))</f>
        <v>0</v>
      </c>
      <c r="AI56">
        <f>IF('Calc base'!D$14=0,0,MIN(W56,MAX(0,$E56-SUMIFS($V56:$AG56,'Calc base'!$C$19:$N$19,"&lt;"&amp;'Calc base'!D$19,'Calc base'!$C$14:$N$14,1))))</f>
        <v>0</v>
      </c>
      <c r="AJ56">
        <f>IF('Calc base'!E$14=0,0,MIN(X56,MAX(0,$E56-SUMIFS($V56:$AG56,'Calc base'!$C$19:$N$19,"&lt;"&amp;'Calc base'!E$19,'Calc base'!$C$14:$N$14,1))))</f>
        <v>0</v>
      </c>
      <c r="AK56">
        <f>IF('Calc base'!F$14=0,0,MIN(Y56,MAX(0,$E56-SUMIFS($V56:$AG56,'Calc base'!$C$19:$N$19,"&lt;"&amp;'Calc base'!F$19,'Calc base'!$C$14:$N$14,1))))</f>
        <v>0</v>
      </c>
      <c r="AL56">
        <f>IF('Calc base'!G$14=0,0,MIN(Z56,MAX(0,$E56-SUMIFS($V56:$AG56,'Calc base'!$C$19:$N$19,"&lt;"&amp;'Calc base'!G$19,'Calc base'!$C$14:$N$14,1))))</f>
        <v>0</v>
      </c>
      <c r="AM56">
        <f>IF('Calc base'!H$14=0,0,MIN(AA56,MAX(0,$E56-SUMIFS($V56:$AG56,'Calc base'!$C$19:$N$19,"&lt;"&amp;'Calc base'!H$19,'Calc base'!$C$14:$N$14,1))))</f>
        <v>0</v>
      </c>
      <c r="AN56">
        <f>IF('Calc base'!I$14=0,0,MIN(AB56,MAX(0,$E56-SUMIFS($V56:$AG56,'Calc base'!$C$19:$N$19,"&lt;"&amp;'Calc base'!I$19,'Calc base'!$C$14:$N$14,1))))</f>
        <v>0</v>
      </c>
      <c r="AO56">
        <f>IF('Calc base'!J$14=0,0,MIN(AC56,MAX(0,$E56-SUMIFS($V56:$AG56,'Calc base'!$C$19:$N$19,"&lt;"&amp;'Calc base'!J$19,'Calc base'!$C$14:$N$14,1))))</f>
        <v>0</v>
      </c>
      <c r="AP56">
        <f>IF('Calc base'!K$14=0,0,MIN(AD56,MAX(0,$E56-SUMIFS($V56:$AG56,'Calc base'!$C$19:$N$19,"&lt;"&amp;'Calc base'!K$19,'Calc base'!$C$14:$N$14,1))))</f>
        <v>0</v>
      </c>
      <c r="AQ56">
        <f>IF('Calc base'!L$14=0,0,MIN(AE56,MAX(0,$E56-SUMIFS($V56:$AG56,'Calc base'!$C$19:$N$19,"&lt;"&amp;'Calc base'!L$19,'Calc base'!$C$14:$N$14,1))))</f>
        <v>0</v>
      </c>
      <c r="AR56">
        <f>IF('Calc base'!M$14=0,0,MIN(AF56,MAX(0,$E56-SUMIFS($V56:$AG56,'Calc base'!$C$19:$N$19,"&lt;"&amp;'Calc base'!M$19,'Calc base'!$C$14:$N$14,1))))</f>
        <v>0</v>
      </c>
      <c r="AS56">
        <f>IF('Calc base'!N$14=0,0,MIN(AG56,MAX(0,$E56-SUMIFS($V56:$AG56,'Calc base'!$C$19:$N$19,"&lt;"&amp;'Calc base'!N$19,'Calc base'!$C$14:$N$14,1))))</f>
        <v>0</v>
      </c>
      <c r="AT56">
        <f>V56-AH56</f>
        <v>0</v>
      </c>
      <c r="AU56">
        <f>W56-AI56</f>
        <v>0</v>
      </c>
      <c r="AV56">
        <f>X56-AJ56</f>
        <v>0</v>
      </c>
      <c r="AW56">
        <f>Y56-AK56</f>
        <v>0</v>
      </c>
      <c r="AX56">
        <f>Z56-AL56</f>
        <v>0</v>
      </c>
      <c r="AY56">
        <f>AA56-AM56</f>
        <v>0</v>
      </c>
      <c r="AZ56">
        <f>AB56-AN56</f>
        <v>0</v>
      </c>
      <c r="BA56">
        <f>AC56-AO56</f>
        <v>0</v>
      </c>
      <c r="BB56">
        <f>AD56-AP56</f>
        <v>0</v>
      </c>
      <c r="BC56">
        <f>AE56-AQ56</f>
        <v>0</v>
      </c>
      <c r="BD56">
        <f>AF56-AR56</f>
        <v>0</v>
      </c>
      <c r="BE56">
        <f>AG56-AS56</f>
        <v>0</v>
      </c>
    </row>
    <row r="57">
      <c r="A57" t="n">
        <v>27</v>
      </c>
      <c r="B57">
        <f>SUMPRODUCT(ROUND($AT56:$BE56*(1+'Calc base'!$H57:$S57),2))</f>
        <v>0</v>
      </c>
      <c r="C57">
        <f>SUM(J57:U57)</f>
        <v>0</v>
      </c>
      <c r="D57">
        <f>SUM(V57:AG57)</f>
        <v>0</v>
      </c>
      <c r="E57">
        <f>MAX(0,IF(Impostazioni!$B$7="No",'Calc base'!$C57-$C$31,'Calc base'!$C57-C57)+'Calc base'!$G57+'Calc base'!$F57-(B57-C57-D57))</f>
        <v>900</v>
      </c>
      <c r="F57">
        <f>SUM(AH57:AS57)</f>
        <v>0</v>
      </c>
      <c r="G57">
        <f>SUM(AT57:BE57)</f>
        <v>0</v>
      </c>
      <c r="H57">
        <f>B57-G56</f>
        <v>0</v>
      </c>
      <c r="I57">
        <f>B57-G57</f>
        <v>0</v>
      </c>
      <c r="J57">
        <f>IF(AT56&lt;=0,0,IF(ROUND(AT56*(1+'Calc base'!H57),2)-MAX('Calc base'!C$12,ROUND('Calc base'!C$13*AT56,2))&lt;1,ROUND(AT56*(1+'Calc base'!H57),2),MAX('Calc base'!C$12,ROUND('Calc base'!C$13*AT56,2))))</f>
        <v>0</v>
      </c>
      <c r="K57">
        <f>IF(AU56&lt;=0,0,IF(ROUND(AU56*(1+'Calc base'!I57),2)-MAX('Calc base'!D$12,ROUND('Calc base'!D$13*AU56,2))&lt;1,ROUND(AU56*(1+'Calc base'!I57),2),MAX('Calc base'!D$12,ROUND('Calc base'!D$13*AU56,2))))</f>
        <v>0</v>
      </c>
      <c r="L57">
        <f>IF(AV56&lt;=0,0,IF(ROUND(AV56*(1+'Calc base'!J57),2)-MAX('Calc base'!E$12,ROUND('Calc base'!E$13*AV56,2))&lt;1,ROUND(AV56*(1+'Calc base'!J57),2),MAX('Calc base'!E$12,ROUND('Calc base'!E$13*AV56,2))))</f>
        <v>0</v>
      </c>
      <c r="M57">
        <f>IF(AW56&lt;=0,0,IF(ROUND(AW56*(1+'Calc base'!K57),2)-MAX('Calc base'!F$12,ROUND('Calc base'!F$13*AW56,2))&lt;1,ROUND(AW56*(1+'Calc base'!K57),2),MAX('Calc base'!F$12,ROUND('Calc base'!F$13*AW56,2))))</f>
        <v>0</v>
      </c>
      <c r="N57">
        <f>IF(AX56&lt;=0,0,IF(ROUND(AX56*(1+'Calc base'!L57),2)-MAX('Calc base'!G$12,ROUND('Calc base'!G$13*AX56,2))&lt;1,ROUND(AX56*(1+'Calc base'!L57),2),MAX('Calc base'!G$12,ROUND('Calc base'!G$13*AX56,2))))</f>
        <v>0</v>
      </c>
      <c r="O57">
        <f>IF(AY56&lt;=0,0,IF(ROUND(AY56*(1+'Calc base'!M57),2)-MAX('Calc base'!H$12,ROUND('Calc base'!H$13*AY56,2))&lt;1,ROUND(AY56*(1+'Calc base'!M57),2),MAX('Calc base'!H$12,ROUND('Calc base'!H$13*AY56,2))))</f>
        <v>0</v>
      </c>
      <c r="P57">
        <f>IF(AZ56&lt;=0,0,IF(ROUND(AZ56*(1+'Calc base'!N57),2)-MAX('Calc base'!I$12,ROUND('Calc base'!I$13*AZ56,2))&lt;1,ROUND(AZ56*(1+'Calc base'!N57),2),MAX('Calc base'!I$12,ROUND('Calc base'!I$13*AZ56,2))))</f>
        <v>0</v>
      </c>
      <c r="Q57">
        <f>IF(BA56&lt;=0,0,IF(ROUND(BA56*(1+'Calc base'!O57),2)-MAX('Calc base'!J$12,ROUND('Calc base'!J$13*BA56,2))&lt;1,ROUND(BA56*(1+'Calc base'!O57),2),MAX('Calc base'!J$12,ROUND('Calc base'!J$13*BA56,2))))</f>
        <v>0</v>
      </c>
      <c r="R57">
        <f>IF(BB56&lt;=0,0,IF(ROUND(BB56*(1+'Calc base'!P57),2)-MAX('Calc base'!K$12,ROUND('Calc base'!K$13*BB56,2))&lt;1,ROUND(BB56*(1+'Calc base'!P57),2),MAX('Calc base'!K$12,ROUND('Calc base'!K$13*BB56,2))))</f>
        <v>0</v>
      </c>
      <c r="S57">
        <f>IF(BC56&lt;=0,0,IF(ROUND(BC56*(1+'Calc base'!Q57),2)-MAX('Calc base'!L$12,ROUND('Calc base'!L$13*BC56,2))&lt;1,ROUND(BC56*(1+'Calc base'!Q57),2),MAX('Calc base'!L$12,ROUND('Calc base'!L$13*BC56,2))))</f>
        <v>0</v>
      </c>
      <c r="T57">
        <f>IF(BD56&lt;=0,0,IF(ROUND(BD56*(1+'Calc base'!R57),2)-MAX('Calc base'!M$12,ROUND('Calc base'!M$13*BD56,2))&lt;1,ROUND(BD56*(1+'Calc base'!R57),2),MAX('Calc base'!M$12,ROUND('Calc base'!M$13*BD56,2))))</f>
        <v>0</v>
      </c>
      <c r="U57">
        <f>IF(BE56&lt;=0,0,IF(ROUND(BE56*(1+'Calc base'!S57),2)-MAX('Calc base'!N$12,ROUND('Calc base'!N$13*BE56,2))&lt;1,ROUND(BE56*(1+'Calc base'!S57),2),MAX('Calc base'!N$12,ROUND('Calc base'!N$13*BE56,2))))</f>
        <v>0</v>
      </c>
      <c r="V57">
        <f>MAX(0,ROUND(AT56*(1+'Calc base'!H57),2)-J57-'Calc base'!T57)</f>
        <v>0</v>
      </c>
      <c r="W57">
        <f>MAX(0,ROUND(AU56*(1+'Calc base'!I57),2)-K57-'Calc base'!U57)</f>
        <v>0</v>
      </c>
      <c r="X57">
        <f>MAX(0,ROUND(AV56*(1+'Calc base'!J57),2)-L57-'Calc base'!V57)</f>
        <v>0</v>
      </c>
      <c r="Y57">
        <f>MAX(0,ROUND(AW56*(1+'Calc base'!K57),2)-M57-'Calc base'!W57)</f>
        <v>0</v>
      </c>
      <c r="Z57">
        <f>MAX(0,ROUND(AX56*(1+'Calc base'!L57),2)-N57-'Calc base'!X57)</f>
        <v>0</v>
      </c>
      <c r="AA57">
        <f>MAX(0,ROUND(AY56*(1+'Calc base'!M57),2)-O57-'Calc base'!Y57)</f>
        <v>0</v>
      </c>
      <c r="AB57">
        <f>MAX(0,ROUND(AZ56*(1+'Calc base'!N57),2)-P57-'Calc base'!Z57)</f>
        <v>0</v>
      </c>
      <c r="AC57">
        <f>MAX(0,ROUND(BA56*(1+'Calc base'!O57),2)-Q57-'Calc base'!AA57)</f>
        <v>0</v>
      </c>
      <c r="AD57">
        <f>MAX(0,ROUND(BB56*(1+'Calc base'!P57),2)-R57-'Calc base'!AB57)</f>
        <v>0</v>
      </c>
      <c r="AE57">
        <f>MAX(0,ROUND(BC56*(1+'Calc base'!Q57),2)-S57-'Calc base'!AC57)</f>
        <v>0</v>
      </c>
      <c r="AF57">
        <f>MAX(0,ROUND(BD56*(1+'Calc base'!R57),2)-T57-'Calc base'!AD57)</f>
        <v>0</v>
      </c>
      <c r="AG57">
        <f>MAX(0,ROUND(BE56*(1+'Calc base'!S57),2)-U57-'Calc base'!AE57)</f>
        <v>0</v>
      </c>
      <c r="AH57">
        <f>IF('Calc base'!C$14=0,0,MIN(V57,MAX(0,$E57-SUMIFS($V57:$AG57,'Calc base'!$C$19:$N$19,"&lt;"&amp;'Calc base'!C$19,'Calc base'!$C$14:$N$14,1))))</f>
        <v>0</v>
      </c>
      <c r="AI57">
        <f>IF('Calc base'!D$14=0,0,MIN(W57,MAX(0,$E57-SUMIFS($V57:$AG57,'Calc base'!$C$19:$N$19,"&lt;"&amp;'Calc base'!D$19,'Calc base'!$C$14:$N$14,1))))</f>
        <v>0</v>
      </c>
      <c r="AJ57">
        <f>IF('Calc base'!E$14=0,0,MIN(X57,MAX(0,$E57-SUMIFS($V57:$AG57,'Calc base'!$C$19:$N$19,"&lt;"&amp;'Calc base'!E$19,'Calc base'!$C$14:$N$14,1))))</f>
        <v>0</v>
      </c>
      <c r="AK57">
        <f>IF('Calc base'!F$14=0,0,MIN(Y57,MAX(0,$E57-SUMIFS($V57:$AG57,'Calc base'!$C$19:$N$19,"&lt;"&amp;'Calc base'!F$19,'Calc base'!$C$14:$N$14,1))))</f>
        <v>0</v>
      </c>
      <c r="AL57">
        <f>IF('Calc base'!G$14=0,0,MIN(Z57,MAX(0,$E57-SUMIFS($V57:$AG57,'Calc base'!$C$19:$N$19,"&lt;"&amp;'Calc base'!G$19,'Calc base'!$C$14:$N$14,1))))</f>
        <v>0</v>
      </c>
      <c r="AM57">
        <f>IF('Calc base'!H$14=0,0,MIN(AA57,MAX(0,$E57-SUMIFS($V57:$AG57,'Calc base'!$C$19:$N$19,"&lt;"&amp;'Calc base'!H$19,'Calc base'!$C$14:$N$14,1))))</f>
        <v>0</v>
      </c>
      <c r="AN57">
        <f>IF('Calc base'!I$14=0,0,MIN(AB57,MAX(0,$E57-SUMIFS($V57:$AG57,'Calc base'!$C$19:$N$19,"&lt;"&amp;'Calc base'!I$19,'Calc base'!$C$14:$N$14,1))))</f>
        <v>0</v>
      </c>
      <c r="AO57">
        <f>IF('Calc base'!J$14=0,0,MIN(AC57,MAX(0,$E57-SUMIFS($V57:$AG57,'Calc base'!$C$19:$N$19,"&lt;"&amp;'Calc base'!J$19,'Calc base'!$C$14:$N$14,1))))</f>
        <v>0</v>
      </c>
      <c r="AP57">
        <f>IF('Calc base'!K$14=0,0,MIN(AD57,MAX(0,$E57-SUMIFS($V57:$AG57,'Calc base'!$C$19:$N$19,"&lt;"&amp;'Calc base'!K$19,'Calc base'!$C$14:$N$14,1))))</f>
        <v>0</v>
      </c>
      <c r="AQ57">
        <f>IF('Calc base'!L$14=0,0,MIN(AE57,MAX(0,$E57-SUMIFS($V57:$AG57,'Calc base'!$C$19:$N$19,"&lt;"&amp;'Calc base'!L$19,'Calc base'!$C$14:$N$14,1))))</f>
        <v>0</v>
      </c>
      <c r="AR57">
        <f>IF('Calc base'!M$14=0,0,MIN(AF57,MAX(0,$E57-SUMIFS($V57:$AG57,'Calc base'!$C$19:$N$19,"&lt;"&amp;'Calc base'!M$19,'Calc base'!$C$14:$N$14,1))))</f>
        <v>0</v>
      </c>
      <c r="AS57">
        <f>IF('Calc base'!N$14=0,0,MIN(AG57,MAX(0,$E57-SUMIFS($V57:$AG57,'Calc base'!$C$19:$N$19,"&lt;"&amp;'Calc base'!N$19,'Calc base'!$C$14:$N$14,1))))</f>
        <v>0</v>
      </c>
      <c r="AT57">
        <f>V57-AH57</f>
        <v>0</v>
      </c>
      <c r="AU57">
        <f>W57-AI57</f>
        <v>0</v>
      </c>
      <c r="AV57">
        <f>X57-AJ57</f>
        <v>0</v>
      </c>
      <c r="AW57">
        <f>Y57-AK57</f>
        <v>0</v>
      </c>
      <c r="AX57">
        <f>Z57-AL57</f>
        <v>0</v>
      </c>
      <c r="AY57">
        <f>AA57-AM57</f>
        <v>0</v>
      </c>
      <c r="AZ57">
        <f>AB57-AN57</f>
        <v>0</v>
      </c>
      <c r="BA57">
        <f>AC57-AO57</f>
        <v>0</v>
      </c>
      <c r="BB57">
        <f>AD57-AP57</f>
        <v>0</v>
      </c>
      <c r="BC57">
        <f>AE57-AQ57</f>
        <v>0</v>
      </c>
      <c r="BD57">
        <f>AF57-AR57</f>
        <v>0</v>
      </c>
      <c r="BE57">
        <f>AG57-AS57</f>
        <v>0</v>
      </c>
    </row>
    <row r="58">
      <c r="A58" t="n">
        <v>28</v>
      </c>
      <c r="B58">
        <f>SUMPRODUCT(ROUND($AT57:$BE57*(1+'Calc base'!$H58:$S58),2))</f>
        <v>0</v>
      </c>
      <c r="C58">
        <f>SUM(J58:U58)</f>
        <v>0</v>
      </c>
      <c r="D58">
        <f>SUM(V58:AG58)</f>
        <v>0</v>
      </c>
      <c r="E58">
        <f>MAX(0,IF(Impostazioni!$B$7="No",'Calc base'!$C58-$C$31,'Calc base'!$C58-C58)+'Calc base'!$G58+'Calc base'!$F58-(B58-C58-D58))</f>
        <v>900</v>
      </c>
      <c r="F58">
        <f>SUM(AH58:AS58)</f>
        <v>0</v>
      </c>
      <c r="G58">
        <f>SUM(AT58:BE58)</f>
        <v>0</v>
      </c>
      <c r="H58">
        <f>B58-G57</f>
        <v>0</v>
      </c>
      <c r="I58">
        <f>B58-G58</f>
        <v>0</v>
      </c>
      <c r="J58">
        <f>IF(AT57&lt;=0,0,IF(ROUND(AT57*(1+'Calc base'!H58),2)-MAX('Calc base'!C$12,ROUND('Calc base'!C$13*AT57,2))&lt;1,ROUND(AT57*(1+'Calc base'!H58),2),MAX('Calc base'!C$12,ROUND('Calc base'!C$13*AT57,2))))</f>
        <v>0</v>
      </c>
      <c r="K58">
        <f>IF(AU57&lt;=0,0,IF(ROUND(AU57*(1+'Calc base'!I58),2)-MAX('Calc base'!D$12,ROUND('Calc base'!D$13*AU57,2))&lt;1,ROUND(AU57*(1+'Calc base'!I58),2),MAX('Calc base'!D$12,ROUND('Calc base'!D$13*AU57,2))))</f>
        <v>0</v>
      </c>
      <c r="L58">
        <f>IF(AV57&lt;=0,0,IF(ROUND(AV57*(1+'Calc base'!J58),2)-MAX('Calc base'!E$12,ROUND('Calc base'!E$13*AV57,2))&lt;1,ROUND(AV57*(1+'Calc base'!J58),2),MAX('Calc base'!E$12,ROUND('Calc base'!E$13*AV57,2))))</f>
        <v>0</v>
      </c>
      <c r="M58">
        <f>IF(AW57&lt;=0,0,IF(ROUND(AW57*(1+'Calc base'!K58),2)-MAX('Calc base'!F$12,ROUND('Calc base'!F$13*AW57,2))&lt;1,ROUND(AW57*(1+'Calc base'!K58),2),MAX('Calc base'!F$12,ROUND('Calc base'!F$13*AW57,2))))</f>
        <v>0</v>
      </c>
      <c r="N58">
        <f>IF(AX57&lt;=0,0,IF(ROUND(AX57*(1+'Calc base'!L58),2)-MAX('Calc base'!G$12,ROUND('Calc base'!G$13*AX57,2))&lt;1,ROUND(AX57*(1+'Calc base'!L58),2),MAX('Calc base'!G$12,ROUND('Calc base'!G$13*AX57,2))))</f>
        <v>0</v>
      </c>
      <c r="O58">
        <f>IF(AY57&lt;=0,0,IF(ROUND(AY57*(1+'Calc base'!M58),2)-MAX('Calc base'!H$12,ROUND('Calc base'!H$13*AY57,2))&lt;1,ROUND(AY57*(1+'Calc base'!M58),2),MAX('Calc base'!H$12,ROUND('Calc base'!H$13*AY57,2))))</f>
        <v>0</v>
      </c>
      <c r="P58">
        <f>IF(AZ57&lt;=0,0,IF(ROUND(AZ57*(1+'Calc base'!N58),2)-MAX('Calc base'!I$12,ROUND('Calc base'!I$13*AZ57,2))&lt;1,ROUND(AZ57*(1+'Calc base'!N58),2),MAX('Calc base'!I$12,ROUND('Calc base'!I$13*AZ57,2))))</f>
        <v>0</v>
      </c>
      <c r="Q58">
        <f>IF(BA57&lt;=0,0,IF(ROUND(BA57*(1+'Calc base'!O58),2)-MAX('Calc base'!J$12,ROUND('Calc base'!J$13*BA57,2))&lt;1,ROUND(BA57*(1+'Calc base'!O58),2),MAX('Calc base'!J$12,ROUND('Calc base'!J$13*BA57,2))))</f>
        <v>0</v>
      </c>
      <c r="R58">
        <f>IF(BB57&lt;=0,0,IF(ROUND(BB57*(1+'Calc base'!P58),2)-MAX('Calc base'!K$12,ROUND('Calc base'!K$13*BB57,2))&lt;1,ROUND(BB57*(1+'Calc base'!P58),2),MAX('Calc base'!K$12,ROUND('Calc base'!K$13*BB57,2))))</f>
        <v>0</v>
      </c>
      <c r="S58">
        <f>IF(BC57&lt;=0,0,IF(ROUND(BC57*(1+'Calc base'!Q58),2)-MAX('Calc base'!L$12,ROUND('Calc base'!L$13*BC57,2))&lt;1,ROUND(BC57*(1+'Calc base'!Q58),2),MAX('Calc base'!L$12,ROUND('Calc base'!L$13*BC57,2))))</f>
        <v>0</v>
      </c>
      <c r="T58">
        <f>IF(BD57&lt;=0,0,IF(ROUND(BD57*(1+'Calc base'!R58),2)-MAX('Calc base'!M$12,ROUND('Calc base'!M$13*BD57,2))&lt;1,ROUND(BD57*(1+'Calc base'!R58),2),MAX('Calc base'!M$12,ROUND('Calc base'!M$13*BD57,2))))</f>
        <v>0</v>
      </c>
      <c r="U58">
        <f>IF(BE57&lt;=0,0,IF(ROUND(BE57*(1+'Calc base'!S58),2)-MAX('Calc base'!N$12,ROUND('Calc base'!N$13*BE57,2))&lt;1,ROUND(BE57*(1+'Calc base'!S58),2),MAX('Calc base'!N$12,ROUND('Calc base'!N$13*BE57,2))))</f>
        <v>0</v>
      </c>
      <c r="V58">
        <f>MAX(0,ROUND(AT57*(1+'Calc base'!H58),2)-J58-'Calc base'!T58)</f>
        <v>0</v>
      </c>
      <c r="W58">
        <f>MAX(0,ROUND(AU57*(1+'Calc base'!I58),2)-K58-'Calc base'!U58)</f>
        <v>0</v>
      </c>
      <c r="X58">
        <f>MAX(0,ROUND(AV57*(1+'Calc base'!J58),2)-L58-'Calc base'!V58)</f>
        <v>0</v>
      </c>
      <c r="Y58">
        <f>MAX(0,ROUND(AW57*(1+'Calc base'!K58),2)-M58-'Calc base'!W58)</f>
        <v>0</v>
      </c>
      <c r="Z58">
        <f>MAX(0,ROUND(AX57*(1+'Calc base'!L58),2)-N58-'Calc base'!X58)</f>
        <v>0</v>
      </c>
      <c r="AA58">
        <f>MAX(0,ROUND(AY57*(1+'Calc base'!M58),2)-O58-'Calc base'!Y58)</f>
        <v>0</v>
      </c>
      <c r="AB58">
        <f>MAX(0,ROUND(AZ57*(1+'Calc base'!N58),2)-P58-'Calc base'!Z58)</f>
        <v>0</v>
      </c>
      <c r="AC58">
        <f>MAX(0,ROUND(BA57*(1+'Calc base'!O58),2)-Q58-'Calc base'!AA58)</f>
        <v>0</v>
      </c>
      <c r="AD58">
        <f>MAX(0,ROUND(BB57*(1+'Calc base'!P58),2)-R58-'Calc base'!AB58)</f>
        <v>0</v>
      </c>
      <c r="AE58">
        <f>MAX(0,ROUND(BC57*(1+'Calc base'!Q58),2)-S58-'Calc base'!AC58)</f>
        <v>0</v>
      </c>
      <c r="AF58">
        <f>MAX(0,ROUND(BD57*(1+'Calc base'!R58),2)-T58-'Calc base'!AD58)</f>
        <v>0</v>
      </c>
      <c r="AG58">
        <f>MAX(0,ROUND(BE57*(1+'Calc base'!S58),2)-U58-'Calc base'!AE58)</f>
        <v>0</v>
      </c>
      <c r="AH58">
        <f>IF('Calc base'!C$14=0,0,MIN(V58,MAX(0,$E58-SUMIFS($V58:$AG58,'Calc base'!$C$19:$N$19,"&lt;"&amp;'Calc base'!C$19,'Calc base'!$C$14:$N$14,1))))</f>
        <v>0</v>
      </c>
      <c r="AI58">
        <f>IF('Calc base'!D$14=0,0,MIN(W58,MAX(0,$E58-SUMIFS($V58:$AG58,'Calc base'!$C$19:$N$19,"&lt;"&amp;'Calc base'!D$19,'Calc base'!$C$14:$N$14,1))))</f>
        <v>0</v>
      </c>
      <c r="AJ58">
        <f>IF('Calc base'!E$14=0,0,MIN(X58,MAX(0,$E58-SUMIFS($V58:$AG58,'Calc base'!$C$19:$N$19,"&lt;"&amp;'Calc base'!E$19,'Calc base'!$C$14:$N$14,1))))</f>
        <v>0</v>
      </c>
      <c r="AK58">
        <f>IF('Calc base'!F$14=0,0,MIN(Y58,MAX(0,$E58-SUMIFS($V58:$AG58,'Calc base'!$C$19:$N$19,"&lt;"&amp;'Calc base'!F$19,'Calc base'!$C$14:$N$14,1))))</f>
        <v>0</v>
      </c>
      <c r="AL58">
        <f>IF('Calc base'!G$14=0,0,MIN(Z58,MAX(0,$E58-SUMIFS($V58:$AG58,'Calc base'!$C$19:$N$19,"&lt;"&amp;'Calc base'!G$19,'Calc base'!$C$14:$N$14,1))))</f>
        <v>0</v>
      </c>
      <c r="AM58">
        <f>IF('Calc base'!H$14=0,0,MIN(AA58,MAX(0,$E58-SUMIFS($V58:$AG58,'Calc base'!$C$19:$N$19,"&lt;"&amp;'Calc base'!H$19,'Calc base'!$C$14:$N$14,1))))</f>
        <v>0</v>
      </c>
      <c r="AN58">
        <f>IF('Calc base'!I$14=0,0,MIN(AB58,MAX(0,$E58-SUMIFS($V58:$AG58,'Calc base'!$C$19:$N$19,"&lt;"&amp;'Calc base'!I$19,'Calc base'!$C$14:$N$14,1))))</f>
        <v>0</v>
      </c>
      <c r="AO58">
        <f>IF('Calc base'!J$14=0,0,MIN(AC58,MAX(0,$E58-SUMIFS($V58:$AG58,'Calc base'!$C$19:$N$19,"&lt;"&amp;'Calc base'!J$19,'Calc base'!$C$14:$N$14,1))))</f>
        <v>0</v>
      </c>
      <c r="AP58">
        <f>IF('Calc base'!K$14=0,0,MIN(AD58,MAX(0,$E58-SUMIFS($V58:$AG58,'Calc base'!$C$19:$N$19,"&lt;"&amp;'Calc base'!K$19,'Calc base'!$C$14:$N$14,1))))</f>
        <v>0</v>
      </c>
      <c r="AQ58">
        <f>IF('Calc base'!L$14=0,0,MIN(AE58,MAX(0,$E58-SUMIFS($V58:$AG58,'Calc base'!$C$19:$N$19,"&lt;"&amp;'Calc base'!L$19,'Calc base'!$C$14:$N$14,1))))</f>
        <v>0</v>
      </c>
      <c r="AR58">
        <f>IF('Calc base'!M$14=0,0,MIN(AF58,MAX(0,$E58-SUMIFS($V58:$AG58,'Calc base'!$C$19:$N$19,"&lt;"&amp;'Calc base'!M$19,'Calc base'!$C$14:$N$14,1))))</f>
        <v>0</v>
      </c>
      <c r="AS58">
        <f>IF('Calc base'!N$14=0,0,MIN(AG58,MAX(0,$E58-SUMIFS($V58:$AG58,'Calc base'!$C$19:$N$19,"&lt;"&amp;'Calc base'!N$19,'Calc base'!$C$14:$N$14,1))))</f>
        <v>0</v>
      </c>
      <c r="AT58">
        <f>V58-AH58</f>
        <v>0</v>
      </c>
      <c r="AU58">
        <f>W58-AI58</f>
        <v>0</v>
      </c>
      <c r="AV58">
        <f>X58-AJ58</f>
        <v>0</v>
      </c>
      <c r="AW58">
        <f>Y58-AK58</f>
        <v>0</v>
      </c>
      <c r="AX58">
        <f>Z58-AL58</f>
        <v>0</v>
      </c>
      <c r="AY58">
        <f>AA58-AM58</f>
        <v>0</v>
      </c>
      <c r="AZ58">
        <f>AB58-AN58</f>
        <v>0</v>
      </c>
      <c r="BA58">
        <f>AC58-AO58</f>
        <v>0</v>
      </c>
      <c r="BB58">
        <f>AD58-AP58</f>
        <v>0</v>
      </c>
      <c r="BC58">
        <f>AE58-AQ58</f>
        <v>0</v>
      </c>
      <c r="BD58">
        <f>AF58-AR58</f>
        <v>0</v>
      </c>
      <c r="BE58">
        <f>AG58-AS58</f>
        <v>0</v>
      </c>
    </row>
    <row r="59">
      <c r="A59" t="n">
        <v>29</v>
      </c>
      <c r="B59">
        <f>SUMPRODUCT(ROUND($AT58:$BE58*(1+'Calc base'!$H59:$S59),2))</f>
        <v>0</v>
      </c>
      <c r="C59">
        <f>SUM(J59:U59)</f>
        <v>0</v>
      </c>
      <c r="D59">
        <f>SUM(V59:AG59)</f>
        <v>0</v>
      </c>
      <c r="E59">
        <f>MAX(0,IF(Impostazioni!$B$7="No",'Calc base'!$C59-$C$31,'Calc base'!$C59-C59)+'Calc base'!$G59+'Calc base'!$F59-(B59-C59-D59))</f>
        <v>900</v>
      </c>
      <c r="F59">
        <f>SUM(AH59:AS59)</f>
        <v>0</v>
      </c>
      <c r="G59">
        <f>SUM(AT59:BE59)</f>
        <v>0</v>
      </c>
      <c r="H59">
        <f>B59-G58</f>
        <v>0</v>
      </c>
      <c r="I59">
        <f>B59-G59</f>
        <v>0</v>
      </c>
      <c r="J59">
        <f>IF(AT58&lt;=0,0,IF(ROUND(AT58*(1+'Calc base'!H59),2)-MAX('Calc base'!C$12,ROUND('Calc base'!C$13*AT58,2))&lt;1,ROUND(AT58*(1+'Calc base'!H59),2),MAX('Calc base'!C$12,ROUND('Calc base'!C$13*AT58,2))))</f>
        <v>0</v>
      </c>
      <c r="K59">
        <f>IF(AU58&lt;=0,0,IF(ROUND(AU58*(1+'Calc base'!I59),2)-MAX('Calc base'!D$12,ROUND('Calc base'!D$13*AU58,2))&lt;1,ROUND(AU58*(1+'Calc base'!I59),2),MAX('Calc base'!D$12,ROUND('Calc base'!D$13*AU58,2))))</f>
        <v>0</v>
      </c>
      <c r="L59">
        <f>IF(AV58&lt;=0,0,IF(ROUND(AV58*(1+'Calc base'!J59),2)-MAX('Calc base'!E$12,ROUND('Calc base'!E$13*AV58,2))&lt;1,ROUND(AV58*(1+'Calc base'!J59),2),MAX('Calc base'!E$12,ROUND('Calc base'!E$13*AV58,2))))</f>
        <v>0</v>
      </c>
      <c r="M59">
        <f>IF(AW58&lt;=0,0,IF(ROUND(AW58*(1+'Calc base'!K59),2)-MAX('Calc base'!F$12,ROUND('Calc base'!F$13*AW58,2))&lt;1,ROUND(AW58*(1+'Calc base'!K59),2),MAX('Calc base'!F$12,ROUND('Calc base'!F$13*AW58,2))))</f>
        <v>0</v>
      </c>
      <c r="N59">
        <f>IF(AX58&lt;=0,0,IF(ROUND(AX58*(1+'Calc base'!L59),2)-MAX('Calc base'!G$12,ROUND('Calc base'!G$13*AX58,2))&lt;1,ROUND(AX58*(1+'Calc base'!L59),2),MAX('Calc base'!G$12,ROUND('Calc base'!G$13*AX58,2))))</f>
        <v>0</v>
      </c>
      <c r="O59">
        <f>IF(AY58&lt;=0,0,IF(ROUND(AY58*(1+'Calc base'!M59),2)-MAX('Calc base'!H$12,ROUND('Calc base'!H$13*AY58,2))&lt;1,ROUND(AY58*(1+'Calc base'!M59),2),MAX('Calc base'!H$12,ROUND('Calc base'!H$13*AY58,2))))</f>
        <v>0</v>
      </c>
      <c r="P59">
        <f>IF(AZ58&lt;=0,0,IF(ROUND(AZ58*(1+'Calc base'!N59),2)-MAX('Calc base'!I$12,ROUND('Calc base'!I$13*AZ58,2))&lt;1,ROUND(AZ58*(1+'Calc base'!N59),2),MAX('Calc base'!I$12,ROUND('Calc base'!I$13*AZ58,2))))</f>
        <v>0</v>
      </c>
      <c r="Q59">
        <f>IF(BA58&lt;=0,0,IF(ROUND(BA58*(1+'Calc base'!O59),2)-MAX('Calc base'!J$12,ROUND('Calc base'!J$13*BA58,2))&lt;1,ROUND(BA58*(1+'Calc base'!O59),2),MAX('Calc base'!J$12,ROUND('Calc base'!J$13*BA58,2))))</f>
        <v>0</v>
      </c>
      <c r="R59">
        <f>IF(BB58&lt;=0,0,IF(ROUND(BB58*(1+'Calc base'!P59),2)-MAX('Calc base'!K$12,ROUND('Calc base'!K$13*BB58,2))&lt;1,ROUND(BB58*(1+'Calc base'!P59),2),MAX('Calc base'!K$12,ROUND('Calc base'!K$13*BB58,2))))</f>
        <v>0</v>
      </c>
      <c r="S59">
        <f>IF(BC58&lt;=0,0,IF(ROUND(BC58*(1+'Calc base'!Q59),2)-MAX('Calc base'!L$12,ROUND('Calc base'!L$13*BC58,2))&lt;1,ROUND(BC58*(1+'Calc base'!Q59),2),MAX('Calc base'!L$12,ROUND('Calc base'!L$13*BC58,2))))</f>
        <v>0</v>
      </c>
      <c r="T59">
        <f>IF(BD58&lt;=0,0,IF(ROUND(BD58*(1+'Calc base'!R59),2)-MAX('Calc base'!M$12,ROUND('Calc base'!M$13*BD58,2))&lt;1,ROUND(BD58*(1+'Calc base'!R59),2),MAX('Calc base'!M$12,ROUND('Calc base'!M$13*BD58,2))))</f>
        <v>0</v>
      </c>
      <c r="U59">
        <f>IF(BE58&lt;=0,0,IF(ROUND(BE58*(1+'Calc base'!S59),2)-MAX('Calc base'!N$12,ROUND('Calc base'!N$13*BE58,2))&lt;1,ROUND(BE58*(1+'Calc base'!S59),2),MAX('Calc base'!N$12,ROUND('Calc base'!N$13*BE58,2))))</f>
        <v>0</v>
      </c>
      <c r="V59">
        <f>MAX(0,ROUND(AT58*(1+'Calc base'!H59),2)-J59-'Calc base'!T59)</f>
        <v>0</v>
      </c>
      <c r="W59">
        <f>MAX(0,ROUND(AU58*(1+'Calc base'!I59),2)-K59-'Calc base'!U59)</f>
        <v>0</v>
      </c>
      <c r="X59">
        <f>MAX(0,ROUND(AV58*(1+'Calc base'!J59),2)-L59-'Calc base'!V59)</f>
        <v>0</v>
      </c>
      <c r="Y59">
        <f>MAX(0,ROUND(AW58*(1+'Calc base'!K59),2)-M59-'Calc base'!W59)</f>
        <v>0</v>
      </c>
      <c r="Z59">
        <f>MAX(0,ROUND(AX58*(1+'Calc base'!L59),2)-N59-'Calc base'!X59)</f>
        <v>0</v>
      </c>
      <c r="AA59">
        <f>MAX(0,ROUND(AY58*(1+'Calc base'!M59),2)-O59-'Calc base'!Y59)</f>
        <v>0</v>
      </c>
      <c r="AB59">
        <f>MAX(0,ROUND(AZ58*(1+'Calc base'!N59),2)-P59-'Calc base'!Z59)</f>
        <v>0</v>
      </c>
      <c r="AC59">
        <f>MAX(0,ROUND(BA58*(1+'Calc base'!O59),2)-Q59-'Calc base'!AA59)</f>
        <v>0</v>
      </c>
      <c r="AD59">
        <f>MAX(0,ROUND(BB58*(1+'Calc base'!P59),2)-R59-'Calc base'!AB59)</f>
        <v>0</v>
      </c>
      <c r="AE59">
        <f>MAX(0,ROUND(BC58*(1+'Calc base'!Q59),2)-S59-'Calc base'!AC59)</f>
        <v>0</v>
      </c>
      <c r="AF59">
        <f>MAX(0,ROUND(BD58*(1+'Calc base'!R59),2)-T59-'Calc base'!AD59)</f>
        <v>0</v>
      </c>
      <c r="AG59">
        <f>MAX(0,ROUND(BE58*(1+'Calc base'!S59),2)-U59-'Calc base'!AE59)</f>
        <v>0</v>
      </c>
      <c r="AH59">
        <f>IF('Calc base'!C$14=0,0,MIN(V59,MAX(0,$E59-SUMIFS($V59:$AG59,'Calc base'!$C$19:$N$19,"&lt;"&amp;'Calc base'!C$19,'Calc base'!$C$14:$N$14,1))))</f>
        <v>0</v>
      </c>
      <c r="AI59">
        <f>IF('Calc base'!D$14=0,0,MIN(W59,MAX(0,$E59-SUMIFS($V59:$AG59,'Calc base'!$C$19:$N$19,"&lt;"&amp;'Calc base'!D$19,'Calc base'!$C$14:$N$14,1))))</f>
        <v>0</v>
      </c>
      <c r="AJ59">
        <f>IF('Calc base'!E$14=0,0,MIN(X59,MAX(0,$E59-SUMIFS($V59:$AG59,'Calc base'!$C$19:$N$19,"&lt;"&amp;'Calc base'!E$19,'Calc base'!$C$14:$N$14,1))))</f>
        <v>0</v>
      </c>
      <c r="AK59">
        <f>IF('Calc base'!F$14=0,0,MIN(Y59,MAX(0,$E59-SUMIFS($V59:$AG59,'Calc base'!$C$19:$N$19,"&lt;"&amp;'Calc base'!F$19,'Calc base'!$C$14:$N$14,1))))</f>
        <v>0</v>
      </c>
      <c r="AL59">
        <f>IF('Calc base'!G$14=0,0,MIN(Z59,MAX(0,$E59-SUMIFS($V59:$AG59,'Calc base'!$C$19:$N$19,"&lt;"&amp;'Calc base'!G$19,'Calc base'!$C$14:$N$14,1))))</f>
        <v>0</v>
      </c>
      <c r="AM59">
        <f>IF('Calc base'!H$14=0,0,MIN(AA59,MAX(0,$E59-SUMIFS($V59:$AG59,'Calc base'!$C$19:$N$19,"&lt;"&amp;'Calc base'!H$19,'Calc base'!$C$14:$N$14,1))))</f>
        <v>0</v>
      </c>
      <c r="AN59">
        <f>IF('Calc base'!I$14=0,0,MIN(AB59,MAX(0,$E59-SUMIFS($V59:$AG59,'Calc base'!$C$19:$N$19,"&lt;"&amp;'Calc base'!I$19,'Calc base'!$C$14:$N$14,1))))</f>
        <v>0</v>
      </c>
      <c r="AO59">
        <f>IF('Calc base'!J$14=0,0,MIN(AC59,MAX(0,$E59-SUMIFS($V59:$AG59,'Calc base'!$C$19:$N$19,"&lt;"&amp;'Calc base'!J$19,'Calc base'!$C$14:$N$14,1))))</f>
        <v>0</v>
      </c>
      <c r="AP59">
        <f>IF('Calc base'!K$14=0,0,MIN(AD59,MAX(0,$E59-SUMIFS($V59:$AG59,'Calc base'!$C$19:$N$19,"&lt;"&amp;'Calc base'!K$19,'Calc base'!$C$14:$N$14,1))))</f>
        <v>0</v>
      </c>
      <c r="AQ59">
        <f>IF('Calc base'!L$14=0,0,MIN(AE59,MAX(0,$E59-SUMIFS($V59:$AG59,'Calc base'!$C$19:$N$19,"&lt;"&amp;'Calc base'!L$19,'Calc base'!$C$14:$N$14,1))))</f>
        <v>0</v>
      </c>
      <c r="AR59">
        <f>IF('Calc base'!M$14=0,0,MIN(AF59,MAX(0,$E59-SUMIFS($V59:$AG59,'Calc base'!$C$19:$N$19,"&lt;"&amp;'Calc base'!M$19,'Calc base'!$C$14:$N$14,1))))</f>
        <v>0</v>
      </c>
      <c r="AS59">
        <f>IF('Calc base'!N$14=0,0,MIN(AG59,MAX(0,$E59-SUMIFS($V59:$AG59,'Calc base'!$C$19:$N$19,"&lt;"&amp;'Calc base'!N$19,'Calc base'!$C$14:$N$14,1))))</f>
        <v>0</v>
      </c>
      <c r="AT59">
        <f>V59-AH59</f>
        <v>0</v>
      </c>
      <c r="AU59">
        <f>W59-AI59</f>
        <v>0</v>
      </c>
      <c r="AV59">
        <f>X59-AJ59</f>
        <v>0</v>
      </c>
      <c r="AW59">
        <f>Y59-AK59</f>
        <v>0</v>
      </c>
      <c r="AX59">
        <f>Z59-AL59</f>
        <v>0</v>
      </c>
      <c r="AY59">
        <f>AA59-AM59</f>
        <v>0</v>
      </c>
      <c r="AZ59">
        <f>AB59-AN59</f>
        <v>0</v>
      </c>
      <c r="BA59">
        <f>AC59-AO59</f>
        <v>0</v>
      </c>
      <c r="BB59">
        <f>AD59-AP59</f>
        <v>0</v>
      </c>
      <c r="BC59">
        <f>AE59-AQ59</f>
        <v>0</v>
      </c>
      <c r="BD59">
        <f>AF59-AR59</f>
        <v>0</v>
      </c>
      <c r="BE59">
        <f>AG59-AS59</f>
        <v>0</v>
      </c>
    </row>
    <row r="60">
      <c r="A60" t="n">
        <v>30</v>
      </c>
      <c r="B60">
        <f>SUMPRODUCT(ROUND($AT59:$BE59*(1+'Calc base'!$H60:$S60),2))</f>
        <v>0</v>
      </c>
      <c r="C60">
        <f>SUM(J60:U60)</f>
        <v>0</v>
      </c>
      <c r="D60">
        <f>SUM(V60:AG60)</f>
        <v>0</v>
      </c>
      <c r="E60">
        <f>MAX(0,IF(Impostazioni!$B$7="No",'Calc base'!$C60-$C$31,'Calc base'!$C60-C60)+'Calc base'!$G60+'Calc base'!$F60-(B60-C60-D60))</f>
        <v>900</v>
      </c>
      <c r="F60">
        <f>SUM(AH60:AS60)</f>
        <v>0</v>
      </c>
      <c r="G60">
        <f>SUM(AT60:BE60)</f>
        <v>0</v>
      </c>
      <c r="H60">
        <f>B60-G59</f>
        <v>0</v>
      </c>
      <c r="I60">
        <f>B60-G60</f>
        <v>0</v>
      </c>
      <c r="J60">
        <f>IF(AT59&lt;=0,0,IF(ROUND(AT59*(1+'Calc base'!H60),2)-MAX('Calc base'!C$12,ROUND('Calc base'!C$13*AT59,2))&lt;1,ROUND(AT59*(1+'Calc base'!H60),2),MAX('Calc base'!C$12,ROUND('Calc base'!C$13*AT59,2))))</f>
        <v>0</v>
      </c>
      <c r="K60">
        <f>IF(AU59&lt;=0,0,IF(ROUND(AU59*(1+'Calc base'!I60),2)-MAX('Calc base'!D$12,ROUND('Calc base'!D$13*AU59,2))&lt;1,ROUND(AU59*(1+'Calc base'!I60),2),MAX('Calc base'!D$12,ROUND('Calc base'!D$13*AU59,2))))</f>
        <v>0</v>
      </c>
      <c r="L60">
        <f>IF(AV59&lt;=0,0,IF(ROUND(AV59*(1+'Calc base'!J60),2)-MAX('Calc base'!E$12,ROUND('Calc base'!E$13*AV59,2))&lt;1,ROUND(AV59*(1+'Calc base'!J60),2),MAX('Calc base'!E$12,ROUND('Calc base'!E$13*AV59,2))))</f>
        <v>0</v>
      </c>
      <c r="M60">
        <f>IF(AW59&lt;=0,0,IF(ROUND(AW59*(1+'Calc base'!K60),2)-MAX('Calc base'!F$12,ROUND('Calc base'!F$13*AW59,2))&lt;1,ROUND(AW59*(1+'Calc base'!K60),2),MAX('Calc base'!F$12,ROUND('Calc base'!F$13*AW59,2))))</f>
        <v>0</v>
      </c>
      <c r="N60">
        <f>IF(AX59&lt;=0,0,IF(ROUND(AX59*(1+'Calc base'!L60),2)-MAX('Calc base'!G$12,ROUND('Calc base'!G$13*AX59,2))&lt;1,ROUND(AX59*(1+'Calc base'!L60),2),MAX('Calc base'!G$12,ROUND('Calc base'!G$13*AX59,2))))</f>
        <v>0</v>
      </c>
      <c r="O60">
        <f>IF(AY59&lt;=0,0,IF(ROUND(AY59*(1+'Calc base'!M60),2)-MAX('Calc base'!H$12,ROUND('Calc base'!H$13*AY59,2))&lt;1,ROUND(AY59*(1+'Calc base'!M60),2),MAX('Calc base'!H$12,ROUND('Calc base'!H$13*AY59,2))))</f>
        <v>0</v>
      </c>
      <c r="P60">
        <f>IF(AZ59&lt;=0,0,IF(ROUND(AZ59*(1+'Calc base'!N60),2)-MAX('Calc base'!I$12,ROUND('Calc base'!I$13*AZ59,2))&lt;1,ROUND(AZ59*(1+'Calc base'!N60),2),MAX('Calc base'!I$12,ROUND('Calc base'!I$13*AZ59,2))))</f>
        <v>0</v>
      </c>
      <c r="Q60">
        <f>IF(BA59&lt;=0,0,IF(ROUND(BA59*(1+'Calc base'!O60),2)-MAX('Calc base'!J$12,ROUND('Calc base'!J$13*BA59,2))&lt;1,ROUND(BA59*(1+'Calc base'!O60),2),MAX('Calc base'!J$12,ROUND('Calc base'!J$13*BA59,2))))</f>
        <v>0</v>
      </c>
      <c r="R60">
        <f>IF(BB59&lt;=0,0,IF(ROUND(BB59*(1+'Calc base'!P60),2)-MAX('Calc base'!K$12,ROUND('Calc base'!K$13*BB59,2))&lt;1,ROUND(BB59*(1+'Calc base'!P60),2),MAX('Calc base'!K$12,ROUND('Calc base'!K$13*BB59,2))))</f>
        <v>0</v>
      </c>
      <c r="S60">
        <f>IF(BC59&lt;=0,0,IF(ROUND(BC59*(1+'Calc base'!Q60),2)-MAX('Calc base'!L$12,ROUND('Calc base'!L$13*BC59,2))&lt;1,ROUND(BC59*(1+'Calc base'!Q60),2),MAX('Calc base'!L$12,ROUND('Calc base'!L$13*BC59,2))))</f>
        <v>0</v>
      </c>
      <c r="T60">
        <f>IF(BD59&lt;=0,0,IF(ROUND(BD59*(1+'Calc base'!R60),2)-MAX('Calc base'!M$12,ROUND('Calc base'!M$13*BD59,2))&lt;1,ROUND(BD59*(1+'Calc base'!R60),2),MAX('Calc base'!M$12,ROUND('Calc base'!M$13*BD59,2))))</f>
        <v>0</v>
      </c>
      <c r="U60">
        <f>IF(BE59&lt;=0,0,IF(ROUND(BE59*(1+'Calc base'!S60),2)-MAX('Calc base'!N$12,ROUND('Calc base'!N$13*BE59,2))&lt;1,ROUND(BE59*(1+'Calc base'!S60),2),MAX('Calc base'!N$12,ROUND('Calc base'!N$13*BE59,2))))</f>
        <v>0</v>
      </c>
      <c r="V60">
        <f>MAX(0,ROUND(AT59*(1+'Calc base'!H60),2)-J60-'Calc base'!T60)</f>
        <v>0</v>
      </c>
      <c r="W60">
        <f>MAX(0,ROUND(AU59*(1+'Calc base'!I60),2)-K60-'Calc base'!U60)</f>
        <v>0</v>
      </c>
      <c r="X60">
        <f>MAX(0,ROUND(AV59*(1+'Calc base'!J60),2)-L60-'Calc base'!V60)</f>
        <v>0</v>
      </c>
      <c r="Y60">
        <f>MAX(0,ROUND(AW59*(1+'Calc base'!K60),2)-M60-'Calc base'!W60)</f>
        <v>0</v>
      </c>
      <c r="Z60">
        <f>MAX(0,ROUND(AX59*(1+'Calc base'!L60),2)-N60-'Calc base'!X60)</f>
        <v>0</v>
      </c>
      <c r="AA60">
        <f>MAX(0,ROUND(AY59*(1+'Calc base'!M60),2)-O60-'Calc base'!Y60)</f>
        <v>0</v>
      </c>
      <c r="AB60">
        <f>MAX(0,ROUND(AZ59*(1+'Calc base'!N60),2)-P60-'Calc base'!Z60)</f>
        <v>0</v>
      </c>
      <c r="AC60">
        <f>MAX(0,ROUND(BA59*(1+'Calc base'!O60),2)-Q60-'Calc base'!AA60)</f>
        <v>0</v>
      </c>
      <c r="AD60">
        <f>MAX(0,ROUND(BB59*(1+'Calc base'!P60),2)-R60-'Calc base'!AB60)</f>
        <v>0</v>
      </c>
      <c r="AE60">
        <f>MAX(0,ROUND(BC59*(1+'Calc base'!Q60),2)-S60-'Calc base'!AC60)</f>
        <v>0</v>
      </c>
      <c r="AF60">
        <f>MAX(0,ROUND(BD59*(1+'Calc base'!R60),2)-T60-'Calc base'!AD60)</f>
        <v>0</v>
      </c>
      <c r="AG60">
        <f>MAX(0,ROUND(BE59*(1+'Calc base'!S60),2)-U60-'Calc base'!AE60)</f>
        <v>0</v>
      </c>
      <c r="AH60">
        <f>IF('Calc base'!C$14=0,0,MIN(V60,MAX(0,$E60-SUMIFS($V60:$AG60,'Calc base'!$C$19:$N$19,"&lt;"&amp;'Calc base'!C$19,'Calc base'!$C$14:$N$14,1))))</f>
        <v>0</v>
      </c>
      <c r="AI60">
        <f>IF('Calc base'!D$14=0,0,MIN(W60,MAX(0,$E60-SUMIFS($V60:$AG60,'Calc base'!$C$19:$N$19,"&lt;"&amp;'Calc base'!D$19,'Calc base'!$C$14:$N$14,1))))</f>
        <v>0</v>
      </c>
      <c r="AJ60">
        <f>IF('Calc base'!E$14=0,0,MIN(X60,MAX(0,$E60-SUMIFS($V60:$AG60,'Calc base'!$C$19:$N$19,"&lt;"&amp;'Calc base'!E$19,'Calc base'!$C$14:$N$14,1))))</f>
        <v>0</v>
      </c>
      <c r="AK60">
        <f>IF('Calc base'!F$14=0,0,MIN(Y60,MAX(0,$E60-SUMIFS($V60:$AG60,'Calc base'!$C$19:$N$19,"&lt;"&amp;'Calc base'!F$19,'Calc base'!$C$14:$N$14,1))))</f>
        <v>0</v>
      </c>
      <c r="AL60">
        <f>IF('Calc base'!G$14=0,0,MIN(Z60,MAX(0,$E60-SUMIFS($V60:$AG60,'Calc base'!$C$19:$N$19,"&lt;"&amp;'Calc base'!G$19,'Calc base'!$C$14:$N$14,1))))</f>
        <v>0</v>
      </c>
      <c r="AM60">
        <f>IF('Calc base'!H$14=0,0,MIN(AA60,MAX(0,$E60-SUMIFS($V60:$AG60,'Calc base'!$C$19:$N$19,"&lt;"&amp;'Calc base'!H$19,'Calc base'!$C$14:$N$14,1))))</f>
        <v>0</v>
      </c>
      <c r="AN60">
        <f>IF('Calc base'!I$14=0,0,MIN(AB60,MAX(0,$E60-SUMIFS($V60:$AG60,'Calc base'!$C$19:$N$19,"&lt;"&amp;'Calc base'!I$19,'Calc base'!$C$14:$N$14,1))))</f>
        <v>0</v>
      </c>
      <c r="AO60">
        <f>IF('Calc base'!J$14=0,0,MIN(AC60,MAX(0,$E60-SUMIFS($V60:$AG60,'Calc base'!$C$19:$N$19,"&lt;"&amp;'Calc base'!J$19,'Calc base'!$C$14:$N$14,1))))</f>
        <v>0</v>
      </c>
      <c r="AP60">
        <f>IF('Calc base'!K$14=0,0,MIN(AD60,MAX(0,$E60-SUMIFS($V60:$AG60,'Calc base'!$C$19:$N$19,"&lt;"&amp;'Calc base'!K$19,'Calc base'!$C$14:$N$14,1))))</f>
        <v>0</v>
      </c>
      <c r="AQ60">
        <f>IF('Calc base'!L$14=0,0,MIN(AE60,MAX(0,$E60-SUMIFS($V60:$AG60,'Calc base'!$C$19:$N$19,"&lt;"&amp;'Calc base'!L$19,'Calc base'!$C$14:$N$14,1))))</f>
        <v>0</v>
      </c>
      <c r="AR60">
        <f>IF('Calc base'!M$14=0,0,MIN(AF60,MAX(0,$E60-SUMIFS($V60:$AG60,'Calc base'!$C$19:$N$19,"&lt;"&amp;'Calc base'!M$19,'Calc base'!$C$14:$N$14,1))))</f>
        <v>0</v>
      </c>
      <c r="AS60">
        <f>IF('Calc base'!N$14=0,0,MIN(AG60,MAX(0,$E60-SUMIFS($V60:$AG60,'Calc base'!$C$19:$N$19,"&lt;"&amp;'Calc base'!N$19,'Calc base'!$C$14:$N$14,1))))</f>
        <v>0</v>
      </c>
      <c r="AT60">
        <f>V60-AH60</f>
        <v>0</v>
      </c>
      <c r="AU60">
        <f>W60-AI60</f>
        <v>0</v>
      </c>
      <c r="AV60">
        <f>X60-AJ60</f>
        <v>0</v>
      </c>
      <c r="AW60">
        <f>Y60-AK60</f>
        <v>0</v>
      </c>
      <c r="AX60">
        <f>Z60-AL60</f>
        <v>0</v>
      </c>
      <c r="AY60">
        <f>AA60-AM60</f>
        <v>0</v>
      </c>
      <c r="AZ60">
        <f>AB60-AN60</f>
        <v>0</v>
      </c>
      <c r="BA60">
        <f>AC60-AO60</f>
        <v>0</v>
      </c>
      <c r="BB60">
        <f>AD60-AP60</f>
        <v>0</v>
      </c>
      <c r="BC60">
        <f>AE60-AQ60</f>
        <v>0</v>
      </c>
      <c r="BD60">
        <f>AF60-AR60</f>
        <v>0</v>
      </c>
      <c r="BE60">
        <f>AG60-AS60</f>
        <v>0</v>
      </c>
    </row>
    <row r="61">
      <c r="A61" t="n">
        <v>31</v>
      </c>
      <c r="B61">
        <f>SUMPRODUCT(ROUND($AT60:$BE60*(1+'Calc base'!$H61:$S61),2))</f>
        <v>0</v>
      </c>
      <c r="C61">
        <f>SUM(J61:U61)</f>
        <v>0</v>
      </c>
      <c r="D61">
        <f>SUM(V61:AG61)</f>
        <v>0</v>
      </c>
      <c r="E61">
        <f>MAX(0,IF(Impostazioni!$B$7="No",'Calc base'!$C61-$C$31,'Calc base'!$C61-C61)+'Calc base'!$G61+'Calc base'!$F61-(B61-C61-D61))</f>
        <v>900</v>
      </c>
      <c r="F61">
        <f>SUM(AH61:AS61)</f>
        <v>0</v>
      </c>
      <c r="G61">
        <f>SUM(AT61:BE61)</f>
        <v>0</v>
      </c>
      <c r="H61">
        <f>B61-G60</f>
        <v>0</v>
      </c>
      <c r="I61">
        <f>B61-G61</f>
        <v>0</v>
      </c>
      <c r="J61">
        <f>IF(AT60&lt;=0,0,IF(ROUND(AT60*(1+'Calc base'!H61),2)-MAX('Calc base'!C$12,ROUND('Calc base'!C$13*AT60,2))&lt;1,ROUND(AT60*(1+'Calc base'!H61),2),MAX('Calc base'!C$12,ROUND('Calc base'!C$13*AT60,2))))</f>
        <v>0</v>
      </c>
      <c r="K61">
        <f>IF(AU60&lt;=0,0,IF(ROUND(AU60*(1+'Calc base'!I61),2)-MAX('Calc base'!D$12,ROUND('Calc base'!D$13*AU60,2))&lt;1,ROUND(AU60*(1+'Calc base'!I61),2),MAX('Calc base'!D$12,ROUND('Calc base'!D$13*AU60,2))))</f>
        <v>0</v>
      </c>
      <c r="L61">
        <f>IF(AV60&lt;=0,0,IF(ROUND(AV60*(1+'Calc base'!J61),2)-MAX('Calc base'!E$12,ROUND('Calc base'!E$13*AV60,2))&lt;1,ROUND(AV60*(1+'Calc base'!J61),2),MAX('Calc base'!E$12,ROUND('Calc base'!E$13*AV60,2))))</f>
        <v>0</v>
      </c>
      <c r="M61">
        <f>IF(AW60&lt;=0,0,IF(ROUND(AW60*(1+'Calc base'!K61),2)-MAX('Calc base'!F$12,ROUND('Calc base'!F$13*AW60,2))&lt;1,ROUND(AW60*(1+'Calc base'!K61),2),MAX('Calc base'!F$12,ROUND('Calc base'!F$13*AW60,2))))</f>
        <v>0</v>
      </c>
      <c r="N61">
        <f>IF(AX60&lt;=0,0,IF(ROUND(AX60*(1+'Calc base'!L61),2)-MAX('Calc base'!G$12,ROUND('Calc base'!G$13*AX60,2))&lt;1,ROUND(AX60*(1+'Calc base'!L61),2),MAX('Calc base'!G$12,ROUND('Calc base'!G$13*AX60,2))))</f>
        <v>0</v>
      </c>
      <c r="O61">
        <f>IF(AY60&lt;=0,0,IF(ROUND(AY60*(1+'Calc base'!M61),2)-MAX('Calc base'!H$12,ROUND('Calc base'!H$13*AY60,2))&lt;1,ROUND(AY60*(1+'Calc base'!M61),2),MAX('Calc base'!H$12,ROUND('Calc base'!H$13*AY60,2))))</f>
        <v>0</v>
      </c>
      <c r="P61">
        <f>IF(AZ60&lt;=0,0,IF(ROUND(AZ60*(1+'Calc base'!N61),2)-MAX('Calc base'!I$12,ROUND('Calc base'!I$13*AZ60,2))&lt;1,ROUND(AZ60*(1+'Calc base'!N61),2),MAX('Calc base'!I$12,ROUND('Calc base'!I$13*AZ60,2))))</f>
        <v>0</v>
      </c>
      <c r="Q61">
        <f>IF(BA60&lt;=0,0,IF(ROUND(BA60*(1+'Calc base'!O61),2)-MAX('Calc base'!J$12,ROUND('Calc base'!J$13*BA60,2))&lt;1,ROUND(BA60*(1+'Calc base'!O61),2),MAX('Calc base'!J$12,ROUND('Calc base'!J$13*BA60,2))))</f>
        <v>0</v>
      </c>
      <c r="R61">
        <f>IF(BB60&lt;=0,0,IF(ROUND(BB60*(1+'Calc base'!P61),2)-MAX('Calc base'!K$12,ROUND('Calc base'!K$13*BB60,2))&lt;1,ROUND(BB60*(1+'Calc base'!P61),2),MAX('Calc base'!K$12,ROUND('Calc base'!K$13*BB60,2))))</f>
        <v>0</v>
      </c>
      <c r="S61">
        <f>IF(BC60&lt;=0,0,IF(ROUND(BC60*(1+'Calc base'!Q61),2)-MAX('Calc base'!L$12,ROUND('Calc base'!L$13*BC60,2))&lt;1,ROUND(BC60*(1+'Calc base'!Q61),2),MAX('Calc base'!L$12,ROUND('Calc base'!L$13*BC60,2))))</f>
        <v>0</v>
      </c>
      <c r="T61">
        <f>IF(BD60&lt;=0,0,IF(ROUND(BD60*(1+'Calc base'!R61),2)-MAX('Calc base'!M$12,ROUND('Calc base'!M$13*BD60,2))&lt;1,ROUND(BD60*(1+'Calc base'!R61),2),MAX('Calc base'!M$12,ROUND('Calc base'!M$13*BD60,2))))</f>
        <v>0</v>
      </c>
      <c r="U61">
        <f>IF(BE60&lt;=0,0,IF(ROUND(BE60*(1+'Calc base'!S61),2)-MAX('Calc base'!N$12,ROUND('Calc base'!N$13*BE60,2))&lt;1,ROUND(BE60*(1+'Calc base'!S61),2),MAX('Calc base'!N$12,ROUND('Calc base'!N$13*BE60,2))))</f>
        <v>0</v>
      </c>
      <c r="V61">
        <f>MAX(0,ROUND(AT60*(1+'Calc base'!H61),2)-J61-'Calc base'!T61)</f>
        <v>0</v>
      </c>
      <c r="W61">
        <f>MAX(0,ROUND(AU60*(1+'Calc base'!I61),2)-K61-'Calc base'!U61)</f>
        <v>0</v>
      </c>
      <c r="X61">
        <f>MAX(0,ROUND(AV60*(1+'Calc base'!J61),2)-L61-'Calc base'!V61)</f>
        <v>0</v>
      </c>
      <c r="Y61">
        <f>MAX(0,ROUND(AW60*(1+'Calc base'!K61),2)-M61-'Calc base'!W61)</f>
        <v>0</v>
      </c>
      <c r="Z61">
        <f>MAX(0,ROUND(AX60*(1+'Calc base'!L61),2)-N61-'Calc base'!X61)</f>
        <v>0</v>
      </c>
      <c r="AA61">
        <f>MAX(0,ROUND(AY60*(1+'Calc base'!M61),2)-O61-'Calc base'!Y61)</f>
        <v>0</v>
      </c>
      <c r="AB61">
        <f>MAX(0,ROUND(AZ60*(1+'Calc base'!N61),2)-P61-'Calc base'!Z61)</f>
        <v>0</v>
      </c>
      <c r="AC61">
        <f>MAX(0,ROUND(BA60*(1+'Calc base'!O61),2)-Q61-'Calc base'!AA61)</f>
        <v>0</v>
      </c>
      <c r="AD61">
        <f>MAX(0,ROUND(BB60*(1+'Calc base'!P61),2)-R61-'Calc base'!AB61)</f>
        <v>0</v>
      </c>
      <c r="AE61">
        <f>MAX(0,ROUND(BC60*(1+'Calc base'!Q61),2)-S61-'Calc base'!AC61)</f>
        <v>0</v>
      </c>
      <c r="AF61">
        <f>MAX(0,ROUND(BD60*(1+'Calc base'!R61),2)-T61-'Calc base'!AD61)</f>
        <v>0</v>
      </c>
      <c r="AG61">
        <f>MAX(0,ROUND(BE60*(1+'Calc base'!S61),2)-U61-'Calc base'!AE61)</f>
        <v>0</v>
      </c>
      <c r="AH61">
        <f>IF('Calc base'!C$14=0,0,MIN(V61,MAX(0,$E61-SUMIFS($V61:$AG61,'Calc base'!$C$19:$N$19,"&lt;"&amp;'Calc base'!C$19,'Calc base'!$C$14:$N$14,1))))</f>
        <v>0</v>
      </c>
      <c r="AI61">
        <f>IF('Calc base'!D$14=0,0,MIN(W61,MAX(0,$E61-SUMIFS($V61:$AG61,'Calc base'!$C$19:$N$19,"&lt;"&amp;'Calc base'!D$19,'Calc base'!$C$14:$N$14,1))))</f>
        <v>0</v>
      </c>
      <c r="AJ61">
        <f>IF('Calc base'!E$14=0,0,MIN(X61,MAX(0,$E61-SUMIFS($V61:$AG61,'Calc base'!$C$19:$N$19,"&lt;"&amp;'Calc base'!E$19,'Calc base'!$C$14:$N$14,1))))</f>
        <v>0</v>
      </c>
      <c r="AK61">
        <f>IF('Calc base'!F$14=0,0,MIN(Y61,MAX(0,$E61-SUMIFS($V61:$AG61,'Calc base'!$C$19:$N$19,"&lt;"&amp;'Calc base'!F$19,'Calc base'!$C$14:$N$14,1))))</f>
        <v>0</v>
      </c>
      <c r="AL61">
        <f>IF('Calc base'!G$14=0,0,MIN(Z61,MAX(0,$E61-SUMIFS($V61:$AG61,'Calc base'!$C$19:$N$19,"&lt;"&amp;'Calc base'!G$19,'Calc base'!$C$14:$N$14,1))))</f>
        <v>0</v>
      </c>
      <c r="AM61">
        <f>IF('Calc base'!H$14=0,0,MIN(AA61,MAX(0,$E61-SUMIFS($V61:$AG61,'Calc base'!$C$19:$N$19,"&lt;"&amp;'Calc base'!H$19,'Calc base'!$C$14:$N$14,1))))</f>
        <v>0</v>
      </c>
      <c r="AN61">
        <f>IF('Calc base'!I$14=0,0,MIN(AB61,MAX(0,$E61-SUMIFS($V61:$AG61,'Calc base'!$C$19:$N$19,"&lt;"&amp;'Calc base'!I$19,'Calc base'!$C$14:$N$14,1))))</f>
        <v>0</v>
      </c>
      <c r="AO61">
        <f>IF('Calc base'!J$14=0,0,MIN(AC61,MAX(0,$E61-SUMIFS($V61:$AG61,'Calc base'!$C$19:$N$19,"&lt;"&amp;'Calc base'!J$19,'Calc base'!$C$14:$N$14,1))))</f>
        <v>0</v>
      </c>
      <c r="AP61">
        <f>IF('Calc base'!K$14=0,0,MIN(AD61,MAX(0,$E61-SUMIFS($V61:$AG61,'Calc base'!$C$19:$N$19,"&lt;"&amp;'Calc base'!K$19,'Calc base'!$C$14:$N$14,1))))</f>
        <v>0</v>
      </c>
      <c r="AQ61">
        <f>IF('Calc base'!L$14=0,0,MIN(AE61,MAX(0,$E61-SUMIFS($V61:$AG61,'Calc base'!$C$19:$N$19,"&lt;"&amp;'Calc base'!L$19,'Calc base'!$C$14:$N$14,1))))</f>
        <v>0</v>
      </c>
      <c r="AR61">
        <f>IF('Calc base'!M$14=0,0,MIN(AF61,MAX(0,$E61-SUMIFS($V61:$AG61,'Calc base'!$C$19:$N$19,"&lt;"&amp;'Calc base'!M$19,'Calc base'!$C$14:$N$14,1))))</f>
        <v>0</v>
      </c>
      <c r="AS61">
        <f>IF('Calc base'!N$14=0,0,MIN(AG61,MAX(0,$E61-SUMIFS($V61:$AG61,'Calc base'!$C$19:$N$19,"&lt;"&amp;'Calc base'!N$19,'Calc base'!$C$14:$N$14,1))))</f>
        <v>0</v>
      </c>
      <c r="AT61">
        <f>V61-AH61</f>
        <v>0</v>
      </c>
      <c r="AU61">
        <f>W61-AI61</f>
        <v>0</v>
      </c>
      <c r="AV61">
        <f>X61-AJ61</f>
        <v>0</v>
      </c>
      <c r="AW61">
        <f>Y61-AK61</f>
        <v>0</v>
      </c>
      <c r="AX61">
        <f>Z61-AL61</f>
        <v>0</v>
      </c>
      <c r="AY61">
        <f>AA61-AM61</f>
        <v>0</v>
      </c>
      <c r="AZ61">
        <f>AB61-AN61</f>
        <v>0</v>
      </c>
      <c r="BA61">
        <f>AC61-AO61</f>
        <v>0</v>
      </c>
      <c r="BB61">
        <f>AD61-AP61</f>
        <v>0</v>
      </c>
      <c r="BC61">
        <f>AE61-AQ61</f>
        <v>0</v>
      </c>
      <c r="BD61">
        <f>AF61-AR61</f>
        <v>0</v>
      </c>
      <c r="BE61">
        <f>AG61-AS61</f>
        <v>0</v>
      </c>
    </row>
    <row r="62">
      <c r="A62" t="n">
        <v>32</v>
      </c>
      <c r="B62">
        <f>SUMPRODUCT(ROUND($AT61:$BE61*(1+'Calc base'!$H62:$S62),2))</f>
        <v>0</v>
      </c>
      <c r="C62">
        <f>SUM(J62:U62)</f>
        <v>0</v>
      </c>
      <c r="D62">
        <f>SUM(V62:AG62)</f>
        <v>0</v>
      </c>
      <c r="E62">
        <f>MAX(0,IF(Impostazioni!$B$7="No",'Calc base'!$C62-$C$31,'Calc base'!$C62-C62)+'Calc base'!$G62+'Calc base'!$F62-(B62-C62-D62))</f>
        <v>900</v>
      </c>
      <c r="F62">
        <f>SUM(AH62:AS62)</f>
        <v>0</v>
      </c>
      <c r="G62">
        <f>SUM(AT62:BE62)</f>
        <v>0</v>
      </c>
      <c r="H62">
        <f>B62-G61</f>
        <v>0</v>
      </c>
      <c r="I62">
        <f>B62-G62</f>
        <v>0</v>
      </c>
      <c r="J62">
        <f>IF(AT61&lt;=0,0,IF(ROUND(AT61*(1+'Calc base'!H62),2)-MAX('Calc base'!C$12,ROUND('Calc base'!C$13*AT61,2))&lt;1,ROUND(AT61*(1+'Calc base'!H62),2),MAX('Calc base'!C$12,ROUND('Calc base'!C$13*AT61,2))))</f>
        <v>0</v>
      </c>
      <c r="K62">
        <f>IF(AU61&lt;=0,0,IF(ROUND(AU61*(1+'Calc base'!I62),2)-MAX('Calc base'!D$12,ROUND('Calc base'!D$13*AU61,2))&lt;1,ROUND(AU61*(1+'Calc base'!I62),2),MAX('Calc base'!D$12,ROUND('Calc base'!D$13*AU61,2))))</f>
        <v>0</v>
      </c>
      <c r="L62">
        <f>IF(AV61&lt;=0,0,IF(ROUND(AV61*(1+'Calc base'!J62),2)-MAX('Calc base'!E$12,ROUND('Calc base'!E$13*AV61,2))&lt;1,ROUND(AV61*(1+'Calc base'!J62),2),MAX('Calc base'!E$12,ROUND('Calc base'!E$13*AV61,2))))</f>
        <v>0</v>
      </c>
      <c r="M62">
        <f>IF(AW61&lt;=0,0,IF(ROUND(AW61*(1+'Calc base'!K62),2)-MAX('Calc base'!F$12,ROUND('Calc base'!F$13*AW61,2))&lt;1,ROUND(AW61*(1+'Calc base'!K62),2),MAX('Calc base'!F$12,ROUND('Calc base'!F$13*AW61,2))))</f>
        <v>0</v>
      </c>
      <c r="N62">
        <f>IF(AX61&lt;=0,0,IF(ROUND(AX61*(1+'Calc base'!L62),2)-MAX('Calc base'!G$12,ROUND('Calc base'!G$13*AX61,2))&lt;1,ROUND(AX61*(1+'Calc base'!L62),2),MAX('Calc base'!G$12,ROUND('Calc base'!G$13*AX61,2))))</f>
        <v>0</v>
      </c>
      <c r="O62">
        <f>IF(AY61&lt;=0,0,IF(ROUND(AY61*(1+'Calc base'!M62),2)-MAX('Calc base'!H$12,ROUND('Calc base'!H$13*AY61,2))&lt;1,ROUND(AY61*(1+'Calc base'!M62),2),MAX('Calc base'!H$12,ROUND('Calc base'!H$13*AY61,2))))</f>
        <v>0</v>
      </c>
      <c r="P62">
        <f>IF(AZ61&lt;=0,0,IF(ROUND(AZ61*(1+'Calc base'!N62),2)-MAX('Calc base'!I$12,ROUND('Calc base'!I$13*AZ61,2))&lt;1,ROUND(AZ61*(1+'Calc base'!N62),2),MAX('Calc base'!I$12,ROUND('Calc base'!I$13*AZ61,2))))</f>
        <v>0</v>
      </c>
      <c r="Q62">
        <f>IF(BA61&lt;=0,0,IF(ROUND(BA61*(1+'Calc base'!O62),2)-MAX('Calc base'!J$12,ROUND('Calc base'!J$13*BA61,2))&lt;1,ROUND(BA61*(1+'Calc base'!O62),2),MAX('Calc base'!J$12,ROUND('Calc base'!J$13*BA61,2))))</f>
        <v>0</v>
      </c>
      <c r="R62">
        <f>IF(BB61&lt;=0,0,IF(ROUND(BB61*(1+'Calc base'!P62),2)-MAX('Calc base'!K$12,ROUND('Calc base'!K$13*BB61,2))&lt;1,ROUND(BB61*(1+'Calc base'!P62),2),MAX('Calc base'!K$12,ROUND('Calc base'!K$13*BB61,2))))</f>
        <v>0</v>
      </c>
      <c r="S62">
        <f>IF(BC61&lt;=0,0,IF(ROUND(BC61*(1+'Calc base'!Q62),2)-MAX('Calc base'!L$12,ROUND('Calc base'!L$13*BC61,2))&lt;1,ROUND(BC61*(1+'Calc base'!Q62),2),MAX('Calc base'!L$12,ROUND('Calc base'!L$13*BC61,2))))</f>
        <v>0</v>
      </c>
      <c r="T62">
        <f>IF(BD61&lt;=0,0,IF(ROUND(BD61*(1+'Calc base'!R62),2)-MAX('Calc base'!M$12,ROUND('Calc base'!M$13*BD61,2))&lt;1,ROUND(BD61*(1+'Calc base'!R62),2),MAX('Calc base'!M$12,ROUND('Calc base'!M$13*BD61,2))))</f>
        <v>0</v>
      </c>
      <c r="U62">
        <f>IF(BE61&lt;=0,0,IF(ROUND(BE61*(1+'Calc base'!S62),2)-MAX('Calc base'!N$12,ROUND('Calc base'!N$13*BE61,2))&lt;1,ROUND(BE61*(1+'Calc base'!S62),2),MAX('Calc base'!N$12,ROUND('Calc base'!N$13*BE61,2))))</f>
        <v>0</v>
      </c>
      <c r="V62">
        <f>MAX(0,ROUND(AT61*(1+'Calc base'!H62),2)-J62-'Calc base'!T62)</f>
        <v>0</v>
      </c>
      <c r="W62">
        <f>MAX(0,ROUND(AU61*(1+'Calc base'!I62),2)-K62-'Calc base'!U62)</f>
        <v>0</v>
      </c>
      <c r="X62">
        <f>MAX(0,ROUND(AV61*(1+'Calc base'!J62),2)-L62-'Calc base'!V62)</f>
        <v>0</v>
      </c>
      <c r="Y62">
        <f>MAX(0,ROUND(AW61*(1+'Calc base'!K62),2)-M62-'Calc base'!W62)</f>
        <v>0</v>
      </c>
      <c r="Z62">
        <f>MAX(0,ROUND(AX61*(1+'Calc base'!L62),2)-N62-'Calc base'!X62)</f>
        <v>0</v>
      </c>
      <c r="AA62">
        <f>MAX(0,ROUND(AY61*(1+'Calc base'!M62),2)-O62-'Calc base'!Y62)</f>
        <v>0</v>
      </c>
      <c r="AB62">
        <f>MAX(0,ROUND(AZ61*(1+'Calc base'!N62),2)-P62-'Calc base'!Z62)</f>
        <v>0</v>
      </c>
      <c r="AC62">
        <f>MAX(0,ROUND(BA61*(1+'Calc base'!O62),2)-Q62-'Calc base'!AA62)</f>
        <v>0</v>
      </c>
      <c r="AD62">
        <f>MAX(0,ROUND(BB61*(1+'Calc base'!P62),2)-R62-'Calc base'!AB62)</f>
        <v>0</v>
      </c>
      <c r="AE62">
        <f>MAX(0,ROUND(BC61*(1+'Calc base'!Q62),2)-S62-'Calc base'!AC62)</f>
        <v>0</v>
      </c>
      <c r="AF62">
        <f>MAX(0,ROUND(BD61*(1+'Calc base'!R62),2)-T62-'Calc base'!AD62)</f>
        <v>0</v>
      </c>
      <c r="AG62">
        <f>MAX(0,ROUND(BE61*(1+'Calc base'!S62),2)-U62-'Calc base'!AE62)</f>
        <v>0</v>
      </c>
      <c r="AH62">
        <f>IF('Calc base'!C$14=0,0,MIN(V62,MAX(0,$E62-SUMIFS($V62:$AG62,'Calc base'!$C$19:$N$19,"&lt;"&amp;'Calc base'!C$19,'Calc base'!$C$14:$N$14,1))))</f>
        <v>0</v>
      </c>
      <c r="AI62">
        <f>IF('Calc base'!D$14=0,0,MIN(W62,MAX(0,$E62-SUMIFS($V62:$AG62,'Calc base'!$C$19:$N$19,"&lt;"&amp;'Calc base'!D$19,'Calc base'!$C$14:$N$14,1))))</f>
        <v>0</v>
      </c>
      <c r="AJ62">
        <f>IF('Calc base'!E$14=0,0,MIN(X62,MAX(0,$E62-SUMIFS($V62:$AG62,'Calc base'!$C$19:$N$19,"&lt;"&amp;'Calc base'!E$19,'Calc base'!$C$14:$N$14,1))))</f>
        <v>0</v>
      </c>
      <c r="AK62">
        <f>IF('Calc base'!F$14=0,0,MIN(Y62,MAX(0,$E62-SUMIFS($V62:$AG62,'Calc base'!$C$19:$N$19,"&lt;"&amp;'Calc base'!F$19,'Calc base'!$C$14:$N$14,1))))</f>
        <v>0</v>
      </c>
      <c r="AL62">
        <f>IF('Calc base'!G$14=0,0,MIN(Z62,MAX(0,$E62-SUMIFS($V62:$AG62,'Calc base'!$C$19:$N$19,"&lt;"&amp;'Calc base'!G$19,'Calc base'!$C$14:$N$14,1))))</f>
        <v>0</v>
      </c>
      <c r="AM62">
        <f>IF('Calc base'!H$14=0,0,MIN(AA62,MAX(0,$E62-SUMIFS($V62:$AG62,'Calc base'!$C$19:$N$19,"&lt;"&amp;'Calc base'!H$19,'Calc base'!$C$14:$N$14,1))))</f>
        <v>0</v>
      </c>
      <c r="AN62">
        <f>IF('Calc base'!I$14=0,0,MIN(AB62,MAX(0,$E62-SUMIFS($V62:$AG62,'Calc base'!$C$19:$N$19,"&lt;"&amp;'Calc base'!I$19,'Calc base'!$C$14:$N$14,1))))</f>
        <v>0</v>
      </c>
      <c r="AO62">
        <f>IF('Calc base'!J$14=0,0,MIN(AC62,MAX(0,$E62-SUMIFS($V62:$AG62,'Calc base'!$C$19:$N$19,"&lt;"&amp;'Calc base'!J$19,'Calc base'!$C$14:$N$14,1))))</f>
        <v>0</v>
      </c>
      <c r="AP62">
        <f>IF('Calc base'!K$14=0,0,MIN(AD62,MAX(0,$E62-SUMIFS($V62:$AG62,'Calc base'!$C$19:$N$19,"&lt;"&amp;'Calc base'!K$19,'Calc base'!$C$14:$N$14,1))))</f>
        <v>0</v>
      </c>
      <c r="AQ62">
        <f>IF('Calc base'!L$14=0,0,MIN(AE62,MAX(0,$E62-SUMIFS($V62:$AG62,'Calc base'!$C$19:$N$19,"&lt;"&amp;'Calc base'!L$19,'Calc base'!$C$14:$N$14,1))))</f>
        <v>0</v>
      </c>
      <c r="AR62">
        <f>IF('Calc base'!M$14=0,0,MIN(AF62,MAX(0,$E62-SUMIFS($V62:$AG62,'Calc base'!$C$19:$N$19,"&lt;"&amp;'Calc base'!M$19,'Calc base'!$C$14:$N$14,1))))</f>
        <v>0</v>
      </c>
      <c r="AS62">
        <f>IF('Calc base'!N$14=0,0,MIN(AG62,MAX(0,$E62-SUMIFS($V62:$AG62,'Calc base'!$C$19:$N$19,"&lt;"&amp;'Calc base'!N$19,'Calc base'!$C$14:$N$14,1))))</f>
        <v>0</v>
      </c>
      <c r="AT62">
        <f>V62-AH62</f>
        <v>0</v>
      </c>
      <c r="AU62">
        <f>W62-AI62</f>
        <v>0</v>
      </c>
      <c r="AV62">
        <f>X62-AJ62</f>
        <v>0</v>
      </c>
      <c r="AW62">
        <f>Y62-AK62</f>
        <v>0</v>
      </c>
      <c r="AX62">
        <f>Z62-AL62</f>
        <v>0</v>
      </c>
      <c r="AY62">
        <f>AA62-AM62</f>
        <v>0</v>
      </c>
      <c r="AZ62">
        <f>AB62-AN62</f>
        <v>0</v>
      </c>
      <c r="BA62">
        <f>AC62-AO62</f>
        <v>0</v>
      </c>
      <c r="BB62">
        <f>AD62-AP62</f>
        <v>0</v>
      </c>
      <c r="BC62">
        <f>AE62-AQ62</f>
        <v>0</v>
      </c>
      <c r="BD62">
        <f>AF62-AR62</f>
        <v>0</v>
      </c>
      <c r="BE62">
        <f>AG62-AS62</f>
        <v>0</v>
      </c>
    </row>
    <row r="63">
      <c r="A63" t="n">
        <v>33</v>
      </c>
      <c r="B63">
        <f>SUMPRODUCT(ROUND($AT62:$BE62*(1+'Calc base'!$H63:$S63),2))</f>
        <v>0</v>
      </c>
      <c r="C63">
        <f>SUM(J63:U63)</f>
        <v>0</v>
      </c>
      <c r="D63">
        <f>SUM(V63:AG63)</f>
        <v>0</v>
      </c>
      <c r="E63">
        <f>MAX(0,IF(Impostazioni!$B$7="No",'Calc base'!$C63-$C$31,'Calc base'!$C63-C63)+'Calc base'!$G63+'Calc base'!$F63-(B63-C63-D63))</f>
        <v>900</v>
      </c>
      <c r="F63">
        <f>SUM(AH63:AS63)</f>
        <v>0</v>
      </c>
      <c r="G63">
        <f>SUM(AT63:BE63)</f>
        <v>0</v>
      </c>
      <c r="H63">
        <f>B63-G62</f>
        <v>0</v>
      </c>
      <c r="I63">
        <f>B63-G63</f>
        <v>0</v>
      </c>
      <c r="J63">
        <f>IF(AT62&lt;=0,0,IF(ROUND(AT62*(1+'Calc base'!H63),2)-MAX('Calc base'!C$12,ROUND('Calc base'!C$13*AT62,2))&lt;1,ROUND(AT62*(1+'Calc base'!H63),2),MAX('Calc base'!C$12,ROUND('Calc base'!C$13*AT62,2))))</f>
        <v>0</v>
      </c>
      <c r="K63">
        <f>IF(AU62&lt;=0,0,IF(ROUND(AU62*(1+'Calc base'!I63),2)-MAX('Calc base'!D$12,ROUND('Calc base'!D$13*AU62,2))&lt;1,ROUND(AU62*(1+'Calc base'!I63),2),MAX('Calc base'!D$12,ROUND('Calc base'!D$13*AU62,2))))</f>
        <v>0</v>
      </c>
      <c r="L63">
        <f>IF(AV62&lt;=0,0,IF(ROUND(AV62*(1+'Calc base'!J63),2)-MAX('Calc base'!E$12,ROUND('Calc base'!E$13*AV62,2))&lt;1,ROUND(AV62*(1+'Calc base'!J63),2),MAX('Calc base'!E$12,ROUND('Calc base'!E$13*AV62,2))))</f>
        <v>0</v>
      </c>
      <c r="M63">
        <f>IF(AW62&lt;=0,0,IF(ROUND(AW62*(1+'Calc base'!K63),2)-MAX('Calc base'!F$12,ROUND('Calc base'!F$13*AW62,2))&lt;1,ROUND(AW62*(1+'Calc base'!K63),2),MAX('Calc base'!F$12,ROUND('Calc base'!F$13*AW62,2))))</f>
        <v>0</v>
      </c>
      <c r="N63">
        <f>IF(AX62&lt;=0,0,IF(ROUND(AX62*(1+'Calc base'!L63),2)-MAX('Calc base'!G$12,ROUND('Calc base'!G$13*AX62,2))&lt;1,ROUND(AX62*(1+'Calc base'!L63),2),MAX('Calc base'!G$12,ROUND('Calc base'!G$13*AX62,2))))</f>
        <v>0</v>
      </c>
      <c r="O63">
        <f>IF(AY62&lt;=0,0,IF(ROUND(AY62*(1+'Calc base'!M63),2)-MAX('Calc base'!H$12,ROUND('Calc base'!H$13*AY62,2))&lt;1,ROUND(AY62*(1+'Calc base'!M63),2),MAX('Calc base'!H$12,ROUND('Calc base'!H$13*AY62,2))))</f>
        <v>0</v>
      </c>
      <c r="P63">
        <f>IF(AZ62&lt;=0,0,IF(ROUND(AZ62*(1+'Calc base'!N63),2)-MAX('Calc base'!I$12,ROUND('Calc base'!I$13*AZ62,2))&lt;1,ROUND(AZ62*(1+'Calc base'!N63),2),MAX('Calc base'!I$12,ROUND('Calc base'!I$13*AZ62,2))))</f>
        <v>0</v>
      </c>
      <c r="Q63">
        <f>IF(BA62&lt;=0,0,IF(ROUND(BA62*(1+'Calc base'!O63),2)-MAX('Calc base'!J$12,ROUND('Calc base'!J$13*BA62,2))&lt;1,ROUND(BA62*(1+'Calc base'!O63),2),MAX('Calc base'!J$12,ROUND('Calc base'!J$13*BA62,2))))</f>
        <v>0</v>
      </c>
      <c r="R63">
        <f>IF(BB62&lt;=0,0,IF(ROUND(BB62*(1+'Calc base'!P63),2)-MAX('Calc base'!K$12,ROUND('Calc base'!K$13*BB62,2))&lt;1,ROUND(BB62*(1+'Calc base'!P63),2),MAX('Calc base'!K$12,ROUND('Calc base'!K$13*BB62,2))))</f>
        <v>0</v>
      </c>
      <c r="S63">
        <f>IF(BC62&lt;=0,0,IF(ROUND(BC62*(1+'Calc base'!Q63),2)-MAX('Calc base'!L$12,ROUND('Calc base'!L$13*BC62,2))&lt;1,ROUND(BC62*(1+'Calc base'!Q63),2),MAX('Calc base'!L$12,ROUND('Calc base'!L$13*BC62,2))))</f>
        <v>0</v>
      </c>
      <c r="T63">
        <f>IF(BD62&lt;=0,0,IF(ROUND(BD62*(1+'Calc base'!R63),2)-MAX('Calc base'!M$12,ROUND('Calc base'!M$13*BD62,2))&lt;1,ROUND(BD62*(1+'Calc base'!R63),2),MAX('Calc base'!M$12,ROUND('Calc base'!M$13*BD62,2))))</f>
        <v>0</v>
      </c>
      <c r="U63">
        <f>IF(BE62&lt;=0,0,IF(ROUND(BE62*(1+'Calc base'!S63),2)-MAX('Calc base'!N$12,ROUND('Calc base'!N$13*BE62,2))&lt;1,ROUND(BE62*(1+'Calc base'!S63),2),MAX('Calc base'!N$12,ROUND('Calc base'!N$13*BE62,2))))</f>
        <v>0</v>
      </c>
      <c r="V63">
        <f>MAX(0,ROUND(AT62*(1+'Calc base'!H63),2)-J63-'Calc base'!T63)</f>
        <v>0</v>
      </c>
      <c r="W63">
        <f>MAX(0,ROUND(AU62*(1+'Calc base'!I63),2)-K63-'Calc base'!U63)</f>
        <v>0</v>
      </c>
      <c r="X63">
        <f>MAX(0,ROUND(AV62*(1+'Calc base'!J63),2)-L63-'Calc base'!V63)</f>
        <v>0</v>
      </c>
      <c r="Y63">
        <f>MAX(0,ROUND(AW62*(1+'Calc base'!K63),2)-M63-'Calc base'!W63)</f>
        <v>0</v>
      </c>
      <c r="Z63">
        <f>MAX(0,ROUND(AX62*(1+'Calc base'!L63),2)-N63-'Calc base'!X63)</f>
        <v>0</v>
      </c>
      <c r="AA63">
        <f>MAX(0,ROUND(AY62*(1+'Calc base'!M63),2)-O63-'Calc base'!Y63)</f>
        <v>0</v>
      </c>
      <c r="AB63">
        <f>MAX(0,ROUND(AZ62*(1+'Calc base'!N63),2)-P63-'Calc base'!Z63)</f>
        <v>0</v>
      </c>
      <c r="AC63">
        <f>MAX(0,ROUND(BA62*(1+'Calc base'!O63),2)-Q63-'Calc base'!AA63)</f>
        <v>0</v>
      </c>
      <c r="AD63">
        <f>MAX(0,ROUND(BB62*(1+'Calc base'!P63),2)-R63-'Calc base'!AB63)</f>
        <v>0</v>
      </c>
      <c r="AE63">
        <f>MAX(0,ROUND(BC62*(1+'Calc base'!Q63),2)-S63-'Calc base'!AC63)</f>
        <v>0</v>
      </c>
      <c r="AF63">
        <f>MAX(0,ROUND(BD62*(1+'Calc base'!R63),2)-T63-'Calc base'!AD63)</f>
        <v>0</v>
      </c>
      <c r="AG63">
        <f>MAX(0,ROUND(BE62*(1+'Calc base'!S63),2)-U63-'Calc base'!AE63)</f>
        <v>0</v>
      </c>
      <c r="AH63">
        <f>IF('Calc base'!C$14=0,0,MIN(V63,MAX(0,$E63-SUMIFS($V63:$AG63,'Calc base'!$C$19:$N$19,"&lt;"&amp;'Calc base'!C$19,'Calc base'!$C$14:$N$14,1))))</f>
        <v>0</v>
      </c>
      <c r="AI63">
        <f>IF('Calc base'!D$14=0,0,MIN(W63,MAX(0,$E63-SUMIFS($V63:$AG63,'Calc base'!$C$19:$N$19,"&lt;"&amp;'Calc base'!D$19,'Calc base'!$C$14:$N$14,1))))</f>
        <v>0</v>
      </c>
      <c r="AJ63">
        <f>IF('Calc base'!E$14=0,0,MIN(X63,MAX(0,$E63-SUMIFS($V63:$AG63,'Calc base'!$C$19:$N$19,"&lt;"&amp;'Calc base'!E$19,'Calc base'!$C$14:$N$14,1))))</f>
        <v>0</v>
      </c>
      <c r="AK63">
        <f>IF('Calc base'!F$14=0,0,MIN(Y63,MAX(0,$E63-SUMIFS($V63:$AG63,'Calc base'!$C$19:$N$19,"&lt;"&amp;'Calc base'!F$19,'Calc base'!$C$14:$N$14,1))))</f>
        <v>0</v>
      </c>
      <c r="AL63">
        <f>IF('Calc base'!G$14=0,0,MIN(Z63,MAX(0,$E63-SUMIFS($V63:$AG63,'Calc base'!$C$19:$N$19,"&lt;"&amp;'Calc base'!G$19,'Calc base'!$C$14:$N$14,1))))</f>
        <v>0</v>
      </c>
      <c r="AM63">
        <f>IF('Calc base'!H$14=0,0,MIN(AA63,MAX(0,$E63-SUMIFS($V63:$AG63,'Calc base'!$C$19:$N$19,"&lt;"&amp;'Calc base'!H$19,'Calc base'!$C$14:$N$14,1))))</f>
        <v>0</v>
      </c>
      <c r="AN63">
        <f>IF('Calc base'!I$14=0,0,MIN(AB63,MAX(0,$E63-SUMIFS($V63:$AG63,'Calc base'!$C$19:$N$19,"&lt;"&amp;'Calc base'!I$19,'Calc base'!$C$14:$N$14,1))))</f>
        <v>0</v>
      </c>
      <c r="AO63">
        <f>IF('Calc base'!J$14=0,0,MIN(AC63,MAX(0,$E63-SUMIFS($V63:$AG63,'Calc base'!$C$19:$N$19,"&lt;"&amp;'Calc base'!J$19,'Calc base'!$C$14:$N$14,1))))</f>
        <v>0</v>
      </c>
      <c r="AP63">
        <f>IF('Calc base'!K$14=0,0,MIN(AD63,MAX(0,$E63-SUMIFS($V63:$AG63,'Calc base'!$C$19:$N$19,"&lt;"&amp;'Calc base'!K$19,'Calc base'!$C$14:$N$14,1))))</f>
        <v>0</v>
      </c>
      <c r="AQ63">
        <f>IF('Calc base'!L$14=0,0,MIN(AE63,MAX(0,$E63-SUMIFS($V63:$AG63,'Calc base'!$C$19:$N$19,"&lt;"&amp;'Calc base'!L$19,'Calc base'!$C$14:$N$14,1))))</f>
        <v>0</v>
      </c>
      <c r="AR63">
        <f>IF('Calc base'!M$14=0,0,MIN(AF63,MAX(0,$E63-SUMIFS($V63:$AG63,'Calc base'!$C$19:$N$19,"&lt;"&amp;'Calc base'!M$19,'Calc base'!$C$14:$N$14,1))))</f>
        <v>0</v>
      </c>
      <c r="AS63">
        <f>IF('Calc base'!N$14=0,0,MIN(AG63,MAX(0,$E63-SUMIFS($V63:$AG63,'Calc base'!$C$19:$N$19,"&lt;"&amp;'Calc base'!N$19,'Calc base'!$C$14:$N$14,1))))</f>
        <v>0</v>
      </c>
      <c r="AT63">
        <f>V63-AH63</f>
        <v>0</v>
      </c>
      <c r="AU63">
        <f>W63-AI63</f>
        <v>0</v>
      </c>
      <c r="AV63">
        <f>X63-AJ63</f>
        <v>0</v>
      </c>
      <c r="AW63">
        <f>Y63-AK63</f>
        <v>0</v>
      </c>
      <c r="AX63">
        <f>Z63-AL63</f>
        <v>0</v>
      </c>
      <c r="AY63">
        <f>AA63-AM63</f>
        <v>0</v>
      </c>
      <c r="AZ63">
        <f>AB63-AN63</f>
        <v>0</v>
      </c>
      <c r="BA63">
        <f>AC63-AO63</f>
        <v>0</v>
      </c>
      <c r="BB63">
        <f>AD63-AP63</f>
        <v>0</v>
      </c>
      <c r="BC63">
        <f>AE63-AQ63</f>
        <v>0</v>
      </c>
      <c r="BD63">
        <f>AF63-AR63</f>
        <v>0</v>
      </c>
      <c r="BE63">
        <f>AG63-AS63</f>
        <v>0</v>
      </c>
    </row>
    <row r="64">
      <c r="A64" t="n">
        <v>34</v>
      </c>
      <c r="B64">
        <f>SUMPRODUCT(ROUND($AT63:$BE63*(1+'Calc base'!$H64:$S64),2))</f>
        <v>0</v>
      </c>
      <c r="C64">
        <f>SUM(J64:U64)</f>
        <v>0</v>
      </c>
      <c r="D64">
        <f>SUM(V64:AG64)</f>
        <v>0</v>
      </c>
      <c r="E64">
        <f>MAX(0,IF(Impostazioni!$B$7="No",'Calc base'!$C64-$C$31,'Calc base'!$C64-C64)+'Calc base'!$G64+'Calc base'!$F64-(B64-C64-D64))</f>
        <v>900</v>
      </c>
      <c r="F64">
        <f>SUM(AH64:AS64)</f>
        <v>0</v>
      </c>
      <c r="G64">
        <f>SUM(AT64:BE64)</f>
        <v>0</v>
      </c>
      <c r="H64">
        <f>B64-G63</f>
        <v>0</v>
      </c>
      <c r="I64">
        <f>B64-G64</f>
        <v>0</v>
      </c>
      <c r="J64">
        <f>IF(AT63&lt;=0,0,IF(ROUND(AT63*(1+'Calc base'!H64),2)-MAX('Calc base'!C$12,ROUND('Calc base'!C$13*AT63,2))&lt;1,ROUND(AT63*(1+'Calc base'!H64),2),MAX('Calc base'!C$12,ROUND('Calc base'!C$13*AT63,2))))</f>
        <v>0</v>
      </c>
      <c r="K64">
        <f>IF(AU63&lt;=0,0,IF(ROUND(AU63*(1+'Calc base'!I64),2)-MAX('Calc base'!D$12,ROUND('Calc base'!D$13*AU63,2))&lt;1,ROUND(AU63*(1+'Calc base'!I64),2),MAX('Calc base'!D$12,ROUND('Calc base'!D$13*AU63,2))))</f>
        <v>0</v>
      </c>
      <c r="L64">
        <f>IF(AV63&lt;=0,0,IF(ROUND(AV63*(1+'Calc base'!J64),2)-MAX('Calc base'!E$12,ROUND('Calc base'!E$13*AV63,2))&lt;1,ROUND(AV63*(1+'Calc base'!J64),2),MAX('Calc base'!E$12,ROUND('Calc base'!E$13*AV63,2))))</f>
        <v>0</v>
      </c>
      <c r="M64">
        <f>IF(AW63&lt;=0,0,IF(ROUND(AW63*(1+'Calc base'!K64),2)-MAX('Calc base'!F$12,ROUND('Calc base'!F$13*AW63,2))&lt;1,ROUND(AW63*(1+'Calc base'!K64),2),MAX('Calc base'!F$12,ROUND('Calc base'!F$13*AW63,2))))</f>
        <v>0</v>
      </c>
      <c r="N64">
        <f>IF(AX63&lt;=0,0,IF(ROUND(AX63*(1+'Calc base'!L64),2)-MAX('Calc base'!G$12,ROUND('Calc base'!G$13*AX63,2))&lt;1,ROUND(AX63*(1+'Calc base'!L64),2),MAX('Calc base'!G$12,ROUND('Calc base'!G$13*AX63,2))))</f>
        <v>0</v>
      </c>
      <c r="O64">
        <f>IF(AY63&lt;=0,0,IF(ROUND(AY63*(1+'Calc base'!M64),2)-MAX('Calc base'!H$12,ROUND('Calc base'!H$13*AY63,2))&lt;1,ROUND(AY63*(1+'Calc base'!M64),2),MAX('Calc base'!H$12,ROUND('Calc base'!H$13*AY63,2))))</f>
        <v>0</v>
      </c>
      <c r="P64">
        <f>IF(AZ63&lt;=0,0,IF(ROUND(AZ63*(1+'Calc base'!N64),2)-MAX('Calc base'!I$12,ROUND('Calc base'!I$13*AZ63,2))&lt;1,ROUND(AZ63*(1+'Calc base'!N64),2),MAX('Calc base'!I$12,ROUND('Calc base'!I$13*AZ63,2))))</f>
        <v>0</v>
      </c>
      <c r="Q64">
        <f>IF(BA63&lt;=0,0,IF(ROUND(BA63*(1+'Calc base'!O64),2)-MAX('Calc base'!J$12,ROUND('Calc base'!J$13*BA63,2))&lt;1,ROUND(BA63*(1+'Calc base'!O64),2),MAX('Calc base'!J$12,ROUND('Calc base'!J$13*BA63,2))))</f>
        <v>0</v>
      </c>
      <c r="R64">
        <f>IF(BB63&lt;=0,0,IF(ROUND(BB63*(1+'Calc base'!P64),2)-MAX('Calc base'!K$12,ROUND('Calc base'!K$13*BB63,2))&lt;1,ROUND(BB63*(1+'Calc base'!P64),2),MAX('Calc base'!K$12,ROUND('Calc base'!K$13*BB63,2))))</f>
        <v>0</v>
      </c>
      <c r="S64">
        <f>IF(BC63&lt;=0,0,IF(ROUND(BC63*(1+'Calc base'!Q64),2)-MAX('Calc base'!L$12,ROUND('Calc base'!L$13*BC63,2))&lt;1,ROUND(BC63*(1+'Calc base'!Q64),2),MAX('Calc base'!L$12,ROUND('Calc base'!L$13*BC63,2))))</f>
        <v>0</v>
      </c>
      <c r="T64">
        <f>IF(BD63&lt;=0,0,IF(ROUND(BD63*(1+'Calc base'!R64),2)-MAX('Calc base'!M$12,ROUND('Calc base'!M$13*BD63,2))&lt;1,ROUND(BD63*(1+'Calc base'!R64),2),MAX('Calc base'!M$12,ROUND('Calc base'!M$13*BD63,2))))</f>
        <v>0</v>
      </c>
      <c r="U64">
        <f>IF(BE63&lt;=0,0,IF(ROUND(BE63*(1+'Calc base'!S64),2)-MAX('Calc base'!N$12,ROUND('Calc base'!N$13*BE63,2))&lt;1,ROUND(BE63*(1+'Calc base'!S64),2),MAX('Calc base'!N$12,ROUND('Calc base'!N$13*BE63,2))))</f>
        <v>0</v>
      </c>
      <c r="V64">
        <f>MAX(0,ROUND(AT63*(1+'Calc base'!H64),2)-J64-'Calc base'!T64)</f>
        <v>0</v>
      </c>
      <c r="W64">
        <f>MAX(0,ROUND(AU63*(1+'Calc base'!I64),2)-K64-'Calc base'!U64)</f>
        <v>0</v>
      </c>
      <c r="X64">
        <f>MAX(0,ROUND(AV63*(1+'Calc base'!J64),2)-L64-'Calc base'!V64)</f>
        <v>0</v>
      </c>
      <c r="Y64">
        <f>MAX(0,ROUND(AW63*(1+'Calc base'!K64),2)-M64-'Calc base'!W64)</f>
        <v>0</v>
      </c>
      <c r="Z64">
        <f>MAX(0,ROUND(AX63*(1+'Calc base'!L64),2)-N64-'Calc base'!X64)</f>
        <v>0</v>
      </c>
      <c r="AA64">
        <f>MAX(0,ROUND(AY63*(1+'Calc base'!M64),2)-O64-'Calc base'!Y64)</f>
        <v>0</v>
      </c>
      <c r="AB64">
        <f>MAX(0,ROUND(AZ63*(1+'Calc base'!N64),2)-P64-'Calc base'!Z64)</f>
        <v>0</v>
      </c>
      <c r="AC64">
        <f>MAX(0,ROUND(BA63*(1+'Calc base'!O64),2)-Q64-'Calc base'!AA64)</f>
        <v>0</v>
      </c>
      <c r="AD64">
        <f>MAX(0,ROUND(BB63*(1+'Calc base'!P64),2)-R64-'Calc base'!AB64)</f>
        <v>0</v>
      </c>
      <c r="AE64">
        <f>MAX(0,ROUND(BC63*(1+'Calc base'!Q64),2)-S64-'Calc base'!AC64)</f>
        <v>0</v>
      </c>
      <c r="AF64">
        <f>MAX(0,ROUND(BD63*(1+'Calc base'!R64),2)-T64-'Calc base'!AD64)</f>
        <v>0</v>
      </c>
      <c r="AG64">
        <f>MAX(0,ROUND(BE63*(1+'Calc base'!S64),2)-U64-'Calc base'!AE64)</f>
        <v>0</v>
      </c>
      <c r="AH64">
        <f>IF('Calc base'!C$14=0,0,MIN(V64,MAX(0,$E64-SUMIFS($V64:$AG64,'Calc base'!$C$19:$N$19,"&lt;"&amp;'Calc base'!C$19,'Calc base'!$C$14:$N$14,1))))</f>
        <v>0</v>
      </c>
      <c r="AI64">
        <f>IF('Calc base'!D$14=0,0,MIN(W64,MAX(0,$E64-SUMIFS($V64:$AG64,'Calc base'!$C$19:$N$19,"&lt;"&amp;'Calc base'!D$19,'Calc base'!$C$14:$N$14,1))))</f>
        <v>0</v>
      </c>
      <c r="AJ64">
        <f>IF('Calc base'!E$14=0,0,MIN(X64,MAX(0,$E64-SUMIFS($V64:$AG64,'Calc base'!$C$19:$N$19,"&lt;"&amp;'Calc base'!E$19,'Calc base'!$C$14:$N$14,1))))</f>
        <v>0</v>
      </c>
      <c r="AK64">
        <f>IF('Calc base'!F$14=0,0,MIN(Y64,MAX(0,$E64-SUMIFS($V64:$AG64,'Calc base'!$C$19:$N$19,"&lt;"&amp;'Calc base'!F$19,'Calc base'!$C$14:$N$14,1))))</f>
        <v>0</v>
      </c>
      <c r="AL64">
        <f>IF('Calc base'!G$14=0,0,MIN(Z64,MAX(0,$E64-SUMIFS($V64:$AG64,'Calc base'!$C$19:$N$19,"&lt;"&amp;'Calc base'!G$19,'Calc base'!$C$14:$N$14,1))))</f>
        <v>0</v>
      </c>
      <c r="AM64">
        <f>IF('Calc base'!H$14=0,0,MIN(AA64,MAX(0,$E64-SUMIFS($V64:$AG64,'Calc base'!$C$19:$N$19,"&lt;"&amp;'Calc base'!H$19,'Calc base'!$C$14:$N$14,1))))</f>
        <v>0</v>
      </c>
      <c r="AN64">
        <f>IF('Calc base'!I$14=0,0,MIN(AB64,MAX(0,$E64-SUMIFS($V64:$AG64,'Calc base'!$C$19:$N$19,"&lt;"&amp;'Calc base'!I$19,'Calc base'!$C$14:$N$14,1))))</f>
        <v>0</v>
      </c>
      <c r="AO64">
        <f>IF('Calc base'!J$14=0,0,MIN(AC64,MAX(0,$E64-SUMIFS($V64:$AG64,'Calc base'!$C$19:$N$19,"&lt;"&amp;'Calc base'!J$19,'Calc base'!$C$14:$N$14,1))))</f>
        <v>0</v>
      </c>
      <c r="AP64">
        <f>IF('Calc base'!K$14=0,0,MIN(AD64,MAX(0,$E64-SUMIFS($V64:$AG64,'Calc base'!$C$19:$N$19,"&lt;"&amp;'Calc base'!K$19,'Calc base'!$C$14:$N$14,1))))</f>
        <v>0</v>
      </c>
      <c r="AQ64">
        <f>IF('Calc base'!L$14=0,0,MIN(AE64,MAX(0,$E64-SUMIFS($V64:$AG64,'Calc base'!$C$19:$N$19,"&lt;"&amp;'Calc base'!L$19,'Calc base'!$C$14:$N$14,1))))</f>
        <v>0</v>
      </c>
      <c r="AR64">
        <f>IF('Calc base'!M$14=0,0,MIN(AF64,MAX(0,$E64-SUMIFS($V64:$AG64,'Calc base'!$C$19:$N$19,"&lt;"&amp;'Calc base'!M$19,'Calc base'!$C$14:$N$14,1))))</f>
        <v>0</v>
      </c>
      <c r="AS64">
        <f>IF('Calc base'!N$14=0,0,MIN(AG64,MAX(0,$E64-SUMIFS($V64:$AG64,'Calc base'!$C$19:$N$19,"&lt;"&amp;'Calc base'!N$19,'Calc base'!$C$14:$N$14,1))))</f>
        <v>0</v>
      </c>
      <c r="AT64">
        <f>V64-AH64</f>
        <v>0</v>
      </c>
      <c r="AU64">
        <f>W64-AI64</f>
        <v>0</v>
      </c>
      <c r="AV64">
        <f>X64-AJ64</f>
        <v>0</v>
      </c>
      <c r="AW64">
        <f>Y64-AK64</f>
        <v>0</v>
      </c>
      <c r="AX64">
        <f>Z64-AL64</f>
        <v>0</v>
      </c>
      <c r="AY64">
        <f>AA64-AM64</f>
        <v>0</v>
      </c>
      <c r="AZ64">
        <f>AB64-AN64</f>
        <v>0</v>
      </c>
      <c r="BA64">
        <f>AC64-AO64</f>
        <v>0</v>
      </c>
      <c r="BB64">
        <f>AD64-AP64</f>
        <v>0</v>
      </c>
      <c r="BC64">
        <f>AE64-AQ64</f>
        <v>0</v>
      </c>
      <c r="BD64">
        <f>AF64-AR64</f>
        <v>0</v>
      </c>
      <c r="BE64">
        <f>AG64-AS64</f>
        <v>0</v>
      </c>
    </row>
    <row r="65">
      <c r="A65" t="n">
        <v>35</v>
      </c>
      <c r="B65">
        <f>SUMPRODUCT(ROUND($AT64:$BE64*(1+'Calc base'!$H65:$S65),2))</f>
        <v>0</v>
      </c>
      <c r="C65">
        <f>SUM(J65:U65)</f>
        <v>0</v>
      </c>
      <c r="D65">
        <f>SUM(V65:AG65)</f>
        <v>0</v>
      </c>
      <c r="E65">
        <f>MAX(0,IF(Impostazioni!$B$7="No",'Calc base'!$C65-$C$31,'Calc base'!$C65-C65)+'Calc base'!$G65+'Calc base'!$F65-(B65-C65-D65))</f>
        <v>900</v>
      </c>
      <c r="F65">
        <f>SUM(AH65:AS65)</f>
        <v>0</v>
      </c>
      <c r="G65">
        <f>SUM(AT65:BE65)</f>
        <v>0</v>
      </c>
      <c r="H65">
        <f>B65-G64</f>
        <v>0</v>
      </c>
      <c r="I65">
        <f>B65-G65</f>
        <v>0</v>
      </c>
      <c r="J65">
        <f>IF(AT64&lt;=0,0,IF(ROUND(AT64*(1+'Calc base'!H65),2)-MAX('Calc base'!C$12,ROUND('Calc base'!C$13*AT64,2))&lt;1,ROUND(AT64*(1+'Calc base'!H65),2),MAX('Calc base'!C$12,ROUND('Calc base'!C$13*AT64,2))))</f>
        <v>0</v>
      </c>
      <c r="K65">
        <f>IF(AU64&lt;=0,0,IF(ROUND(AU64*(1+'Calc base'!I65),2)-MAX('Calc base'!D$12,ROUND('Calc base'!D$13*AU64,2))&lt;1,ROUND(AU64*(1+'Calc base'!I65),2),MAX('Calc base'!D$12,ROUND('Calc base'!D$13*AU64,2))))</f>
        <v>0</v>
      </c>
      <c r="L65">
        <f>IF(AV64&lt;=0,0,IF(ROUND(AV64*(1+'Calc base'!J65),2)-MAX('Calc base'!E$12,ROUND('Calc base'!E$13*AV64,2))&lt;1,ROUND(AV64*(1+'Calc base'!J65),2),MAX('Calc base'!E$12,ROUND('Calc base'!E$13*AV64,2))))</f>
        <v>0</v>
      </c>
      <c r="M65">
        <f>IF(AW64&lt;=0,0,IF(ROUND(AW64*(1+'Calc base'!K65),2)-MAX('Calc base'!F$12,ROUND('Calc base'!F$13*AW64,2))&lt;1,ROUND(AW64*(1+'Calc base'!K65),2),MAX('Calc base'!F$12,ROUND('Calc base'!F$13*AW64,2))))</f>
        <v>0</v>
      </c>
      <c r="N65">
        <f>IF(AX64&lt;=0,0,IF(ROUND(AX64*(1+'Calc base'!L65),2)-MAX('Calc base'!G$12,ROUND('Calc base'!G$13*AX64,2))&lt;1,ROUND(AX64*(1+'Calc base'!L65),2),MAX('Calc base'!G$12,ROUND('Calc base'!G$13*AX64,2))))</f>
        <v>0</v>
      </c>
      <c r="O65">
        <f>IF(AY64&lt;=0,0,IF(ROUND(AY64*(1+'Calc base'!M65),2)-MAX('Calc base'!H$12,ROUND('Calc base'!H$13*AY64,2))&lt;1,ROUND(AY64*(1+'Calc base'!M65),2),MAX('Calc base'!H$12,ROUND('Calc base'!H$13*AY64,2))))</f>
        <v>0</v>
      </c>
      <c r="P65">
        <f>IF(AZ64&lt;=0,0,IF(ROUND(AZ64*(1+'Calc base'!N65),2)-MAX('Calc base'!I$12,ROUND('Calc base'!I$13*AZ64,2))&lt;1,ROUND(AZ64*(1+'Calc base'!N65),2),MAX('Calc base'!I$12,ROUND('Calc base'!I$13*AZ64,2))))</f>
        <v>0</v>
      </c>
      <c r="Q65">
        <f>IF(BA64&lt;=0,0,IF(ROUND(BA64*(1+'Calc base'!O65),2)-MAX('Calc base'!J$12,ROUND('Calc base'!J$13*BA64,2))&lt;1,ROUND(BA64*(1+'Calc base'!O65),2),MAX('Calc base'!J$12,ROUND('Calc base'!J$13*BA64,2))))</f>
        <v>0</v>
      </c>
      <c r="R65">
        <f>IF(BB64&lt;=0,0,IF(ROUND(BB64*(1+'Calc base'!P65),2)-MAX('Calc base'!K$12,ROUND('Calc base'!K$13*BB64,2))&lt;1,ROUND(BB64*(1+'Calc base'!P65),2),MAX('Calc base'!K$12,ROUND('Calc base'!K$13*BB64,2))))</f>
        <v>0</v>
      </c>
      <c r="S65">
        <f>IF(BC64&lt;=0,0,IF(ROUND(BC64*(1+'Calc base'!Q65),2)-MAX('Calc base'!L$12,ROUND('Calc base'!L$13*BC64,2))&lt;1,ROUND(BC64*(1+'Calc base'!Q65),2),MAX('Calc base'!L$12,ROUND('Calc base'!L$13*BC64,2))))</f>
        <v>0</v>
      </c>
      <c r="T65">
        <f>IF(BD64&lt;=0,0,IF(ROUND(BD64*(1+'Calc base'!R65),2)-MAX('Calc base'!M$12,ROUND('Calc base'!M$13*BD64,2))&lt;1,ROUND(BD64*(1+'Calc base'!R65),2),MAX('Calc base'!M$12,ROUND('Calc base'!M$13*BD64,2))))</f>
        <v>0</v>
      </c>
      <c r="U65">
        <f>IF(BE64&lt;=0,0,IF(ROUND(BE64*(1+'Calc base'!S65),2)-MAX('Calc base'!N$12,ROUND('Calc base'!N$13*BE64,2))&lt;1,ROUND(BE64*(1+'Calc base'!S65),2),MAX('Calc base'!N$12,ROUND('Calc base'!N$13*BE64,2))))</f>
        <v>0</v>
      </c>
      <c r="V65">
        <f>MAX(0,ROUND(AT64*(1+'Calc base'!H65),2)-J65-'Calc base'!T65)</f>
        <v>0</v>
      </c>
      <c r="W65">
        <f>MAX(0,ROUND(AU64*(1+'Calc base'!I65),2)-K65-'Calc base'!U65)</f>
        <v>0</v>
      </c>
      <c r="X65">
        <f>MAX(0,ROUND(AV64*(1+'Calc base'!J65),2)-L65-'Calc base'!V65)</f>
        <v>0</v>
      </c>
      <c r="Y65">
        <f>MAX(0,ROUND(AW64*(1+'Calc base'!K65),2)-M65-'Calc base'!W65)</f>
        <v>0</v>
      </c>
      <c r="Z65">
        <f>MAX(0,ROUND(AX64*(1+'Calc base'!L65),2)-N65-'Calc base'!X65)</f>
        <v>0</v>
      </c>
      <c r="AA65">
        <f>MAX(0,ROUND(AY64*(1+'Calc base'!M65),2)-O65-'Calc base'!Y65)</f>
        <v>0</v>
      </c>
      <c r="AB65">
        <f>MAX(0,ROUND(AZ64*(1+'Calc base'!N65),2)-P65-'Calc base'!Z65)</f>
        <v>0</v>
      </c>
      <c r="AC65">
        <f>MAX(0,ROUND(BA64*(1+'Calc base'!O65),2)-Q65-'Calc base'!AA65)</f>
        <v>0</v>
      </c>
      <c r="AD65">
        <f>MAX(0,ROUND(BB64*(1+'Calc base'!P65),2)-R65-'Calc base'!AB65)</f>
        <v>0</v>
      </c>
      <c r="AE65">
        <f>MAX(0,ROUND(BC64*(1+'Calc base'!Q65),2)-S65-'Calc base'!AC65)</f>
        <v>0</v>
      </c>
      <c r="AF65">
        <f>MAX(0,ROUND(BD64*(1+'Calc base'!R65),2)-T65-'Calc base'!AD65)</f>
        <v>0</v>
      </c>
      <c r="AG65">
        <f>MAX(0,ROUND(BE64*(1+'Calc base'!S65),2)-U65-'Calc base'!AE65)</f>
        <v>0</v>
      </c>
      <c r="AH65">
        <f>IF('Calc base'!C$14=0,0,MIN(V65,MAX(0,$E65-SUMIFS($V65:$AG65,'Calc base'!$C$19:$N$19,"&lt;"&amp;'Calc base'!C$19,'Calc base'!$C$14:$N$14,1))))</f>
        <v>0</v>
      </c>
      <c r="AI65">
        <f>IF('Calc base'!D$14=0,0,MIN(W65,MAX(0,$E65-SUMIFS($V65:$AG65,'Calc base'!$C$19:$N$19,"&lt;"&amp;'Calc base'!D$19,'Calc base'!$C$14:$N$14,1))))</f>
        <v>0</v>
      </c>
      <c r="AJ65">
        <f>IF('Calc base'!E$14=0,0,MIN(X65,MAX(0,$E65-SUMIFS($V65:$AG65,'Calc base'!$C$19:$N$19,"&lt;"&amp;'Calc base'!E$19,'Calc base'!$C$14:$N$14,1))))</f>
        <v>0</v>
      </c>
      <c r="AK65">
        <f>IF('Calc base'!F$14=0,0,MIN(Y65,MAX(0,$E65-SUMIFS($V65:$AG65,'Calc base'!$C$19:$N$19,"&lt;"&amp;'Calc base'!F$19,'Calc base'!$C$14:$N$14,1))))</f>
        <v>0</v>
      </c>
      <c r="AL65">
        <f>IF('Calc base'!G$14=0,0,MIN(Z65,MAX(0,$E65-SUMIFS($V65:$AG65,'Calc base'!$C$19:$N$19,"&lt;"&amp;'Calc base'!G$19,'Calc base'!$C$14:$N$14,1))))</f>
        <v>0</v>
      </c>
      <c r="AM65">
        <f>IF('Calc base'!H$14=0,0,MIN(AA65,MAX(0,$E65-SUMIFS($V65:$AG65,'Calc base'!$C$19:$N$19,"&lt;"&amp;'Calc base'!H$19,'Calc base'!$C$14:$N$14,1))))</f>
        <v>0</v>
      </c>
      <c r="AN65">
        <f>IF('Calc base'!I$14=0,0,MIN(AB65,MAX(0,$E65-SUMIFS($V65:$AG65,'Calc base'!$C$19:$N$19,"&lt;"&amp;'Calc base'!I$19,'Calc base'!$C$14:$N$14,1))))</f>
        <v>0</v>
      </c>
      <c r="AO65">
        <f>IF('Calc base'!J$14=0,0,MIN(AC65,MAX(0,$E65-SUMIFS($V65:$AG65,'Calc base'!$C$19:$N$19,"&lt;"&amp;'Calc base'!J$19,'Calc base'!$C$14:$N$14,1))))</f>
        <v>0</v>
      </c>
      <c r="AP65">
        <f>IF('Calc base'!K$14=0,0,MIN(AD65,MAX(0,$E65-SUMIFS($V65:$AG65,'Calc base'!$C$19:$N$19,"&lt;"&amp;'Calc base'!K$19,'Calc base'!$C$14:$N$14,1))))</f>
        <v>0</v>
      </c>
      <c r="AQ65">
        <f>IF('Calc base'!L$14=0,0,MIN(AE65,MAX(0,$E65-SUMIFS($V65:$AG65,'Calc base'!$C$19:$N$19,"&lt;"&amp;'Calc base'!L$19,'Calc base'!$C$14:$N$14,1))))</f>
        <v>0</v>
      </c>
      <c r="AR65">
        <f>IF('Calc base'!M$14=0,0,MIN(AF65,MAX(0,$E65-SUMIFS($V65:$AG65,'Calc base'!$C$19:$N$19,"&lt;"&amp;'Calc base'!M$19,'Calc base'!$C$14:$N$14,1))))</f>
        <v>0</v>
      </c>
      <c r="AS65">
        <f>IF('Calc base'!N$14=0,0,MIN(AG65,MAX(0,$E65-SUMIFS($V65:$AG65,'Calc base'!$C$19:$N$19,"&lt;"&amp;'Calc base'!N$19,'Calc base'!$C$14:$N$14,1))))</f>
        <v>0</v>
      </c>
      <c r="AT65">
        <f>V65-AH65</f>
        <v>0</v>
      </c>
      <c r="AU65">
        <f>W65-AI65</f>
        <v>0</v>
      </c>
      <c r="AV65">
        <f>X65-AJ65</f>
        <v>0</v>
      </c>
      <c r="AW65">
        <f>Y65-AK65</f>
        <v>0</v>
      </c>
      <c r="AX65">
        <f>Z65-AL65</f>
        <v>0</v>
      </c>
      <c r="AY65">
        <f>AA65-AM65</f>
        <v>0</v>
      </c>
      <c r="AZ65">
        <f>AB65-AN65</f>
        <v>0</v>
      </c>
      <c r="BA65">
        <f>AC65-AO65</f>
        <v>0</v>
      </c>
      <c r="BB65">
        <f>AD65-AP65</f>
        <v>0</v>
      </c>
      <c r="BC65">
        <f>AE65-AQ65</f>
        <v>0</v>
      </c>
      <c r="BD65">
        <f>AF65-AR65</f>
        <v>0</v>
      </c>
      <c r="BE65">
        <f>AG65-AS65</f>
        <v>0</v>
      </c>
    </row>
    <row r="66">
      <c r="A66" t="n">
        <v>36</v>
      </c>
      <c r="B66">
        <f>SUMPRODUCT(ROUND($AT65:$BE65*(1+'Calc base'!$H66:$S66),2))</f>
        <v>0</v>
      </c>
      <c r="C66">
        <f>SUM(J66:U66)</f>
        <v>0</v>
      </c>
      <c r="D66">
        <f>SUM(V66:AG66)</f>
        <v>0</v>
      </c>
      <c r="E66">
        <f>MAX(0,IF(Impostazioni!$B$7="No",'Calc base'!$C66-$C$31,'Calc base'!$C66-C66)+'Calc base'!$G66+'Calc base'!$F66-(B66-C66-D66))</f>
        <v>900</v>
      </c>
      <c r="F66">
        <f>SUM(AH66:AS66)</f>
        <v>0</v>
      </c>
      <c r="G66">
        <f>SUM(AT66:BE66)</f>
        <v>0</v>
      </c>
      <c r="H66">
        <f>B66-G65</f>
        <v>0</v>
      </c>
      <c r="I66">
        <f>B66-G66</f>
        <v>0</v>
      </c>
      <c r="J66">
        <f>IF(AT65&lt;=0,0,IF(ROUND(AT65*(1+'Calc base'!H66),2)-MAX('Calc base'!C$12,ROUND('Calc base'!C$13*AT65,2))&lt;1,ROUND(AT65*(1+'Calc base'!H66),2),MAX('Calc base'!C$12,ROUND('Calc base'!C$13*AT65,2))))</f>
        <v>0</v>
      </c>
      <c r="K66">
        <f>IF(AU65&lt;=0,0,IF(ROUND(AU65*(1+'Calc base'!I66),2)-MAX('Calc base'!D$12,ROUND('Calc base'!D$13*AU65,2))&lt;1,ROUND(AU65*(1+'Calc base'!I66),2),MAX('Calc base'!D$12,ROUND('Calc base'!D$13*AU65,2))))</f>
        <v>0</v>
      </c>
      <c r="L66">
        <f>IF(AV65&lt;=0,0,IF(ROUND(AV65*(1+'Calc base'!J66),2)-MAX('Calc base'!E$12,ROUND('Calc base'!E$13*AV65,2))&lt;1,ROUND(AV65*(1+'Calc base'!J66),2),MAX('Calc base'!E$12,ROUND('Calc base'!E$13*AV65,2))))</f>
        <v>0</v>
      </c>
      <c r="M66">
        <f>IF(AW65&lt;=0,0,IF(ROUND(AW65*(1+'Calc base'!K66),2)-MAX('Calc base'!F$12,ROUND('Calc base'!F$13*AW65,2))&lt;1,ROUND(AW65*(1+'Calc base'!K66),2),MAX('Calc base'!F$12,ROUND('Calc base'!F$13*AW65,2))))</f>
        <v>0</v>
      </c>
      <c r="N66">
        <f>IF(AX65&lt;=0,0,IF(ROUND(AX65*(1+'Calc base'!L66),2)-MAX('Calc base'!G$12,ROUND('Calc base'!G$13*AX65,2))&lt;1,ROUND(AX65*(1+'Calc base'!L66),2),MAX('Calc base'!G$12,ROUND('Calc base'!G$13*AX65,2))))</f>
        <v>0</v>
      </c>
      <c r="O66">
        <f>IF(AY65&lt;=0,0,IF(ROUND(AY65*(1+'Calc base'!M66),2)-MAX('Calc base'!H$12,ROUND('Calc base'!H$13*AY65,2))&lt;1,ROUND(AY65*(1+'Calc base'!M66),2),MAX('Calc base'!H$12,ROUND('Calc base'!H$13*AY65,2))))</f>
        <v>0</v>
      </c>
      <c r="P66">
        <f>IF(AZ65&lt;=0,0,IF(ROUND(AZ65*(1+'Calc base'!N66),2)-MAX('Calc base'!I$12,ROUND('Calc base'!I$13*AZ65,2))&lt;1,ROUND(AZ65*(1+'Calc base'!N66),2),MAX('Calc base'!I$12,ROUND('Calc base'!I$13*AZ65,2))))</f>
        <v>0</v>
      </c>
      <c r="Q66">
        <f>IF(BA65&lt;=0,0,IF(ROUND(BA65*(1+'Calc base'!O66),2)-MAX('Calc base'!J$12,ROUND('Calc base'!J$13*BA65,2))&lt;1,ROUND(BA65*(1+'Calc base'!O66),2),MAX('Calc base'!J$12,ROUND('Calc base'!J$13*BA65,2))))</f>
        <v>0</v>
      </c>
      <c r="R66">
        <f>IF(BB65&lt;=0,0,IF(ROUND(BB65*(1+'Calc base'!P66),2)-MAX('Calc base'!K$12,ROUND('Calc base'!K$13*BB65,2))&lt;1,ROUND(BB65*(1+'Calc base'!P66),2),MAX('Calc base'!K$12,ROUND('Calc base'!K$13*BB65,2))))</f>
        <v>0</v>
      </c>
      <c r="S66">
        <f>IF(BC65&lt;=0,0,IF(ROUND(BC65*(1+'Calc base'!Q66),2)-MAX('Calc base'!L$12,ROUND('Calc base'!L$13*BC65,2))&lt;1,ROUND(BC65*(1+'Calc base'!Q66),2),MAX('Calc base'!L$12,ROUND('Calc base'!L$13*BC65,2))))</f>
        <v>0</v>
      </c>
      <c r="T66">
        <f>IF(BD65&lt;=0,0,IF(ROUND(BD65*(1+'Calc base'!R66),2)-MAX('Calc base'!M$12,ROUND('Calc base'!M$13*BD65,2))&lt;1,ROUND(BD65*(1+'Calc base'!R66),2),MAX('Calc base'!M$12,ROUND('Calc base'!M$13*BD65,2))))</f>
        <v>0</v>
      </c>
      <c r="U66">
        <f>IF(BE65&lt;=0,0,IF(ROUND(BE65*(1+'Calc base'!S66),2)-MAX('Calc base'!N$12,ROUND('Calc base'!N$13*BE65,2))&lt;1,ROUND(BE65*(1+'Calc base'!S66),2),MAX('Calc base'!N$12,ROUND('Calc base'!N$13*BE65,2))))</f>
        <v>0</v>
      </c>
      <c r="V66">
        <f>MAX(0,ROUND(AT65*(1+'Calc base'!H66),2)-J66-'Calc base'!T66)</f>
        <v>0</v>
      </c>
      <c r="W66">
        <f>MAX(0,ROUND(AU65*(1+'Calc base'!I66),2)-K66-'Calc base'!U66)</f>
        <v>0</v>
      </c>
      <c r="X66">
        <f>MAX(0,ROUND(AV65*(1+'Calc base'!J66),2)-L66-'Calc base'!V66)</f>
        <v>0</v>
      </c>
      <c r="Y66">
        <f>MAX(0,ROUND(AW65*(1+'Calc base'!K66),2)-M66-'Calc base'!W66)</f>
        <v>0</v>
      </c>
      <c r="Z66">
        <f>MAX(0,ROUND(AX65*(1+'Calc base'!L66),2)-N66-'Calc base'!X66)</f>
        <v>0</v>
      </c>
      <c r="AA66">
        <f>MAX(0,ROUND(AY65*(1+'Calc base'!M66),2)-O66-'Calc base'!Y66)</f>
        <v>0</v>
      </c>
      <c r="AB66">
        <f>MAX(0,ROUND(AZ65*(1+'Calc base'!N66),2)-P66-'Calc base'!Z66)</f>
        <v>0</v>
      </c>
      <c r="AC66">
        <f>MAX(0,ROUND(BA65*(1+'Calc base'!O66),2)-Q66-'Calc base'!AA66)</f>
        <v>0</v>
      </c>
      <c r="AD66">
        <f>MAX(0,ROUND(BB65*(1+'Calc base'!P66),2)-R66-'Calc base'!AB66)</f>
        <v>0</v>
      </c>
      <c r="AE66">
        <f>MAX(0,ROUND(BC65*(1+'Calc base'!Q66),2)-S66-'Calc base'!AC66)</f>
        <v>0</v>
      </c>
      <c r="AF66">
        <f>MAX(0,ROUND(BD65*(1+'Calc base'!R66),2)-T66-'Calc base'!AD66)</f>
        <v>0</v>
      </c>
      <c r="AG66">
        <f>MAX(0,ROUND(BE65*(1+'Calc base'!S66),2)-U66-'Calc base'!AE66)</f>
        <v>0</v>
      </c>
      <c r="AH66">
        <f>IF('Calc base'!C$14=0,0,MIN(V66,MAX(0,$E66-SUMIFS($V66:$AG66,'Calc base'!$C$19:$N$19,"&lt;"&amp;'Calc base'!C$19,'Calc base'!$C$14:$N$14,1))))</f>
        <v>0</v>
      </c>
      <c r="AI66">
        <f>IF('Calc base'!D$14=0,0,MIN(W66,MAX(0,$E66-SUMIFS($V66:$AG66,'Calc base'!$C$19:$N$19,"&lt;"&amp;'Calc base'!D$19,'Calc base'!$C$14:$N$14,1))))</f>
        <v>0</v>
      </c>
      <c r="AJ66">
        <f>IF('Calc base'!E$14=0,0,MIN(X66,MAX(0,$E66-SUMIFS($V66:$AG66,'Calc base'!$C$19:$N$19,"&lt;"&amp;'Calc base'!E$19,'Calc base'!$C$14:$N$14,1))))</f>
        <v>0</v>
      </c>
      <c r="AK66">
        <f>IF('Calc base'!F$14=0,0,MIN(Y66,MAX(0,$E66-SUMIFS($V66:$AG66,'Calc base'!$C$19:$N$19,"&lt;"&amp;'Calc base'!F$19,'Calc base'!$C$14:$N$14,1))))</f>
        <v>0</v>
      </c>
      <c r="AL66">
        <f>IF('Calc base'!G$14=0,0,MIN(Z66,MAX(0,$E66-SUMIFS($V66:$AG66,'Calc base'!$C$19:$N$19,"&lt;"&amp;'Calc base'!G$19,'Calc base'!$C$14:$N$14,1))))</f>
        <v>0</v>
      </c>
      <c r="AM66">
        <f>IF('Calc base'!H$14=0,0,MIN(AA66,MAX(0,$E66-SUMIFS($V66:$AG66,'Calc base'!$C$19:$N$19,"&lt;"&amp;'Calc base'!H$19,'Calc base'!$C$14:$N$14,1))))</f>
        <v>0</v>
      </c>
      <c r="AN66">
        <f>IF('Calc base'!I$14=0,0,MIN(AB66,MAX(0,$E66-SUMIFS($V66:$AG66,'Calc base'!$C$19:$N$19,"&lt;"&amp;'Calc base'!I$19,'Calc base'!$C$14:$N$14,1))))</f>
        <v>0</v>
      </c>
      <c r="AO66">
        <f>IF('Calc base'!J$14=0,0,MIN(AC66,MAX(0,$E66-SUMIFS($V66:$AG66,'Calc base'!$C$19:$N$19,"&lt;"&amp;'Calc base'!J$19,'Calc base'!$C$14:$N$14,1))))</f>
        <v>0</v>
      </c>
      <c r="AP66">
        <f>IF('Calc base'!K$14=0,0,MIN(AD66,MAX(0,$E66-SUMIFS($V66:$AG66,'Calc base'!$C$19:$N$19,"&lt;"&amp;'Calc base'!K$19,'Calc base'!$C$14:$N$14,1))))</f>
        <v>0</v>
      </c>
      <c r="AQ66">
        <f>IF('Calc base'!L$14=0,0,MIN(AE66,MAX(0,$E66-SUMIFS($V66:$AG66,'Calc base'!$C$19:$N$19,"&lt;"&amp;'Calc base'!L$19,'Calc base'!$C$14:$N$14,1))))</f>
        <v>0</v>
      </c>
      <c r="AR66">
        <f>IF('Calc base'!M$14=0,0,MIN(AF66,MAX(0,$E66-SUMIFS($V66:$AG66,'Calc base'!$C$19:$N$19,"&lt;"&amp;'Calc base'!M$19,'Calc base'!$C$14:$N$14,1))))</f>
        <v>0</v>
      </c>
      <c r="AS66">
        <f>IF('Calc base'!N$14=0,0,MIN(AG66,MAX(0,$E66-SUMIFS($V66:$AG66,'Calc base'!$C$19:$N$19,"&lt;"&amp;'Calc base'!N$19,'Calc base'!$C$14:$N$14,1))))</f>
        <v>0</v>
      </c>
      <c r="AT66">
        <f>V66-AH66</f>
        <v>0</v>
      </c>
      <c r="AU66">
        <f>W66-AI66</f>
        <v>0</v>
      </c>
      <c r="AV66">
        <f>X66-AJ66</f>
        <v>0</v>
      </c>
      <c r="AW66">
        <f>Y66-AK66</f>
        <v>0</v>
      </c>
      <c r="AX66">
        <f>Z66-AL66</f>
        <v>0</v>
      </c>
      <c r="AY66">
        <f>AA66-AM66</f>
        <v>0</v>
      </c>
      <c r="AZ66">
        <f>AB66-AN66</f>
        <v>0</v>
      </c>
      <c r="BA66">
        <f>AC66-AO66</f>
        <v>0</v>
      </c>
      <c r="BB66">
        <f>AD66-AP66</f>
        <v>0</v>
      </c>
      <c r="BC66">
        <f>AE66-AQ66</f>
        <v>0</v>
      </c>
      <c r="BD66">
        <f>AF66-AR66</f>
        <v>0</v>
      </c>
      <c r="BE66">
        <f>AG66-AS66</f>
        <v>0</v>
      </c>
    </row>
    <row r="67">
      <c r="A67" t="n">
        <v>37</v>
      </c>
      <c r="B67">
        <f>SUMPRODUCT(ROUND($AT66:$BE66*(1+'Calc base'!$H67:$S67),2))</f>
        <v>0</v>
      </c>
      <c r="C67">
        <f>SUM(J67:U67)</f>
        <v>0</v>
      </c>
      <c r="D67">
        <f>SUM(V67:AG67)</f>
        <v>0</v>
      </c>
      <c r="E67">
        <f>MAX(0,IF(Impostazioni!$B$7="No",'Calc base'!$C67-$C$31,'Calc base'!$C67-C67)+'Calc base'!$G67+'Calc base'!$F67-(B67-C67-D67))</f>
        <v>900</v>
      </c>
      <c r="F67">
        <f>SUM(AH67:AS67)</f>
        <v>0</v>
      </c>
      <c r="G67">
        <f>SUM(AT67:BE67)</f>
        <v>0</v>
      </c>
      <c r="H67">
        <f>B67-G66</f>
        <v>0</v>
      </c>
      <c r="I67">
        <f>B67-G67</f>
        <v>0</v>
      </c>
      <c r="J67">
        <f>IF(AT66&lt;=0,0,IF(ROUND(AT66*(1+'Calc base'!H67),2)-MAX('Calc base'!C$12,ROUND('Calc base'!C$13*AT66,2))&lt;1,ROUND(AT66*(1+'Calc base'!H67),2),MAX('Calc base'!C$12,ROUND('Calc base'!C$13*AT66,2))))</f>
        <v>0</v>
      </c>
      <c r="K67">
        <f>IF(AU66&lt;=0,0,IF(ROUND(AU66*(1+'Calc base'!I67),2)-MAX('Calc base'!D$12,ROUND('Calc base'!D$13*AU66,2))&lt;1,ROUND(AU66*(1+'Calc base'!I67),2),MAX('Calc base'!D$12,ROUND('Calc base'!D$13*AU66,2))))</f>
        <v>0</v>
      </c>
      <c r="L67">
        <f>IF(AV66&lt;=0,0,IF(ROUND(AV66*(1+'Calc base'!J67),2)-MAX('Calc base'!E$12,ROUND('Calc base'!E$13*AV66,2))&lt;1,ROUND(AV66*(1+'Calc base'!J67),2),MAX('Calc base'!E$12,ROUND('Calc base'!E$13*AV66,2))))</f>
        <v>0</v>
      </c>
      <c r="M67">
        <f>IF(AW66&lt;=0,0,IF(ROUND(AW66*(1+'Calc base'!K67),2)-MAX('Calc base'!F$12,ROUND('Calc base'!F$13*AW66,2))&lt;1,ROUND(AW66*(1+'Calc base'!K67),2),MAX('Calc base'!F$12,ROUND('Calc base'!F$13*AW66,2))))</f>
        <v>0</v>
      </c>
      <c r="N67">
        <f>IF(AX66&lt;=0,0,IF(ROUND(AX66*(1+'Calc base'!L67),2)-MAX('Calc base'!G$12,ROUND('Calc base'!G$13*AX66,2))&lt;1,ROUND(AX66*(1+'Calc base'!L67),2),MAX('Calc base'!G$12,ROUND('Calc base'!G$13*AX66,2))))</f>
        <v>0</v>
      </c>
      <c r="O67">
        <f>IF(AY66&lt;=0,0,IF(ROUND(AY66*(1+'Calc base'!M67),2)-MAX('Calc base'!H$12,ROUND('Calc base'!H$13*AY66,2))&lt;1,ROUND(AY66*(1+'Calc base'!M67),2),MAX('Calc base'!H$12,ROUND('Calc base'!H$13*AY66,2))))</f>
        <v>0</v>
      </c>
      <c r="P67">
        <f>IF(AZ66&lt;=0,0,IF(ROUND(AZ66*(1+'Calc base'!N67),2)-MAX('Calc base'!I$12,ROUND('Calc base'!I$13*AZ66,2))&lt;1,ROUND(AZ66*(1+'Calc base'!N67),2),MAX('Calc base'!I$12,ROUND('Calc base'!I$13*AZ66,2))))</f>
        <v>0</v>
      </c>
      <c r="Q67">
        <f>IF(BA66&lt;=0,0,IF(ROUND(BA66*(1+'Calc base'!O67),2)-MAX('Calc base'!J$12,ROUND('Calc base'!J$13*BA66,2))&lt;1,ROUND(BA66*(1+'Calc base'!O67),2),MAX('Calc base'!J$12,ROUND('Calc base'!J$13*BA66,2))))</f>
        <v>0</v>
      </c>
      <c r="R67">
        <f>IF(BB66&lt;=0,0,IF(ROUND(BB66*(1+'Calc base'!P67),2)-MAX('Calc base'!K$12,ROUND('Calc base'!K$13*BB66,2))&lt;1,ROUND(BB66*(1+'Calc base'!P67),2),MAX('Calc base'!K$12,ROUND('Calc base'!K$13*BB66,2))))</f>
        <v>0</v>
      </c>
      <c r="S67">
        <f>IF(BC66&lt;=0,0,IF(ROUND(BC66*(1+'Calc base'!Q67),2)-MAX('Calc base'!L$12,ROUND('Calc base'!L$13*BC66,2))&lt;1,ROUND(BC66*(1+'Calc base'!Q67),2),MAX('Calc base'!L$12,ROUND('Calc base'!L$13*BC66,2))))</f>
        <v>0</v>
      </c>
      <c r="T67">
        <f>IF(BD66&lt;=0,0,IF(ROUND(BD66*(1+'Calc base'!R67),2)-MAX('Calc base'!M$12,ROUND('Calc base'!M$13*BD66,2))&lt;1,ROUND(BD66*(1+'Calc base'!R67),2),MAX('Calc base'!M$12,ROUND('Calc base'!M$13*BD66,2))))</f>
        <v>0</v>
      </c>
      <c r="U67">
        <f>IF(BE66&lt;=0,0,IF(ROUND(BE66*(1+'Calc base'!S67),2)-MAX('Calc base'!N$12,ROUND('Calc base'!N$13*BE66,2))&lt;1,ROUND(BE66*(1+'Calc base'!S67),2),MAX('Calc base'!N$12,ROUND('Calc base'!N$13*BE66,2))))</f>
        <v>0</v>
      </c>
      <c r="V67">
        <f>MAX(0,ROUND(AT66*(1+'Calc base'!H67),2)-J67-'Calc base'!T67)</f>
        <v>0</v>
      </c>
      <c r="W67">
        <f>MAX(0,ROUND(AU66*(1+'Calc base'!I67),2)-K67-'Calc base'!U67)</f>
        <v>0</v>
      </c>
      <c r="X67">
        <f>MAX(0,ROUND(AV66*(1+'Calc base'!J67),2)-L67-'Calc base'!V67)</f>
        <v>0</v>
      </c>
      <c r="Y67">
        <f>MAX(0,ROUND(AW66*(1+'Calc base'!K67),2)-M67-'Calc base'!W67)</f>
        <v>0</v>
      </c>
      <c r="Z67">
        <f>MAX(0,ROUND(AX66*(1+'Calc base'!L67),2)-N67-'Calc base'!X67)</f>
        <v>0</v>
      </c>
      <c r="AA67">
        <f>MAX(0,ROUND(AY66*(1+'Calc base'!M67),2)-O67-'Calc base'!Y67)</f>
        <v>0</v>
      </c>
      <c r="AB67">
        <f>MAX(0,ROUND(AZ66*(1+'Calc base'!N67),2)-P67-'Calc base'!Z67)</f>
        <v>0</v>
      </c>
      <c r="AC67">
        <f>MAX(0,ROUND(BA66*(1+'Calc base'!O67),2)-Q67-'Calc base'!AA67)</f>
        <v>0</v>
      </c>
      <c r="AD67">
        <f>MAX(0,ROUND(BB66*(1+'Calc base'!P67),2)-R67-'Calc base'!AB67)</f>
        <v>0</v>
      </c>
      <c r="AE67">
        <f>MAX(0,ROUND(BC66*(1+'Calc base'!Q67),2)-S67-'Calc base'!AC67)</f>
        <v>0</v>
      </c>
      <c r="AF67">
        <f>MAX(0,ROUND(BD66*(1+'Calc base'!R67),2)-T67-'Calc base'!AD67)</f>
        <v>0</v>
      </c>
      <c r="AG67">
        <f>MAX(0,ROUND(BE66*(1+'Calc base'!S67),2)-U67-'Calc base'!AE67)</f>
        <v>0</v>
      </c>
      <c r="AH67">
        <f>IF('Calc base'!C$14=0,0,MIN(V67,MAX(0,$E67-SUMIFS($V67:$AG67,'Calc base'!$C$19:$N$19,"&lt;"&amp;'Calc base'!C$19,'Calc base'!$C$14:$N$14,1))))</f>
        <v>0</v>
      </c>
      <c r="AI67">
        <f>IF('Calc base'!D$14=0,0,MIN(W67,MAX(0,$E67-SUMIFS($V67:$AG67,'Calc base'!$C$19:$N$19,"&lt;"&amp;'Calc base'!D$19,'Calc base'!$C$14:$N$14,1))))</f>
        <v>0</v>
      </c>
      <c r="AJ67">
        <f>IF('Calc base'!E$14=0,0,MIN(X67,MAX(0,$E67-SUMIFS($V67:$AG67,'Calc base'!$C$19:$N$19,"&lt;"&amp;'Calc base'!E$19,'Calc base'!$C$14:$N$14,1))))</f>
        <v>0</v>
      </c>
      <c r="AK67">
        <f>IF('Calc base'!F$14=0,0,MIN(Y67,MAX(0,$E67-SUMIFS($V67:$AG67,'Calc base'!$C$19:$N$19,"&lt;"&amp;'Calc base'!F$19,'Calc base'!$C$14:$N$14,1))))</f>
        <v>0</v>
      </c>
      <c r="AL67">
        <f>IF('Calc base'!G$14=0,0,MIN(Z67,MAX(0,$E67-SUMIFS($V67:$AG67,'Calc base'!$C$19:$N$19,"&lt;"&amp;'Calc base'!G$19,'Calc base'!$C$14:$N$14,1))))</f>
        <v>0</v>
      </c>
      <c r="AM67">
        <f>IF('Calc base'!H$14=0,0,MIN(AA67,MAX(0,$E67-SUMIFS($V67:$AG67,'Calc base'!$C$19:$N$19,"&lt;"&amp;'Calc base'!H$19,'Calc base'!$C$14:$N$14,1))))</f>
        <v>0</v>
      </c>
      <c r="AN67">
        <f>IF('Calc base'!I$14=0,0,MIN(AB67,MAX(0,$E67-SUMIFS($V67:$AG67,'Calc base'!$C$19:$N$19,"&lt;"&amp;'Calc base'!I$19,'Calc base'!$C$14:$N$14,1))))</f>
        <v>0</v>
      </c>
      <c r="AO67">
        <f>IF('Calc base'!J$14=0,0,MIN(AC67,MAX(0,$E67-SUMIFS($V67:$AG67,'Calc base'!$C$19:$N$19,"&lt;"&amp;'Calc base'!J$19,'Calc base'!$C$14:$N$14,1))))</f>
        <v>0</v>
      </c>
      <c r="AP67">
        <f>IF('Calc base'!K$14=0,0,MIN(AD67,MAX(0,$E67-SUMIFS($V67:$AG67,'Calc base'!$C$19:$N$19,"&lt;"&amp;'Calc base'!K$19,'Calc base'!$C$14:$N$14,1))))</f>
        <v>0</v>
      </c>
      <c r="AQ67">
        <f>IF('Calc base'!L$14=0,0,MIN(AE67,MAX(0,$E67-SUMIFS($V67:$AG67,'Calc base'!$C$19:$N$19,"&lt;"&amp;'Calc base'!L$19,'Calc base'!$C$14:$N$14,1))))</f>
        <v>0</v>
      </c>
      <c r="AR67">
        <f>IF('Calc base'!M$14=0,0,MIN(AF67,MAX(0,$E67-SUMIFS($V67:$AG67,'Calc base'!$C$19:$N$19,"&lt;"&amp;'Calc base'!M$19,'Calc base'!$C$14:$N$14,1))))</f>
        <v>0</v>
      </c>
      <c r="AS67">
        <f>IF('Calc base'!N$14=0,0,MIN(AG67,MAX(0,$E67-SUMIFS($V67:$AG67,'Calc base'!$C$19:$N$19,"&lt;"&amp;'Calc base'!N$19,'Calc base'!$C$14:$N$14,1))))</f>
        <v>0</v>
      </c>
      <c r="AT67">
        <f>V67-AH67</f>
        <v>0</v>
      </c>
      <c r="AU67">
        <f>W67-AI67</f>
        <v>0</v>
      </c>
      <c r="AV67">
        <f>X67-AJ67</f>
        <v>0</v>
      </c>
      <c r="AW67">
        <f>Y67-AK67</f>
        <v>0</v>
      </c>
      <c r="AX67">
        <f>Z67-AL67</f>
        <v>0</v>
      </c>
      <c r="AY67">
        <f>AA67-AM67</f>
        <v>0</v>
      </c>
      <c r="AZ67">
        <f>AB67-AN67</f>
        <v>0</v>
      </c>
      <c r="BA67">
        <f>AC67-AO67</f>
        <v>0</v>
      </c>
      <c r="BB67">
        <f>AD67-AP67</f>
        <v>0</v>
      </c>
      <c r="BC67">
        <f>AE67-AQ67</f>
        <v>0</v>
      </c>
      <c r="BD67">
        <f>AF67-AR67</f>
        <v>0</v>
      </c>
      <c r="BE67">
        <f>AG67-AS67</f>
        <v>0</v>
      </c>
    </row>
    <row r="68">
      <c r="A68" t="n">
        <v>38</v>
      </c>
      <c r="B68">
        <f>SUMPRODUCT(ROUND($AT67:$BE67*(1+'Calc base'!$H68:$S68),2))</f>
        <v>0</v>
      </c>
      <c r="C68">
        <f>SUM(J68:U68)</f>
        <v>0</v>
      </c>
      <c r="D68">
        <f>SUM(V68:AG68)</f>
        <v>0</v>
      </c>
      <c r="E68">
        <f>MAX(0,IF(Impostazioni!$B$7="No",'Calc base'!$C68-$C$31,'Calc base'!$C68-C68)+'Calc base'!$G68+'Calc base'!$F68-(B68-C68-D68))</f>
        <v>900</v>
      </c>
      <c r="F68">
        <f>SUM(AH68:AS68)</f>
        <v>0</v>
      </c>
      <c r="G68">
        <f>SUM(AT68:BE68)</f>
        <v>0</v>
      </c>
      <c r="H68">
        <f>B68-G67</f>
        <v>0</v>
      </c>
      <c r="I68">
        <f>B68-G68</f>
        <v>0</v>
      </c>
      <c r="J68">
        <f>IF(AT67&lt;=0,0,IF(ROUND(AT67*(1+'Calc base'!H68),2)-MAX('Calc base'!C$12,ROUND('Calc base'!C$13*AT67,2))&lt;1,ROUND(AT67*(1+'Calc base'!H68),2),MAX('Calc base'!C$12,ROUND('Calc base'!C$13*AT67,2))))</f>
        <v>0</v>
      </c>
      <c r="K68">
        <f>IF(AU67&lt;=0,0,IF(ROUND(AU67*(1+'Calc base'!I68),2)-MAX('Calc base'!D$12,ROUND('Calc base'!D$13*AU67,2))&lt;1,ROUND(AU67*(1+'Calc base'!I68),2),MAX('Calc base'!D$12,ROUND('Calc base'!D$13*AU67,2))))</f>
        <v>0</v>
      </c>
      <c r="L68">
        <f>IF(AV67&lt;=0,0,IF(ROUND(AV67*(1+'Calc base'!J68),2)-MAX('Calc base'!E$12,ROUND('Calc base'!E$13*AV67,2))&lt;1,ROUND(AV67*(1+'Calc base'!J68),2),MAX('Calc base'!E$12,ROUND('Calc base'!E$13*AV67,2))))</f>
        <v>0</v>
      </c>
      <c r="M68">
        <f>IF(AW67&lt;=0,0,IF(ROUND(AW67*(1+'Calc base'!K68),2)-MAX('Calc base'!F$12,ROUND('Calc base'!F$13*AW67,2))&lt;1,ROUND(AW67*(1+'Calc base'!K68),2),MAX('Calc base'!F$12,ROUND('Calc base'!F$13*AW67,2))))</f>
        <v>0</v>
      </c>
      <c r="N68">
        <f>IF(AX67&lt;=0,0,IF(ROUND(AX67*(1+'Calc base'!L68),2)-MAX('Calc base'!G$12,ROUND('Calc base'!G$13*AX67,2))&lt;1,ROUND(AX67*(1+'Calc base'!L68),2),MAX('Calc base'!G$12,ROUND('Calc base'!G$13*AX67,2))))</f>
        <v>0</v>
      </c>
      <c r="O68">
        <f>IF(AY67&lt;=0,0,IF(ROUND(AY67*(1+'Calc base'!M68),2)-MAX('Calc base'!H$12,ROUND('Calc base'!H$13*AY67,2))&lt;1,ROUND(AY67*(1+'Calc base'!M68),2),MAX('Calc base'!H$12,ROUND('Calc base'!H$13*AY67,2))))</f>
        <v>0</v>
      </c>
      <c r="P68">
        <f>IF(AZ67&lt;=0,0,IF(ROUND(AZ67*(1+'Calc base'!N68),2)-MAX('Calc base'!I$12,ROUND('Calc base'!I$13*AZ67,2))&lt;1,ROUND(AZ67*(1+'Calc base'!N68),2),MAX('Calc base'!I$12,ROUND('Calc base'!I$13*AZ67,2))))</f>
        <v>0</v>
      </c>
      <c r="Q68">
        <f>IF(BA67&lt;=0,0,IF(ROUND(BA67*(1+'Calc base'!O68),2)-MAX('Calc base'!J$12,ROUND('Calc base'!J$13*BA67,2))&lt;1,ROUND(BA67*(1+'Calc base'!O68),2),MAX('Calc base'!J$12,ROUND('Calc base'!J$13*BA67,2))))</f>
        <v>0</v>
      </c>
      <c r="R68">
        <f>IF(BB67&lt;=0,0,IF(ROUND(BB67*(1+'Calc base'!P68),2)-MAX('Calc base'!K$12,ROUND('Calc base'!K$13*BB67,2))&lt;1,ROUND(BB67*(1+'Calc base'!P68),2),MAX('Calc base'!K$12,ROUND('Calc base'!K$13*BB67,2))))</f>
        <v>0</v>
      </c>
      <c r="S68">
        <f>IF(BC67&lt;=0,0,IF(ROUND(BC67*(1+'Calc base'!Q68),2)-MAX('Calc base'!L$12,ROUND('Calc base'!L$13*BC67,2))&lt;1,ROUND(BC67*(1+'Calc base'!Q68),2),MAX('Calc base'!L$12,ROUND('Calc base'!L$13*BC67,2))))</f>
        <v>0</v>
      </c>
      <c r="T68">
        <f>IF(BD67&lt;=0,0,IF(ROUND(BD67*(1+'Calc base'!R68),2)-MAX('Calc base'!M$12,ROUND('Calc base'!M$13*BD67,2))&lt;1,ROUND(BD67*(1+'Calc base'!R68),2),MAX('Calc base'!M$12,ROUND('Calc base'!M$13*BD67,2))))</f>
        <v>0</v>
      </c>
      <c r="U68">
        <f>IF(BE67&lt;=0,0,IF(ROUND(BE67*(1+'Calc base'!S68),2)-MAX('Calc base'!N$12,ROUND('Calc base'!N$13*BE67,2))&lt;1,ROUND(BE67*(1+'Calc base'!S68),2),MAX('Calc base'!N$12,ROUND('Calc base'!N$13*BE67,2))))</f>
        <v>0</v>
      </c>
      <c r="V68">
        <f>MAX(0,ROUND(AT67*(1+'Calc base'!H68),2)-J68-'Calc base'!T68)</f>
        <v>0</v>
      </c>
      <c r="W68">
        <f>MAX(0,ROUND(AU67*(1+'Calc base'!I68),2)-K68-'Calc base'!U68)</f>
        <v>0</v>
      </c>
      <c r="X68">
        <f>MAX(0,ROUND(AV67*(1+'Calc base'!J68),2)-L68-'Calc base'!V68)</f>
        <v>0</v>
      </c>
      <c r="Y68">
        <f>MAX(0,ROUND(AW67*(1+'Calc base'!K68),2)-M68-'Calc base'!W68)</f>
        <v>0</v>
      </c>
      <c r="Z68">
        <f>MAX(0,ROUND(AX67*(1+'Calc base'!L68),2)-N68-'Calc base'!X68)</f>
        <v>0</v>
      </c>
      <c r="AA68">
        <f>MAX(0,ROUND(AY67*(1+'Calc base'!M68),2)-O68-'Calc base'!Y68)</f>
        <v>0</v>
      </c>
      <c r="AB68">
        <f>MAX(0,ROUND(AZ67*(1+'Calc base'!N68),2)-P68-'Calc base'!Z68)</f>
        <v>0</v>
      </c>
      <c r="AC68">
        <f>MAX(0,ROUND(BA67*(1+'Calc base'!O68),2)-Q68-'Calc base'!AA68)</f>
        <v>0</v>
      </c>
      <c r="AD68">
        <f>MAX(0,ROUND(BB67*(1+'Calc base'!P68),2)-R68-'Calc base'!AB68)</f>
        <v>0</v>
      </c>
      <c r="AE68">
        <f>MAX(0,ROUND(BC67*(1+'Calc base'!Q68),2)-S68-'Calc base'!AC68)</f>
        <v>0</v>
      </c>
      <c r="AF68">
        <f>MAX(0,ROUND(BD67*(1+'Calc base'!R68),2)-T68-'Calc base'!AD68)</f>
        <v>0</v>
      </c>
      <c r="AG68">
        <f>MAX(0,ROUND(BE67*(1+'Calc base'!S68),2)-U68-'Calc base'!AE68)</f>
        <v>0</v>
      </c>
      <c r="AH68">
        <f>IF('Calc base'!C$14=0,0,MIN(V68,MAX(0,$E68-SUMIFS($V68:$AG68,'Calc base'!$C$19:$N$19,"&lt;"&amp;'Calc base'!C$19,'Calc base'!$C$14:$N$14,1))))</f>
        <v>0</v>
      </c>
      <c r="AI68">
        <f>IF('Calc base'!D$14=0,0,MIN(W68,MAX(0,$E68-SUMIFS($V68:$AG68,'Calc base'!$C$19:$N$19,"&lt;"&amp;'Calc base'!D$19,'Calc base'!$C$14:$N$14,1))))</f>
        <v>0</v>
      </c>
      <c r="AJ68">
        <f>IF('Calc base'!E$14=0,0,MIN(X68,MAX(0,$E68-SUMIFS($V68:$AG68,'Calc base'!$C$19:$N$19,"&lt;"&amp;'Calc base'!E$19,'Calc base'!$C$14:$N$14,1))))</f>
        <v>0</v>
      </c>
      <c r="AK68">
        <f>IF('Calc base'!F$14=0,0,MIN(Y68,MAX(0,$E68-SUMIFS($V68:$AG68,'Calc base'!$C$19:$N$19,"&lt;"&amp;'Calc base'!F$19,'Calc base'!$C$14:$N$14,1))))</f>
        <v>0</v>
      </c>
      <c r="AL68">
        <f>IF('Calc base'!G$14=0,0,MIN(Z68,MAX(0,$E68-SUMIFS($V68:$AG68,'Calc base'!$C$19:$N$19,"&lt;"&amp;'Calc base'!G$19,'Calc base'!$C$14:$N$14,1))))</f>
        <v>0</v>
      </c>
      <c r="AM68">
        <f>IF('Calc base'!H$14=0,0,MIN(AA68,MAX(0,$E68-SUMIFS($V68:$AG68,'Calc base'!$C$19:$N$19,"&lt;"&amp;'Calc base'!H$19,'Calc base'!$C$14:$N$14,1))))</f>
        <v>0</v>
      </c>
      <c r="AN68">
        <f>IF('Calc base'!I$14=0,0,MIN(AB68,MAX(0,$E68-SUMIFS($V68:$AG68,'Calc base'!$C$19:$N$19,"&lt;"&amp;'Calc base'!I$19,'Calc base'!$C$14:$N$14,1))))</f>
        <v>0</v>
      </c>
      <c r="AO68">
        <f>IF('Calc base'!J$14=0,0,MIN(AC68,MAX(0,$E68-SUMIFS($V68:$AG68,'Calc base'!$C$19:$N$19,"&lt;"&amp;'Calc base'!J$19,'Calc base'!$C$14:$N$14,1))))</f>
        <v>0</v>
      </c>
      <c r="AP68">
        <f>IF('Calc base'!K$14=0,0,MIN(AD68,MAX(0,$E68-SUMIFS($V68:$AG68,'Calc base'!$C$19:$N$19,"&lt;"&amp;'Calc base'!K$19,'Calc base'!$C$14:$N$14,1))))</f>
        <v>0</v>
      </c>
      <c r="AQ68">
        <f>IF('Calc base'!L$14=0,0,MIN(AE68,MAX(0,$E68-SUMIFS($V68:$AG68,'Calc base'!$C$19:$N$19,"&lt;"&amp;'Calc base'!L$19,'Calc base'!$C$14:$N$14,1))))</f>
        <v>0</v>
      </c>
      <c r="AR68">
        <f>IF('Calc base'!M$14=0,0,MIN(AF68,MAX(0,$E68-SUMIFS($V68:$AG68,'Calc base'!$C$19:$N$19,"&lt;"&amp;'Calc base'!M$19,'Calc base'!$C$14:$N$14,1))))</f>
        <v>0</v>
      </c>
      <c r="AS68">
        <f>IF('Calc base'!N$14=0,0,MIN(AG68,MAX(0,$E68-SUMIFS($V68:$AG68,'Calc base'!$C$19:$N$19,"&lt;"&amp;'Calc base'!N$19,'Calc base'!$C$14:$N$14,1))))</f>
        <v>0</v>
      </c>
      <c r="AT68">
        <f>V68-AH68</f>
        <v>0</v>
      </c>
      <c r="AU68">
        <f>W68-AI68</f>
        <v>0</v>
      </c>
      <c r="AV68">
        <f>X68-AJ68</f>
        <v>0</v>
      </c>
      <c r="AW68">
        <f>Y68-AK68</f>
        <v>0</v>
      </c>
      <c r="AX68">
        <f>Z68-AL68</f>
        <v>0</v>
      </c>
      <c r="AY68">
        <f>AA68-AM68</f>
        <v>0</v>
      </c>
      <c r="AZ68">
        <f>AB68-AN68</f>
        <v>0</v>
      </c>
      <c r="BA68">
        <f>AC68-AO68</f>
        <v>0</v>
      </c>
      <c r="BB68">
        <f>AD68-AP68</f>
        <v>0</v>
      </c>
      <c r="BC68">
        <f>AE68-AQ68</f>
        <v>0</v>
      </c>
      <c r="BD68">
        <f>AF68-AR68</f>
        <v>0</v>
      </c>
      <c r="BE68">
        <f>AG68-AS68</f>
        <v>0</v>
      </c>
    </row>
    <row r="69">
      <c r="A69" t="n">
        <v>39</v>
      </c>
      <c r="B69">
        <f>SUMPRODUCT(ROUND($AT68:$BE68*(1+'Calc base'!$H69:$S69),2))</f>
        <v>0</v>
      </c>
      <c r="C69">
        <f>SUM(J69:U69)</f>
        <v>0</v>
      </c>
      <c r="D69">
        <f>SUM(V69:AG69)</f>
        <v>0</v>
      </c>
      <c r="E69">
        <f>MAX(0,IF(Impostazioni!$B$7="No",'Calc base'!$C69-$C$31,'Calc base'!$C69-C69)+'Calc base'!$G69+'Calc base'!$F69-(B69-C69-D69))</f>
        <v>900</v>
      </c>
      <c r="F69">
        <f>SUM(AH69:AS69)</f>
        <v>0</v>
      </c>
      <c r="G69">
        <f>SUM(AT69:BE69)</f>
        <v>0</v>
      </c>
      <c r="H69">
        <f>B69-G68</f>
        <v>0</v>
      </c>
      <c r="I69">
        <f>B69-G69</f>
        <v>0</v>
      </c>
      <c r="J69">
        <f>IF(AT68&lt;=0,0,IF(ROUND(AT68*(1+'Calc base'!H69),2)-MAX('Calc base'!C$12,ROUND('Calc base'!C$13*AT68,2))&lt;1,ROUND(AT68*(1+'Calc base'!H69),2),MAX('Calc base'!C$12,ROUND('Calc base'!C$13*AT68,2))))</f>
        <v>0</v>
      </c>
      <c r="K69">
        <f>IF(AU68&lt;=0,0,IF(ROUND(AU68*(1+'Calc base'!I69),2)-MAX('Calc base'!D$12,ROUND('Calc base'!D$13*AU68,2))&lt;1,ROUND(AU68*(1+'Calc base'!I69),2),MAX('Calc base'!D$12,ROUND('Calc base'!D$13*AU68,2))))</f>
        <v>0</v>
      </c>
      <c r="L69">
        <f>IF(AV68&lt;=0,0,IF(ROUND(AV68*(1+'Calc base'!J69),2)-MAX('Calc base'!E$12,ROUND('Calc base'!E$13*AV68,2))&lt;1,ROUND(AV68*(1+'Calc base'!J69),2),MAX('Calc base'!E$12,ROUND('Calc base'!E$13*AV68,2))))</f>
        <v>0</v>
      </c>
      <c r="M69">
        <f>IF(AW68&lt;=0,0,IF(ROUND(AW68*(1+'Calc base'!K69),2)-MAX('Calc base'!F$12,ROUND('Calc base'!F$13*AW68,2))&lt;1,ROUND(AW68*(1+'Calc base'!K69),2),MAX('Calc base'!F$12,ROUND('Calc base'!F$13*AW68,2))))</f>
        <v>0</v>
      </c>
      <c r="N69">
        <f>IF(AX68&lt;=0,0,IF(ROUND(AX68*(1+'Calc base'!L69),2)-MAX('Calc base'!G$12,ROUND('Calc base'!G$13*AX68,2))&lt;1,ROUND(AX68*(1+'Calc base'!L69),2),MAX('Calc base'!G$12,ROUND('Calc base'!G$13*AX68,2))))</f>
        <v>0</v>
      </c>
      <c r="O69">
        <f>IF(AY68&lt;=0,0,IF(ROUND(AY68*(1+'Calc base'!M69),2)-MAX('Calc base'!H$12,ROUND('Calc base'!H$13*AY68,2))&lt;1,ROUND(AY68*(1+'Calc base'!M69),2),MAX('Calc base'!H$12,ROUND('Calc base'!H$13*AY68,2))))</f>
        <v>0</v>
      </c>
      <c r="P69">
        <f>IF(AZ68&lt;=0,0,IF(ROUND(AZ68*(1+'Calc base'!N69),2)-MAX('Calc base'!I$12,ROUND('Calc base'!I$13*AZ68,2))&lt;1,ROUND(AZ68*(1+'Calc base'!N69),2),MAX('Calc base'!I$12,ROUND('Calc base'!I$13*AZ68,2))))</f>
        <v>0</v>
      </c>
      <c r="Q69">
        <f>IF(BA68&lt;=0,0,IF(ROUND(BA68*(1+'Calc base'!O69),2)-MAX('Calc base'!J$12,ROUND('Calc base'!J$13*BA68,2))&lt;1,ROUND(BA68*(1+'Calc base'!O69),2),MAX('Calc base'!J$12,ROUND('Calc base'!J$13*BA68,2))))</f>
        <v>0</v>
      </c>
      <c r="R69">
        <f>IF(BB68&lt;=0,0,IF(ROUND(BB68*(1+'Calc base'!P69),2)-MAX('Calc base'!K$12,ROUND('Calc base'!K$13*BB68,2))&lt;1,ROUND(BB68*(1+'Calc base'!P69),2),MAX('Calc base'!K$12,ROUND('Calc base'!K$13*BB68,2))))</f>
        <v>0</v>
      </c>
      <c r="S69">
        <f>IF(BC68&lt;=0,0,IF(ROUND(BC68*(1+'Calc base'!Q69),2)-MAX('Calc base'!L$12,ROUND('Calc base'!L$13*BC68,2))&lt;1,ROUND(BC68*(1+'Calc base'!Q69),2),MAX('Calc base'!L$12,ROUND('Calc base'!L$13*BC68,2))))</f>
        <v>0</v>
      </c>
      <c r="T69">
        <f>IF(BD68&lt;=0,0,IF(ROUND(BD68*(1+'Calc base'!R69),2)-MAX('Calc base'!M$12,ROUND('Calc base'!M$13*BD68,2))&lt;1,ROUND(BD68*(1+'Calc base'!R69),2),MAX('Calc base'!M$12,ROUND('Calc base'!M$13*BD68,2))))</f>
        <v>0</v>
      </c>
      <c r="U69">
        <f>IF(BE68&lt;=0,0,IF(ROUND(BE68*(1+'Calc base'!S69),2)-MAX('Calc base'!N$12,ROUND('Calc base'!N$13*BE68,2))&lt;1,ROUND(BE68*(1+'Calc base'!S69),2),MAX('Calc base'!N$12,ROUND('Calc base'!N$13*BE68,2))))</f>
        <v>0</v>
      </c>
      <c r="V69">
        <f>MAX(0,ROUND(AT68*(1+'Calc base'!H69),2)-J69-'Calc base'!T69)</f>
        <v>0</v>
      </c>
      <c r="W69">
        <f>MAX(0,ROUND(AU68*(1+'Calc base'!I69),2)-K69-'Calc base'!U69)</f>
        <v>0</v>
      </c>
      <c r="X69">
        <f>MAX(0,ROUND(AV68*(1+'Calc base'!J69),2)-L69-'Calc base'!V69)</f>
        <v>0</v>
      </c>
      <c r="Y69">
        <f>MAX(0,ROUND(AW68*(1+'Calc base'!K69),2)-M69-'Calc base'!W69)</f>
        <v>0</v>
      </c>
      <c r="Z69">
        <f>MAX(0,ROUND(AX68*(1+'Calc base'!L69),2)-N69-'Calc base'!X69)</f>
        <v>0</v>
      </c>
      <c r="AA69">
        <f>MAX(0,ROUND(AY68*(1+'Calc base'!M69),2)-O69-'Calc base'!Y69)</f>
        <v>0</v>
      </c>
      <c r="AB69">
        <f>MAX(0,ROUND(AZ68*(1+'Calc base'!N69),2)-P69-'Calc base'!Z69)</f>
        <v>0</v>
      </c>
      <c r="AC69">
        <f>MAX(0,ROUND(BA68*(1+'Calc base'!O69),2)-Q69-'Calc base'!AA69)</f>
        <v>0</v>
      </c>
      <c r="AD69">
        <f>MAX(0,ROUND(BB68*(1+'Calc base'!P69),2)-R69-'Calc base'!AB69)</f>
        <v>0</v>
      </c>
      <c r="AE69">
        <f>MAX(0,ROUND(BC68*(1+'Calc base'!Q69),2)-S69-'Calc base'!AC69)</f>
        <v>0</v>
      </c>
      <c r="AF69">
        <f>MAX(0,ROUND(BD68*(1+'Calc base'!R69),2)-T69-'Calc base'!AD69)</f>
        <v>0</v>
      </c>
      <c r="AG69">
        <f>MAX(0,ROUND(BE68*(1+'Calc base'!S69),2)-U69-'Calc base'!AE69)</f>
        <v>0</v>
      </c>
      <c r="AH69">
        <f>IF('Calc base'!C$14=0,0,MIN(V69,MAX(0,$E69-SUMIFS($V69:$AG69,'Calc base'!$C$19:$N$19,"&lt;"&amp;'Calc base'!C$19,'Calc base'!$C$14:$N$14,1))))</f>
        <v>0</v>
      </c>
      <c r="AI69">
        <f>IF('Calc base'!D$14=0,0,MIN(W69,MAX(0,$E69-SUMIFS($V69:$AG69,'Calc base'!$C$19:$N$19,"&lt;"&amp;'Calc base'!D$19,'Calc base'!$C$14:$N$14,1))))</f>
        <v>0</v>
      </c>
      <c r="AJ69">
        <f>IF('Calc base'!E$14=0,0,MIN(X69,MAX(0,$E69-SUMIFS($V69:$AG69,'Calc base'!$C$19:$N$19,"&lt;"&amp;'Calc base'!E$19,'Calc base'!$C$14:$N$14,1))))</f>
        <v>0</v>
      </c>
      <c r="AK69">
        <f>IF('Calc base'!F$14=0,0,MIN(Y69,MAX(0,$E69-SUMIFS($V69:$AG69,'Calc base'!$C$19:$N$19,"&lt;"&amp;'Calc base'!F$19,'Calc base'!$C$14:$N$14,1))))</f>
        <v>0</v>
      </c>
      <c r="AL69">
        <f>IF('Calc base'!G$14=0,0,MIN(Z69,MAX(0,$E69-SUMIFS($V69:$AG69,'Calc base'!$C$19:$N$19,"&lt;"&amp;'Calc base'!G$19,'Calc base'!$C$14:$N$14,1))))</f>
        <v>0</v>
      </c>
      <c r="AM69">
        <f>IF('Calc base'!H$14=0,0,MIN(AA69,MAX(0,$E69-SUMIFS($V69:$AG69,'Calc base'!$C$19:$N$19,"&lt;"&amp;'Calc base'!H$19,'Calc base'!$C$14:$N$14,1))))</f>
        <v>0</v>
      </c>
      <c r="AN69">
        <f>IF('Calc base'!I$14=0,0,MIN(AB69,MAX(0,$E69-SUMIFS($V69:$AG69,'Calc base'!$C$19:$N$19,"&lt;"&amp;'Calc base'!I$19,'Calc base'!$C$14:$N$14,1))))</f>
        <v>0</v>
      </c>
      <c r="AO69">
        <f>IF('Calc base'!J$14=0,0,MIN(AC69,MAX(0,$E69-SUMIFS($V69:$AG69,'Calc base'!$C$19:$N$19,"&lt;"&amp;'Calc base'!J$19,'Calc base'!$C$14:$N$14,1))))</f>
        <v>0</v>
      </c>
      <c r="AP69">
        <f>IF('Calc base'!K$14=0,0,MIN(AD69,MAX(0,$E69-SUMIFS($V69:$AG69,'Calc base'!$C$19:$N$19,"&lt;"&amp;'Calc base'!K$19,'Calc base'!$C$14:$N$14,1))))</f>
        <v>0</v>
      </c>
      <c r="AQ69">
        <f>IF('Calc base'!L$14=0,0,MIN(AE69,MAX(0,$E69-SUMIFS($V69:$AG69,'Calc base'!$C$19:$N$19,"&lt;"&amp;'Calc base'!L$19,'Calc base'!$C$14:$N$14,1))))</f>
        <v>0</v>
      </c>
      <c r="AR69">
        <f>IF('Calc base'!M$14=0,0,MIN(AF69,MAX(0,$E69-SUMIFS($V69:$AG69,'Calc base'!$C$19:$N$19,"&lt;"&amp;'Calc base'!M$19,'Calc base'!$C$14:$N$14,1))))</f>
        <v>0</v>
      </c>
      <c r="AS69">
        <f>IF('Calc base'!N$14=0,0,MIN(AG69,MAX(0,$E69-SUMIFS($V69:$AG69,'Calc base'!$C$19:$N$19,"&lt;"&amp;'Calc base'!N$19,'Calc base'!$C$14:$N$14,1))))</f>
        <v>0</v>
      </c>
      <c r="AT69">
        <f>V69-AH69</f>
        <v>0</v>
      </c>
      <c r="AU69">
        <f>W69-AI69</f>
        <v>0</v>
      </c>
      <c r="AV69">
        <f>X69-AJ69</f>
        <v>0</v>
      </c>
      <c r="AW69">
        <f>Y69-AK69</f>
        <v>0</v>
      </c>
      <c r="AX69">
        <f>Z69-AL69</f>
        <v>0</v>
      </c>
      <c r="AY69">
        <f>AA69-AM69</f>
        <v>0</v>
      </c>
      <c r="AZ69">
        <f>AB69-AN69</f>
        <v>0</v>
      </c>
      <c r="BA69">
        <f>AC69-AO69</f>
        <v>0</v>
      </c>
      <c r="BB69">
        <f>AD69-AP69</f>
        <v>0</v>
      </c>
      <c r="BC69">
        <f>AE69-AQ69</f>
        <v>0</v>
      </c>
      <c r="BD69">
        <f>AF69-AR69</f>
        <v>0</v>
      </c>
      <c r="BE69">
        <f>AG69-AS69</f>
        <v>0</v>
      </c>
    </row>
    <row r="70">
      <c r="A70" t="n">
        <v>40</v>
      </c>
      <c r="B70">
        <f>SUMPRODUCT(ROUND($AT69:$BE69*(1+'Calc base'!$H70:$S70),2))</f>
        <v>0</v>
      </c>
      <c r="C70">
        <f>SUM(J70:U70)</f>
        <v>0</v>
      </c>
      <c r="D70">
        <f>SUM(V70:AG70)</f>
        <v>0</v>
      </c>
      <c r="E70">
        <f>MAX(0,IF(Impostazioni!$B$7="No",'Calc base'!$C70-$C$31,'Calc base'!$C70-C70)+'Calc base'!$G70+'Calc base'!$F70-(B70-C70-D70))</f>
        <v>900</v>
      </c>
      <c r="F70">
        <f>SUM(AH70:AS70)</f>
        <v>0</v>
      </c>
      <c r="G70">
        <f>SUM(AT70:BE70)</f>
        <v>0</v>
      </c>
      <c r="H70">
        <f>B70-G69</f>
        <v>0</v>
      </c>
      <c r="I70">
        <f>B70-G70</f>
        <v>0</v>
      </c>
      <c r="J70">
        <f>IF(AT69&lt;=0,0,IF(ROUND(AT69*(1+'Calc base'!H70),2)-MAX('Calc base'!C$12,ROUND('Calc base'!C$13*AT69,2))&lt;1,ROUND(AT69*(1+'Calc base'!H70),2),MAX('Calc base'!C$12,ROUND('Calc base'!C$13*AT69,2))))</f>
        <v>0</v>
      </c>
      <c r="K70">
        <f>IF(AU69&lt;=0,0,IF(ROUND(AU69*(1+'Calc base'!I70),2)-MAX('Calc base'!D$12,ROUND('Calc base'!D$13*AU69,2))&lt;1,ROUND(AU69*(1+'Calc base'!I70),2),MAX('Calc base'!D$12,ROUND('Calc base'!D$13*AU69,2))))</f>
        <v>0</v>
      </c>
      <c r="L70">
        <f>IF(AV69&lt;=0,0,IF(ROUND(AV69*(1+'Calc base'!J70),2)-MAX('Calc base'!E$12,ROUND('Calc base'!E$13*AV69,2))&lt;1,ROUND(AV69*(1+'Calc base'!J70),2),MAX('Calc base'!E$12,ROUND('Calc base'!E$13*AV69,2))))</f>
        <v>0</v>
      </c>
      <c r="M70">
        <f>IF(AW69&lt;=0,0,IF(ROUND(AW69*(1+'Calc base'!K70),2)-MAX('Calc base'!F$12,ROUND('Calc base'!F$13*AW69,2))&lt;1,ROUND(AW69*(1+'Calc base'!K70),2),MAX('Calc base'!F$12,ROUND('Calc base'!F$13*AW69,2))))</f>
        <v>0</v>
      </c>
      <c r="N70">
        <f>IF(AX69&lt;=0,0,IF(ROUND(AX69*(1+'Calc base'!L70),2)-MAX('Calc base'!G$12,ROUND('Calc base'!G$13*AX69,2))&lt;1,ROUND(AX69*(1+'Calc base'!L70),2),MAX('Calc base'!G$12,ROUND('Calc base'!G$13*AX69,2))))</f>
        <v>0</v>
      </c>
      <c r="O70">
        <f>IF(AY69&lt;=0,0,IF(ROUND(AY69*(1+'Calc base'!M70),2)-MAX('Calc base'!H$12,ROUND('Calc base'!H$13*AY69,2))&lt;1,ROUND(AY69*(1+'Calc base'!M70),2),MAX('Calc base'!H$12,ROUND('Calc base'!H$13*AY69,2))))</f>
        <v>0</v>
      </c>
      <c r="P70">
        <f>IF(AZ69&lt;=0,0,IF(ROUND(AZ69*(1+'Calc base'!N70),2)-MAX('Calc base'!I$12,ROUND('Calc base'!I$13*AZ69,2))&lt;1,ROUND(AZ69*(1+'Calc base'!N70),2),MAX('Calc base'!I$12,ROUND('Calc base'!I$13*AZ69,2))))</f>
        <v>0</v>
      </c>
      <c r="Q70">
        <f>IF(BA69&lt;=0,0,IF(ROUND(BA69*(1+'Calc base'!O70),2)-MAX('Calc base'!J$12,ROUND('Calc base'!J$13*BA69,2))&lt;1,ROUND(BA69*(1+'Calc base'!O70),2),MAX('Calc base'!J$12,ROUND('Calc base'!J$13*BA69,2))))</f>
        <v>0</v>
      </c>
      <c r="R70">
        <f>IF(BB69&lt;=0,0,IF(ROUND(BB69*(1+'Calc base'!P70),2)-MAX('Calc base'!K$12,ROUND('Calc base'!K$13*BB69,2))&lt;1,ROUND(BB69*(1+'Calc base'!P70),2),MAX('Calc base'!K$12,ROUND('Calc base'!K$13*BB69,2))))</f>
        <v>0</v>
      </c>
      <c r="S70">
        <f>IF(BC69&lt;=0,0,IF(ROUND(BC69*(1+'Calc base'!Q70),2)-MAX('Calc base'!L$12,ROUND('Calc base'!L$13*BC69,2))&lt;1,ROUND(BC69*(1+'Calc base'!Q70),2),MAX('Calc base'!L$12,ROUND('Calc base'!L$13*BC69,2))))</f>
        <v>0</v>
      </c>
      <c r="T70">
        <f>IF(BD69&lt;=0,0,IF(ROUND(BD69*(1+'Calc base'!R70),2)-MAX('Calc base'!M$12,ROUND('Calc base'!M$13*BD69,2))&lt;1,ROUND(BD69*(1+'Calc base'!R70),2),MAX('Calc base'!M$12,ROUND('Calc base'!M$13*BD69,2))))</f>
        <v>0</v>
      </c>
      <c r="U70">
        <f>IF(BE69&lt;=0,0,IF(ROUND(BE69*(1+'Calc base'!S70),2)-MAX('Calc base'!N$12,ROUND('Calc base'!N$13*BE69,2))&lt;1,ROUND(BE69*(1+'Calc base'!S70),2),MAX('Calc base'!N$12,ROUND('Calc base'!N$13*BE69,2))))</f>
        <v>0</v>
      </c>
      <c r="V70">
        <f>MAX(0,ROUND(AT69*(1+'Calc base'!H70),2)-J70-'Calc base'!T70)</f>
        <v>0</v>
      </c>
      <c r="W70">
        <f>MAX(0,ROUND(AU69*(1+'Calc base'!I70),2)-K70-'Calc base'!U70)</f>
        <v>0</v>
      </c>
      <c r="X70">
        <f>MAX(0,ROUND(AV69*(1+'Calc base'!J70),2)-L70-'Calc base'!V70)</f>
        <v>0</v>
      </c>
      <c r="Y70">
        <f>MAX(0,ROUND(AW69*(1+'Calc base'!K70),2)-M70-'Calc base'!W70)</f>
        <v>0</v>
      </c>
      <c r="Z70">
        <f>MAX(0,ROUND(AX69*(1+'Calc base'!L70),2)-N70-'Calc base'!X70)</f>
        <v>0</v>
      </c>
      <c r="AA70">
        <f>MAX(0,ROUND(AY69*(1+'Calc base'!M70),2)-O70-'Calc base'!Y70)</f>
        <v>0</v>
      </c>
      <c r="AB70">
        <f>MAX(0,ROUND(AZ69*(1+'Calc base'!N70),2)-P70-'Calc base'!Z70)</f>
        <v>0</v>
      </c>
      <c r="AC70">
        <f>MAX(0,ROUND(BA69*(1+'Calc base'!O70),2)-Q70-'Calc base'!AA70)</f>
        <v>0</v>
      </c>
      <c r="AD70">
        <f>MAX(0,ROUND(BB69*(1+'Calc base'!P70),2)-R70-'Calc base'!AB70)</f>
        <v>0</v>
      </c>
      <c r="AE70">
        <f>MAX(0,ROUND(BC69*(1+'Calc base'!Q70),2)-S70-'Calc base'!AC70)</f>
        <v>0</v>
      </c>
      <c r="AF70">
        <f>MAX(0,ROUND(BD69*(1+'Calc base'!R70),2)-T70-'Calc base'!AD70)</f>
        <v>0</v>
      </c>
      <c r="AG70">
        <f>MAX(0,ROUND(BE69*(1+'Calc base'!S70),2)-U70-'Calc base'!AE70)</f>
        <v>0</v>
      </c>
      <c r="AH70">
        <f>IF('Calc base'!C$14=0,0,MIN(V70,MAX(0,$E70-SUMIFS($V70:$AG70,'Calc base'!$C$19:$N$19,"&lt;"&amp;'Calc base'!C$19,'Calc base'!$C$14:$N$14,1))))</f>
        <v>0</v>
      </c>
      <c r="AI70">
        <f>IF('Calc base'!D$14=0,0,MIN(W70,MAX(0,$E70-SUMIFS($V70:$AG70,'Calc base'!$C$19:$N$19,"&lt;"&amp;'Calc base'!D$19,'Calc base'!$C$14:$N$14,1))))</f>
        <v>0</v>
      </c>
      <c r="AJ70">
        <f>IF('Calc base'!E$14=0,0,MIN(X70,MAX(0,$E70-SUMIFS($V70:$AG70,'Calc base'!$C$19:$N$19,"&lt;"&amp;'Calc base'!E$19,'Calc base'!$C$14:$N$14,1))))</f>
        <v>0</v>
      </c>
      <c r="AK70">
        <f>IF('Calc base'!F$14=0,0,MIN(Y70,MAX(0,$E70-SUMIFS($V70:$AG70,'Calc base'!$C$19:$N$19,"&lt;"&amp;'Calc base'!F$19,'Calc base'!$C$14:$N$14,1))))</f>
        <v>0</v>
      </c>
      <c r="AL70">
        <f>IF('Calc base'!G$14=0,0,MIN(Z70,MAX(0,$E70-SUMIFS($V70:$AG70,'Calc base'!$C$19:$N$19,"&lt;"&amp;'Calc base'!G$19,'Calc base'!$C$14:$N$14,1))))</f>
        <v>0</v>
      </c>
      <c r="AM70">
        <f>IF('Calc base'!H$14=0,0,MIN(AA70,MAX(0,$E70-SUMIFS($V70:$AG70,'Calc base'!$C$19:$N$19,"&lt;"&amp;'Calc base'!H$19,'Calc base'!$C$14:$N$14,1))))</f>
        <v>0</v>
      </c>
      <c r="AN70">
        <f>IF('Calc base'!I$14=0,0,MIN(AB70,MAX(0,$E70-SUMIFS($V70:$AG70,'Calc base'!$C$19:$N$19,"&lt;"&amp;'Calc base'!I$19,'Calc base'!$C$14:$N$14,1))))</f>
        <v>0</v>
      </c>
      <c r="AO70">
        <f>IF('Calc base'!J$14=0,0,MIN(AC70,MAX(0,$E70-SUMIFS($V70:$AG70,'Calc base'!$C$19:$N$19,"&lt;"&amp;'Calc base'!J$19,'Calc base'!$C$14:$N$14,1))))</f>
        <v>0</v>
      </c>
      <c r="AP70">
        <f>IF('Calc base'!K$14=0,0,MIN(AD70,MAX(0,$E70-SUMIFS($V70:$AG70,'Calc base'!$C$19:$N$19,"&lt;"&amp;'Calc base'!K$19,'Calc base'!$C$14:$N$14,1))))</f>
        <v>0</v>
      </c>
      <c r="AQ70">
        <f>IF('Calc base'!L$14=0,0,MIN(AE70,MAX(0,$E70-SUMIFS($V70:$AG70,'Calc base'!$C$19:$N$19,"&lt;"&amp;'Calc base'!L$19,'Calc base'!$C$14:$N$14,1))))</f>
        <v>0</v>
      </c>
      <c r="AR70">
        <f>IF('Calc base'!M$14=0,0,MIN(AF70,MAX(0,$E70-SUMIFS($V70:$AG70,'Calc base'!$C$19:$N$19,"&lt;"&amp;'Calc base'!M$19,'Calc base'!$C$14:$N$14,1))))</f>
        <v>0</v>
      </c>
      <c r="AS70">
        <f>IF('Calc base'!N$14=0,0,MIN(AG70,MAX(0,$E70-SUMIFS($V70:$AG70,'Calc base'!$C$19:$N$19,"&lt;"&amp;'Calc base'!N$19,'Calc base'!$C$14:$N$14,1))))</f>
        <v>0</v>
      </c>
      <c r="AT70">
        <f>V70-AH70</f>
        <v>0</v>
      </c>
      <c r="AU70">
        <f>W70-AI70</f>
        <v>0</v>
      </c>
      <c r="AV70">
        <f>X70-AJ70</f>
        <v>0</v>
      </c>
      <c r="AW70">
        <f>Y70-AK70</f>
        <v>0</v>
      </c>
      <c r="AX70">
        <f>Z70-AL70</f>
        <v>0</v>
      </c>
      <c r="AY70">
        <f>AA70-AM70</f>
        <v>0</v>
      </c>
      <c r="AZ70">
        <f>AB70-AN70</f>
        <v>0</v>
      </c>
      <c r="BA70">
        <f>AC70-AO70</f>
        <v>0</v>
      </c>
      <c r="BB70">
        <f>AD70-AP70</f>
        <v>0</v>
      </c>
      <c r="BC70">
        <f>AE70-AQ70</f>
        <v>0</v>
      </c>
      <c r="BD70">
        <f>AF70-AR70</f>
        <v>0</v>
      </c>
      <c r="BE70">
        <f>AG70-AS70</f>
        <v>0</v>
      </c>
    </row>
    <row r="71">
      <c r="A71" t="n">
        <v>41</v>
      </c>
      <c r="B71">
        <f>SUMPRODUCT(ROUND($AT70:$BE70*(1+'Calc base'!$H71:$S71),2))</f>
        <v>0</v>
      </c>
      <c r="C71">
        <f>SUM(J71:U71)</f>
        <v>0</v>
      </c>
      <c r="D71">
        <f>SUM(V71:AG71)</f>
        <v>0</v>
      </c>
      <c r="E71">
        <f>MAX(0,IF(Impostazioni!$B$7="No",'Calc base'!$C71-$C$31,'Calc base'!$C71-C71)+'Calc base'!$G71+'Calc base'!$F71-(B71-C71-D71))</f>
        <v>900</v>
      </c>
      <c r="F71">
        <f>SUM(AH71:AS71)</f>
        <v>0</v>
      </c>
      <c r="G71">
        <f>SUM(AT71:BE71)</f>
        <v>0</v>
      </c>
      <c r="H71">
        <f>B71-G70</f>
        <v>0</v>
      </c>
      <c r="I71">
        <f>B71-G71</f>
        <v>0</v>
      </c>
      <c r="J71">
        <f>IF(AT70&lt;=0,0,IF(ROUND(AT70*(1+'Calc base'!H71),2)-MAX('Calc base'!C$12,ROUND('Calc base'!C$13*AT70,2))&lt;1,ROUND(AT70*(1+'Calc base'!H71),2),MAX('Calc base'!C$12,ROUND('Calc base'!C$13*AT70,2))))</f>
        <v>0</v>
      </c>
      <c r="K71">
        <f>IF(AU70&lt;=0,0,IF(ROUND(AU70*(1+'Calc base'!I71),2)-MAX('Calc base'!D$12,ROUND('Calc base'!D$13*AU70,2))&lt;1,ROUND(AU70*(1+'Calc base'!I71),2),MAX('Calc base'!D$12,ROUND('Calc base'!D$13*AU70,2))))</f>
        <v>0</v>
      </c>
      <c r="L71">
        <f>IF(AV70&lt;=0,0,IF(ROUND(AV70*(1+'Calc base'!J71),2)-MAX('Calc base'!E$12,ROUND('Calc base'!E$13*AV70,2))&lt;1,ROUND(AV70*(1+'Calc base'!J71),2),MAX('Calc base'!E$12,ROUND('Calc base'!E$13*AV70,2))))</f>
        <v>0</v>
      </c>
      <c r="M71">
        <f>IF(AW70&lt;=0,0,IF(ROUND(AW70*(1+'Calc base'!K71),2)-MAX('Calc base'!F$12,ROUND('Calc base'!F$13*AW70,2))&lt;1,ROUND(AW70*(1+'Calc base'!K71),2),MAX('Calc base'!F$12,ROUND('Calc base'!F$13*AW70,2))))</f>
        <v>0</v>
      </c>
      <c r="N71">
        <f>IF(AX70&lt;=0,0,IF(ROUND(AX70*(1+'Calc base'!L71),2)-MAX('Calc base'!G$12,ROUND('Calc base'!G$13*AX70,2))&lt;1,ROUND(AX70*(1+'Calc base'!L71),2),MAX('Calc base'!G$12,ROUND('Calc base'!G$13*AX70,2))))</f>
        <v>0</v>
      </c>
      <c r="O71">
        <f>IF(AY70&lt;=0,0,IF(ROUND(AY70*(1+'Calc base'!M71),2)-MAX('Calc base'!H$12,ROUND('Calc base'!H$13*AY70,2))&lt;1,ROUND(AY70*(1+'Calc base'!M71),2),MAX('Calc base'!H$12,ROUND('Calc base'!H$13*AY70,2))))</f>
        <v>0</v>
      </c>
      <c r="P71">
        <f>IF(AZ70&lt;=0,0,IF(ROUND(AZ70*(1+'Calc base'!N71),2)-MAX('Calc base'!I$12,ROUND('Calc base'!I$13*AZ70,2))&lt;1,ROUND(AZ70*(1+'Calc base'!N71),2),MAX('Calc base'!I$12,ROUND('Calc base'!I$13*AZ70,2))))</f>
        <v>0</v>
      </c>
      <c r="Q71">
        <f>IF(BA70&lt;=0,0,IF(ROUND(BA70*(1+'Calc base'!O71),2)-MAX('Calc base'!J$12,ROUND('Calc base'!J$13*BA70,2))&lt;1,ROUND(BA70*(1+'Calc base'!O71),2),MAX('Calc base'!J$12,ROUND('Calc base'!J$13*BA70,2))))</f>
        <v>0</v>
      </c>
      <c r="R71">
        <f>IF(BB70&lt;=0,0,IF(ROUND(BB70*(1+'Calc base'!P71),2)-MAX('Calc base'!K$12,ROUND('Calc base'!K$13*BB70,2))&lt;1,ROUND(BB70*(1+'Calc base'!P71),2),MAX('Calc base'!K$12,ROUND('Calc base'!K$13*BB70,2))))</f>
        <v>0</v>
      </c>
      <c r="S71">
        <f>IF(BC70&lt;=0,0,IF(ROUND(BC70*(1+'Calc base'!Q71),2)-MAX('Calc base'!L$12,ROUND('Calc base'!L$13*BC70,2))&lt;1,ROUND(BC70*(1+'Calc base'!Q71),2),MAX('Calc base'!L$12,ROUND('Calc base'!L$13*BC70,2))))</f>
        <v>0</v>
      </c>
      <c r="T71">
        <f>IF(BD70&lt;=0,0,IF(ROUND(BD70*(1+'Calc base'!R71),2)-MAX('Calc base'!M$12,ROUND('Calc base'!M$13*BD70,2))&lt;1,ROUND(BD70*(1+'Calc base'!R71),2),MAX('Calc base'!M$12,ROUND('Calc base'!M$13*BD70,2))))</f>
        <v>0</v>
      </c>
      <c r="U71">
        <f>IF(BE70&lt;=0,0,IF(ROUND(BE70*(1+'Calc base'!S71),2)-MAX('Calc base'!N$12,ROUND('Calc base'!N$13*BE70,2))&lt;1,ROUND(BE70*(1+'Calc base'!S71),2),MAX('Calc base'!N$12,ROUND('Calc base'!N$13*BE70,2))))</f>
        <v>0</v>
      </c>
      <c r="V71">
        <f>MAX(0,ROUND(AT70*(1+'Calc base'!H71),2)-J71-'Calc base'!T71)</f>
        <v>0</v>
      </c>
      <c r="W71">
        <f>MAX(0,ROUND(AU70*(1+'Calc base'!I71),2)-K71-'Calc base'!U71)</f>
        <v>0</v>
      </c>
      <c r="X71">
        <f>MAX(0,ROUND(AV70*(1+'Calc base'!J71),2)-L71-'Calc base'!V71)</f>
        <v>0</v>
      </c>
      <c r="Y71">
        <f>MAX(0,ROUND(AW70*(1+'Calc base'!K71),2)-M71-'Calc base'!W71)</f>
        <v>0</v>
      </c>
      <c r="Z71">
        <f>MAX(0,ROUND(AX70*(1+'Calc base'!L71),2)-N71-'Calc base'!X71)</f>
        <v>0</v>
      </c>
      <c r="AA71">
        <f>MAX(0,ROUND(AY70*(1+'Calc base'!M71),2)-O71-'Calc base'!Y71)</f>
        <v>0</v>
      </c>
      <c r="AB71">
        <f>MAX(0,ROUND(AZ70*(1+'Calc base'!N71),2)-P71-'Calc base'!Z71)</f>
        <v>0</v>
      </c>
      <c r="AC71">
        <f>MAX(0,ROUND(BA70*(1+'Calc base'!O71),2)-Q71-'Calc base'!AA71)</f>
        <v>0</v>
      </c>
      <c r="AD71">
        <f>MAX(0,ROUND(BB70*(1+'Calc base'!P71),2)-R71-'Calc base'!AB71)</f>
        <v>0</v>
      </c>
      <c r="AE71">
        <f>MAX(0,ROUND(BC70*(1+'Calc base'!Q71),2)-S71-'Calc base'!AC71)</f>
        <v>0</v>
      </c>
      <c r="AF71">
        <f>MAX(0,ROUND(BD70*(1+'Calc base'!R71),2)-T71-'Calc base'!AD71)</f>
        <v>0</v>
      </c>
      <c r="AG71">
        <f>MAX(0,ROUND(BE70*(1+'Calc base'!S71),2)-U71-'Calc base'!AE71)</f>
        <v>0</v>
      </c>
      <c r="AH71">
        <f>IF('Calc base'!C$14=0,0,MIN(V71,MAX(0,$E71-SUMIFS($V71:$AG71,'Calc base'!$C$19:$N$19,"&lt;"&amp;'Calc base'!C$19,'Calc base'!$C$14:$N$14,1))))</f>
        <v>0</v>
      </c>
      <c r="AI71">
        <f>IF('Calc base'!D$14=0,0,MIN(W71,MAX(0,$E71-SUMIFS($V71:$AG71,'Calc base'!$C$19:$N$19,"&lt;"&amp;'Calc base'!D$19,'Calc base'!$C$14:$N$14,1))))</f>
        <v>0</v>
      </c>
      <c r="AJ71">
        <f>IF('Calc base'!E$14=0,0,MIN(X71,MAX(0,$E71-SUMIFS($V71:$AG71,'Calc base'!$C$19:$N$19,"&lt;"&amp;'Calc base'!E$19,'Calc base'!$C$14:$N$14,1))))</f>
        <v>0</v>
      </c>
      <c r="AK71">
        <f>IF('Calc base'!F$14=0,0,MIN(Y71,MAX(0,$E71-SUMIFS($V71:$AG71,'Calc base'!$C$19:$N$19,"&lt;"&amp;'Calc base'!F$19,'Calc base'!$C$14:$N$14,1))))</f>
        <v>0</v>
      </c>
      <c r="AL71">
        <f>IF('Calc base'!G$14=0,0,MIN(Z71,MAX(0,$E71-SUMIFS($V71:$AG71,'Calc base'!$C$19:$N$19,"&lt;"&amp;'Calc base'!G$19,'Calc base'!$C$14:$N$14,1))))</f>
        <v>0</v>
      </c>
      <c r="AM71">
        <f>IF('Calc base'!H$14=0,0,MIN(AA71,MAX(0,$E71-SUMIFS($V71:$AG71,'Calc base'!$C$19:$N$19,"&lt;"&amp;'Calc base'!H$19,'Calc base'!$C$14:$N$14,1))))</f>
        <v>0</v>
      </c>
      <c r="AN71">
        <f>IF('Calc base'!I$14=0,0,MIN(AB71,MAX(0,$E71-SUMIFS($V71:$AG71,'Calc base'!$C$19:$N$19,"&lt;"&amp;'Calc base'!I$19,'Calc base'!$C$14:$N$14,1))))</f>
        <v>0</v>
      </c>
      <c r="AO71">
        <f>IF('Calc base'!J$14=0,0,MIN(AC71,MAX(0,$E71-SUMIFS($V71:$AG71,'Calc base'!$C$19:$N$19,"&lt;"&amp;'Calc base'!J$19,'Calc base'!$C$14:$N$14,1))))</f>
        <v>0</v>
      </c>
      <c r="AP71">
        <f>IF('Calc base'!K$14=0,0,MIN(AD71,MAX(0,$E71-SUMIFS($V71:$AG71,'Calc base'!$C$19:$N$19,"&lt;"&amp;'Calc base'!K$19,'Calc base'!$C$14:$N$14,1))))</f>
        <v>0</v>
      </c>
      <c r="AQ71">
        <f>IF('Calc base'!L$14=0,0,MIN(AE71,MAX(0,$E71-SUMIFS($V71:$AG71,'Calc base'!$C$19:$N$19,"&lt;"&amp;'Calc base'!L$19,'Calc base'!$C$14:$N$14,1))))</f>
        <v>0</v>
      </c>
      <c r="AR71">
        <f>IF('Calc base'!M$14=0,0,MIN(AF71,MAX(0,$E71-SUMIFS($V71:$AG71,'Calc base'!$C$19:$N$19,"&lt;"&amp;'Calc base'!M$19,'Calc base'!$C$14:$N$14,1))))</f>
        <v>0</v>
      </c>
      <c r="AS71">
        <f>IF('Calc base'!N$14=0,0,MIN(AG71,MAX(0,$E71-SUMIFS($V71:$AG71,'Calc base'!$C$19:$N$19,"&lt;"&amp;'Calc base'!N$19,'Calc base'!$C$14:$N$14,1))))</f>
        <v>0</v>
      </c>
      <c r="AT71">
        <f>V71-AH71</f>
        <v>0</v>
      </c>
      <c r="AU71">
        <f>W71-AI71</f>
        <v>0</v>
      </c>
      <c r="AV71">
        <f>X71-AJ71</f>
        <v>0</v>
      </c>
      <c r="AW71">
        <f>Y71-AK71</f>
        <v>0</v>
      </c>
      <c r="AX71">
        <f>Z71-AL71</f>
        <v>0</v>
      </c>
      <c r="AY71">
        <f>AA71-AM71</f>
        <v>0</v>
      </c>
      <c r="AZ71">
        <f>AB71-AN71</f>
        <v>0</v>
      </c>
      <c r="BA71">
        <f>AC71-AO71</f>
        <v>0</v>
      </c>
      <c r="BB71">
        <f>AD71-AP71</f>
        <v>0</v>
      </c>
      <c r="BC71">
        <f>AE71-AQ71</f>
        <v>0</v>
      </c>
      <c r="BD71">
        <f>AF71-AR71</f>
        <v>0</v>
      </c>
      <c r="BE71">
        <f>AG71-AS71</f>
        <v>0</v>
      </c>
    </row>
    <row r="72">
      <c r="A72" t="n">
        <v>42</v>
      </c>
      <c r="B72">
        <f>SUMPRODUCT(ROUND($AT71:$BE71*(1+'Calc base'!$H72:$S72),2))</f>
        <v>0</v>
      </c>
      <c r="C72">
        <f>SUM(J72:U72)</f>
        <v>0</v>
      </c>
      <c r="D72">
        <f>SUM(V72:AG72)</f>
        <v>0</v>
      </c>
      <c r="E72">
        <f>MAX(0,IF(Impostazioni!$B$7="No",'Calc base'!$C72-$C$31,'Calc base'!$C72-C72)+'Calc base'!$G72+'Calc base'!$F72-(B72-C72-D72))</f>
        <v>900</v>
      </c>
      <c r="F72">
        <f>SUM(AH72:AS72)</f>
        <v>0</v>
      </c>
      <c r="G72">
        <f>SUM(AT72:BE72)</f>
        <v>0</v>
      </c>
      <c r="H72">
        <f>B72-G71</f>
        <v>0</v>
      </c>
      <c r="I72">
        <f>B72-G72</f>
        <v>0</v>
      </c>
      <c r="J72">
        <f>IF(AT71&lt;=0,0,IF(ROUND(AT71*(1+'Calc base'!H72),2)-MAX('Calc base'!C$12,ROUND('Calc base'!C$13*AT71,2))&lt;1,ROUND(AT71*(1+'Calc base'!H72),2),MAX('Calc base'!C$12,ROUND('Calc base'!C$13*AT71,2))))</f>
        <v>0</v>
      </c>
      <c r="K72">
        <f>IF(AU71&lt;=0,0,IF(ROUND(AU71*(1+'Calc base'!I72),2)-MAX('Calc base'!D$12,ROUND('Calc base'!D$13*AU71,2))&lt;1,ROUND(AU71*(1+'Calc base'!I72),2),MAX('Calc base'!D$12,ROUND('Calc base'!D$13*AU71,2))))</f>
        <v>0</v>
      </c>
      <c r="L72">
        <f>IF(AV71&lt;=0,0,IF(ROUND(AV71*(1+'Calc base'!J72),2)-MAX('Calc base'!E$12,ROUND('Calc base'!E$13*AV71,2))&lt;1,ROUND(AV71*(1+'Calc base'!J72),2),MAX('Calc base'!E$12,ROUND('Calc base'!E$13*AV71,2))))</f>
        <v>0</v>
      </c>
      <c r="M72">
        <f>IF(AW71&lt;=0,0,IF(ROUND(AW71*(1+'Calc base'!K72),2)-MAX('Calc base'!F$12,ROUND('Calc base'!F$13*AW71,2))&lt;1,ROUND(AW71*(1+'Calc base'!K72),2),MAX('Calc base'!F$12,ROUND('Calc base'!F$13*AW71,2))))</f>
        <v>0</v>
      </c>
      <c r="N72">
        <f>IF(AX71&lt;=0,0,IF(ROUND(AX71*(1+'Calc base'!L72),2)-MAX('Calc base'!G$12,ROUND('Calc base'!G$13*AX71,2))&lt;1,ROUND(AX71*(1+'Calc base'!L72),2),MAX('Calc base'!G$12,ROUND('Calc base'!G$13*AX71,2))))</f>
        <v>0</v>
      </c>
      <c r="O72">
        <f>IF(AY71&lt;=0,0,IF(ROUND(AY71*(1+'Calc base'!M72),2)-MAX('Calc base'!H$12,ROUND('Calc base'!H$13*AY71,2))&lt;1,ROUND(AY71*(1+'Calc base'!M72),2),MAX('Calc base'!H$12,ROUND('Calc base'!H$13*AY71,2))))</f>
        <v>0</v>
      </c>
      <c r="P72">
        <f>IF(AZ71&lt;=0,0,IF(ROUND(AZ71*(1+'Calc base'!N72),2)-MAX('Calc base'!I$12,ROUND('Calc base'!I$13*AZ71,2))&lt;1,ROUND(AZ71*(1+'Calc base'!N72),2),MAX('Calc base'!I$12,ROUND('Calc base'!I$13*AZ71,2))))</f>
        <v>0</v>
      </c>
      <c r="Q72">
        <f>IF(BA71&lt;=0,0,IF(ROUND(BA71*(1+'Calc base'!O72),2)-MAX('Calc base'!J$12,ROUND('Calc base'!J$13*BA71,2))&lt;1,ROUND(BA71*(1+'Calc base'!O72),2),MAX('Calc base'!J$12,ROUND('Calc base'!J$13*BA71,2))))</f>
        <v>0</v>
      </c>
      <c r="R72">
        <f>IF(BB71&lt;=0,0,IF(ROUND(BB71*(1+'Calc base'!P72),2)-MAX('Calc base'!K$12,ROUND('Calc base'!K$13*BB71,2))&lt;1,ROUND(BB71*(1+'Calc base'!P72),2),MAX('Calc base'!K$12,ROUND('Calc base'!K$13*BB71,2))))</f>
        <v>0</v>
      </c>
      <c r="S72">
        <f>IF(BC71&lt;=0,0,IF(ROUND(BC71*(1+'Calc base'!Q72),2)-MAX('Calc base'!L$12,ROUND('Calc base'!L$13*BC71,2))&lt;1,ROUND(BC71*(1+'Calc base'!Q72),2),MAX('Calc base'!L$12,ROUND('Calc base'!L$13*BC71,2))))</f>
        <v>0</v>
      </c>
      <c r="T72">
        <f>IF(BD71&lt;=0,0,IF(ROUND(BD71*(1+'Calc base'!R72),2)-MAX('Calc base'!M$12,ROUND('Calc base'!M$13*BD71,2))&lt;1,ROUND(BD71*(1+'Calc base'!R72),2),MAX('Calc base'!M$12,ROUND('Calc base'!M$13*BD71,2))))</f>
        <v>0</v>
      </c>
      <c r="U72">
        <f>IF(BE71&lt;=0,0,IF(ROUND(BE71*(1+'Calc base'!S72),2)-MAX('Calc base'!N$12,ROUND('Calc base'!N$13*BE71,2))&lt;1,ROUND(BE71*(1+'Calc base'!S72),2),MAX('Calc base'!N$12,ROUND('Calc base'!N$13*BE71,2))))</f>
        <v>0</v>
      </c>
      <c r="V72">
        <f>MAX(0,ROUND(AT71*(1+'Calc base'!H72),2)-J72-'Calc base'!T72)</f>
        <v>0</v>
      </c>
      <c r="W72">
        <f>MAX(0,ROUND(AU71*(1+'Calc base'!I72),2)-K72-'Calc base'!U72)</f>
        <v>0</v>
      </c>
      <c r="X72">
        <f>MAX(0,ROUND(AV71*(1+'Calc base'!J72),2)-L72-'Calc base'!V72)</f>
        <v>0</v>
      </c>
      <c r="Y72">
        <f>MAX(0,ROUND(AW71*(1+'Calc base'!K72),2)-M72-'Calc base'!W72)</f>
        <v>0</v>
      </c>
      <c r="Z72">
        <f>MAX(0,ROUND(AX71*(1+'Calc base'!L72),2)-N72-'Calc base'!X72)</f>
        <v>0</v>
      </c>
      <c r="AA72">
        <f>MAX(0,ROUND(AY71*(1+'Calc base'!M72),2)-O72-'Calc base'!Y72)</f>
        <v>0</v>
      </c>
      <c r="AB72">
        <f>MAX(0,ROUND(AZ71*(1+'Calc base'!N72),2)-P72-'Calc base'!Z72)</f>
        <v>0</v>
      </c>
      <c r="AC72">
        <f>MAX(0,ROUND(BA71*(1+'Calc base'!O72),2)-Q72-'Calc base'!AA72)</f>
        <v>0</v>
      </c>
      <c r="AD72">
        <f>MAX(0,ROUND(BB71*(1+'Calc base'!P72),2)-R72-'Calc base'!AB72)</f>
        <v>0</v>
      </c>
      <c r="AE72">
        <f>MAX(0,ROUND(BC71*(1+'Calc base'!Q72),2)-S72-'Calc base'!AC72)</f>
        <v>0</v>
      </c>
      <c r="AF72">
        <f>MAX(0,ROUND(BD71*(1+'Calc base'!R72),2)-T72-'Calc base'!AD72)</f>
        <v>0</v>
      </c>
      <c r="AG72">
        <f>MAX(0,ROUND(BE71*(1+'Calc base'!S72),2)-U72-'Calc base'!AE72)</f>
        <v>0</v>
      </c>
      <c r="AH72">
        <f>IF('Calc base'!C$14=0,0,MIN(V72,MAX(0,$E72-SUMIFS($V72:$AG72,'Calc base'!$C$19:$N$19,"&lt;"&amp;'Calc base'!C$19,'Calc base'!$C$14:$N$14,1))))</f>
        <v>0</v>
      </c>
      <c r="AI72">
        <f>IF('Calc base'!D$14=0,0,MIN(W72,MAX(0,$E72-SUMIFS($V72:$AG72,'Calc base'!$C$19:$N$19,"&lt;"&amp;'Calc base'!D$19,'Calc base'!$C$14:$N$14,1))))</f>
        <v>0</v>
      </c>
      <c r="AJ72">
        <f>IF('Calc base'!E$14=0,0,MIN(X72,MAX(0,$E72-SUMIFS($V72:$AG72,'Calc base'!$C$19:$N$19,"&lt;"&amp;'Calc base'!E$19,'Calc base'!$C$14:$N$14,1))))</f>
        <v>0</v>
      </c>
      <c r="AK72">
        <f>IF('Calc base'!F$14=0,0,MIN(Y72,MAX(0,$E72-SUMIFS($V72:$AG72,'Calc base'!$C$19:$N$19,"&lt;"&amp;'Calc base'!F$19,'Calc base'!$C$14:$N$14,1))))</f>
        <v>0</v>
      </c>
      <c r="AL72">
        <f>IF('Calc base'!G$14=0,0,MIN(Z72,MAX(0,$E72-SUMIFS($V72:$AG72,'Calc base'!$C$19:$N$19,"&lt;"&amp;'Calc base'!G$19,'Calc base'!$C$14:$N$14,1))))</f>
        <v>0</v>
      </c>
      <c r="AM72">
        <f>IF('Calc base'!H$14=0,0,MIN(AA72,MAX(0,$E72-SUMIFS($V72:$AG72,'Calc base'!$C$19:$N$19,"&lt;"&amp;'Calc base'!H$19,'Calc base'!$C$14:$N$14,1))))</f>
        <v>0</v>
      </c>
      <c r="AN72">
        <f>IF('Calc base'!I$14=0,0,MIN(AB72,MAX(0,$E72-SUMIFS($V72:$AG72,'Calc base'!$C$19:$N$19,"&lt;"&amp;'Calc base'!I$19,'Calc base'!$C$14:$N$14,1))))</f>
        <v>0</v>
      </c>
      <c r="AO72">
        <f>IF('Calc base'!J$14=0,0,MIN(AC72,MAX(0,$E72-SUMIFS($V72:$AG72,'Calc base'!$C$19:$N$19,"&lt;"&amp;'Calc base'!J$19,'Calc base'!$C$14:$N$14,1))))</f>
        <v>0</v>
      </c>
      <c r="AP72">
        <f>IF('Calc base'!K$14=0,0,MIN(AD72,MAX(0,$E72-SUMIFS($V72:$AG72,'Calc base'!$C$19:$N$19,"&lt;"&amp;'Calc base'!K$19,'Calc base'!$C$14:$N$14,1))))</f>
        <v>0</v>
      </c>
      <c r="AQ72">
        <f>IF('Calc base'!L$14=0,0,MIN(AE72,MAX(0,$E72-SUMIFS($V72:$AG72,'Calc base'!$C$19:$N$19,"&lt;"&amp;'Calc base'!L$19,'Calc base'!$C$14:$N$14,1))))</f>
        <v>0</v>
      </c>
      <c r="AR72">
        <f>IF('Calc base'!M$14=0,0,MIN(AF72,MAX(0,$E72-SUMIFS($V72:$AG72,'Calc base'!$C$19:$N$19,"&lt;"&amp;'Calc base'!M$19,'Calc base'!$C$14:$N$14,1))))</f>
        <v>0</v>
      </c>
      <c r="AS72">
        <f>IF('Calc base'!N$14=0,0,MIN(AG72,MAX(0,$E72-SUMIFS($V72:$AG72,'Calc base'!$C$19:$N$19,"&lt;"&amp;'Calc base'!N$19,'Calc base'!$C$14:$N$14,1))))</f>
        <v>0</v>
      </c>
      <c r="AT72">
        <f>V72-AH72</f>
        <v>0</v>
      </c>
      <c r="AU72">
        <f>W72-AI72</f>
        <v>0</v>
      </c>
      <c r="AV72">
        <f>X72-AJ72</f>
        <v>0</v>
      </c>
      <c r="AW72">
        <f>Y72-AK72</f>
        <v>0</v>
      </c>
      <c r="AX72">
        <f>Z72-AL72</f>
        <v>0</v>
      </c>
      <c r="AY72">
        <f>AA72-AM72</f>
        <v>0</v>
      </c>
      <c r="AZ72">
        <f>AB72-AN72</f>
        <v>0</v>
      </c>
      <c r="BA72">
        <f>AC72-AO72</f>
        <v>0</v>
      </c>
      <c r="BB72">
        <f>AD72-AP72</f>
        <v>0</v>
      </c>
      <c r="BC72">
        <f>AE72-AQ72</f>
        <v>0</v>
      </c>
      <c r="BD72">
        <f>AF72-AR72</f>
        <v>0</v>
      </c>
      <c r="BE72">
        <f>AG72-AS72</f>
        <v>0</v>
      </c>
    </row>
    <row r="73">
      <c r="A73" t="n">
        <v>43</v>
      </c>
      <c r="B73">
        <f>SUMPRODUCT(ROUND($AT72:$BE72*(1+'Calc base'!$H73:$S73),2))</f>
        <v>0</v>
      </c>
      <c r="C73">
        <f>SUM(J73:U73)</f>
        <v>0</v>
      </c>
      <c r="D73">
        <f>SUM(V73:AG73)</f>
        <v>0</v>
      </c>
      <c r="E73">
        <f>MAX(0,IF(Impostazioni!$B$7="No",'Calc base'!$C73-$C$31,'Calc base'!$C73-C73)+'Calc base'!$G73+'Calc base'!$F73-(B73-C73-D73))</f>
        <v>900</v>
      </c>
      <c r="F73">
        <f>SUM(AH73:AS73)</f>
        <v>0</v>
      </c>
      <c r="G73">
        <f>SUM(AT73:BE73)</f>
        <v>0</v>
      </c>
      <c r="H73">
        <f>B73-G72</f>
        <v>0</v>
      </c>
      <c r="I73">
        <f>B73-G73</f>
        <v>0</v>
      </c>
      <c r="J73">
        <f>IF(AT72&lt;=0,0,IF(ROUND(AT72*(1+'Calc base'!H73),2)-MAX('Calc base'!C$12,ROUND('Calc base'!C$13*AT72,2))&lt;1,ROUND(AT72*(1+'Calc base'!H73),2),MAX('Calc base'!C$12,ROUND('Calc base'!C$13*AT72,2))))</f>
        <v>0</v>
      </c>
      <c r="K73">
        <f>IF(AU72&lt;=0,0,IF(ROUND(AU72*(1+'Calc base'!I73),2)-MAX('Calc base'!D$12,ROUND('Calc base'!D$13*AU72,2))&lt;1,ROUND(AU72*(1+'Calc base'!I73),2),MAX('Calc base'!D$12,ROUND('Calc base'!D$13*AU72,2))))</f>
        <v>0</v>
      </c>
      <c r="L73">
        <f>IF(AV72&lt;=0,0,IF(ROUND(AV72*(1+'Calc base'!J73),2)-MAX('Calc base'!E$12,ROUND('Calc base'!E$13*AV72,2))&lt;1,ROUND(AV72*(1+'Calc base'!J73),2),MAX('Calc base'!E$12,ROUND('Calc base'!E$13*AV72,2))))</f>
        <v>0</v>
      </c>
      <c r="M73">
        <f>IF(AW72&lt;=0,0,IF(ROUND(AW72*(1+'Calc base'!K73),2)-MAX('Calc base'!F$12,ROUND('Calc base'!F$13*AW72,2))&lt;1,ROUND(AW72*(1+'Calc base'!K73),2),MAX('Calc base'!F$12,ROUND('Calc base'!F$13*AW72,2))))</f>
        <v>0</v>
      </c>
      <c r="N73">
        <f>IF(AX72&lt;=0,0,IF(ROUND(AX72*(1+'Calc base'!L73),2)-MAX('Calc base'!G$12,ROUND('Calc base'!G$13*AX72,2))&lt;1,ROUND(AX72*(1+'Calc base'!L73),2),MAX('Calc base'!G$12,ROUND('Calc base'!G$13*AX72,2))))</f>
        <v>0</v>
      </c>
      <c r="O73">
        <f>IF(AY72&lt;=0,0,IF(ROUND(AY72*(1+'Calc base'!M73),2)-MAX('Calc base'!H$12,ROUND('Calc base'!H$13*AY72,2))&lt;1,ROUND(AY72*(1+'Calc base'!M73),2),MAX('Calc base'!H$12,ROUND('Calc base'!H$13*AY72,2))))</f>
        <v>0</v>
      </c>
      <c r="P73">
        <f>IF(AZ72&lt;=0,0,IF(ROUND(AZ72*(1+'Calc base'!N73),2)-MAX('Calc base'!I$12,ROUND('Calc base'!I$13*AZ72,2))&lt;1,ROUND(AZ72*(1+'Calc base'!N73),2),MAX('Calc base'!I$12,ROUND('Calc base'!I$13*AZ72,2))))</f>
        <v>0</v>
      </c>
      <c r="Q73">
        <f>IF(BA72&lt;=0,0,IF(ROUND(BA72*(1+'Calc base'!O73),2)-MAX('Calc base'!J$12,ROUND('Calc base'!J$13*BA72,2))&lt;1,ROUND(BA72*(1+'Calc base'!O73),2),MAX('Calc base'!J$12,ROUND('Calc base'!J$13*BA72,2))))</f>
        <v>0</v>
      </c>
      <c r="R73">
        <f>IF(BB72&lt;=0,0,IF(ROUND(BB72*(1+'Calc base'!P73),2)-MAX('Calc base'!K$12,ROUND('Calc base'!K$13*BB72,2))&lt;1,ROUND(BB72*(1+'Calc base'!P73),2),MAX('Calc base'!K$12,ROUND('Calc base'!K$13*BB72,2))))</f>
        <v>0</v>
      </c>
      <c r="S73">
        <f>IF(BC72&lt;=0,0,IF(ROUND(BC72*(1+'Calc base'!Q73),2)-MAX('Calc base'!L$12,ROUND('Calc base'!L$13*BC72,2))&lt;1,ROUND(BC72*(1+'Calc base'!Q73),2),MAX('Calc base'!L$12,ROUND('Calc base'!L$13*BC72,2))))</f>
        <v>0</v>
      </c>
      <c r="T73">
        <f>IF(BD72&lt;=0,0,IF(ROUND(BD72*(1+'Calc base'!R73),2)-MAX('Calc base'!M$12,ROUND('Calc base'!M$13*BD72,2))&lt;1,ROUND(BD72*(1+'Calc base'!R73),2),MAX('Calc base'!M$12,ROUND('Calc base'!M$13*BD72,2))))</f>
        <v>0</v>
      </c>
      <c r="U73">
        <f>IF(BE72&lt;=0,0,IF(ROUND(BE72*(1+'Calc base'!S73),2)-MAX('Calc base'!N$12,ROUND('Calc base'!N$13*BE72,2))&lt;1,ROUND(BE72*(1+'Calc base'!S73),2),MAX('Calc base'!N$12,ROUND('Calc base'!N$13*BE72,2))))</f>
        <v>0</v>
      </c>
      <c r="V73">
        <f>MAX(0,ROUND(AT72*(1+'Calc base'!H73),2)-J73-'Calc base'!T73)</f>
        <v>0</v>
      </c>
      <c r="W73">
        <f>MAX(0,ROUND(AU72*(1+'Calc base'!I73),2)-K73-'Calc base'!U73)</f>
        <v>0</v>
      </c>
      <c r="X73">
        <f>MAX(0,ROUND(AV72*(1+'Calc base'!J73),2)-L73-'Calc base'!V73)</f>
        <v>0</v>
      </c>
      <c r="Y73">
        <f>MAX(0,ROUND(AW72*(1+'Calc base'!K73),2)-M73-'Calc base'!W73)</f>
        <v>0</v>
      </c>
      <c r="Z73">
        <f>MAX(0,ROUND(AX72*(1+'Calc base'!L73),2)-N73-'Calc base'!X73)</f>
        <v>0</v>
      </c>
      <c r="AA73">
        <f>MAX(0,ROUND(AY72*(1+'Calc base'!M73),2)-O73-'Calc base'!Y73)</f>
        <v>0</v>
      </c>
      <c r="AB73">
        <f>MAX(0,ROUND(AZ72*(1+'Calc base'!N73),2)-P73-'Calc base'!Z73)</f>
        <v>0</v>
      </c>
      <c r="AC73">
        <f>MAX(0,ROUND(BA72*(1+'Calc base'!O73),2)-Q73-'Calc base'!AA73)</f>
        <v>0</v>
      </c>
      <c r="AD73">
        <f>MAX(0,ROUND(BB72*(1+'Calc base'!P73),2)-R73-'Calc base'!AB73)</f>
        <v>0</v>
      </c>
      <c r="AE73">
        <f>MAX(0,ROUND(BC72*(1+'Calc base'!Q73),2)-S73-'Calc base'!AC73)</f>
        <v>0</v>
      </c>
      <c r="AF73">
        <f>MAX(0,ROUND(BD72*(1+'Calc base'!R73),2)-T73-'Calc base'!AD73)</f>
        <v>0</v>
      </c>
      <c r="AG73">
        <f>MAX(0,ROUND(BE72*(1+'Calc base'!S73),2)-U73-'Calc base'!AE73)</f>
        <v>0</v>
      </c>
      <c r="AH73">
        <f>IF('Calc base'!C$14=0,0,MIN(V73,MAX(0,$E73-SUMIFS($V73:$AG73,'Calc base'!$C$19:$N$19,"&lt;"&amp;'Calc base'!C$19,'Calc base'!$C$14:$N$14,1))))</f>
        <v>0</v>
      </c>
      <c r="AI73">
        <f>IF('Calc base'!D$14=0,0,MIN(W73,MAX(0,$E73-SUMIFS($V73:$AG73,'Calc base'!$C$19:$N$19,"&lt;"&amp;'Calc base'!D$19,'Calc base'!$C$14:$N$14,1))))</f>
        <v>0</v>
      </c>
      <c r="AJ73">
        <f>IF('Calc base'!E$14=0,0,MIN(X73,MAX(0,$E73-SUMIFS($V73:$AG73,'Calc base'!$C$19:$N$19,"&lt;"&amp;'Calc base'!E$19,'Calc base'!$C$14:$N$14,1))))</f>
        <v>0</v>
      </c>
      <c r="AK73">
        <f>IF('Calc base'!F$14=0,0,MIN(Y73,MAX(0,$E73-SUMIFS($V73:$AG73,'Calc base'!$C$19:$N$19,"&lt;"&amp;'Calc base'!F$19,'Calc base'!$C$14:$N$14,1))))</f>
        <v>0</v>
      </c>
      <c r="AL73">
        <f>IF('Calc base'!G$14=0,0,MIN(Z73,MAX(0,$E73-SUMIFS($V73:$AG73,'Calc base'!$C$19:$N$19,"&lt;"&amp;'Calc base'!G$19,'Calc base'!$C$14:$N$14,1))))</f>
        <v>0</v>
      </c>
      <c r="AM73">
        <f>IF('Calc base'!H$14=0,0,MIN(AA73,MAX(0,$E73-SUMIFS($V73:$AG73,'Calc base'!$C$19:$N$19,"&lt;"&amp;'Calc base'!H$19,'Calc base'!$C$14:$N$14,1))))</f>
        <v>0</v>
      </c>
      <c r="AN73">
        <f>IF('Calc base'!I$14=0,0,MIN(AB73,MAX(0,$E73-SUMIFS($V73:$AG73,'Calc base'!$C$19:$N$19,"&lt;"&amp;'Calc base'!I$19,'Calc base'!$C$14:$N$14,1))))</f>
        <v>0</v>
      </c>
      <c r="AO73">
        <f>IF('Calc base'!J$14=0,0,MIN(AC73,MAX(0,$E73-SUMIFS($V73:$AG73,'Calc base'!$C$19:$N$19,"&lt;"&amp;'Calc base'!J$19,'Calc base'!$C$14:$N$14,1))))</f>
        <v>0</v>
      </c>
      <c r="AP73">
        <f>IF('Calc base'!K$14=0,0,MIN(AD73,MAX(0,$E73-SUMIFS($V73:$AG73,'Calc base'!$C$19:$N$19,"&lt;"&amp;'Calc base'!K$19,'Calc base'!$C$14:$N$14,1))))</f>
        <v>0</v>
      </c>
      <c r="AQ73">
        <f>IF('Calc base'!L$14=0,0,MIN(AE73,MAX(0,$E73-SUMIFS($V73:$AG73,'Calc base'!$C$19:$N$19,"&lt;"&amp;'Calc base'!L$19,'Calc base'!$C$14:$N$14,1))))</f>
        <v>0</v>
      </c>
      <c r="AR73">
        <f>IF('Calc base'!M$14=0,0,MIN(AF73,MAX(0,$E73-SUMIFS($V73:$AG73,'Calc base'!$C$19:$N$19,"&lt;"&amp;'Calc base'!M$19,'Calc base'!$C$14:$N$14,1))))</f>
        <v>0</v>
      </c>
      <c r="AS73">
        <f>IF('Calc base'!N$14=0,0,MIN(AG73,MAX(0,$E73-SUMIFS($V73:$AG73,'Calc base'!$C$19:$N$19,"&lt;"&amp;'Calc base'!N$19,'Calc base'!$C$14:$N$14,1))))</f>
        <v>0</v>
      </c>
      <c r="AT73">
        <f>V73-AH73</f>
        <v>0</v>
      </c>
      <c r="AU73">
        <f>W73-AI73</f>
        <v>0</v>
      </c>
      <c r="AV73">
        <f>X73-AJ73</f>
        <v>0</v>
      </c>
      <c r="AW73">
        <f>Y73-AK73</f>
        <v>0</v>
      </c>
      <c r="AX73">
        <f>Z73-AL73</f>
        <v>0</v>
      </c>
      <c r="AY73">
        <f>AA73-AM73</f>
        <v>0</v>
      </c>
      <c r="AZ73">
        <f>AB73-AN73</f>
        <v>0</v>
      </c>
      <c r="BA73">
        <f>AC73-AO73</f>
        <v>0</v>
      </c>
      <c r="BB73">
        <f>AD73-AP73</f>
        <v>0</v>
      </c>
      <c r="BC73">
        <f>AE73-AQ73</f>
        <v>0</v>
      </c>
      <c r="BD73">
        <f>AF73-AR73</f>
        <v>0</v>
      </c>
      <c r="BE73">
        <f>AG73-AS73</f>
        <v>0</v>
      </c>
    </row>
    <row r="74">
      <c r="A74" t="n">
        <v>44</v>
      </c>
      <c r="B74">
        <f>SUMPRODUCT(ROUND($AT73:$BE73*(1+'Calc base'!$H74:$S74),2))</f>
        <v>0</v>
      </c>
      <c r="C74">
        <f>SUM(J74:U74)</f>
        <v>0</v>
      </c>
      <c r="D74">
        <f>SUM(V74:AG74)</f>
        <v>0</v>
      </c>
      <c r="E74">
        <f>MAX(0,IF(Impostazioni!$B$7="No",'Calc base'!$C74-$C$31,'Calc base'!$C74-C74)+'Calc base'!$G74+'Calc base'!$F74-(B74-C74-D74))</f>
        <v>900</v>
      </c>
      <c r="F74">
        <f>SUM(AH74:AS74)</f>
        <v>0</v>
      </c>
      <c r="G74">
        <f>SUM(AT74:BE74)</f>
        <v>0</v>
      </c>
      <c r="H74">
        <f>B74-G73</f>
        <v>0</v>
      </c>
      <c r="I74">
        <f>B74-G74</f>
        <v>0</v>
      </c>
      <c r="J74">
        <f>IF(AT73&lt;=0,0,IF(ROUND(AT73*(1+'Calc base'!H74),2)-MAX('Calc base'!C$12,ROUND('Calc base'!C$13*AT73,2))&lt;1,ROUND(AT73*(1+'Calc base'!H74),2),MAX('Calc base'!C$12,ROUND('Calc base'!C$13*AT73,2))))</f>
        <v>0</v>
      </c>
      <c r="K74">
        <f>IF(AU73&lt;=0,0,IF(ROUND(AU73*(1+'Calc base'!I74),2)-MAX('Calc base'!D$12,ROUND('Calc base'!D$13*AU73,2))&lt;1,ROUND(AU73*(1+'Calc base'!I74),2),MAX('Calc base'!D$12,ROUND('Calc base'!D$13*AU73,2))))</f>
        <v>0</v>
      </c>
      <c r="L74">
        <f>IF(AV73&lt;=0,0,IF(ROUND(AV73*(1+'Calc base'!J74),2)-MAX('Calc base'!E$12,ROUND('Calc base'!E$13*AV73,2))&lt;1,ROUND(AV73*(1+'Calc base'!J74),2),MAX('Calc base'!E$12,ROUND('Calc base'!E$13*AV73,2))))</f>
        <v>0</v>
      </c>
      <c r="M74">
        <f>IF(AW73&lt;=0,0,IF(ROUND(AW73*(1+'Calc base'!K74),2)-MAX('Calc base'!F$12,ROUND('Calc base'!F$13*AW73,2))&lt;1,ROUND(AW73*(1+'Calc base'!K74),2),MAX('Calc base'!F$12,ROUND('Calc base'!F$13*AW73,2))))</f>
        <v>0</v>
      </c>
      <c r="N74">
        <f>IF(AX73&lt;=0,0,IF(ROUND(AX73*(1+'Calc base'!L74),2)-MAX('Calc base'!G$12,ROUND('Calc base'!G$13*AX73,2))&lt;1,ROUND(AX73*(1+'Calc base'!L74),2),MAX('Calc base'!G$12,ROUND('Calc base'!G$13*AX73,2))))</f>
        <v>0</v>
      </c>
      <c r="O74">
        <f>IF(AY73&lt;=0,0,IF(ROUND(AY73*(1+'Calc base'!M74),2)-MAX('Calc base'!H$12,ROUND('Calc base'!H$13*AY73,2))&lt;1,ROUND(AY73*(1+'Calc base'!M74),2),MAX('Calc base'!H$12,ROUND('Calc base'!H$13*AY73,2))))</f>
        <v>0</v>
      </c>
      <c r="P74">
        <f>IF(AZ73&lt;=0,0,IF(ROUND(AZ73*(1+'Calc base'!N74),2)-MAX('Calc base'!I$12,ROUND('Calc base'!I$13*AZ73,2))&lt;1,ROUND(AZ73*(1+'Calc base'!N74),2),MAX('Calc base'!I$12,ROUND('Calc base'!I$13*AZ73,2))))</f>
        <v>0</v>
      </c>
      <c r="Q74">
        <f>IF(BA73&lt;=0,0,IF(ROUND(BA73*(1+'Calc base'!O74),2)-MAX('Calc base'!J$12,ROUND('Calc base'!J$13*BA73,2))&lt;1,ROUND(BA73*(1+'Calc base'!O74),2),MAX('Calc base'!J$12,ROUND('Calc base'!J$13*BA73,2))))</f>
        <v>0</v>
      </c>
      <c r="R74">
        <f>IF(BB73&lt;=0,0,IF(ROUND(BB73*(1+'Calc base'!P74),2)-MAX('Calc base'!K$12,ROUND('Calc base'!K$13*BB73,2))&lt;1,ROUND(BB73*(1+'Calc base'!P74),2),MAX('Calc base'!K$12,ROUND('Calc base'!K$13*BB73,2))))</f>
        <v>0</v>
      </c>
      <c r="S74">
        <f>IF(BC73&lt;=0,0,IF(ROUND(BC73*(1+'Calc base'!Q74),2)-MAX('Calc base'!L$12,ROUND('Calc base'!L$13*BC73,2))&lt;1,ROUND(BC73*(1+'Calc base'!Q74),2),MAX('Calc base'!L$12,ROUND('Calc base'!L$13*BC73,2))))</f>
        <v>0</v>
      </c>
      <c r="T74">
        <f>IF(BD73&lt;=0,0,IF(ROUND(BD73*(1+'Calc base'!R74),2)-MAX('Calc base'!M$12,ROUND('Calc base'!M$13*BD73,2))&lt;1,ROUND(BD73*(1+'Calc base'!R74),2),MAX('Calc base'!M$12,ROUND('Calc base'!M$13*BD73,2))))</f>
        <v>0</v>
      </c>
      <c r="U74">
        <f>IF(BE73&lt;=0,0,IF(ROUND(BE73*(1+'Calc base'!S74),2)-MAX('Calc base'!N$12,ROUND('Calc base'!N$13*BE73,2))&lt;1,ROUND(BE73*(1+'Calc base'!S74),2),MAX('Calc base'!N$12,ROUND('Calc base'!N$13*BE73,2))))</f>
        <v>0</v>
      </c>
      <c r="V74">
        <f>MAX(0,ROUND(AT73*(1+'Calc base'!H74),2)-J74-'Calc base'!T74)</f>
        <v>0</v>
      </c>
      <c r="W74">
        <f>MAX(0,ROUND(AU73*(1+'Calc base'!I74),2)-K74-'Calc base'!U74)</f>
        <v>0</v>
      </c>
      <c r="X74">
        <f>MAX(0,ROUND(AV73*(1+'Calc base'!J74),2)-L74-'Calc base'!V74)</f>
        <v>0</v>
      </c>
      <c r="Y74">
        <f>MAX(0,ROUND(AW73*(1+'Calc base'!K74),2)-M74-'Calc base'!W74)</f>
        <v>0</v>
      </c>
      <c r="Z74">
        <f>MAX(0,ROUND(AX73*(1+'Calc base'!L74),2)-N74-'Calc base'!X74)</f>
        <v>0</v>
      </c>
      <c r="AA74">
        <f>MAX(0,ROUND(AY73*(1+'Calc base'!M74),2)-O74-'Calc base'!Y74)</f>
        <v>0</v>
      </c>
      <c r="AB74">
        <f>MAX(0,ROUND(AZ73*(1+'Calc base'!N74),2)-P74-'Calc base'!Z74)</f>
        <v>0</v>
      </c>
      <c r="AC74">
        <f>MAX(0,ROUND(BA73*(1+'Calc base'!O74),2)-Q74-'Calc base'!AA74)</f>
        <v>0</v>
      </c>
      <c r="AD74">
        <f>MAX(0,ROUND(BB73*(1+'Calc base'!P74),2)-R74-'Calc base'!AB74)</f>
        <v>0</v>
      </c>
      <c r="AE74">
        <f>MAX(0,ROUND(BC73*(1+'Calc base'!Q74),2)-S74-'Calc base'!AC74)</f>
        <v>0</v>
      </c>
      <c r="AF74">
        <f>MAX(0,ROUND(BD73*(1+'Calc base'!R74),2)-T74-'Calc base'!AD74)</f>
        <v>0</v>
      </c>
      <c r="AG74">
        <f>MAX(0,ROUND(BE73*(1+'Calc base'!S74),2)-U74-'Calc base'!AE74)</f>
        <v>0</v>
      </c>
      <c r="AH74">
        <f>IF('Calc base'!C$14=0,0,MIN(V74,MAX(0,$E74-SUMIFS($V74:$AG74,'Calc base'!$C$19:$N$19,"&lt;"&amp;'Calc base'!C$19,'Calc base'!$C$14:$N$14,1))))</f>
        <v>0</v>
      </c>
      <c r="AI74">
        <f>IF('Calc base'!D$14=0,0,MIN(W74,MAX(0,$E74-SUMIFS($V74:$AG74,'Calc base'!$C$19:$N$19,"&lt;"&amp;'Calc base'!D$19,'Calc base'!$C$14:$N$14,1))))</f>
        <v>0</v>
      </c>
      <c r="AJ74">
        <f>IF('Calc base'!E$14=0,0,MIN(X74,MAX(0,$E74-SUMIFS($V74:$AG74,'Calc base'!$C$19:$N$19,"&lt;"&amp;'Calc base'!E$19,'Calc base'!$C$14:$N$14,1))))</f>
        <v>0</v>
      </c>
      <c r="AK74">
        <f>IF('Calc base'!F$14=0,0,MIN(Y74,MAX(0,$E74-SUMIFS($V74:$AG74,'Calc base'!$C$19:$N$19,"&lt;"&amp;'Calc base'!F$19,'Calc base'!$C$14:$N$14,1))))</f>
        <v>0</v>
      </c>
      <c r="AL74">
        <f>IF('Calc base'!G$14=0,0,MIN(Z74,MAX(0,$E74-SUMIFS($V74:$AG74,'Calc base'!$C$19:$N$19,"&lt;"&amp;'Calc base'!G$19,'Calc base'!$C$14:$N$14,1))))</f>
        <v>0</v>
      </c>
      <c r="AM74">
        <f>IF('Calc base'!H$14=0,0,MIN(AA74,MAX(0,$E74-SUMIFS($V74:$AG74,'Calc base'!$C$19:$N$19,"&lt;"&amp;'Calc base'!H$19,'Calc base'!$C$14:$N$14,1))))</f>
        <v>0</v>
      </c>
      <c r="AN74">
        <f>IF('Calc base'!I$14=0,0,MIN(AB74,MAX(0,$E74-SUMIFS($V74:$AG74,'Calc base'!$C$19:$N$19,"&lt;"&amp;'Calc base'!I$19,'Calc base'!$C$14:$N$14,1))))</f>
        <v>0</v>
      </c>
      <c r="AO74">
        <f>IF('Calc base'!J$14=0,0,MIN(AC74,MAX(0,$E74-SUMIFS($V74:$AG74,'Calc base'!$C$19:$N$19,"&lt;"&amp;'Calc base'!J$19,'Calc base'!$C$14:$N$14,1))))</f>
        <v>0</v>
      </c>
      <c r="AP74">
        <f>IF('Calc base'!K$14=0,0,MIN(AD74,MAX(0,$E74-SUMIFS($V74:$AG74,'Calc base'!$C$19:$N$19,"&lt;"&amp;'Calc base'!K$19,'Calc base'!$C$14:$N$14,1))))</f>
        <v>0</v>
      </c>
      <c r="AQ74">
        <f>IF('Calc base'!L$14=0,0,MIN(AE74,MAX(0,$E74-SUMIFS($V74:$AG74,'Calc base'!$C$19:$N$19,"&lt;"&amp;'Calc base'!L$19,'Calc base'!$C$14:$N$14,1))))</f>
        <v>0</v>
      </c>
      <c r="AR74">
        <f>IF('Calc base'!M$14=0,0,MIN(AF74,MAX(0,$E74-SUMIFS($V74:$AG74,'Calc base'!$C$19:$N$19,"&lt;"&amp;'Calc base'!M$19,'Calc base'!$C$14:$N$14,1))))</f>
        <v>0</v>
      </c>
      <c r="AS74">
        <f>IF('Calc base'!N$14=0,0,MIN(AG74,MAX(0,$E74-SUMIFS($V74:$AG74,'Calc base'!$C$19:$N$19,"&lt;"&amp;'Calc base'!N$19,'Calc base'!$C$14:$N$14,1))))</f>
        <v>0</v>
      </c>
      <c r="AT74">
        <f>V74-AH74</f>
        <v>0</v>
      </c>
      <c r="AU74">
        <f>W74-AI74</f>
        <v>0</v>
      </c>
      <c r="AV74">
        <f>X74-AJ74</f>
        <v>0</v>
      </c>
      <c r="AW74">
        <f>Y74-AK74</f>
        <v>0</v>
      </c>
      <c r="AX74">
        <f>Z74-AL74</f>
        <v>0</v>
      </c>
      <c r="AY74">
        <f>AA74-AM74</f>
        <v>0</v>
      </c>
      <c r="AZ74">
        <f>AB74-AN74</f>
        <v>0</v>
      </c>
      <c r="BA74">
        <f>AC74-AO74</f>
        <v>0</v>
      </c>
      <c r="BB74">
        <f>AD74-AP74</f>
        <v>0</v>
      </c>
      <c r="BC74">
        <f>AE74-AQ74</f>
        <v>0</v>
      </c>
      <c r="BD74">
        <f>AF74-AR74</f>
        <v>0</v>
      </c>
      <c r="BE74">
        <f>AG74-AS74</f>
        <v>0</v>
      </c>
    </row>
    <row r="75">
      <c r="A75" t="n">
        <v>45</v>
      </c>
      <c r="B75">
        <f>SUMPRODUCT(ROUND($AT74:$BE74*(1+'Calc base'!$H75:$S75),2))</f>
        <v>0</v>
      </c>
      <c r="C75">
        <f>SUM(J75:U75)</f>
        <v>0</v>
      </c>
      <c r="D75">
        <f>SUM(V75:AG75)</f>
        <v>0</v>
      </c>
      <c r="E75">
        <f>MAX(0,IF(Impostazioni!$B$7="No",'Calc base'!$C75-$C$31,'Calc base'!$C75-C75)+'Calc base'!$G75+'Calc base'!$F75-(B75-C75-D75))</f>
        <v>900</v>
      </c>
      <c r="F75">
        <f>SUM(AH75:AS75)</f>
        <v>0</v>
      </c>
      <c r="G75">
        <f>SUM(AT75:BE75)</f>
        <v>0</v>
      </c>
      <c r="H75">
        <f>B75-G74</f>
        <v>0</v>
      </c>
      <c r="I75">
        <f>B75-G75</f>
        <v>0</v>
      </c>
      <c r="J75">
        <f>IF(AT74&lt;=0,0,IF(ROUND(AT74*(1+'Calc base'!H75),2)-MAX('Calc base'!C$12,ROUND('Calc base'!C$13*AT74,2))&lt;1,ROUND(AT74*(1+'Calc base'!H75),2),MAX('Calc base'!C$12,ROUND('Calc base'!C$13*AT74,2))))</f>
        <v>0</v>
      </c>
      <c r="K75">
        <f>IF(AU74&lt;=0,0,IF(ROUND(AU74*(1+'Calc base'!I75),2)-MAX('Calc base'!D$12,ROUND('Calc base'!D$13*AU74,2))&lt;1,ROUND(AU74*(1+'Calc base'!I75),2),MAX('Calc base'!D$12,ROUND('Calc base'!D$13*AU74,2))))</f>
        <v>0</v>
      </c>
      <c r="L75">
        <f>IF(AV74&lt;=0,0,IF(ROUND(AV74*(1+'Calc base'!J75),2)-MAX('Calc base'!E$12,ROUND('Calc base'!E$13*AV74,2))&lt;1,ROUND(AV74*(1+'Calc base'!J75),2),MAX('Calc base'!E$12,ROUND('Calc base'!E$13*AV74,2))))</f>
        <v>0</v>
      </c>
      <c r="M75">
        <f>IF(AW74&lt;=0,0,IF(ROUND(AW74*(1+'Calc base'!K75),2)-MAX('Calc base'!F$12,ROUND('Calc base'!F$13*AW74,2))&lt;1,ROUND(AW74*(1+'Calc base'!K75),2),MAX('Calc base'!F$12,ROUND('Calc base'!F$13*AW74,2))))</f>
        <v>0</v>
      </c>
      <c r="N75">
        <f>IF(AX74&lt;=0,0,IF(ROUND(AX74*(1+'Calc base'!L75),2)-MAX('Calc base'!G$12,ROUND('Calc base'!G$13*AX74,2))&lt;1,ROUND(AX74*(1+'Calc base'!L75),2),MAX('Calc base'!G$12,ROUND('Calc base'!G$13*AX74,2))))</f>
        <v>0</v>
      </c>
      <c r="O75">
        <f>IF(AY74&lt;=0,0,IF(ROUND(AY74*(1+'Calc base'!M75),2)-MAX('Calc base'!H$12,ROUND('Calc base'!H$13*AY74,2))&lt;1,ROUND(AY74*(1+'Calc base'!M75),2),MAX('Calc base'!H$12,ROUND('Calc base'!H$13*AY74,2))))</f>
        <v>0</v>
      </c>
      <c r="P75">
        <f>IF(AZ74&lt;=0,0,IF(ROUND(AZ74*(1+'Calc base'!N75),2)-MAX('Calc base'!I$12,ROUND('Calc base'!I$13*AZ74,2))&lt;1,ROUND(AZ74*(1+'Calc base'!N75),2),MAX('Calc base'!I$12,ROUND('Calc base'!I$13*AZ74,2))))</f>
        <v>0</v>
      </c>
      <c r="Q75">
        <f>IF(BA74&lt;=0,0,IF(ROUND(BA74*(1+'Calc base'!O75),2)-MAX('Calc base'!J$12,ROUND('Calc base'!J$13*BA74,2))&lt;1,ROUND(BA74*(1+'Calc base'!O75),2),MAX('Calc base'!J$12,ROUND('Calc base'!J$13*BA74,2))))</f>
        <v>0</v>
      </c>
      <c r="R75">
        <f>IF(BB74&lt;=0,0,IF(ROUND(BB74*(1+'Calc base'!P75),2)-MAX('Calc base'!K$12,ROUND('Calc base'!K$13*BB74,2))&lt;1,ROUND(BB74*(1+'Calc base'!P75),2),MAX('Calc base'!K$12,ROUND('Calc base'!K$13*BB74,2))))</f>
        <v>0</v>
      </c>
      <c r="S75">
        <f>IF(BC74&lt;=0,0,IF(ROUND(BC74*(1+'Calc base'!Q75),2)-MAX('Calc base'!L$12,ROUND('Calc base'!L$13*BC74,2))&lt;1,ROUND(BC74*(1+'Calc base'!Q75),2),MAX('Calc base'!L$12,ROUND('Calc base'!L$13*BC74,2))))</f>
        <v>0</v>
      </c>
      <c r="T75">
        <f>IF(BD74&lt;=0,0,IF(ROUND(BD74*(1+'Calc base'!R75),2)-MAX('Calc base'!M$12,ROUND('Calc base'!M$13*BD74,2))&lt;1,ROUND(BD74*(1+'Calc base'!R75),2),MAX('Calc base'!M$12,ROUND('Calc base'!M$13*BD74,2))))</f>
        <v>0</v>
      </c>
      <c r="U75">
        <f>IF(BE74&lt;=0,0,IF(ROUND(BE74*(1+'Calc base'!S75),2)-MAX('Calc base'!N$12,ROUND('Calc base'!N$13*BE74,2))&lt;1,ROUND(BE74*(1+'Calc base'!S75),2),MAX('Calc base'!N$12,ROUND('Calc base'!N$13*BE74,2))))</f>
        <v>0</v>
      </c>
      <c r="V75">
        <f>MAX(0,ROUND(AT74*(1+'Calc base'!H75),2)-J75-'Calc base'!T75)</f>
        <v>0</v>
      </c>
      <c r="W75">
        <f>MAX(0,ROUND(AU74*(1+'Calc base'!I75),2)-K75-'Calc base'!U75)</f>
        <v>0</v>
      </c>
      <c r="X75">
        <f>MAX(0,ROUND(AV74*(1+'Calc base'!J75),2)-L75-'Calc base'!V75)</f>
        <v>0</v>
      </c>
      <c r="Y75">
        <f>MAX(0,ROUND(AW74*(1+'Calc base'!K75),2)-M75-'Calc base'!W75)</f>
        <v>0</v>
      </c>
      <c r="Z75">
        <f>MAX(0,ROUND(AX74*(1+'Calc base'!L75),2)-N75-'Calc base'!X75)</f>
        <v>0</v>
      </c>
      <c r="AA75">
        <f>MAX(0,ROUND(AY74*(1+'Calc base'!M75),2)-O75-'Calc base'!Y75)</f>
        <v>0</v>
      </c>
      <c r="AB75">
        <f>MAX(0,ROUND(AZ74*(1+'Calc base'!N75),2)-P75-'Calc base'!Z75)</f>
        <v>0</v>
      </c>
      <c r="AC75">
        <f>MAX(0,ROUND(BA74*(1+'Calc base'!O75),2)-Q75-'Calc base'!AA75)</f>
        <v>0</v>
      </c>
      <c r="AD75">
        <f>MAX(0,ROUND(BB74*(1+'Calc base'!P75),2)-R75-'Calc base'!AB75)</f>
        <v>0</v>
      </c>
      <c r="AE75">
        <f>MAX(0,ROUND(BC74*(1+'Calc base'!Q75),2)-S75-'Calc base'!AC75)</f>
        <v>0</v>
      </c>
      <c r="AF75">
        <f>MAX(0,ROUND(BD74*(1+'Calc base'!R75),2)-T75-'Calc base'!AD75)</f>
        <v>0</v>
      </c>
      <c r="AG75">
        <f>MAX(0,ROUND(BE74*(1+'Calc base'!S75),2)-U75-'Calc base'!AE75)</f>
        <v>0</v>
      </c>
      <c r="AH75">
        <f>IF('Calc base'!C$14=0,0,MIN(V75,MAX(0,$E75-SUMIFS($V75:$AG75,'Calc base'!$C$19:$N$19,"&lt;"&amp;'Calc base'!C$19,'Calc base'!$C$14:$N$14,1))))</f>
        <v>0</v>
      </c>
      <c r="AI75">
        <f>IF('Calc base'!D$14=0,0,MIN(W75,MAX(0,$E75-SUMIFS($V75:$AG75,'Calc base'!$C$19:$N$19,"&lt;"&amp;'Calc base'!D$19,'Calc base'!$C$14:$N$14,1))))</f>
        <v>0</v>
      </c>
      <c r="AJ75">
        <f>IF('Calc base'!E$14=0,0,MIN(X75,MAX(0,$E75-SUMIFS($V75:$AG75,'Calc base'!$C$19:$N$19,"&lt;"&amp;'Calc base'!E$19,'Calc base'!$C$14:$N$14,1))))</f>
        <v>0</v>
      </c>
      <c r="AK75">
        <f>IF('Calc base'!F$14=0,0,MIN(Y75,MAX(0,$E75-SUMIFS($V75:$AG75,'Calc base'!$C$19:$N$19,"&lt;"&amp;'Calc base'!F$19,'Calc base'!$C$14:$N$14,1))))</f>
        <v>0</v>
      </c>
      <c r="AL75">
        <f>IF('Calc base'!G$14=0,0,MIN(Z75,MAX(0,$E75-SUMIFS($V75:$AG75,'Calc base'!$C$19:$N$19,"&lt;"&amp;'Calc base'!G$19,'Calc base'!$C$14:$N$14,1))))</f>
        <v>0</v>
      </c>
      <c r="AM75">
        <f>IF('Calc base'!H$14=0,0,MIN(AA75,MAX(0,$E75-SUMIFS($V75:$AG75,'Calc base'!$C$19:$N$19,"&lt;"&amp;'Calc base'!H$19,'Calc base'!$C$14:$N$14,1))))</f>
        <v>0</v>
      </c>
      <c r="AN75">
        <f>IF('Calc base'!I$14=0,0,MIN(AB75,MAX(0,$E75-SUMIFS($V75:$AG75,'Calc base'!$C$19:$N$19,"&lt;"&amp;'Calc base'!I$19,'Calc base'!$C$14:$N$14,1))))</f>
        <v>0</v>
      </c>
      <c r="AO75">
        <f>IF('Calc base'!J$14=0,0,MIN(AC75,MAX(0,$E75-SUMIFS($V75:$AG75,'Calc base'!$C$19:$N$19,"&lt;"&amp;'Calc base'!J$19,'Calc base'!$C$14:$N$14,1))))</f>
        <v>0</v>
      </c>
      <c r="AP75">
        <f>IF('Calc base'!K$14=0,0,MIN(AD75,MAX(0,$E75-SUMIFS($V75:$AG75,'Calc base'!$C$19:$N$19,"&lt;"&amp;'Calc base'!K$19,'Calc base'!$C$14:$N$14,1))))</f>
        <v>0</v>
      </c>
      <c r="AQ75">
        <f>IF('Calc base'!L$14=0,0,MIN(AE75,MAX(0,$E75-SUMIFS($V75:$AG75,'Calc base'!$C$19:$N$19,"&lt;"&amp;'Calc base'!L$19,'Calc base'!$C$14:$N$14,1))))</f>
        <v>0</v>
      </c>
      <c r="AR75">
        <f>IF('Calc base'!M$14=0,0,MIN(AF75,MAX(0,$E75-SUMIFS($V75:$AG75,'Calc base'!$C$19:$N$19,"&lt;"&amp;'Calc base'!M$19,'Calc base'!$C$14:$N$14,1))))</f>
        <v>0</v>
      </c>
      <c r="AS75">
        <f>IF('Calc base'!N$14=0,0,MIN(AG75,MAX(0,$E75-SUMIFS($V75:$AG75,'Calc base'!$C$19:$N$19,"&lt;"&amp;'Calc base'!N$19,'Calc base'!$C$14:$N$14,1))))</f>
        <v>0</v>
      </c>
      <c r="AT75">
        <f>V75-AH75</f>
        <v>0</v>
      </c>
      <c r="AU75">
        <f>W75-AI75</f>
        <v>0</v>
      </c>
      <c r="AV75">
        <f>X75-AJ75</f>
        <v>0</v>
      </c>
      <c r="AW75">
        <f>Y75-AK75</f>
        <v>0</v>
      </c>
      <c r="AX75">
        <f>Z75-AL75</f>
        <v>0</v>
      </c>
      <c r="AY75">
        <f>AA75-AM75</f>
        <v>0</v>
      </c>
      <c r="AZ75">
        <f>AB75-AN75</f>
        <v>0</v>
      </c>
      <c r="BA75">
        <f>AC75-AO75</f>
        <v>0</v>
      </c>
      <c r="BB75">
        <f>AD75-AP75</f>
        <v>0</v>
      </c>
      <c r="BC75">
        <f>AE75-AQ75</f>
        <v>0</v>
      </c>
      <c r="BD75">
        <f>AF75-AR75</f>
        <v>0</v>
      </c>
      <c r="BE75">
        <f>AG75-AS75</f>
        <v>0</v>
      </c>
    </row>
    <row r="76">
      <c r="A76" t="n">
        <v>46</v>
      </c>
      <c r="B76">
        <f>SUMPRODUCT(ROUND($AT75:$BE75*(1+'Calc base'!$H76:$S76),2))</f>
        <v>0</v>
      </c>
      <c r="C76">
        <f>SUM(J76:U76)</f>
        <v>0</v>
      </c>
      <c r="D76">
        <f>SUM(V76:AG76)</f>
        <v>0</v>
      </c>
      <c r="E76">
        <f>MAX(0,IF(Impostazioni!$B$7="No",'Calc base'!$C76-$C$31,'Calc base'!$C76-C76)+'Calc base'!$G76+'Calc base'!$F76-(B76-C76-D76))</f>
        <v>900</v>
      </c>
      <c r="F76">
        <f>SUM(AH76:AS76)</f>
        <v>0</v>
      </c>
      <c r="G76">
        <f>SUM(AT76:BE76)</f>
        <v>0</v>
      </c>
      <c r="H76">
        <f>B76-G75</f>
        <v>0</v>
      </c>
      <c r="I76">
        <f>B76-G76</f>
        <v>0</v>
      </c>
      <c r="J76">
        <f>IF(AT75&lt;=0,0,IF(ROUND(AT75*(1+'Calc base'!H76),2)-MAX('Calc base'!C$12,ROUND('Calc base'!C$13*AT75,2))&lt;1,ROUND(AT75*(1+'Calc base'!H76),2),MAX('Calc base'!C$12,ROUND('Calc base'!C$13*AT75,2))))</f>
        <v>0</v>
      </c>
      <c r="K76">
        <f>IF(AU75&lt;=0,0,IF(ROUND(AU75*(1+'Calc base'!I76),2)-MAX('Calc base'!D$12,ROUND('Calc base'!D$13*AU75,2))&lt;1,ROUND(AU75*(1+'Calc base'!I76),2),MAX('Calc base'!D$12,ROUND('Calc base'!D$13*AU75,2))))</f>
        <v>0</v>
      </c>
      <c r="L76">
        <f>IF(AV75&lt;=0,0,IF(ROUND(AV75*(1+'Calc base'!J76),2)-MAX('Calc base'!E$12,ROUND('Calc base'!E$13*AV75,2))&lt;1,ROUND(AV75*(1+'Calc base'!J76),2),MAX('Calc base'!E$12,ROUND('Calc base'!E$13*AV75,2))))</f>
        <v>0</v>
      </c>
      <c r="M76">
        <f>IF(AW75&lt;=0,0,IF(ROUND(AW75*(1+'Calc base'!K76),2)-MAX('Calc base'!F$12,ROUND('Calc base'!F$13*AW75,2))&lt;1,ROUND(AW75*(1+'Calc base'!K76),2),MAX('Calc base'!F$12,ROUND('Calc base'!F$13*AW75,2))))</f>
        <v>0</v>
      </c>
      <c r="N76">
        <f>IF(AX75&lt;=0,0,IF(ROUND(AX75*(1+'Calc base'!L76),2)-MAX('Calc base'!G$12,ROUND('Calc base'!G$13*AX75,2))&lt;1,ROUND(AX75*(1+'Calc base'!L76),2),MAX('Calc base'!G$12,ROUND('Calc base'!G$13*AX75,2))))</f>
        <v>0</v>
      </c>
      <c r="O76">
        <f>IF(AY75&lt;=0,0,IF(ROUND(AY75*(1+'Calc base'!M76),2)-MAX('Calc base'!H$12,ROUND('Calc base'!H$13*AY75,2))&lt;1,ROUND(AY75*(1+'Calc base'!M76),2),MAX('Calc base'!H$12,ROUND('Calc base'!H$13*AY75,2))))</f>
        <v>0</v>
      </c>
      <c r="P76">
        <f>IF(AZ75&lt;=0,0,IF(ROUND(AZ75*(1+'Calc base'!N76),2)-MAX('Calc base'!I$12,ROUND('Calc base'!I$13*AZ75,2))&lt;1,ROUND(AZ75*(1+'Calc base'!N76),2),MAX('Calc base'!I$12,ROUND('Calc base'!I$13*AZ75,2))))</f>
        <v>0</v>
      </c>
      <c r="Q76">
        <f>IF(BA75&lt;=0,0,IF(ROUND(BA75*(1+'Calc base'!O76),2)-MAX('Calc base'!J$12,ROUND('Calc base'!J$13*BA75,2))&lt;1,ROUND(BA75*(1+'Calc base'!O76),2),MAX('Calc base'!J$12,ROUND('Calc base'!J$13*BA75,2))))</f>
        <v>0</v>
      </c>
      <c r="R76">
        <f>IF(BB75&lt;=0,0,IF(ROUND(BB75*(1+'Calc base'!P76),2)-MAX('Calc base'!K$12,ROUND('Calc base'!K$13*BB75,2))&lt;1,ROUND(BB75*(1+'Calc base'!P76),2),MAX('Calc base'!K$12,ROUND('Calc base'!K$13*BB75,2))))</f>
        <v>0</v>
      </c>
      <c r="S76">
        <f>IF(BC75&lt;=0,0,IF(ROUND(BC75*(1+'Calc base'!Q76),2)-MAX('Calc base'!L$12,ROUND('Calc base'!L$13*BC75,2))&lt;1,ROUND(BC75*(1+'Calc base'!Q76),2),MAX('Calc base'!L$12,ROUND('Calc base'!L$13*BC75,2))))</f>
        <v>0</v>
      </c>
      <c r="T76">
        <f>IF(BD75&lt;=0,0,IF(ROUND(BD75*(1+'Calc base'!R76),2)-MAX('Calc base'!M$12,ROUND('Calc base'!M$13*BD75,2))&lt;1,ROUND(BD75*(1+'Calc base'!R76),2),MAX('Calc base'!M$12,ROUND('Calc base'!M$13*BD75,2))))</f>
        <v>0</v>
      </c>
      <c r="U76">
        <f>IF(BE75&lt;=0,0,IF(ROUND(BE75*(1+'Calc base'!S76),2)-MAX('Calc base'!N$12,ROUND('Calc base'!N$13*BE75,2))&lt;1,ROUND(BE75*(1+'Calc base'!S76),2),MAX('Calc base'!N$12,ROUND('Calc base'!N$13*BE75,2))))</f>
        <v>0</v>
      </c>
      <c r="V76">
        <f>MAX(0,ROUND(AT75*(1+'Calc base'!H76),2)-J76-'Calc base'!T76)</f>
        <v>0</v>
      </c>
      <c r="W76">
        <f>MAX(0,ROUND(AU75*(1+'Calc base'!I76),2)-K76-'Calc base'!U76)</f>
        <v>0</v>
      </c>
      <c r="X76">
        <f>MAX(0,ROUND(AV75*(1+'Calc base'!J76),2)-L76-'Calc base'!V76)</f>
        <v>0</v>
      </c>
      <c r="Y76">
        <f>MAX(0,ROUND(AW75*(1+'Calc base'!K76),2)-M76-'Calc base'!W76)</f>
        <v>0</v>
      </c>
      <c r="Z76">
        <f>MAX(0,ROUND(AX75*(1+'Calc base'!L76),2)-N76-'Calc base'!X76)</f>
        <v>0</v>
      </c>
      <c r="AA76">
        <f>MAX(0,ROUND(AY75*(1+'Calc base'!M76),2)-O76-'Calc base'!Y76)</f>
        <v>0</v>
      </c>
      <c r="AB76">
        <f>MAX(0,ROUND(AZ75*(1+'Calc base'!N76),2)-P76-'Calc base'!Z76)</f>
        <v>0</v>
      </c>
      <c r="AC76">
        <f>MAX(0,ROUND(BA75*(1+'Calc base'!O76),2)-Q76-'Calc base'!AA76)</f>
        <v>0</v>
      </c>
      <c r="AD76">
        <f>MAX(0,ROUND(BB75*(1+'Calc base'!P76),2)-R76-'Calc base'!AB76)</f>
        <v>0</v>
      </c>
      <c r="AE76">
        <f>MAX(0,ROUND(BC75*(1+'Calc base'!Q76),2)-S76-'Calc base'!AC76)</f>
        <v>0</v>
      </c>
      <c r="AF76">
        <f>MAX(0,ROUND(BD75*(1+'Calc base'!R76),2)-T76-'Calc base'!AD76)</f>
        <v>0</v>
      </c>
      <c r="AG76">
        <f>MAX(0,ROUND(BE75*(1+'Calc base'!S76),2)-U76-'Calc base'!AE76)</f>
        <v>0</v>
      </c>
      <c r="AH76">
        <f>IF('Calc base'!C$14=0,0,MIN(V76,MAX(0,$E76-SUMIFS($V76:$AG76,'Calc base'!$C$19:$N$19,"&lt;"&amp;'Calc base'!C$19,'Calc base'!$C$14:$N$14,1))))</f>
        <v>0</v>
      </c>
      <c r="AI76">
        <f>IF('Calc base'!D$14=0,0,MIN(W76,MAX(0,$E76-SUMIFS($V76:$AG76,'Calc base'!$C$19:$N$19,"&lt;"&amp;'Calc base'!D$19,'Calc base'!$C$14:$N$14,1))))</f>
        <v>0</v>
      </c>
      <c r="AJ76">
        <f>IF('Calc base'!E$14=0,0,MIN(X76,MAX(0,$E76-SUMIFS($V76:$AG76,'Calc base'!$C$19:$N$19,"&lt;"&amp;'Calc base'!E$19,'Calc base'!$C$14:$N$14,1))))</f>
        <v>0</v>
      </c>
      <c r="AK76">
        <f>IF('Calc base'!F$14=0,0,MIN(Y76,MAX(0,$E76-SUMIFS($V76:$AG76,'Calc base'!$C$19:$N$19,"&lt;"&amp;'Calc base'!F$19,'Calc base'!$C$14:$N$14,1))))</f>
        <v>0</v>
      </c>
      <c r="AL76">
        <f>IF('Calc base'!G$14=0,0,MIN(Z76,MAX(0,$E76-SUMIFS($V76:$AG76,'Calc base'!$C$19:$N$19,"&lt;"&amp;'Calc base'!G$19,'Calc base'!$C$14:$N$14,1))))</f>
        <v>0</v>
      </c>
      <c r="AM76">
        <f>IF('Calc base'!H$14=0,0,MIN(AA76,MAX(0,$E76-SUMIFS($V76:$AG76,'Calc base'!$C$19:$N$19,"&lt;"&amp;'Calc base'!H$19,'Calc base'!$C$14:$N$14,1))))</f>
        <v>0</v>
      </c>
      <c r="AN76">
        <f>IF('Calc base'!I$14=0,0,MIN(AB76,MAX(0,$E76-SUMIFS($V76:$AG76,'Calc base'!$C$19:$N$19,"&lt;"&amp;'Calc base'!I$19,'Calc base'!$C$14:$N$14,1))))</f>
        <v>0</v>
      </c>
      <c r="AO76">
        <f>IF('Calc base'!J$14=0,0,MIN(AC76,MAX(0,$E76-SUMIFS($V76:$AG76,'Calc base'!$C$19:$N$19,"&lt;"&amp;'Calc base'!J$19,'Calc base'!$C$14:$N$14,1))))</f>
        <v>0</v>
      </c>
      <c r="AP76">
        <f>IF('Calc base'!K$14=0,0,MIN(AD76,MAX(0,$E76-SUMIFS($V76:$AG76,'Calc base'!$C$19:$N$19,"&lt;"&amp;'Calc base'!K$19,'Calc base'!$C$14:$N$14,1))))</f>
        <v>0</v>
      </c>
      <c r="AQ76">
        <f>IF('Calc base'!L$14=0,0,MIN(AE76,MAX(0,$E76-SUMIFS($V76:$AG76,'Calc base'!$C$19:$N$19,"&lt;"&amp;'Calc base'!L$19,'Calc base'!$C$14:$N$14,1))))</f>
        <v>0</v>
      </c>
      <c r="AR76">
        <f>IF('Calc base'!M$14=0,0,MIN(AF76,MAX(0,$E76-SUMIFS($V76:$AG76,'Calc base'!$C$19:$N$19,"&lt;"&amp;'Calc base'!M$19,'Calc base'!$C$14:$N$14,1))))</f>
        <v>0</v>
      </c>
      <c r="AS76">
        <f>IF('Calc base'!N$14=0,0,MIN(AG76,MAX(0,$E76-SUMIFS($V76:$AG76,'Calc base'!$C$19:$N$19,"&lt;"&amp;'Calc base'!N$19,'Calc base'!$C$14:$N$14,1))))</f>
        <v>0</v>
      </c>
      <c r="AT76">
        <f>V76-AH76</f>
        <v>0</v>
      </c>
      <c r="AU76">
        <f>W76-AI76</f>
        <v>0</v>
      </c>
      <c r="AV76">
        <f>X76-AJ76</f>
        <v>0</v>
      </c>
      <c r="AW76">
        <f>Y76-AK76</f>
        <v>0</v>
      </c>
      <c r="AX76">
        <f>Z76-AL76</f>
        <v>0</v>
      </c>
      <c r="AY76">
        <f>AA76-AM76</f>
        <v>0</v>
      </c>
      <c r="AZ76">
        <f>AB76-AN76</f>
        <v>0</v>
      </c>
      <c r="BA76">
        <f>AC76-AO76</f>
        <v>0</v>
      </c>
      <c r="BB76">
        <f>AD76-AP76</f>
        <v>0</v>
      </c>
      <c r="BC76">
        <f>AE76-AQ76</f>
        <v>0</v>
      </c>
      <c r="BD76">
        <f>AF76-AR76</f>
        <v>0</v>
      </c>
      <c r="BE76">
        <f>AG76-AS76</f>
        <v>0</v>
      </c>
    </row>
    <row r="77">
      <c r="A77" t="n">
        <v>47</v>
      </c>
      <c r="B77">
        <f>SUMPRODUCT(ROUND($AT76:$BE76*(1+'Calc base'!$H77:$S77),2))</f>
        <v>0</v>
      </c>
      <c r="C77">
        <f>SUM(J77:U77)</f>
        <v>0</v>
      </c>
      <c r="D77">
        <f>SUM(V77:AG77)</f>
        <v>0</v>
      </c>
      <c r="E77">
        <f>MAX(0,IF(Impostazioni!$B$7="No",'Calc base'!$C77-$C$31,'Calc base'!$C77-C77)+'Calc base'!$G77+'Calc base'!$F77-(B77-C77-D77))</f>
        <v>900</v>
      </c>
      <c r="F77">
        <f>SUM(AH77:AS77)</f>
        <v>0</v>
      </c>
      <c r="G77">
        <f>SUM(AT77:BE77)</f>
        <v>0</v>
      </c>
      <c r="H77">
        <f>B77-G76</f>
        <v>0</v>
      </c>
      <c r="I77">
        <f>B77-G77</f>
        <v>0</v>
      </c>
      <c r="J77">
        <f>IF(AT76&lt;=0,0,IF(ROUND(AT76*(1+'Calc base'!H77),2)-MAX('Calc base'!C$12,ROUND('Calc base'!C$13*AT76,2))&lt;1,ROUND(AT76*(1+'Calc base'!H77),2),MAX('Calc base'!C$12,ROUND('Calc base'!C$13*AT76,2))))</f>
        <v>0</v>
      </c>
      <c r="K77">
        <f>IF(AU76&lt;=0,0,IF(ROUND(AU76*(1+'Calc base'!I77),2)-MAX('Calc base'!D$12,ROUND('Calc base'!D$13*AU76,2))&lt;1,ROUND(AU76*(1+'Calc base'!I77),2),MAX('Calc base'!D$12,ROUND('Calc base'!D$13*AU76,2))))</f>
        <v>0</v>
      </c>
      <c r="L77">
        <f>IF(AV76&lt;=0,0,IF(ROUND(AV76*(1+'Calc base'!J77),2)-MAX('Calc base'!E$12,ROUND('Calc base'!E$13*AV76,2))&lt;1,ROUND(AV76*(1+'Calc base'!J77),2),MAX('Calc base'!E$12,ROUND('Calc base'!E$13*AV76,2))))</f>
        <v>0</v>
      </c>
      <c r="M77">
        <f>IF(AW76&lt;=0,0,IF(ROUND(AW76*(1+'Calc base'!K77),2)-MAX('Calc base'!F$12,ROUND('Calc base'!F$13*AW76,2))&lt;1,ROUND(AW76*(1+'Calc base'!K77),2),MAX('Calc base'!F$12,ROUND('Calc base'!F$13*AW76,2))))</f>
        <v>0</v>
      </c>
      <c r="N77">
        <f>IF(AX76&lt;=0,0,IF(ROUND(AX76*(1+'Calc base'!L77),2)-MAX('Calc base'!G$12,ROUND('Calc base'!G$13*AX76,2))&lt;1,ROUND(AX76*(1+'Calc base'!L77),2),MAX('Calc base'!G$12,ROUND('Calc base'!G$13*AX76,2))))</f>
        <v>0</v>
      </c>
      <c r="O77">
        <f>IF(AY76&lt;=0,0,IF(ROUND(AY76*(1+'Calc base'!M77),2)-MAX('Calc base'!H$12,ROUND('Calc base'!H$13*AY76,2))&lt;1,ROUND(AY76*(1+'Calc base'!M77),2),MAX('Calc base'!H$12,ROUND('Calc base'!H$13*AY76,2))))</f>
        <v>0</v>
      </c>
      <c r="P77">
        <f>IF(AZ76&lt;=0,0,IF(ROUND(AZ76*(1+'Calc base'!N77),2)-MAX('Calc base'!I$12,ROUND('Calc base'!I$13*AZ76,2))&lt;1,ROUND(AZ76*(1+'Calc base'!N77),2),MAX('Calc base'!I$12,ROUND('Calc base'!I$13*AZ76,2))))</f>
        <v>0</v>
      </c>
      <c r="Q77">
        <f>IF(BA76&lt;=0,0,IF(ROUND(BA76*(1+'Calc base'!O77),2)-MAX('Calc base'!J$12,ROUND('Calc base'!J$13*BA76,2))&lt;1,ROUND(BA76*(1+'Calc base'!O77),2),MAX('Calc base'!J$12,ROUND('Calc base'!J$13*BA76,2))))</f>
        <v>0</v>
      </c>
      <c r="R77">
        <f>IF(BB76&lt;=0,0,IF(ROUND(BB76*(1+'Calc base'!P77),2)-MAX('Calc base'!K$12,ROUND('Calc base'!K$13*BB76,2))&lt;1,ROUND(BB76*(1+'Calc base'!P77),2),MAX('Calc base'!K$12,ROUND('Calc base'!K$13*BB76,2))))</f>
        <v>0</v>
      </c>
      <c r="S77">
        <f>IF(BC76&lt;=0,0,IF(ROUND(BC76*(1+'Calc base'!Q77),2)-MAX('Calc base'!L$12,ROUND('Calc base'!L$13*BC76,2))&lt;1,ROUND(BC76*(1+'Calc base'!Q77),2),MAX('Calc base'!L$12,ROUND('Calc base'!L$13*BC76,2))))</f>
        <v>0</v>
      </c>
      <c r="T77">
        <f>IF(BD76&lt;=0,0,IF(ROUND(BD76*(1+'Calc base'!R77),2)-MAX('Calc base'!M$12,ROUND('Calc base'!M$13*BD76,2))&lt;1,ROUND(BD76*(1+'Calc base'!R77),2),MAX('Calc base'!M$12,ROUND('Calc base'!M$13*BD76,2))))</f>
        <v>0</v>
      </c>
      <c r="U77">
        <f>IF(BE76&lt;=0,0,IF(ROUND(BE76*(1+'Calc base'!S77),2)-MAX('Calc base'!N$12,ROUND('Calc base'!N$13*BE76,2))&lt;1,ROUND(BE76*(1+'Calc base'!S77),2),MAX('Calc base'!N$12,ROUND('Calc base'!N$13*BE76,2))))</f>
        <v>0</v>
      </c>
      <c r="V77">
        <f>MAX(0,ROUND(AT76*(1+'Calc base'!H77),2)-J77-'Calc base'!T77)</f>
        <v>0</v>
      </c>
      <c r="W77">
        <f>MAX(0,ROUND(AU76*(1+'Calc base'!I77),2)-K77-'Calc base'!U77)</f>
        <v>0</v>
      </c>
      <c r="X77">
        <f>MAX(0,ROUND(AV76*(1+'Calc base'!J77),2)-L77-'Calc base'!V77)</f>
        <v>0</v>
      </c>
      <c r="Y77">
        <f>MAX(0,ROUND(AW76*(1+'Calc base'!K77),2)-M77-'Calc base'!W77)</f>
        <v>0</v>
      </c>
      <c r="Z77">
        <f>MAX(0,ROUND(AX76*(1+'Calc base'!L77),2)-N77-'Calc base'!X77)</f>
        <v>0</v>
      </c>
      <c r="AA77">
        <f>MAX(0,ROUND(AY76*(1+'Calc base'!M77),2)-O77-'Calc base'!Y77)</f>
        <v>0</v>
      </c>
      <c r="AB77">
        <f>MAX(0,ROUND(AZ76*(1+'Calc base'!N77),2)-P77-'Calc base'!Z77)</f>
        <v>0</v>
      </c>
      <c r="AC77">
        <f>MAX(0,ROUND(BA76*(1+'Calc base'!O77),2)-Q77-'Calc base'!AA77)</f>
        <v>0</v>
      </c>
      <c r="AD77">
        <f>MAX(0,ROUND(BB76*(1+'Calc base'!P77),2)-R77-'Calc base'!AB77)</f>
        <v>0</v>
      </c>
      <c r="AE77">
        <f>MAX(0,ROUND(BC76*(1+'Calc base'!Q77),2)-S77-'Calc base'!AC77)</f>
        <v>0</v>
      </c>
      <c r="AF77">
        <f>MAX(0,ROUND(BD76*(1+'Calc base'!R77),2)-T77-'Calc base'!AD77)</f>
        <v>0</v>
      </c>
      <c r="AG77">
        <f>MAX(0,ROUND(BE76*(1+'Calc base'!S77),2)-U77-'Calc base'!AE77)</f>
        <v>0</v>
      </c>
      <c r="AH77">
        <f>IF('Calc base'!C$14=0,0,MIN(V77,MAX(0,$E77-SUMIFS($V77:$AG77,'Calc base'!$C$19:$N$19,"&lt;"&amp;'Calc base'!C$19,'Calc base'!$C$14:$N$14,1))))</f>
        <v>0</v>
      </c>
      <c r="AI77">
        <f>IF('Calc base'!D$14=0,0,MIN(W77,MAX(0,$E77-SUMIFS($V77:$AG77,'Calc base'!$C$19:$N$19,"&lt;"&amp;'Calc base'!D$19,'Calc base'!$C$14:$N$14,1))))</f>
        <v>0</v>
      </c>
      <c r="AJ77">
        <f>IF('Calc base'!E$14=0,0,MIN(X77,MAX(0,$E77-SUMIFS($V77:$AG77,'Calc base'!$C$19:$N$19,"&lt;"&amp;'Calc base'!E$19,'Calc base'!$C$14:$N$14,1))))</f>
        <v>0</v>
      </c>
      <c r="AK77">
        <f>IF('Calc base'!F$14=0,0,MIN(Y77,MAX(0,$E77-SUMIFS($V77:$AG77,'Calc base'!$C$19:$N$19,"&lt;"&amp;'Calc base'!F$19,'Calc base'!$C$14:$N$14,1))))</f>
        <v>0</v>
      </c>
      <c r="AL77">
        <f>IF('Calc base'!G$14=0,0,MIN(Z77,MAX(0,$E77-SUMIFS($V77:$AG77,'Calc base'!$C$19:$N$19,"&lt;"&amp;'Calc base'!G$19,'Calc base'!$C$14:$N$14,1))))</f>
        <v>0</v>
      </c>
      <c r="AM77">
        <f>IF('Calc base'!H$14=0,0,MIN(AA77,MAX(0,$E77-SUMIFS($V77:$AG77,'Calc base'!$C$19:$N$19,"&lt;"&amp;'Calc base'!H$19,'Calc base'!$C$14:$N$14,1))))</f>
        <v>0</v>
      </c>
      <c r="AN77">
        <f>IF('Calc base'!I$14=0,0,MIN(AB77,MAX(0,$E77-SUMIFS($V77:$AG77,'Calc base'!$C$19:$N$19,"&lt;"&amp;'Calc base'!I$19,'Calc base'!$C$14:$N$14,1))))</f>
        <v>0</v>
      </c>
      <c r="AO77">
        <f>IF('Calc base'!J$14=0,0,MIN(AC77,MAX(0,$E77-SUMIFS($V77:$AG77,'Calc base'!$C$19:$N$19,"&lt;"&amp;'Calc base'!J$19,'Calc base'!$C$14:$N$14,1))))</f>
        <v>0</v>
      </c>
      <c r="AP77">
        <f>IF('Calc base'!K$14=0,0,MIN(AD77,MAX(0,$E77-SUMIFS($V77:$AG77,'Calc base'!$C$19:$N$19,"&lt;"&amp;'Calc base'!K$19,'Calc base'!$C$14:$N$14,1))))</f>
        <v>0</v>
      </c>
      <c r="AQ77">
        <f>IF('Calc base'!L$14=0,0,MIN(AE77,MAX(0,$E77-SUMIFS($V77:$AG77,'Calc base'!$C$19:$N$19,"&lt;"&amp;'Calc base'!L$19,'Calc base'!$C$14:$N$14,1))))</f>
        <v>0</v>
      </c>
      <c r="AR77">
        <f>IF('Calc base'!M$14=0,0,MIN(AF77,MAX(0,$E77-SUMIFS($V77:$AG77,'Calc base'!$C$19:$N$19,"&lt;"&amp;'Calc base'!M$19,'Calc base'!$C$14:$N$14,1))))</f>
        <v>0</v>
      </c>
      <c r="AS77">
        <f>IF('Calc base'!N$14=0,0,MIN(AG77,MAX(0,$E77-SUMIFS($V77:$AG77,'Calc base'!$C$19:$N$19,"&lt;"&amp;'Calc base'!N$19,'Calc base'!$C$14:$N$14,1))))</f>
        <v>0</v>
      </c>
      <c r="AT77">
        <f>V77-AH77</f>
        <v>0</v>
      </c>
      <c r="AU77">
        <f>W77-AI77</f>
        <v>0</v>
      </c>
      <c r="AV77">
        <f>X77-AJ77</f>
        <v>0</v>
      </c>
      <c r="AW77">
        <f>Y77-AK77</f>
        <v>0</v>
      </c>
      <c r="AX77">
        <f>Z77-AL77</f>
        <v>0</v>
      </c>
      <c r="AY77">
        <f>AA77-AM77</f>
        <v>0</v>
      </c>
      <c r="AZ77">
        <f>AB77-AN77</f>
        <v>0</v>
      </c>
      <c r="BA77">
        <f>AC77-AO77</f>
        <v>0</v>
      </c>
      <c r="BB77">
        <f>AD77-AP77</f>
        <v>0</v>
      </c>
      <c r="BC77">
        <f>AE77-AQ77</f>
        <v>0</v>
      </c>
      <c r="BD77">
        <f>AF77-AR77</f>
        <v>0</v>
      </c>
      <c r="BE77">
        <f>AG77-AS77</f>
        <v>0</v>
      </c>
    </row>
    <row r="78">
      <c r="A78" t="n">
        <v>48</v>
      </c>
      <c r="B78">
        <f>SUMPRODUCT(ROUND($AT77:$BE77*(1+'Calc base'!$H78:$S78),2))</f>
        <v>0</v>
      </c>
      <c r="C78">
        <f>SUM(J78:U78)</f>
        <v>0</v>
      </c>
      <c r="D78">
        <f>SUM(V78:AG78)</f>
        <v>0</v>
      </c>
      <c r="E78">
        <f>MAX(0,IF(Impostazioni!$B$7="No",'Calc base'!$C78-$C$31,'Calc base'!$C78-C78)+'Calc base'!$G78+'Calc base'!$F78-(B78-C78-D78))</f>
        <v>900</v>
      </c>
      <c r="F78">
        <f>SUM(AH78:AS78)</f>
        <v>0</v>
      </c>
      <c r="G78">
        <f>SUM(AT78:BE78)</f>
        <v>0</v>
      </c>
      <c r="H78">
        <f>B78-G77</f>
        <v>0</v>
      </c>
      <c r="I78">
        <f>B78-G78</f>
        <v>0</v>
      </c>
      <c r="J78">
        <f>IF(AT77&lt;=0,0,IF(ROUND(AT77*(1+'Calc base'!H78),2)-MAX('Calc base'!C$12,ROUND('Calc base'!C$13*AT77,2))&lt;1,ROUND(AT77*(1+'Calc base'!H78),2),MAX('Calc base'!C$12,ROUND('Calc base'!C$13*AT77,2))))</f>
        <v>0</v>
      </c>
      <c r="K78">
        <f>IF(AU77&lt;=0,0,IF(ROUND(AU77*(1+'Calc base'!I78),2)-MAX('Calc base'!D$12,ROUND('Calc base'!D$13*AU77,2))&lt;1,ROUND(AU77*(1+'Calc base'!I78),2),MAX('Calc base'!D$12,ROUND('Calc base'!D$13*AU77,2))))</f>
        <v>0</v>
      </c>
      <c r="L78">
        <f>IF(AV77&lt;=0,0,IF(ROUND(AV77*(1+'Calc base'!J78),2)-MAX('Calc base'!E$12,ROUND('Calc base'!E$13*AV77,2))&lt;1,ROUND(AV77*(1+'Calc base'!J78),2),MAX('Calc base'!E$12,ROUND('Calc base'!E$13*AV77,2))))</f>
        <v>0</v>
      </c>
      <c r="M78">
        <f>IF(AW77&lt;=0,0,IF(ROUND(AW77*(1+'Calc base'!K78),2)-MAX('Calc base'!F$12,ROUND('Calc base'!F$13*AW77,2))&lt;1,ROUND(AW77*(1+'Calc base'!K78),2),MAX('Calc base'!F$12,ROUND('Calc base'!F$13*AW77,2))))</f>
        <v>0</v>
      </c>
      <c r="N78">
        <f>IF(AX77&lt;=0,0,IF(ROUND(AX77*(1+'Calc base'!L78),2)-MAX('Calc base'!G$12,ROUND('Calc base'!G$13*AX77,2))&lt;1,ROUND(AX77*(1+'Calc base'!L78),2),MAX('Calc base'!G$12,ROUND('Calc base'!G$13*AX77,2))))</f>
        <v>0</v>
      </c>
      <c r="O78">
        <f>IF(AY77&lt;=0,0,IF(ROUND(AY77*(1+'Calc base'!M78),2)-MAX('Calc base'!H$12,ROUND('Calc base'!H$13*AY77,2))&lt;1,ROUND(AY77*(1+'Calc base'!M78),2),MAX('Calc base'!H$12,ROUND('Calc base'!H$13*AY77,2))))</f>
        <v>0</v>
      </c>
      <c r="P78">
        <f>IF(AZ77&lt;=0,0,IF(ROUND(AZ77*(1+'Calc base'!N78),2)-MAX('Calc base'!I$12,ROUND('Calc base'!I$13*AZ77,2))&lt;1,ROUND(AZ77*(1+'Calc base'!N78),2),MAX('Calc base'!I$12,ROUND('Calc base'!I$13*AZ77,2))))</f>
        <v>0</v>
      </c>
      <c r="Q78">
        <f>IF(BA77&lt;=0,0,IF(ROUND(BA77*(1+'Calc base'!O78),2)-MAX('Calc base'!J$12,ROUND('Calc base'!J$13*BA77,2))&lt;1,ROUND(BA77*(1+'Calc base'!O78),2),MAX('Calc base'!J$12,ROUND('Calc base'!J$13*BA77,2))))</f>
        <v>0</v>
      </c>
      <c r="R78">
        <f>IF(BB77&lt;=0,0,IF(ROUND(BB77*(1+'Calc base'!P78),2)-MAX('Calc base'!K$12,ROUND('Calc base'!K$13*BB77,2))&lt;1,ROUND(BB77*(1+'Calc base'!P78),2),MAX('Calc base'!K$12,ROUND('Calc base'!K$13*BB77,2))))</f>
        <v>0</v>
      </c>
      <c r="S78">
        <f>IF(BC77&lt;=0,0,IF(ROUND(BC77*(1+'Calc base'!Q78),2)-MAX('Calc base'!L$12,ROUND('Calc base'!L$13*BC77,2))&lt;1,ROUND(BC77*(1+'Calc base'!Q78),2),MAX('Calc base'!L$12,ROUND('Calc base'!L$13*BC77,2))))</f>
        <v>0</v>
      </c>
      <c r="T78">
        <f>IF(BD77&lt;=0,0,IF(ROUND(BD77*(1+'Calc base'!R78),2)-MAX('Calc base'!M$12,ROUND('Calc base'!M$13*BD77,2))&lt;1,ROUND(BD77*(1+'Calc base'!R78),2),MAX('Calc base'!M$12,ROUND('Calc base'!M$13*BD77,2))))</f>
        <v>0</v>
      </c>
      <c r="U78">
        <f>IF(BE77&lt;=0,0,IF(ROUND(BE77*(1+'Calc base'!S78),2)-MAX('Calc base'!N$12,ROUND('Calc base'!N$13*BE77,2))&lt;1,ROUND(BE77*(1+'Calc base'!S78),2),MAX('Calc base'!N$12,ROUND('Calc base'!N$13*BE77,2))))</f>
        <v>0</v>
      </c>
      <c r="V78">
        <f>MAX(0,ROUND(AT77*(1+'Calc base'!H78),2)-J78-'Calc base'!T78)</f>
        <v>0</v>
      </c>
      <c r="W78">
        <f>MAX(0,ROUND(AU77*(1+'Calc base'!I78),2)-K78-'Calc base'!U78)</f>
        <v>0</v>
      </c>
      <c r="X78">
        <f>MAX(0,ROUND(AV77*(1+'Calc base'!J78),2)-L78-'Calc base'!V78)</f>
        <v>0</v>
      </c>
      <c r="Y78">
        <f>MAX(0,ROUND(AW77*(1+'Calc base'!K78),2)-M78-'Calc base'!W78)</f>
        <v>0</v>
      </c>
      <c r="Z78">
        <f>MAX(0,ROUND(AX77*(1+'Calc base'!L78),2)-N78-'Calc base'!X78)</f>
        <v>0</v>
      </c>
      <c r="AA78">
        <f>MAX(0,ROUND(AY77*(1+'Calc base'!M78),2)-O78-'Calc base'!Y78)</f>
        <v>0</v>
      </c>
      <c r="AB78">
        <f>MAX(0,ROUND(AZ77*(1+'Calc base'!N78),2)-P78-'Calc base'!Z78)</f>
        <v>0</v>
      </c>
      <c r="AC78">
        <f>MAX(0,ROUND(BA77*(1+'Calc base'!O78),2)-Q78-'Calc base'!AA78)</f>
        <v>0</v>
      </c>
      <c r="AD78">
        <f>MAX(0,ROUND(BB77*(1+'Calc base'!P78),2)-R78-'Calc base'!AB78)</f>
        <v>0</v>
      </c>
      <c r="AE78">
        <f>MAX(0,ROUND(BC77*(1+'Calc base'!Q78),2)-S78-'Calc base'!AC78)</f>
        <v>0</v>
      </c>
      <c r="AF78">
        <f>MAX(0,ROUND(BD77*(1+'Calc base'!R78),2)-T78-'Calc base'!AD78)</f>
        <v>0</v>
      </c>
      <c r="AG78">
        <f>MAX(0,ROUND(BE77*(1+'Calc base'!S78),2)-U78-'Calc base'!AE78)</f>
        <v>0</v>
      </c>
      <c r="AH78">
        <f>IF('Calc base'!C$14=0,0,MIN(V78,MAX(0,$E78-SUMIFS($V78:$AG78,'Calc base'!$C$19:$N$19,"&lt;"&amp;'Calc base'!C$19,'Calc base'!$C$14:$N$14,1))))</f>
        <v>0</v>
      </c>
      <c r="AI78">
        <f>IF('Calc base'!D$14=0,0,MIN(W78,MAX(0,$E78-SUMIFS($V78:$AG78,'Calc base'!$C$19:$N$19,"&lt;"&amp;'Calc base'!D$19,'Calc base'!$C$14:$N$14,1))))</f>
        <v>0</v>
      </c>
      <c r="AJ78">
        <f>IF('Calc base'!E$14=0,0,MIN(X78,MAX(0,$E78-SUMIFS($V78:$AG78,'Calc base'!$C$19:$N$19,"&lt;"&amp;'Calc base'!E$19,'Calc base'!$C$14:$N$14,1))))</f>
        <v>0</v>
      </c>
      <c r="AK78">
        <f>IF('Calc base'!F$14=0,0,MIN(Y78,MAX(0,$E78-SUMIFS($V78:$AG78,'Calc base'!$C$19:$N$19,"&lt;"&amp;'Calc base'!F$19,'Calc base'!$C$14:$N$14,1))))</f>
        <v>0</v>
      </c>
      <c r="AL78">
        <f>IF('Calc base'!G$14=0,0,MIN(Z78,MAX(0,$E78-SUMIFS($V78:$AG78,'Calc base'!$C$19:$N$19,"&lt;"&amp;'Calc base'!G$19,'Calc base'!$C$14:$N$14,1))))</f>
        <v>0</v>
      </c>
      <c r="AM78">
        <f>IF('Calc base'!H$14=0,0,MIN(AA78,MAX(0,$E78-SUMIFS($V78:$AG78,'Calc base'!$C$19:$N$19,"&lt;"&amp;'Calc base'!H$19,'Calc base'!$C$14:$N$14,1))))</f>
        <v>0</v>
      </c>
      <c r="AN78">
        <f>IF('Calc base'!I$14=0,0,MIN(AB78,MAX(0,$E78-SUMIFS($V78:$AG78,'Calc base'!$C$19:$N$19,"&lt;"&amp;'Calc base'!I$19,'Calc base'!$C$14:$N$14,1))))</f>
        <v>0</v>
      </c>
      <c r="AO78">
        <f>IF('Calc base'!J$14=0,0,MIN(AC78,MAX(0,$E78-SUMIFS($V78:$AG78,'Calc base'!$C$19:$N$19,"&lt;"&amp;'Calc base'!J$19,'Calc base'!$C$14:$N$14,1))))</f>
        <v>0</v>
      </c>
      <c r="AP78">
        <f>IF('Calc base'!K$14=0,0,MIN(AD78,MAX(0,$E78-SUMIFS($V78:$AG78,'Calc base'!$C$19:$N$19,"&lt;"&amp;'Calc base'!K$19,'Calc base'!$C$14:$N$14,1))))</f>
        <v>0</v>
      </c>
      <c r="AQ78">
        <f>IF('Calc base'!L$14=0,0,MIN(AE78,MAX(0,$E78-SUMIFS($V78:$AG78,'Calc base'!$C$19:$N$19,"&lt;"&amp;'Calc base'!L$19,'Calc base'!$C$14:$N$14,1))))</f>
        <v>0</v>
      </c>
      <c r="AR78">
        <f>IF('Calc base'!M$14=0,0,MIN(AF78,MAX(0,$E78-SUMIFS($V78:$AG78,'Calc base'!$C$19:$N$19,"&lt;"&amp;'Calc base'!M$19,'Calc base'!$C$14:$N$14,1))))</f>
        <v>0</v>
      </c>
      <c r="AS78">
        <f>IF('Calc base'!N$14=0,0,MIN(AG78,MAX(0,$E78-SUMIFS($V78:$AG78,'Calc base'!$C$19:$N$19,"&lt;"&amp;'Calc base'!N$19,'Calc base'!$C$14:$N$14,1))))</f>
        <v>0</v>
      </c>
      <c r="AT78">
        <f>V78-AH78</f>
        <v>0</v>
      </c>
      <c r="AU78">
        <f>W78-AI78</f>
        <v>0</v>
      </c>
      <c r="AV78">
        <f>X78-AJ78</f>
        <v>0</v>
      </c>
      <c r="AW78">
        <f>Y78-AK78</f>
        <v>0</v>
      </c>
      <c r="AX78">
        <f>Z78-AL78</f>
        <v>0</v>
      </c>
      <c r="AY78">
        <f>AA78-AM78</f>
        <v>0</v>
      </c>
      <c r="AZ78">
        <f>AB78-AN78</f>
        <v>0</v>
      </c>
      <c r="BA78">
        <f>AC78-AO78</f>
        <v>0</v>
      </c>
      <c r="BB78">
        <f>AD78-AP78</f>
        <v>0</v>
      </c>
      <c r="BC78">
        <f>AE78-AQ78</f>
        <v>0</v>
      </c>
      <c r="BD78">
        <f>AF78-AR78</f>
        <v>0</v>
      </c>
      <c r="BE78">
        <f>AG78-AS78</f>
        <v>0</v>
      </c>
    </row>
    <row r="79">
      <c r="A79" t="n">
        <v>49</v>
      </c>
      <c r="B79">
        <f>SUMPRODUCT(ROUND($AT78:$BE78*(1+'Calc base'!$H79:$S79),2))</f>
        <v>0</v>
      </c>
      <c r="C79">
        <f>SUM(J79:U79)</f>
        <v>0</v>
      </c>
      <c r="D79">
        <f>SUM(V79:AG79)</f>
        <v>0</v>
      </c>
      <c r="E79">
        <f>MAX(0,IF(Impostazioni!$B$7="No",'Calc base'!$C79-$C$31,'Calc base'!$C79-C79)+'Calc base'!$G79+'Calc base'!$F79-(B79-C79-D79))</f>
        <v>900</v>
      </c>
      <c r="F79">
        <f>SUM(AH79:AS79)</f>
        <v>0</v>
      </c>
      <c r="G79">
        <f>SUM(AT79:BE79)</f>
        <v>0</v>
      </c>
      <c r="H79">
        <f>B79-G78</f>
        <v>0</v>
      </c>
      <c r="I79">
        <f>B79-G79</f>
        <v>0</v>
      </c>
      <c r="J79">
        <f>IF(AT78&lt;=0,0,IF(ROUND(AT78*(1+'Calc base'!H79),2)-MAX('Calc base'!C$12,ROUND('Calc base'!C$13*AT78,2))&lt;1,ROUND(AT78*(1+'Calc base'!H79),2),MAX('Calc base'!C$12,ROUND('Calc base'!C$13*AT78,2))))</f>
        <v>0</v>
      </c>
      <c r="K79">
        <f>IF(AU78&lt;=0,0,IF(ROUND(AU78*(1+'Calc base'!I79),2)-MAX('Calc base'!D$12,ROUND('Calc base'!D$13*AU78,2))&lt;1,ROUND(AU78*(1+'Calc base'!I79),2),MAX('Calc base'!D$12,ROUND('Calc base'!D$13*AU78,2))))</f>
        <v>0</v>
      </c>
      <c r="L79">
        <f>IF(AV78&lt;=0,0,IF(ROUND(AV78*(1+'Calc base'!J79),2)-MAX('Calc base'!E$12,ROUND('Calc base'!E$13*AV78,2))&lt;1,ROUND(AV78*(1+'Calc base'!J79),2),MAX('Calc base'!E$12,ROUND('Calc base'!E$13*AV78,2))))</f>
        <v>0</v>
      </c>
      <c r="M79">
        <f>IF(AW78&lt;=0,0,IF(ROUND(AW78*(1+'Calc base'!K79),2)-MAX('Calc base'!F$12,ROUND('Calc base'!F$13*AW78,2))&lt;1,ROUND(AW78*(1+'Calc base'!K79),2),MAX('Calc base'!F$12,ROUND('Calc base'!F$13*AW78,2))))</f>
        <v>0</v>
      </c>
      <c r="N79">
        <f>IF(AX78&lt;=0,0,IF(ROUND(AX78*(1+'Calc base'!L79),2)-MAX('Calc base'!G$12,ROUND('Calc base'!G$13*AX78,2))&lt;1,ROUND(AX78*(1+'Calc base'!L79),2),MAX('Calc base'!G$12,ROUND('Calc base'!G$13*AX78,2))))</f>
        <v>0</v>
      </c>
      <c r="O79">
        <f>IF(AY78&lt;=0,0,IF(ROUND(AY78*(1+'Calc base'!M79),2)-MAX('Calc base'!H$12,ROUND('Calc base'!H$13*AY78,2))&lt;1,ROUND(AY78*(1+'Calc base'!M79),2),MAX('Calc base'!H$12,ROUND('Calc base'!H$13*AY78,2))))</f>
        <v>0</v>
      </c>
      <c r="P79">
        <f>IF(AZ78&lt;=0,0,IF(ROUND(AZ78*(1+'Calc base'!N79),2)-MAX('Calc base'!I$12,ROUND('Calc base'!I$13*AZ78,2))&lt;1,ROUND(AZ78*(1+'Calc base'!N79),2),MAX('Calc base'!I$12,ROUND('Calc base'!I$13*AZ78,2))))</f>
        <v>0</v>
      </c>
      <c r="Q79">
        <f>IF(BA78&lt;=0,0,IF(ROUND(BA78*(1+'Calc base'!O79),2)-MAX('Calc base'!J$12,ROUND('Calc base'!J$13*BA78,2))&lt;1,ROUND(BA78*(1+'Calc base'!O79),2),MAX('Calc base'!J$12,ROUND('Calc base'!J$13*BA78,2))))</f>
        <v>0</v>
      </c>
      <c r="R79">
        <f>IF(BB78&lt;=0,0,IF(ROUND(BB78*(1+'Calc base'!P79),2)-MAX('Calc base'!K$12,ROUND('Calc base'!K$13*BB78,2))&lt;1,ROUND(BB78*(1+'Calc base'!P79),2),MAX('Calc base'!K$12,ROUND('Calc base'!K$13*BB78,2))))</f>
        <v>0</v>
      </c>
      <c r="S79">
        <f>IF(BC78&lt;=0,0,IF(ROUND(BC78*(1+'Calc base'!Q79),2)-MAX('Calc base'!L$12,ROUND('Calc base'!L$13*BC78,2))&lt;1,ROUND(BC78*(1+'Calc base'!Q79),2),MAX('Calc base'!L$12,ROUND('Calc base'!L$13*BC78,2))))</f>
        <v>0</v>
      </c>
      <c r="T79">
        <f>IF(BD78&lt;=0,0,IF(ROUND(BD78*(1+'Calc base'!R79),2)-MAX('Calc base'!M$12,ROUND('Calc base'!M$13*BD78,2))&lt;1,ROUND(BD78*(1+'Calc base'!R79),2),MAX('Calc base'!M$12,ROUND('Calc base'!M$13*BD78,2))))</f>
        <v>0</v>
      </c>
      <c r="U79">
        <f>IF(BE78&lt;=0,0,IF(ROUND(BE78*(1+'Calc base'!S79),2)-MAX('Calc base'!N$12,ROUND('Calc base'!N$13*BE78,2))&lt;1,ROUND(BE78*(1+'Calc base'!S79),2),MAX('Calc base'!N$12,ROUND('Calc base'!N$13*BE78,2))))</f>
        <v>0</v>
      </c>
      <c r="V79">
        <f>MAX(0,ROUND(AT78*(1+'Calc base'!H79),2)-J79-'Calc base'!T79)</f>
        <v>0</v>
      </c>
      <c r="W79">
        <f>MAX(0,ROUND(AU78*(1+'Calc base'!I79),2)-K79-'Calc base'!U79)</f>
        <v>0</v>
      </c>
      <c r="X79">
        <f>MAX(0,ROUND(AV78*(1+'Calc base'!J79),2)-L79-'Calc base'!V79)</f>
        <v>0</v>
      </c>
      <c r="Y79">
        <f>MAX(0,ROUND(AW78*(1+'Calc base'!K79),2)-M79-'Calc base'!W79)</f>
        <v>0</v>
      </c>
      <c r="Z79">
        <f>MAX(0,ROUND(AX78*(1+'Calc base'!L79),2)-N79-'Calc base'!X79)</f>
        <v>0</v>
      </c>
      <c r="AA79">
        <f>MAX(0,ROUND(AY78*(1+'Calc base'!M79),2)-O79-'Calc base'!Y79)</f>
        <v>0</v>
      </c>
      <c r="AB79">
        <f>MAX(0,ROUND(AZ78*(1+'Calc base'!N79),2)-P79-'Calc base'!Z79)</f>
        <v>0</v>
      </c>
      <c r="AC79">
        <f>MAX(0,ROUND(BA78*(1+'Calc base'!O79),2)-Q79-'Calc base'!AA79)</f>
        <v>0</v>
      </c>
      <c r="AD79">
        <f>MAX(0,ROUND(BB78*(1+'Calc base'!P79),2)-R79-'Calc base'!AB79)</f>
        <v>0</v>
      </c>
      <c r="AE79">
        <f>MAX(0,ROUND(BC78*(1+'Calc base'!Q79),2)-S79-'Calc base'!AC79)</f>
        <v>0</v>
      </c>
      <c r="AF79">
        <f>MAX(0,ROUND(BD78*(1+'Calc base'!R79),2)-T79-'Calc base'!AD79)</f>
        <v>0</v>
      </c>
      <c r="AG79">
        <f>MAX(0,ROUND(BE78*(1+'Calc base'!S79),2)-U79-'Calc base'!AE79)</f>
        <v>0</v>
      </c>
      <c r="AH79">
        <f>IF('Calc base'!C$14=0,0,MIN(V79,MAX(0,$E79-SUMIFS($V79:$AG79,'Calc base'!$C$19:$N$19,"&lt;"&amp;'Calc base'!C$19,'Calc base'!$C$14:$N$14,1))))</f>
        <v>0</v>
      </c>
      <c r="AI79">
        <f>IF('Calc base'!D$14=0,0,MIN(W79,MAX(0,$E79-SUMIFS($V79:$AG79,'Calc base'!$C$19:$N$19,"&lt;"&amp;'Calc base'!D$19,'Calc base'!$C$14:$N$14,1))))</f>
        <v>0</v>
      </c>
      <c r="AJ79">
        <f>IF('Calc base'!E$14=0,0,MIN(X79,MAX(0,$E79-SUMIFS($V79:$AG79,'Calc base'!$C$19:$N$19,"&lt;"&amp;'Calc base'!E$19,'Calc base'!$C$14:$N$14,1))))</f>
        <v>0</v>
      </c>
      <c r="AK79">
        <f>IF('Calc base'!F$14=0,0,MIN(Y79,MAX(0,$E79-SUMIFS($V79:$AG79,'Calc base'!$C$19:$N$19,"&lt;"&amp;'Calc base'!F$19,'Calc base'!$C$14:$N$14,1))))</f>
        <v>0</v>
      </c>
      <c r="AL79">
        <f>IF('Calc base'!G$14=0,0,MIN(Z79,MAX(0,$E79-SUMIFS($V79:$AG79,'Calc base'!$C$19:$N$19,"&lt;"&amp;'Calc base'!G$19,'Calc base'!$C$14:$N$14,1))))</f>
        <v>0</v>
      </c>
      <c r="AM79">
        <f>IF('Calc base'!H$14=0,0,MIN(AA79,MAX(0,$E79-SUMIFS($V79:$AG79,'Calc base'!$C$19:$N$19,"&lt;"&amp;'Calc base'!H$19,'Calc base'!$C$14:$N$14,1))))</f>
        <v>0</v>
      </c>
      <c r="AN79">
        <f>IF('Calc base'!I$14=0,0,MIN(AB79,MAX(0,$E79-SUMIFS($V79:$AG79,'Calc base'!$C$19:$N$19,"&lt;"&amp;'Calc base'!I$19,'Calc base'!$C$14:$N$14,1))))</f>
        <v>0</v>
      </c>
      <c r="AO79">
        <f>IF('Calc base'!J$14=0,0,MIN(AC79,MAX(0,$E79-SUMIFS($V79:$AG79,'Calc base'!$C$19:$N$19,"&lt;"&amp;'Calc base'!J$19,'Calc base'!$C$14:$N$14,1))))</f>
        <v>0</v>
      </c>
      <c r="AP79">
        <f>IF('Calc base'!K$14=0,0,MIN(AD79,MAX(0,$E79-SUMIFS($V79:$AG79,'Calc base'!$C$19:$N$19,"&lt;"&amp;'Calc base'!K$19,'Calc base'!$C$14:$N$14,1))))</f>
        <v>0</v>
      </c>
      <c r="AQ79">
        <f>IF('Calc base'!L$14=0,0,MIN(AE79,MAX(0,$E79-SUMIFS($V79:$AG79,'Calc base'!$C$19:$N$19,"&lt;"&amp;'Calc base'!L$19,'Calc base'!$C$14:$N$14,1))))</f>
        <v>0</v>
      </c>
      <c r="AR79">
        <f>IF('Calc base'!M$14=0,0,MIN(AF79,MAX(0,$E79-SUMIFS($V79:$AG79,'Calc base'!$C$19:$N$19,"&lt;"&amp;'Calc base'!M$19,'Calc base'!$C$14:$N$14,1))))</f>
        <v>0</v>
      </c>
      <c r="AS79">
        <f>IF('Calc base'!N$14=0,0,MIN(AG79,MAX(0,$E79-SUMIFS($V79:$AG79,'Calc base'!$C$19:$N$19,"&lt;"&amp;'Calc base'!N$19,'Calc base'!$C$14:$N$14,1))))</f>
        <v>0</v>
      </c>
      <c r="AT79">
        <f>V79-AH79</f>
        <v>0</v>
      </c>
      <c r="AU79">
        <f>W79-AI79</f>
        <v>0</v>
      </c>
      <c r="AV79">
        <f>X79-AJ79</f>
        <v>0</v>
      </c>
      <c r="AW79">
        <f>Y79-AK79</f>
        <v>0</v>
      </c>
      <c r="AX79">
        <f>Z79-AL79</f>
        <v>0</v>
      </c>
      <c r="AY79">
        <f>AA79-AM79</f>
        <v>0</v>
      </c>
      <c r="AZ79">
        <f>AB79-AN79</f>
        <v>0</v>
      </c>
      <c r="BA79">
        <f>AC79-AO79</f>
        <v>0</v>
      </c>
      <c r="BB79">
        <f>AD79-AP79</f>
        <v>0</v>
      </c>
      <c r="BC79">
        <f>AE79-AQ79</f>
        <v>0</v>
      </c>
      <c r="BD79">
        <f>AF79-AR79</f>
        <v>0</v>
      </c>
      <c r="BE79">
        <f>AG79-AS79</f>
        <v>0</v>
      </c>
    </row>
    <row r="80">
      <c r="A80" t="n">
        <v>50</v>
      </c>
      <c r="B80">
        <f>SUMPRODUCT(ROUND($AT79:$BE79*(1+'Calc base'!$H80:$S80),2))</f>
        <v>0</v>
      </c>
      <c r="C80">
        <f>SUM(J80:U80)</f>
        <v>0</v>
      </c>
      <c r="D80">
        <f>SUM(V80:AG80)</f>
        <v>0</v>
      </c>
      <c r="E80">
        <f>MAX(0,IF(Impostazioni!$B$7="No",'Calc base'!$C80-$C$31,'Calc base'!$C80-C80)+'Calc base'!$G80+'Calc base'!$F80-(B80-C80-D80))</f>
        <v>900</v>
      </c>
      <c r="F80">
        <f>SUM(AH80:AS80)</f>
        <v>0</v>
      </c>
      <c r="G80">
        <f>SUM(AT80:BE80)</f>
        <v>0</v>
      </c>
      <c r="H80">
        <f>B80-G79</f>
        <v>0</v>
      </c>
      <c r="I80">
        <f>B80-G80</f>
        <v>0</v>
      </c>
      <c r="J80">
        <f>IF(AT79&lt;=0,0,IF(ROUND(AT79*(1+'Calc base'!H80),2)-MAX('Calc base'!C$12,ROUND('Calc base'!C$13*AT79,2))&lt;1,ROUND(AT79*(1+'Calc base'!H80),2),MAX('Calc base'!C$12,ROUND('Calc base'!C$13*AT79,2))))</f>
        <v>0</v>
      </c>
      <c r="K80">
        <f>IF(AU79&lt;=0,0,IF(ROUND(AU79*(1+'Calc base'!I80),2)-MAX('Calc base'!D$12,ROUND('Calc base'!D$13*AU79,2))&lt;1,ROUND(AU79*(1+'Calc base'!I80),2),MAX('Calc base'!D$12,ROUND('Calc base'!D$13*AU79,2))))</f>
        <v>0</v>
      </c>
      <c r="L80">
        <f>IF(AV79&lt;=0,0,IF(ROUND(AV79*(1+'Calc base'!J80),2)-MAX('Calc base'!E$12,ROUND('Calc base'!E$13*AV79,2))&lt;1,ROUND(AV79*(1+'Calc base'!J80),2),MAX('Calc base'!E$12,ROUND('Calc base'!E$13*AV79,2))))</f>
        <v>0</v>
      </c>
      <c r="M80">
        <f>IF(AW79&lt;=0,0,IF(ROUND(AW79*(1+'Calc base'!K80),2)-MAX('Calc base'!F$12,ROUND('Calc base'!F$13*AW79,2))&lt;1,ROUND(AW79*(1+'Calc base'!K80),2),MAX('Calc base'!F$12,ROUND('Calc base'!F$13*AW79,2))))</f>
        <v>0</v>
      </c>
      <c r="N80">
        <f>IF(AX79&lt;=0,0,IF(ROUND(AX79*(1+'Calc base'!L80),2)-MAX('Calc base'!G$12,ROUND('Calc base'!G$13*AX79,2))&lt;1,ROUND(AX79*(1+'Calc base'!L80),2),MAX('Calc base'!G$12,ROUND('Calc base'!G$13*AX79,2))))</f>
        <v>0</v>
      </c>
      <c r="O80">
        <f>IF(AY79&lt;=0,0,IF(ROUND(AY79*(1+'Calc base'!M80),2)-MAX('Calc base'!H$12,ROUND('Calc base'!H$13*AY79,2))&lt;1,ROUND(AY79*(1+'Calc base'!M80),2),MAX('Calc base'!H$12,ROUND('Calc base'!H$13*AY79,2))))</f>
        <v>0</v>
      </c>
      <c r="P80">
        <f>IF(AZ79&lt;=0,0,IF(ROUND(AZ79*(1+'Calc base'!N80),2)-MAX('Calc base'!I$12,ROUND('Calc base'!I$13*AZ79,2))&lt;1,ROUND(AZ79*(1+'Calc base'!N80),2),MAX('Calc base'!I$12,ROUND('Calc base'!I$13*AZ79,2))))</f>
        <v>0</v>
      </c>
      <c r="Q80">
        <f>IF(BA79&lt;=0,0,IF(ROUND(BA79*(1+'Calc base'!O80),2)-MAX('Calc base'!J$12,ROUND('Calc base'!J$13*BA79,2))&lt;1,ROUND(BA79*(1+'Calc base'!O80),2),MAX('Calc base'!J$12,ROUND('Calc base'!J$13*BA79,2))))</f>
        <v>0</v>
      </c>
      <c r="R80">
        <f>IF(BB79&lt;=0,0,IF(ROUND(BB79*(1+'Calc base'!P80),2)-MAX('Calc base'!K$12,ROUND('Calc base'!K$13*BB79,2))&lt;1,ROUND(BB79*(1+'Calc base'!P80),2),MAX('Calc base'!K$12,ROUND('Calc base'!K$13*BB79,2))))</f>
        <v>0</v>
      </c>
      <c r="S80">
        <f>IF(BC79&lt;=0,0,IF(ROUND(BC79*(1+'Calc base'!Q80),2)-MAX('Calc base'!L$12,ROUND('Calc base'!L$13*BC79,2))&lt;1,ROUND(BC79*(1+'Calc base'!Q80),2),MAX('Calc base'!L$12,ROUND('Calc base'!L$13*BC79,2))))</f>
        <v>0</v>
      </c>
      <c r="T80">
        <f>IF(BD79&lt;=0,0,IF(ROUND(BD79*(1+'Calc base'!R80),2)-MAX('Calc base'!M$12,ROUND('Calc base'!M$13*BD79,2))&lt;1,ROUND(BD79*(1+'Calc base'!R80),2),MAX('Calc base'!M$12,ROUND('Calc base'!M$13*BD79,2))))</f>
        <v>0</v>
      </c>
      <c r="U80">
        <f>IF(BE79&lt;=0,0,IF(ROUND(BE79*(1+'Calc base'!S80),2)-MAX('Calc base'!N$12,ROUND('Calc base'!N$13*BE79,2))&lt;1,ROUND(BE79*(1+'Calc base'!S80),2),MAX('Calc base'!N$12,ROUND('Calc base'!N$13*BE79,2))))</f>
        <v>0</v>
      </c>
      <c r="V80">
        <f>MAX(0,ROUND(AT79*(1+'Calc base'!H80),2)-J80-'Calc base'!T80)</f>
        <v>0</v>
      </c>
      <c r="W80">
        <f>MAX(0,ROUND(AU79*(1+'Calc base'!I80),2)-K80-'Calc base'!U80)</f>
        <v>0</v>
      </c>
      <c r="X80">
        <f>MAX(0,ROUND(AV79*(1+'Calc base'!J80),2)-L80-'Calc base'!V80)</f>
        <v>0</v>
      </c>
      <c r="Y80">
        <f>MAX(0,ROUND(AW79*(1+'Calc base'!K80),2)-M80-'Calc base'!W80)</f>
        <v>0</v>
      </c>
      <c r="Z80">
        <f>MAX(0,ROUND(AX79*(1+'Calc base'!L80),2)-N80-'Calc base'!X80)</f>
        <v>0</v>
      </c>
      <c r="AA80">
        <f>MAX(0,ROUND(AY79*(1+'Calc base'!M80),2)-O80-'Calc base'!Y80)</f>
        <v>0</v>
      </c>
      <c r="AB80">
        <f>MAX(0,ROUND(AZ79*(1+'Calc base'!N80),2)-P80-'Calc base'!Z80)</f>
        <v>0</v>
      </c>
      <c r="AC80">
        <f>MAX(0,ROUND(BA79*(1+'Calc base'!O80),2)-Q80-'Calc base'!AA80)</f>
        <v>0</v>
      </c>
      <c r="AD80">
        <f>MAX(0,ROUND(BB79*(1+'Calc base'!P80),2)-R80-'Calc base'!AB80)</f>
        <v>0</v>
      </c>
      <c r="AE80">
        <f>MAX(0,ROUND(BC79*(1+'Calc base'!Q80),2)-S80-'Calc base'!AC80)</f>
        <v>0</v>
      </c>
      <c r="AF80">
        <f>MAX(0,ROUND(BD79*(1+'Calc base'!R80),2)-T80-'Calc base'!AD80)</f>
        <v>0</v>
      </c>
      <c r="AG80">
        <f>MAX(0,ROUND(BE79*(1+'Calc base'!S80),2)-U80-'Calc base'!AE80)</f>
        <v>0</v>
      </c>
      <c r="AH80">
        <f>IF('Calc base'!C$14=0,0,MIN(V80,MAX(0,$E80-SUMIFS($V80:$AG80,'Calc base'!$C$19:$N$19,"&lt;"&amp;'Calc base'!C$19,'Calc base'!$C$14:$N$14,1))))</f>
        <v>0</v>
      </c>
      <c r="AI80">
        <f>IF('Calc base'!D$14=0,0,MIN(W80,MAX(0,$E80-SUMIFS($V80:$AG80,'Calc base'!$C$19:$N$19,"&lt;"&amp;'Calc base'!D$19,'Calc base'!$C$14:$N$14,1))))</f>
        <v>0</v>
      </c>
      <c r="AJ80">
        <f>IF('Calc base'!E$14=0,0,MIN(X80,MAX(0,$E80-SUMIFS($V80:$AG80,'Calc base'!$C$19:$N$19,"&lt;"&amp;'Calc base'!E$19,'Calc base'!$C$14:$N$14,1))))</f>
        <v>0</v>
      </c>
      <c r="AK80">
        <f>IF('Calc base'!F$14=0,0,MIN(Y80,MAX(0,$E80-SUMIFS($V80:$AG80,'Calc base'!$C$19:$N$19,"&lt;"&amp;'Calc base'!F$19,'Calc base'!$C$14:$N$14,1))))</f>
        <v>0</v>
      </c>
      <c r="AL80">
        <f>IF('Calc base'!G$14=0,0,MIN(Z80,MAX(0,$E80-SUMIFS($V80:$AG80,'Calc base'!$C$19:$N$19,"&lt;"&amp;'Calc base'!G$19,'Calc base'!$C$14:$N$14,1))))</f>
        <v>0</v>
      </c>
      <c r="AM80">
        <f>IF('Calc base'!H$14=0,0,MIN(AA80,MAX(0,$E80-SUMIFS($V80:$AG80,'Calc base'!$C$19:$N$19,"&lt;"&amp;'Calc base'!H$19,'Calc base'!$C$14:$N$14,1))))</f>
        <v>0</v>
      </c>
      <c r="AN80">
        <f>IF('Calc base'!I$14=0,0,MIN(AB80,MAX(0,$E80-SUMIFS($V80:$AG80,'Calc base'!$C$19:$N$19,"&lt;"&amp;'Calc base'!I$19,'Calc base'!$C$14:$N$14,1))))</f>
        <v>0</v>
      </c>
      <c r="AO80">
        <f>IF('Calc base'!J$14=0,0,MIN(AC80,MAX(0,$E80-SUMIFS($V80:$AG80,'Calc base'!$C$19:$N$19,"&lt;"&amp;'Calc base'!J$19,'Calc base'!$C$14:$N$14,1))))</f>
        <v>0</v>
      </c>
      <c r="AP80">
        <f>IF('Calc base'!K$14=0,0,MIN(AD80,MAX(0,$E80-SUMIFS($V80:$AG80,'Calc base'!$C$19:$N$19,"&lt;"&amp;'Calc base'!K$19,'Calc base'!$C$14:$N$14,1))))</f>
        <v>0</v>
      </c>
      <c r="AQ80">
        <f>IF('Calc base'!L$14=0,0,MIN(AE80,MAX(0,$E80-SUMIFS($V80:$AG80,'Calc base'!$C$19:$N$19,"&lt;"&amp;'Calc base'!L$19,'Calc base'!$C$14:$N$14,1))))</f>
        <v>0</v>
      </c>
      <c r="AR80">
        <f>IF('Calc base'!M$14=0,0,MIN(AF80,MAX(0,$E80-SUMIFS($V80:$AG80,'Calc base'!$C$19:$N$19,"&lt;"&amp;'Calc base'!M$19,'Calc base'!$C$14:$N$14,1))))</f>
        <v>0</v>
      </c>
      <c r="AS80">
        <f>IF('Calc base'!N$14=0,0,MIN(AG80,MAX(0,$E80-SUMIFS($V80:$AG80,'Calc base'!$C$19:$N$19,"&lt;"&amp;'Calc base'!N$19,'Calc base'!$C$14:$N$14,1))))</f>
        <v>0</v>
      </c>
      <c r="AT80">
        <f>V80-AH80</f>
        <v>0</v>
      </c>
      <c r="AU80">
        <f>W80-AI80</f>
        <v>0</v>
      </c>
      <c r="AV80">
        <f>X80-AJ80</f>
        <v>0</v>
      </c>
      <c r="AW80">
        <f>Y80-AK80</f>
        <v>0</v>
      </c>
      <c r="AX80">
        <f>Z80-AL80</f>
        <v>0</v>
      </c>
      <c r="AY80">
        <f>AA80-AM80</f>
        <v>0</v>
      </c>
      <c r="AZ80">
        <f>AB80-AN80</f>
        <v>0</v>
      </c>
      <c r="BA80">
        <f>AC80-AO80</f>
        <v>0</v>
      </c>
      <c r="BB80">
        <f>AD80-AP80</f>
        <v>0</v>
      </c>
      <c r="BC80">
        <f>AE80-AQ80</f>
        <v>0</v>
      </c>
      <c r="BD80">
        <f>AF80-AR80</f>
        <v>0</v>
      </c>
      <c r="BE80">
        <f>AG80-AS80</f>
        <v>0</v>
      </c>
    </row>
    <row r="81">
      <c r="A81" t="n">
        <v>51</v>
      </c>
      <c r="B81">
        <f>SUMPRODUCT(ROUND($AT80:$BE80*(1+'Calc base'!$H81:$S81),2))</f>
        <v>0</v>
      </c>
      <c r="C81">
        <f>SUM(J81:U81)</f>
        <v>0</v>
      </c>
      <c r="D81">
        <f>SUM(V81:AG81)</f>
        <v>0</v>
      </c>
      <c r="E81">
        <f>MAX(0,IF(Impostazioni!$B$7="No",'Calc base'!$C81-$C$31,'Calc base'!$C81-C81)+'Calc base'!$G81+'Calc base'!$F81-(B81-C81-D81))</f>
        <v>900</v>
      </c>
      <c r="F81">
        <f>SUM(AH81:AS81)</f>
        <v>0</v>
      </c>
      <c r="G81">
        <f>SUM(AT81:BE81)</f>
        <v>0</v>
      </c>
      <c r="H81">
        <f>B81-G80</f>
        <v>0</v>
      </c>
      <c r="I81">
        <f>B81-G81</f>
        <v>0</v>
      </c>
      <c r="J81">
        <f>IF(AT80&lt;=0,0,IF(ROUND(AT80*(1+'Calc base'!H81),2)-MAX('Calc base'!C$12,ROUND('Calc base'!C$13*AT80,2))&lt;1,ROUND(AT80*(1+'Calc base'!H81),2),MAX('Calc base'!C$12,ROUND('Calc base'!C$13*AT80,2))))</f>
        <v>0</v>
      </c>
      <c r="K81">
        <f>IF(AU80&lt;=0,0,IF(ROUND(AU80*(1+'Calc base'!I81),2)-MAX('Calc base'!D$12,ROUND('Calc base'!D$13*AU80,2))&lt;1,ROUND(AU80*(1+'Calc base'!I81),2),MAX('Calc base'!D$12,ROUND('Calc base'!D$13*AU80,2))))</f>
        <v>0</v>
      </c>
      <c r="L81">
        <f>IF(AV80&lt;=0,0,IF(ROUND(AV80*(1+'Calc base'!J81),2)-MAX('Calc base'!E$12,ROUND('Calc base'!E$13*AV80,2))&lt;1,ROUND(AV80*(1+'Calc base'!J81),2),MAX('Calc base'!E$12,ROUND('Calc base'!E$13*AV80,2))))</f>
        <v>0</v>
      </c>
      <c r="M81">
        <f>IF(AW80&lt;=0,0,IF(ROUND(AW80*(1+'Calc base'!K81),2)-MAX('Calc base'!F$12,ROUND('Calc base'!F$13*AW80,2))&lt;1,ROUND(AW80*(1+'Calc base'!K81),2),MAX('Calc base'!F$12,ROUND('Calc base'!F$13*AW80,2))))</f>
        <v>0</v>
      </c>
      <c r="N81">
        <f>IF(AX80&lt;=0,0,IF(ROUND(AX80*(1+'Calc base'!L81),2)-MAX('Calc base'!G$12,ROUND('Calc base'!G$13*AX80,2))&lt;1,ROUND(AX80*(1+'Calc base'!L81),2),MAX('Calc base'!G$12,ROUND('Calc base'!G$13*AX80,2))))</f>
        <v>0</v>
      </c>
      <c r="O81">
        <f>IF(AY80&lt;=0,0,IF(ROUND(AY80*(1+'Calc base'!M81),2)-MAX('Calc base'!H$12,ROUND('Calc base'!H$13*AY80,2))&lt;1,ROUND(AY80*(1+'Calc base'!M81),2),MAX('Calc base'!H$12,ROUND('Calc base'!H$13*AY80,2))))</f>
        <v>0</v>
      </c>
      <c r="P81">
        <f>IF(AZ80&lt;=0,0,IF(ROUND(AZ80*(1+'Calc base'!N81),2)-MAX('Calc base'!I$12,ROUND('Calc base'!I$13*AZ80,2))&lt;1,ROUND(AZ80*(1+'Calc base'!N81),2),MAX('Calc base'!I$12,ROUND('Calc base'!I$13*AZ80,2))))</f>
        <v>0</v>
      </c>
      <c r="Q81">
        <f>IF(BA80&lt;=0,0,IF(ROUND(BA80*(1+'Calc base'!O81),2)-MAX('Calc base'!J$12,ROUND('Calc base'!J$13*BA80,2))&lt;1,ROUND(BA80*(1+'Calc base'!O81),2),MAX('Calc base'!J$12,ROUND('Calc base'!J$13*BA80,2))))</f>
        <v>0</v>
      </c>
      <c r="R81">
        <f>IF(BB80&lt;=0,0,IF(ROUND(BB80*(1+'Calc base'!P81),2)-MAX('Calc base'!K$12,ROUND('Calc base'!K$13*BB80,2))&lt;1,ROUND(BB80*(1+'Calc base'!P81),2),MAX('Calc base'!K$12,ROUND('Calc base'!K$13*BB80,2))))</f>
        <v>0</v>
      </c>
      <c r="S81">
        <f>IF(BC80&lt;=0,0,IF(ROUND(BC80*(1+'Calc base'!Q81),2)-MAX('Calc base'!L$12,ROUND('Calc base'!L$13*BC80,2))&lt;1,ROUND(BC80*(1+'Calc base'!Q81),2),MAX('Calc base'!L$12,ROUND('Calc base'!L$13*BC80,2))))</f>
        <v>0</v>
      </c>
      <c r="T81">
        <f>IF(BD80&lt;=0,0,IF(ROUND(BD80*(1+'Calc base'!R81),2)-MAX('Calc base'!M$12,ROUND('Calc base'!M$13*BD80,2))&lt;1,ROUND(BD80*(1+'Calc base'!R81),2),MAX('Calc base'!M$12,ROUND('Calc base'!M$13*BD80,2))))</f>
        <v>0</v>
      </c>
      <c r="U81">
        <f>IF(BE80&lt;=0,0,IF(ROUND(BE80*(1+'Calc base'!S81),2)-MAX('Calc base'!N$12,ROUND('Calc base'!N$13*BE80,2))&lt;1,ROUND(BE80*(1+'Calc base'!S81),2),MAX('Calc base'!N$12,ROUND('Calc base'!N$13*BE80,2))))</f>
        <v>0</v>
      </c>
      <c r="V81">
        <f>MAX(0,ROUND(AT80*(1+'Calc base'!H81),2)-J81-'Calc base'!T81)</f>
        <v>0</v>
      </c>
      <c r="W81">
        <f>MAX(0,ROUND(AU80*(1+'Calc base'!I81),2)-K81-'Calc base'!U81)</f>
        <v>0</v>
      </c>
      <c r="X81">
        <f>MAX(0,ROUND(AV80*(1+'Calc base'!J81),2)-L81-'Calc base'!V81)</f>
        <v>0</v>
      </c>
      <c r="Y81">
        <f>MAX(0,ROUND(AW80*(1+'Calc base'!K81),2)-M81-'Calc base'!W81)</f>
        <v>0</v>
      </c>
      <c r="Z81">
        <f>MAX(0,ROUND(AX80*(1+'Calc base'!L81),2)-N81-'Calc base'!X81)</f>
        <v>0</v>
      </c>
      <c r="AA81">
        <f>MAX(0,ROUND(AY80*(1+'Calc base'!M81),2)-O81-'Calc base'!Y81)</f>
        <v>0</v>
      </c>
      <c r="AB81">
        <f>MAX(0,ROUND(AZ80*(1+'Calc base'!N81),2)-P81-'Calc base'!Z81)</f>
        <v>0</v>
      </c>
      <c r="AC81">
        <f>MAX(0,ROUND(BA80*(1+'Calc base'!O81),2)-Q81-'Calc base'!AA81)</f>
        <v>0</v>
      </c>
      <c r="AD81">
        <f>MAX(0,ROUND(BB80*(1+'Calc base'!P81),2)-R81-'Calc base'!AB81)</f>
        <v>0</v>
      </c>
      <c r="AE81">
        <f>MAX(0,ROUND(BC80*(1+'Calc base'!Q81),2)-S81-'Calc base'!AC81)</f>
        <v>0</v>
      </c>
      <c r="AF81">
        <f>MAX(0,ROUND(BD80*(1+'Calc base'!R81),2)-T81-'Calc base'!AD81)</f>
        <v>0</v>
      </c>
      <c r="AG81">
        <f>MAX(0,ROUND(BE80*(1+'Calc base'!S81),2)-U81-'Calc base'!AE81)</f>
        <v>0</v>
      </c>
      <c r="AH81">
        <f>IF('Calc base'!C$14=0,0,MIN(V81,MAX(0,$E81-SUMIFS($V81:$AG81,'Calc base'!$C$19:$N$19,"&lt;"&amp;'Calc base'!C$19,'Calc base'!$C$14:$N$14,1))))</f>
        <v>0</v>
      </c>
      <c r="AI81">
        <f>IF('Calc base'!D$14=0,0,MIN(W81,MAX(0,$E81-SUMIFS($V81:$AG81,'Calc base'!$C$19:$N$19,"&lt;"&amp;'Calc base'!D$19,'Calc base'!$C$14:$N$14,1))))</f>
        <v>0</v>
      </c>
      <c r="AJ81">
        <f>IF('Calc base'!E$14=0,0,MIN(X81,MAX(0,$E81-SUMIFS($V81:$AG81,'Calc base'!$C$19:$N$19,"&lt;"&amp;'Calc base'!E$19,'Calc base'!$C$14:$N$14,1))))</f>
        <v>0</v>
      </c>
      <c r="AK81">
        <f>IF('Calc base'!F$14=0,0,MIN(Y81,MAX(0,$E81-SUMIFS($V81:$AG81,'Calc base'!$C$19:$N$19,"&lt;"&amp;'Calc base'!F$19,'Calc base'!$C$14:$N$14,1))))</f>
        <v>0</v>
      </c>
      <c r="AL81">
        <f>IF('Calc base'!G$14=0,0,MIN(Z81,MAX(0,$E81-SUMIFS($V81:$AG81,'Calc base'!$C$19:$N$19,"&lt;"&amp;'Calc base'!G$19,'Calc base'!$C$14:$N$14,1))))</f>
        <v>0</v>
      </c>
      <c r="AM81">
        <f>IF('Calc base'!H$14=0,0,MIN(AA81,MAX(0,$E81-SUMIFS($V81:$AG81,'Calc base'!$C$19:$N$19,"&lt;"&amp;'Calc base'!H$19,'Calc base'!$C$14:$N$14,1))))</f>
        <v>0</v>
      </c>
      <c r="AN81">
        <f>IF('Calc base'!I$14=0,0,MIN(AB81,MAX(0,$E81-SUMIFS($V81:$AG81,'Calc base'!$C$19:$N$19,"&lt;"&amp;'Calc base'!I$19,'Calc base'!$C$14:$N$14,1))))</f>
        <v>0</v>
      </c>
      <c r="AO81">
        <f>IF('Calc base'!J$14=0,0,MIN(AC81,MAX(0,$E81-SUMIFS($V81:$AG81,'Calc base'!$C$19:$N$19,"&lt;"&amp;'Calc base'!J$19,'Calc base'!$C$14:$N$14,1))))</f>
        <v>0</v>
      </c>
      <c r="AP81">
        <f>IF('Calc base'!K$14=0,0,MIN(AD81,MAX(0,$E81-SUMIFS($V81:$AG81,'Calc base'!$C$19:$N$19,"&lt;"&amp;'Calc base'!K$19,'Calc base'!$C$14:$N$14,1))))</f>
        <v>0</v>
      </c>
      <c r="AQ81">
        <f>IF('Calc base'!L$14=0,0,MIN(AE81,MAX(0,$E81-SUMIFS($V81:$AG81,'Calc base'!$C$19:$N$19,"&lt;"&amp;'Calc base'!L$19,'Calc base'!$C$14:$N$14,1))))</f>
        <v>0</v>
      </c>
      <c r="AR81">
        <f>IF('Calc base'!M$14=0,0,MIN(AF81,MAX(0,$E81-SUMIFS($V81:$AG81,'Calc base'!$C$19:$N$19,"&lt;"&amp;'Calc base'!M$19,'Calc base'!$C$14:$N$14,1))))</f>
        <v>0</v>
      </c>
      <c r="AS81">
        <f>IF('Calc base'!N$14=0,0,MIN(AG81,MAX(0,$E81-SUMIFS($V81:$AG81,'Calc base'!$C$19:$N$19,"&lt;"&amp;'Calc base'!N$19,'Calc base'!$C$14:$N$14,1))))</f>
        <v>0</v>
      </c>
      <c r="AT81">
        <f>V81-AH81</f>
        <v>0</v>
      </c>
      <c r="AU81">
        <f>W81-AI81</f>
        <v>0</v>
      </c>
      <c r="AV81">
        <f>X81-AJ81</f>
        <v>0</v>
      </c>
      <c r="AW81">
        <f>Y81-AK81</f>
        <v>0</v>
      </c>
      <c r="AX81">
        <f>Z81-AL81</f>
        <v>0</v>
      </c>
      <c r="AY81">
        <f>AA81-AM81</f>
        <v>0</v>
      </c>
      <c r="AZ81">
        <f>AB81-AN81</f>
        <v>0</v>
      </c>
      <c r="BA81">
        <f>AC81-AO81</f>
        <v>0</v>
      </c>
      <c r="BB81">
        <f>AD81-AP81</f>
        <v>0</v>
      </c>
      <c r="BC81">
        <f>AE81-AQ81</f>
        <v>0</v>
      </c>
      <c r="BD81">
        <f>AF81-AR81</f>
        <v>0</v>
      </c>
      <c r="BE81">
        <f>AG81-AS81</f>
        <v>0</v>
      </c>
    </row>
    <row r="82">
      <c r="A82" t="n">
        <v>52</v>
      </c>
      <c r="B82">
        <f>SUMPRODUCT(ROUND($AT81:$BE81*(1+'Calc base'!$H82:$S82),2))</f>
        <v>0</v>
      </c>
      <c r="C82">
        <f>SUM(J82:U82)</f>
        <v>0</v>
      </c>
      <c r="D82">
        <f>SUM(V82:AG82)</f>
        <v>0</v>
      </c>
      <c r="E82">
        <f>MAX(0,IF(Impostazioni!$B$7="No",'Calc base'!$C82-$C$31,'Calc base'!$C82-C82)+'Calc base'!$G82+'Calc base'!$F82-(B82-C82-D82))</f>
        <v>900</v>
      </c>
      <c r="F82">
        <f>SUM(AH82:AS82)</f>
        <v>0</v>
      </c>
      <c r="G82">
        <f>SUM(AT82:BE82)</f>
        <v>0</v>
      </c>
      <c r="H82">
        <f>B82-G81</f>
        <v>0</v>
      </c>
      <c r="I82">
        <f>B82-G82</f>
        <v>0</v>
      </c>
      <c r="J82">
        <f>IF(AT81&lt;=0,0,IF(ROUND(AT81*(1+'Calc base'!H82),2)-MAX('Calc base'!C$12,ROUND('Calc base'!C$13*AT81,2))&lt;1,ROUND(AT81*(1+'Calc base'!H82),2),MAX('Calc base'!C$12,ROUND('Calc base'!C$13*AT81,2))))</f>
        <v>0</v>
      </c>
      <c r="K82">
        <f>IF(AU81&lt;=0,0,IF(ROUND(AU81*(1+'Calc base'!I82),2)-MAX('Calc base'!D$12,ROUND('Calc base'!D$13*AU81,2))&lt;1,ROUND(AU81*(1+'Calc base'!I82),2),MAX('Calc base'!D$12,ROUND('Calc base'!D$13*AU81,2))))</f>
        <v>0</v>
      </c>
      <c r="L82">
        <f>IF(AV81&lt;=0,0,IF(ROUND(AV81*(1+'Calc base'!J82),2)-MAX('Calc base'!E$12,ROUND('Calc base'!E$13*AV81,2))&lt;1,ROUND(AV81*(1+'Calc base'!J82),2),MAX('Calc base'!E$12,ROUND('Calc base'!E$13*AV81,2))))</f>
        <v>0</v>
      </c>
      <c r="M82">
        <f>IF(AW81&lt;=0,0,IF(ROUND(AW81*(1+'Calc base'!K82),2)-MAX('Calc base'!F$12,ROUND('Calc base'!F$13*AW81,2))&lt;1,ROUND(AW81*(1+'Calc base'!K82),2),MAX('Calc base'!F$12,ROUND('Calc base'!F$13*AW81,2))))</f>
        <v>0</v>
      </c>
      <c r="N82">
        <f>IF(AX81&lt;=0,0,IF(ROUND(AX81*(1+'Calc base'!L82),2)-MAX('Calc base'!G$12,ROUND('Calc base'!G$13*AX81,2))&lt;1,ROUND(AX81*(1+'Calc base'!L82),2),MAX('Calc base'!G$12,ROUND('Calc base'!G$13*AX81,2))))</f>
        <v>0</v>
      </c>
      <c r="O82">
        <f>IF(AY81&lt;=0,0,IF(ROUND(AY81*(1+'Calc base'!M82),2)-MAX('Calc base'!H$12,ROUND('Calc base'!H$13*AY81,2))&lt;1,ROUND(AY81*(1+'Calc base'!M82),2),MAX('Calc base'!H$12,ROUND('Calc base'!H$13*AY81,2))))</f>
        <v>0</v>
      </c>
      <c r="P82">
        <f>IF(AZ81&lt;=0,0,IF(ROUND(AZ81*(1+'Calc base'!N82),2)-MAX('Calc base'!I$12,ROUND('Calc base'!I$13*AZ81,2))&lt;1,ROUND(AZ81*(1+'Calc base'!N82),2),MAX('Calc base'!I$12,ROUND('Calc base'!I$13*AZ81,2))))</f>
        <v>0</v>
      </c>
      <c r="Q82">
        <f>IF(BA81&lt;=0,0,IF(ROUND(BA81*(1+'Calc base'!O82),2)-MAX('Calc base'!J$12,ROUND('Calc base'!J$13*BA81,2))&lt;1,ROUND(BA81*(1+'Calc base'!O82),2),MAX('Calc base'!J$12,ROUND('Calc base'!J$13*BA81,2))))</f>
        <v>0</v>
      </c>
      <c r="R82">
        <f>IF(BB81&lt;=0,0,IF(ROUND(BB81*(1+'Calc base'!P82),2)-MAX('Calc base'!K$12,ROUND('Calc base'!K$13*BB81,2))&lt;1,ROUND(BB81*(1+'Calc base'!P82),2),MAX('Calc base'!K$12,ROUND('Calc base'!K$13*BB81,2))))</f>
        <v>0</v>
      </c>
      <c r="S82">
        <f>IF(BC81&lt;=0,0,IF(ROUND(BC81*(1+'Calc base'!Q82),2)-MAX('Calc base'!L$12,ROUND('Calc base'!L$13*BC81,2))&lt;1,ROUND(BC81*(1+'Calc base'!Q82),2),MAX('Calc base'!L$12,ROUND('Calc base'!L$13*BC81,2))))</f>
        <v>0</v>
      </c>
      <c r="T82">
        <f>IF(BD81&lt;=0,0,IF(ROUND(BD81*(1+'Calc base'!R82),2)-MAX('Calc base'!M$12,ROUND('Calc base'!M$13*BD81,2))&lt;1,ROUND(BD81*(1+'Calc base'!R82),2),MAX('Calc base'!M$12,ROUND('Calc base'!M$13*BD81,2))))</f>
        <v>0</v>
      </c>
      <c r="U82">
        <f>IF(BE81&lt;=0,0,IF(ROUND(BE81*(1+'Calc base'!S82),2)-MAX('Calc base'!N$12,ROUND('Calc base'!N$13*BE81,2))&lt;1,ROUND(BE81*(1+'Calc base'!S82),2),MAX('Calc base'!N$12,ROUND('Calc base'!N$13*BE81,2))))</f>
        <v>0</v>
      </c>
      <c r="V82">
        <f>MAX(0,ROUND(AT81*(1+'Calc base'!H82),2)-J82-'Calc base'!T82)</f>
        <v>0</v>
      </c>
      <c r="W82">
        <f>MAX(0,ROUND(AU81*(1+'Calc base'!I82),2)-K82-'Calc base'!U82)</f>
        <v>0</v>
      </c>
      <c r="X82">
        <f>MAX(0,ROUND(AV81*(1+'Calc base'!J82),2)-L82-'Calc base'!V82)</f>
        <v>0</v>
      </c>
      <c r="Y82">
        <f>MAX(0,ROUND(AW81*(1+'Calc base'!K82),2)-M82-'Calc base'!W82)</f>
        <v>0</v>
      </c>
      <c r="Z82">
        <f>MAX(0,ROUND(AX81*(1+'Calc base'!L82),2)-N82-'Calc base'!X82)</f>
        <v>0</v>
      </c>
      <c r="AA82">
        <f>MAX(0,ROUND(AY81*(1+'Calc base'!M82),2)-O82-'Calc base'!Y82)</f>
        <v>0</v>
      </c>
      <c r="AB82">
        <f>MAX(0,ROUND(AZ81*(1+'Calc base'!N82),2)-P82-'Calc base'!Z82)</f>
        <v>0</v>
      </c>
      <c r="AC82">
        <f>MAX(0,ROUND(BA81*(1+'Calc base'!O82),2)-Q82-'Calc base'!AA82)</f>
        <v>0</v>
      </c>
      <c r="AD82">
        <f>MAX(0,ROUND(BB81*(1+'Calc base'!P82),2)-R82-'Calc base'!AB82)</f>
        <v>0</v>
      </c>
      <c r="AE82">
        <f>MAX(0,ROUND(BC81*(1+'Calc base'!Q82),2)-S82-'Calc base'!AC82)</f>
        <v>0</v>
      </c>
      <c r="AF82">
        <f>MAX(0,ROUND(BD81*(1+'Calc base'!R82),2)-T82-'Calc base'!AD82)</f>
        <v>0</v>
      </c>
      <c r="AG82">
        <f>MAX(0,ROUND(BE81*(1+'Calc base'!S82),2)-U82-'Calc base'!AE82)</f>
        <v>0</v>
      </c>
      <c r="AH82">
        <f>IF('Calc base'!C$14=0,0,MIN(V82,MAX(0,$E82-SUMIFS($V82:$AG82,'Calc base'!$C$19:$N$19,"&lt;"&amp;'Calc base'!C$19,'Calc base'!$C$14:$N$14,1))))</f>
        <v>0</v>
      </c>
      <c r="AI82">
        <f>IF('Calc base'!D$14=0,0,MIN(W82,MAX(0,$E82-SUMIFS($V82:$AG82,'Calc base'!$C$19:$N$19,"&lt;"&amp;'Calc base'!D$19,'Calc base'!$C$14:$N$14,1))))</f>
        <v>0</v>
      </c>
      <c r="AJ82">
        <f>IF('Calc base'!E$14=0,0,MIN(X82,MAX(0,$E82-SUMIFS($V82:$AG82,'Calc base'!$C$19:$N$19,"&lt;"&amp;'Calc base'!E$19,'Calc base'!$C$14:$N$14,1))))</f>
        <v>0</v>
      </c>
      <c r="AK82">
        <f>IF('Calc base'!F$14=0,0,MIN(Y82,MAX(0,$E82-SUMIFS($V82:$AG82,'Calc base'!$C$19:$N$19,"&lt;"&amp;'Calc base'!F$19,'Calc base'!$C$14:$N$14,1))))</f>
        <v>0</v>
      </c>
      <c r="AL82">
        <f>IF('Calc base'!G$14=0,0,MIN(Z82,MAX(0,$E82-SUMIFS($V82:$AG82,'Calc base'!$C$19:$N$19,"&lt;"&amp;'Calc base'!G$19,'Calc base'!$C$14:$N$14,1))))</f>
        <v>0</v>
      </c>
      <c r="AM82">
        <f>IF('Calc base'!H$14=0,0,MIN(AA82,MAX(0,$E82-SUMIFS($V82:$AG82,'Calc base'!$C$19:$N$19,"&lt;"&amp;'Calc base'!H$19,'Calc base'!$C$14:$N$14,1))))</f>
        <v>0</v>
      </c>
      <c r="AN82">
        <f>IF('Calc base'!I$14=0,0,MIN(AB82,MAX(0,$E82-SUMIFS($V82:$AG82,'Calc base'!$C$19:$N$19,"&lt;"&amp;'Calc base'!I$19,'Calc base'!$C$14:$N$14,1))))</f>
        <v>0</v>
      </c>
      <c r="AO82">
        <f>IF('Calc base'!J$14=0,0,MIN(AC82,MAX(0,$E82-SUMIFS($V82:$AG82,'Calc base'!$C$19:$N$19,"&lt;"&amp;'Calc base'!J$19,'Calc base'!$C$14:$N$14,1))))</f>
        <v>0</v>
      </c>
      <c r="AP82">
        <f>IF('Calc base'!K$14=0,0,MIN(AD82,MAX(0,$E82-SUMIFS($V82:$AG82,'Calc base'!$C$19:$N$19,"&lt;"&amp;'Calc base'!K$19,'Calc base'!$C$14:$N$14,1))))</f>
        <v>0</v>
      </c>
      <c r="AQ82">
        <f>IF('Calc base'!L$14=0,0,MIN(AE82,MAX(0,$E82-SUMIFS($V82:$AG82,'Calc base'!$C$19:$N$19,"&lt;"&amp;'Calc base'!L$19,'Calc base'!$C$14:$N$14,1))))</f>
        <v>0</v>
      </c>
      <c r="AR82">
        <f>IF('Calc base'!M$14=0,0,MIN(AF82,MAX(0,$E82-SUMIFS($V82:$AG82,'Calc base'!$C$19:$N$19,"&lt;"&amp;'Calc base'!M$19,'Calc base'!$C$14:$N$14,1))))</f>
        <v>0</v>
      </c>
      <c r="AS82">
        <f>IF('Calc base'!N$14=0,0,MIN(AG82,MAX(0,$E82-SUMIFS($V82:$AG82,'Calc base'!$C$19:$N$19,"&lt;"&amp;'Calc base'!N$19,'Calc base'!$C$14:$N$14,1))))</f>
        <v>0</v>
      </c>
      <c r="AT82">
        <f>V82-AH82</f>
        <v>0</v>
      </c>
      <c r="AU82">
        <f>W82-AI82</f>
        <v>0</v>
      </c>
      <c r="AV82">
        <f>X82-AJ82</f>
        <v>0</v>
      </c>
      <c r="AW82">
        <f>Y82-AK82</f>
        <v>0</v>
      </c>
      <c r="AX82">
        <f>Z82-AL82</f>
        <v>0</v>
      </c>
      <c r="AY82">
        <f>AA82-AM82</f>
        <v>0</v>
      </c>
      <c r="AZ82">
        <f>AB82-AN82</f>
        <v>0</v>
      </c>
      <c r="BA82">
        <f>AC82-AO82</f>
        <v>0</v>
      </c>
      <c r="BB82">
        <f>AD82-AP82</f>
        <v>0</v>
      </c>
      <c r="BC82">
        <f>AE82-AQ82</f>
        <v>0</v>
      </c>
      <c r="BD82">
        <f>AF82-AR82</f>
        <v>0</v>
      </c>
      <c r="BE82">
        <f>AG82-AS82</f>
        <v>0</v>
      </c>
    </row>
    <row r="83">
      <c r="A83" t="n">
        <v>53</v>
      </c>
      <c r="B83">
        <f>SUMPRODUCT(ROUND($AT82:$BE82*(1+'Calc base'!$H83:$S83),2))</f>
        <v>0</v>
      </c>
      <c r="C83">
        <f>SUM(J83:U83)</f>
        <v>0</v>
      </c>
      <c r="D83">
        <f>SUM(V83:AG83)</f>
        <v>0</v>
      </c>
      <c r="E83">
        <f>MAX(0,IF(Impostazioni!$B$7="No",'Calc base'!$C83-$C$31,'Calc base'!$C83-C83)+'Calc base'!$G83+'Calc base'!$F83-(B83-C83-D83))</f>
        <v>900</v>
      </c>
      <c r="F83">
        <f>SUM(AH83:AS83)</f>
        <v>0</v>
      </c>
      <c r="G83">
        <f>SUM(AT83:BE83)</f>
        <v>0</v>
      </c>
      <c r="H83">
        <f>B83-G82</f>
        <v>0</v>
      </c>
      <c r="I83">
        <f>B83-G83</f>
        <v>0</v>
      </c>
      <c r="J83">
        <f>IF(AT82&lt;=0,0,IF(ROUND(AT82*(1+'Calc base'!H83),2)-MAX('Calc base'!C$12,ROUND('Calc base'!C$13*AT82,2))&lt;1,ROUND(AT82*(1+'Calc base'!H83),2),MAX('Calc base'!C$12,ROUND('Calc base'!C$13*AT82,2))))</f>
        <v>0</v>
      </c>
      <c r="K83">
        <f>IF(AU82&lt;=0,0,IF(ROUND(AU82*(1+'Calc base'!I83),2)-MAX('Calc base'!D$12,ROUND('Calc base'!D$13*AU82,2))&lt;1,ROUND(AU82*(1+'Calc base'!I83),2),MAX('Calc base'!D$12,ROUND('Calc base'!D$13*AU82,2))))</f>
        <v>0</v>
      </c>
      <c r="L83">
        <f>IF(AV82&lt;=0,0,IF(ROUND(AV82*(1+'Calc base'!J83),2)-MAX('Calc base'!E$12,ROUND('Calc base'!E$13*AV82,2))&lt;1,ROUND(AV82*(1+'Calc base'!J83),2),MAX('Calc base'!E$12,ROUND('Calc base'!E$13*AV82,2))))</f>
        <v>0</v>
      </c>
      <c r="M83">
        <f>IF(AW82&lt;=0,0,IF(ROUND(AW82*(1+'Calc base'!K83),2)-MAX('Calc base'!F$12,ROUND('Calc base'!F$13*AW82,2))&lt;1,ROUND(AW82*(1+'Calc base'!K83),2),MAX('Calc base'!F$12,ROUND('Calc base'!F$13*AW82,2))))</f>
        <v>0</v>
      </c>
      <c r="N83">
        <f>IF(AX82&lt;=0,0,IF(ROUND(AX82*(1+'Calc base'!L83),2)-MAX('Calc base'!G$12,ROUND('Calc base'!G$13*AX82,2))&lt;1,ROUND(AX82*(1+'Calc base'!L83),2),MAX('Calc base'!G$12,ROUND('Calc base'!G$13*AX82,2))))</f>
        <v>0</v>
      </c>
      <c r="O83">
        <f>IF(AY82&lt;=0,0,IF(ROUND(AY82*(1+'Calc base'!M83),2)-MAX('Calc base'!H$12,ROUND('Calc base'!H$13*AY82,2))&lt;1,ROUND(AY82*(1+'Calc base'!M83),2),MAX('Calc base'!H$12,ROUND('Calc base'!H$13*AY82,2))))</f>
        <v>0</v>
      </c>
      <c r="P83">
        <f>IF(AZ82&lt;=0,0,IF(ROUND(AZ82*(1+'Calc base'!N83),2)-MAX('Calc base'!I$12,ROUND('Calc base'!I$13*AZ82,2))&lt;1,ROUND(AZ82*(1+'Calc base'!N83),2),MAX('Calc base'!I$12,ROUND('Calc base'!I$13*AZ82,2))))</f>
        <v>0</v>
      </c>
      <c r="Q83">
        <f>IF(BA82&lt;=0,0,IF(ROUND(BA82*(1+'Calc base'!O83),2)-MAX('Calc base'!J$12,ROUND('Calc base'!J$13*BA82,2))&lt;1,ROUND(BA82*(1+'Calc base'!O83),2),MAX('Calc base'!J$12,ROUND('Calc base'!J$13*BA82,2))))</f>
        <v>0</v>
      </c>
      <c r="R83">
        <f>IF(BB82&lt;=0,0,IF(ROUND(BB82*(1+'Calc base'!P83),2)-MAX('Calc base'!K$12,ROUND('Calc base'!K$13*BB82,2))&lt;1,ROUND(BB82*(1+'Calc base'!P83),2),MAX('Calc base'!K$12,ROUND('Calc base'!K$13*BB82,2))))</f>
        <v>0</v>
      </c>
      <c r="S83">
        <f>IF(BC82&lt;=0,0,IF(ROUND(BC82*(1+'Calc base'!Q83),2)-MAX('Calc base'!L$12,ROUND('Calc base'!L$13*BC82,2))&lt;1,ROUND(BC82*(1+'Calc base'!Q83),2),MAX('Calc base'!L$12,ROUND('Calc base'!L$13*BC82,2))))</f>
        <v>0</v>
      </c>
      <c r="T83">
        <f>IF(BD82&lt;=0,0,IF(ROUND(BD82*(1+'Calc base'!R83),2)-MAX('Calc base'!M$12,ROUND('Calc base'!M$13*BD82,2))&lt;1,ROUND(BD82*(1+'Calc base'!R83),2),MAX('Calc base'!M$12,ROUND('Calc base'!M$13*BD82,2))))</f>
        <v>0</v>
      </c>
      <c r="U83">
        <f>IF(BE82&lt;=0,0,IF(ROUND(BE82*(1+'Calc base'!S83),2)-MAX('Calc base'!N$12,ROUND('Calc base'!N$13*BE82,2))&lt;1,ROUND(BE82*(1+'Calc base'!S83),2),MAX('Calc base'!N$12,ROUND('Calc base'!N$13*BE82,2))))</f>
        <v>0</v>
      </c>
      <c r="V83">
        <f>MAX(0,ROUND(AT82*(1+'Calc base'!H83),2)-J83-'Calc base'!T83)</f>
        <v>0</v>
      </c>
      <c r="W83">
        <f>MAX(0,ROUND(AU82*(1+'Calc base'!I83),2)-K83-'Calc base'!U83)</f>
        <v>0</v>
      </c>
      <c r="X83">
        <f>MAX(0,ROUND(AV82*(1+'Calc base'!J83),2)-L83-'Calc base'!V83)</f>
        <v>0</v>
      </c>
      <c r="Y83">
        <f>MAX(0,ROUND(AW82*(1+'Calc base'!K83),2)-M83-'Calc base'!W83)</f>
        <v>0</v>
      </c>
      <c r="Z83">
        <f>MAX(0,ROUND(AX82*(1+'Calc base'!L83),2)-N83-'Calc base'!X83)</f>
        <v>0</v>
      </c>
      <c r="AA83">
        <f>MAX(0,ROUND(AY82*(1+'Calc base'!M83),2)-O83-'Calc base'!Y83)</f>
        <v>0</v>
      </c>
      <c r="AB83">
        <f>MAX(0,ROUND(AZ82*(1+'Calc base'!N83),2)-P83-'Calc base'!Z83)</f>
        <v>0</v>
      </c>
      <c r="AC83">
        <f>MAX(0,ROUND(BA82*(1+'Calc base'!O83),2)-Q83-'Calc base'!AA83)</f>
        <v>0</v>
      </c>
      <c r="AD83">
        <f>MAX(0,ROUND(BB82*(1+'Calc base'!P83),2)-R83-'Calc base'!AB83)</f>
        <v>0</v>
      </c>
      <c r="AE83">
        <f>MAX(0,ROUND(BC82*(1+'Calc base'!Q83),2)-S83-'Calc base'!AC83)</f>
        <v>0</v>
      </c>
      <c r="AF83">
        <f>MAX(0,ROUND(BD82*(1+'Calc base'!R83),2)-T83-'Calc base'!AD83)</f>
        <v>0</v>
      </c>
      <c r="AG83">
        <f>MAX(0,ROUND(BE82*(1+'Calc base'!S83),2)-U83-'Calc base'!AE83)</f>
        <v>0</v>
      </c>
      <c r="AH83">
        <f>IF('Calc base'!C$14=0,0,MIN(V83,MAX(0,$E83-SUMIFS($V83:$AG83,'Calc base'!$C$19:$N$19,"&lt;"&amp;'Calc base'!C$19,'Calc base'!$C$14:$N$14,1))))</f>
        <v>0</v>
      </c>
      <c r="AI83">
        <f>IF('Calc base'!D$14=0,0,MIN(W83,MAX(0,$E83-SUMIFS($V83:$AG83,'Calc base'!$C$19:$N$19,"&lt;"&amp;'Calc base'!D$19,'Calc base'!$C$14:$N$14,1))))</f>
        <v>0</v>
      </c>
      <c r="AJ83">
        <f>IF('Calc base'!E$14=0,0,MIN(X83,MAX(0,$E83-SUMIFS($V83:$AG83,'Calc base'!$C$19:$N$19,"&lt;"&amp;'Calc base'!E$19,'Calc base'!$C$14:$N$14,1))))</f>
        <v>0</v>
      </c>
      <c r="AK83">
        <f>IF('Calc base'!F$14=0,0,MIN(Y83,MAX(0,$E83-SUMIFS($V83:$AG83,'Calc base'!$C$19:$N$19,"&lt;"&amp;'Calc base'!F$19,'Calc base'!$C$14:$N$14,1))))</f>
        <v>0</v>
      </c>
      <c r="AL83">
        <f>IF('Calc base'!G$14=0,0,MIN(Z83,MAX(0,$E83-SUMIFS($V83:$AG83,'Calc base'!$C$19:$N$19,"&lt;"&amp;'Calc base'!G$19,'Calc base'!$C$14:$N$14,1))))</f>
        <v>0</v>
      </c>
      <c r="AM83">
        <f>IF('Calc base'!H$14=0,0,MIN(AA83,MAX(0,$E83-SUMIFS($V83:$AG83,'Calc base'!$C$19:$N$19,"&lt;"&amp;'Calc base'!H$19,'Calc base'!$C$14:$N$14,1))))</f>
        <v>0</v>
      </c>
      <c r="AN83">
        <f>IF('Calc base'!I$14=0,0,MIN(AB83,MAX(0,$E83-SUMIFS($V83:$AG83,'Calc base'!$C$19:$N$19,"&lt;"&amp;'Calc base'!I$19,'Calc base'!$C$14:$N$14,1))))</f>
        <v>0</v>
      </c>
      <c r="AO83">
        <f>IF('Calc base'!J$14=0,0,MIN(AC83,MAX(0,$E83-SUMIFS($V83:$AG83,'Calc base'!$C$19:$N$19,"&lt;"&amp;'Calc base'!J$19,'Calc base'!$C$14:$N$14,1))))</f>
        <v>0</v>
      </c>
      <c r="AP83">
        <f>IF('Calc base'!K$14=0,0,MIN(AD83,MAX(0,$E83-SUMIFS($V83:$AG83,'Calc base'!$C$19:$N$19,"&lt;"&amp;'Calc base'!K$19,'Calc base'!$C$14:$N$14,1))))</f>
        <v>0</v>
      </c>
      <c r="AQ83">
        <f>IF('Calc base'!L$14=0,0,MIN(AE83,MAX(0,$E83-SUMIFS($V83:$AG83,'Calc base'!$C$19:$N$19,"&lt;"&amp;'Calc base'!L$19,'Calc base'!$C$14:$N$14,1))))</f>
        <v>0</v>
      </c>
      <c r="AR83">
        <f>IF('Calc base'!M$14=0,0,MIN(AF83,MAX(0,$E83-SUMIFS($V83:$AG83,'Calc base'!$C$19:$N$19,"&lt;"&amp;'Calc base'!M$19,'Calc base'!$C$14:$N$14,1))))</f>
        <v>0</v>
      </c>
      <c r="AS83">
        <f>IF('Calc base'!N$14=0,0,MIN(AG83,MAX(0,$E83-SUMIFS($V83:$AG83,'Calc base'!$C$19:$N$19,"&lt;"&amp;'Calc base'!N$19,'Calc base'!$C$14:$N$14,1))))</f>
        <v>0</v>
      </c>
      <c r="AT83">
        <f>V83-AH83</f>
        <v>0</v>
      </c>
      <c r="AU83">
        <f>W83-AI83</f>
        <v>0</v>
      </c>
      <c r="AV83">
        <f>X83-AJ83</f>
        <v>0</v>
      </c>
      <c r="AW83">
        <f>Y83-AK83</f>
        <v>0</v>
      </c>
      <c r="AX83">
        <f>Z83-AL83</f>
        <v>0</v>
      </c>
      <c r="AY83">
        <f>AA83-AM83</f>
        <v>0</v>
      </c>
      <c r="AZ83">
        <f>AB83-AN83</f>
        <v>0</v>
      </c>
      <c r="BA83">
        <f>AC83-AO83</f>
        <v>0</v>
      </c>
      <c r="BB83">
        <f>AD83-AP83</f>
        <v>0</v>
      </c>
      <c r="BC83">
        <f>AE83-AQ83</f>
        <v>0</v>
      </c>
      <c r="BD83">
        <f>AF83-AR83</f>
        <v>0</v>
      </c>
      <c r="BE83">
        <f>AG83-AS83</f>
        <v>0</v>
      </c>
    </row>
    <row r="84">
      <c r="A84" t="n">
        <v>54</v>
      </c>
      <c r="B84">
        <f>SUMPRODUCT(ROUND($AT83:$BE83*(1+'Calc base'!$H84:$S84),2))</f>
        <v>0</v>
      </c>
      <c r="C84">
        <f>SUM(J84:U84)</f>
        <v>0</v>
      </c>
      <c r="D84">
        <f>SUM(V84:AG84)</f>
        <v>0</v>
      </c>
      <c r="E84">
        <f>MAX(0,IF(Impostazioni!$B$7="No",'Calc base'!$C84-$C$31,'Calc base'!$C84-C84)+'Calc base'!$G84+'Calc base'!$F84-(B84-C84-D84))</f>
        <v>900</v>
      </c>
      <c r="F84">
        <f>SUM(AH84:AS84)</f>
        <v>0</v>
      </c>
      <c r="G84">
        <f>SUM(AT84:BE84)</f>
        <v>0</v>
      </c>
      <c r="H84">
        <f>B84-G83</f>
        <v>0</v>
      </c>
      <c r="I84">
        <f>B84-G84</f>
        <v>0</v>
      </c>
      <c r="J84">
        <f>IF(AT83&lt;=0,0,IF(ROUND(AT83*(1+'Calc base'!H84),2)-MAX('Calc base'!C$12,ROUND('Calc base'!C$13*AT83,2))&lt;1,ROUND(AT83*(1+'Calc base'!H84),2),MAX('Calc base'!C$12,ROUND('Calc base'!C$13*AT83,2))))</f>
        <v>0</v>
      </c>
      <c r="K84">
        <f>IF(AU83&lt;=0,0,IF(ROUND(AU83*(1+'Calc base'!I84),2)-MAX('Calc base'!D$12,ROUND('Calc base'!D$13*AU83,2))&lt;1,ROUND(AU83*(1+'Calc base'!I84),2),MAX('Calc base'!D$12,ROUND('Calc base'!D$13*AU83,2))))</f>
        <v>0</v>
      </c>
      <c r="L84">
        <f>IF(AV83&lt;=0,0,IF(ROUND(AV83*(1+'Calc base'!J84),2)-MAX('Calc base'!E$12,ROUND('Calc base'!E$13*AV83,2))&lt;1,ROUND(AV83*(1+'Calc base'!J84),2),MAX('Calc base'!E$12,ROUND('Calc base'!E$13*AV83,2))))</f>
        <v>0</v>
      </c>
      <c r="M84">
        <f>IF(AW83&lt;=0,0,IF(ROUND(AW83*(1+'Calc base'!K84),2)-MAX('Calc base'!F$12,ROUND('Calc base'!F$13*AW83,2))&lt;1,ROUND(AW83*(1+'Calc base'!K84),2),MAX('Calc base'!F$12,ROUND('Calc base'!F$13*AW83,2))))</f>
        <v>0</v>
      </c>
      <c r="N84">
        <f>IF(AX83&lt;=0,0,IF(ROUND(AX83*(1+'Calc base'!L84),2)-MAX('Calc base'!G$12,ROUND('Calc base'!G$13*AX83,2))&lt;1,ROUND(AX83*(1+'Calc base'!L84),2),MAX('Calc base'!G$12,ROUND('Calc base'!G$13*AX83,2))))</f>
        <v>0</v>
      </c>
      <c r="O84">
        <f>IF(AY83&lt;=0,0,IF(ROUND(AY83*(1+'Calc base'!M84),2)-MAX('Calc base'!H$12,ROUND('Calc base'!H$13*AY83,2))&lt;1,ROUND(AY83*(1+'Calc base'!M84),2),MAX('Calc base'!H$12,ROUND('Calc base'!H$13*AY83,2))))</f>
        <v>0</v>
      </c>
      <c r="P84">
        <f>IF(AZ83&lt;=0,0,IF(ROUND(AZ83*(1+'Calc base'!N84),2)-MAX('Calc base'!I$12,ROUND('Calc base'!I$13*AZ83,2))&lt;1,ROUND(AZ83*(1+'Calc base'!N84),2),MAX('Calc base'!I$12,ROUND('Calc base'!I$13*AZ83,2))))</f>
        <v>0</v>
      </c>
      <c r="Q84">
        <f>IF(BA83&lt;=0,0,IF(ROUND(BA83*(1+'Calc base'!O84),2)-MAX('Calc base'!J$12,ROUND('Calc base'!J$13*BA83,2))&lt;1,ROUND(BA83*(1+'Calc base'!O84),2),MAX('Calc base'!J$12,ROUND('Calc base'!J$13*BA83,2))))</f>
        <v>0</v>
      </c>
      <c r="R84">
        <f>IF(BB83&lt;=0,0,IF(ROUND(BB83*(1+'Calc base'!P84),2)-MAX('Calc base'!K$12,ROUND('Calc base'!K$13*BB83,2))&lt;1,ROUND(BB83*(1+'Calc base'!P84),2),MAX('Calc base'!K$12,ROUND('Calc base'!K$13*BB83,2))))</f>
        <v>0</v>
      </c>
      <c r="S84">
        <f>IF(BC83&lt;=0,0,IF(ROUND(BC83*(1+'Calc base'!Q84),2)-MAX('Calc base'!L$12,ROUND('Calc base'!L$13*BC83,2))&lt;1,ROUND(BC83*(1+'Calc base'!Q84),2),MAX('Calc base'!L$12,ROUND('Calc base'!L$13*BC83,2))))</f>
        <v>0</v>
      </c>
      <c r="T84">
        <f>IF(BD83&lt;=0,0,IF(ROUND(BD83*(1+'Calc base'!R84),2)-MAX('Calc base'!M$12,ROUND('Calc base'!M$13*BD83,2))&lt;1,ROUND(BD83*(1+'Calc base'!R84),2),MAX('Calc base'!M$12,ROUND('Calc base'!M$13*BD83,2))))</f>
        <v>0</v>
      </c>
      <c r="U84">
        <f>IF(BE83&lt;=0,0,IF(ROUND(BE83*(1+'Calc base'!S84),2)-MAX('Calc base'!N$12,ROUND('Calc base'!N$13*BE83,2))&lt;1,ROUND(BE83*(1+'Calc base'!S84),2),MAX('Calc base'!N$12,ROUND('Calc base'!N$13*BE83,2))))</f>
        <v>0</v>
      </c>
      <c r="V84">
        <f>MAX(0,ROUND(AT83*(1+'Calc base'!H84),2)-J84-'Calc base'!T84)</f>
        <v>0</v>
      </c>
      <c r="W84">
        <f>MAX(0,ROUND(AU83*(1+'Calc base'!I84),2)-K84-'Calc base'!U84)</f>
        <v>0</v>
      </c>
      <c r="X84">
        <f>MAX(0,ROUND(AV83*(1+'Calc base'!J84),2)-L84-'Calc base'!V84)</f>
        <v>0</v>
      </c>
      <c r="Y84">
        <f>MAX(0,ROUND(AW83*(1+'Calc base'!K84),2)-M84-'Calc base'!W84)</f>
        <v>0</v>
      </c>
      <c r="Z84">
        <f>MAX(0,ROUND(AX83*(1+'Calc base'!L84),2)-N84-'Calc base'!X84)</f>
        <v>0</v>
      </c>
      <c r="AA84">
        <f>MAX(0,ROUND(AY83*(1+'Calc base'!M84),2)-O84-'Calc base'!Y84)</f>
        <v>0</v>
      </c>
      <c r="AB84">
        <f>MAX(0,ROUND(AZ83*(1+'Calc base'!N84),2)-P84-'Calc base'!Z84)</f>
        <v>0</v>
      </c>
      <c r="AC84">
        <f>MAX(0,ROUND(BA83*(1+'Calc base'!O84),2)-Q84-'Calc base'!AA84)</f>
        <v>0</v>
      </c>
      <c r="AD84">
        <f>MAX(0,ROUND(BB83*(1+'Calc base'!P84),2)-R84-'Calc base'!AB84)</f>
        <v>0</v>
      </c>
      <c r="AE84">
        <f>MAX(0,ROUND(BC83*(1+'Calc base'!Q84),2)-S84-'Calc base'!AC84)</f>
        <v>0</v>
      </c>
      <c r="AF84">
        <f>MAX(0,ROUND(BD83*(1+'Calc base'!R84),2)-T84-'Calc base'!AD84)</f>
        <v>0</v>
      </c>
      <c r="AG84">
        <f>MAX(0,ROUND(BE83*(1+'Calc base'!S84),2)-U84-'Calc base'!AE84)</f>
        <v>0</v>
      </c>
      <c r="AH84">
        <f>IF('Calc base'!C$14=0,0,MIN(V84,MAX(0,$E84-SUMIFS($V84:$AG84,'Calc base'!$C$19:$N$19,"&lt;"&amp;'Calc base'!C$19,'Calc base'!$C$14:$N$14,1))))</f>
        <v>0</v>
      </c>
      <c r="AI84">
        <f>IF('Calc base'!D$14=0,0,MIN(W84,MAX(0,$E84-SUMIFS($V84:$AG84,'Calc base'!$C$19:$N$19,"&lt;"&amp;'Calc base'!D$19,'Calc base'!$C$14:$N$14,1))))</f>
        <v>0</v>
      </c>
      <c r="AJ84">
        <f>IF('Calc base'!E$14=0,0,MIN(X84,MAX(0,$E84-SUMIFS($V84:$AG84,'Calc base'!$C$19:$N$19,"&lt;"&amp;'Calc base'!E$19,'Calc base'!$C$14:$N$14,1))))</f>
        <v>0</v>
      </c>
      <c r="AK84">
        <f>IF('Calc base'!F$14=0,0,MIN(Y84,MAX(0,$E84-SUMIFS($V84:$AG84,'Calc base'!$C$19:$N$19,"&lt;"&amp;'Calc base'!F$19,'Calc base'!$C$14:$N$14,1))))</f>
        <v>0</v>
      </c>
      <c r="AL84">
        <f>IF('Calc base'!G$14=0,0,MIN(Z84,MAX(0,$E84-SUMIFS($V84:$AG84,'Calc base'!$C$19:$N$19,"&lt;"&amp;'Calc base'!G$19,'Calc base'!$C$14:$N$14,1))))</f>
        <v>0</v>
      </c>
      <c r="AM84">
        <f>IF('Calc base'!H$14=0,0,MIN(AA84,MAX(0,$E84-SUMIFS($V84:$AG84,'Calc base'!$C$19:$N$19,"&lt;"&amp;'Calc base'!H$19,'Calc base'!$C$14:$N$14,1))))</f>
        <v>0</v>
      </c>
      <c r="AN84">
        <f>IF('Calc base'!I$14=0,0,MIN(AB84,MAX(0,$E84-SUMIFS($V84:$AG84,'Calc base'!$C$19:$N$19,"&lt;"&amp;'Calc base'!I$19,'Calc base'!$C$14:$N$14,1))))</f>
        <v>0</v>
      </c>
      <c r="AO84">
        <f>IF('Calc base'!J$14=0,0,MIN(AC84,MAX(0,$E84-SUMIFS($V84:$AG84,'Calc base'!$C$19:$N$19,"&lt;"&amp;'Calc base'!J$19,'Calc base'!$C$14:$N$14,1))))</f>
        <v>0</v>
      </c>
      <c r="AP84">
        <f>IF('Calc base'!K$14=0,0,MIN(AD84,MAX(0,$E84-SUMIFS($V84:$AG84,'Calc base'!$C$19:$N$19,"&lt;"&amp;'Calc base'!K$19,'Calc base'!$C$14:$N$14,1))))</f>
        <v>0</v>
      </c>
      <c r="AQ84">
        <f>IF('Calc base'!L$14=0,0,MIN(AE84,MAX(0,$E84-SUMIFS($V84:$AG84,'Calc base'!$C$19:$N$19,"&lt;"&amp;'Calc base'!L$19,'Calc base'!$C$14:$N$14,1))))</f>
        <v>0</v>
      </c>
      <c r="AR84">
        <f>IF('Calc base'!M$14=0,0,MIN(AF84,MAX(0,$E84-SUMIFS($V84:$AG84,'Calc base'!$C$19:$N$19,"&lt;"&amp;'Calc base'!M$19,'Calc base'!$C$14:$N$14,1))))</f>
        <v>0</v>
      </c>
      <c r="AS84">
        <f>IF('Calc base'!N$14=0,0,MIN(AG84,MAX(0,$E84-SUMIFS($V84:$AG84,'Calc base'!$C$19:$N$19,"&lt;"&amp;'Calc base'!N$19,'Calc base'!$C$14:$N$14,1))))</f>
        <v>0</v>
      </c>
      <c r="AT84">
        <f>V84-AH84</f>
        <v>0</v>
      </c>
      <c r="AU84">
        <f>W84-AI84</f>
        <v>0</v>
      </c>
      <c r="AV84">
        <f>X84-AJ84</f>
        <v>0</v>
      </c>
      <c r="AW84">
        <f>Y84-AK84</f>
        <v>0</v>
      </c>
      <c r="AX84">
        <f>Z84-AL84</f>
        <v>0</v>
      </c>
      <c r="AY84">
        <f>AA84-AM84</f>
        <v>0</v>
      </c>
      <c r="AZ84">
        <f>AB84-AN84</f>
        <v>0</v>
      </c>
      <c r="BA84">
        <f>AC84-AO84</f>
        <v>0</v>
      </c>
      <c r="BB84">
        <f>AD84-AP84</f>
        <v>0</v>
      </c>
      <c r="BC84">
        <f>AE84-AQ84</f>
        <v>0</v>
      </c>
      <c r="BD84">
        <f>AF84-AR84</f>
        <v>0</v>
      </c>
      <c r="BE84">
        <f>AG84-AS84</f>
        <v>0</v>
      </c>
    </row>
    <row r="85">
      <c r="A85" t="n">
        <v>55</v>
      </c>
      <c r="B85">
        <f>SUMPRODUCT(ROUND($AT84:$BE84*(1+'Calc base'!$H85:$S85),2))</f>
        <v>0</v>
      </c>
      <c r="C85">
        <f>SUM(J85:U85)</f>
        <v>0</v>
      </c>
      <c r="D85">
        <f>SUM(V85:AG85)</f>
        <v>0</v>
      </c>
      <c r="E85">
        <f>MAX(0,IF(Impostazioni!$B$7="No",'Calc base'!$C85-$C$31,'Calc base'!$C85-C85)+'Calc base'!$G85+'Calc base'!$F85-(B85-C85-D85))</f>
        <v>900</v>
      </c>
      <c r="F85">
        <f>SUM(AH85:AS85)</f>
        <v>0</v>
      </c>
      <c r="G85">
        <f>SUM(AT85:BE85)</f>
        <v>0</v>
      </c>
      <c r="H85">
        <f>B85-G84</f>
        <v>0</v>
      </c>
      <c r="I85">
        <f>B85-G85</f>
        <v>0</v>
      </c>
      <c r="J85">
        <f>IF(AT84&lt;=0,0,IF(ROUND(AT84*(1+'Calc base'!H85),2)-MAX('Calc base'!C$12,ROUND('Calc base'!C$13*AT84,2))&lt;1,ROUND(AT84*(1+'Calc base'!H85),2),MAX('Calc base'!C$12,ROUND('Calc base'!C$13*AT84,2))))</f>
        <v>0</v>
      </c>
      <c r="K85">
        <f>IF(AU84&lt;=0,0,IF(ROUND(AU84*(1+'Calc base'!I85),2)-MAX('Calc base'!D$12,ROUND('Calc base'!D$13*AU84,2))&lt;1,ROUND(AU84*(1+'Calc base'!I85),2),MAX('Calc base'!D$12,ROUND('Calc base'!D$13*AU84,2))))</f>
        <v>0</v>
      </c>
      <c r="L85">
        <f>IF(AV84&lt;=0,0,IF(ROUND(AV84*(1+'Calc base'!J85),2)-MAX('Calc base'!E$12,ROUND('Calc base'!E$13*AV84,2))&lt;1,ROUND(AV84*(1+'Calc base'!J85),2),MAX('Calc base'!E$12,ROUND('Calc base'!E$13*AV84,2))))</f>
        <v>0</v>
      </c>
      <c r="M85">
        <f>IF(AW84&lt;=0,0,IF(ROUND(AW84*(1+'Calc base'!K85),2)-MAX('Calc base'!F$12,ROUND('Calc base'!F$13*AW84,2))&lt;1,ROUND(AW84*(1+'Calc base'!K85),2),MAX('Calc base'!F$12,ROUND('Calc base'!F$13*AW84,2))))</f>
        <v>0</v>
      </c>
      <c r="N85">
        <f>IF(AX84&lt;=0,0,IF(ROUND(AX84*(1+'Calc base'!L85),2)-MAX('Calc base'!G$12,ROUND('Calc base'!G$13*AX84,2))&lt;1,ROUND(AX84*(1+'Calc base'!L85),2),MAX('Calc base'!G$12,ROUND('Calc base'!G$13*AX84,2))))</f>
        <v>0</v>
      </c>
      <c r="O85">
        <f>IF(AY84&lt;=0,0,IF(ROUND(AY84*(1+'Calc base'!M85),2)-MAX('Calc base'!H$12,ROUND('Calc base'!H$13*AY84,2))&lt;1,ROUND(AY84*(1+'Calc base'!M85),2),MAX('Calc base'!H$12,ROUND('Calc base'!H$13*AY84,2))))</f>
        <v>0</v>
      </c>
      <c r="P85">
        <f>IF(AZ84&lt;=0,0,IF(ROUND(AZ84*(1+'Calc base'!N85),2)-MAX('Calc base'!I$12,ROUND('Calc base'!I$13*AZ84,2))&lt;1,ROUND(AZ84*(1+'Calc base'!N85),2),MAX('Calc base'!I$12,ROUND('Calc base'!I$13*AZ84,2))))</f>
        <v>0</v>
      </c>
      <c r="Q85">
        <f>IF(BA84&lt;=0,0,IF(ROUND(BA84*(1+'Calc base'!O85),2)-MAX('Calc base'!J$12,ROUND('Calc base'!J$13*BA84,2))&lt;1,ROUND(BA84*(1+'Calc base'!O85),2),MAX('Calc base'!J$12,ROUND('Calc base'!J$13*BA84,2))))</f>
        <v>0</v>
      </c>
      <c r="R85">
        <f>IF(BB84&lt;=0,0,IF(ROUND(BB84*(1+'Calc base'!P85),2)-MAX('Calc base'!K$12,ROUND('Calc base'!K$13*BB84,2))&lt;1,ROUND(BB84*(1+'Calc base'!P85),2),MAX('Calc base'!K$12,ROUND('Calc base'!K$13*BB84,2))))</f>
        <v>0</v>
      </c>
      <c r="S85">
        <f>IF(BC84&lt;=0,0,IF(ROUND(BC84*(1+'Calc base'!Q85),2)-MAX('Calc base'!L$12,ROUND('Calc base'!L$13*BC84,2))&lt;1,ROUND(BC84*(1+'Calc base'!Q85),2),MAX('Calc base'!L$12,ROUND('Calc base'!L$13*BC84,2))))</f>
        <v>0</v>
      </c>
      <c r="T85">
        <f>IF(BD84&lt;=0,0,IF(ROUND(BD84*(1+'Calc base'!R85),2)-MAX('Calc base'!M$12,ROUND('Calc base'!M$13*BD84,2))&lt;1,ROUND(BD84*(1+'Calc base'!R85),2),MAX('Calc base'!M$12,ROUND('Calc base'!M$13*BD84,2))))</f>
        <v>0</v>
      </c>
      <c r="U85">
        <f>IF(BE84&lt;=0,0,IF(ROUND(BE84*(1+'Calc base'!S85),2)-MAX('Calc base'!N$12,ROUND('Calc base'!N$13*BE84,2))&lt;1,ROUND(BE84*(1+'Calc base'!S85),2),MAX('Calc base'!N$12,ROUND('Calc base'!N$13*BE84,2))))</f>
        <v>0</v>
      </c>
      <c r="V85">
        <f>MAX(0,ROUND(AT84*(1+'Calc base'!H85),2)-J85-'Calc base'!T85)</f>
        <v>0</v>
      </c>
      <c r="W85">
        <f>MAX(0,ROUND(AU84*(1+'Calc base'!I85),2)-K85-'Calc base'!U85)</f>
        <v>0</v>
      </c>
      <c r="X85">
        <f>MAX(0,ROUND(AV84*(1+'Calc base'!J85),2)-L85-'Calc base'!V85)</f>
        <v>0</v>
      </c>
      <c r="Y85">
        <f>MAX(0,ROUND(AW84*(1+'Calc base'!K85),2)-M85-'Calc base'!W85)</f>
        <v>0</v>
      </c>
      <c r="Z85">
        <f>MAX(0,ROUND(AX84*(1+'Calc base'!L85),2)-N85-'Calc base'!X85)</f>
        <v>0</v>
      </c>
      <c r="AA85">
        <f>MAX(0,ROUND(AY84*(1+'Calc base'!M85),2)-O85-'Calc base'!Y85)</f>
        <v>0</v>
      </c>
      <c r="AB85">
        <f>MAX(0,ROUND(AZ84*(1+'Calc base'!N85),2)-P85-'Calc base'!Z85)</f>
        <v>0</v>
      </c>
      <c r="AC85">
        <f>MAX(0,ROUND(BA84*(1+'Calc base'!O85),2)-Q85-'Calc base'!AA85)</f>
        <v>0</v>
      </c>
      <c r="AD85">
        <f>MAX(0,ROUND(BB84*(1+'Calc base'!P85),2)-R85-'Calc base'!AB85)</f>
        <v>0</v>
      </c>
      <c r="AE85">
        <f>MAX(0,ROUND(BC84*(1+'Calc base'!Q85),2)-S85-'Calc base'!AC85)</f>
        <v>0</v>
      </c>
      <c r="AF85">
        <f>MAX(0,ROUND(BD84*(1+'Calc base'!R85),2)-T85-'Calc base'!AD85)</f>
        <v>0</v>
      </c>
      <c r="AG85">
        <f>MAX(0,ROUND(BE84*(1+'Calc base'!S85),2)-U85-'Calc base'!AE85)</f>
        <v>0</v>
      </c>
      <c r="AH85">
        <f>IF('Calc base'!C$14=0,0,MIN(V85,MAX(0,$E85-SUMIFS($V85:$AG85,'Calc base'!$C$19:$N$19,"&lt;"&amp;'Calc base'!C$19,'Calc base'!$C$14:$N$14,1))))</f>
        <v>0</v>
      </c>
      <c r="AI85">
        <f>IF('Calc base'!D$14=0,0,MIN(W85,MAX(0,$E85-SUMIFS($V85:$AG85,'Calc base'!$C$19:$N$19,"&lt;"&amp;'Calc base'!D$19,'Calc base'!$C$14:$N$14,1))))</f>
        <v>0</v>
      </c>
      <c r="AJ85">
        <f>IF('Calc base'!E$14=0,0,MIN(X85,MAX(0,$E85-SUMIFS($V85:$AG85,'Calc base'!$C$19:$N$19,"&lt;"&amp;'Calc base'!E$19,'Calc base'!$C$14:$N$14,1))))</f>
        <v>0</v>
      </c>
      <c r="AK85">
        <f>IF('Calc base'!F$14=0,0,MIN(Y85,MAX(0,$E85-SUMIFS($V85:$AG85,'Calc base'!$C$19:$N$19,"&lt;"&amp;'Calc base'!F$19,'Calc base'!$C$14:$N$14,1))))</f>
        <v>0</v>
      </c>
      <c r="AL85">
        <f>IF('Calc base'!G$14=0,0,MIN(Z85,MAX(0,$E85-SUMIFS($V85:$AG85,'Calc base'!$C$19:$N$19,"&lt;"&amp;'Calc base'!G$19,'Calc base'!$C$14:$N$14,1))))</f>
        <v>0</v>
      </c>
      <c r="AM85">
        <f>IF('Calc base'!H$14=0,0,MIN(AA85,MAX(0,$E85-SUMIFS($V85:$AG85,'Calc base'!$C$19:$N$19,"&lt;"&amp;'Calc base'!H$19,'Calc base'!$C$14:$N$14,1))))</f>
        <v>0</v>
      </c>
      <c r="AN85">
        <f>IF('Calc base'!I$14=0,0,MIN(AB85,MAX(0,$E85-SUMIFS($V85:$AG85,'Calc base'!$C$19:$N$19,"&lt;"&amp;'Calc base'!I$19,'Calc base'!$C$14:$N$14,1))))</f>
        <v>0</v>
      </c>
      <c r="AO85">
        <f>IF('Calc base'!J$14=0,0,MIN(AC85,MAX(0,$E85-SUMIFS($V85:$AG85,'Calc base'!$C$19:$N$19,"&lt;"&amp;'Calc base'!J$19,'Calc base'!$C$14:$N$14,1))))</f>
        <v>0</v>
      </c>
      <c r="AP85">
        <f>IF('Calc base'!K$14=0,0,MIN(AD85,MAX(0,$E85-SUMIFS($V85:$AG85,'Calc base'!$C$19:$N$19,"&lt;"&amp;'Calc base'!K$19,'Calc base'!$C$14:$N$14,1))))</f>
        <v>0</v>
      </c>
      <c r="AQ85">
        <f>IF('Calc base'!L$14=0,0,MIN(AE85,MAX(0,$E85-SUMIFS($V85:$AG85,'Calc base'!$C$19:$N$19,"&lt;"&amp;'Calc base'!L$19,'Calc base'!$C$14:$N$14,1))))</f>
        <v>0</v>
      </c>
      <c r="AR85">
        <f>IF('Calc base'!M$14=0,0,MIN(AF85,MAX(0,$E85-SUMIFS($V85:$AG85,'Calc base'!$C$19:$N$19,"&lt;"&amp;'Calc base'!M$19,'Calc base'!$C$14:$N$14,1))))</f>
        <v>0</v>
      </c>
      <c r="AS85">
        <f>IF('Calc base'!N$14=0,0,MIN(AG85,MAX(0,$E85-SUMIFS($V85:$AG85,'Calc base'!$C$19:$N$19,"&lt;"&amp;'Calc base'!N$19,'Calc base'!$C$14:$N$14,1))))</f>
        <v>0</v>
      </c>
      <c r="AT85">
        <f>V85-AH85</f>
        <v>0</v>
      </c>
      <c r="AU85">
        <f>W85-AI85</f>
        <v>0</v>
      </c>
      <c r="AV85">
        <f>X85-AJ85</f>
        <v>0</v>
      </c>
      <c r="AW85">
        <f>Y85-AK85</f>
        <v>0</v>
      </c>
      <c r="AX85">
        <f>Z85-AL85</f>
        <v>0</v>
      </c>
      <c r="AY85">
        <f>AA85-AM85</f>
        <v>0</v>
      </c>
      <c r="AZ85">
        <f>AB85-AN85</f>
        <v>0</v>
      </c>
      <c r="BA85">
        <f>AC85-AO85</f>
        <v>0</v>
      </c>
      <c r="BB85">
        <f>AD85-AP85</f>
        <v>0</v>
      </c>
      <c r="BC85">
        <f>AE85-AQ85</f>
        <v>0</v>
      </c>
      <c r="BD85">
        <f>AF85-AR85</f>
        <v>0</v>
      </c>
      <c r="BE85">
        <f>AG85-AS85</f>
        <v>0</v>
      </c>
    </row>
    <row r="86">
      <c r="A86" t="n">
        <v>56</v>
      </c>
      <c r="B86">
        <f>SUMPRODUCT(ROUND($AT85:$BE85*(1+'Calc base'!$H86:$S86),2))</f>
        <v>0</v>
      </c>
      <c r="C86">
        <f>SUM(J86:U86)</f>
        <v>0</v>
      </c>
      <c r="D86">
        <f>SUM(V86:AG86)</f>
        <v>0</v>
      </c>
      <c r="E86">
        <f>MAX(0,IF(Impostazioni!$B$7="No",'Calc base'!$C86-$C$31,'Calc base'!$C86-C86)+'Calc base'!$G86+'Calc base'!$F86-(B86-C86-D86))</f>
        <v>900</v>
      </c>
      <c r="F86">
        <f>SUM(AH86:AS86)</f>
        <v>0</v>
      </c>
      <c r="G86">
        <f>SUM(AT86:BE86)</f>
        <v>0</v>
      </c>
      <c r="H86">
        <f>B86-G85</f>
        <v>0</v>
      </c>
      <c r="I86">
        <f>B86-G86</f>
        <v>0</v>
      </c>
      <c r="J86">
        <f>IF(AT85&lt;=0,0,IF(ROUND(AT85*(1+'Calc base'!H86),2)-MAX('Calc base'!C$12,ROUND('Calc base'!C$13*AT85,2))&lt;1,ROUND(AT85*(1+'Calc base'!H86),2),MAX('Calc base'!C$12,ROUND('Calc base'!C$13*AT85,2))))</f>
        <v>0</v>
      </c>
      <c r="K86">
        <f>IF(AU85&lt;=0,0,IF(ROUND(AU85*(1+'Calc base'!I86),2)-MAX('Calc base'!D$12,ROUND('Calc base'!D$13*AU85,2))&lt;1,ROUND(AU85*(1+'Calc base'!I86),2),MAX('Calc base'!D$12,ROUND('Calc base'!D$13*AU85,2))))</f>
        <v>0</v>
      </c>
      <c r="L86">
        <f>IF(AV85&lt;=0,0,IF(ROUND(AV85*(1+'Calc base'!J86),2)-MAX('Calc base'!E$12,ROUND('Calc base'!E$13*AV85,2))&lt;1,ROUND(AV85*(1+'Calc base'!J86),2),MAX('Calc base'!E$12,ROUND('Calc base'!E$13*AV85,2))))</f>
        <v>0</v>
      </c>
      <c r="M86">
        <f>IF(AW85&lt;=0,0,IF(ROUND(AW85*(1+'Calc base'!K86),2)-MAX('Calc base'!F$12,ROUND('Calc base'!F$13*AW85,2))&lt;1,ROUND(AW85*(1+'Calc base'!K86),2),MAX('Calc base'!F$12,ROUND('Calc base'!F$13*AW85,2))))</f>
        <v>0</v>
      </c>
      <c r="N86">
        <f>IF(AX85&lt;=0,0,IF(ROUND(AX85*(1+'Calc base'!L86),2)-MAX('Calc base'!G$12,ROUND('Calc base'!G$13*AX85,2))&lt;1,ROUND(AX85*(1+'Calc base'!L86),2),MAX('Calc base'!G$12,ROUND('Calc base'!G$13*AX85,2))))</f>
        <v>0</v>
      </c>
      <c r="O86">
        <f>IF(AY85&lt;=0,0,IF(ROUND(AY85*(1+'Calc base'!M86),2)-MAX('Calc base'!H$12,ROUND('Calc base'!H$13*AY85,2))&lt;1,ROUND(AY85*(1+'Calc base'!M86),2),MAX('Calc base'!H$12,ROUND('Calc base'!H$13*AY85,2))))</f>
        <v>0</v>
      </c>
      <c r="P86">
        <f>IF(AZ85&lt;=0,0,IF(ROUND(AZ85*(1+'Calc base'!N86),2)-MAX('Calc base'!I$12,ROUND('Calc base'!I$13*AZ85,2))&lt;1,ROUND(AZ85*(1+'Calc base'!N86),2),MAX('Calc base'!I$12,ROUND('Calc base'!I$13*AZ85,2))))</f>
        <v>0</v>
      </c>
      <c r="Q86">
        <f>IF(BA85&lt;=0,0,IF(ROUND(BA85*(1+'Calc base'!O86),2)-MAX('Calc base'!J$12,ROUND('Calc base'!J$13*BA85,2))&lt;1,ROUND(BA85*(1+'Calc base'!O86),2),MAX('Calc base'!J$12,ROUND('Calc base'!J$13*BA85,2))))</f>
        <v>0</v>
      </c>
      <c r="R86">
        <f>IF(BB85&lt;=0,0,IF(ROUND(BB85*(1+'Calc base'!P86),2)-MAX('Calc base'!K$12,ROUND('Calc base'!K$13*BB85,2))&lt;1,ROUND(BB85*(1+'Calc base'!P86),2),MAX('Calc base'!K$12,ROUND('Calc base'!K$13*BB85,2))))</f>
        <v>0</v>
      </c>
      <c r="S86">
        <f>IF(BC85&lt;=0,0,IF(ROUND(BC85*(1+'Calc base'!Q86),2)-MAX('Calc base'!L$12,ROUND('Calc base'!L$13*BC85,2))&lt;1,ROUND(BC85*(1+'Calc base'!Q86),2),MAX('Calc base'!L$12,ROUND('Calc base'!L$13*BC85,2))))</f>
        <v>0</v>
      </c>
      <c r="T86">
        <f>IF(BD85&lt;=0,0,IF(ROUND(BD85*(1+'Calc base'!R86),2)-MAX('Calc base'!M$12,ROUND('Calc base'!M$13*BD85,2))&lt;1,ROUND(BD85*(1+'Calc base'!R86),2),MAX('Calc base'!M$12,ROUND('Calc base'!M$13*BD85,2))))</f>
        <v>0</v>
      </c>
      <c r="U86">
        <f>IF(BE85&lt;=0,0,IF(ROUND(BE85*(1+'Calc base'!S86),2)-MAX('Calc base'!N$12,ROUND('Calc base'!N$13*BE85,2))&lt;1,ROUND(BE85*(1+'Calc base'!S86),2),MAX('Calc base'!N$12,ROUND('Calc base'!N$13*BE85,2))))</f>
        <v>0</v>
      </c>
      <c r="V86">
        <f>MAX(0,ROUND(AT85*(1+'Calc base'!H86),2)-J86-'Calc base'!T86)</f>
        <v>0</v>
      </c>
      <c r="W86">
        <f>MAX(0,ROUND(AU85*(1+'Calc base'!I86),2)-K86-'Calc base'!U86)</f>
        <v>0</v>
      </c>
      <c r="X86">
        <f>MAX(0,ROUND(AV85*(1+'Calc base'!J86),2)-L86-'Calc base'!V86)</f>
        <v>0</v>
      </c>
      <c r="Y86">
        <f>MAX(0,ROUND(AW85*(1+'Calc base'!K86),2)-M86-'Calc base'!W86)</f>
        <v>0</v>
      </c>
      <c r="Z86">
        <f>MAX(0,ROUND(AX85*(1+'Calc base'!L86),2)-N86-'Calc base'!X86)</f>
        <v>0</v>
      </c>
      <c r="AA86">
        <f>MAX(0,ROUND(AY85*(1+'Calc base'!M86),2)-O86-'Calc base'!Y86)</f>
        <v>0</v>
      </c>
      <c r="AB86">
        <f>MAX(0,ROUND(AZ85*(1+'Calc base'!N86),2)-P86-'Calc base'!Z86)</f>
        <v>0</v>
      </c>
      <c r="AC86">
        <f>MAX(0,ROUND(BA85*(1+'Calc base'!O86),2)-Q86-'Calc base'!AA86)</f>
        <v>0</v>
      </c>
      <c r="AD86">
        <f>MAX(0,ROUND(BB85*(1+'Calc base'!P86),2)-R86-'Calc base'!AB86)</f>
        <v>0</v>
      </c>
      <c r="AE86">
        <f>MAX(0,ROUND(BC85*(1+'Calc base'!Q86),2)-S86-'Calc base'!AC86)</f>
        <v>0</v>
      </c>
      <c r="AF86">
        <f>MAX(0,ROUND(BD85*(1+'Calc base'!R86),2)-T86-'Calc base'!AD86)</f>
        <v>0</v>
      </c>
      <c r="AG86">
        <f>MAX(0,ROUND(BE85*(1+'Calc base'!S86),2)-U86-'Calc base'!AE86)</f>
        <v>0</v>
      </c>
      <c r="AH86">
        <f>IF('Calc base'!C$14=0,0,MIN(V86,MAX(0,$E86-SUMIFS($V86:$AG86,'Calc base'!$C$19:$N$19,"&lt;"&amp;'Calc base'!C$19,'Calc base'!$C$14:$N$14,1))))</f>
        <v>0</v>
      </c>
      <c r="AI86">
        <f>IF('Calc base'!D$14=0,0,MIN(W86,MAX(0,$E86-SUMIFS($V86:$AG86,'Calc base'!$C$19:$N$19,"&lt;"&amp;'Calc base'!D$19,'Calc base'!$C$14:$N$14,1))))</f>
        <v>0</v>
      </c>
      <c r="AJ86">
        <f>IF('Calc base'!E$14=0,0,MIN(X86,MAX(0,$E86-SUMIFS($V86:$AG86,'Calc base'!$C$19:$N$19,"&lt;"&amp;'Calc base'!E$19,'Calc base'!$C$14:$N$14,1))))</f>
        <v>0</v>
      </c>
      <c r="AK86">
        <f>IF('Calc base'!F$14=0,0,MIN(Y86,MAX(0,$E86-SUMIFS($V86:$AG86,'Calc base'!$C$19:$N$19,"&lt;"&amp;'Calc base'!F$19,'Calc base'!$C$14:$N$14,1))))</f>
        <v>0</v>
      </c>
      <c r="AL86">
        <f>IF('Calc base'!G$14=0,0,MIN(Z86,MAX(0,$E86-SUMIFS($V86:$AG86,'Calc base'!$C$19:$N$19,"&lt;"&amp;'Calc base'!G$19,'Calc base'!$C$14:$N$14,1))))</f>
        <v>0</v>
      </c>
      <c r="AM86">
        <f>IF('Calc base'!H$14=0,0,MIN(AA86,MAX(0,$E86-SUMIFS($V86:$AG86,'Calc base'!$C$19:$N$19,"&lt;"&amp;'Calc base'!H$19,'Calc base'!$C$14:$N$14,1))))</f>
        <v>0</v>
      </c>
      <c r="AN86">
        <f>IF('Calc base'!I$14=0,0,MIN(AB86,MAX(0,$E86-SUMIFS($V86:$AG86,'Calc base'!$C$19:$N$19,"&lt;"&amp;'Calc base'!I$19,'Calc base'!$C$14:$N$14,1))))</f>
        <v>0</v>
      </c>
      <c r="AO86">
        <f>IF('Calc base'!J$14=0,0,MIN(AC86,MAX(0,$E86-SUMIFS($V86:$AG86,'Calc base'!$C$19:$N$19,"&lt;"&amp;'Calc base'!J$19,'Calc base'!$C$14:$N$14,1))))</f>
        <v>0</v>
      </c>
      <c r="AP86">
        <f>IF('Calc base'!K$14=0,0,MIN(AD86,MAX(0,$E86-SUMIFS($V86:$AG86,'Calc base'!$C$19:$N$19,"&lt;"&amp;'Calc base'!K$19,'Calc base'!$C$14:$N$14,1))))</f>
        <v>0</v>
      </c>
      <c r="AQ86">
        <f>IF('Calc base'!L$14=0,0,MIN(AE86,MAX(0,$E86-SUMIFS($V86:$AG86,'Calc base'!$C$19:$N$19,"&lt;"&amp;'Calc base'!L$19,'Calc base'!$C$14:$N$14,1))))</f>
        <v>0</v>
      </c>
      <c r="AR86">
        <f>IF('Calc base'!M$14=0,0,MIN(AF86,MAX(0,$E86-SUMIFS($V86:$AG86,'Calc base'!$C$19:$N$19,"&lt;"&amp;'Calc base'!M$19,'Calc base'!$C$14:$N$14,1))))</f>
        <v>0</v>
      </c>
      <c r="AS86">
        <f>IF('Calc base'!N$14=0,0,MIN(AG86,MAX(0,$E86-SUMIFS($V86:$AG86,'Calc base'!$C$19:$N$19,"&lt;"&amp;'Calc base'!N$19,'Calc base'!$C$14:$N$14,1))))</f>
        <v>0</v>
      </c>
      <c r="AT86">
        <f>V86-AH86</f>
        <v>0</v>
      </c>
      <c r="AU86">
        <f>W86-AI86</f>
        <v>0</v>
      </c>
      <c r="AV86">
        <f>X86-AJ86</f>
        <v>0</v>
      </c>
      <c r="AW86">
        <f>Y86-AK86</f>
        <v>0</v>
      </c>
      <c r="AX86">
        <f>Z86-AL86</f>
        <v>0</v>
      </c>
      <c r="AY86">
        <f>AA86-AM86</f>
        <v>0</v>
      </c>
      <c r="AZ86">
        <f>AB86-AN86</f>
        <v>0</v>
      </c>
      <c r="BA86">
        <f>AC86-AO86</f>
        <v>0</v>
      </c>
      <c r="BB86">
        <f>AD86-AP86</f>
        <v>0</v>
      </c>
      <c r="BC86">
        <f>AE86-AQ86</f>
        <v>0</v>
      </c>
      <c r="BD86">
        <f>AF86-AR86</f>
        <v>0</v>
      </c>
      <c r="BE86">
        <f>AG86-AS86</f>
        <v>0</v>
      </c>
    </row>
    <row r="87">
      <c r="A87" t="n">
        <v>57</v>
      </c>
      <c r="B87">
        <f>SUMPRODUCT(ROUND($AT86:$BE86*(1+'Calc base'!$H87:$S87),2))</f>
        <v>0</v>
      </c>
      <c r="C87">
        <f>SUM(J87:U87)</f>
        <v>0</v>
      </c>
      <c r="D87">
        <f>SUM(V87:AG87)</f>
        <v>0</v>
      </c>
      <c r="E87">
        <f>MAX(0,IF(Impostazioni!$B$7="No",'Calc base'!$C87-$C$31,'Calc base'!$C87-C87)+'Calc base'!$G87+'Calc base'!$F87-(B87-C87-D87))</f>
        <v>900</v>
      </c>
      <c r="F87">
        <f>SUM(AH87:AS87)</f>
        <v>0</v>
      </c>
      <c r="G87">
        <f>SUM(AT87:BE87)</f>
        <v>0</v>
      </c>
      <c r="H87">
        <f>B87-G86</f>
        <v>0</v>
      </c>
      <c r="I87">
        <f>B87-G87</f>
        <v>0</v>
      </c>
      <c r="J87">
        <f>IF(AT86&lt;=0,0,IF(ROUND(AT86*(1+'Calc base'!H87),2)-MAX('Calc base'!C$12,ROUND('Calc base'!C$13*AT86,2))&lt;1,ROUND(AT86*(1+'Calc base'!H87),2),MAX('Calc base'!C$12,ROUND('Calc base'!C$13*AT86,2))))</f>
        <v>0</v>
      </c>
      <c r="K87">
        <f>IF(AU86&lt;=0,0,IF(ROUND(AU86*(1+'Calc base'!I87),2)-MAX('Calc base'!D$12,ROUND('Calc base'!D$13*AU86,2))&lt;1,ROUND(AU86*(1+'Calc base'!I87),2),MAX('Calc base'!D$12,ROUND('Calc base'!D$13*AU86,2))))</f>
        <v>0</v>
      </c>
      <c r="L87">
        <f>IF(AV86&lt;=0,0,IF(ROUND(AV86*(1+'Calc base'!J87),2)-MAX('Calc base'!E$12,ROUND('Calc base'!E$13*AV86,2))&lt;1,ROUND(AV86*(1+'Calc base'!J87),2),MAX('Calc base'!E$12,ROUND('Calc base'!E$13*AV86,2))))</f>
        <v>0</v>
      </c>
      <c r="M87">
        <f>IF(AW86&lt;=0,0,IF(ROUND(AW86*(1+'Calc base'!K87),2)-MAX('Calc base'!F$12,ROUND('Calc base'!F$13*AW86,2))&lt;1,ROUND(AW86*(1+'Calc base'!K87),2),MAX('Calc base'!F$12,ROUND('Calc base'!F$13*AW86,2))))</f>
        <v>0</v>
      </c>
      <c r="N87">
        <f>IF(AX86&lt;=0,0,IF(ROUND(AX86*(1+'Calc base'!L87),2)-MAX('Calc base'!G$12,ROUND('Calc base'!G$13*AX86,2))&lt;1,ROUND(AX86*(1+'Calc base'!L87),2),MAX('Calc base'!G$12,ROUND('Calc base'!G$13*AX86,2))))</f>
        <v>0</v>
      </c>
      <c r="O87">
        <f>IF(AY86&lt;=0,0,IF(ROUND(AY86*(1+'Calc base'!M87),2)-MAX('Calc base'!H$12,ROUND('Calc base'!H$13*AY86,2))&lt;1,ROUND(AY86*(1+'Calc base'!M87),2),MAX('Calc base'!H$12,ROUND('Calc base'!H$13*AY86,2))))</f>
        <v>0</v>
      </c>
      <c r="P87">
        <f>IF(AZ86&lt;=0,0,IF(ROUND(AZ86*(1+'Calc base'!N87),2)-MAX('Calc base'!I$12,ROUND('Calc base'!I$13*AZ86,2))&lt;1,ROUND(AZ86*(1+'Calc base'!N87),2),MAX('Calc base'!I$12,ROUND('Calc base'!I$13*AZ86,2))))</f>
        <v>0</v>
      </c>
      <c r="Q87">
        <f>IF(BA86&lt;=0,0,IF(ROUND(BA86*(1+'Calc base'!O87),2)-MAX('Calc base'!J$12,ROUND('Calc base'!J$13*BA86,2))&lt;1,ROUND(BA86*(1+'Calc base'!O87),2),MAX('Calc base'!J$12,ROUND('Calc base'!J$13*BA86,2))))</f>
        <v>0</v>
      </c>
      <c r="R87">
        <f>IF(BB86&lt;=0,0,IF(ROUND(BB86*(1+'Calc base'!P87),2)-MAX('Calc base'!K$12,ROUND('Calc base'!K$13*BB86,2))&lt;1,ROUND(BB86*(1+'Calc base'!P87),2),MAX('Calc base'!K$12,ROUND('Calc base'!K$13*BB86,2))))</f>
        <v>0</v>
      </c>
      <c r="S87">
        <f>IF(BC86&lt;=0,0,IF(ROUND(BC86*(1+'Calc base'!Q87),2)-MAX('Calc base'!L$12,ROUND('Calc base'!L$13*BC86,2))&lt;1,ROUND(BC86*(1+'Calc base'!Q87),2),MAX('Calc base'!L$12,ROUND('Calc base'!L$13*BC86,2))))</f>
        <v>0</v>
      </c>
      <c r="T87">
        <f>IF(BD86&lt;=0,0,IF(ROUND(BD86*(1+'Calc base'!R87),2)-MAX('Calc base'!M$12,ROUND('Calc base'!M$13*BD86,2))&lt;1,ROUND(BD86*(1+'Calc base'!R87),2),MAX('Calc base'!M$12,ROUND('Calc base'!M$13*BD86,2))))</f>
        <v>0</v>
      </c>
      <c r="U87">
        <f>IF(BE86&lt;=0,0,IF(ROUND(BE86*(1+'Calc base'!S87),2)-MAX('Calc base'!N$12,ROUND('Calc base'!N$13*BE86,2))&lt;1,ROUND(BE86*(1+'Calc base'!S87),2),MAX('Calc base'!N$12,ROUND('Calc base'!N$13*BE86,2))))</f>
        <v>0</v>
      </c>
      <c r="V87">
        <f>MAX(0,ROUND(AT86*(1+'Calc base'!H87),2)-J87-'Calc base'!T87)</f>
        <v>0</v>
      </c>
      <c r="W87">
        <f>MAX(0,ROUND(AU86*(1+'Calc base'!I87),2)-K87-'Calc base'!U87)</f>
        <v>0</v>
      </c>
      <c r="X87">
        <f>MAX(0,ROUND(AV86*(1+'Calc base'!J87),2)-L87-'Calc base'!V87)</f>
        <v>0</v>
      </c>
      <c r="Y87">
        <f>MAX(0,ROUND(AW86*(1+'Calc base'!K87),2)-M87-'Calc base'!W87)</f>
        <v>0</v>
      </c>
      <c r="Z87">
        <f>MAX(0,ROUND(AX86*(1+'Calc base'!L87),2)-N87-'Calc base'!X87)</f>
        <v>0</v>
      </c>
      <c r="AA87">
        <f>MAX(0,ROUND(AY86*(1+'Calc base'!M87),2)-O87-'Calc base'!Y87)</f>
        <v>0</v>
      </c>
      <c r="AB87">
        <f>MAX(0,ROUND(AZ86*(1+'Calc base'!N87),2)-P87-'Calc base'!Z87)</f>
        <v>0</v>
      </c>
      <c r="AC87">
        <f>MAX(0,ROUND(BA86*(1+'Calc base'!O87),2)-Q87-'Calc base'!AA87)</f>
        <v>0</v>
      </c>
      <c r="AD87">
        <f>MAX(0,ROUND(BB86*(1+'Calc base'!P87),2)-R87-'Calc base'!AB87)</f>
        <v>0</v>
      </c>
      <c r="AE87">
        <f>MAX(0,ROUND(BC86*(1+'Calc base'!Q87),2)-S87-'Calc base'!AC87)</f>
        <v>0</v>
      </c>
      <c r="AF87">
        <f>MAX(0,ROUND(BD86*(1+'Calc base'!R87),2)-T87-'Calc base'!AD87)</f>
        <v>0</v>
      </c>
      <c r="AG87">
        <f>MAX(0,ROUND(BE86*(1+'Calc base'!S87),2)-U87-'Calc base'!AE87)</f>
        <v>0</v>
      </c>
      <c r="AH87">
        <f>IF('Calc base'!C$14=0,0,MIN(V87,MAX(0,$E87-SUMIFS($V87:$AG87,'Calc base'!$C$19:$N$19,"&lt;"&amp;'Calc base'!C$19,'Calc base'!$C$14:$N$14,1))))</f>
        <v>0</v>
      </c>
      <c r="AI87">
        <f>IF('Calc base'!D$14=0,0,MIN(W87,MAX(0,$E87-SUMIFS($V87:$AG87,'Calc base'!$C$19:$N$19,"&lt;"&amp;'Calc base'!D$19,'Calc base'!$C$14:$N$14,1))))</f>
        <v>0</v>
      </c>
      <c r="AJ87">
        <f>IF('Calc base'!E$14=0,0,MIN(X87,MAX(0,$E87-SUMIFS($V87:$AG87,'Calc base'!$C$19:$N$19,"&lt;"&amp;'Calc base'!E$19,'Calc base'!$C$14:$N$14,1))))</f>
        <v>0</v>
      </c>
      <c r="AK87">
        <f>IF('Calc base'!F$14=0,0,MIN(Y87,MAX(0,$E87-SUMIFS($V87:$AG87,'Calc base'!$C$19:$N$19,"&lt;"&amp;'Calc base'!F$19,'Calc base'!$C$14:$N$14,1))))</f>
        <v>0</v>
      </c>
      <c r="AL87">
        <f>IF('Calc base'!G$14=0,0,MIN(Z87,MAX(0,$E87-SUMIFS($V87:$AG87,'Calc base'!$C$19:$N$19,"&lt;"&amp;'Calc base'!G$19,'Calc base'!$C$14:$N$14,1))))</f>
        <v>0</v>
      </c>
      <c r="AM87">
        <f>IF('Calc base'!H$14=0,0,MIN(AA87,MAX(0,$E87-SUMIFS($V87:$AG87,'Calc base'!$C$19:$N$19,"&lt;"&amp;'Calc base'!H$19,'Calc base'!$C$14:$N$14,1))))</f>
        <v>0</v>
      </c>
      <c r="AN87">
        <f>IF('Calc base'!I$14=0,0,MIN(AB87,MAX(0,$E87-SUMIFS($V87:$AG87,'Calc base'!$C$19:$N$19,"&lt;"&amp;'Calc base'!I$19,'Calc base'!$C$14:$N$14,1))))</f>
        <v>0</v>
      </c>
      <c r="AO87">
        <f>IF('Calc base'!J$14=0,0,MIN(AC87,MAX(0,$E87-SUMIFS($V87:$AG87,'Calc base'!$C$19:$N$19,"&lt;"&amp;'Calc base'!J$19,'Calc base'!$C$14:$N$14,1))))</f>
        <v>0</v>
      </c>
      <c r="AP87">
        <f>IF('Calc base'!K$14=0,0,MIN(AD87,MAX(0,$E87-SUMIFS($V87:$AG87,'Calc base'!$C$19:$N$19,"&lt;"&amp;'Calc base'!K$19,'Calc base'!$C$14:$N$14,1))))</f>
        <v>0</v>
      </c>
      <c r="AQ87">
        <f>IF('Calc base'!L$14=0,0,MIN(AE87,MAX(0,$E87-SUMIFS($V87:$AG87,'Calc base'!$C$19:$N$19,"&lt;"&amp;'Calc base'!L$19,'Calc base'!$C$14:$N$14,1))))</f>
        <v>0</v>
      </c>
      <c r="AR87">
        <f>IF('Calc base'!M$14=0,0,MIN(AF87,MAX(0,$E87-SUMIFS($V87:$AG87,'Calc base'!$C$19:$N$19,"&lt;"&amp;'Calc base'!M$19,'Calc base'!$C$14:$N$14,1))))</f>
        <v>0</v>
      </c>
      <c r="AS87">
        <f>IF('Calc base'!N$14=0,0,MIN(AG87,MAX(0,$E87-SUMIFS($V87:$AG87,'Calc base'!$C$19:$N$19,"&lt;"&amp;'Calc base'!N$19,'Calc base'!$C$14:$N$14,1))))</f>
        <v>0</v>
      </c>
      <c r="AT87">
        <f>V87-AH87</f>
        <v>0</v>
      </c>
      <c r="AU87">
        <f>W87-AI87</f>
        <v>0</v>
      </c>
      <c r="AV87">
        <f>X87-AJ87</f>
        <v>0</v>
      </c>
      <c r="AW87">
        <f>Y87-AK87</f>
        <v>0</v>
      </c>
      <c r="AX87">
        <f>Z87-AL87</f>
        <v>0</v>
      </c>
      <c r="AY87">
        <f>AA87-AM87</f>
        <v>0</v>
      </c>
      <c r="AZ87">
        <f>AB87-AN87</f>
        <v>0</v>
      </c>
      <c r="BA87">
        <f>AC87-AO87</f>
        <v>0</v>
      </c>
      <c r="BB87">
        <f>AD87-AP87</f>
        <v>0</v>
      </c>
      <c r="BC87">
        <f>AE87-AQ87</f>
        <v>0</v>
      </c>
      <c r="BD87">
        <f>AF87-AR87</f>
        <v>0</v>
      </c>
      <c r="BE87">
        <f>AG87-AS87</f>
        <v>0</v>
      </c>
    </row>
    <row r="88">
      <c r="A88" t="n">
        <v>58</v>
      </c>
      <c r="B88">
        <f>SUMPRODUCT(ROUND($AT87:$BE87*(1+'Calc base'!$H88:$S88),2))</f>
        <v>0</v>
      </c>
      <c r="C88">
        <f>SUM(J88:U88)</f>
        <v>0</v>
      </c>
      <c r="D88">
        <f>SUM(V88:AG88)</f>
        <v>0</v>
      </c>
      <c r="E88">
        <f>MAX(0,IF(Impostazioni!$B$7="No",'Calc base'!$C88-$C$31,'Calc base'!$C88-C88)+'Calc base'!$G88+'Calc base'!$F88-(B88-C88-D88))</f>
        <v>900</v>
      </c>
      <c r="F88">
        <f>SUM(AH88:AS88)</f>
        <v>0</v>
      </c>
      <c r="G88">
        <f>SUM(AT88:BE88)</f>
        <v>0</v>
      </c>
      <c r="H88">
        <f>B88-G87</f>
        <v>0</v>
      </c>
      <c r="I88">
        <f>B88-G88</f>
        <v>0</v>
      </c>
      <c r="J88">
        <f>IF(AT87&lt;=0,0,IF(ROUND(AT87*(1+'Calc base'!H88),2)-MAX('Calc base'!C$12,ROUND('Calc base'!C$13*AT87,2))&lt;1,ROUND(AT87*(1+'Calc base'!H88),2),MAX('Calc base'!C$12,ROUND('Calc base'!C$13*AT87,2))))</f>
        <v>0</v>
      </c>
      <c r="K88">
        <f>IF(AU87&lt;=0,0,IF(ROUND(AU87*(1+'Calc base'!I88),2)-MAX('Calc base'!D$12,ROUND('Calc base'!D$13*AU87,2))&lt;1,ROUND(AU87*(1+'Calc base'!I88),2),MAX('Calc base'!D$12,ROUND('Calc base'!D$13*AU87,2))))</f>
        <v>0</v>
      </c>
      <c r="L88">
        <f>IF(AV87&lt;=0,0,IF(ROUND(AV87*(1+'Calc base'!J88),2)-MAX('Calc base'!E$12,ROUND('Calc base'!E$13*AV87,2))&lt;1,ROUND(AV87*(1+'Calc base'!J88),2),MAX('Calc base'!E$12,ROUND('Calc base'!E$13*AV87,2))))</f>
        <v>0</v>
      </c>
      <c r="M88">
        <f>IF(AW87&lt;=0,0,IF(ROUND(AW87*(1+'Calc base'!K88),2)-MAX('Calc base'!F$12,ROUND('Calc base'!F$13*AW87,2))&lt;1,ROUND(AW87*(1+'Calc base'!K88),2),MAX('Calc base'!F$12,ROUND('Calc base'!F$13*AW87,2))))</f>
        <v>0</v>
      </c>
      <c r="N88">
        <f>IF(AX87&lt;=0,0,IF(ROUND(AX87*(1+'Calc base'!L88),2)-MAX('Calc base'!G$12,ROUND('Calc base'!G$13*AX87,2))&lt;1,ROUND(AX87*(1+'Calc base'!L88),2),MAX('Calc base'!G$12,ROUND('Calc base'!G$13*AX87,2))))</f>
        <v>0</v>
      </c>
      <c r="O88">
        <f>IF(AY87&lt;=0,0,IF(ROUND(AY87*(1+'Calc base'!M88),2)-MAX('Calc base'!H$12,ROUND('Calc base'!H$13*AY87,2))&lt;1,ROUND(AY87*(1+'Calc base'!M88),2),MAX('Calc base'!H$12,ROUND('Calc base'!H$13*AY87,2))))</f>
        <v>0</v>
      </c>
      <c r="P88">
        <f>IF(AZ87&lt;=0,0,IF(ROUND(AZ87*(1+'Calc base'!N88),2)-MAX('Calc base'!I$12,ROUND('Calc base'!I$13*AZ87,2))&lt;1,ROUND(AZ87*(1+'Calc base'!N88),2),MAX('Calc base'!I$12,ROUND('Calc base'!I$13*AZ87,2))))</f>
        <v>0</v>
      </c>
      <c r="Q88">
        <f>IF(BA87&lt;=0,0,IF(ROUND(BA87*(1+'Calc base'!O88),2)-MAX('Calc base'!J$12,ROUND('Calc base'!J$13*BA87,2))&lt;1,ROUND(BA87*(1+'Calc base'!O88),2),MAX('Calc base'!J$12,ROUND('Calc base'!J$13*BA87,2))))</f>
        <v>0</v>
      </c>
      <c r="R88">
        <f>IF(BB87&lt;=0,0,IF(ROUND(BB87*(1+'Calc base'!P88),2)-MAX('Calc base'!K$12,ROUND('Calc base'!K$13*BB87,2))&lt;1,ROUND(BB87*(1+'Calc base'!P88),2),MAX('Calc base'!K$12,ROUND('Calc base'!K$13*BB87,2))))</f>
        <v>0</v>
      </c>
      <c r="S88">
        <f>IF(BC87&lt;=0,0,IF(ROUND(BC87*(1+'Calc base'!Q88),2)-MAX('Calc base'!L$12,ROUND('Calc base'!L$13*BC87,2))&lt;1,ROUND(BC87*(1+'Calc base'!Q88),2),MAX('Calc base'!L$12,ROUND('Calc base'!L$13*BC87,2))))</f>
        <v>0</v>
      </c>
      <c r="T88">
        <f>IF(BD87&lt;=0,0,IF(ROUND(BD87*(1+'Calc base'!R88),2)-MAX('Calc base'!M$12,ROUND('Calc base'!M$13*BD87,2))&lt;1,ROUND(BD87*(1+'Calc base'!R88),2),MAX('Calc base'!M$12,ROUND('Calc base'!M$13*BD87,2))))</f>
        <v>0</v>
      </c>
      <c r="U88">
        <f>IF(BE87&lt;=0,0,IF(ROUND(BE87*(1+'Calc base'!S88),2)-MAX('Calc base'!N$12,ROUND('Calc base'!N$13*BE87,2))&lt;1,ROUND(BE87*(1+'Calc base'!S88),2),MAX('Calc base'!N$12,ROUND('Calc base'!N$13*BE87,2))))</f>
        <v>0</v>
      </c>
      <c r="V88">
        <f>MAX(0,ROUND(AT87*(1+'Calc base'!H88),2)-J88-'Calc base'!T88)</f>
        <v>0</v>
      </c>
      <c r="W88">
        <f>MAX(0,ROUND(AU87*(1+'Calc base'!I88),2)-K88-'Calc base'!U88)</f>
        <v>0</v>
      </c>
      <c r="X88">
        <f>MAX(0,ROUND(AV87*(1+'Calc base'!J88),2)-L88-'Calc base'!V88)</f>
        <v>0</v>
      </c>
      <c r="Y88">
        <f>MAX(0,ROUND(AW87*(1+'Calc base'!K88),2)-M88-'Calc base'!W88)</f>
        <v>0</v>
      </c>
      <c r="Z88">
        <f>MAX(0,ROUND(AX87*(1+'Calc base'!L88),2)-N88-'Calc base'!X88)</f>
        <v>0</v>
      </c>
      <c r="AA88">
        <f>MAX(0,ROUND(AY87*(1+'Calc base'!M88),2)-O88-'Calc base'!Y88)</f>
        <v>0</v>
      </c>
      <c r="AB88">
        <f>MAX(0,ROUND(AZ87*(1+'Calc base'!N88),2)-P88-'Calc base'!Z88)</f>
        <v>0</v>
      </c>
      <c r="AC88">
        <f>MAX(0,ROUND(BA87*(1+'Calc base'!O88),2)-Q88-'Calc base'!AA88)</f>
        <v>0</v>
      </c>
      <c r="AD88">
        <f>MAX(0,ROUND(BB87*(1+'Calc base'!P88),2)-R88-'Calc base'!AB88)</f>
        <v>0</v>
      </c>
      <c r="AE88">
        <f>MAX(0,ROUND(BC87*(1+'Calc base'!Q88),2)-S88-'Calc base'!AC88)</f>
        <v>0</v>
      </c>
      <c r="AF88">
        <f>MAX(0,ROUND(BD87*(1+'Calc base'!R88),2)-T88-'Calc base'!AD88)</f>
        <v>0</v>
      </c>
      <c r="AG88">
        <f>MAX(0,ROUND(BE87*(1+'Calc base'!S88),2)-U88-'Calc base'!AE88)</f>
        <v>0</v>
      </c>
      <c r="AH88">
        <f>IF('Calc base'!C$14=0,0,MIN(V88,MAX(0,$E88-SUMIFS($V88:$AG88,'Calc base'!$C$19:$N$19,"&lt;"&amp;'Calc base'!C$19,'Calc base'!$C$14:$N$14,1))))</f>
        <v>0</v>
      </c>
      <c r="AI88">
        <f>IF('Calc base'!D$14=0,0,MIN(W88,MAX(0,$E88-SUMIFS($V88:$AG88,'Calc base'!$C$19:$N$19,"&lt;"&amp;'Calc base'!D$19,'Calc base'!$C$14:$N$14,1))))</f>
        <v>0</v>
      </c>
      <c r="AJ88">
        <f>IF('Calc base'!E$14=0,0,MIN(X88,MAX(0,$E88-SUMIFS($V88:$AG88,'Calc base'!$C$19:$N$19,"&lt;"&amp;'Calc base'!E$19,'Calc base'!$C$14:$N$14,1))))</f>
        <v>0</v>
      </c>
      <c r="AK88">
        <f>IF('Calc base'!F$14=0,0,MIN(Y88,MAX(0,$E88-SUMIFS($V88:$AG88,'Calc base'!$C$19:$N$19,"&lt;"&amp;'Calc base'!F$19,'Calc base'!$C$14:$N$14,1))))</f>
        <v>0</v>
      </c>
      <c r="AL88">
        <f>IF('Calc base'!G$14=0,0,MIN(Z88,MAX(0,$E88-SUMIFS($V88:$AG88,'Calc base'!$C$19:$N$19,"&lt;"&amp;'Calc base'!G$19,'Calc base'!$C$14:$N$14,1))))</f>
        <v>0</v>
      </c>
      <c r="AM88">
        <f>IF('Calc base'!H$14=0,0,MIN(AA88,MAX(0,$E88-SUMIFS($V88:$AG88,'Calc base'!$C$19:$N$19,"&lt;"&amp;'Calc base'!H$19,'Calc base'!$C$14:$N$14,1))))</f>
        <v>0</v>
      </c>
      <c r="AN88">
        <f>IF('Calc base'!I$14=0,0,MIN(AB88,MAX(0,$E88-SUMIFS($V88:$AG88,'Calc base'!$C$19:$N$19,"&lt;"&amp;'Calc base'!I$19,'Calc base'!$C$14:$N$14,1))))</f>
        <v>0</v>
      </c>
      <c r="AO88">
        <f>IF('Calc base'!J$14=0,0,MIN(AC88,MAX(0,$E88-SUMIFS($V88:$AG88,'Calc base'!$C$19:$N$19,"&lt;"&amp;'Calc base'!J$19,'Calc base'!$C$14:$N$14,1))))</f>
        <v>0</v>
      </c>
      <c r="AP88">
        <f>IF('Calc base'!K$14=0,0,MIN(AD88,MAX(0,$E88-SUMIFS($V88:$AG88,'Calc base'!$C$19:$N$19,"&lt;"&amp;'Calc base'!K$19,'Calc base'!$C$14:$N$14,1))))</f>
        <v>0</v>
      </c>
      <c r="AQ88">
        <f>IF('Calc base'!L$14=0,0,MIN(AE88,MAX(0,$E88-SUMIFS($V88:$AG88,'Calc base'!$C$19:$N$19,"&lt;"&amp;'Calc base'!L$19,'Calc base'!$C$14:$N$14,1))))</f>
        <v>0</v>
      </c>
      <c r="AR88">
        <f>IF('Calc base'!M$14=0,0,MIN(AF88,MAX(0,$E88-SUMIFS($V88:$AG88,'Calc base'!$C$19:$N$19,"&lt;"&amp;'Calc base'!M$19,'Calc base'!$C$14:$N$14,1))))</f>
        <v>0</v>
      </c>
      <c r="AS88">
        <f>IF('Calc base'!N$14=0,0,MIN(AG88,MAX(0,$E88-SUMIFS($V88:$AG88,'Calc base'!$C$19:$N$19,"&lt;"&amp;'Calc base'!N$19,'Calc base'!$C$14:$N$14,1))))</f>
        <v>0</v>
      </c>
      <c r="AT88">
        <f>V88-AH88</f>
        <v>0</v>
      </c>
      <c r="AU88">
        <f>W88-AI88</f>
        <v>0</v>
      </c>
      <c r="AV88">
        <f>X88-AJ88</f>
        <v>0</v>
      </c>
      <c r="AW88">
        <f>Y88-AK88</f>
        <v>0</v>
      </c>
      <c r="AX88">
        <f>Z88-AL88</f>
        <v>0</v>
      </c>
      <c r="AY88">
        <f>AA88-AM88</f>
        <v>0</v>
      </c>
      <c r="AZ88">
        <f>AB88-AN88</f>
        <v>0</v>
      </c>
      <c r="BA88">
        <f>AC88-AO88</f>
        <v>0</v>
      </c>
      <c r="BB88">
        <f>AD88-AP88</f>
        <v>0</v>
      </c>
      <c r="BC88">
        <f>AE88-AQ88</f>
        <v>0</v>
      </c>
      <c r="BD88">
        <f>AF88-AR88</f>
        <v>0</v>
      </c>
      <c r="BE88">
        <f>AG88-AS88</f>
        <v>0</v>
      </c>
    </row>
    <row r="89">
      <c r="A89" t="n">
        <v>59</v>
      </c>
      <c r="B89">
        <f>SUMPRODUCT(ROUND($AT88:$BE88*(1+'Calc base'!$H89:$S89),2))</f>
        <v>0</v>
      </c>
      <c r="C89">
        <f>SUM(J89:U89)</f>
        <v>0</v>
      </c>
      <c r="D89">
        <f>SUM(V89:AG89)</f>
        <v>0</v>
      </c>
      <c r="E89">
        <f>MAX(0,IF(Impostazioni!$B$7="No",'Calc base'!$C89-$C$31,'Calc base'!$C89-C89)+'Calc base'!$G89+'Calc base'!$F89-(B89-C89-D89))</f>
        <v>900</v>
      </c>
      <c r="F89">
        <f>SUM(AH89:AS89)</f>
        <v>0</v>
      </c>
      <c r="G89">
        <f>SUM(AT89:BE89)</f>
        <v>0</v>
      </c>
      <c r="H89">
        <f>B89-G88</f>
        <v>0</v>
      </c>
      <c r="I89">
        <f>B89-G89</f>
        <v>0</v>
      </c>
      <c r="J89">
        <f>IF(AT88&lt;=0,0,IF(ROUND(AT88*(1+'Calc base'!H89),2)-MAX('Calc base'!C$12,ROUND('Calc base'!C$13*AT88,2))&lt;1,ROUND(AT88*(1+'Calc base'!H89),2),MAX('Calc base'!C$12,ROUND('Calc base'!C$13*AT88,2))))</f>
        <v>0</v>
      </c>
      <c r="K89">
        <f>IF(AU88&lt;=0,0,IF(ROUND(AU88*(1+'Calc base'!I89),2)-MAX('Calc base'!D$12,ROUND('Calc base'!D$13*AU88,2))&lt;1,ROUND(AU88*(1+'Calc base'!I89),2),MAX('Calc base'!D$12,ROUND('Calc base'!D$13*AU88,2))))</f>
        <v>0</v>
      </c>
      <c r="L89">
        <f>IF(AV88&lt;=0,0,IF(ROUND(AV88*(1+'Calc base'!J89),2)-MAX('Calc base'!E$12,ROUND('Calc base'!E$13*AV88,2))&lt;1,ROUND(AV88*(1+'Calc base'!J89),2),MAX('Calc base'!E$12,ROUND('Calc base'!E$13*AV88,2))))</f>
        <v>0</v>
      </c>
      <c r="M89">
        <f>IF(AW88&lt;=0,0,IF(ROUND(AW88*(1+'Calc base'!K89),2)-MAX('Calc base'!F$12,ROUND('Calc base'!F$13*AW88,2))&lt;1,ROUND(AW88*(1+'Calc base'!K89),2),MAX('Calc base'!F$12,ROUND('Calc base'!F$13*AW88,2))))</f>
        <v>0</v>
      </c>
      <c r="N89">
        <f>IF(AX88&lt;=0,0,IF(ROUND(AX88*(1+'Calc base'!L89),2)-MAX('Calc base'!G$12,ROUND('Calc base'!G$13*AX88,2))&lt;1,ROUND(AX88*(1+'Calc base'!L89),2),MAX('Calc base'!G$12,ROUND('Calc base'!G$13*AX88,2))))</f>
        <v>0</v>
      </c>
      <c r="O89">
        <f>IF(AY88&lt;=0,0,IF(ROUND(AY88*(1+'Calc base'!M89),2)-MAX('Calc base'!H$12,ROUND('Calc base'!H$13*AY88,2))&lt;1,ROUND(AY88*(1+'Calc base'!M89),2),MAX('Calc base'!H$12,ROUND('Calc base'!H$13*AY88,2))))</f>
        <v>0</v>
      </c>
      <c r="P89">
        <f>IF(AZ88&lt;=0,0,IF(ROUND(AZ88*(1+'Calc base'!N89),2)-MAX('Calc base'!I$12,ROUND('Calc base'!I$13*AZ88,2))&lt;1,ROUND(AZ88*(1+'Calc base'!N89),2),MAX('Calc base'!I$12,ROUND('Calc base'!I$13*AZ88,2))))</f>
        <v>0</v>
      </c>
      <c r="Q89">
        <f>IF(BA88&lt;=0,0,IF(ROUND(BA88*(1+'Calc base'!O89),2)-MAX('Calc base'!J$12,ROUND('Calc base'!J$13*BA88,2))&lt;1,ROUND(BA88*(1+'Calc base'!O89),2),MAX('Calc base'!J$12,ROUND('Calc base'!J$13*BA88,2))))</f>
        <v>0</v>
      </c>
      <c r="R89">
        <f>IF(BB88&lt;=0,0,IF(ROUND(BB88*(1+'Calc base'!P89),2)-MAX('Calc base'!K$12,ROUND('Calc base'!K$13*BB88,2))&lt;1,ROUND(BB88*(1+'Calc base'!P89),2),MAX('Calc base'!K$12,ROUND('Calc base'!K$13*BB88,2))))</f>
        <v>0</v>
      </c>
      <c r="S89">
        <f>IF(BC88&lt;=0,0,IF(ROUND(BC88*(1+'Calc base'!Q89),2)-MAX('Calc base'!L$12,ROUND('Calc base'!L$13*BC88,2))&lt;1,ROUND(BC88*(1+'Calc base'!Q89),2),MAX('Calc base'!L$12,ROUND('Calc base'!L$13*BC88,2))))</f>
        <v>0</v>
      </c>
      <c r="T89">
        <f>IF(BD88&lt;=0,0,IF(ROUND(BD88*(1+'Calc base'!R89),2)-MAX('Calc base'!M$12,ROUND('Calc base'!M$13*BD88,2))&lt;1,ROUND(BD88*(1+'Calc base'!R89),2),MAX('Calc base'!M$12,ROUND('Calc base'!M$13*BD88,2))))</f>
        <v>0</v>
      </c>
      <c r="U89">
        <f>IF(BE88&lt;=0,0,IF(ROUND(BE88*(1+'Calc base'!S89),2)-MAX('Calc base'!N$12,ROUND('Calc base'!N$13*BE88,2))&lt;1,ROUND(BE88*(1+'Calc base'!S89),2),MAX('Calc base'!N$12,ROUND('Calc base'!N$13*BE88,2))))</f>
        <v>0</v>
      </c>
      <c r="V89">
        <f>MAX(0,ROUND(AT88*(1+'Calc base'!H89),2)-J89-'Calc base'!T89)</f>
        <v>0</v>
      </c>
      <c r="W89">
        <f>MAX(0,ROUND(AU88*(1+'Calc base'!I89),2)-K89-'Calc base'!U89)</f>
        <v>0</v>
      </c>
      <c r="X89">
        <f>MAX(0,ROUND(AV88*(1+'Calc base'!J89),2)-L89-'Calc base'!V89)</f>
        <v>0</v>
      </c>
      <c r="Y89">
        <f>MAX(0,ROUND(AW88*(1+'Calc base'!K89),2)-M89-'Calc base'!W89)</f>
        <v>0</v>
      </c>
      <c r="Z89">
        <f>MAX(0,ROUND(AX88*(1+'Calc base'!L89),2)-N89-'Calc base'!X89)</f>
        <v>0</v>
      </c>
      <c r="AA89">
        <f>MAX(0,ROUND(AY88*(1+'Calc base'!M89),2)-O89-'Calc base'!Y89)</f>
        <v>0</v>
      </c>
      <c r="AB89">
        <f>MAX(0,ROUND(AZ88*(1+'Calc base'!N89),2)-P89-'Calc base'!Z89)</f>
        <v>0</v>
      </c>
      <c r="AC89">
        <f>MAX(0,ROUND(BA88*(1+'Calc base'!O89),2)-Q89-'Calc base'!AA89)</f>
        <v>0</v>
      </c>
      <c r="AD89">
        <f>MAX(0,ROUND(BB88*(1+'Calc base'!P89),2)-R89-'Calc base'!AB89)</f>
        <v>0</v>
      </c>
      <c r="AE89">
        <f>MAX(0,ROUND(BC88*(1+'Calc base'!Q89),2)-S89-'Calc base'!AC89)</f>
        <v>0</v>
      </c>
      <c r="AF89">
        <f>MAX(0,ROUND(BD88*(1+'Calc base'!R89),2)-T89-'Calc base'!AD89)</f>
        <v>0</v>
      </c>
      <c r="AG89">
        <f>MAX(0,ROUND(BE88*(1+'Calc base'!S89),2)-U89-'Calc base'!AE89)</f>
        <v>0</v>
      </c>
      <c r="AH89">
        <f>IF('Calc base'!C$14=0,0,MIN(V89,MAX(0,$E89-SUMIFS($V89:$AG89,'Calc base'!$C$19:$N$19,"&lt;"&amp;'Calc base'!C$19,'Calc base'!$C$14:$N$14,1))))</f>
        <v>0</v>
      </c>
      <c r="AI89">
        <f>IF('Calc base'!D$14=0,0,MIN(W89,MAX(0,$E89-SUMIFS($V89:$AG89,'Calc base'!$C$19:$N$19,"&lt;"&amp;'Calc base'!D$19,'Calc base'!$C$14:$N$14,1))))</f>
        <v>0</v>
      </c>
      <c r="AJ89">
        <f>IF('Calc base'!E$14=0,0,MIN(X89,MAX(0,$E89-SUMIFS($V89:$AG89,'Calc base'!$C$19:$N$19,"&lt;"&amp;'Calc base'!E$19,'Calc base'!$C$14:$N$14,1))))</f>
        <v>0</v>
      </c>
      <c r="AK89">
        <f>IF('Calc base'!F$14=0,0,MIN(Y89,MAX(0,$E89-SUMIFS($V89:$AG89,'Calc base'!$C$19:$N$19,"&lt;"&amp;'Calc base'!F$19,'Calc base'!$C$14:$N$14,1))))</f>
        <v>0</v>
      </c>
      <c r="AL89">
        <f>IF('Calc base'!G$14=0,0,MIN(Z89,MAX(0,$E89-SUMIFS($V89:$AG89,'Calc base'!$C$19:$N$19,"&lt;"&amp;'Calc base'!G$19,'Calc base'!$C$14:$N$14,1))))</f>
        <v>0</v>
      </c>
      <c r="AM89">
        <f>IF('Calc base'!H$14=0,0,MIN(AA89,MAX(0,$E89-SUMIFS($V89:$AG89,'Calc base'!$C$19:$N$19,"&lt;"&amp;'Calc base'!H$19,'Calc base'!$C$14:$N$14,1))))</f>
        <v>0</v>
      </c>
      <c r="AN89">
        <f>IF('Calc base'!I$14=0,0,MIN(AB89,MAX(0,$E89-SUMIFS($V89:$AG89,'Calc base'!$C$19:$N$19,"&lt;"&amp;'Calc base'!I$19,'Calc base'!$C$14:$N$14,1))))</f>
        <v>0</v>
      </c>
      <c r="AO89">
        <f>IF('Calc base'!J$14=0,0,MIN(AC89,MAX(0,$E89-SUMIFS($V89:$AG89,'Calc base'!$C$19:$N$19,"&lt;"&amp;'Calc base'!J$19,'Calc base'!$C$14:$N$14,1))))</f>
        <v>0</v>
      </c>
      <c r="AP89">
        <f>IF('Calc base'!K$14=0,0,MIN(AD89,MAX(0,$E89-SUMIFS($V89:$AG89,'Calc base'!$C$19:$N$19,"&lt;"&amp;'Calc base'!K$19,'Calc base'!$C$14:$N$14,1))))</f>
        <v>0</v>
      </c>
      <c r="AQ89">
        <f>IF('Calc base'!L$14=0,0,MIN(AE89,MAX(0,$E89-SUMIFS($V89:$AG89,'Calc base'!$C$19:$N$19,"&lt;"&amp;'Calc base'!L$19,'Calc base'!$C$14:$N$14,1))))</f>
        <v>0</v>
      </c>
      <c r="AR89">
        <f>IF('Calc base'!M$14=0,0,MIN(AF89,MAX(0,$E89-SUMIFS($V89:$AG89,'Calc base'!$C$19:$N$19,"&lt;"&amp;'Calc base'!M$19,'Calc base'!$C$14:$N$14,1))))</f>
        <v>0</v>
      </c>
      <c r="AS89">
        <f>IF('Calc base'!N$14=0,0,MIN(AG89,MAX(0,$E89-SUMIFS($V89:$AG89,'Calc base'!$C$19:$N$19,"&lt;"&amp;'Calc base'!N$19,'Calc base'!$C$14:$N$14,1))))</f>
        <v>0</v>
      </c>
      <c r="AT89">
        <f>V89-AH89</f>
        <v>0</v>
      </c>
      <c r="AU89">
        <f>W89-AI89</f>
        <v>0</v>
      </c>
      <c r="AV89">
        <f>X89-AJ89</f>
        <v>0</v>
      </c>
      <c r="AW89">
        <f>Y89-AK89</f>
        <v>0</v>
      </c>
      <c r="AX89">
        <f>Z89-AL89</f>
        <v>0</v>
      </c>
      <c r="AY89">
        <f>AA89-AM89</f>
        <v>0</v>
      </c>
      <c r="AZ89">
        <f>AB89-AN89</f>
        <v>0</v>
      </c>
      <c r="BA89">
        <f>AC89-AO89</f>
        <v>0</v>
      </c>
      <c r="BB89">
        <f>AD89-AP89</f>
        <v>0</v>
      </c>
      <c r="BC89">
        <f>AE89-AQ89</f>
        <v>0</v>
      </c>
      <c r="BD89">
        <f>AF89-AR89</f>
        <v>0</v>
      </c>
      <c r="BE89">
        <f>AG89-AS89</f>
        <v>0</v>
      </c>
    </row>
    <row r="90">
      <c r="A90" t="n">
        <v>60</v>
      </c>
      <c r="B90">
        <f>SUMPRODUCT(ROUND($AT89:$BE89*(1+'Calc base'!$H90:$S90),2))</f>
        <v>0</v>
      </c>
      <c r="C90">
        <f>SUM(J90:U90)</f>
        <v>0</v>
      </c>
      <c r="D90">
        <f>SUM(V90:AG90)</f>
        <v>0</v>
      </c>
      <c r="E90">
        <f>MAX(0,IF(Impostazioni!$B$7="No",'Calc base'!$C90-$C$31,'Calc base'!$C90-C90)+'Calc base'!$G90+'Calc base'!$F90-(B90-C90-D90))</f>
        <v>900</v>
      </c>
      <c r="F90">
        <f>SUM(AH90:AS90)</f>
        <v>0</v>
      </c>
      <c r="G90">
        <f>SUM(AT90:BE90)</f>
        <v>0</v>
      </c>
      <c r="H90">
        <f>B90-G89</f>
        <v>0</v>
      </c>
      <c r="I90">
        <f>B90-G90</f>
        <v>0</v>
      </c>
      <c r="J90">
        <f>IF(AT89&lt;=0,0,IF(ROUND(AT89*(1+'Calc base'!H90),2)-MAX('Calc base'!C$12,ROUND('Calc base'!C$13*AT89,2))&lt;1,ROUND(AT89*(1+'Calc base'!H90),2),MAX('Calc base'!C$12,ROUND('Calc base'!C$13*AT89,2))))</f>
        <v>0</v>
      </c>
      <c r="K90">
        <f>IF(AU89&lt;=0,0,IF(ROUND(AU89*(1+'Calc base'!I90),2)-MAX('Calc base'!D$12,ROUND('Calc base'!D$13*AU89,2))&lt;1,ROUND(AU89*(1+'Calc base'!I90),2),MAX('Calc base'!D$12,ROUND('Calc base'!D$13*AU89,2))))</f>
        <v>0</v>
      </c>
      <c r="L90">
        <f>IF(AV89&lt;=0,0,IF(ROUND(AV89*(1+'Calc base'!J90),2)-MAX('Calc base'!E$12,ROUND('Calc base'!E$13*AV89,2))&lt;1,ROUND(AV89*(1+'Calc base'!J90),2),MAX('Calc base'!E$12,ROUND('Calc base'!E$13*AV89,2))))</f>
        <v>0</v>
      </c>
      <c r="M90">
        <f>IF(AW89&lt;=0,0,IF(ROUND(AW89*(1+'Calc base'!K90),2)-MAX('Calc base'!F$12,ROUND('Calc base'!F$13*AW89,2))&lt;1,ROUND(AW89*(1+'Calc base'!K90),2),MAX('Calc base'!F$12,ROUND('Calc base'!F$13*AW89,2))))</f>
        <v>0</v>
      </c>
      <c r="N90">
        <f>IF(AX89&lt;=0,0,IF(ROUND(AX89*(1+'Calc base'!L90),2)-MAX('Calc base'!G$12,ROUND('Calc base'!G$13*AX89,2))&lt;1,ROUND(AX89*(1+'Calc base'!L90),2),MAX('Calc base'!G$12,ROUND('Calc base'!G$13*AX89,2))))</f>
        <v>0</v>
      </c>
      <c r="O90">
        <f>IF(AY89&lt;=0,0,IF(ROUND(AY89*(1+'Calc base'!M90),2)-MAX('Calc base'!H$12,ROUND('Calc base'!H$13*AY89,2))&lt;1,ROUND(AY89*(1+'Calc base'!M90),2),MAX('Calc base'!H$12,ROUND('Calc base'!H$13*AY89,2))))</f>
        <v>0</v>
      </c>
      <c r="P90">
        <f>IF(AZ89&lt;=0,0,IF(ROUND(AZ89*(1+'Calc base'!N90),2)-MAX('Calc base'!I$12,ROUND('Calc base'!I$13*AZ89,2))&lt;1,ROUND(AZ89*(1+'Calc base'!N90),2),MAX('Calc base'!I$12,ROUND('Calc base'!I$13*AZ89,2))))</f>
        <v>0</v>
      </c>
      <c r="Q90">
        <f>IF(BA89&lt;=0,0,IF(ROUND(BA89*(1+'Calc base'!O90),2)-MAX('Calc base'!J$12,ROUND('Calc base'!J$13*BA89,2))&lt;1,ROUND(BA89*(1+'Calc base'!O90),2),MAX('Calc base'!J$12,ROUND('Calc base'!J$13*BA89,2))))</f>
        <v>0</v>
      </c>
      <c r="R90">
        <f>IF(BB89&lt;=0,0,IF(ROUND(BB89*(1+'Calc base'!P90),2)-MAX('Calc base'!K$12,ROUND('Calc base'!K$13*BB89,2))&lt;1,ROUND(BB89*(1+'Calc base'!P90),2),MAX('Calc base'!K$12,ROUND('Calc base'!K$13*BB89,2))))</f>
        <v>0</v>
      </c>
      <c r="S90">
        <f>IF(BC89&lt;=0,0,IF(ROUND(BC89*(1+'Calc base'!Q90),2)-MAX('Calc base'!L$12,ROUND('Calc base'!L$13*BC89,2))&lt;1,ROUND(BC89*(1+'Calc base'!Q90),2),MAX('Calc base'!L$12,ROUND('Calc base'!L$13*BC89,2))))</f>
        <v>0</v>
      </c>
      <c r="T90">
        <f>IF(BD89&lt;=0,0,IF(ROUND(BD89*(1+'Calc base'!R90),2)-MAX('Calc base'!M$12,ROUND('Calc base'!M$13*BD89,2))&lt;1,ROUND(BD89*(1+'Calc base'!R90),2),MAX('Calc base'!M$12,ROUND('Calc base'!M$13*BD89,2))))</f>
        <v>0</v>
      </c>
      <c r="U90">
        <f>IF(BE89&lt;=0,0,IF(ROUND(BE89*(1+'Calc base'!S90),2)-MAX('Calc base'!N$12,ROUND('Calc base'!N$13*BE89,2))&lt;1,ROUND(BE89*(1+'Calc base'!S90),2),MAX('Calc base'!N$12,ROUND('Calc base'!N$13*BE89,2))))</f>
        <v>0</v>
      </c>
      <c r="V90">
        <f>MAX(0,ROUND(AT89*(1+'Calc base'!H90),2)-J90-'Calc base'!T90)</f>
        <v>0</v>
      </c>
      <c r="W90">
        <f>MAX(0,ROUND(AU89*(1+'Calc base'!I90),2)-K90-'Calc base'!U90)</f>
        <v>0</v>
      </c>
      <c r="X90">
        <f>MAX(0,ROUND(AV89*(1+'Calc base'!J90),2)-L90-'Calc base'!V90)</f>
        <v>0</v>
      </c>
      <c r="Y90">
        <f>MAX(0,ROUND(AW89*(1+'Calc base'!K90),2)-M90-'Calc base'!W90)</f>
        <v>0</v>
      </c>
      <c r="Z90">
        <f>MAX(0,ROUND(AX89*(1+'Calc base'!L90),2)-N90-'Calc base'!X90)</f>
        <v>0</v>
      </c>
      <c r="AA90">
        <f>MAX(0,ROUND(AY89*(1+'Calc base'!M90),2)-O90-'Calc base'!Y90)</f>
        <v>0</v>
      </c>
      <c r="AB90">
        <f>MAX(0,ROUND(AZ89*(1+'Calc base'!N90),2)-P90-'Calc base'!Z90)</f>
        <v>0</v>
      </c>
      <c r="AC90">
        <f>MAX(0,ROUND(BA89*(1+'Calc base'!O90),2)-Q90-'Calc base'!AA90)</f>
        <v>0</v>
      </c>
      <c r="AD90">
        <f>MAX(0,ROUND(BB89*(1+'Calc base'!P90),2)-R90-'Calc base'!AB90)</f>
        <v>0</v>
      </c>
      <c r="AE90">
        <f>MAX(0,ROUND(BC89*(1+'Calc base'!Q90),2)-S90-'Calc base'!AC90)</f>
        <v>0</v>
      </c>
      <c r="AF90">
        <f>MAX(0,ROUND(BD89*(1+'Calc base'!R90),2)-T90-'Calc base'!AD90)</f>
        <v>0</v>
      </c>
      <c r="AG90">
        <f>MAX(0,ROUND(BE89*(1+'Calc base'!S90),2)-U90-'Calc base'!AE90)</f>
        <v>0</v>
      </c>
      <c r="AH90">
        <f>IF('Calc base'!C$14=0,0,MIN(V90,MAX(0,$E90-SUMIFS($V90:$AG90,'Calc base'!$C$19:$N$19,"&lt;"&amp;'Calc base'!C$19,'Calc base'!$C$14:$N$14,1))))</f>
        <v>0</v>
      </c>
      <c r="AI90">
        <f>IF('Calc base'!D$14=0,0,MIN(W90,MAX(0,$E90-SUMIFS($V90:$AG90,'Calc base'!$C$19:$N$19,"&lt;"&amp;'Calc base'!D$19,'Calc base'!$C$14:$N$14,1))))</f>
        <v>0</v>
      </c>
      <c r="AJ90">
        <f>IF('Calc base'!E$14=0,0,MIN(X90,MAX(0,$E90-SUMIFS($V90:$AG90,'Calc base'!$C$19:$N$19,"&lt;"&amp;'Calc base'!E$19,'Calc base'!$C$14:$N$14,1))))</f>
        <v>0</v>
      </c>
      <c r="AK90">
        <f>IF('Calc base'!F$14=0,0,MIN(Y90,MAX(0,$E90-SUMIFS($V90:$AG90,'Calc base'!$C$19:$N$19,"&lt;"&amp;'Calc base'!F$19,'Calc base'!$C$14:$N$14,1))))</f>
        <v>0</v>
      </c>
      <c r="AL90">
        <f>IF('Calc base'!G$14=0,0,MIN(Z90,MAX(0,$E90-SUMIFS($V90:$AG90,'Calc base'!$C$19:$N$19,"&lt;"&amp;'Calc base'!G$19,'Calc base'!$C$14:$N$14,1))))</f>
        <v>0</v>
      </c>
      <c r="AM90">
        <f>IF('Calc base'!H$14=0,0,MIN(AA90,MAX(0,$E90-SUMIFS($V90:$AG90,'Calc base'!$C$19:$N$19,"&lt;"&amp;'Calc base'!H$19,'Calc base'!$C$14:$N$14,1))))</f>
        <v>0</v>
      </c>
      <c r="AN90">
        <f>IF('Calc base'!I$14=0,0,MIN(AB90,MAX(0,$E90-SUMIFS($V90:$AG90,'Calc base'!$C$19:$N$19,"&lt;"&amp;'Calc base'!I$19,'Calc base'!$C$14:$N$14,1))))</f>
        <v>0</v>
      </c>
      <c r="AO90">
        <f>IF('Calc base'!J$14=0,0,MIN(AC90,MAX(0,$E90-SUMIFS($V90:$AG90,'Calc base'!$C$19:$N$19,"&lt;"&amp;'Calc base'!J$19,'Calc base'!$C$14:$N$14,1))))</f>
        <v>0</v>
      </c>
      <c r="AP90">
        <f>IF('Calc base'!K$14=0,0,MIN(AD90,MAX(0,$E90-SUMIFS($V90:$AG90,'Calc base'!$C$19:$N$19,"&lt;"&amp;'Calc base'!K$19,'Calc base'!$C$14:$N$14,1))))</f>
        <v>0</v>
      </c>
      <c r="AQ90">
        <f>IF('Calc base'!L$14=0,0,MIN(AE90,MAX(0,$E90-SUMIFS($V90:$AG90,'Calc base'!$C$19:$N$19,"&lt;"&amp;'Calc base'!L$19,'Calc base'!$C$14:$N$14,1))))</f>
        <v>0</v>
      </c>
      <c r="AR90">
        <f>IF('Calc base'!M$14=0,0,MIN(AF90,MAX(0,$E90-SUMIFS($V90:$AG90,'Calc base'!$C$19:$N$19,"&lt;"&amp;'Calc base'!M$19,'Calc base'!$C$14:$N$14,1))))</f>
        <v>0</v>
      </c>
      <c r="AS90">
        <f>IF('Calc base'!N$14=0,0,MIN(AG90,MAX(0,$E90-SUMIFS($V90:$AG90,'Calc base'!$C$19:$N$19,"&lt;"&amp;'Calc base'!N$19,'Calc base'!$C$14:$N$14,1))))</f>
        <v>0</v>
      </c>
      <c r="AT90">
        <f>V90-AH90</f>
        <v>0</v>
      </c>
      <c r="AU90">
        <f>W90-AI90</f>
        <v>0</v>
      </c>
      <c r="AV90">
        <f>X90-AJ90</f>
        <v>0</v>
      </c>
      <c r="AW90">
        <f>Y90-AK90</f>
        <v>0</v>
      </c>
      <c r="AX90">
        <f>Z90-AL90</f>
        <v>0</v>
      </c>
      <c r="AY90">
        <f>AA90-AM90</f>
        <v>0</v>
      </c>
      <c r="AZ90">
        <f>AB90-AN90</f>
        <v>0</v>
      </c>
      <c r="BA90">
        <f>AC90-AO90</f>
        <v>0</v>
      </c>
      <c r="BB90">
        <f>AD90-AP90</f>
        <v>0</v>
      </c>
      <c r="BC90">
        <f>AE90-AQ90</f>
        <v>0</v>
      </c>
      <c r="BD90">
        <f>AF90-AR90</f>
        <v>0</v>
      </c>
      <c r="BE90">
        <f>AG90-AS90</f>
        <v>0</v>
      </c>
    </row>
    <row r="91">
      <c r="A91" t="n">
        <v>61</v>
      </c>
      <c r="B91">
        <f>SUMPRODUCT(ROUND($AT90:$BE90*(1+'Calc base'!$H91:$S91),2))</f>
        <v>0</v>
      </c>
      <c r="C91">
        <f>SUM(J91:U91)</f>
        <v>0</v>
      </c>
      <c r="D91">
        <f>SUM(V91:AG91)</f>
        <v>0</v>
      </c>
      <c r="E91">
        <f>MAX(0,IF(Impostazioni!$B$7="No",'Calc base'!$C91-$C$31,'Calc base'!$C91-C91)+'Calc base'!$G91+'Calc base'!$F91-(B91-C91-D91))</f>
        <v>900</v>
      </c>
      <c r="F91">
        <f>SUM(AH91:AS91)</f>
        <v>0</v>
      </c>
      <c r="G91">
        <f>SUM(AT91:BE91)</f>
        <v>0</v>
      </c>
      <c r="H91">
        <f>B91-G90</f>
        <v>0</v>
      </c>
      <c r="I91">
        <f>B91-G91</f>
        <v>0</v>
      </c>
      <c r="J91">
        <f>IF(AT90&lt;=0,0,IF(ROUND(AT90*(1+'Calc base'!H91),2)-MAX('Calc base'!C$12,ROUND('Calc base'!C$13*AT90,2))&lt;1,ROUND(AT90*(1+'Calc base'!H91),2),MAX('Calc base'!C$12,ROUND('Calc base'!C$13*AT90,2))))</f>
        <v>0</v>
      </c>
      <c r="K91">
        <f>IF(AU90&lt;=0,0,IF(ROUND(AU90*(1+'Calc base'!I91),2)-MAX('Calc base'!D$12,ROUND('Calc base'!D$13*AU90,2))&lt;1,ROUND(AU90*(1+'Calc base'!I91),2),MAX('Calc base'!D$12,ROUND('Calc base'!D$13*AU90,2))))</f>
        <v>0</v>
      </c>
      <c r="L91">
        <f>IF(AV90&lt;=0,0,IF(ROUND(AV90*(1+'Calc base'!J91),2)-MAX('Calc base'!E$12,ROUND('Calc base'!E$13*AV90,2))&lt;1,ROUND(AV90*(1+'Calc base'!J91),2),MAX('Calc base'!E$12,ROUND('Calc base'!E$13*AV90,2))))</f>
        <v>0</v>
      </c>
      <c r="M91">
        <f>IF(AW90&lt;=0,0,IF(ROUND(AW90*(1+'Calc base'!K91),2)-MAX('Calc base'!F$12,ROUND('Calc base'!F$13*AW90,2))&lt;1,ROUND(AW90*(1+'Calc base'!K91),2),MAX('Calc base'!F$12,ROUND('Calc base'!F$13*AW90,2))))</f>
        <v>0</v>
      </c>
      <c r="N91">
        <f>IF(AX90&lt;=0,0,IF(ROUND(AX90*(1+'Calc base'!L91),2)-MAX('Calc base'!G$12,ROUND('Calc base'!G$13*AX90,2))&lt;1,ROUND(AX90*(1+'Calc base'!L91),2),MAX('Calc base'!G$12,ROUND('Calc base'!G$13*AX90,2))))</f>
        <v>0</v>
      </c>
      <c r="O91">
        <f>IF(AY90&lt;=0,0,IF(ROUND(AY90*(1+'Calc base'!M91),2)-MAX('Calc base'!H$12,ROUND('Calc base'!H$13*AY90,2))&lt;1,ROUND(AY90*(1+'Calc base'!M91),2),MAX('Calc base'!H$12,ROUND('Calc base'!H$13*AY90,2))))</f>
        <v>0</v>
      </c>
      <c r="P91">
        <f>IF(AZ90&lt;=0,0,IF(ROUND(AZ90*(1+'Calc base'!N91),2)-MAX('Calc base'!I$12,ROUND('Calc base'!I$13*AZ90,2))&lt;1,ROUND(AZ90*(1+'Calc base'!N91),2),MAX('Calc base'!I$12,ROUND('Calc base'!I$13*AZ90,2))))</f>
        <v>0</v>
      </c>
      <c r="Q91">
        <f>IF(BA90&lt;=0,0,IF(ROUND(BA90*(1+'Calc base'!O91),2)-MAX('Calc base'!J$12,ROUND('Calc base'!J$13*BA90,2))&lt;1,ROUND(BA90*(1+'Calc base'!O91),2),MAX('Calc base'!J$12,ROUND('Calc base'!J$13*BA90,2))))</f>
        <v>0</v>
      </c>
      <c r="R91">
        <f>IF(BB90&lt;=0,0,IF(ROUND(BB90*(1+'Calc base'!P91),2)-MAX('Calc base'!K$12,ROUND('Calc base'!K$13*BB90,2))&lt;1,ROUND(BB90*(1+'Calc base'!P91),2),MAX('Calc base'!K$12,ROUND('Calc base'!K$13*BB90,2))))</f>
        <v>0</v>
      </c>
      <c r="S91">
        <f>IF(BC90&lt;=0,0,IF(ROUND(BC90*(1+'Calc base'!Q91),2)-MAX('Calc base'!L$12,ROUND('Calc base'!L$13*BC90,2))&lt;1,ROUND(BC90*(1+'Calc base'!Q91),2),MAX('Calc base'!L$12,ROUND('Calc base'!L$13*BC90,2))))</f>
        <v>0</v>
      </c>
      <c r="T91">
        <f>IF(BD90&lt;=0,0,IF(ROUND(BD90*(1+'Calc base'!R91),2)-MAX('Calc base'!M$12,ROUND('Calc base'!M$13*BD90,2))&lt;1,ROUND(BD90*(1+'Calc base'!R91),2),MAX('Calc base'!M$12,ROUND('Calc base'!M$13*BD90,2))))</f>
        <v>0</v>
      </c>
      <c r="U91">
        <f>IF(BE90&lt;=0,0,IF(ROUND(BE90*(1+'Calc base'!S91),2)-MAX('Calc base'!N$12,ROUND('Calc base'!N$13*BE90,2))&lt;1,ROUND(BE90*(1+'Calc base'!S91),2),MAX('Calc base'!N$12,ROUND('Calc base'!N$13*BE90,2))))</f>
        <v>0</v>
      </c>
      <c r="V91">
        <f>MAX(0,ROUND(AT90*(1+'Calc base'!H91),2)-J91-'Calc base'!T91)</f>
        <v>0</v>
      </c>
      <c r="W91">
        <f>MAX(0,ROUND(AU90*(1+'Calc base'!I91),2)-K91-'Calc base'!U91)</f>
        <v>0</v>
      </c>
      <c r="X91">
        <f>MAX(0,ROUND(AV90*(1+'Calc base'!J91),2)-L91-'Calc base'!V91)</f>
        <v>0</v>
      </c>
      <c r="Y91">
        <f>MAX(0,ROUND(AW90*(1+'Calc base'!K91),2)-M91-'Calc base'!W91)</f>
        <v>0</v>
      </c>
      <c r="Z91">
        <f>MAX(0,ROUND(AX90*(1+'Calc base'!L91),2)-N91-'Calc base'!X91)</f>
        <v>0</v>
      </c>
      <c r="AA91">
        <f>MAX(0,ROUND(AY90*(1+'Calc base'!M91),2)-O91-'Calc base'!Y91)</f>
        <v>0</v>
      </c>
      <c r="AB91">
        <f>MAX(0,ROUND(AZ90*(1+'Calc base'!N91),2)-P91-'Calc base'!Z91)</f>
        <v>0</v>
      </c>
      <c r="AC91">
        <f>MAX(0,ROUND(BA90*(1+'Calc base'!O91),2)-Q91-'Calc base'!AA91)</f>
        <v>0</v>
      </c>
      <c r="AD91">
        <f>MAX(0,ROUND(BB90*(1+'Calc base'!P91),2)-R91-'Calc base'!AB91)</f>
        <v>0</v>
      </c>
      <c r="AE91">
        <f>MAX(0,ROUND(BC90*(1+'Calc base'!Q91),2)-S91-'Calc base'!AC91)</f>
        <v>0</v>
      </c>
      <c r="AF91">
        <f>MAX(0,ROUND(BD90*(1+'Calc base'!R91),2)-T91-'Calc base'!AD91)</f>
        <v>0</v>
      </c>
      <c r="AG91">
        <f>MAX(0,ROUND(BE90*(1+'Calc base'!S91),2)-U91-'Calc base'!AE91)</f>
        <v>0</v>
      </c>
      <c r="AH91">
        <f>IF('Calc base'!C$14=0,0,MIN(V91,MAX(0,$E91-SUMIFS($V91:$AG91,'Calc base'!$C$19:$N$19,"&lt;"&amp;'Calc base'!C$19,'Calc base'!$C$14:$N$14,1))))</f>
        <v>0</v>
      </c>
      <c r="AI91">
        <f>IF('Calc base'!D$14=0,0,MIN(W91,MAX(0,$E91-SUMIFS($V91:$AG91,'Calc base'!$C$19:$N$19,"&lt;"&amp;'Calc base'!D$19,'Calc base'!$C$14:$N$14,1))))</f>
        <v>0</v>
      </c>
      <c r="AJ91">
        <f>IF('Calc base'!E$14=0,0,MIN(X91,MAX(0,$E91-SUMIFS($V91:$AG91,'Calc base'!$C$19:$N$19,"&lt;"&amp;'Calc base'!E$19,'Calc base'!$C$14:$N$14,1))))</f>
        <v>0</v>
      </c>
      <c r="AK91">
        <f>IF('Calc base'!F$14=0,0,MIN(Y91,MAX(0,$E91-SUMIFS($V91:$AG91,'Calc base'!$C$19:$N$19,"&lt;"&amp;'Calc base'!F$19,'Calc base'!$C$14:$N$14,1))))</f>
        <v>0</v>
      </c>
      <c r="AL91">
        <f>IF('Calc base'!G$14=0,0,MIN(Z91,MAX(0,$E91-SUMIFS($V91:$AG91,'Calc base'!$C$19:$N$19,"&lt;"&amp;'Calc base'!G$19,'Calc base'!$C$14:$N$14,1))))</f>
        <v>0</v>
      </c>
      <c r="AM91">
        <f>IF('Calc base'!H$14=0,0,MIN(AA91,MAX(0,$E91-SUMIFS($V91:$AG91,'Calc base'!$C$19:$N$19,"&lt;"&amp;'Calc base'!H$19,'Calc base'!$C$14:$N$14,1))))</f>
        <v>0</v>
      </c>
      <c r="AN91">
        <f>IF('Calc base'!I$14=0,0,MIN(AB91,MAX(0,$E91-SUMIFS($V91:$AG91,'Calc base'!$C$19:$N$19,"&lt;"&amp;'Calc base'!I$19,'Calc base'!$C$14:$N$14,1))))</f>
        <v>0</v>
      </c>
      <c r="AO91">
        <f>IF('Calc base'!J$14=0,0,MIN(AC91,MAX(0,$E91-SUMIFS($V91:$AG91,'Calc base'!$C$19:$N$19,"&lt;"&amp;'Calc base'!J$19,'Calc base'!$C$14:$N$14,1))))</f>
        <v>0</v>
      </c>
      <c r="AP91">
        <f>IF('Calc base'!K$14=0,0,MIN(AD91,MAX(0,$E91-SUMIFS($V91:$AG91,'Calc base'!$C$19:$N$19,"&lt;"&amp;'Calc base'!K$19,'Calc base'!$C$14:$N$14,1))))</f>
        <v>0</v>
      </c>
      <c r="AQ91">
        <f>IF('Calc base'!L$14=0,0,MIN(AE91,MAX(0,$E91-SUMIFS($V91:$AG91,'Calc base'!$C$19:$N$19,"&lt;"&amp;'Calc base'!L$19,'Calc base'!$C$14:$N$14,1))))</f>
        <v>0</v>
      </c>
      <c r="AR91">
        <f>IF('Calc base'!M$14=0,0,MIN(AF91,MAX(0,$E91-SUMIFS($V91:$AG91,'Calc base'!$C$19:$N$19,"&lt;"&amp;'Calc base'!M$19,'Calc base'!$C$14:$N$14,1))))</f>
        <v>0</v>
      </c>
      <c r="AS91">
        <f>IF('Calc base'!N$14=0,0,MIN(AG91,MAX(0,$E91-SUMIFS($V91:$AG91,'Calc base'!$C$19:$N$19,"&lt;"&amp;'Calc base'!N$19,'Calc base'!$C$14:$N$14,1))))</f>
        <v>0</v>
      </c>
      <c r="AT91">
        <f>V91-AH91</f>
        <v>0</v>
      </c>
      <c r="AU91">
        <f>W91-AI91</f>
        <v>0</v>
      </c>
      <c r="AV91">
        <f>X91-AJ91</f>
        <v>0</v>
      </c>
      <c r="AW91">
        <f>Y91-AK91</f>
        <v>0</v>
      </c>
      <c r="AX91">
        <f>Z91-AL91</f>
        <v>0</v>
      </c>
      <c r="AY91">
        <f>AA91-AM91</f>
        <v>0</v>
      </c>
      <c r="AZ91">
        <f>AB91-AN91</f>
        <v>0</v>
      </c>
      <c r="BA91">
        <f>AC91-AO91</f>
        <v>0</v>
      </c>
      <c r="BB91">
        <f>AD91-AP91</f>
        <v>0</v>
      </c>
      <c r="BC91">
        <f>AE91-AQ91</f>
        <v>0</v>
      </c>
      <c r="BD91">
        <f>AF91-AR91</f>
        <v>0</v>
      </c>
      <c r="BE91">
        <f>AG91-AS91</f>
        <v>0</v>
      </c>
    </row>
    <row r="92">
      <c r="A92" t="n">
        <v>62</v>
      </c>
      <c r="B92">
        <f>SUMPRODUCT(ROUND($AT91:$BE91*(1+'Calc base'!$H92:$S92),2))</f>
        <v>0</v>
      </c>
      <c r="C92">
        <f>SUM(J92:U92)</f>
        <v>0</v>
      </c>
      <c r="D92">
        <f>SUM(V92:AG92)</f>
        <v>0</v>
      </c>
      <c r="E92">
        <f>MAX(0,IF(Impostazioni!$B$7="No",'Calc base'!$C92-$C$31,'Calc base'!$C92-C92)+'Calc base'!$G92+'Calc base'!$F92-(B92-C92-D92))</f>
        <v>900</v>
      </c>
      <c r="F92">
        <f>SUM(AH92:AS92)</f>
        <v>0</v>
      </c>
      <c r="G92">
        <f>SUM(AT92:BE92)</f>
        <v>0</v>
      </c>
      <c r="H92">
        <f>B92-G91</f>
        <v>0</v>
      </c>
      <c r="I92">
        <f>B92-G92</f>
        <v>0</v>
      </c>
      <c r="J92">
        <f>IF(AT91&lt;=0,0,IF(ROUND(AT91*(1+'Calc base'!H92),2)-MAX('Calc base'!C$12,ROUND('Calc base'!C$13*AT91,2))&lt;1,ROUND(AT91*(1+'Calc base'!H92),2),MAX('Calc base'!C$12,ROUND('Calc base'!C$13*AT91,2))))</f>
        <v>0</v>
      </c>
      <c r="K92">
        <f>IF(AU91&lt;=0,0,IF(ROUND(AU91*(1+'Calc base'!I92),2)-MAX('Calc base'!D$12,ROUND('Calc base'!D$13*AU91,2))&lt;1,ROUND(AU91*(1+'Calc base'!I92),2),MAX('Calc base'!D$12,ROUND('Calc base'!D$13*AU91,2))))</f>
        <v>0</v>
      </c>
      <c r="L92">
        <f>IF(AV91&lt;=0,0,IF(ROUND(AV91*(1+'Calc base'!J92),2)-MAX('Calc base'!E$12,ROUND('Calc base'!E$13*AV91,2))&lt;1,ROUND(AV91*(1+'Calc base'!J92),2),MAX('Calc base'!E$12,ROUND('Calc base'!E$13*AV91,2))))</f>
        <v>0</v>
      </c>
      <c r="M92">
        <f>IF(AW91&lt;=0,0,IF(ROUND(AW91*(1+'Calc base'!K92),2)-MAX('Calc base'!F$12,ROUND('Calc base'!F$13*AW91,2))&lt;1,ROUND(AW91*(1+'Calc base'!K92),2),MAX('Calc base'!F$12,ROUND('Calc base'!F$13*AW91,2))))</f>
        <v>0</v>
      </c>
      <c r="N92">
        <f>IF(AX91&lt;=0,0,IF(ROUND(AX91*(1+'Calc base'!L92),2)-MAX('Calc base'!G$12,ROUND('Calc base'!G$13*AX91,2))&lt;1,ROUND(AX91*(1+'Calc base'!L92),2),MAX('Calc base'!G$12,ROUND('Calc base'!G$13*AX91,2))))</f>
        <v>0</v>
      </c>
      <c r="O92">
        <f>IF(AY91&lt;=0,0,IF(ROUND(AY91*(1+'Calc base'!M92),2)-MAX('Calc base'!H$12,ROUND('Calc base'!H$13*AY91,2))&lt;1,ROUND(AY91*(1+'Calc base'!M92),2),MAX('Calc base'!H$12,ROUND('Calc base'!H$13*AY91,2))))</f>
        <v>0</v>
      </c>
      <c r="P92">
        <f>IF(AZ91&lt;=0,0,IF(ROUND(AZ91*(1+'Calc base'!N92),2)-MAX('Calc base'!I$12,ROUND('Calc base'!I$13*AZ91,2))&lt;1,ROUND(AZ91*(1+'Calc base'!N92),2),MAX('Calc base'!I$12,ROUND('Calc base'!I$13*AZ91,2))))</f>
        <v>0</v>
      </c>
      <c r="Q92">
        <f>IF(BA91&lt;=0,0,IF(ROUND(BA91*(1+'Calc base'!O92),2)-MAX('Calc base'!J$12,ROUND('Calc base'!J$13*BA91,2))&lt;1,ROUND(BA91*(1+'Calc base'!O92),2),MAX('Calc base'!J$12,ROUND('Calc base'!J$13*BA91,2))))</f>
        <v>0</v>
      </c>
      <c r="R92">
        <f>IF(BB91&lt;=0,0,IF(ROUND(BB91*(1+'Calc base'!P92),2)-MAX('Calc base'!K$12,ROUND('Calc base'!K$13*BB91,2))&lt;1,ROUND(BB91*(1+'Calc base'!P92),2),MAX('Calc base'!K$12,ROUND('Calc base'!K$13*BB91,2))))</f>
        <v>0</v>
      </c>
      <c r="S92">
        <f>IF(BC91&lt;=0,0,IF(ROUND(BC91*(1+'Calc base'!Q92),2)-MAX('Calc base'!L$12,ROUND('Calc base'!L$13*BC91,2))&lt;1,ROUND(BC91*(1+'Calc base'!Q92),2),MAX('Calc base'!L$12,ROUND('Calc base'!L$13*BC91,2))))</f>
        <v>0</v>
      </c>
      <c r="T92">
        <f>IF(BD91&lt;=0,0,IF(ROUND(BD91*(1+'Calc base'!R92),2)-MAX('Calc base'!M$12,ROUND('Calc base'!M$13*BD91,2))&lt;1,ROUND(BD91*(1+'Calc base'!R92),2),MAX('Calc base'!M$12,ROUND('Calc base'!M$13*BD91,2))))</f>
        <v>0</v>
      </c>
      <c r="U92">
        <f>IF(BE91&lt;=0,0,IF(ROUND(BE91*(1+'Calc base'!S92),2)-MAX('Calc base'!N$12,ROUND('Calc base'!N$13*BE91,2))&lt;1,ROUND(BE91*(1+'Calc base'!S92),2),MAX('Calc base'!N$12,ROUND('Calc base'!N$13*BE91,2))))</f>
        <v>0</v>
      </c>
      <c r="V92">
        <f>MAX(0,ROUND(AT91*(1+'Calc base'!H92),2)-J92-'Calc base'!T92)</f>
        <v>0</v>
      </c>
      <c r="W92">
        <f>MAX(0,ROUND(AU91*(1+'Calc base'!I92),2)-K92-'Calc base'!U92)</f>
        <v>0</v>
      </c>
      <c r="X92">
        <f>MAX(0,ROUND(AV91*(1+'Calc base'!J92),2)-L92-'Calc base'!V92)</f>
        <v>0</v>
      </c>
      <c r="Y92">
        <f>MAX(0,ROUND(AW91*(1+'Calc base'!K92),2)-M92-'Calc base'!W92)</f>
        <v>0</v>
      </c>
      <c r="Z92">
        <f>MAX(0,ROUND(AX91*(1+'Calc base'!L92),2)-N92-'Calc base'!X92)</f>
        <v>0</v>
      </c>
      <c r="AA92">
        <f>MAX(0,ROUND(AY91*(1+'Calc base'!M92),2)-O92-'Calc base'!Y92)</f>
        <v>0</v>
      </c>
      <c r="AB92">
        <f>MAX(0,ROUND(AZ91*(1+'Calc base'!N92),2)-P92-'Calc base'!Z92)</f>
        <v>0</v>
      </c>
      <c r="AC92">
        <f>MAX(0,ROUND(BA91*(1+'Calc base'!O92),2)-Q92-'Calc base'!AA92)</f>
        <v>0</v>
      </c>
      <c r="AD92">
        <f>MAX(0,ROUND(BB91*(1+'Calc base'!P92),2)-R92-'Calc base'!AB92)</f>
        <v>0</v>
      </c>
      <c r="AE92">
        <f>MAX(0,ROUND(BC91*(1+'Calc base'!Q92),2)-S92-'Calc base'!AC92)</f>
        <v>0</v>
      </c>
      <c r="AF92">
        <f>MAX(0,ROUND(BD91*(1+'Calc base'!R92),2)-T92-'Calc base'!AD92)</f>
        <v>0</v>
      </c>
      <c r="AG92">
        <f>MAX(0,ROUND(BE91*(1+'Calc base'!S92),2)-U92-'Calc base'!AE92)</f>
        <v>0</v>
      </c>
      <c r="AH92">
        <f>IF('Calc base'!C$14=0,0,MIN(V92,MAX(0,$E92-SUMIFS($V92:$AG92,'Calc base'!$C$19:$N$19,"&lt;"&amp;'Calc base'!C$19,'Calc base'!$C$14:$N$14,1))))</f>
        <v>0</v>
      </c>
      <c r="AI92">
        <f>IF('Calc base'!D$14=0,0,MIN(W92,MAX(0,$E92-SUMIFS($V92:$AG92,'Calc base'!$C$19:$N$19,"&lt;"&amp;'Calc base'!D$19,'Calc base'!$C$14:$N$14,1))))</f>
        <v>0</v>
      </c>
      <c r="AJ92">
        <f>IF('Calc base'!E$14=0,0,MIN(X92,MAX(0,$E92-SUMIFS($V92:$AG92,'Calc base'!$C$19:$N$19,"&lt;"&amp;'Calc base'!E$19,'Calc base'!$C$14:$N$14,1))))</f>
        <v>0</v>
      </c>
      <c r="AK92">
        <f>IF('Calc base'!F$14=0,0,MIN(Y92,MAX(0,$E92-SUMIFS($V92:$AG92,'Calc base'!$C$19:$N$19,"&lt;"&amp;'Calc base'!F$19,'Calc base'!$C$14:$N$14,1))))</f>
        <v>0</v>
      </c>
      <c r="AL92">
        <f>IF('Calc base'!G$14=0,0,MIN(Z92,MAX(0,$E92-SUMIFS($V92:$AG92,'Calc base'!$C$19:$N$19,"&lt;"&amp;'Calc base'!G$19,'Calc base'!$C$14:$N$14,1))))</f>
        <v>0</v>
      </c>
      <c r="AM92">
        <f>IF('Calc base'!H$14=0,0,MIN(AA92,MAX(0,$E92-SUMIFS($V92:$AG92,'Calc base'!$C$19:$N$19,"&lt;"&amp;'Calc base'!H$19,'Calc base'!$C$14:$N$14,1))))</f>
        <v>0</v>
      </c>
      <c r="AN92">
        <f>IF('Calc base'!I$14=0,0,MIN(AB92,MAX(0,$E92-SUMIFS($V92:$AG92,'Calc base'!$C$19:$N$19,"&lt;"&amp;'Calc base'!I$19,'Calc base'!$C$14:$N$14,1))))</f>
        <v>0</v>
      </c>
      <c r="AO92">
        <f>IF('Calc base'!J$14=0,0,MIN(AC92,MAX(0,$E92-SUMIFS($V92:$AG92,'Calc base'!$C$19:$N$19,"&lt;"&amp;'Calc base'!J$19,'Calc base'!$C$14:$N$14,1))))</f>
        <v>0</v>
      </c>
      <c r="AP92">
        <f>IF('Calc base'!K$14=0,0,MIN(AD92,MAX(0,$E92-SUMIFS($V92:$AG92,'Calc base'!$C$19:$N$19,"&lt;"&amp;'Calc base'!K$19,'Calc base'!$C$14:$N$14,1))))</f>
        <v>0</v>
      </c>
      <c r="AQ92">
        <f>IF('Calc base'!L$14=0,0,MIN(AE92,MAX(0,$E92-SUMIFS($V92:$AG92,'Calc base'!$C$19:$N$19,"&lt;"&amp;'Calc base'!L$19,'Calc base'!$C$14:$N$14,1))))</f>
        <v>0</v>
      </c>
      <c r="AR92">
        <f>IF('Calc base'!M$14=0,0,MIN(AF92,MAX(0,$E92-SUMIFS($V92:$AG92,'Calc base'!$C$19:$N$19,"&lt;"&amp;'Calc base'!M$19,'Calc base'!$C$14:$N$14,1))))</f>
        <v>0</v>
      </c>
      <c r="AS92">
        <f>IF('Calc base'!N$14=0,0,MIN(AG92,MAX(0,$E92-SUMIFS($V92:$AG92,'Calc base'!$C$19:$N$19,"&lt;"&amp;'Calc base'!N$19,'Calc base'!$C$14:$N$14,1))))</f>
        <v>0</v>
      </c>
      <c r="AT92">
        <f>V92-AH92</f>
        <v>0</v>
      </c>
      <c r="AU92">
        <f>W92-AI92</f>
        <v>0</v>
      </c>
      <c r="AV92">
        <f>X92-AJ92</f>
        <v>0</v>
      </c>
      <c r="AW92">
        <f>Y92-AK92</f>
        <v>0</v>
      </c>
      <c r="AX92">
        <f>Z92-AL92</f>
        <v>0</v>
      </c>
      <c r="AY92">
        <f>AA92-AM92</f>
        <v>0</v>
      </c>
      <c r="AZ92">
        <f>AB92-AN92</f>
        <v>0</v>
      </c>
      <c r="BA92">
        <f>AC92-AO92</f>
        <v>0</v>
      </c>
      <c r="BB92">
        <f>AD92-AP92</f>
        <v>0</v>
      </c>
      <c r="BC92">
        <f>AE92-AQ92</f>
        <v>0</v>
      </c>
      <c r="BD92">
        <f>AF92-AR92</f>
        <v>0</v>
      </c>
      <c r="BE92">
        <f>AG92-AS92</f>
        <v>0</v>
      </c>
    </row>
    <row r="93">
      <c r="A93" t="n">
        <v>63</v>
      </c>
      <c r="B93">
        <f>SUMPRODUCT(ROUND($AT92:$BE92*(1+'Calc base'!$H93:$S93),2))</f>
        <v>0</v>
      </c>
      <c r="C93">
        <f>SUM(J93:U93)</f>
        <v>0</v>
      </c>
      <c r="D93">
        <f>SUM(V93:AG93)</f>
        <v>0</v>
      </c>
      <c r="E93">
        <f>MAX(0,IF(Impostazioni!$B$7="No",'Calc base'!$C93-$C$31,'Calc base'!$C93-C93)+'Calc base'!$G93+'Calc base'!$F93-(B93-C93-D93))</f>
        <v>900</v>
      </c>
      <c r="F93">
        <f>SUM(AH93:AS93)</f>
        <v>0</v>
      </c>
      <c r="G93">
        <f>SUM(AT93:BE93)</f>
        <v>0</v>
      </c>
      <c r="H93">
        <f>B93-G92</f>
        <v>0</v>
      </c>
      <c r="I93">
        <f>B93-G93</f>
        <v>0</v>
      </c>
      <c r="J93">
        <f>IF(AT92&lt;=0,0,IF(ROUND(AT92*(1+'Calc base'!H93),2)-MAX('Calc base'!C$12,ROUND('Calc base'!C$13*AT92,2))&lt;1,ROUND(AT92*(1+'Calc base'!H93),2),MAX('Calc base'!C$12,ROUND('Calc base'!C$13*AT92,2))))</f>
        <v>0</v>
      </c>
      <c r="K93">
        <f>IF(AU92&lt;=0,0,IF(ROUND(AU92*(1+'Calc base'!I93),2)-MAX('Calc base'!D$12,ROUND('Calc base'!D$13*AU92,2))&lt;1,ROUND(AU92*(1+'Calc base'!I93),2),MAX('Calc base'!D$12,ROUND('Calc base'!D$13*AU92,2))))</f>
        <v>0</v>
      </c>
      <c r="L93">
        <f>IF(AV92&lt;=0,0,IF(ROUND(AV92*(1+'Calc base'!J93),2)-MAX('Calc base'!E$12,ROUND('Calc base'!E$13*AV92,2))&lt;1,ROUND(AV92*(1+'Calc base'!J93),2),MAX('Calc base'!E$12,ROUND('Calc base'!E$13*AV92,2))))</f>
        <v>0</v>
      </c>
      <c r="M93">
        <f>IF(AW92&lt;=0,0,IF(ROUND(AW92*(1+'Calc base'!K93),2)-MAX('Calc base'!F$12,ROUND('Calc base'!F$13*AW92,2))&lt;1,ROUND(AW92*(1+'Calc base'!K93),2),MAX('Calc base'!F$12,ROUND('Calc base'!F$13*AW92,2))))</f>
        <v>0</v>
      </c>
      <c r="N93">
        <f>IF(AX92&lt;=0,0,IF(ROUND(AX92*(1+'Calc base'!L93),2)-MAX('Calc base'!G$12,ROUND('Calc base'!G$13*AX92,2))&lt;1,ROUND(AX92*(1+'Calc base'!L93),2),MAX('Calc base'!G$12,ROUND('Calc base'!G$13*AX92,2))))</f>
        <v>0</v>
      </c>
      <c r="O93">
        <f>IF(AY92&lt;=0,0,IF(ROUND(AY92*(1+'Calc base'!M93),2)-MAX('Calc base'!H$12,ROUND('Calc base'!H$13*AY92,2))&lt;1,ROUND(AY92*(1+'Calc base'!M93),2),MAX('Calc base'!H$12,ROUND('Calc base'!H$13*AY92,2))))</f>
        <v>0</v>
      </c>
      <c r="P93">
        <f>IF(AZ92&lt;=0,0,IF(ROUND(AZ92*(1+'Calc base'!N93),2)-MAX('Calc base'!I$12,ROUND('Calc base'!I$13*AZ92,2))&lt;1,ROUND(AZ92*(1+'Calc base'!N93),2),MAX('Calc base'!I$12,ROUND('Calc base'!I$13*AZ92,2))))</f>
        <v>0</v>
      </c>
      <c r="Q93">
        <f>IF(BA92&lt;=0,0,IF(ROUND(BA92*(1+'Calc base'!O93),2)-MAX('Calc base'!J$12,ROUND('Calc base'!J$13*BA92,2))&lt;1,ROUND(BA92*(1+'Calc base'!O93),2),MAX('Calc base'!J$12,ROUND('Calc base'!J$13*BA92,2))))</f>
        <v>0</v>
      </c>
      <c r="R93">
        <f>IF(BB92&lt;=0,0,IF(ROUND(BB92*(1+'Calc base'!P93),2)-MAX('Calc base'!K$12,ROUND('Calc base'!K$13*BB92,2))&lt;1,ROUND(BB92*(1+'Calc base'!P93),2),MAX('Calc base'!K$12,ROUND('Calc base'!K$13*BB92,2))))</f>
        <v>0</v>
      </c>
      <c r="S93">
        <f>IF(BC92&lt;=0,0,IF(ROUND(BC92*(1+'Calc base'!Q93),2)-MAX('Calc base'!L$12,ROUND('Calc base'!L$13*BC92,2))&lt;1,ROUND(BC92*(1+'Calc base'!Q93),2),MAX('Calc base'!L$12,ROUND('Calc base'!L$13*BC92,2))))</f>
        <v>0</v>
      </c>
      <c r="T93">
        <f>IF(BD92&lt;=0,0,IF(ROUND(BD92*(1+'Calc base'!R93),2)-MAX('Calc base'!M$12,ROUND('Calc base'!M$13*BD92,2))&lt;1,ROUND(BD92*(1+'Calc base'!R93),2),MAX('Calc base'!M$12,ROUND('Calc base'!M$13*BD92,2))))</f>
        <v>0</v>
      </c>
      <c r="U93">
        <f>IF(BE92&lt;=0,0,IF(ROUND(BE92*(1+'Calc base'!S93),2)-MAX('Calc base'!N$12,ROUND('Calc base'!N$13*BE92,2))&lt;1,ROUND(BE92*(1+'Calc base'!S93),2),MAX('Calc base'!N$12,ROUND('Calc base'!N$13*BE92,2))))</f>
        <v>0</v>
      </c>
      <c r="V93">
        <f>MAX(0,ROUND(AT92*(1+'Calc base'!H93),2)-J93-'Calc base'!T93)</f>
        <v>0</v>
      </c>
      <c r="W93">
        <f>MAX(0,ROUND(AU92*(1+'Calc base'!I93),2)-K93-'Calc base'!U93)</f>
        <v>0</v>
      </c>
      <c r="X93">
        <f>MAX(0,ROUND(AV92*(1+'Calc base'!J93),2)-L93-'Calc base'!V93)</f>
        <v>0</v>
      </c>
      <c r="Y93">
        <f>MAX(0,ROUND(AW92*(1+'Calc base'!K93),2)-M93-'Calc base'!W93)</f>
        <v>0</v>
      </c>
      <c r="Z93">
        <f>MAX(0,ROUND(AX92*(1+'Calc base'!L93),2)-N93-'Calc base'!X93)</f>
        <v>0</v>
      </c>
      <c r="AA93">
        <f>MAX(0,ROUND(AY92*(1+'Calc base'!M93),2)-O93-'Calc base'!Y93)</f>
        <v>0</v>
      </c>
      <c r="AB93">
        <f>MAX(0,ROUND(AZ92*(1+'Calc base'!N93),2)-P93-'Calc base'!Z93)</f>
        <v>0</v>
      </c>
      <c r="AC93">
        <f>MAX(0,ROUND(BA92*(1+'Calc base'!O93),2)-Q93-'Calc base'!AA93)</f>
        <v>0</v>
      </c>
      <c r="AD93">
        <f>MAX(0,ROUND(BB92*(1+'Calc base'!P93),2)-R93-'Calc base'!AB93)</f>
        <v>0</v>
      </c>
      <c r="AE93">
        <f>MAX(0,ROUND(BC92*(1+'Calc base'!Q93),2)-S93-'Calc base'!AC93)</f>
        <v>0</v>
      </c>
      <c r="AF93">
        <f>MAX(0,ROUND(BD92*(1+'Calc base'!R93),2)-T93-'Calc base'!AD93)</f>
        <v>0</v>
      </c>
      <c r="AG93">
        <f>MAX(0,ROUND(BE92*(1+'Calc base'!S93),2)-U93-'Calc base'!AE93)</f>
        <v>0</v>
      </c>
      <c r="AH93">
        <f>IF('Calc base'!C$14=0,0,MIN(V93,MAX(0,$E93-SUMIFS($V93:$AG93,'Calc base'!$C$19:$N$19,"&lt;"&amp;'Calc base'!C$19,'Calc base'!$C$14:$N$14,1))))</f>
        <v>0</v>
      </c>
      <c r="AI93">
        <f>IF('Calc base'!D$14=0,0,MIN(W93,MAX(0,$E93-SUMIFS($V93:$AG93,'Calc base'!$C$19:$N$19,"&lt;"&amp;'Calc base'!D$19,'Calc base'!$C$14:$N$14,1))))</f>
        <v>0</v>
      </c>
      <c r="AJ93">
        <f>IF('Calc base'!E$14=0,0,MIN(X93,MAX(0,$E93-SUMIFS($V93:$AG93,'Calc base'!$C$19:$N$19,"&lt;"&amp;'Calc base'!E$19,'Calc base'!$C$14:$N$14,1))))</f>
        <v>0</v>
      </c>
      <c r="AK93">
        <f>IF('Calc base'!F$14=0,0,MIN(Y93,MAX(0,$E93-SUMIFS($V93:$AG93,'Calc base'!$C$19:$N$19,"&lt;"&amp;'Calc base'!F$19,'Calc base'!$C$14:$N$14,1))))</f>
        <v>0</v>
      </c>
      <c r="AL93">
        <f>IF('Calc base'!G$14=0,0,MIN(Z93,MAX(0,$E93-SUMIFS($V93:$AG93,'Calc base'!$C$19:$N$19,"&lt;"&amp;'Calc base'!G$19,'Calc base'!$C$14:$N$14,1))))</f>
        <v>0</v>
      </c>
      <c r="AM93">
        <f>IF('Calc base'!H$14=0,0,MIN(AA93,MAX(0,$E93-SUMIFS($V93:$AG93,'Calc base'!$C$19:$N$19,"&lt;"&amp;'Calc base'!H$19,'Calc base'!$C$14:$N$14,1))))</f>
        <v>0</v>
      </c>
      <c r="AN93">
        <f>IF('Calc base'!I$14=0,0,MIN(AB93,MAX(0,$E93-SUMIFS($V93:$AG93,'Calc base'!$C$19:$N$19,"&lt;"&amp;'Calc base'!I$19,'Calc base'!$C$14:$N$14,1))))</f>
        <v>0</v>
      </c>
      <c r="AO93">
        <f>IF('Calc base'!J$14=0,0,MIN(AC93,MAX(0,$E93-SUMIFS($V93:$AG93,'Calc base'!$C$19:$N$19,"&lt;"&amp;'Calc base'!J$19,'Calc base'!$C$14:$N$14,1))))</f>
        <v>0</v>
      </c>
      <c r="AP93">
        <f>IF('Calc base'!K$14=0,0,MIN(AD93,MAX(0,$E93-SUMIFS($V93:$AG93,'Calc base'!$C$19:$N$19,"&lt;"&amp;'Calc base'!K$19,'Calc base'!$C$14:$N$14,1))))</f>
        <v>0</v>
      </c>
      <c r="AQ93">
        <f>IF('Calc base'!L$14=0,0,MIN(AE93,MAX(0,$E93-SUMIFS($V93:$AG93,'Calc base'!$C$19:$N$19,"&lt;"&amp;'Calc base'!L$19,'Calc base'!$C$14:$N$14,1))))</f>
        <v>0</v>
      </c>
      <c r="AR93">
        <f>IF('Calc base'!M$14=0,0,MIN(AF93,MAX(0,$E93-SUMIFS($V93:$AG93,'Calc base'!$C$19:$N$19,"&lt;"&amp;'Calc base'!M$19,'Calc base'!$C$14:$N$14,1))))</f>
        <v>0</v>
      </c>
      <c r="AS93">
        <f>IF('Calc base'!N$14=0,0,MIN(AG93,MAX(0,$E93-SUMIFS($V93:$AG93,'Calc base'!$C$19:$N$19,"&lt;"&amp;'Calc base'!N$19,'Calc base'!$C$14:$N$14,1))))</f>
        <v>0</v>
      </c>
      <c r="AT93">
        <f>V93-AH93</f>
        <v>0</v>
      </c>
      <c r="AU93">
        <f>W93-AI93</f>
        <v>0</v>
      </c>
      <c r="AV93">
        <f>X93-AJ93</f>
        <v>0</v>
      </c>
      <c r="AW93">
        <f>Y93-AK93</f>
        <v>0</v>
      </c>
      <c r="AX93">
        <f>Z93-AL93</f>
        <v>0</v>
      </c>
      <c r="AY93">
        <f>AA93-AM93</f>
        <v>0</v>
      </c>
      <c r="AZ93">
        <f>AB93-AN93</f>
        <v>0</v>
      </c>
      <c r="BA93">
        <f>AC93-AO93</f>
        <v>0</v>
      </c>
      <c r="BB93">
        <f>AD93-AP93</f>
        <v>0</v>
      </c>
      <c r="BC93">
        <f>AE93-AQ93</f>
        <v>0</v>
      </c>
      <c r="BD93">
        <f>AF93-AR93</f>
        <v>0</v>
      </c>
      <c r="BE93">
        <f>AG93-AS93</f>
        <v>0</v>
      </c>
    </row>
    <row r="94">
      <c r="A94" t="n">
        <v>64</v>
      </c>
      <c r="B94">
        <f>SUMPRODUCT(ROUND($AT93:$BE93*(1+'Calc base'!$H94:$S94),2))</f>
        <v>0</v>
      </c>
      <c r="C94">
        <f>SUM(J94:U94)</f>
        <v>0</v>
      </c>
      <c r="D94">
        <f>SUM(V94:AG94)</f>
        <v>0</v>
      </c>
      <c r="E94">
        <f>MAX(0,IF(Impostazioni!$B$7="No",'Calc base'!$C94-$C$31,'Calc base'!$C94-C94)+'Calc base'!$G94+'Calc base'!$F94-(B94-C94-D94))</f>
        <v>900</v>
      </c>
      <c r="F94">
        <f>SUM(AH94:AS94)</f>
        <v>0</v>
      </c>
      <c r="G94">
        <f>SUM(AT94:BE94)</f>
        <v>0</v>
      </c>
      <c r="H94">
        <f>B94-G93</f>
        <v>0</v>
      </c>
      <c r="I94">
        <f>B94-G94</f>
        <v>0</v>
      </c>
      <c r="J94">
        <f>IF(AT93&lt;=0,0,IF(ROUND(AT93*(1+'Calc base'!H94),2)-MAX('Calc base'!C$12,ROUND('Calc base'!C$13*AT93,2))&lt;1,ROUND(AT93*(1+'Calc base'!H94),2),MAX('Calc base'!C$12,ROUND('Calc base'!C$13*AT93,2))))</f>
        <v>0</v>
      </c>
      <c r="K94">
        <f>IF(AU93&lt;=0,0,IF(ROUND(AU93*(1+'Calc base'!I94),2)-MAX('Calc base'!D$12,ROUND('Calc base'!D$13*AU93,2))&lt;1,ROUND(AU93*(1+'Calc base'!I94),2),MAX('Calc base'!D$12,ROUND('Calc base'!D$13*AU93,2))))</f>
        <v>0</v>
      </c>
      <c r="L94">
        <f>IF(AV93&lt;=0,0,IF(ROUND(AV93*(1+'Calc base'!J94),2)-MAX('Calc base'!E$12,ROUND('Calc base'!E$13*AV93,2))&lt;1,ROUND(AV93*(1+'Calc base'!J94),2),MAX('Calc base'!E$12,ROUND('Calc base'!E$13*AV93,2))))</f>
        <v>0</v>
      </c>
      <c r="M94">
        <f>IF(AW93&lt;=0,0,IF(ROUND(AW93*(1+'Calc base'!K94),2)-MAX('Calc base'!F$12,ROUND('Calc base'!F$13*AW93,2))&lt;1,ROUND(AW93*(1+'Calc base'!K94),2),MAX('Calc base'!F$12,ROUND('Calc base'!F$13*AW93,2))))</f>
        <v>0</v>
      </c>
      <c r="N94">
        <f>IF(AX93&lt;=0,0,IF(ROUND(AX93*(1+'Calc base'!L94),2)-MAX('Calc base'!G$12,ROUND('Calc base'!G$13*AX93,2))&lt;1,ROUND(AX93*(1+'Calc base'!L94),2),MAX('Calc base'!G$12,ROUND('Calc base'!G$13*AX93,2))))</f>
        <v>0</v>
      </c>
      <c r="O94">
        <f>IF(AY93&lt;=0,0,IF(ROUND(AY93*(1+'Calc base'!M94),2)-MAX('Calc base'!H$12,ROUND('Calc base'!H$13*AY93,2))&lt;1,ROUND(AY93*(1+'Calc base'!M94),2),MAX('Calc base'!H$12,ROUND('Calc base'!H$13*AY93,2))))</f>
        <v>0</v>
      </c>
      <c r="P94">
        <f>IF(AZ93&lt;=0,0,IF(ROUND(AZ93*(1+'Calc base'!N94),2)-MAX('Calc base'!I$12,ROUND('Calc base'!I$13*AZ93,2))&lt;1,ROUND(AZ93*(1+'Calc base'!N94),2),MAX('Calc base'!I$12,ROUND('Calc base'!I$13*AZ93,2))))</f>
        <v>0</v>
      </c>
      <c r="Q94">
        <f>IF(BA93&lt;=0,0,IF(ROUND(BA93*(1+'Calc base'!O94),2)-MAX('Calc base'!J$12,ROUND('Calc base'!J$13*BA93,2))&lt;1,ROUND(BA93*(1+'Calc base'!O94),2),MAX('Calc base'!J$12,ROUND('Calc base'!J$13*BA93,2))))</f>
        <v>0</v>
      </c>
      <c r="R94">
        <f>IF(BB93&lt;=0,0,IF(ROUND(BB93*(1+'Calc base'!P94),2)-MAX('Calc base'!K$12,ROUND('Calc base'!K$13*BB93,2))&lt;1,ROUND(BB93*(1+'Calc base'!P94),2),MAX('Calc base'!K$12,ROUND('Calc base'!K$13*BB93,2))))</f>
        <v>0</v>
      </c>
      <c r="S94">
        <f>IF(BC93&lt;=0,0,IF(ROUND(BC93*(1+'Calc base'!Q94),2)-MAX('Calc base'!L$12,ROUND('Calc base'!L$13*BC93,2))&lt;1,ROUND(BC93*(1+'Calc base'!Q94),2),MAX('Calc base'!L$12,ROUND('Calc base'!L$13*BC93,2))))</f>
        <v>0</v>
      </c>
      <c r="T94">
        <f>IF(BD93&lt;=0,0,IF(ROUND(BD93*(1+'Calc base'!R94),2)-MAX('Calc base'!M$12,ROUND('Calc base'!M$13*BD93,2))&lt;1,ROUND(BD93*(1+'Calc base'!R94),2),MAX('Calc base'!M$12,ROUND('Calc base'!M$13*BD93,2))))</f>
        <v>0</v>
      </c>
      <c r="U94">
        <f>IF(BE93&lt;=0,0,IF(ROUND(BE93*(1+'Calc base'!S94),2)-MAX('Calc base'!N$12,ROUND('Calc base'!N$13*BE93,2))&lt;1,ROUND(BE93*(1+'Calc base'!S94),2),MAX('Calc base'!N$12,ROUND('Calc base'!N$13*BE93,2))))</f>
        <v>0</v>
      </c>
      <c r="V94">
        <f>MAX(0,ROUND(AT93*(1+'Calc base'!H94),2)-J94-'Calc base'!T94)</f>
        <v>0</v>
      </c>
      <c r="W94">
        <f>MAX(0,ROUND(AU93*(1+'Calc base'!I94),2)-K94-'Calc base'!U94)</f>
        <v>0</v>
      </c>
      <c r="X94">
        <f>MAX(0,ROUND(AV93*(1+'Calc base'!J94),2)-L94-'Calc base'!V94)</f>
        <v>0</v>
      </c>
      <c r="Y94">
        <f>MAX(0,ROUND(AW93*(1+'Calc base'!K94),2)-M94-'Calc base'!W94)</f>
        <v>0</v>
      </c>
      <c r="Z94">
        <f>MAX(0,ROUND(AX93*(1+'Calc base'!L94),2)-N94-'Calc base'!X94)</f>
        <v>0</v>
      </c>
      <c r="AA94">
        <f>MAX(0,ROUND(AY93*(1+'Calc base'!M94),2)-O94-'Calc base'!Y94)</f>
        <v>0</v>
      </c>
      <c r="AB94">
        <f>MAX(0,ROUND(AZ93*(1+'Calc base'!N94),2)-P94-'Calc base'!Z94)</f>
        <v>0</v>
      </c>
      <c r="AC94">
        <f>MAX(0,ROUND(BA93*(1+'Calc base'!O94),2)-Q94-'Calc base'!AA94)</f>
        <v>0</v>
      </c>
      <c r="AD94">
        <f>MAX(0,ROUND(BB93*(1+'Calc base'!P94),2)-R94-'Calc base'!AB94)</f>
        <v>0</v>
      </c>
      <c r="AE94">
        <f>MAX(0,ROUND(BC93*(1+'Calc base'!Q94),2)-S94-'Calc base'!AC94)</f>
        <v>0</v>
      </c>
      <c r="AF94">
        <f>MAX(0,ROUND(BD93*(1+'Calc base'!R94),2)-T94-'Calc base'!AD94)</f>
        <v>0</v>
      </c>
      <c r="AG94">
        <f>MAX(0,ROUND(BE93*(1+'Calc base'!S94),2)-U94-'Calc base'!AE94)</f>
        <v>0</v>
      </c>
      <c r="AH94">
        <f>IF('Calc base'!C$14=0,0,MIN(V94,MAX(0,$E94-SUMIFS($V94:$AG94,'Calc base'!$C$19:$N$19,"&lt;"&amp;'Calc base'!C$19,'Calc base'!$C$14:$N$14,1))))</f>
        <v>0</v>
      </c>
      <c r="AI94">
        <f>IF('Calc base'!D$14=0,0,MIN(W94,MAX(0,$E94-SUMIFS($V94:$AG94,'Calc base'!$C$19:$N$19,"&lt;"&amp;'Calc base'!D$19,'Calc base'!$C$14:$N$14,1))))</f>
        <v>0</v>
      </c>
      <c r="AJ94">
        <f>IF('Calc base'!E$14=0,0,MIN(X94,MAX(0,$E94-SUMIFS($V94:$AG94,'Calc base'!$C$19:$N$19,"&lt;"&amp;'Calc base'!E$19,'Calc base'!$C$14:$N$14,1))))</f>
        <v>0</v>
      </c>
      <c r="AK94">
        <f>IF('Calc base'!F$14=0,0,MIN(Y94,MAX(0,$E94-SUMIFS($V94:$AG94,'Calc base'!$C$19:$N$19,"&lt;"&amp;'Calc base'!F$19,'Calc base'!$C$14:$N$14,1))))</f>
        <v>0</v>
      </c>
      <c r="AL94">
        <f>IF('Calc base'!G$14=0,0,MIN(Z94,MAX(0,$E94-SUMIFS($V94:$AG94,'Calc base'!$C$19:$N$19,"&lt;"&amp;'Calc base'!G$19,'Calc base'!$C$14:$N$14,1))))</f>
        <v>0</v>
      </c>
      <c r="AM94">
        <f>IF('Calc base'!H$14=0,0,MIN(AA94,MAX(0,$E94-SUMIFS($V94:$AG94,'Calc base'!$C$19:$N$19,"&lt;"&amp;'Calc base'!H$19,'Calc base'!$C$14:$N$14,1))))</f>
        <v>0</v>
      </c>
      <c r="AN94">
        <f>IF('Calc base'!I$14=0,0,MIN(AB94,MAX(0,$E94-SUMIFS($V94:$AG94,'Calc base'!$C$19:$N$19,"&lt;"&amp;'Calc base'!I$19,'Calc base'!$C$14:$N$14,1))))</f>
        <v>0</v>
      </c>
      <c r="AO94">
        <f>IF('Calc base'!J$14=0,0,MIN(AC94,MAX(0,$E94-SUMIFS($V94:$AG94,'Calc base'!$C$19:$N$19,"&lt;"&amp;'Calc base'!J$19,'Calc base'!$C$14:$N$14,1))))</f>
        <v>0</v>
      </c>
      <c r="AP94">
        <f>IF('Calc base'!K$14=0,0,MIN(AD94,MAX(0,$E94-SUMIFS($V94:$AG94,'Calc base'!$C$19:$N$19,"&lt;"&amp;'Calc base'!K$19,'Calc base'!$C$14:$N$14,1))))</f>
        <v>0</v>
      </c>
      <c r="AQ94">
        <f>IF('Calc base'!L$14=0,0,MIN(AE94,MAX(0,$E94-SUMIFS($V94:$AG94,'Calc base'!$C$19:$N$19,"&lt;"&amp;'Calc base'!L$19,'Calc base'!$C$14:$N$14,1))))</f>
        <v>0</v>
      </c>
      <c r="AR94">
        <f>IF('Calc base'!M$14=0,0,MIN(AF94,MAX(0,$E94-SUMIFS($V94:$AG94,'Calc base'!$C$19:$N$19,"&lt;"&amp;'Calc base'!M$19,'Calc base'!$C$14:$N$14,1))))</f>
        <v>0</v>
      </c>
      <c r="AS94">
        <f>IF('Calc base'!N$14=0,0,MIN(AG94,MAX(0,$E94-SUMIFS($V94:$AG94,'Calc base'!$C$19:$N$19,"&lt;"&amp;'Calc base'!N$19,'Calc base'!$C$14:$N$14,1))))</f>
        <v>0</v>
      </c>
      <c r="AT94">
        <f>V94-AH94</f>
        <v>0</v>
      </c>
      <c r="AU94">
        <f>W94-AI94</f>
        <v>0</v>
      </c>
      <c r="AV94">
        <f>X94-AJ94</f>
        <v>0</v>
      </c>
      <c r="AW94">
        <f>Y94-AK94</f>
        <v>0</v>
      </c>
      <c r="AX94">
        <f>Z94-AL94</f>
        <v>0</v>
      </c>
      <c r="AY94">
        <f>AA94-AM94</f>
        <v>0</v>
      </c>
      <c r="AZ94">
        <f>AB94-AN94</f>
        <v>0</v>
      </c>
      <c r="BA94">
        <f>AC94-AO94</f>
        <v>0</v>
      </c>
      <c r="BB94">
        <f>AD94-AP94</f>
        <v>0</v>
      </c>
      <c r="BC94">
        <f>AE94-AQ94</f>
        <v>0</v>
      </c>
      <c r="BD94">
        <f>AF94-AR94</f>
        <v>0</v>
      </c>
      <c r="BE94">
        <f>AG94-AS94</f>
        <v>0</v>
      </c>
    </row>
    <row r="95">
      <c r="A95" t="n">
        <v>65</v>
      </c>
      <c r="B95">
        <f>SUMPRODUCT(ROUND($AT94:$BE94*(1+'Calc base'!$H95:$S95),2))</f>
        <v>0</v>
      </c>
      <c r="C95">
        <f>SUM(J95:U95)</f>
        <v>0</v>
      </c>
      <c r="D95">
        <f>SUM(V95:AG95)</f>
        <v>0</v>
      </c>
      <c r="E95">
        <f>MAX(0,IF(Impostazioni!$B$7="No",'Calc base'!$C95-$C$31,'Calc base'!$C95-C95)+'Calc base'!$G95+'Calc base'!$F95-(B95-C95-D95))</f>
        <v>900</v>
      </c>
      <c r="F95">
        <f>SUM(AH95:AS95)</f>
        <v>0</v>
      </c>
      <c r="G95">
        <f>SUM(AT95:BE95)</f>
        <v>0</v>
      </c>
      <c r="H95">
        <f>B95-G94</f>
        <v>0</v>
      </c>
      <c r="I95">
        <f>B95-G95</f>
        <v>0</v>
      </c>
      <c r="J95">
        <f>IF(AT94&lt;=0,0,IF(ROUND(AT94*(1+'Calc base'!H95),2)-MAX('Calc base'!C$12,ROUND('Calc base'!C$13*AT94,2))&lt;1,ROUND(AT94*(1+'Calc base'!H95),2),MAX('Calc base'!C$12,ROUND('Calc base'!C$13*AT94,2))))</f>
        <v>0</v>
      </c>
      <c r="K95">
        <f>IF(AU94&lt;=0,0,IF(ROUND(AU94*(1+'Calc base'!I95),2)-MAX('Calc base'!D$12,ROUND('Calc base'!D$13*AU94,2))&lt;1,ROUND(AU94*(1+'Calc base'!I95),2),MAX('Calc base'!D$12,ROUND('Calc base'!D$13*AU94,2))))</f>
        <v>0</v>
      </c>
      <c r="L95">
        <f>IF(AV94&lt;=0,0,IF(ROUND(AV94*(1+'Calc base'!J95),2)-MAX('Calc base'!E$12,ROUND('Calc base'!E$13*AV94,2))&lt;1,ROUND(AV94*(1+'Calc base'!J95),2),MAX('Calc base'!E$12,ROUND('Calc base'!E$13*AV94,2))))</f>
        <v>0</v>
      </c>
      <c r="M95">
        <f>IF(AW94&lt;=0,0,IF(ROUND(AW94*(1+'Calc base'!K95),2)-MAX('Calc base'!F$12,ROUND('Calc base'!F$13*AW94,2))&lt;1,ROUND(AW94*(1+'Calc base'!K95),2),MAX('Calc base'!F$12,ROUND('Calc base'!F$13*AW94,2))))</f>
        <v>0</v>
      </c>
      <c r="N95">
        <f>IF(AX94&lt;=0,0,IF(ROUND(AX94*(1+'Calc base'!L95),2)-MAX('Calc base'!G$12,ROUND('Calc base'!G$13*AX94,2))&lt;1,ROUND(AX94*(1+'Calc base'!L95),2),MAX('Calc base'!G$12,ROUND('Calc base'!G$13*AX94,2))))</f>
        <v>0</v>
      </c>
      <c r="O95">
        <f>IF(AY94&lt;=0,0,IF(ROUND(AY94*(1+'Calc base'!M95),2)-MAX('Calc base'!H$12,ROUND('Calc base'!H$13*AY94,2))&lt;1,ROUND(AY94*(1+'Calc base'!M95),2),MAX('Calc base'!H$12,ROUND('Calc base'!H$13*AY94,2))))</f>
        <v>0</v>
      </c>
      <c r="P95">
        <f>IF(AZ94&lt;=0,0,IF(ROUND(AZ94*(1+'Calc base'!N95),2)-MAX('Calc base'!I$12,ROUND('Calc base'!I$13*AZ94,2))&lt;1,ROUND(AZ94*(1+'Calc base'!N95),2),MAX('Calc base'!I$12,ROUND('Calc base'!I$13*AZ94,2))))</f>
        <v>0</v>
      </c>
      <c r="Q95">
        <f>IF(BA94&lt;=0,0,IF(ROUND(BA94*(1+'Calc base'!O95),2)-MAX('Calc base'!J$12,ROUND('Calc base'!J$13*BA94,2))&lt;1,ROUND(BA94*(1+'Calc base'!O95),2),MAX('Calc base'!J$12,ROUND('Calc base'!J$13*BA94,2))))</f>
        <v>0</v>
      </c>
      <c r="R95">
        <f>IF(BB94&lt;=0,0,IF(ROUND(BB94*(1+'Calc base'!P95),2)-MAX('Calc base'!K$12,ROUND('Calc base'!K$13*BB94,2))&lt;1,ROUND(BB94*(1+'Calc base'!P95),2),MAX('Calc base'!K$12,ROUND('Calc base'!K$13*BB94,2))))</f>
        <v>0</v>
      </c>
      <c r="S95">
        <f>IF(BC94&lt;=0,0,IF(ROUND(BC94*(1+'Calc base'!Q95),2)-MAX('Calc base'!L$12,ROUND('Calc base'!L$13*BC94,2))&lt;1,ROUND(BC94*(1+'Calc base'!Q95),2),MAX('Calc base'!L$12,ROUND('Calc base'!L$13*BC94,2))))</f>
        <v>0</v>
      </c>
      <c r="T95">
        <f>IF(BD94&lt;=0,0,IF(ROUND(BD94*(1+'Calc base'!R95),2)-MAX('Calc base'!M$12,ROUND('Calc base'!M$13*BD94,2))&lt;1,ROUND(BD94*(1+'Calc base'!R95),2),MAX('Calc base'!M$12,ROUND('Calc base'!M$13*BD94,2))))</f>
        <v>0</v>
      </c>
      <c r="U95">
        <f>IF(BE94&lt;=0,0,IF(ROUND(BE94*(1+'Calc base'!S95),2)-MAX('Calc base'!N$12,ROUND('Calc base'!N$13*BE94,2))&lt;1,ROUND(BE94*(1+'Calc base'!S95),2),MAX('Calc base'!N$12,ROUND('Calc base'!N$13*BE94,2))))</f>
        <v>0</v>
      </c>
      <c r="V95">
        <f>MAX(0,ROUND(AT94*(1+'Calc base'!H95),2)-J95-'Calc base'!T95)</f>
        <v>0</v>
      </c>
      <c r="W95">
        <f>MAX(0,ROUND(AU94*(1+'Calc base'!I95),2)-K95-'Calc base'!U95)</f>
        <v>0</v>
      </c>
      <c r="X95">
        <f>MAX(0,ROUND(AV94*(1+'Calc base'!J95),2)-L95-'Calc base'!V95)</f>
        <v>0</v>
      </c>
      <c r="Y95">
        <f>MAX(0,ROUND(AW94*(1+'Calc base'!K95),2)-M95-'Calc base'!W95)</f>
        <v>0</v>
      </c>
      <c r="Z95">
        <f>MAX(0,ROUND(AX94*(1+'Calc base'!L95),2)-N95-'Calc base'!X95)</f>
        <v>0</v>
      </c>
      <c r="AA95">
        <f>MAX(0,ROUND(AY94*(1+'Calc base'!M95),2)-O95-'Calc base'!Y95)</f>
        <v>0</v>
      </c>
      <c r="AB95">
        <f>MAX(0,ROUND(AZ94*(1+'Calc base'!N95),2)-P95-'Calc base'!Z95)</f>
        <v>0</v>
      </c>
      <c r="AC95">
        <f>MAX(0,ROUND(BA94*(1+'Calc base'!O95),2)-Q95-'Calc base'!AA95)</f>
        <v>0</v>
      </c>
      <c r="AD95">
        <f>MAX(0,ROUND(BB94*(1+'Calc base'!P95),2)-R95-'Calc base'!AB95)</f>
        <v>0</v>
      </c>
      <c r="AE95">
        <f>MAX(0,ROUND(BC94*(1+'Calc base'!Q95),2)-S95-'Calc base'!AC95)</f>
        <v>0</v>
      </c>
      <c r="AF95">
        <f>MAX(0,ROUND(BD94*(1+'Calc base'!R95),2)-T95-'Calc base'!AD95)</f>
        <v>0</v>
      </c>
      <c r="AG95">
        <f>MAX(0,ROUND(BE94*(1+'Calc base'!S95),2)-U95-'Calc base'!AE95)</f>
        <v>0</v>
      </c>
      <c r="AH95">
        <f>IF('Calc base'!C$14=0,0,MIN(V95,MAX(0,$E95-SUMIFS($V95:$AG95,'Calc base'!$C$19:$N$19,"&lt;"&amp;'Calc base'!C$19,'Calc base'!$C$14:$N$14,1))))</f>
        <v>0</v>
      </c>
      <c r="AI95">
        <f>IF('Calc base'!D$14=0,0,MIN(W95,MAX(0,$E95-SUMIFS($V95:$AG95,'Calc base'!$C$19:$N$19,"&lt;"&amp;'Calc base'!D$19,'Calc base'!$C$14:$N$14,1))))</f>
        <v>0</v>
      </c>
      <c r="AJ95">
        <f>IF('Calc base'!E$14=0,0,MIN(X95,MAX(0,$E95-SUMIFS($V95:$AG95,'Calc base'!$C$19:$N$19,"&lt;"&amp;'Calc base'!E$19,'Calc base'!$C$14:$N$14,1))))</f>
        <v>0</v>
      </c>
      <c r="AK95">
        <f>IF('Calc base'!F$14=0,0,MIN(Y95,MAX(0,$E95-SUMIFS($V95:$AG95,'Calc base'!$C$19:$N$19,"&lt;"&amp;'Calc base'!F$19,'Calc base'!$C$14:$N$14,1))))</f>
        <v>0</v>
      </c>
      <c r="AL95">
        <f>IF('Calc base'!G$14=0,0,MIN(Z95,MAX(0,$E95-SUMIFS($V95:$AG95,'Calc base'!$C$19:$N$19,"&lt;"&amp;'Calc base'!G$19,'Calc base'!$C$14:$N$14,1))))</f>
        <v>0</v>
      </c>
      <c r="AM95">
        <f>IF('Calc base'!H$14=0,0,MIN(AA95,MAX(0,$E95-SUMIFS($V95:$AG95,'Calc base'!$C$19:$N$19,"&lt;"&amp;'Calc base'!H$19,'Calc base'!$C$14:$N$14,1))))</f>
        <v>0</v>
      </c>
      <c r="AN95">
        <f>IF('Calc base'!I$14=0,0,MIN(AB95,MAX(0,$E95-SUMIFS($V95:$AG95,'Calc base'!$C$19:$N$19,"&lt;"&amp;'Calc base'!I$19,'Calc base'!$C$14:$N$14,1))))</f>
        <v>0</v>
      </c>
      <c r="AO95">
        <f>IF('Calc base'!J$14=0,0,MIN(AC95,MAX(0,$E95-SUMIFS($V95:$AG95,'Calc base'!$C$19:$N$19,"&lt;"&amp;'Calc base'!J$19,'Calc base'!$C$14:$N$14,1))))</f>
        <v>0</v>
      </c>
      <c r="AP95">
        <f>IF('Calc base'!K$14=0,0,MIN(AD95,MAX(0,$E95-SUMIFS($V95:$AG95,'Calc base'!$C$19:$N$19,"&lt;"&amp;'Calc base'!K$19,'Calc base'!$C$14:$N$14,1))))</f>
        <v>0</v>
      </c>
      <c r="AQ95">
        <f>IF('Calc base'!L$14=0,0,MIN(AE95,MAX(0,$E95-SUMIFS($V95:$AG95,'Calc base'!$C$19:$N$19,"&lt;"&amp;'Calc base'!L$19,'Calc base'!$C$14:$N$14,1))))</f>
        <v>0</v>
      </c>
      <c r="AR95">
        <f>IF('Calc base'!M$14=0,0,MIN(AF95,MAX(0,$E95-SUMIFS($V95:$AG95,'Calc base'!$C$19:$N$19,"&lt;"&amp;'Calc base'!M$19,'Calc base'!$C$14:$N$14,1))))</f>
        <v>0</v>
      </c>
      <c r="AS95">
        <f>IF('Calc base'!N$14=0,0,MIN(AG95,MAX(0,$E95-SUMIFS($V95:$AG95,'Calc base'!$C$19:$N$19,"&lt;"&amp;'Calc base'!N$19,'Calc base'!$C$14:$N$14,1))))</f>
        <v>0</v>
      </c>
      <c r="AT95">
        <f>V95-AH95</f>
        <v>0</v>
      </c>
      <c r="AU95">
        <f>W95-AI95</f>
        <v>0</v>
      </c>
      <c r="AV95">
        <f>X95-AJ95</f>
        <v>0</v>
      </c>
      <c r="AW95">
        <f>Y95-AK95</f>
        <v>0</v>
      </c>
      <c r="AX95">
        <f>Z95-AL95</f>
        <v>0</v>
      </c>
      <c r="AY95">
        <f>AA95-AM95</f>
        <v>0</v>
      </c>
      <c r="AZ95">
        <f>AB95-AN95</f>
        <v>0</v>
      </c>
      <c r="BA95">
        <f>AC95-AO95</f>
        <v>0</v>
      </c>
      <c r="BB95">
        <f>AD95-AP95</f>
        <v>0</v>
      </c>
      <c r="BC95">
        <f>AE95-AQ95</f>
        <v>0</v>
      </c>
      <c r="BD95">
        <f>AF95-AR95</f>
        <v>0</v>
      </c>
      <c r="BE95">
        <f>AG95-AS95</f>
        <v>0</v>
      </c>
    </row>
    <row r="96">
      <c r="A96" t="n">
        <v>66</v>
      </c>
      <c r="B96">
        <f>SUMPRODUCT(ROUND($AT95:$BE95*(1+'Calc base'!$H96:$S96),2))</f>
        <v>0</v>
      </c>
      <c r="C96">
        <f>SUM(J96:U96)</f>
        <v>0</v>
      </c>
      <c r="D96">
        <f>SUM(V96:AG96)</f>
        <v>0</v>
      </c>
      <c r="E96">
        <f>MAX(0,IF(Impostazioni!$B$7="No",'Calc base'!$C96-$C$31,'Calc base'!$C96-C96)+'Calc base'!$G96+'Calc base'!$F96-(B96-C96-D96))</f>
        <v>900</v>
      </c>
      <c r="F96">
        <f>SUM(AH96:AS96)</f>
        <v>0</v>
      </c>
      <c r="G96">
        <f>SUM(AT96:BE96)</f>
        <v>0</v>
      </c>
      <c r="H96">
        <f>B96-G95</f>
        <v>0</v>
      </c>
      <c r="I96">
        <f>B96-G96</f>
        <v>0</v>
      </c>
      <c r="J96">
        <f>IF(AT95&lt;=0,0,IF(ROUND(AT95*(1+'Calc base'!H96),2)-MAX('Calc base'!C$12,ROUND('Calc base'!C$13*AT95,2))&lt;1,ROUND(AT95*(1+'Calc base'!H96),2),MAX('Calc base'!C$12,ROUND('Calc base'!C$13*AT95,2))))</f>
        <v>0</v>
      </c>
      <c r="K96">
        <f>IF(AU95&lt;=0,0,IF(ROUND(AU95*(1+'Calc base'!I96),2)-MAX('Calc base'!D$12,ROUND('Calc base'!D$13*AU95,2))&lt;1,ROUND(AU95*(1+'Calc base'!I96),2),MAX('Calc base'!D$12,ROUND('Calc base'!D$13*AU95,2))))</f>
        <v>0</v>
      </c>
      <c r="L96">
        <f>IF(AV95&lt;=0,0,IF(ROUND(AV95*(1+'Calc base'!J96),2)-MAX('Calc base'!E$12,ROUND('Calc base'!E$13*AV95,2))&lt;1,ROUND(AV95*(1+'Calc base'!J96),2),MAX('Calc base'!E$12,ROUND('Calc base'!E$13*AV95,2))))</f>
        <v>0</v>
      </c>
      <c r="M96">
        <f>IF(AW95&lt;=0,0,IF(ROUND(AW95*(1+'Calc base'!K96),2)-MAX('Calc base'!F$12,ROUND('Calc base'!F$13*AW95,2))&lt;1,ROUND(AW95*(1+'Calc base'!K96),2),MAX('Calc base'!F$12,ROUND('Calc base'!F$13*AW95,2))))</f>
        <v>0</v>
      </c>
      <c r="N96">
        <f>IF(AX95&lt;=0,0,IF(ROUND(AX95*(1+'Calc base'!L96),2)-MAX('Calc base'!G$12,ROUND('Calc base'!G$13*AX95,2))&lt;1,ROUND(AX95*(1+'Calc base'!L96),2),MAX('Calc base'!G$12,ROUND('Calc base'!G$13*AX95,2))))</f>
        <v>0</v>
      </c>
      <c r="O96">
        <f>IF(AY95&lt;=0,0,IF(ROUND(AY95*(1+'Calc base'!M96),2)-MAX('Calc base'!H$12,ROUND('Calc base'!H$13*AY95,2))&lt;1,ROUND(AY95*(1+'Calc base'!M96),2),MAX('Calc base'!H$12,ROUND('Calc base'!H$13*AY95,2))))</f>
        <v>0</v>
      </c>
      <c r="P96">
        <f>IF(AZ95&lt;=0,0,IF(ROUND(AZ95*(1+'Calc base'!N96),2)-MAX('Calc base'!I$12,ROUND('Calc base'!I$13*AZ95,2))&lt;1,ROUND(AZ95*(1+'Calc base'!N96),2),MAX('Calc base'!I$12,ROUND('Calc base'!I$13*AZ95,2))))</f>
        <v>0</v>
      </c>
      <c r="Q96">
        <f>IF(BA95&lt;=0,0,IF(ROUND(BA95*(1+'Calc base'!O96),2)-MAX('Calc base'!J$12,ROUND('Calc base'!J$13*BA95,2))&lt;1,ROUND(BA95*(1+'Calc base'!O96),2),MAX('Calc base'!J$12,ROUND('Calc base'!J$13*BA95,2))))</f>
        <v>0</v>
      </c>
      <c r="R96">
        <f>IF(BB95&lt;=0,0,IF(ROUND(BB95*(1+'Calc base'!P96),2)-MAX('Calc base'!K$12,ROUND('Calc base'!K$13*BB95,2))&lt;1,ROUND(BB95*(1+'Calc base'!P96),2),MAX('Calc base'!K$12,ROUND('Calc base'!K$13*BB95,2))))</f>
        <v>0</v>
      </c>
      <c r="S96">
        <f>IF(BC95&lt;=0,0,IF(ROUND(BC95*(1+'Calc base'!Q96),2)-MAX('Calc base'!L$12,ROUND('Calc base'!L$13*BC95,2))&lt;1,ROUND(BC95*(1+'Calc base'!Q96),2),MAX('Calc base'!L$12,ROUND('Calc base'!L$13*BC95,2))))</f>
        <v>0</v>
      </c>
      <c r="T96">
        <f>IF(BD95&lt;=0,0,IF(ROUND(BD95*(1+'Calc base'!R96),2)-MAX('Calc base'!M$12,ROUND('Calc base'!M$13*BD95,2))&lt;1,ROUND(BD95*(1+'Calc base'!R96),2),MAX('Calc base'!M$12,ROUND('Calc base'!M$13*BD95,2))))</f>
        <v>0</v>
      </c>
      <c r="U96">
        <f>IF(BE95&lt;=0,0,IF(ROUND(BE95*(1+'Calc base'!S96),2)-MAX('Calc base'!N$12,ROUND('Calc base'!N$13*BE95,2))&lt;1,ROUND(BE95*(1+'Calc base'!S96),2),MAX('Calc base'!N$12,ROUND('Calc base'!N$13*BE95,2))))</f>
        <v>0</v>
      </c>
      <c r="V96">
        <f>MAX(0,ROUND(AT95*(1+'Calc base'!H96),2)-J96-'Calc base'!T96)</f>
        <v>0</v>
      </c>
      <c r="W96">
        <f>MAX(0,ROUND(AU95*(1+'Calc base'!I96),2)-K96-'Calc base'!U96)</f>
        <v>0</v>
      </c>
      <c r="X96">
        <f>MAX(0,ROUND(AV95*(1+'Calc base'!J96),2)-L96-'Calc base'!V96)</f>
        <v>0</v>
      </c>
      <c r="Y96">
        <f>MAX(0,ROUND(AW95*(1+'Calc base'!K96),2)-M96-'Calc base'!W96)</f>
        <v>0</v>
      </c>
      <c r="Z96">
        <f>MAX(0,ROUND(AX95*(1+'Calc base'!L96),2)-N96-'Calc base'!X96)</f>
        <v>0</v>
      </c>
      <c r="AA96">
        <f>MAX(0,ROUND(AY95*(1+'Calc base'!M96),2)-O96-'Calc base'!Y96)</f>
        <v>0</v>
      </c>
      <c r="AB96">
        <f>MAX(0,ROUND(AZ95*(1+'Calc base'!N96),2)-P96-'Calc base'!Z96)</f>
        <v>0</v>
      </c>
      <c r="AC96">
        <f>MAX(0,ROUND(BA95*(1+'Calc base'!O96),2)-Q96-'Calc base'!AA96)</f>
        <v>0</v>
      </c>
      <c r="AD96">
        <f>MAX(0,ROUND(BB95*(1+'Calc base'!P96),2)-R96-'Calc base'!AB96)</f>
        <v>0</v>
      </c>
      <c r="AE96">
        <f>MAX(0,ROUND(BC95*(1+'Calc base'!Q96),2)-S96-'Calc base'!AC96)</f>
        <v>0</v>
      </c>
      <c r="AF96">
        <f>MAX(0,ROUND(BD95*(1+'Calc base'!R96),2)-T96-'Calc base'!AD96)</f>
        <v>0</v>
      </c>
      <c r="AG96">
        <f>MAX(0,ROUND(BE95*(1+'Calc base'!S96),2)-U96-'Calc base'!AE96)</f>
        <v>0</v>
      </c>
      <c r="AH96">
        <f>IF('Calc base'!C$14=0,0,MIN(V96,MAX(0,$E96-SUMIFS($V96:$AG96,'Calc base'!$C$19:$N$19,"&lt;"&amp;'Calc base'!C$19,'Calc base'!$C$14:$N$14,1))))</f>
        <v>0</v>
      </c>
      <c r="AI96">
        <f>IF('Calc base'!D$14=0,0,MIN(W96,MAX(0,$E96-SUMIFS($V96:$AG96,'Calc base'!$C$19:$N$19,"&lt;"&amp;'Calc base'!D$19,'Calc base'!$C$14:$N$14,1))))</f>
        <v>0</v>
      </c>
      <c r="AJ96">
        <f>IF('Calc base'!E$14=0,0,MIN(X96,MAX(0,$E96-SUMIFS($V96:$AG96,'Calc base'!$C$19:$N$19,"&lt;"&amp;'Calc base'!E$19,'Calc base'!$C$14:$N$14,1))))</f>
        <v>0</v>
      </c>
      <c r="AK96">
        <f>IF('Calc base'!F$14=0,0,MIN(Y96,MAX(0,$E96-SUMIFS($V96:$AG96,'Calc base'!$C$19:$N$19,"&lt;"&amp;'Calc base'!F$19,'Calc base'!$C$14:$N$14,1))))</f>
        <v>0</v>
      </c>
      <c r="AL96">
        <f>IF('Calc base'!G$14=0,0,MIN(Z96,MAX(0,$E96-SUMIFS($V96:$AG96,'Calc base'!$C$19:$N$19,"&lt;"&amp;'Calc base'!G$19,'Calc base'!$C$14:$N$14,1))))</f>
        <v>0</v>
      </c>
      <c r="AM96">
        <f>IF('Calc base'!H$14=0,0,MIN(AA96,MAX(0,$E96-SUMIFS($V96:$AG96,'Calc base'!$C$19:$N$19,"&lt;"&amp;'Calc base'!H$19,'Calc base'!$C$14:$N$14,1))))</f>
        <v>0</v>
      </c>
      <c r="AN96">
        <f>IF('Calc base'!I$14=0,0,MIN(AB96,MAX(0,$E96-SUMIFS($V96:$AG96,'Calc base'!$C$19:$N$19,"&lt;"&amp;'Calc base'!I$19,'Calc base'!$C$14:$N$14,1))))</f>
        <v>0</v>
      </c>
      <c r="AO96">
        <f>IF('Calc base'!J$14=0,0,MIN(AC96,MAX(0,$E96-SUMIFS($V96:$AG96,'Calc base'!$C$19:$N$19,"&lt;"&amp;'Calc base'!J$19,'Calc base'!$C$14:$N$14,1))))</f>
        <v>0</v>
      </c>
      <c r="AP96">
        <f>IF('Calc base'!K$14=0,0,MIN(AD96,MAX(0,$E96-SUMIFS($V96:$AG96,'Calc base'!$C$19:$N$19,"&lt;"&amp;'Calc base'!K$19,'Calc base'!$C$14:$N$14,1))))</f>
        <v>0</v>
      </c>
      <c r="AQ96">
        <f>IF('Calc base'!L$14=0,0,MIN(AE96,MAX(0,$E96-SUMIFS($V96:$AG96,'Calc base'!$C$19:$N$19,"&lt;"&amp;'Calc base'!L$19,'Calc base'!$C$14:$N$14,1))))</f>
        <v>0</v>
      </c>
      <c r="AR96">
        <f>IF('Calc base'!M$14=0,0,MIN(AF96,MAX(0,$E96-SUMIFS($V96:$AG96,'Calc base'!$C$19:$N$19,"&lt;"&amp;'Calc base'!M$19,'Calc base'!$C$14:$N$14,1))))</f>
        <v>0</v>
      </c>
      <c r="AS96">
        <f>IF('Calc base'!N$14=0,0,MIN(AG96,MAX(0,$E96-SUMIFS($V96:$AG96,'Calc base'!$C$19:$N$19,"&lt;"&amp;'Calc base'!N$19,'Calc base'!$C$14:$N$14,1))))</f>
        <v>0</v>
      </c>
      <c r="AT96">
        <f>V96-AH96</f>
        <v>0</v>
      </c>
      <c r="AU96">
        <f>W96-AI96</f>
        <v>0</v>
      </c>
      <c r="AV96">
        <f>X96-AJ96</f>
        <v>0</v>
      </c>
      <c r="AW96">
        <f>Y96-AK96</f>
        <v>0</v>
      </c>
      <c r="AX96">
        <f>Z96-AL96</f>
        <v>0</v>
      </c>
      <c r="AY96">
        <f>AA96-AM96</f>
        <v>0</v>
      </c>
      <c r="AZ96">
        <f>AB96-AN96</f>
        <v>0</v>
      </c>
      <c r="BA96">
        <f>AC96-AO96</f>
        <v>0</v>
      </c>
      <c r="BB96">
        <f>AD96-AP96</f>
        <v>0</v>
      </c>
      <c r="BC96">
        <f>AE96-AQ96</f>
        <v>0</v>
      </c>
      <c r="BD96">
        <f>AF96-AR96</f>
        <v>0</v>
      </c>
      <c r="BE96">
        <f>AG96-AS96</f>
        <v>0</v>
      </c>
    </row>
    <row r="97">
      <c r="A97" t="n">
        <v>67</v>
      </c>
      <c r="B97">
        <f>SUMPRODUCT(ROUND($AT96:$BE96*(1+'Calc base'!$H97:$S97),2))</f>
        <v>0</v>
      </c>
      <c r="C97">
        <f>SUM(J97:U97)</f>
        <v>0</v>
      </c>
      <c r="D97">
        <f>SUM(V97:AG97)</f>
        <v>0</v>
      </c>
      <c r="E97">
        <f>MAX(0,IF(Impostazioni!$B$7="No",'Calc base'!$C97-$C$31,'Calc base'!$C97-C97)+'Calc base'!$G97+'Calc base'!$F97-(B97-C97-D97))</f>
        <v>900</v>
      </c>
      <c r="F97">
        <f>SUM(AH97:AS97)</f>
        <v>0</v>
      </c>
      <c r="G97">
        <f>SUM(AT97:BE97)</f>
        <v>0</v>
      </c>
      <c r="H97">
        <f>B97-G96</f>
        <v>0</v>
      </c>
      <c r="I97">
        <f>B97-G97</f>
        <v>0</v>
      </c>
      <c r="J97">
        <f>IF(AT96&lt;=0,0,IF(ROUND(AT96*(1+'Calc base'!H97),2)-MAX('Calc base'!C$12,ROUND('Calc base'!C$13*AT96,2))&lt;1,ROUND(AT96*(1+'Calc base'!H97),2),MAX('Calc base'!C$12,ROUND('Calc base'!C$13*AT96,2))))</f>
        <v>0</v>
      </c>
      <c r="K97">
        <f>IF(AU96&lt;=0,0,IF(ROUND(AU96*(1+'Calc base'!I97),2)-MAX('Calc base'!D$12,ROUND('Calc base'!D$13*AU96,2))&lt;1,ROUND(AU96*(1+'Calc base'!I97),2),MAX('Calc base'!D$12,ROUND('Calc base'!D$13*AU96,2))))</f>
        <v>0</v>
      </c>
      <c r="L97">
        <f>IF(AV96&lt;=0,0,IF(ROUND(AV96*(1+'Calc base'!J97),2)-MAX('Calc base'!E$12,ROUND('Calc base'!E$13*AV96,2))&lt;1,ROUND(AV96*(1+'Calc base'!J97),2),MAX('Calc base'!E$12,ROUND('Calc base'!E$13*AV96,2))))</f>
        <v>0</v>
      </c>
      <c r="M97">
        <f>IF(AW96&lt;=0,0,IF(ROUND(AW96*(1+'Calc base'!K97),2)-MAX('Calc base'!F$12,ROUND('Calc base'!F$13*AW96,2))&lt;1,ROUND(AW96*(1+'Calc base'!K97),2),MAX('Calc base'!F$12,ROUND('Calc base'!F$13*AW96,2))))</f>
        <v>0</v>
      </c>
      <c r="N97">
        <f>IF(AX96&lt;=0,0,IF(ROUND(AX96*(1+'Calc base'!L97),2)-MAX('Calc base'!G$12,ROUND('Calc base'!G$13*AX96,2))&lt;1,ROUND(AX96*(1+'Calc base'!L97),2),MAX('Calc base'!G$12,ROUND('Calc base'!G$13*AX96,2))))</f>
        <v>0</v>
      </c>
      <c r="O97">
        <f>IF(AY96&lt;=0,0,IF(ROUND(AY96*(1+'Calc base'!M97),2)-MAX('Calc base'!H$12,ROUND('Calc base'!H$13*AY96,2))&lt;1,ROUND(AY96*(1+'Calc base'!M97),2),MAX('Calc base'!H$12,ROUND('Calc base'!H$13*AY96,2))))</f>
        <v>0</v>
      </c>
      <c r="P97">
        <f>IF(AZ96&lt;=0,0,IF(ROUND(AZ96*(1+'Calc base'!N97),2)-MAX('Calc base'!I$12,ROUND('Calc base'!I$13*AZ96,2))&lt;1,ROUND(AZ96*(1+'Calc base'!N97),2),MAX('Calc base'!I$12,ROUND('Calc base'!I$13*AZ96,2))))</f>
        <v>0</v>
      </c>
      <c r="Q97">
        <f>IF(BA96&lt;=0,0,IF(ROUND(BA96*(1+'Calc base'!O97),2)-MAX('Calc base'!J$12,ROUND('Calc base'!J$13*BA96,2))&lt;1,ROUND(BA96*(1+'Calc base'!O97),2),MAX('Calc base'!J$12,ROUND('Calc base'!J$13*BA96,2))))</f>
        <v>0</v>
      </c>
      <c r="R97">
        <f>IF(BB96&lt;=0,0,IF(ROUND(BB96*(1+'Calc base'!P97),2)-MAX('Calc base'!K$12,ROUND('Calc base'!K$13*BB96,2))&lt;1,ROUND(BB96*(1+'Calc base'!P97),2),MAX('Calc base'!K$12,ROUND('Calc base'!K$13*BB96,2))))</f>
        <v>0</v>
      </c>
      <c r="S97">
        <f>IF(BC96&lt;=0,0,IF(ROUND(BC96*(1+'Calc base'!Q97),2)-MAX('Calc base'!L$12,ROUND('Calc base'!L$13*BC96,2))&lt;1,ROUND(BC96*(1+'Calc base'!Q97),2),MAX('Calc base'!L$12,ROUND('Calc base'!L$13*BC96,2))))</f>
        <v>0</v>
      </c>
      <c r="T97">
        <f>IF(BD96&lt;=0,0,IF(ROUND(BD96*(1+'Calc base'!R97),2)-MAX('Calc base'!M$12,ROUND('Calc base'!M$13*BD96,2))&lt;1,ROUND(BD96*(1+'Calc base'!R97),2),MAX('Calc base'!M$12,ROUND('Calc base'!M$13*BD96,2))))</f>
        <v>0</v>
      </c>
      <c r="U97">
        <f>IF(BE96&lt;=0,0,IF(ROUND(BE96*(1+'Calc base'!S97),2)-MAX('Calc base'!N$12,ROUND('Calc base'!N$13*BE96,2))&lt;1,ROUND(BE96*(1+'Calc base'!S97),2),MAX('Calc base'!N$12,ROUND('Calc base'!N$13*BE96,2))))</f>
        <v>0</v>
      </c>
      <c r="V97">
        <f>MAX(0,ROUND(AT96*(1+'Calc base'!H97),2)-J97-'Calc base'!T97)</f>
        <v>0</v>
      </c>
      <c r="W97">
        <f>MAX(0,ROUND(AU96*(1+'Calc base'!I97),2)-K97-'Calc base'!U97)</f>
        <v>0</v>
      </c>
      <c r="X97">
        <f>MAX(0,ROUND(AV96*(1+'Calc base'!J97),2)-L97-'Calc base'!V97)</f>
        <v>0</v>
      </c>
      <c r="Y97">
        <f>MAX(0,ROUND(AW96*(1+'Calc base'!K97),2)-M97-'Calc base'!W97)</f>
        <v>0</v>
      </c>
      <c r="Z97">
        <f>MAX(0,ROUND(AX96*(1+'Calc base'!L97),2)-N97-'Calc base'!X97)</f>
        <v>0</v>
      </c>
      <c r="AA97">
        <f>MAX(0,ROUND(AY96*(1+'Calc base'!M97),2)-O97-'Calc base'!Y97)</f>
        <v>0</v>
      </c>
      <c r="AB97">
        <f>MAX(0,ROUND(AZ96*(1+'Calc base'!N97),2)-P97-'Calc base'!Z97)</f>
        <v>0</v>
      </c>
      <c r="AC97">
        <f>MAX(0,ROUND(BA96*(1+'Calc base'!O97),2)-Q97-'Calc base'!AA97)</f>
        <v>0</v>
      </c>
      <c r="AD97">
        <f>MAX(0,ROUND(BB96*(1+'Calc base'!P97),2)-R97-'Calc base'!AB97)</f>
        <v>0</v>
      </c>
      <c r="AE97">
        <f>MAX(0,ROUND(BC96*(1+'Calc base'!Q97),2)-S97-'Calc base'!AC97)</f>
        <v>0</v>
      </c>
      <c r="AF97">
        <f>MAX(0,ROUND(BD96*(1+'Calc base'!R97),2)-T97-'Calc base'!AD97)</f>
        <v>0</v>
      </c>
      <c r="AG97">
        <f>MAX(0,ROUND(BE96*(1+'Calc base'!S97),2)-U97-'Calc base'!AE97)</f>
        <v>0</v>
      </c>
      <c r="AH97">
        <f>IF('Calc base'!C$14=0,0,MIN(V97,MAX(0,$E97-SUMIFS($V97:$AG97,'Calc base'!$C$19:$N$19,"&lt;"&amp;'Calc base'!C$19,'Calc base'!$C$14:$N$14,1))))</f>
        <v>0</v>
      </c>
      <c r="AI97">
        <f>IF('Calc base'!D$14=0,0,MIN(W97,MAX(0,$E97-SUMIFS($V97:$AG97,'Calc base'!$C$19:$N$19,"&lt;"&amp;'Calc base'!D$19,'Calc base'!$C$14:$N$14,1))))</f>
        <v>0</v>
      </c>
      <c r="AJ97">
        <f>IF('Calc base'!E$14=0,0,MIN(X97,MAX(0,$E97-SUMIFS($V97:$AG97,'Calc base'!$C$19:$N$19,"&lt;"&amp;'Calc base'!E$19,'Calc base'!$C$14:$N$14,1))))</f>
        <v>0</v>
      </c>
      <c r="AK97">
        <f>IF('Calc base'!F$14=0,0,MIN(Y97,MAX(0,$E97-SUMIFS($V97:$AG97,'Calc base'!$C$19:$N$19,"&lt;"&amp;'Calc base'!F$19,'Calc base'!$C$14:$N$14,1))))</f>
        <v>0</v>
      </c>
      <c r="AL97">
        <f>IF('Calc base'!G$14=0,0,MIN(Z97,MAX(0,$E97-SUMIFS($V97:$AG97,'Calc base'!$C$19:$N$19,"&lt;"&amp;'Calc base'!G$19,'Calc base'!$C$14:$N$14,1))))</f>
        <v>0</v>
      </c>
      <c r="AM97">
        <f>IF('Calc base'!H$14=0,0,MIN(AA97,MAX(0,$E97-SUMIFS($V97:$AG97,'Calc base'!$C$19:$N$19,"&lt;"&amp;'Calc base'!H$19,'Calc base'!$C$14:$N$14,1))))</f>
        <v>0</v>
      </c>
      <c r="AN97">
        <f>IF('Calc base'!I$14=0,0,MIN(AB97,MAX(0,$E97-SUMIFS($V97:$AG97,'Calc base'!$C$19:$N$19,"&lt;"&amp;'Calc base'!I$19,'Calc base'!$C$14:$N$14,1))))</f>
        <v>0</v>
      </c>
      <c r="AO97">
        <f>IF('Calc base'!J$14=0,0,MIN(AC97,MAX(0,$E97-SUMIFS($V97:$AG97,'Calc base'!$C$19:$N$19,"&lt;"&amp;'Calc base'!J$19,'Calc base'!$C$14:$N$14,1))))</f>
        <v>0</v>
      </c>
      <c r="AP97">
        <f>IF('Calc base'!K$14=0,0,MIN(AD97,MAX(0,$E97-SUMIFS($V97:$AG97,'Calc base'!$C$19:$N$19,"&lt;"&amp;'Calc base'!K$19,'Calc base'!$C$14:$N$14,1))))</f>
        <v>0</v>
      </c>
      <c r="AQ97">
        <f>IF('Calc base'!L$14=0,0,MIN(AE97,MAX(0,$E97-SUMIFS($V97:$AG97,'Calc base'!$C$19:$N$19,"&lt;"&amp;'Calc base'!L$19,'Calc base'!$C$14:$N$14,1))))</f>
        <v>0</v>
      </c>
      <c r="AR97">
        <f>IF('Calc base'!M$14=0,0,MIN(AF97,MAX(0,$E97-SUMIFS($V97:$AG97,'Calc base'!$C$19:$N$19,"&lt;"&amp;'Calc base'!M$19,'Calc base'!$C$14:$N$14,1))))</f>
        <v>0</v>
      </c>
      <c r="AS97">
        <f>IF('Calc base'!N$14=0,0,MIN(AG97,MAX(0,$E97-SUMIFS($V97:$AG97,'Calc base'!$C$19:$N$19,"&lt;"&amp;'Calc base'!N$19,'Calc base'!$C$14:$N$14,1))))</f>
        <v>0</v>
      </c>
      <c r="AT97">
        <f>V97-AH97</f>
        <v>0</v>
      </c>
      <c r="AU97">
        <f>W97-AI97</f>
        <v>0</v>
      </c>
      <c r="AV97">
        <f>X97-AJ97</f>
        <v>0</v>
      </c>
      <c r="AW97">
        <f>Y97-AK97</f>
        <v>0</v>
      </c>
      <c r="AX97">
        <f>Z97-AL97</f>
        <v>0</v>
      </c>
      <c r="AY97">
        <f>AA97-AM97</f>
        <v>0</v>
      </c>
      <c r="AZ97">
        <f>AB97-AN97</f>
        <v>0</v>
      </c>
      <c r="BA97">
        <f>AC97-AO97</f>
        <v>0</v>
      </c>
      <c r="BB97">
        <f>AD97-AP97</f>
        <v>0</v>
      </c>
      <c r="BC97">
        <f>AE97-AQ97</f>
        <v>0</v>
      </c>
      <c r="BD97">
        <f>AF97-AR97</f>
        <v>0</v>
      </c>
      <c r="BE97">
        <f>AG97-AS97</f>
        <v>0</v>
      </c>
    </row>
    <row r="98">
      <c r="A98" t="n">
        <v>68</v>
      </c>
      <c r="B98">
        <f>SUMPRODUCT(ROUND($AT97:$BE97*(1+'Calc base'!$H98:$S98),2))</f>
        <v>0</v>
      </c>
      <c r="C98">
        <f>SUM(J98:U98)</f>
        <v>0</v>
      </c>
      <c r="D98">
        <f>SUM(V98:AG98)</f>
        <v>0</v>
      </c>
      <c r="E98">
        <f>MAX(0,IF(Impostazioni!$B$7="No",'Calc base'!$C98-$C$31,'Calc base'!$C98-C98)+'Calc base'!$G98+'Calc base'!$F98-(B98-C98-D98))</f>
        <v>900</v>
      </c>
      <c r="F98">
        <f>SUM(AH98:AS98)</f>
        <v>0</v>
      </c>
      <c r="G98">
        <f>SUM(AT98:BE98)</f>
        <v>0</v>
      </c>
      <c r="H98">
        <f>B98-G97</f>
        <v>0</v>
      </c>
      <c r="I98">
        <f>B98-G98</f>
        <v>0</v>
      </c>
      <c r="J98">
        <f>IF(AT97&lt;=0,0,IF(ROUND(AT97*(1+'Calc base'!H98),2)-MAX('Calc base'!C$12,ROUND('Calc base'!C$13*AT97,2))&lt;1,ROUND(AT97*(1+'Calc base'!H98),2),MAX('Calc base'!C$12,ROUND('Calc base'!C$13*AT97,2))))</f>
        <v>0</v>
      </c>
      <c r="K98">
        <f>IF(AU97&lt;=0,0,IF(ROUND(AU97*(1+'Calc base'!I98),2)-MAX('Calc base'!D$12,ROUND('Calc base'!D$13*AU97,2))&lt;1,ROUND(AU97*(1+'Calc base'!I98),2),MAX('Calc base'!D$12,ROUND('Calc base'!D$13*AU97,2))))</f>
        <v>0</v>
      </c>
      <c r="L98">
        <f>IF(AV97&lt;=0,0,IF(ROUND(AV97*(1+'Calc base'!J98),2)-MAX('Calc base'!E$12,ROUND('Calc base'!E$13*AV97,2))&lt;1,ROUND(AV97*(1+'Calc base'!J98),2),MAX('Calc base'!E$12,ROUND('Calc base'!E$13*AV97,2))))</f>
        <v>0</v>
      </c>
      <c r="M98">
        <f>IF(AW97&lt;=0,0,IF(ROUND(AW97*(1+'Calc base'!K98),2)-MAX('Calc base'!F$12,ROUND('Calc base'!F$13*AW97,2))&lt;1,ROUND(AW97*(1+'Calc base'!K98),2),MAX('Calc base'!F$12,ROUND('Calc base'!F$13*AW97,2))))</f>
        <v>0</v>
      </c>
      <c r="N98">
        <f>IF(AX97&lt;=0,0,IF(ROUND(AX97*(1+'Calc base'!L98),2)-MAX('Calc base'!G$12,ROUND('Calc base'!G$13*AX97,2))&lt;1,ROUND(AX97*(1+'Calc base'!L98),2),MAX('Calc base'!G$12,ROUND('Calc base'!G$13*AX97,2))))</f>
        <v>0</v>
      </c>
      <c r="O98">
        <f>IF(AY97&lt;=0,0,IF(ROUND(AY97*(1+'Calc base'!M98),2)-MAX('Calc base'!H$12,ROUND('Calc base'!H$13*AY97,2))&lt;1,ROUND(AY97*(1+'Calc base'!M98),2),MAX('Calc base'!H$12,ROUND('Calc base'!H$13*AY97,2))))</f>
        <v>0</v>
      </c>
      <c r="P98">
        <f>IF(AZ97&lt;=0,0,IF(ROUND(AZ97*(1+'Calc base'!N98),2)-MAX('Calc base'!I$12,ROUND('Calc base'!I$13*AZ97,2))&lt;1,ROUND(AZ97*(1+'Calc base'!N98),2),MAX('Calc base'!I$12,ROUND('Calc base'!I$13*AZ97,2))))</f>
        <v>0</v>
      </c>
      <c r="Q98">
        <f>IF(BA97&lt;=0,0,IF(ROUND(BA97*(1+'Calc base'!O98),2)-MAX('Calc base'!J$12,ROUND('Calc base'!J$13*BA97,2))&lt;1,ROUND(BA97*(1+'Calc base'!O98),2),MAX('Calc base'!J$12,ROUND('Calc base'!J$13*BA97,2))))</f>
        <v>0</v>
      </c>
      <c r="R98">
        <f>IF(BB97&lt;=0,0,IF(ROUND(BB97*(1+'Calc base'!P98),2)-MAX('Calc base'!K$12,ROUND('Calc base'!K$13*BB97,2))&lt;1,ROUND(BB97*(1+'Calc base'!P98),2),MAX('Calc base'!K$12,ROUND('Calc base'!K$13*BB97,2))))</f>
        <v>0</v>
      </c>
      <c r="S98">
        <f>IF(BC97&lt;=0,0,IF(ROUND(BC97*(1+'Calc base'!Q98),2)-MAX('Calc base'!L$12,ROUND('Calc base'!L$13*BC97,2))&lt;1,ROUND(BC97*(1+'Calc base'!Q98),2),MAX('Calc base'!L$12,ROUND('Calc base'!L$13*BC97,2))))</f>
        <v>0</v>
      </c>
      <c r="T98">
        <f>IF(BD97&lt;=0,0,IF(ROUND(BD97*(1+'Calc base'!R98),2)-MAX('Calc base'!M$12,ROUND('Calc base'!M$13*BD97,2))&lt;1,ROUND(BD97*(1+'Calc base'!R98),2),MAX('Calc base'!M$12,ROUND('Calc base'!M$13*BD97,2))))</f>
        <v>0</v>
      </c>
      <c r="U98">
        <f>IF(BE97&lt;=0,0,IF(ROUND(BE97*(1+'Calc base'!S98),2)-MAX('Calc base'!N$12,ROUND('Calc base'!N$13*BE97,2))&lt;1,ROUND(BE97*(1+'Calc base'!S98),2),MAX('Calc base'!N$12,ROUND('Calc base'!N$13*BE97,2))))</f>
        <v>0</v>
      </c>
      <c r="V98">
        <f>MAX(0,ROUND(AT97*(1+'Calc base'!H98),2)-J98-'Calc base'!T98)</f>
        <v>0</v>
      </c>
      <c r="W98">
        <f>MAX(0,ROUND(AU97*(1+'Calc base'!I98),2)-K98-'Calc base'!U98)</f>
        <v>0</v>
      </c>
      <c r="X98">
        <f>MAX(0,ROUND(AV97*(1+'Calc base'!J98),2)-L98-'Calc base'!V98)</f>
        <v>0</v>
      </c>
      <c r="Y98">
        <f>MAX(0,ROUND(AW97*(1+'Calc base'!K98),2)-M98-'Calc base'!W98)</f>
        <v>0</v>
      </c>
      <c r="Z98">
        <f>MAX(0,ROUND(AX97*(1+'Calc base'!L98),2)-N98-'Calc base'!X98)</f>
        <v>0</v>
      </c>
      <c r="AA98">
        <f>MAX(0,ROUND(AY97*(1+'Calc base'!M98),2)-O98-'Calc base'!Y98)</f>
        <v>0</v>
      </c>
      <c r="AB98">
        <f>MAX(0,ROUND(AZ97*(1+'Calc base'!N98),2)-P98-'Calc base'!Z98)</f>
        <v>0</v>
      </c>
      <c r="AC98">
        <f>MAX(0,ROUND(BA97*(1+'Calc base'!O98),2)-Q98-'Calc base'!AA98)</f>
        <v>0</v>
      </c>
      <c r="AD98">
        <f>MAX(0,ROUND(BB97*(1+'Calc base'!P98),2)-R98-'Calc base'!AB98)</f>
        <v>0</v>
      </c>
      <c r="AE98">
        <f>MAX(0,ROUND(BC97*(1+'Calc base'!Q98),2)-S98-'Calc base'!AC98)</f>
        <v>0</v>
      </c>
      <c r="AF98">
        <f>MAX(0,ROUND(BD97*(1+'Calc base'!R98),2)-T98-'Calc base'!AD98)</f>
        <v>0</v>
      </c>
      <c r="AG98">
        <f>MAX(0,ROUND(BE97*(1+'Calc base'!S98),2)-U98-'Calc base'!AE98)</f>
        <v>0</v>
      </c>
      <c r="AH98">
        <f>IF('Calc base'!C$14=0,0,MIN(V98,MAX(0,$E98-SUMIFS($V98:$AG98,'Calc base'!$C$19:$N$19,"&lt;"&amp;'Calc base'!C$19,'Calc base'!$C$14:$N$14,1))))</f>
        <v>0</v>
      </c>
      <c r="AI98">
        <f>IF('Calc base'!D$14=0,0,MIN(W98,MAX(0,$E98-SUMIFS($V98:$AG98,'Calc base'!$C$19:$N$19,"&lt;"&amp;'Calc base'!D$19,'Calc base'!$C$14:$N$14,1))))</f>
        <v>0</v>
      </c>
      <c r="AJ98">
        <f>IF('Calc base'!E$14=0,0,MIN(X98,MAX(0,$E98-SUMIFS($V98:$AG98,'Calc base'!$C$19:$N$19,"&lt;"&amp;'Calc base'!E$19,'Calc base'!$C$14:$N$14,1))))</f>
        <v>0</v>
      </c>
      <c r="AK98">
        <f>IF('Calc base'!F$14=0,0,MIN(Y98,MAX(0,$E98-SUMIFS($V98:$AG98,'Calc base'!$C$19:$N$19,"&lt;"&amp;'Calc base'!F$19,'Calc base'!$C$14:$N$14,1))))</f>
        <v>0</v>
      </c>
      <c r="AL98">
        <f>IF('Calc base'!G$14=0,0,MIN(Z98,MAX(0,$E98-SUMIFS($V98:$AG98,'Calc base'!$C$19:$N$19,"&lt;"&amp;'Calc base'!G$19,'Calc base'!$C$14:$N$14,1))))</f>
        <v>0</v>
      </c>
      <c r="AM98">
        <f>IF('Calc base'!H$14=0,0,MIN(AA98,MAX(0,$E98-SUMIFS($V98:$AG98,'Calc base'!$C$19:$N$19,"&lt;"&amp;'Calc base'!H$19,'Calc base'!$C$14:$N$14,1))))</f>
        <v>0</v>
      </c>
      <c r="AN98">
        <f>IF('Calc base'!I$14=0,0,MIN(AB98,MAX(0,$E98-SUMIFS($V98:$AG98,'Calc base'!$C$19:$N$19,"&lt;"&amp;'Calc base'!I$19,'Calc base'!$C$14:$N$14,1))))</f>
        <v>0</v>
      </c>
      <c r="AO98">
        <f>IF('Calc base'!J$14=0,0,MIN(AC98,MAX(0,$E98-SUMIFS($V98:$AG98,'Calc base'!$C$19:$N$19,"&lt;"&amp;'Calc base'!J$19,'Calc base'!$C$14:$N$14,1))))</f>
        <v>0</v>
      </c>
      <c r="AP98">
        <f>IF('Calc base'!K$14=0,0,MIN(AD98,MAX(0,$E98-SUMIFS($V98:$AG98,'Calc base'!$C$19:$N$19,"&lt;"&amp;'Calc base'!K$19,'Calc base'!$C$14:$N$14,1))))</f>
        <v>0</v>
      </c>
      <c r="AQ98">
        <f>IF('Calc base'!L$14=0,0,MIN(AE98,MAX(0,$E98-SUMIFS($V98:$AG98,'Calc base'!$C$19:$N$19,"&lt;"&amp;'Calc base'!L$19,'Calc base'!$C$14:$N$14,1))))</f>
        <v>0</v>
      </c>
      <c r="AR98">
        <f>IF('Calc base'!M$14=0,0,MIN(AF98,MAX(0,$E98-SUMIFS($V98:$AG98,'Calc base'!$C$19:$N$19,"&lt;"&amp;'Calc base'!M$19,'Calc base'!$C$14:$N$14,1))))</f>
        <v>0</v>
      </c>
      <c r="AS98">
        <f>IF('Calc base'!N$14=0,0,MIN(AG98,MAX(0,$E98-SUMIFS($V98:$AG98,'Calc base'!$C$19:$N$19,"&lt;"&amp;'Calc base'!N$19,'Calc base'!$C$14:$N$14,1))))</f>
        <v>0</v>
      </c>
      <c r="AT98">
        <f>V98-AH98</f>
        <v>0</v>
      </c>
      <c r="AU98">
        <f>W98-AI98</f>
        <v>0</v>
      </c>
      <c r="AV98">
        <f>X98-AJ98</f>
        <v>0</v>
      </c>
      <c r="AW98">
        <f>Y98-AK98</f>
        <v>0</v>
      </c>
      <c r="AX98">
        <f>Z98-AL98</f>
        <v>0</v>
      </c>
      <c r="AY98">
        <f>AA98-AM98</f>
        <v>0</v>
      </c>
      <c r="AZ98">
        <f>AB98-AN98</f>
        <v>0</v>
      </c>
      <c r="BA98">
        <f>AC98-AO98</f>
        <v>0</v>
      </c>
      <c r="BB98">
        <f>AD98-AP98</f>
        <v>0</v>
      </c>
      <c r="BC98">
        <f>AE98-AQ98</f>
        <v>0</v>
      </c>
      <c r="BD98">
        <f>AF98-AR98</f>
        <v>0</v>
      </c>
      <c r="BE98">
        <f>AG98-AS98</f>
        <v>0</v>
      </c>
    </row>
    <row r="99">
      <c r="A99" t="n">
        <v>69</v>
      </c>
      <c r="B99">
        <f>SUMPRODUCT(ROUND($AT98:$BE98*(1+'Calc base'!$H99:$S99),2))</f>
        <v>0</v>
      </c>
      <c r="C99">
        <f>SUM(J99:U99)</f>
        <v>0</v>
      </c>
      <c r="D99">
        <f>SUM(V99:AG99)</f>
        <v>0</v>
      </c>
      <c r="E99">
        <f>MAX(0,IF(Impostazioni!$B$7="No",'Calc base'!$C99-$C$31,'Calc base'!$C99-C99)+'Calc base'!$G99+'Calc base'!$F99-(B99-C99-D99))</f>
        <v>900</v>
      </c>
      <c r="F99">
        <f>SUM(AH99:AS99)</f>
        <v>0</v>
      </c>
      <c r="G99">
        <f>SUM(AT99:BE99)</f>
        <v>0</v>
      </c>
      <c r="H99">
        <f>B99-G98</f>
        <v>0</v>
      </c>
      <c r="I99">
        <f>B99-G99</f>
        <v>0</v>
      </c>
      <c r="J99">
        <f>IF(AT98&lt;=0,0,IF(ROUND(AT98*(1+'Calc base'!H99),2)-MAX('Calc base'!C$12,ROUND('Calc base'!C$13*AT98,2))&lt;1,ROUND(AT98*(1+'Calc base'!H99),2),MAX('Calc base'!C$12,ROUND('Calc base'!C$13*AT98,2))))</f>
        <v>0</v>
      </c>
      <c r="K99">
        <f>IF(AU98&lt;=0,0,IF(ROUND(AU98*(1+'Calc base'!I99),2)-MAX('Calc base'!D$12,ROUND('Calc base'!D$13*AU98,2))&lt;1,ROUND(AU98*(1+'Calc base'!I99),2),MAX('Calc base'!D$12,ROUND('Calc base'!D$13*AU98,2))))</f>
        <v>0</v>
      </c>
      <c r="L99">
        <f>IF(AV98&lt;=0,0,IF(ROUND(AV98*(1+'Calc base'!J99),2)-MAX('Calc base'!E$12,ROUND('Calc base'!E$13*AV98,2))&lt;1,ROUND(AV98*(1+'Calc base'!J99),2),MAX('Calc base'!E$12,ROUND('Calc base'!E$13*AV98,2))))</f>
        <v>0</v>
      </c>
      <c r="M99">
        <f>IF(AW98&lt;=0,0,IF(ROUND(AW98*(1+'Calc base'!K99),2)-MAX('Calc base'!F$12,ROUND('Calc base'!F$13*AW98,2))&lt;1,ROUND(AW98*(1+'Calc base'!K99),2),MAX('Calc base'!F$12,ROUND('Calc base'!F$13*AW98,2))))</f>
        <v>0</v>
      </c>
      <c r="N99">
        <f>IF(AX98&lt;=0,0,IF(ROUND(AX98*(1+'Calc base'!L99),2)-MAX('Calc base'!G$12,ROUND('Calc base'!G$13*AX98,2))&lt;1,ROUND(AX98*(1+'Calc base'!L99),2),MAX('Calc base'!G$12,ROUND('Calc base'!G$13*AX98,2))))</f>
        <v>0</v>
      </c>
      <c r="O99">
        <f>IF(AY98&lt;=0,0,IF(ROUND(AY98*(1+'Calc base'!M99),2)-MAX('Calc base'!H$12,ROUND('Calc base'!H$13*AY98,2))&lt;1,ROUND(AY98*(1+'Calc base'!M99),2),MAX('Calc base'!H$12,ROUND('Calc base'!H$13*AY98,2))))</f>
        <v>0</v>
      </c>
      <c r="P99">
        <f>IF(AZ98&lt;=0,0,IF(ROUND(AZ98*(1+'Calc base'!N99),2)-MAX('Calc base'!I$12,ROUND('Calc base'!I$13*AZ98,2))&lt;1,ROUND(AZ98*(1+'Calc base'!N99),2),MAX('Calc base'!I$12,ROUND('Calc base'!I$13*AZ98,2))))</f>
        <v>0</v>
      </c>
      <c r="Q99">
        <f>IF(BA98&lt;=0,0,IF(ROUND(BA98*(1+'Calc base'!O99),2)-MAX('Calc base'!J$12,ROUND('Calc base'!J$13*BA98,2))&lt;1,ROUND(BA98*(1+'Calc base'!O99),2),MAX('Calc base'!J$12,ROUND('Calc base'!J$13*BA98,2))))</f>
        <v>0</v>
      </c>
      <c r="R99">
        <f>IF(BB98&lt;=0,0,IF(ROUND(BB98*(1+'Calc base'!P99),2)-MAX('Calc base'!K$12,ROUND('Calc base'!K$13*BB98,2))&lt;1,ROUND(BB98*(1+'Calc base'!P99),2),MAX('Calc base'!K$12,ROUND('Calc base'!K$13*BB98,2))))</f>
        <v>0</v>
      </c>
      <c r="S99">
        <f>IF(BC98&lt;=0,0,IF(ROUND(BC98*(1+'Calc base'!Q99),2)-MAX('Calc base'!L$12,ROUND('Calc base'!L$13*BC98,2))&lt;1,ROUND(BC98*(1+'Calc base'!Q99),2),MAX('Calc base'!L$12,ROUND('Calc base'!L$13*BC98,2))))</f>
        <v>0</v>
      </c>
      <c r="T99">
        <f>IF(BD98&lt;=0,0,IF(ROUND(BD98*(1+'Calc base'!R99),2)-MAX('Calc base'!M$12,ROUND('Calc base'!M$13*BD98,2))&lt;1,ROUND(BD98*(1+'Calc base'!R99),2),MAX('Calc base'!M$12,ROUND('Calc base'!M$13*BD98,2))))</f>
        <v>0</v>
      </c>
      <c r="U99">
        <f>IF(BE98&lt;=0,0,IF(ROUND(BE98*(1+'Calc base'!S99),2)-MAX('Calc base'!N$12,ROUND('Calc base'!N$13*BE98,2))&lt;1,ROUND(BE98*(1+'Calc base'!S99),2),MAX('Calc base'!N$12,ROUND('Calc base'!N$13*BE98,2))))</f>
        <v>0</v>
      </c>
      <c r="V99">
        <f>MAX(0,ROUND(AT98*(1+'Calc base'!H99),2)-J99-'Calc base'!T99)</f>
        <v>0</v>
      </c>
      <c r="W99">
        <f>MAX(0,ROUND(AU98*(1+'Calc base'!I99),2)-K99-'Calc base'!U99)</f>
        <v>0</v>
      </c>
      <c r="X99">
        <f>MAX(0,ROUND(AV98*(1+'Calc base'!J99),2)-L99-'Calc base'!V99)</f>
        <v>0</v>
      </c>
      <c r="Y99">
        <f>MAX(0,ROUND(AW98*(1+'Calc base'!K99),2)-M99-'Calc base'!W99)</f>
        <v>0</v>
      </c>
      <c r="Z99">
        <f>MAX(0,ROUND(AX98*(1+'Calc base'!L99),2)-N99-'Calc base'!X99)</f>
        <v>0</v>
      </c>
      <c r="AA99">
        <f>MAX(0,ROUND(AY98*(1+'Calc base'!M99),2)-O99-'Calc base'!Y99)</f>
        <v>0</v>
      </c>
      <c r="AB99">
        <f>MAX(0,ROUND(AZ98*(1+'Calc base'!N99),2)-P99-'Calc base'!Z99)</f>
        <v>0</v>
      </c>
      <c r="AC99">
        <f>MAX(0,ROUND(BA98*(1+'Calc base'!O99),2)-Q99-'Calc base'!AA99)</f>
        <v>0</v>
      </c>
      <c r="AD99">
        <f>MAX(0,ROUND(BB98*(1+'Calc base'!P99),2)-R99-'Calc base'!AB99)</f>
        <v>0</v>
      </c>
      <c r="AE99">
        <f>MAX(0,ROUND(BC98*(1+'Calc base'!Q99),2)-S99-'Calc base'!AC99)</f>
        <v>0</v>
      </c>
      <c r="AF99">
        <f>MAX(0,ROUND(BD98*(1+'Calc base'!R99),2)-T99-'Calc base'!AD99)</f>
        <v>0</v>
      </c>
      <c r="AG99">
        <f>MAX(0,ROUND(BE98*(1+'Calc base'!S99),2)-U99-'Calc base'!AE99)</f>
        <v>0</v>
      </c>
      <c r="AH99">
        <f>IF('Calc base'!C$14=0,0,MIN(V99,MAX(0,$E99-SUMIFS($V99:$AG99,'Calc base'!$C$19:$N$19,"&lt;"&amp;'Calc base'!C$19,'Calc base'!$C$14:$N$14,1))))</f>
        <v>0</v>
      </c>
      <c r="AI99">
        <f>IF('Calc base'!D$14=0,0,MIN(W99,MAX(0,$E99-SUMIFS($V99:$AG99,'Calc base'!$C$19:$N$19,"&lt;"&amp;'Calc base'!D$19,'Calc base'!$C$14:$N$14,1))))</f>
        <v>0</v>
      </c>
      <c r="AJ99">
        <f>IF('Calc base'!E$14=0,0,MIN(X99,MAX(0,$E99-SUMIFS($V99:$AG99,'Calc base'!$C$19:$N$19,"&lt;"&amp;'Calc base'!E$19,'Calc base'!$C$14:$N$14,1))))</f>
        <v>0</v>
      </c>
      <c r="AK99">
        <f>IF('Calc base'!F$14=0,0,MIN(Y99,MAX(0,$E99-SUMIFS($V99:$AG99,'Calc base'!$C$19:$N$19,"&lt;"&amp;'Calc base'!F$19,'Calc base'!$C$14:$N$14,1))))</f>
        <v>0</v>
      </c>
      <c r="AL99">
        <f>IF('Calc base'!G$14=0,0,MIN(Z99,MAX(0,$E99-SUMIFS($V99:$AG99,'Calc base'!$C$19:$N$19,"&lt;"&amp;'Calc base'!G$19,'Calc base'!$C$14:$N$14,1))))</f>
        <v>0</v>
      </c>
      <c r="AM99">
        <f>IF('Calc base'!H$14=0,0,MIN(AA99,MAX(0,$E99-SUMIFS($V99:$AG99,'Calc base'!$C$19:$N$19,"&lt;"&amp;'Calc base'!H$19,'Calc base'!$C$14:$N$14,1))))</f>
        <v>0</v>
      </c>
      <c r="AN99">
        <f>IF('Calc base'!I$14=0,0,MIN(AB99,MAX(0,$E99-SUMIFS($V99:$AG99,'Calc base'!$C$19:$N$19,"&lt;"&amp;'Calc base'!I$19,'Calc base'!$C$14:$N$14,1))))</f>
        <v>0</v>
      </c>
      <c r="AO99">
        <f>IF('Calc base'!J$14=0,0,MIN(AC99,MAX(0,$E99-SUMIFS($V99:$AG99,'Calc base'!$C$19:$N$19,"&lt;"&amp;'Calc base'!J$19,'Calc base'!$C$14:$N$14,1))))</f>
        <v>0</v>
      </c>
      <c r="AP99">
        <f>IF('Calc base'!K$14=0,0,MIN(AD99,MAX(0,$E99-SUMIFS($V99:$AG99,'Calc base'!$C$19:$N$19,"&lt;"&amp;'Calc base'!K$19,'Calc base'!$C$14:$N$14,1))))</f>
        <v>0</v>
      </c>
      <c r="AQ99">
        <f>IF('Calc base'!L$14=0,0,MIN(AE99,MAX(0,$E99-SUMIFS($V99:$AG99,'Calc base'!$C$19:$N$19,"&lt;"&amp;'Calc base'!L$19,'Calc base'!$C$14:$N$14,1))))</f>
        <v>0</v>
      </c>
      <c r="AR99">
        <f>IF('Calc base'!M$14=0,0,MIN(AF99,MAX(0,$E99-SUMIFS($V99:$AG99,'Calc base'!$C$19:$N$19,"&lt;"&amp;'Calc base'!M$19,'Calc base'!$C$14:$N$14,1))))</f>
        <v>0</v>
      </c>
      <c r="AS99">
        <f>IF('Calc base'!N$14=0,0,MIN(AG99,MAX(0,$E99-SUMIFS($V99:$AG99,'Calc base'!$C$19:$N$19,"&lt;"&amp;'Calc base'!N$19,'Calc base'!$C$14:$N$14,1))))</f>
        <v>0</v>
      </c>
      <c r="AT99">
        <f>V99-AH99</f>
        <v>0</v>
      </c>
      <c r="AU99">
        <f>W99-AI99</f>
        <v>0</v>
      </c>
      <c r="AV99">
        <f>X99-AJ99</f>
        <v>0</v>
      </c>
      <c r="AW99">
        <f>Y99-AK99</f>
        <v>0</v>
      </c>
      <c r="AX99">
        <f>Z99-AL99</f>
        <v>0</v>
      </c>
      <c r="AY99">
        <f>AA99-AM99</f>
        <v>0</v>
      </c>
      <c r="AZ99">
        <f>AB99-AN99</f>
        <v>0</v>
      </c>
      <c r="BA99">
        <f>AC99-AO99</f>
        <v>0</v>
      </c>
      <c r="BB99">
        <f>AD99-AP99</f>
        <v>0</v>
      </c>
      <c r="BC99">
        <f>AE99-AQ99</f>
        <v>0</v>
      </c>
      <c r="BD99">
        <f>AF99-AR99</f>
        <v>0</v>
      </c>
      <c r="BE99">
        <f>AG99-AS99</f>
        <v>0</v>
      </c>
    </row>
    <row r="100">
      <c r="A100" t="n">
        <v>70</v>
      </c>
      <c r="B100">
        <f>SUMPRODUCT(ROUND($AT99:$BE99*(1+'Calc base'!$H100:$S100),2))</f>
        <v>0</v>
      </c>
      <c r="C100">
        <f>SUM(J100:U100)</f>
        <v>0</v>
      </c>
      <c r="D100">
        <f>SUM(V100:AG100)</f>
        <v>0</v>
      </c>
      <c r="E100">
        <f>MAX(0,IF(Impostazioni!$B$7="No",'Calc base'!$C100-$C$31,'Calc base'!$C100-C100)+'Calc base'!$G100+'Calc base'!$F100-(B100-C100-D100))</f>
        <v>900</v>
      </c>
      <c r="F100">
        <f>SUM(AH100:AS100)</f>
        <v>0</v>
      </c>
      <c r="G100">
        <f>SUM(AT100:BE100)</f>
        <v>0</v>
      </c>
      <c r="H100">
        <f>B100-G99</f>
        <v>0</v>
      </c>
      <c r="I100">
        <f>B100-G100</f>
        <v>0</v>
      </c>
      <c r="J100">
        <f>IF(AT99&lt;=0,0,IF(ROUND(AT99*(1+'Calc base'!H100),2)-MAX('Calc base'!C$12,ROUND('Calc base'!C$13*AT99,2))&lt;1,ROUND(AT99*(1+'Calc base'!H100),2),MAX('Calc base'!C$12,ROUND('Calc base'!C$13*AT99,2))))</f>
        <v>0</v>
      </c>
      <c r="K100">
        <f>IF(AU99&lt;=0,0,IF(ROUND(AU99*(1+'Calc base'!I100),2)-MAX('Calc base'!D$12,ROUND('Calc base'!D$13*AU99,2))&lt;1,ROUND(AU99*(1+'Calc base'!I100),2),MAX('Calc base'!D$12,ROUND('Calc base'!D$13*AU99,2))))</f>
        <v>0</v>
      </c>
      <c r="L100">
        <f>IF(AV99&lt;=0,0,IF(ROUND(AV99*(1+'Calc base'!J100),2)-MAX('Calc base'!E$12,ROUND('Calc base'!E$13*AV99,2))&lt;1,ROUND(AV99*(1+'Calc base'!J100),2),MAX('Calc base'!E$12,ROUND('Calc base'!E$13*AV99,2))))</f>
        <v>0</v>
      </c>
      <c r="M100">
        <f>IF(AW99&lt;=0,0,IF(ROUND(AW99*(1+'Calc base'!K100),2)-MAX('Calc base'!F$12,ROUND('Calc base'!F$13*AW99,2))&lt;1,ROUND(AW99*(1+'Calc base'!K100),2),MAX('Calc base'!F$12,ROUND('Calc base'!F$13*AW99,2))))</f>
        <v>0</v>
      </c>
      <c r="N100">
        <f>IF(AX99&lt;=0,0,IF(ROUND(AX99*(1+'Calc base'!L100),2)-MAX('Calc base'!G$12,ROUND('Calc base'!G$13*AX99,2))&lt;1,ROUND(AX99*(1+'Calc base'!L100),2),MAX('Calc base'!G$12,ROUND('Calc base'!G$13*AX99,2))))</f>
        <v>0</v>
      </c>
      <c r="O100">
        <f>IF(AY99&lt;=0,0,IF(ROUND(AY99*(1+'Calc base'!M100),2)-MAX('Calc base'!H$12,ROUND('Calc base'!H$13*AY99,2))&lt;1,ROUND(AY99*(1+'Calc base'!M100),2),MAX('Calc base'!H$12,ROUND('Calc base'!H$13*AY99,2))))</f>
        <v>0</v>
      </c>
      <c r="P100">
        <f>IF(AZ99&lt;=0,0,IF(ROUND(AZ99*(1+'Calc base'!N100),2)-MAX('Calc base'!I$12,ROUND('Calc base'!I$13*AZ99,2))&lt;1,ROUND(AZ99*(1+'Calc base'!N100),2),MAX('Calc base'!I$12,ROUND('Calc base'!I$13*AZ99,2))))</f>
        <v>0</v>
      </c>
      <c r="Q100">
        <f>IF(BA99&lt;=0,0,IF(ROUND(BA99*(1+'Calc base'!O100),2)-MAX('Calc base'!J$12,ROUND('Calc base'!J$13*BA99,2))&lt;1,ROUND(BA99*(1+'Calc base'!O100),2),MAX('Calc base'!J$12,ROUND('Calc base'!J$13*BA99,2))))</f>
        <v>0</v>
      </c>
      <c r="R100">
        <f>IF(BB99&lt;=0,0,IF(ROUND(BB99*(1+'Calc base'!P100),2)-MAX('Calc base'!K$12,ROUND('Calc base'!K$13*BB99,2))&lt;1,ROUND(BB99*(1+'Calc base'!P100),2),MAX('Calc base'!K$12,ROUND('Calc base'!K$13*BB99,2))))</f>
        <v>0</v>
      </c>
      <c r="S100">
        <f>IF(BC99&lt;=0,0,IF(ROUND(BC99*(1+'Calc base'!Q100),2)-MAX('Calc base'!L$12,ROUND('Calc base'!L$13*BC99,2))&lt;1,ROUND(BC99*(1+'Calc base'!Q100),2),MAX('Calc base'!L$12,ROUND('Calc base'!L$13*BC99,2))))</f>
        <v>0</v>
      </c>
      <c r="T100">
        <f>IF(BD99&lt;=0,0,IF(ROUND(BD99*(1+'Calc base'!R100),2)-MAX('Calc base'!M$12,ROUND('Calc base'!M$13*BD99,2))&lt;1,ROUND(BD99*(1+'Calc base'!R100),2),MAX('Calc base'!M$12,ROUND('Calc base'!M$13*BD99,2))))</f>
        <v>0</v>
      </c>
      <c r="U100">
        <f>IF(BE99&lt;=0,0,IF(ROUND(BE99*(1+'Calc base'!S100),2)-MAX('Calc base'!N$12,ROUND('Calc base'!N$13*BE99,2))&lt;1,ROUND(BE99*(1+'Calc base'!S100),2),MAX('Calc base'!N$12,ROUND('Calc base'!N$13*BE99,2))))</f>
        <v>0</v>
      </c>
      <c r="V100">
        <f>MAX(0,ROUND(AT99*(1+'Calc base'!H100),2)-J100-'Calc base'!T100)</f>
        <v>0</v>
      </c>
      <c r="W100">
        <f>MAX(0,ROUND(AU99*(1+'Calc base'!I100),2)-K100-'Calc base'!U100)</f>
        <v>0</v>
      </c>
      <c r="X100">
        <f>MAX(0,ROUND(AV99*(1+'Calc base'!J100),2)-L100-'Calc base'!V100)</f>
        <v>0</v>
      </c>
      <c r="Y100">
        <f>MAX(0,ROUND(AW99*(1+'Calc base'!K100),2)-M100-'Calc base'!W100)</f>
        <v>0</v>
      </c>
      <c r="Z100">
        <f>MAX(0,ROUND(AX99*(1+'Calc base'!L100),2)-N100-'Calc base'!X100)</f>
        <v>0</v>
      </c>
      <c r="AA100">
        <f>MAX(0,ROUND(AY99*(1+'Calc base'!M100),2)-O100-'Calc base'!Y100)</f>
        <v>0</v>
      </c>
      <c r="AB100">
        <f>MAX(0,ROUND(AZ99*(1+'Calc base'!N100),2)-P100-'Calc base'!Z100)</f>
        <v>0</v>
      </c>
      <c r="AC100">
        <f>MAX(0,ROUND(BA99*(1+'Calc base'!O100),2)-Q100-'Calc base'!AA100)</f>
        <v>0</v>
      </c>
      <c r="AD100">
        <f>MAX(0,ROUND(BB99*(1+'Calc base'!P100),2)-R100-'Calc base'!AB100)</f>
        <v>0</v>
      </c>
      <c r="AE100">
        <f>MAX(0,ROUND(BC99*(1+'Calc base'!Q100),2)-S100-'Calc base'!AC100)</f>
        <v>0</v>
      </c>
      <c r="AF100">
        <f>MAX(0,ROUND(BD99*(1+'Calc base'!R100),2)-T100-'Calc base'!AD100)</f>
        <v>0</v>
      </c>
      <c r="AG100">
        <f>MAX(0,ROUND(BE99*(1+'Calc base'!S100),2)-U100-'Calc base'!AE100)</f>
        <v>0</v>
      </c>
      <c r="AH100">
        <f>IF('Calc base'!C$14=0,0,MIN(V100,MAX(0,$E100-SUMIFS($V100:$AG100,'Calc base'!$C$19:$N$19,"&lt;"&amp;'Calc base'!C$19,'Calc base'!$C$14:$N$14,1))))</f>
        <v>0</v>
      </c>
      <c r="AI100">
        <f>IF('Calc base'!D$14=0,0,MIN(W100,MAX(0,$E100-SUMIFS($V100:$AG100,'Calc base'!$C$19:$N$19,"&lt;"&amp;'Calc base'!D$19,'Calc base'!$C$14:$N$14,1))))</f>
        <v>0</v>
      </c>
      <c r="AJ100">
        <f>IF('Calc base'!E$14=0,0,MIN(X100,MAX(0,$E100-SUMIFS($V100:$AG100,'Calc base'!$C$19:$N$19,"&lt;"&amp;'Calc base'!E$19,'Calc base'!$C$14:$N$14,1))))</f>
        <v>0</v>
      </c>
      <c r="AK100">
        <f>IF('Calc base'!F$14=0,0,MIN(Y100,MAX(0,$E100-SUMIFS($V100:$AG100,'Calc base'!$C$19:$N$19,"&lt;"&amp;'Calc base'!F$19,'Calc base'!$C$14:$N$14,1))))</f>
        <v>0</v>
      </c>
      <c r="AL100">
        <f>IF('Calc base'!G$14=0,0,MIN(Z100,MAX(0,$E100-SUMIFS($V100:$AG100,'Calc base'!$C$19:$N$19,"&lt;"&amp;'Calc base'!G$19,'Calc base'!$C$14:$N$14,1))))</f>
        <v>0</v>
      </c>
      <c r="AM100">
        <f>IF('Calc base'!H$14=0,0,MIN(AA100,MAX(0,$E100-SUMIFS($V100:$AG100,'Calc base'!$C$19:$N$19,"&lt;"&amp;'Calc base'!H$19,'Calc base'!$C$14:$N$14,1))))</f>
        <v>0</v>
      </c>
      <c r="AN100">
        <f>IF('Calc base'!I$14=0,0,MIN(AB100,MAX(0,$E100-SUMIFS($V100:$AG100,'Calc base'!$C$19:$N$19,"&lt;"&amp;'Calc base'!I$19,'Calc base'!$C$14:$N$14,1))))</f>
        <v>0</v>
      </c>
      <c r="AO100">
        <f>IF('Calc base'!J$14=0,0,MIN(AC100,MAX(0,$E100-SUMIFS($V100:$AG100,'Calc base'!$C$19:$N$19,"&lt;"&amp;'Calc base'!J$19,'Calc base'!$C$14:$N$14,1))))</f>
        <v>0</v>
      </c>
      <c r="AP100">
        <f>IF('Calc base'!K$14=0,0,MIN(AD100,MAX(0,$E100-SUMIFS($V100:$AG100,'Calc base'!$C$19:$N$19,"&lt;"&amp;'Calc base'!K$19,'Calc base'!$C$14:$N$14,1))))</f>
        <v>0</v>
      </c>
      <c r="AQ100">
        <f>IF('Calc base'!L$14=0,0,MIN(AE100,MAX(0,$E100-SUMIFS($V100:$AG100,'Calc base'!$C$19:$N$19,"&lt;"&amp;'Calc base'!L$19,'Calc base'!$C$14:$N$14,1))))</f>
        <v>0</v>
      </c>
      <c r="AR100">
        <f>IF('Calc base'!M$14=0,0,MIN(AF100,MAX(0,$E100-SUMIFS($V100:$AG100,'Calc base'!$C$19:$N$19,"&lt;"&amp;'Calc base'!M$19,'Calc base'!$C$14:$N$14,1))))</f>
        <v>0</v>
      </c>
      <c r="AS100">
        <f>IF('Calc base'!N$14=0,0,MIN(AG100,MAX(0,$E100-SUMIFS($V100:$AG100,'Calc base'!$C$19:$N$19,"&lt;"&amp;'Calc base'!N$19,'Calc base'!$C$14:$N$14,1))))</f>
        <v>0</v>
      </c>
      <c r="AT100">
        <f>V100-AH100</f>
        <v>0</v>
      </c>
      <c r="AU100">
        <f>W100-AI100</f>
        <v>0</v>
      </c>
      <c r="AV100">
        <f>X100-AJ100</f>
        <v>0</v>
      </c>
      <c r="AW100">
        <f>Y100-AK100</f>
        <v>0</v>
      </c>
      <c r="AX100">
        <f>Z100-AL100</f>
        <v>0</v>
      </c>
      <c r="AY100">
        <f>AA100-AM100</f>
        <v>0</v>
      </c>
      <c r="AZ100">
        <f>AB100-AN100</f>
        <v>0</v>
      </c>
      <c r="BA100">
        <f>AC100-AO100</f>
        <v>0</v>
      </c>
      <c r="BB100">
        <f>AD100-AP100</f>
        <v>0</v>
      </c>
      <c r="BC100">
        <f>AE100-AQ100</f>
        <v>0</v>
      </c>
      <c r="BD100">
        <f>AF100-AR100</f>
        <v>0</v>
      </c>
      <c r="BE100">
        <f>AG100-AS100</f>
        <v>0</v>
      </c>
    </row>
    <row r="101">
      <c r="A101" t="n">
        <v>71</v>
      </c>
      <c r="B101">
        <f>SUMPRODUCT(ROUND($AT100:$BE100*(1+'Calc base'!$H101:$S101),2))</f>
        <v>0</v>
      </c>
      <c r="C101">
        <f>SUM(J101:U101)</f>
        <v>0</v>
      </c>
      <c r="D101">
        <f>SUM(V101:AG101)</f>
        <v>0</v>
      </c>
      <c r="E101">
        <f>MAX(0,IF(Impostazioni!$B$7="No",'Calc base'!$C101-$C$31,'Calc base'!$C101-C101)+'Calc base'!$G101+'Calc base'!$F101-(B101-C101-D101))</f>
        <v>900</v>
      </c>
      <c r="F101">
        <f>SUM(AH101:AS101)</f>
        <v>0</v>
      </c>
      <c r="G101">
        <f>SUM(AT101:BE101)</f>
        <v>0</v>
      </c>
      <c r="H101">
        <f>B101-G100</f>
        <v>0</v>
      </c>
      <c r="I101">
        <f>B101-G101</f>
        <v>0</v>
      </c>
      <c r="J101">
        <f>IF(AT100&lt;=0,0,IF(ROUND(AT100*(1+'Calc base'!H101),2)-MAX('Calc base'!C$12,ROUND('Calc base'!C$13*AT100,2))&lt;1,ROUND(AT100*(1+'Calc base'!H101),2),MAX('Calc base'!C$12,ROUND('Calc base'!C$13*AT100,2))))</f>
        <v>0</v>
      </c>
      <c r="K101">
        <f>IF(AU100&lt;=0,0,IF(ROUND(AU100*(1+'Calc base'!I101),2)-MAX('Calc base'!D$12,ROUND('Calc base'!D$13*AU100,2))&lt;1,ROUND(AU100*(1+'Calc base'!I101),2),MAX('Calc base'!D$12,ROUND('Calc base'!D$13*AU100,2))))</f>
        <v>0</v>
      </c>
      <c r="L101">
        <f>IF(AV100&lt;=0,0,IF(ROUND(AV100*(1+'Calc base'!J101),2)-MAX('Calc base'!E$12,ROUND('Calc base'!E$13*AV100,2))&lt;1,ROUND(AV100*(1+'Calc base'!J101),2),MAX('Calc base'!E$12,ROUND('Calc base'!E$13*AV100,2))))</f>
        <v>0</v>
      </c>
      <c r="M101">
        <f>IF(AW100&lt;=0,0,IF(ROUND(AW100*(1+'Calc base'!K101),2)-MAX('Calc base'!F$12,ROUND('Calc base'!F$13*AW100,2))&lt;1,ROUND(AW100*(1+'Calc base'!K101),2),MAX('Calc base'!F$12,ROUND('Calc base'!F$13*AW100,2))))</f>
        <v>0</v>
      </c>
      <c r="N101">
        <f>IF(AX100&lt;=0,0,IF(ROUND(AX100*(1+'Calc base'!L101),2)-MAX('Calc base'!G$12,ROUND('Calc base'!G$13*AX100,2))&lt;1,ROUND(AX100*(1+'Calc base'!L101),2),MAX('Calc base'!G$12,ROUND('Calc base'!G$13*AX100,2))))</f>
        <v>0</v>
      </c>
      <c r="O101">
        <f>IF(AY100&lt;=0,0,IF(ROUND(AY100*(1+'Calc base'!M101),2)-MAX('Calc base'!H$12,ROUND('Calc base'!H$13*AY100,2))&lt;1,ROUND(AY100*(1+'Calc base'!M101),2),MAX('Calc base'!H$12,ROUND('Calc base'!H$13*AY100,2))))</f>
        <v>0</v>
      </c>
      <c r="P101">
        <f>IF(AZ100&lt;=0,0,IF(ROUND(AZ100*(1+'Calc base'!N101),2)-MAX('Calc base'!I$12,ROUND('Calc base'!I$13*AZ100,2))&lt;1,ROUND(AZ100*(1+'Calc base'!N101),2),MAX('Calc base'!I$12,ROUND('Calc base'!I$13*AZ100,2))))</f>
        <v>0</v>
      </c>
      <c r="Q101">
        <f>IF(BA100&lt;=0,0,IF(ROUND(BA100*(1+'Calc base'!O101),2)-MAX('Calc base'!J$12,ROUND('Calc base'!J$13*BA100,2))&lt;1,ROUND(BA100*(1+'Calc base'!O101),2),MAX('Calc base'!J$12,ROUND('Calc base'!J$13*BA100,2))))</f>
        <v>0</v>
      </c>
      <c r="R101">
        <f>IF(BB100&lt;=0,0,IF(ROUND(BB100*(1+'Calc base'!P101),2)-MAX('Calc base'!K$12,ROUND('Calc base'!K$13*BB100,2))&lt;1,ROUND(BB100*(1+'Calc base'!P101),2),MAX('Calc base'!K$12,ROUND('Calc base'!K$13*BB100,2))))</f>
        <v>0</v>
      </c>
      <c r="S101">
        <f>IF(BC100&lt;=0,0,IF(ROUND(BC100*(1+'Calc base'!Q101),2)-MAX('Calc base'!L$12,ROUND('Calc base'!L$13*BC100,2))&lt;1,ROUND(BC100*(1+'Calc base'!Q101),2),MAX('Calc base'!L$12,ROUND('Calc base'!L$13*BC100,2))))</f>
        <v>0</v>
      </c>
      <c r="T101">
        <f>IF(BD100&lt;=0,0,IF(ROUND(BD100*(1+'Calc base'!R101),2)-MAX('Calc base'!M$12,ROUND('Calc base'!M$13*BD100,2))&lt;1,ROUND(BD100*(1+'Calc base'!R101),2),MAX('Calc base'!M$12,ROUND('Calc base'!M$13*BD100,2))))</f>
        <v>0</v>
      </c>
      <c r="U101">
        <f>IF(BE100&lt;=0,0,IF(ROUND(BE100*(1+'Calc base'!S101),2)-MAX('Calc base'!N$12,ROUND('Calc base'!N$13*BE100,2))&lt;1,ROUND(BE100*(1+'Calc base'!S101),2),MAX('Calc base'!N$12,ROUND('Calc base'!N$13*BE100,2))))</f>
        <v>0</v>
      </c>
      <c r="V101">
        <f>MAX(0,ROUND(AT100*(1+'Calc base'!H101),2)-J101-'Calc base'!T101)</f>
        <v>0</v>
      </c>
      <c r="W101">
        <f>MAX(0,ROUND(AU100*(1+'Calc base'!I101),2)-K101-'Calc base'!U101)</f>
        <v>0</v>
      </c>
      <c r="X101">
        <f>MAX(0,ROUND(AV100*(1+'Calc base'!J101),2)-L101-'Calc base'!V101)</f>
        <v>0</v>
      </c>
      <c r="Y101">
        <f>MAX(0,ROUND(AW100*(1+'Calc base'!K101),2)-M101-'Calc base'!W101)</f>
        <v>0</v>
      </c>
      <c r="Z101">
        <f>MAX(0,ROUND(AX100*(1+'Calc base'!L101),2)-N101-'Calc base'!X101)</f>
        <v>0</v>
      </c>
      <c r="AA101">
        <f>MAX(0,ROUND(AY100*(1+'Calc base'!M101),2)-O101-'Calc base'!Y101)</f>
        <v>0</v>
      </c>
      <c r="AB101">
        <f>MAX(0,ROUND(AZ100*(1+'Calc base'!N101),2)-P101-'Calc base'!Z101)</f>
        <v>0</v>
      </c>
      <c r="AC101">
        <f>MAX(0,ROUND(BA100*(1+'Calc base'!O101),2)-Q101-'Calc base'!AA101)</f>
        <v>0</v>
      </c>
      <c r="AD101">
        <f>MAX(0,ROUND(BB100*(1+'Calc base'!P101),2)-R101-'Calc base'!AB101)</f>
        <v>0</v>
      </c>
      <c r="AE101">
        <f>MAX(0,ROUND(BC100*(1+'Calc base'!Q101),2)-S101-'Calc base'!AC101)</f>
        <v>0</v>
      </c>
      <c r="AF101">
        <f>MAX(0,ROUND(BD100*(1+'Calc base'!R101),2)-T101-'Calc base'!AD101)</f>
        <v>0</v>
      </c>
      <c r="AG101">
        <f>MAX(0,ROUND(BE100*(1+'Calc base'!S101),2)-U101-'Calc base'!AE101)</f>
        <v>0</v>
      </c>
      <c r="AH101">
        <f>IF('Calc base'!C$14=0,0,MIN(V101,MAX(0,$E101-SUMIFS($V101:$AG101,'Calc base'!$C$19:$N$19,"&lt;"&amp;'Calc base'!C$19,'Calc base'!$C$14:$N$14,1))))</f>
        <v>0</v>
      </c>
      <c r="AI101">
        <f>IF('Calc base'!D$14=0,0,MIN(W101,MAX(0,$E101-SUMIFS($V101:$AG101,'Calc base'!$C$19:$N$19,"&lt;"&amp;'Calc base'!D$19,'Calc base'!$C$14:$N$14,1))))</f>
        <v>0</v>
      </c>
      <c r="AJ101">
        <f>IF('Calc base'!E$14=0,0,MIN(X101,MAX(0,$E101-SUMIFS($V101:$AG101,'Calc base'!$C$19:$N$19,"&lt;"&amp;'Calc base'!E$19,'Calc base'!$C$14:$N$14,1))))</f>
        <v>0</v>
      </c>
      <c r="AK101">
        <f>IF('Calc base'!F$14=0,0,MIN(Y101,MAX(0,$E101-SUMIFS($V101:$AG101,'Calc base'!$C$19:$N$19,"&lt;"&amp;'Calc base'!F$19,'Calc base'!$C$14:$N$14,1))))</f>
        <v>0</v>
      </c>
      <c r="AL101">
        <f>IF('Calc base'!G$14=0,0,MIN(Z101,MAX(0,$E101-SUMIFS($V101:$AG101,'Calc base'!$C$19:$N$19,"&lt;"&amp;'Calc base'!G$19,'Calc base'!$C$14:$N$14,1))))</f>
        <v>0</v>
      </c>
      <c r="AM101">
        <f>IF('Calc base'!H$14=0,0,MIN(AA101,MAX(0,$E101-SUMIFS($V101:$AG101,'Calc base'!$C$19:$N$19,"&lt;"&amp;'Calc base'!H$19,'Calc base'!$C$14:$N$14,1))))</f>
        <v>0</v>
      </c>
      <c r="AN101">
        <f>IF('Calc base'!I$14=0,0,MIN(AB101,MAX(0,$E101-SUMIFS($V101:$AG101,'Calc base'!$C$19:$N$19,"&lt;"&amp;'Calc base'!I$19,'Calc base'!$C$14:$N$14,1))))</f>
        <v>0</v>
      </c>
      <c r="AO101">
        <f>IF('Calc base'!J$14=0,0,MIN(AC101,MAX(0,$E101-SUMIFS($V101:$AG101,'Calc base'!$C$19:$N$19,"&lt;"&amp;'Calc base'!J$19,'Calc base'!$C$14:$N$14,1))))</f>
        <v>0</v>
      </c>
      <c r="AP101">
        <f>IF('Calc base'!K$14=0,0,MIN(AD101,MAX(0,$E101-SUMIFS($V101:$AG101,'Calc base'!$C$19:$N$19,"&lt;"&amp;'Calc base'!K$19,'Calc base'!$C$14:$N$14,1))))</f>
        <v>0</v>
      </c>
      <c r="AQ101">
        <f>IF('Calc base'!L$14=0,0,MIN(AE101,MAX(0,$E101-SUMIFS($V101:$AG101,'Calc base'!$C$19:$N$19,"&lt;"&amp;'Calc base'!L$19,'Calc base'!$C$14:$N$14,1))))</f>
        <v>0</v>
      </c>
      <c r="AR101">
        <f>IF('Calc base'!M$14=0,0,MIN(AF101,MAX(0,$E101-SUMIFS($V101:$AG101,'Calc base'!$C$19:$N$19,"&lt;"&amp;'Calc base'!M$19,'Calc base'!$C$14:$N$14,1))))</f>
        <v>0</v>
      </c>
      <c r="AS101">
        <f>IF('Calc base'!N$14=0,0,MIN(AG101,MAX(0,$E101-SUMIFS($V101:$AG101,'Calc base'!$C$19:$N$19,"&lt;"&amp;'Calc base'!N$19,'Calc base'!$C$14:$N$14,1))))</f>
        <v>0</v>
      </c>
      <c r="AT101">
        <f>V101-AH101</f>
        <v>0</v>
      </c>
      <c r="AU101">
        <f>W101-AI101</f>
        <v>0</v>
      </c>
      <c r="AV101">
        <f>X101-AJ101</f>
        <v>0</v>
      </c>
      <c r="AW101">
        <f>Y101-AK101</f>
        <v>0</v>
      </c>
      <c r="AX101">
        <f>Z101-AL101</f>
        <v>0</v>
      </c>
      <c r="AY101">
        <f>AA101-AM101</f>
        <v>0</v>
      </c>
      <c r="AZ101">
        <f>AB101-AN101</f>
        <v>0</v>
      </c>
      <c r="BA101">
        <f>AC101-AO101</f>
        <v>0</v>
      </c>
      <c r="BB101">
        <f>AD101-AP101</f>
        <v>0</v>
      </c>
      <c r="BC101">
        <f>AE101-AQ101</f>
        <v>0</v>
      </c>
      <c r="BD101">
        <f>AF101-AR101</f>
        <v>0</v>
      </c>
      <c r="BE101">
        <f>AG101-AS101</f>
        <v>0</v>
      </c>
    </row>
    <row r="102">
      <c r="A102" t="n">
        <v>72</v>
      </c>
      <c r="B102">
        <f>SUMPRODUCT(ROUND($AT101:$BE101*(1+'Calc base'!$H102:$S102),2))</f>
        <v>0</v>
      </c>
      <c r="C102">
        <f>SUM(J102:U102)</f>
        <v>0</v>
      </c>
      <c r="D102">
        <f>SUM(V102:AG102)</f>
        <v>0</v>
      </c>
      <c r="E102">
        <f>MAX(0,IF(Impostazioni!$B$7="No",'Calc base'!$C102-$C$31,'Calc base'!$C102-C102)+'Calc base'!$G102+'Calc base'!$F102-(B102-C102-D102))</f>
        <v>900</v>
      </c>
      <c r="F102">
        <f>SUM(AH102:AS102)</f>
        <v>0</v>
      </c>
      <c r="G102">
        <f>SUM(AT102:BE102)</f>
        <v>0</v>
      </c>
      <c r="H102">
        <f>B102-G101</f>
        <v>0</v>
      </c>
      <c r="I102">
        <f>B102-G102</f>
        <v>0</v>
      </c>
      <c r="J102">
        <f>IF(AT101&lt;=0,0,IF(ROUND(AT101*(1+'Calc base'!H102),2)-MAX('Calc base'!C$12,ROUND('Calc base'!C$13*AT101,2))&lt;1,ROUND(AT101*(1+'Calc base'!H102),2),MAX('Calc base'!C$12,ROUND('Calc base'!C$13*AT101,2))))</f>
        <v>0</v>
      </c>
      <c r="K102">
        <f>IF(AU101&lt;=0,0,IF(ROUND(AU101*(1+'Calc base'!I102),2)-MAX('Calc base'!D$12,ROUND('Calc base'!D$13*AU101,2))&lt;1,ROUND(AU101*(1+'Calc base'!I102),2),MAX('Calc base'!D$12,ROUND('Calc base'!D$13*AU101,2))))</f>
        <v>0</v>
      </c>
      <c r="L102">
        <f>IF(AV101&lt;=0,0,IF(ROUND(AV101*(1+'Calc base'!J102),2)-MAX('Calc base'!E$12,ROUND('Calc base'!E$13*AV101,2))&lt;1,ROUND(AV101*(1+'Calc base'!J102),2),MAX('Calc base'!E$12,ROUND('Calc base'!E$13*AV101,2))))</f>
        <v>0</v>
      </c>
      <c r="M102">
        <f>IF(AW101&lt;=0,0,IF(ROUND(AW101*(1+'Calc base'!K102),2)-MAX('Calc base'!F$12,ROUND('Calc base'!F$13*AW101,2))&lt;1,ROUND(AW101*(1+'Calc base'!K102),2),MAX('Calc base'!F$12,ROUND('Calc base'!F$13*AW101,2))))</f>
        <v>0</v>
      </c>
      <c r="N102">
        <f>IF(AX101&lt;=0,0,IF(ROUND(AX101*(1+'Calc base'!L102),2)-MAX('Calc base'!G$12,ROUND('Calc base'!G$13*AX101,2))&lt;1,ROUND(AX101*(1+'Calc base'!L102),2),MAX('Calc base'!G$12,ROUND('Calc base'!G$13*AX101,2))))</f>
        <v>0</v>
      </c>
      <c r="O102">
        <f>IF(AY101&lt;=0,0,IF(ROUND(AY101*(1+'Calc base'!M102),2)-MAX('Calc base'!H$12,ROUND('Calc base'!H$13*AY101,2))&lt;1,ROUND(AY101*(1+'Calc base'!M102),2),MAX('Calc base'!H$12,ROUND('Calc base'!H$13*AY101,2))))</f>
        <v>0</v>
      </c>
      <c r="P102">
        <f>IF(AZ101&lt;=0,0,IF(ROUND(AZ101*(1+'Calc base'!N102),2)-MAX('Calc base'!I$12,ROUND('Calc base'!I$13*AZ101,2))&lt;1,ROUND(AZ101*(1+'Calc base'!N102),2),MAX('Calc base'!I$12,ROUND('Calc base'!I$13*AZ101,2))))</f>
        <v>0</v>
      </c>
      <c r="Q102">
        <f>IF(BA101&lt;=0,0,IF(ROUND(BA101*(1+'Calc base'!O102),2)-MAX('Calc base'!J$12,ROUND('Calc base'!J$13*BA101,2))&lt;1,ROUND(BA101*(1+'Calc base'!O102),2),MAX('Calc base'!J$12,ROUND('Calc base'!J$13*BA101,2))))</f>
        <v>0</v>
      </c>
      <c r="R102">
        <f>IF(BB101&lt;=0,0,IF(ROUND(BB101*(1+'Calc base'!P102),2)-MAX('Calc base'!K$12,ROUND('Calc base'!K$13*BB101,2))&lt;1,ROUND(BB101*(1+'Calc base'!P102),2),MAX('Calc base'!K$12,ROUND('Calc base'!K$13*BB101,2))))</f>
        <v>0</v>
      </c>
      <c r="S102">
        <f>IF(BC101&lt;=0,0,IF(ROUND(BC101*(1+'Calc base'!Q102),2)-MAX('Calc base'!L$12,ROUND('Calc base'!L$13*BC101,2))&lt;1,ROUND(BC101*(1+'Calc base'!Q102),2),MAX('Calc base'!L$12,ROUND('Calc base'!L$13*BC101,2))))</f>
        <v>0</v>
      </c>
      <c r="T102">
        <f>IF(BD101&lt;=0,0,IF(ROUND(BD101*(1+'Calc base'!R102),2)-MAX('Calc base'!M$12,ROUND('Calc base'!M$13*BD101,2))&lt;1,ROUND(BD101*(1+'Calc base'!R102),2),MAX('Calc base'!M$12,ROUND('Calc base'!M$13*BD101,2))))</f>
        <v>0</v>
      </c>
      <c r="U102">
        <f>IF(BE101&lt;=0,0,IF(ROUND(BE101*(1+'Calc base'!S102),2)-MAX('Calc base'!N$12,ROUND('Calc base'!N$13*BE101,2))&lt;1,ROUND(BE101*(1+'Calc base'!S102),2),MAX('Calc base'!N$12,ROUND('Calc base'!N$13*BE101,2))))</f>
        <v>0</v>
      </c>
      <c r="V102">
        <f>MAX(0,ROUND(AT101*(1+'Calc base'!H102),2)-J102-'Calc base'!T102)</f>
        <v>0</v>
      </c>
      <c r="W102">
        <f>MAX(0,ROUND(AU101*(1+'Calc base'!I102),2)-K102-'Calc base'!U102)</f>
        <v>0</v>
      </c>
      <c r="X102">
        <f>MAX(0,ROUND(AV101*(1+'Calc base'!J102),2)-L102-'Calc base'!V102)</f>
        <v>0</v>
      </c>
      <c r="Y102">
        <f>MAX(0,ROUND(AW101*(1+'Calc base'!K102),2)-M102-'Calc base'!W102)</f>
        <v>0</v>
      </c>
      <c r="Z102">
        <f>MAX(0,ROUND(AX101*(1+'Calc base'!L102),2)-N102-'Calc base'!X102)</f>
        <v>0</v>
      </c>
      <c r="AA102">
        <f>MAX(0,ROUND(AY101*(1+'Calc base'!M102),2)-O102-'Calc base'!Y102)</f>
        <v>0</v>
      </c>
      <c r="AB102">
        <f>MAX(0,ROUND(AZ101*(1+'Calc base'!N102),2)-P102-'Calc base'!Z102)</f>
        <v>0</v>
      </c>
      <c r="AC102">
        <f>MAX(0,ROUND(BA101*(1+'Calc base'!O102),2)-Q102-'Calc base'!AA102)</f>
        <v>0</v>
      </c>
      <c r="AD102">
        <f>MAX(0,ROUND(BB101*(1+'Calc base'!P102),2)-R102-'Calc base'!AB102)</f>
        <v>0</v>
      </c>
      <c r="AE102">
        <f>MAX(0,ROUND(BC101*(1+'Calc base'!Q102),2)-S102-'Calc base'!AC102)</f>
        <v>0</v>
      </c>
      <c r="AF102">
        <f>MAX(0,ROUND(BD101*(1+'Calc base'!R102),2)-T102-'Calc base'!AD102)</f>
        <v>0</v>
      </c>
      <c r="AG102">
        <f>MAX(0,ROUND(BE101*(1+'Calc base'!S102),2)-U102-'Calc base'!AE102)</f>
        <v>0</v>
      </c>
      <c r="AH102">
        <f>IF('Calc base'!C$14=0,0,MIN(V102,MAX(0,$E102-SUMIFS($V102:$AG102,'Calc base'!$C$19:$N$19,"&lt;"&amp;'Calc base'!C$19,'Calc base'!$C$14:$N$14,1))))</f>
        <v>0</v>
      </c>
      <c r="AI102">
        <f>IF('Calc base'!D$14=0,0,MIN(W102,MAX(0,$E102-SUMIFS($V102:$AG102,'Calc base'!$C$19:$N$19,"&lt;"&amp;'Calc base'!D$19,'Calc base'!$C$14:$N$14,1))))</f>
        <v>0</v>
      </c>
      <c r="AJ102">
        <f>IF('Calc base'!E$14=0,0,MIN(X102,MAX(0,$E102-SUMIFS($V102:$AG102,'Calc base'!$C$19:$N$19,"&lt;"&amp;'Calc base'!E$19,'Calc base'!$C$14:$N$14,1))))</f>
        <v>0</v>
      </c>
      <c r="AK102">
        <f>IF('Calc base'!F$14=0,0,MIN(Y102,MAX(0,$E102-SUMIFS($V102:$AG102,'Calc base'!$C$19:$N$19,"&lt;"&amp;'Calc base'!F$19,'Calc base'!$C$14:$N$14,1))))</f>
        <v>0</v>
      </c>
      <c r="AL102">
        <f>IF('Calc base'!G$14=0,0,MIN(Z102,MAX(0,$E102-SUMIFS($V102:$AG102,'Calc base'!$C$19:$N$19,"&lt;"&amp;'Calc base'!G$19,'Calc base'!$C$14:$N$14,1))))</f>
        <v>0</v>
      </c>
      <c r="AM102">
        <f>IF('Calc base'!H$14=0,0,MIN(AA102,MAX(0,$E102-SUMIFS($V102:$AG102,'Calc base'!$C$19:$N$19,"&lt;"&amp;'Calc base'!H$19,'Calc base'!$C$14:$N$14,1))))</f>
        <v>0</v>
      </c>
      <c r="AN102">
        <f>IF('Calc base'!I$14=0,0,MIN(AB102,MAX(0,$E102-SUMIFS($V102:$AG102,'Calc base'!$C$19:$N$19,"&lt;"&amp;'Calc base'!I$19,'Calc base'!$C$14:$N$14,1))))</f>
        <v>0</v>
      </c>
      <c r="AO102">
        <f>IF('Calc base'!J$14=0,0,MIN(AC102,MAX(0,$E102-SUMIFS($V102:$AG102,'Calc base'!$C$19:$N$19,"&lt;"&amp;'Calc base'!J$19,'Calc base'!$C$14:$N$14,1))))</f>
        <v>0</v>
      </c>
      <c r="AP102">
        <f>IF('Calc base'!K$14=0,0,MIN(AD102,MAX(0,$E102-SUMIFS($V102:$AG102,'Calc base'!$C$19:$N$19,"&lt;"&amp;'Calc base'!K$19,'Calc base'!$C$14:$N$14,1))))</f>
        <v>0</v>
      </c>
      <c r="AQ102">
        <f>IF('Calc base'!L$14=0,0,MIN(AE102,MAX(0,$E102-SUMIFS($V102:$AG102,'Calc base'!$C$19:$N$19,"&lt;"&amp;'Calc base'!L$19,'Calc base'!$C$14:$N$14,1))))</f>
        <v>0</v>
      </c>
      <c r="AR102">
        <f>IF('Calc base'!M$14=0,0,MIN(AF102,MAX(0,$E102-SUMIFS($V102:$AG102,'Calc base'!$C$19:$N$19,"&lt;"&amp;'Calc base'!M$19,'Calc base'!$C$14:$N$14,1))))</f>
        <v>0</v>
      </c>
      <c r="AS102">
        <f>IF('Calc base'!N$14=0,0,MIN(AG102,MAX(0,$E102-SUMIFS($V102:$AG102,'Calc base'!$C$19:$N$19,"&lt;"&amp;'Calc base'!N$19,'Calc base'!$C$14:$N$14,1))))</f>
        <v>0</v>
      </c>
      <c r="AT102">
        <f>V102-AH102</f>
        <v>0</v>
      </c>
      <c r="AU102">
        <f>W102-AI102</f>
        <v>0</v>
      </c>
      <c r="AV102">
        <f>X102-AJ102</f>
        <v>0</v>
      </c>
      <c r="AW102">
        <f>Y102-AK102</f>
        <v>0</v>
      </c>
      <c r="AX102">
        <f>Z102-AL102</f>
        <v>0</v>
      </c>
      <c r="AY102">
        <f>AA102-AM102</f>
        <v>0</v>
      </c>
      <c r="AZ102">
        <f>AB102-AN102</f>
        <v>0</v>
      </c>
      <c r="BA102">
        <f>AC102-AO102</f>
        <v>0</v>
      </c>
      <c r="BB102">
        <f>AD102-AP102</f>
        <v>0</v>
      </c>
      <c r="BC102">
        <f>AE102-AQ102</f>
        <v>0</v>
      </c>
      <c r="BD102">
        <f>AF102-AR102</f>
        <v>0</v>
      </c>
      <c r="BE102">
        <f>AG102-AS102</f>
        <v>0</v>
      </c>
    </row>
    <row r="103">
      <c r="A103" t="n">
        <v>73</v>
      </c>
      <c r="B103">
        <f>SUMPRODUCT(ROUND($AT102:$BE102*(1+'Calc base'!$H103:$S103),2))</f>
        <v>0</v>
      </c>
      <c r="C103">
        <f>SUM(J103:U103)</f>
        <v>0</v>
      </c>
      <c r="D103">
        <f>SUM(V103:AG103)</f>
        <v>0</v>
      </c>
      <c r="E103">
        <f>MAX(0,IF(Impostazioni!$B$7="No",'Calc base'!$C103-$C$31,'Calc base'!$C103-C103)+'Calc base'!$G103+'Calc base'!$F103-(B103-C103-D103))</f>
        <v>900</v>
      </c>
      <c r="F103">
        <f>SUM(AH103:AS103)</f>
        <v>0</v>
      </c>
      <c r="G103">
        <f>SUM(AT103:BE103)</f>
        <v>0</v>
      </c>
      <c r="H103">
        <f>B103-G102</f>
        <v>0</v>
      </c>
      <c r="I103">
        <f>B103-G103</f>
        <v>0</v>
      </c>
      <c r="J103">
        <f>IF(AT102&lt;=0,0,IF(ROUND(AT102*(1+'Calc base'!H103),2)-MAX('Calc base'!C$12,ROUND('Calc base'!C$13*AT102,2))&lt;1,ROUND(AT102*(1+'Calc base'!H103),2),MAX('Calc base'!C$12,ROUND('Calc base'!C$13*AT102,2))))</f>
        <v>0</v>
      </c>
      <c r="K103">
        <f>IF(AU102&lt;=0,0,IF(ROUND(AU102*(1+'Calc base'!I103),2)-MAX('Calc base'!D$12,ROUND('Calc base'!D$13*AU102,2))&lt;1,ROUND(AU102*(1+'Calc base'!I103),2),MAX('Calc base'!D$12,ROUND('Calc base'!D$13*AU102,2))))</f>
        <v>0</v>
      </c>
      <c r="L103">
        <f>IF(AV102&lt;=0,0,IF(ROUND(AV102*(1+'Calc base'!J103),2)-MAX('Calc base'!E$12,ROUND('Calc base'!E$13*AV102,2))&lt;1,ROUND(AV102*(1+'Calc base'!J103),2),MAX('Calc base'!E$12,ROUND('Calc base'!E$13*AV102,2))))</f>
        <v>0</v>
      </c>
      <c r="M103">
        <f>IF(AW102&lt;=0,0,IF(ROUND(AW102*(1+'Calc base'!K103),2)-MAX('Calc base'!F$12,ROUND('Calc base'!F$13*AW102,2))&lt;1,ROUND(AW102*(1+'Calc base'!K103),2),MAX('Calc base'!F$12,ROUND('Calc base'!F$13*AW102,2))))</f>
        <v>0</v>
      </c>
      <c r="N103">
        <f>IF(AX102&lt;=0,0,IF(ROUND(AX102*(1+'Calc base'!L103),2)-MAX('Calc base'!G$12,ROUND('Calc base'!G$13*AX102,2))&lt;1,ROUND(AX102*(1+'Calc base'!L103),2),MAX('Calc base'!G$12,ROUND('Calc base'!G$13*AX102,2))))</f>
        <v>0</v>
      </c>
      <c r="O103">
        <f>IF(AY102&lt;=0,0,IF(ROUND(AY102*(1+'Calc base'!M103),2)-MAX('Calc base'!H$12,ROUND('Calc base'!H$13*AY102,2))&lt;1,ROUND(AY102*(1+'Calc base'!M103),2),MAX('Calc base'!H$12,ROUND('Calc base'!H$13*AY102,2))))</f>
        <v>0</v>
      </c>
      <c r="P103">
        <f>IF(AZ102&lt;=0,0,IF(ROUND(AZ102*(1+'Calc base'!N103),2)-MAX('Calc base'!I$12,ROUND('Calc base'!I$13*AZ102,2))&lt;1,ROUND(AZ102*(1+'Calc base'!N103),2),MAX('Calc base'!I$12,ROUND('Calc base'!I$13*AZ102,2))))</f>
        <v>0</v>
      </c>
      <c r="Q103">
        <f>IF(BA102&lt;=0,0,IF(ROUND(BA102*(1+'Calc base'!O103),2)-MAX('Calc base'!J$12,ROUND('Calc base'!J$13*BA102,2))&lt;1,ROUND(BA102*(1+'Calc base'!O103),2),MAX('Calc base'!J$12,ROUND('Calc base'!J$13*BA102,2))))</f>
        <v>0</v>
      </c>
      <c r="R103">
        <f>IF(BB102&lt;=0,0,IF(ROUND(BB102*(1+'Calc base'!P103),2)-MAX('Calc base'!K$12,ROUND('Calc base'!K$13*BB102,2))&lt;1,ROUND(BB102*(1+'Calc base'!P103),2),MAX('Calc base'!K$12,ROUND('Calc base'!K$13*BB102,2))))</f>
        <v>0</v>
      </c>
      <c r="S103">
        <f>IF(BC102&lt;=0,0,IF(ROUND(BC102*(1+'Calc base'!Q103),2)-MAX('Calc base'!L$12,ROUND('Calc base'!L$13*BC102,2))&lt;1,ROUND(BC102*(1+'Calc base'!Q103),2),MAX('Calc base'!L$12,ROUND('Calc base'!L$13*BC102,2))))</f>
        <v>0</v>
      </c>
      <c r="T103">
        <f>IF(BD102&lt;=0,0,IF(ROUND(BD102*(1+'Calc base'!R103),2)-MAX('Calc base'!M$12,ROUND('Calc base'!M$13*BD102,2))&lt;1,ROUND(BD102*(1+'Calc base'!R103),2),MAX('Calc base'!M$12,ROUND('Calc base'!M$13*BD102,2))))</f>
        <v>0</v>
      </c>
      <c r="U103">
        <f>IF(BE102&lt;=0,0,IF(ROUND(BE102*(1+'Calc base'!S103),2)-MAX('Calc base'!N$12,ROUND('Calc base'!N$13*BE102,2))&lt;1,ROUND(BE102*(1+'Calc base'!S103),2),MAX('Calc base'!N$12,ROUND('Calc base'!N$13*BE102,2))))</f>
        <v>0</v>
      </c>
      <c r="V103">
        <f>MAX(0,ROUND(AT102*(1+'Calc base'!H103),2)-J103-'Calc base'!T103)</f>
        <v>0</v>
      </c>
      <c r="W103">
        <f>MAX(0,ROUND(AU102*(1+'Calc base'!I103),2)-K103-'Calc base'!U103)</f>
        <v>0</v>
      </c>
      <c r="X103">
        <f>MAX(0,ROUND(AV102*(1+'Calc base'!J103),2)-L103-'Calc base'!V103)</f>
        <v>0</v>
      </c>
      <c r="Y103">
        <f>MAX(0,ROUND(AW102*(1+'Calc base'!K103),2)-M103-'Calc base'!W103)</f>
        <v>0</v>
      </c>
      <c r="Z103">
        <f>MAX(0,ROUND(AX102*(1+'Calc base'!L103),2)-N103-'Calc base'!X103)</f>
        <v>0</v>
      </c>
      <c r="AA103">
        <f>MAX(0,ROUND(AY102*(1+'Calc base'!M103),2)-O103-'Calc base'!Y103)</f>
        <v>0</v>
      </c>
      <c r="AB103">
        <f>MAX(0,ROUND(AZ102*(1+'Calc base'!N103),2)-P103-'Calc base'!Z103)</f>
        <v>0</v>
      </c>
      <c r="AC103">
        <f>MAX(0,ROUND(BA102*(1+'Calc base'!O103),2)-Q103-'Calc base'!AA103)</f>
        <v>0</v>
      </c>
      <c r="AD103">
        <f>MAX(0,ROUND(BB102*(1+'Calc base'!P103),2)-R103-'Calc base'!AB103)</f>
        <v>0</v>
      </c>
      <c r="AE103">
        <f>MAX(0,ROUND(BC102*(1+'Calc base'!Q103),2)-S103-'Calc base'!AC103)</f>
        <v>0</v>
      </c>
      <c r="AF103">
        <f>MAX(0,ROUND(BD102*(1+'Calc base'!R103),2)-T103-'Calc base'!AD103)</f>
        <v>0</v>
      </c>
      <c r="AG103">
        <f>MAX(0,ROUND(BE102*(1+'Calc base'!S103),2)-U103-'Calc base'!AE103)</f>
        <v>0</v>
      </c>
      <c r="AH103">
        <f>IF('Calc base'!C$14=0,0,MIN(V103,MAX(0,$E103-SUMIFS($V103:$AG103,'Calc base'!$C$19:$N$19,"&lt;"&amp;'Calc base'!C$19,'Calc base'!$C$14:$N$14,1))))</f>
        <v>0</v>
      </c>
      <c r="AI103">
        <f>IF('Calc base'!D$14=0,0,MIN(W103,MAX(0,$E103-SUMIFS($V103:$AG103,'Calc base'!$C$19:$N$19,"&lt;"&amp;'Calc base'!D$19,'Calc base'!$C$14:$N$14,1))))</f>
        <v>0</v>
      </c>
      <c r="AJ103">
        <f>IF('Calc base'!E$14=0,0,MIN(X103,MAX(0,$E103-SUMIFS($V103:$AG103,'Calc base'!$C$19:$N$19,"&lt;"&amp;'Calc base'!E$19,'Calc base'!$C$14:$N$14,1))))</f>
        <v>0</v>
      </c>
      <c r="AK103">
        <f>IF('Calc base'!F$14=0,0,MIN(Y103,MAX(0,$E103-SUMIFS($V103:$AG103,'Calc base'!$C$19:$N$19,"&lt;"&amp;'Calc base'!F$19,'Calc base'!$C$14:$N$14,1))))</f>
        <v>0</v>
      </c>
      <c r="AL103">
        <f>IF('Calc base'!G$14=0,0,MIN(Z103,MAX(0,$E103-SUMIFS($V103:$AG103,'Calc base'!$C$19:$N$19,"&lt;"&amp;'Calc base'!G$19,'Calc base'!$C$14:$N$14,1))))</f>
        <v>0</v>
      </c>
      <c r="AM103">
        <f>IF('Calc base'!H$14=0,0,MIN(AA103,MAX(0,$E103-SUMIFS($V103:$AG103,'Calc base'!$C$19:$N$19,"&lt;"&amp;'Calc base'!H$19,'Calc base'!$C$14:$N$14,1))))</f>
        <v>0</v>
      </c>
      <c r="AN103">
        <f>IF('Calc base'!I$14=0,0,MIN(AB103,MAX(0,$E103-SUMIFS($V103:$AG103,'Calc base'!$C$19:$N$19,"&lt;"&amp;'Calc base'!I$19,'Calc base'!$C$14:$N$14,1))))</f>
        <v>0</v>
      </c>
      <c r="AO103">
        <f>IF('Calc base'!J$14=0,0,MIN(AC103,MAX(0,$E103-SUMIFS($V103:$AG103,'Calc base'!$C$19:$N$19,"&lt;"&amp;'Calc base'!J$19,'Calc base'!$C$14:$N$14,1))))</f>
        <v>0</v>
      </c>
      <c r="AP103">
        <f>IF('Calc base'!K$14=0,0,MIN(AD103,MAX(0,$E103-SUMIFS($V103:$AG103,'Calc base'!$C$19:$N$19,"&lt;"&amp;'Calc base'!K$19,'Calc base'!$C$14:$N$14,1))))</f>
        <v>0</v>
      </c>
      <c r="AQ103">
        <f>IF('Calc base'!L$14=0,0,MIN(AE103,MAX(0,$E103-SUMIFS($V103:$AG103,'Calc base'!$C$19:$N$19,"&lt;"&amp;'Calc base'!L$19,'Calc base'!$C$14:$N$14,1))))</f>
        <v>0</v>
      </c>
      <c r="AR103">
        <f>IF('Calc base'!M$14=0,0,MIN(AF103,MAX(0,$E103-SUMIFS($V103:$AG103,'Calc base'!$C$19:$N$19,"&lt;"&amp;'Calc base'!M$19,'Calc base'!$C$14:$N$14,1))))</f>
        <v>0</v>
      </c>
      <c r="AS103">
        <f>IF('Calc base'!N$14=0,0,MIN(AG103,MAX(0,$E103-SUMIFS($V103:$AG103,'Calc base'!$C$19:$N$19,"&lt;"&amp;'Calc base'!N$19,'Calc base'!$C$14:$N$14,1))))</f>
        <v>0</v>
      </c>
      <c r="AT103">
        <f>V103-AH103</f>
        <v>0</v>
      </c>
      <c r="AU103">
        <f>W103-AI103</f>
        <v>0</v>
      </c>
      <c r="AV103">
        <f>X103-AJ103</f>
        <v>0</v>
      </c>
      <c r="AW103">
        <f>Y103-AK103</f>
        <v>0</v>
      </c>
      <c r="AX103">
        <f>Z103-AL103</f>
        <v>0</v>
      </c>
      <c r="AY103">
        <f>AA103-AM103</f>
        <v>0</v>
      </c>
      <c r="AZ103">
        <f>AB103-AN103</f>
        <v>0</v>
      </c>
      <c r="BA103">
        <f>AC103-AO103</f>
        <v>0</v>
      </c>
      <c r="BB103">
        <f>AD103-AP103</f>
        <v>0</v>
      </c>
      <c r="BC103">
        <f>AE103-AQ103</f>
        <v>0</v>
      </c>
      <c r="BD103">
        <f>AF103-AR103</f>
        <v>0</v>
      </c>
      <c r="BE103">
        <f>AG103-AS103</f>
        <v>0</v>
      </c>
    </row>
    <row r="104">
      <c r="A104" t="n">
        <v>74</v>
      </c>
      <c r="B104">
        <f>SUMPRODUCT(ROUND($AT103:$BE103*(1+'Calc base'!$H104:$S104),2))</f>
        <v>0</v>
      </c>
      <c r="C104">
        <f>SUM(J104:U104)</f>
        <v>0</v>
      </c>
      <c r="D104">
        <f>SUM(V104:AG104)</f>
        <v>0</v>
      </c>
      <c r="E104">
        <f>MAX(0,IF(Impostazioni!$B$7="No",'Calc base'!$C104-$C$31,'Calc base'!$C104-C104)+'Calc base'!$G104+'Calc base'!$F104-(B104-C104-D104))</f>
        <v>900</v>
      </c>
      <c r="F104">
        <f>SUM(AH104:AS104)</f>
        <v>0</v>
      </c>
      <c r="G104">
        <f>SUM(AT104:BE104)</f>
        <v>0</v>
      </c>
      <c r="H104">
        <f>B104-G103</f>
        <v>0</v>
      </c>
      <c r="I104">
        <f>B104-G104</f>
        <v>0</v>
      </c>
      <c r="J104">
        <f>IF(AT103&lt;=0,0,IF(ROUND(AT103*(1+'Calc base'!H104),2)-MAX('Calc base'!C$12,ROUND('Calc base'!C$13*AT103,2))&lt;1,ROUND(AT103*(1+'Calc base'!H104),2),MAX('Calc base'!C$12,ROUND('Calc base'!C$13*AT103,2))))</f>
        <v>0</v>
      </c>
      <c r="K104">
        <f>IF(AU103&lt;=0,0,IF(ROUND(AU103*(1+'Calc base'!I104),2)-MAX('Calc base'!D$12,ROUND('Calc base'!D$13*AU103,2))&lt;1,ROUND(AU103*(1+'Calc base'!I104),2),MAX('Calc base'!D$12,ROUND('Calc base'!D$13*AU103,2))))</f>
        <v>0</v>
      </c>
      <c r="L104">
        <f>IF(AV103&lt;=0,0,IF(ROUND(AV103*(1+'Calc base'!J104),2)-MAX('Calc base'!E$12,ROUND('Calc base'!E$13*AV103,2))&lt;1,ROUND(AV103*(1+'Calc base'!J104),2),MAX('Calc base'!E$12,ROUND('Calc base'!E$13*AV103,2))))</f>
        <v>0</v>
      </c>
      <c r="M104">
        <f>IF(AW103&lt;=0,0,IF(ROUND(AW103*(1+'Calc base'!K104),2)-MAX('Calc base'!F$12,ROUND('Calc base'!F$13*AW103,2))&lt;1,ROUND(AW103*(1+'Calc base'!K104),2),MAX('Calc base'!F$12,ROUND('Calc base'!F$13*AW103,2))))</f>
        <v>0</v>
      </c>
      <c r="N104">
        <f>IF(AX103&lt;=0,0,IF(ROUND(AX103*(1+'Calc base'!L104),2)-MAX('Calc base'!G$12,ROUND('Calc base'!G$13*AX103,2))&lt;1,ROUND(AX103*(1+'Calc base'!L104),2),MAX('Calc base'!G$12,ROUND('Calc base'!G$13*AX103,2))))</f>
        <v>0</v>
      </c>
      <c r="O104">
        <f>IF(AY103&lt;=0,0,IF(ROUND(AY103*(1+'Calc base'!M104),2)-MAX('Calc base'!H$12,ROUND('Calc base'!H$13*AY103,2))&lt;1,ROUND(AY103*(1+'Calc base'!M104),2),MAX('Calc base'!H$12,ROUND('Calc base'!H$13*AY103,2))))</f>
        <v>0</v>
      </c>
      <c r="P104">
        <f>IF(AZ103&lt;=0,0,IF(ROUND(AZ103*(1+'Calc base'!N104),2)-MAX('Calc base'!I$12,ROUND('Calc base'!I$13*AZ103,2))&lt;1,ROUND(AZ103*(1+'Calc base'!N104),2),MAX('Calc base'!I$12,ROUND('Calc base'!I$13*AZ103,2))))</f>
        <v>0</v>
      </c>
      <c r="Q104">
        <f>IF(BA103&lt;=0,0,IF(ROUND(BA103*(1+'Calc base'!O104),2)-MAX('Calc base'!J$12,ROUND('Calc base'!J$13*BA103,2))&lt;1,ROUND(BA103*(1+'Calc base'!O104),2),MAX('Calc base'!J$12,ROUND('Calc base'!J$13*BA103,2))))</f>
        <v>0</v>
      </c>
      <c r="R104">
        <f>IF(BB103&lt;=0,0,IF(ROUND(BB103*(1+'Calc base'!P104),2)-MAX('Calc base'!K$12,ROUND('Calc base'!K$13*BB103,2))&lt;1,ROUND(BB103*(1+'Calc base'!P104),2),MAX('Calc base'!K$12,ROUND('Calc base'!K$13*BB103,2))))</f>
        <v>0</v>
      </c>
      <c r="S104">
        <f>IF(BC103&lt;=0,0,IF(ROUND(BC103*(1+'Calc base'!Q104),2)-MAX('Calc base'!L$12,ROUND('Calc base'!L$13*BC103,2))&lt;1,ROUND(BC103*(1+'Calc base'!Q104),2),MAX('Calc base'!L$12,ROUND('Calc base'!L$13*BC103,2))))</f>
        <v>0</v>
      </c>
      <c r="T104">
        <f>IF(BD103&lt;=0,0,IF(ROUND(BD103*(1+'Calc base'!R104),2)-MAX('Calc base'!M$12,ROUND('Calc base'!M$13*BD103,2))&lt;1,ROUND(BD103*(1+'Calc base'!R104),2),MAX('Calc base'!M$12,ROUND('Calc base'!M$13*BD103,2))))</f>
        <v>0</v>
      </c>
      <c r="U104">
        <f>IF(BE103&lt;=0,0,IF(ROUND(BE103*(1+'Calc base'!S104),2)-MAX('Calc base'!N$12,ROUND('Calc base'!N$13*BE103,2))&lt;1,ROUND(BE103*(1+'Calc base'!S104),2),MAX('Calc base'!N$12,ROUND('Calc base'!N$13*BE103,2))))</f>
        <v>0</v>
      </c>
      <c r="V104">
        <f>MAX(0,ROUND(AT103*(1+'Calc base'!H104),2)-J104-'Calc base'!T104)</f>
        <v>0</v>
      </c>
      <c r="W104">
        <f>MAX(0,ROUND(AU103*(1+'Calc base'!I104),2)-K104-'Calc base'!U104)</f>
        <v>0</v>
      </c>
      <c r="X104">
        <f>MAX(0,ROUND(AV103*(1+'Calc base'!J104),2)-L104-'Calc base'!V104)</f>
        <v>0</v>
      </c>
      <c r="Y104">
        <f>MAX(0,ROUND(AW103*(1+'Calc base'!K104),2)-M104-'Calc base'!W104)</f>
        <v>0</v>
      </c>
      <c r="Z104">
        <f>MAX(0,ROUND(AX103*(1+'Calc base'!L104),2)-N104-'Calc base'!X104)</f>
        <v>0</v>
      </c>
      <c r="AA104">
        <f>MAX(0,ROUND(AY103*(1+'Calc base'!M104),2)-O104-'Calc base'!Y104)</f>
        <v>0</v>
      </c>
      <c r="AB104">
        <f>MAX(0,ROUND(AZ103*(1+'Calc base'!N104),2)-P104-'Calc base'!Z104)</f>
        <v>0</v>
      </c>
      <c r="AC104">
        <f>MAX(0,ROUND(BA103*(1+'Calc base'!O104),2)-Q104-'Calc base'!AA104)</f>
        <v>0</v>
      </c>
      <c r="AD104">
        <f>MAX(0,ROUND(BB103*(1+'Calc base'!P104),2)-R104-'Calc base'!AB104)</f>
        <v>0</v>
      </c>
      <c r="AE104">
        <f>MAX(0,ROUND(BC103*(1+'Calc base'!Q104),2)-S104-'Calc base'!AC104)</f>
        <v>0</v>
      </c>
      <c r="AF104">
        <f>MAX(0,ROUND(BD103*(1+'Calc base'!R104),2)-T104-'Calc base'!AD104)</f>
        <v>0</v>
      </c>
      <c r="AG104">
        <f>MAX(0,ROUND(BE103*(1+'Calc base'!S104),2)-U104-'Calc base'!AE104)</f>
        <v>0</v>
      </c>
      <c r="AH104">
        <f>IF('Calc base'!C$14=0,0,MIN(V104,MAX(0,$E104-SUMIFS($V104:$AG104,'Calc base'!$C$19:$N$19,"&lt;"&amp;'Calc base'!C$19,'Calc base'!$C$14:$N$14,1))))</f>
        <v>0</v>
      </c>
      <c r="AI104">
        <f>IF('Calc base'!D$14=0,0,MIN(W104,MAX(0,$E104-SUMIFS($V104:$AG104,'Calc base'!$C$19:$N$19,"&lt;"&amp;'Calc base'!D$19,'Calc base'!$C$14:$N$14,1))))</f>
        <v>0</v>
      </c>
      <c r="AJ104">
        <f>IF('Calc base'!E$14=0,0,MIN(X104,MAX(0,$E104-SUMIFS($V104:$AG104,'Calc base'!$C$19:$N$19,"&lt;"&amp;'Calc base'!E$19,'Calc base'!$C$14:$N$14,1))))</f>
        <v>0</v>
      </c>
      <c r="AK104">
        <f>IF('Calc base'!F$14=0,0,MIN(Y104,MAX(0,$E104-SUMIFS($V104:$AG104,'Calc base'!$C$19:$N$19,"&lt;"&amp;'Calc base'!F$19,'Calc base'!$C$14:$N$14,1))))</f>
        <v>0</v>
      </c>
      <c r="AL104">
        <f>IF('Calc base'!G$14=0,0,MIN(Z104,MAX(0,$E104-SUMIFS($V104:$AG104,'Calc base'!$C$19:$N$19,"&lt;"&amp;'Calc base'!G$19,'Calc base'!$C$14:$N$14,1))))</f>
        <v>0</v>
      </c>
      <c r="AM104">
        <f>IF('Calc base'!H$14=0,0,MIN(AA104,MAX(0,$E104-SUMIFS($V104:$AG104,'Calc base'!$C$19:$N$19,"&lt;"&amp;'Calc base'!H$19,'Calc base'!$C$14:$N$14,1))))</f>
        <v>0</v>
      </c>
      <c r="AN104">
        <f>IF('Calc base'!I$14=0,0,MIN(AB104,MAX(0,$E104-SUMIFS($V104:$AG104,'Calc base'!$C$19:$N$19,"&lt;"&amp;'Calc base'!I$19,'Calc base'!$C$14:$N$14,1))))</f>
        <v>0</v>
      </c>
      <c r="AO104">
        <f>IF('Calc base'!J$14=0,0,MIN(AC104,MAX(0,$E104-SUMIFS($V104:$AG104,'Calc base'!$C$19:$N$19,"&lt;"&amp;'Calc base'!J$19,'Calc base'!$C$14:$N$14,1))))</f>
        <v>0</v>
      </c>
      <c r="AP104">
        <f>IF('Calc base'!K$14=0,0,MIN(AD104,MAX(0,$E104-SUMIFS($V104:$AG104,'Calc base'!$C$19:$N$19,"&lt;"&amp;'Calc base'!K$19,'Calc base'!$C$14:$N$14,1))))</f>
        <v>0</v>
      </c>
      <c r="AQ104">
        <f>IF('Calc base'!L$14=0,0,MIN(AE104,MAX(0,$E104-SUMIFS($V104:$AG104,'Calc base'!$C$19:$N$19,"&lt;"&amp;'Calc base'!L$19,'Calc base'!$C$14:$N$14,1))))</f>
        <v>0</v>
      </c>
      <c r="AR104">
        <f>IF('Calc base'!M$14=0,0,MIN(AF104,MAX(0,$E104-SUMIFS($V104:$AG104,'Calc base'!$C$19:$N$19,"&lt;"&amp;'Calc base'!M$19,'Calc base'!$C$14:$N$14,1))))</f>
        <v>0</v>
      </c>
      <c r="AS104">
        <f>IF('Calc base'!N$14=0,0,MIN(AG104,MAX(0,$E104-SUMIFS($V104:$AG104,'Calc base'!$C$19:$N$19,"&lt;"&amp;'Calc base'!N$19,'Calc base'!$C$14:$N$14,1))))</f>
        <v>0</v>
      </c>
      <c r="AT104">
        <f>V104-AH104</f>
        <v>0</v>
      </c>
      <c r="AU104">
        <f>W104-AI104</f>
        <v>0</v>
      </c>
      <c r="AV104">
        <f>X104-AJ104</f>
        <v>0</v>
      </c>
      <c r="AW104">
        <f>Y104-AK104</f>
        <v>0</v>
      </c>
      <c r="AX104">
        <f>Z104-AL104</f>
        <v>0</v>
      </c>
      <c r="AY104">
        <f>AA104-AM104</f>
        <v>0</v>
      </c>
      <c r="AZ104">
        <f>AB104-AN104</f>
        <v>0</v>
      </c>
      <c r="BA104">
        <f>AC104-AO104</f>
        <v>0</v>
      </c>
      <c r="BB104">
        <f>AD104-AP104</f>
        <v>0</v>
      </c>
      <c r="BC104">
        <f>AE104-AQ104</f>
        <v>0</v>
      </c>
      <c r="BD104">
        <f>AF104-AR104</f>
        <v>0</v>
      </c>
      <c r="BE104">
        <f>AG104-AS104</f>
        <v>0</v>
      </c>
    </row>
    <row r="105">
      <c r="A105" t="n">
        <v>75</v>
      </c>
      <c r="B105">
        <f>SUMPRODUCT(ROUND($AT104:$BE104*(1+'Calc base'!$H105:$S105),2))</f>
        <v>0</v>
      </c>
      <c r="C105">
        <f>SUM(J105:U105)</f>
        <v>0</v>
      </c>
      <c r="D105">
        <f>SUM(V105:AG105)</f>
        <v>0</v>
      </c>
      <c r="E105">
        <f>MAX(0,IF(Impostazioni!$B$7="No",'Calc base'!$C105-$C$31,'Calc base'!$C105-C105)+'Calc base'!$G105+'Calc base'!$F105-(B105-C105-D105))</f>
        <v>900</v>
      </c>
      <c r="F105">
        <f>SUM(AH105:AS105)</f>
        <v>0</v>
      </c>
      <c r="G105">
        <f>SUM(AT105:BE105)</f>
        <v>0</v>
      </c>
      <c r="H105">
        <f>B105-G104</f>
        <v>0</v>
      </c>
      <c r="I105">
        <f>B105-G105</f>
        <v>0</v>
      </c>
      <c r="J105">
        <f>IF(AT104&lt;=0,0,IF(ROUND(AT104*(1+'Calc base'!H105),2)-MAX('Calc base'!C$12,ROUND('Calc base'!C$13*AT104,2))&lt;1,ROUND(AT104*(1+'Calc base'!H105),2),MAX('Calc base'!C$12,ROUND('Calc base'!C$13*AT104,2))))</f>
        <v>0</v>
      </c>
      <c r="K105">
        <f>IF(AU104&lt;=0,0,IF(ROUND(AU104*(1+'Calc base'!I105),2)-MAX('Calc base'!D$12,ROUND('Calc base'!D$13*AU104,2))&lt;1,ROUND(AU104*(1+'Calc base'!I105),2),MAX('Calc base'!D$12,ROUND('Calc base'!D$13*AU104,2))))</f>
        <v>0</v>
      </c>
      <c r="L105">
        <f>IF(AV104&lt;=0,0,IF(ROUND(AV104*(1+'Calc base'!J105),2)-MAX('Calc base'!E$12,ROUND('Calc base'!E$13*AV104,2))&lt;1,ROUND(AV104*(1+'Calc base'!J105),2),MAX('Calc base'!E$12,ROUND('Calc base'!E$13*AV104,2))))</f>
        <v>0</v>
      </c>
      <c r="M105">
        <f>IF(AW104&lt;=0,0,IF(ROUND(AW104*(1+'Calc base'!K105),2)-MAX('Calc base'!F$12,ROUND('Calc base'!F$13*AW104,2))&lt;1,ROUND(AW104*(1+'Calc base'!K105),2),MAX('Calc base'!F$12,ROUND('Calc base'!F$13*AW104,2))))</f>
        <v>0</v>
      </c>
      <c r="N105">
        <f>IF(AX104&lt;=0,0,IF(ROUND(AX104*(1+'Calc base'!L105),2)-MAX('Calc base'!G$12,ROUND('Calc base'!G$13*AX104,2))&lt;1,ROUND(AX104*(1+'Calc base'!L105),2),MAX('Calc base'!G$12,ROUND('Calc base'!G$13*AX104,2))))</f>
        <v>0</v>
      </c>
      <c r="O105">
        <f>IF(AY104&lt;=0,0,IF(ROUND(AY104*(1+'Calc base'!M105),2)-MAX('Calc base'!H$12,ROUND('Calc base'!H$13*AY104,2))&lt;1,ROUND(AY104*(1+'Calc base'!M105),2),MAX('Calc base'!H$12,ROUND('Calc base'!H$13*AY104,2))))</f>
        <v>0</v>
      </c>
      <c r="P105">
        <f>IF(AZ104&lt;=0,0,IF(ROUND(AZ104*(1+'Calc base'!N105),2)-MAX('Calc base'!I$12,ROUND('Calc base'!I$13*AZ104,2))&lt;1,ROUND(AZ104*(1+'Calc base'!N105),2),MAX('Calc base'!I$12,ROUND('Calc base'!I$13*AZ104,2))))</f>
        <v>0</v>
      </c>
      <c r="Q105">
        <f>IF(BA104&lt;=0,0,IF(ROUND(BA104*(1+'Calc base'!O105),2)-MAX('Calc base'!J$12,ROUND('Calc base'!J$13*BA104,2))&lt;1,ROUND(BA104*(1+'Calc base'!O105),2),MAX('Calc base'!J$12,ROUND('Calc base'!J$13*BA104,2))))</f>
        <v>0</v>
      </c>
      <c r="R105">
        <f>IF(BB104&lt;=0,0,IF(ROUND(BB104*(1+'Calc base'!P105),2)-MAX('Calc base'!K$12,ROUND('Calc base'!K$13*BB104,2))&lt;1,ROUND(BB104*(1+'Calc base'!P105),2),MAX('Calc base'!K$12,ROUND('Calc base'!K$13*BB104,2))))</f>
        <v>0</v>
      </c>
      <c r="S105">
        <f>IF(BC104&lt;=0,0,IF(ROUND(BC104*(1+'Calc base'!Q105),2)-MAX('Calc base'!L$12,ROUND('Calc base'!L$13*BC104,2))&lt;1,ROUND(BC104*(1+'Calc base'!Q105),2),MAX('Calc base'!L$12,ROUND('Calc base'!L$13*BC104,2))))</f>
        <v>0</v>
      </c>
      <c r="T105">
        <f>IF(BD104&lt;=0,0,IF(ROUND(BD104*(1+'Calc base'!R105),2)-MAX('Calc base'!M$12,ROUND('Calc base'!M$13*BD104,2))&lt;1,ROUND(BD104*(1+'Calc base'!R105),2),MAX('Calc base'!M$12,ROUND('Calc base'!M$13*BD104,2))))</f>
        <v>0</v>
      </c>
      <c r="U105">
        <f>IF(BE104&lt;=0,0,IF(ROUND(BE104*(1+'Calc base'!S105),2)-MAX('Calc base'!N$12,ROUND('Calc base'!N$13*BE104,2))&lt;1,ROUND(BE104*(1+'Calc base'!S105),2),MAX('Calc base'!N$12,ROUND('Calc base'!N$13*BE104,2))))</f>
        <v>0</v>
      </c>
      <c r="V105">
        <f>MAX(0,ROUND(AT104*(1+'Calc base'!H105),2)-J105-'Calc base'!T105)</f>
        <v>0</v>
      </c>
      <c r="W105">
        <f>MAX(0,ROUND(AU104*(1+'Calc base'!I105),2)-K105-'Calc base'!U105)</f>
        <v>0</v>
      </c>
      <c r="X105">
        <f>MAX(0,ROUND(AV104*(1+'Calc base'!J105),2)-L105-'Calc base'!V105)</f>
        <v>0</v>
      </c>
      <c r="Y105">
        <f>MAX(0,ROUND(AW104*(1+'Calc base'!K105),2)-M105-'Calc base'!W105)</f>
        <v>0</v>
      </c>
      <c r="Z105">
        <f>MAX(0,ROUND(AX104*(1+'Calc base'!L105),2)-N105-'Calc base'!X105)</f>
        <v>0</v>
      </c>
      <c r="AA105">
        <f>MAX(0,ROUND(AY104*(1+'Calc base'!M105),2)-O105-'Calc base'!Y105)</f>
        <v>0</v>
      </c>
      <c r="AB105">
        <f>MAX(0,ROUND(AZ104*(1+'Calc base'!N105),2)-P105-'Calc base'!Z105)</f>
        <v>0</v>
      </c>
      <c r="AC105">
        <f>MAX(0,ROUND(BA104*(1+'Calc base'!O105),2)-Q105-'Calc base'!AA105)</f>
        <v>0</v>
      </c>
      <c r="AD105">
        <f>MAX(0,ROUND(BB104*(1+'Calc base'!P105),2)-R105-'Calc base'!AB105)</f>
        <v>0</v>
      </c>
      <c r="AE105">
        <f>MAX(0,ROUND(BC104*(1+'Calc base'!Q105),2)-S105-'Calc base'!AC105)</f>
        <v>0</v>
      </c>
      <c r="AF105">
        <f>MAX(0,ROUND(BD104*(1+'Calc base'!R105),2)-T105-'Calc base'!AD105)</f>
        <v>0</v>
      </c>
      <c r="AG105">
        <f>MAX(0,ROUND(BE104*(1+'Calc base'!S105),2)-U105-'Calc base'!AE105)</f>
        <v>0</v>
      </c>
      <c r="AH105">
        <f>IF('Calc base'!C$14=0,0,MIN(V105,MAX(0,$E105-SUMIFS($V105:$AG105,'Calc base'!$C$19:$N$19,"&lt;"&amp;'Calc base'!C$19,'Calc base'!$C$14:$N$14,1))))</f>
        <v>0</v>
      </c>
      <c r="AI105">
        <f>IF('Calc base'!D$14=0,0,MIN(W105,MAX(0,$E105-SUMIFS($V105:$AG105,'Calc base'!$C$19:$N$19,"&lt;"&amp;'Calc base'!D$19,'Calc base'!$C$14:$N$14,1))))</f>
        <v>0</v>
      </c>
      <c r="AJ105">
        <f>IF('Calc base'!E$14=0,0,MIN(X105,MAX(0,$E105-SUMIFS($V105:$AG105,'Calc base'!$C$19:$N$19,"&lt;"&amp;'Calc base'!E$19,'Calc base'!$C$14:$N$14,1))))</f>
        <v>0</v>
      </c>
      <c r="AK105">
        <f>IF('Calc base'!F$14=0,0,MIN(Y105,MAX(0,$E105-SUMIFS($V105:$AG105,'Calc base'!$C$19:$N$19,"&lt;"&amp;'Calc base'!F$19,'Calc base'!$C$14:$N$14,1))))</f>
        <v>0</v>
      </c>
      <c r="AL105">
        <f>IF('Calc base'!G$14=0,0,MIN(Z105,MAX(0,$E105-SUMIFS($V105:$AG105,'Calc base'!$C$19:$N$19,"&lt;"&amp;'Calc base'!G$19,'Calc base'!$C$14:$N$14,1))))</f>
        <v>0</v>
      </c>
      <c r="AM105">
        <f>IF('Calc base'!H$14=0,0,MIN(AA105,MAX(0,$E105-SUMIFS($V105:$AG105,'Calc base'!$C$19:$N$19,"&lt;"&amp;'Calc base'!H$19,'Calc base'!$C$14:$N$14,1))))</f>
        <v>0</v>
      </c>
      <c r="AN105">
        <f>IF('Calc base'!I$14=0,0,MIN(AB105,MAX(0,$E105-SUMIFS($V105:$AG105,'Calc base'!$C$19:$N$19,"&lt;"&amp;'Calc base'!I$19,'Calc base'!$C$14:$N$14,1))))</f>
        <v>0</v>
      </c>
      <c r="AO105">
        <f>IF('Calc base'!J$14=0,0,MIN(AC105,MAX(0,$E105-SUMIFS($V105:$AG105,'Calc base'!$C$19:$N$19,"&lt;"&amp;'Calc base'!J$19,'Calc base'!$C$14:$N$14,1))))</f>
        <v>0</v>
      </c>
      <c r="AP105">
        <f>IF('Calc base'!K$14=0,0,MIN(AD105,MAX(0,$E105-SUMIFS($V105:$AG105,'Calc base'!$C$19:$N$19,"&lt;"&amp;'Calc base'!K$19,'Calc base'!$C$14:$N$14,1))))</f>
        <v>0</v>
      </c>
      <c r="AQ105">
        <f>IF('Calc base'!L$14=0,0,MIN(AE105,MAX(0,$E105-SUMIFS($V105:$AG105,'Calc base'!$C$19:$N$19,"&lt;"&amp;'Calc base'!L$19,'Calc base'!$C$14:$N$14,1))))</f>
        <v>0</v>
      </c>
      <c r="AR105">
        <f>IF('Calc base'!M$14=0,0,MIN(AF105,MAX(0,$E105-SUMIFS($V105:$AG105,'Calc base'!$C$19:$N$19,"&lt;"&amp;'Calc base'!M$19,'Calc base'!$C$14:$N$14,1))))</f>
        <v>0</v>
      </c>
      <c r="AS105">
        <f>IF('Calc base'!N$14=0,0,MIN(AG105,MAX(0,$E105-SUMIFS($V105:$AG105,'Calc base'!$C$19:$N$19,"&lt;"&amp;'Calc base'!N$19,'Calc base'!$C$14:$N$14,1))))</f>
        <v>0</v>
      </c>
      <c r="AT105">
        <f>V105-AH105</f>
        <v>0</v>
      </c>
      <c r="AU105">
        <f>W105-AI105</f>
        <v>0</v>
      </c>
      <c r="AV105">
        <f>X105-AJ105</f>
        <v>0</v>
      </c>
      <c r="AW105">
        <f>Y105-AK105</f>
        <v>0</v>
      </c>
      <c r="AX105">
        <f>Z105-AL105</f>
        <v>0</v>
      </c>
      <c r="AY105">
        <f>AA105-AM105</f>
        <v>0</v>
      </c>
      <c r="AZ105">
        <f>AB105-AN105</f>
        <v>0</v>
      </c>
      <c r="BA105">
        <f>AC105-AO105</f>
        <v>0</v>
      </c>
      <c r="BB105">
        <f>AD105-AP105</f>
        <v>0</v>
      </c>
      <c r="BC105">
        <f>AE105-AQ105</f>
        <v>0</v>
      </c>
      <c r="BD105">
        <f>AF105-AR105</f>
        <v>0</v>
      </c>
      <c r="BE105">
        <f>AG105-AS105</f>
        <v>0</v>
      </c>
    </row>
    <row r="106">
      <c r="A106" t="n">
        <v>76</v>
      </c>
      <c r="B106">
        <f>SUMPRODUCT(ROUND($AT105:$BE105*(1+'Calc base'!$H106:$S106),2))</f>
        <v>0</v>
      </c>
      <c r="C106">
        <f>SUM(J106:U106)</f>
        <v>0</v>
      </c>
      <c r="D106">
        <f>SUM(V106:AG106)</f>
        <v>0</v>
      </c>
      <c r="E106">
        <f>MAX(0,IF(Impostazioni!$B$7="No",'Calc base'!$C106-$C$31,'Calc base'!$C106-C106)+'Calc base'!$G106+'Calc base'!$F106-(B106-C106-D106))</f>
        <v>900</v>
      </c>
      <c r="F106">
        <f>SUM(AH106:AS106)</f>
        <v>0</v>
      </c>
      <c r="G106">
        <f>SUM(AT106:BE106)</f>
        <v>0</v>
      </c>
      <c r="H106">
        <f>B106-G105</f>
        <v>0</v>
      </c>
      <c r="I106">
        <f>B106-G106</f>
        <v>0</v>
      </c>
      <c r="J106">
        <f>IF(AT105&lt;=0,0,IF(ROUND(AT105*(1+'Calc base'!H106),2)-MAX('Calc base'!C$12,ROUND('Calc base'!C$13*AT105,2))&lt;1,ROUND(AT105*(1+'Calc base'!H106),2),MAX('Calc base'!C$12,ROUND('Calc base'!C$13*AT105,2))))</f>
        <v>0</v>
      </c>
      <c r="K106">
        <f>IF(AU105&lt;=0,0,IF(ROUND(AU105*(1+'Calc base'!I106),2)-MAX('Calc base'!D$12,ROUND('Calc base'!D$13*AU105,2))&lt;1,ROUND(AU105*(1+'Calc base'!I106),2),MAX('Calc base'!D$12,ROUND('Calc base'!D$13*AU105,2))))</f>
        <v>0</v>
      </c>
      <c r="L106">
        <f>IF(AV105&lt;=0,0,IF(ROUND(AV105*(1+'Calc base'!J106),2)-MAX('Calc base'!E$12,ROUND('Calc base'!E$13*AV105,2))&lt;1,ROUND(AV105*(1+'Calc base'!J106),2),MAX('Calc base'!E$12,ROUND('Calc base'!E$13*AV105,2))))</f>
        <v>0</v>
      </c>
      <c r="M106">
        <f>IF(AW105&lt;=0,0,IF(ROUND(AW105*(1+'Calc base'!K106),2)-MAX('Calc base'!F$12,ROUND('Calc base'!F$13*AW105,2))&lt;1,ROUND(AW105*(1+'Calc base'!K106),2),MAX('Calc base'!F$12,ROUND('Calc base'!F$13*AW105,2))))</f>
        <v>0</v>
      </c>
      <c r="N106">
        <f>IF(AX105&lt;=0,0,IF(ROUND(AX105*(1+'Calc base'!L106),2)-MAX('Calc base'!G$12,ROUND('Calc base'!G$13*AX105,2))&lt;1,ROUND(AX105*(1+'Calc base'!L106),2),MAX('Calc base'!G$12,ROUND('Calc base'!G$13*AX105,2))))</f>
        <v>0</v>
      </c>
      <c r="O106">
        <f>IF(AY105&lt;=0,0,IF(ROUND(AY105*(1+'Calc base'!M106),2)-MAX('Calc base'!H$12,ROUND('Calc base'!H$13*AY105,2))&lt;1,ROUND(AY105*(1+'Calc base'!M106),2),MAX('Calc base'!H$12,ROUND('Calc base'!H$13*AY105,2))))</f>
        <v>0</v>
      </c>
      <c r="P106">
        <f>IF(AZ105&lt;=0,0,IF(ROUND(AZ105*(1+'Calc base'!N106),2)-MAX('Calc base'!I$12,ROUND('Calc base'!I$13*AZ105,2))&lt;1,ROUND(AZ105*(1+'Calc base'!N106),2),MAX('Calc base'!I$12,ROUND('Calc base'!I$13*AZ105,2))))</f>
        <v>0</v>
      </c>
      <c r="Q106">
        <f>IF(BA105&lt;=0,0,IF(ROUND(BA105*(1+'Calc base'!O106),2)-MAX('Calc base'!J$12,ROUND('Calc base'!J$13*BA105,2))&lt;1,ROUND(BA105*(1+'Calc base'!O106),2),MAX('Calc base'!J$12,ROUND('Calc base'!J$13*BA105,2))))</f>
        <v>0</v>
      </c>
      <c r="R106">
        <f>IF(BB105&lt;=0,0,IF(ROUND(BB105*(1+'Calc base'!P106),2)-MAX('Calc base'!K$12,ROUND('Calc base'!K$13*BB105,2))&lt;1,ROUND(BB105*(1+'Calc base'!P106),2),MAX('Calc base'!K$12,ROUND('Calc base'!K$13*BB105,2))))</f>
        <v>0</v>
      </c>
      <c r="S106">
        <f>IF(BC105&lt;=0,0,IF(ROUND(BC105*(1+'Calc base'!Q106),2)-MAX('Calc base'!L$12,ROUND('Calc base'!L$13*BC105,2))&lt;1,ROUND(BC105*(1+'Calc base'!Q106),2),MAX('Calc base'!L$12,ROUND('Calc base'!L$13*BC105,2))))</f>
        <v>0</v>
      </c>
      <c r="T106">
        <f>IF(BD105&lt;=0,0,IF(ROUND(BD105*(1+'Calc base'!R106),2)-MAX('Calc base'!M$12,ROUND('Calc base'!M$13*BD105,2))&lt;1,ROUND(BD105*(1+'Calc base'!R106),2),MAX('Calc base'!M$12,ROUND('Calc base'!M$13*BD105,2))))</f>
        <v>0</v>
      </c>
      <c r="U106">
        <f>IF(BE105&lt;=0,0,IF(ROUND(BE105*(1+'Calc base'!S106),2)-MAX('Calc base'!N$12,ROUND('Calc base'!N$13*BE105,2))&lt;1,ROUND(BE105*(1+'Calc base'!S106),2),MAX('Calc base'!N$12,ROUND('Calc base'!N$13*BE105,2))))</f>
        <v>0</v>
      </c>
      <c r="V106">
        <f>MAX(0,ROUND(AT105*(1+'Calc base'!H106),2)-J106-'Calc base'!T106)</f>
        <v>0</v>
      </c>
      <c r="W106">
        <f>MAX(0,ROUND(AU105*(1+'Calc base'!I106),2)-K106-'Calc base'!U106)</f>
        <v>0</v>
      </c>
      <c r="X106">
        <f>MAX(0,ROUND(AV105*(1+'Calc base'!J106),2)-L106-'Calc base'!V106)</f>
        <v>0</v>
      </c>
      <c r="Y106">
        <f>MAX(0,ROUND(AW105*(1+'Calc base'!K106),2)-M106-'Calc base'!W106)</f>
        <v>0</v>
      </c>
      <c r="Z106">
        <f>MAX(0,ROUND(AX105*(1+'Calc base'!L106),2)-N106-'Calc base'!X106)</f>
        <v>0</v>
      </c>
      <c r="AA106">
        <f>MAX(0,ROUND(AY105*(1+'Calc base'!M106),2)-O106-'Calc base'!Y106)</f>
        <v>0</v>
      </c>
      <c r="AB106">
        <f>MAX(0,ROUND(AZ105*(1+'Calc base'!N106),2)-P106-'Calc base'!Z106)</f>
        <v>0</v>
      </c>
      <c r="AC106">
        <f>MAX(0,ROUND(BA105*(1+'Calc base'!O106),2)-Q106-'Calc base'!AA106)</f>
        <v>0</v>
      </c>
      <c r="AD106">
        <f>MAX(0,ROUND(BB105*(1+'Calc base'!P106),2)-R106-'Calc base'!AB106)</f>
        <v>0</v>
      </c>
      <c r="AE106">
        <f>MAX(0,ROUND(BC105*(1+'Calc base'!Q106),2)-S106-'Calc base'!AC106)</f>
        <v>0</v>
      </c>
      <c r="AF106">
        <f>MAX(0,ROUND(BD105*(1+'Calc base'!R106),2)-T106-'Calc base'!AD106)</f>
        <v>0</v>
      </c>
      <c r="AG106">
        <f>MAX(0,ROUND(BE105*(1+'Calc base'!S106),2)-U106-'Calc base'!AE106)</f>
        <v>0</v>
      </c>
      <c r="AH106">
        <f>IF('Calc base'!C$14=0,0,MIN(V106,MAX(0,$E106-SUMIFS($V106:$AG106,'Calc base'!$C$19:$N$19,"&lt;"&amp;'Calc base'!C$19,'Calc base'!$C$14:$N$14,1))))</f>
        <v>0</v>
      </c>
      <c r="AI106">
        <f>IF('Calc base'!D$14=0,0,MIN(W106,MAX(0,$E106-SUMIFS($V106:$AG106,'Calc base'!$C$19:$N$19,"&lt;"&amp;'Calc base'!D$19,'Calc base'!$C$14:$N$14,1))))</f>
        <v>0</v>
      </c>
      <c r="AJ106">
        <f>IF('Calc base'!E$14=0,0,MIN(X106,MAX(0,$E106-SUMIFS($V106:$AG106,'Calc base'!$C$19:$N$19,"&lt;"&amp;'Calc base'!E$19,'Calc base'!$C$14:$N$14,1))))</f>
        <v>0</v>
      </c>
      <c r="AK106">
        <f>IF('Calc base'!F$14=0,0,MIN(Y106,MAX(0,$E106-SUMIFS($V106:$AG106,'Calc base'!$C$19:$N$19,"&lt;"&amp;'Calc base'!F$19,'Calc base'!$C$14:$N$14,1))))</f>
        <v>0</v>
      </c>
      <c r="AL106">
        <f>IF('Calc base'!G$14=0,0,MIN(Z106,MAX(0,$E106-SUMIFS($V106:$AG106,'Calc base'!$C$19:$N$19,"&lt;"&amp;'Calc base'!G$19,'Calc base'!$C$14:$N$14,1))))</f>
        <v>0</v>
      </c>
      <c r="AM106">
        <f>IF('Calc base'!H$14=0,0,MIN(AA106,MAX(0,$E106-SUMIFS($V106:$AG106,'Calc base'!$C$19:$N$19,"&lt;"&amp;'Calc base'!H$19,'Calc base'!$C$14:$N$14,1))))</f>
        <v>0</v>
      </c>
      <c r="AN106">
        <f>IF('Calc base'!I$14=0,0,MIN(AB106,MAX(0,$E106-SUMIFS($V106:$AG106,'Calc base'!$C$19:$N$19,"&lt;"&amp;'Calc base'!I$19,'Calc base'!$C$14:$N$14,1))))</f>
        <v>0</v>
      </c>
      <c r="AO106">
        <f>IF('Calc base'!J$14=0,0,MIN(AC106,MAX(0,$E106-SUMIFS($V106:$AG106,'Calc base'!$C$19:$N$19,"&lt;"&amp;'Calc base'!J$19,'Calc base'!$C$14:$N$14,1))))</f>
        <v>0</v>
      </c>
      <c r="AP106">
        <f>IF('Calc base'!K$14=0,0,MIN(AD106,MAX(0,$E106-SUMIFS($V106:$AG106,'Calc base'!$C$19:$N$19,"&lt;"&amp;'Calc base'!K$19,'Calc base'!$C$14:$N$14,1))))</f>
        <v>0</v>
      </c>
      <c r="AQ106">
        <f>IF('Calc base'!L$14=0,0,MIN(AE106,MAX(0,$E106-SUMIFS($V106:$AG106,'Calc base'!$C$19:$N$19,"&lt;"&amp;'Calc base'!L$19,'Calc base'!$C$14:$N$14,1))))</f>
        <v>0</v>
      </c>
      <c r="AR106">
        <f>IF('Calc base'!M$14=0,0,MIN(AF106,MAX(0,$E106-SUMIFS($V106:$AG106,'Calc base'!$C$19:$N$19,"&lt;"&amp;'Calc base'!M$19,'Calc base'!$C$14:$N$14,1))))</f>
        <v>0</v>
      </c>
      <c r="AS106">
        <f>IF('Calc base'!N$14=0,0,MIN(AG106,MAX(0,$E106-SUMIFS($V106:$AG106,'Calc base'!$C$19:$N$19,"&lt;"&amp;'Calc base'!N$19,'Calc base'!$C$14:$N$14,1))))</f>
        <v>0</v>
      </c>
      <c r="AT106">
        <f>V106-AH106</f>
        <v>0</v>
      </c>
      <c r="AU106">
        <f>W106-AI106</f>
        <v>0</v>
      </c>
      <c r="AV106">
        <f>X106-AJ106</f>
        <v>0</v>
      </c>
      <c r="AW106">
        <f>Y106-AK106</f>
        <v>0</v>
      </c>
      <c r="AX106">
        <f>Z106-AL106</f>
        <v>0</v>
      </c>
      <c r="AY106">
        <f>AA106-AM106</f>
        <v>0</v>
      </c>
      <c r="AZ106">
        <f>AB106-AN106</f>
        <v>0</v>
      </c>
      <c r="BA106">
        <f>AC106-AO106</f>
        <v>0</v>
      </c>
      <c r="BB106">
        <f>AD106-AP106</f>
        <v>0</v>
      </c>
      <c r="BC106">
        <f>AE106-AQ106</f>
        <v>0</v>
      </c>
      <c r="BD106">
        <f>AF106-AR106</f>
        <v>0</v>
      </c>
      <c r="BE106">
        <f>AG106-AS106</f>
        <v>0</v>
      </c>
    </row>
    <row r="107">
      <c r="A107" t="n">
        <v>77</v>
      </c>
      <c r="B107">
        <f>SUMPRODUCT(ROUND($AT106:$BE106*(1+'Calc base'!$H107:$S107),2))</f>
        <v>0</v>
      </c>
      <c r="C107">
        <f>SUM(J107:U107)</f>
        <v>0</v>
      </c>
      <c r="D107">
        <f>SUM(V107:AG107)</f>
        <v>0</v>
      </c>
      <c r="E107">
        <f>MAX(0,IF(Impostazioni!$B$7="No",'Calc base'!$C107-$C$31,'Calc base'!$C107-C107)+'Calc base'!$G107+'Calc base'!$F107-(B107-C107-D107))</f>
        <v>900</v>
      </c>
      <c r="F107">
        <f>SUM(AH107:AS107)</f>
        <v>0</v>
      </c>
      <c r="G107">
        <f>SUM(AT107:BE107)</f>
        <v>0</v>
      </c>
      <c r="H107">
        <f>B107-G106</f>
        <v>0</v>
      </c>
      <c r="I107">
        <f>B107-G107</f>
        <v>0</v>
      </c>
      <c r="J107">
        <f>IF(AT106&lt;=0,0,IF(ROUND(AT106*(1+'Calc base'!H107),2)-MAX('Calc base'!C$12,ROUND('Calc base'!C$13*AT106,2))&lt;1,ROUND(AT106*(1+'Calc base'!H107),2),MAX('Calc base'!C$12,ROUND('Calc base'!C$13*AT106,2))))</f>
        <v>0</v>
      </c>
      <c r="K107">
        <f>IF(AU106&lt;=0,0,IF(ROUND(AU106*(1+'Calc base'!I107),2)-MAX('Calc base'!D$12,ROUND('Calc base'!D$13*AU106,2))&lt;1,ROUND(AU106*(1+'Calc base'!I107),2),MAX('Calc base'!D$12,ROUND('Calc base'!D$13*AU106,2))))</f>
        <v>0</v>
      </c>
      <c r="L107">
        <f>IF(AV106&lt;=0,0,IF(ROUND(AV106*(1+'Calc base'!J107),2)-MAX('Calc base'!E$12,ROUND('Calc base'!E$13*AV106,2))&lt;1,ROUND(AV106*(1+'Calc base'!J107),2),MAX('Calc base'!E$12,ROUND('Calc base'!E$13*AV106,2))))</f>
        <v>0</v>
      </c>
      <c r="M107">
        <f>IF(AW106&lt;=0,0,IF(ROUND(AW106*(1+'Calc base'!K107),2)-MAX('Calc base'!F$12,ROUND('Calc base'!F$13*AW106,2))&lt;1,ROUND(AW106*(1+'Calc base'!K107),2),MAX('Calc base'!F$12,ROUND('Calc base'!F$13*AW106,2))))</f>
        <v>0</v>
      </c>
      <c r="N107">
        <f>IF(AX106&lt;=0,0,IF(ROUND(AX106*(1+'Calc base'!L107),2)-MAX('Calc base'!G$12,ROUND('Calc base'!G$13*AX106,2))&lt;1,ROUND(AX106*(1+'Calc base'!L107),2),MAX('Calc base'!G$12,ROUND('Calc base'!G$13*AX106,2))))</f>
        <v>0</v>
      </c>
      <c r="O107">
        <f>IF(AY106&lt;=0,0,IF(ROUND(AY106*(1+'Calc base'!M107),2)-MAX('Calc base'!H$12,ROUND('Calc base'!H$13*AY106,2))&lt;1,ROUND(AY106*(1+'Calc base'!M107),2),MAX('Calc base'!H$12,ROUND('Calc base'!H$13*AY106,2))))</f>
        <v>0</v>
      </c>
      <c r="P107">
        <f>IF(AZ106&lt;=0,0,IF(ROUND(AZ106*(1+'Calc base'!N107),2)-MAX('Calc base'!I$12,ROUND('Calc base'!I$13*AZ106,2))&lt;1,ROUND(AZ106*(1+'Calc base'!N107),2),MAX('Calc base'!I$12,ROUND('Calc base'!I$13*AZ106,2))))</f>
        <v>0</v>
      </c>
      <c r="Q107">
        <f>IF(BA106&lt;=0,0,IF(ROUND(BA106*(1+'Calc base'!O107),2)-MAX('Calc base'!J$12,ROUND('Calc base'!J$13*BA106,2))&lt;1,ROUND(BA106*(1+'Calc base'!O107),2),MAX('Calc base'!J$12,ROUND('Calc base'!J$13*BA106,2))))</f>
        <v>0</v>
      </c>
      <c r="R107">
        <f>IF(BB106&lt;=0,0,IF(ROUND(BB106*(1+'Calc base'!P107),2)-MAX('Calc base'!K$12,ROUND('Calc base'!K$13*BB106,2))&lt;1,ROUND(BB106*(1+'Calc base'!P107),2),MAX('Calc base'!K$12,ROUND('Calc base'!K$13*BB106,2))))</f>
        <v>0</v>
      </c>
      <c r="S107">
        <f>IF(BC106&lt;=0,0,IF(ROUND(BC106*(1+'Calc base'!Q107),2)-MAX('Calc base'!L$12,ROUND('Calc base'!L$13*BC106,2))&lt;1,ROUND(BC106*(1+'Calc base'!Q107),2),MAX('Calc base'!L$12,ROUND('Calc base'!L$13*BC106,2))))</f>
        <v>0</v>
      </c>
      <c r="T107">
        <f>IF(BD106&lt;=0,0,IF(ROUND(BD106*(1+'Calc base'!R107),2)-MAX('Calc base'!M$12,ROUND('Calc base'!M$13*BD106,2))&lt;1,ROUND(BD106*(1+'Calc base'!R107),2),MAX('Calc base'!M$12,ROUND('Calc base'!M$13*BD106,2))))</f>
        <v>0</v>
      </c>
      <c r="U107">
        <f>IF(BE106&lt;=0,0,IF(ROUND(BE106*(1+'Calc base'!S107),2)-MAX('Calc base'!N$12,ROUND('Calc base'!N$13*BE106,2))&lt;1,ROUND(BE106*(1+'Calc base'!S107),2),MAX('Calc base'!N$12,ROUND('Calc base'!N$13*BE106,2))))</f>
        <v>0</v>
      </c>
      <c r="V107">
        <f>MAX(0,ROUND(AT106*(1+'Calc base'!H107),2)-J107-'Calc base'!T107)</f>
        <v>0</v>
      </c>
      <c r="W107">
        <f>MAX(0,ROUND(AU106*(1+'Calc base'!I107),2)-K107-'Calc base'!U107)</f>
        <v>0</v>
      </c>
      <c r="X107">
        <f>MAX(0,ROUND(AV106*(1+'Calc base'!J107),2)-L107-'Calc base'!V107)</f>
        <v>0</v>
      </c>
      <c r="Y107">
        <f>MAX(0,ROUND(AW106*(1+'Calc base'!K107),2)-M107-'Calc base'!W107)</f>
        <v>0</v>
      </c>
      <c r="Z107">
        <f>MAX(0,ROUND(AX106*(1+'Calc base'!L107),2)-N107-'Calc base'!X107)</f>
        <v>0</v>
      </c>
      <c r="AA107">
        <f>MAX(0,ROUND(AY106*(1+'Calc base'!M107),2)-O107-'Calc base'!Y107)</f>
        <v>0</v>
      </c>
      <c r="AB107">
        <f>MAX(0,ROUND(AZ106*(1+'Calc base'!N107),2)-P107-'Calc base'!Z107)</f>
        <v>0</v>
      </c>
      <c r="AC107">
        <f>MAX(0,ROUND(BA106*(1+'Calc base'!O107),2)-Q107-'Calc base'!AA107)</f>
        <v>0</v>
      </c>
      <c r="AD107">
        <f>MAX(0,ROUND(BB106*(1+'Calc base'!P107),2)-R107-'Calc base'!AB107)</f>
        <v>0</v>
      </c>
      <c r="AE107">
        <f>MAX(0,ROUND(BC106*(1+'Calc base'!Q107),2)-S107-'Calc base'!AC107)</f>
        <v>0</v>
      </c>
      <c r="AF107">
        <f>MAX(0,ROUND(BD106*(1+'Calc base'!R107),2)-T107-'Calc base'!AD107)</f>
        <v>0</v>
      </c>
      <c r="AG107">
        <f>MAX(0,ROUND(BE106*(1+'Calc base'!S107),2)-U107-'Calc base'!AE107)</f>
        <v>0</v>
      </c>
      <c r="AH107">
        <f>IF('Calc base'!C$14=0,0,MIN(V107,MAX(0,$E107-SUMIFS($V107:$AG107,'Calc base'!$C$19:$N$19,"&lt;"&amp;'Calc base'!C$19,'Calc base'!$C$14:$N$14,1))))</f>
        <v>0</v>
      </c>
      <c r="AI107">
        <f>IF('Calc base'!D$14=0,0,MIN(W107,MAX(0,$E107-SUMIFS($V107:$AG107,'Calc base'!$C$19:$N$19,"&lt;"&amp;'Calc base'!D$19,'Calc base'!$C$14:$N$14,1))))</f>
        <v>0</v>
      </c>
      <c r="AJ107">
        <f>IF('Calc base'!E$14=0,0,MIN(X107,MAX(0,$E107-SUMIFS($V107:$AG107,'Calc base'!$C$19:$N$19,"&lt;"&amp;'Calc base'!E$19,'Calc base'!$C$14:$N$14,1))))</f>
        <v>0</v>
      </c>
      <c r="AK107">
        <f>IF('Calc base'!F$14=0,0,MIN(Y107,MAX(0,$E107-SUMIFS($V107:$AG107,'Calc base'!$C$19:$N$19,"&lt;"&amp;'Calc base'!F$19,'Calc base'!$C$14:$N$14,1))))</f>
        <v>0</v>
      </c>
      <c r="AL107">
        <f>IF('Calc base'!G$14=0,0,MIN(Z107,MAX(0,$E107-SUMIFS($V107:$AG107,'Calc base'!$C$19:$N$19,"&lt;"&amp;'Calc base'!G$19,'Calc base'!$C$14:$N$14,1))))</f>
        <v>0</v>
      </c>
      <c r="AM107">
        <f>IF('Calc base'!H$14=0,0,MIN(AA107,MAX(0,$E107-SUMIFS($V107:$AG107,'Calc base'!$C$19:$N$19,"&lt;"&amp;'Calc base'!H$19,'Calc base'!$C$14:$N$14,1))))</f>
        <v>0</v>
      </c>
      <c r="AN107">
        <f>IF('Calc base'!I$14=0,0,MIN(AB107,MAX(0,$E107-SUMIFS($V107:$AG107,'Calc base'!$C$19:$N$19,"&lt;"&amp;'Calc base'!I$19,'Calc base'!$C$14:$N$14,1))))</f>
        <v>0</v>
      </c>
      <c r="AO107">
        <f>IF('Calc base'!J$14=0,0,MIN(AC107,MAX(0,$E107-SUMIFS($V107:$AG107,'Calc base'!$C$19:$N$19,"&lt;"&amp;'Calc base'!J$19,'Calc base'!$C$14:$N$14,1))))</f>
        <v>0</v>
      </c>
      <c r="AP107">
        <f>IF('Calc base'!K$14=0,0,MIN(AD107,MAX(0,$E107-SUMIFS($V107:$AG107,'Calc base'!$C$19:$N$19,"&lt;"&amp;'Calc base'!K$19,'Calc base'!$C$14:$N$14,1))))</f>
        <v>0</v>
      </c>
      <c r="AQ107">
        <f>IF('Calc base'!L$14=0,0,MIN(AE107,MAX(0,$E107-SUMIFS($V107:$AG107,'Calc base'!$C$19:$N$19,"&lt;"&amp;'Calc base'!L$19,'Calc base'!$C$14:$N$14,1))))</f>
        <v>0</v>
      </c>
      <c r="AR107">
        <f>IF('Calc base'!M$14=0,0,MIN(AF107,MAX(0,$E107-SUMIFS($V107:$AG107,'Calc base'!$C$19:$N$19,"&lt;"&amp;'Calc base'!M$19,'Calc base'!$C$14:$N$14,1))))</f>
        <v>0</v>
      </c>
      <c r="AS107">
        <f>IF('Calc base'!N$14=0,0,MIN(AG107,MAX(0,$E107-SUMIFS($V107:$AG107,'Calc base'!$C$19:$N$19,"&lt;"&amp;'Calc base'!N$19,'Calc base'!$C$14:$N$14,1))))</f>
        <v>0</v>
      </c>
      <c r="AT107">
        <f>V107-AH107</f>
        <v>0</v>
      </c>
      <c r="AU107">
        <f>W107-AI107</f>
        <v>0</v>
      </c>
      <c r="AV107">
        <f>X107-AJ107</f>
        <v>0</v>
      </c>
      <c r="AW107">
        <f>Y107-AK107</f>
        <v>0</v>
      </c>
      <c r="AX107">
        <f>Z107-AL107</f>
        <v>0</v>
      </c>
      <c r="AY107">
        <f>AA107-AM107</f>
        <v>0</v>
      </c>
      <c r="AZ107">
        <f>AB107-AN107</f>
        <v>0</v>
      </c>
      <c r="BA107">
        <f>AC107-AO107</f>
        <v>0</v>
      </c>
      <c r="BB107">
        <f>AD107-AP107</f>
        <v>0</v>
      </c>
      <c r="BC107">
        <f>AE107-AQ107</f>
        <v>0</v>
      </c>
      <c r="BD107">
        <f>AF107-AR107</f>
        <v>0</v>
      </c>
      <c r="BE107">
        <f>AG107-AS107</f>
        <v>0</v>
      </c>
    </row>
    <row r="108">
      <c r="A108" t="n">
        <v>78</v>
      </c>
      <c r="B108">
        <f>SUMPRODUCT(ROUND($AT107:$BE107*(1+'Calc base'!$H108:$S108),2))</f>
        <v>0</v>
      </c>
      <c r="C108">
        <f>SUM(J108:U108)</f>
        <v>0</v>
      </c>
      <c r="D108">
        <f>SUM(V108:AG108)</f>
        <v>0</v>
      </c>
      <c r="E108">
        <f>MAX(0,IF(Impostazioni!$B$7="No",'Calc base'!$C108-$C$31,'Calc base'!$C108-C108)+'Calc base'!$G108+'Calc base'!$F108-(B108-C108-D108))</f>
        <v>900</v>
      </c>
      <c r="F108">
        <f>SUM(AH108:AS108)</f>
        <v>0</v>
      </c>
      <c r="G108">
        <f>SUM(AT108:BE108)</f>
        <v>0</v>
      </c>
      <c r="H108">
        <f>B108-G107</f>
        <v>0</v>
      </c>
      <c r="I108">
        <f>B108-G108</f>
        <v>0</v>
      </c>
      <c r="J108">
        <f>IF(AT107&lt;=0,0,IF(ROUND(AT107*(1+'Calc base'!H108),2)-MAX('Calc base'!C$12,ROUND('Calc base'!C$13*AT107,2))&lt;1,ROUND(AT107*(1+'Calc base'!H108),2),MAX('Calc base'!C$12,ROUND('Calc base'!C$13*AT107,2))))</f>
        <v>0</v>
      </c>
      <c r="K108">
        <f>IF(AU107&lt;=0,0,IF(ROUND(AU107*(1+'Calc base'!I108),2)-MAX('Calc base'!D$12,ROUND('Calc base'!D$13*AU107,2))&lt;1,ROUND(AU107*(1+'Calc base'!I108),2),MAX('Calc base'!D$12,ROUND('Calc base'!D$13*AU107,2))))</f>
        <v>0</v>
      </c>
      <c r="L108">
        <f>IF(AV107&lt;=0,0,IF(ROUND(AV107*(1+'Calc base'!J108),2)-MAX('Calc base'!E$12,ROUND('Calc base'!E$13*AV107,2))&lt;1,ROUND(AV107*(1+'Calc base'!J108),2),MAX('Calc base'!E$12,ROUND('Calc base'!E$13*AV107,2))))</f>
        <v>0</v>
      </c>
      <c r="M108">
        <f>IF(AW107&lt;=0,0,IF(ROUND(AW107*(1+'Calc base'!K108),2)-MAX('Calc base'!F$12,ROUND('Calc base'!F$13*AW107,2))&lt;1,ROUND(AW107*(1+'Calc base'!K108),2),MAX('Calc base'!F$12,ROUND('Calc base'!F$13*AW107,2))))</f>
        <v>0</v>
      </c>
      <c r="N108">
        <f>IF(AX107&lt;=0,0,IF(ROUND(AX107*(1+'Calc base'!L108),2)-MAX('Calc base'!G$12,ROUND('Calc base'!G$13*AX107,2))&lt;1,ROUND(AX107*(1+'Calc base'!L108),2),MAX('Calc base'!G$12,ROUND('Calc base'!G$13*AX107,2))))</f>
        <v>0</v>
      </c>
      <c r="O108">
        <f>IF(AY107&lt;=0,0,IF(ROUND(AY107*(1+'Calc base'!M108),2)-MAX('Calc base'!H$12,ROUND('Calc base'!H$13*AY107,2))&lt;1,ROUND(AY107*(1+'Calc base'!M108),2),MAX('Calc base'!H$12,ROUND('Calc base'!H$13*AY107,2))))</f>
        <v>0</v>
      </c>
      <c r="P108">
        <f>IF(AZ107&lt;=0,0,IF(ROUND(AZ107*(1+'Calc base'!N108),2)-MAX('Calc base'!I$12,ROUND('Calc base'!I$13*AZ107,2))&lt;1,ROUND(AZ107*(1+'Calc base'!N108),2),MAX('Calc base'!I$12,ROUND('Calc base'!I$13*AZ107,2))))</f>
        <v>0</v>
      </c>
      <c r="Q108">
        <f>IF(BA107&lt;=0,0,IF(ROUND(BA107*(1+'Calc base'!O108),2)-MAX('Calc base'!J$12,ROUND('Calc base'!J$13*BA107,2))&lt;1,ROUND(BA107*(1+'Calc base'!O108),2),MAX('Calc base'!J$12,ROUND('Calc base'!J$13*BA107,2))))</f>
        <v>0</v>
      </c>
      <c r="R108">
        <f>IF(BB107&lt;=0,0,IF(ROUND(BB107*(1+'Calc base'!P108),2)-MAX('Calc base'!K$12,ROUND('Calc base'!K$13*BB107,2))&lt;1,ROUND(BB107*(1+'Calc base'!P108),2),MAX('Calc base'!K$12,ROUND('Calc base'!K$13*BB107,2))))</f>
        <v>0</v>
      </c>
      <c r="S108">
        <f>IF(BC107&lt;=0,0,IF(ROUND(BC107*(1+'Calc base'!Q108),2)-MAX('Calc base'!L$12,ROUND('Calc base'!L$13*BC107,2))&lt;1,ROUND(BC107*(1+'Calc base'!Q108),2),MAX('Calc base'!L$12,ROUND('Calc base'!L$13*BC107,2))))</f>
        <v>0</v>
      </c>
      <c r="T108">
        <f>IF(BD107&lt;=0,0,IF(ROUND(BD107*(1+'Calc base'!R108),2)-MAX('Calc base'!M$12,ROUND('Calc base'!M$13*BD107,2))&lt;1,ROUND(BD107*(1+'Calc base'!R108),2),MAX('Calc base'!M$12,ROUND('Calc base'!M$13*BD107,2))))</f>
        <v>0</v>
      </c>
      <c r="U108">
        <f>IF(BE107&lt;=0,0,IF(ROUND(BE107*(1+'Calc base'!S108),2)-MAX('Calc base'!N$12,ROUND('Calc base'!N$13*BE107,2))&lt;1,ROUND(BE107*(1+'Calc base'!S108),2),MAX('Calc base'!N$12,ROUND('Calc base'!N$13*BE107,2))))</f>
        <v>0</v>
      </c>
      <c r="V108">
        <f>MAX(0,ROUND(AT107*(1+'Calc base'!H108),2)-J108-'Calc base'!T108)</f>
        <v>0</v>
      </c>
      <c r="W108">
        <f>MAX(0,ROUND(AU107*(1+'Calc base'!I108),2)-K108-'Calc base'!U108)</f>
        <v>0</v>
      </c>
      <c r="X108">
        <f>MAX(0,ROUND(AV107*(1+'Calc base'!J108),2)-L108-'Calc base'!V108)</f>
        <v>0</v>
      </c>
      <c r="Y108">
        <f>MAX(0,ROUND(AW107*(1+'Calc base'!K108),2)-M108-'Calc base'!W108)</f>
        <v>0</v>
      </c>
      <c r="Z108">
        <f>MAX(0,ROUND(AX107*(1+'Calc base'!L108),2)-N108-'Calc base'!X108)</f>
        <v>0</v>
      </c>
      <c r="AA108">
        <f>MAX(0,ROUND(AY107*(1+'Calc base'!M108),2)-O108-'Calc base'!Y108)</f>
        <v>0</v>
      </c>
      <c r="AB108">
        <f>MAX(0,ROUND(AZ107*(1+'Calc base'!N108),2)-P108-'Calc base'!Z108)</f>
        <v>0</v>
      </c>
      <c r="AC108">
        <f>MAX(0,ROUND(BA107*(1+'Calc base'!O108),2)-Q108-'Calc base'!AA108)</f>
        <v>0</v>
      </c>
      <c r="AD108">
        <f>MAX(0,ROUND(BB107*(1+'Calc base'!P108),2)-R108-'Calc base'!AB108)</f>
        <v>0</v>
      </c>
      <c r="AE108">
        <f>MAX(0,ROUND(BC107*(1+'Calc base'!Q108),2)-S108-'Calc base'!AC108)</f>
        <v>0</v>
      </c>
      <c r="AF108">
        <f>MAX(0,ROUND(BD107*(1+'Calc base'!R108),2)-T108-'Calc base'!AD108)</f>
        <v>0</v>
      </c>
      <c r="AG108">
        <f>MAX(0,ROUND(BE107*(1+'Calc base'!S108),2)-U108-'Calc base'!AE108)</f>
        <v>0</v>
      </c>
      <c r="AH108">
        <f>IF('Calc base'!C$14=0,0,MIN(V108,MAX(0,$E108-SUMIFS($V108:$AG108,'Calc base'!$C$19:$N$19,"&lt;"&amp;'Calc base'!C$19,'Calc base'!$C$14:$N$14,1))))</f>
        <v>0</v>
      </c>
      <c r="AI108">
        <f>IF('Calc base'!D$14=0,0,MIN(W108,MAX(0,$E108-SUMIFS($V108:$AG108,'Calc base'!$C$19:$N$19,"&lt;"&amp;'Calc base'!D$19,'Calc base'!$C$14:$N$14,1))))</f>
        <v>0</v>
      </c>
      <c r="AJ108">
        <f>IF('Calc base'!E$14=0,0,MIN(X108,MAX(0,$E108-SUMIFS($V108:$AG108,'Calc base'!$C$19:$N$19,"&lt;"&amp;'Calc base'!E$19,'Calc base'!$C$14:$N$14,1))))</f>
        <v>0</v>
      </c>
      <c r="AK108">
        <f>IF('Calc base'!F$14=0,0,MIN(Y108,MAX(0,$E108-SUMIFS($V108:$AG108,'Calc base'!$C$19:$N$19,"&lt;"&amp;'Calc base'!F$19,'Calc base'!$C$14:$N$14,1))))</f>
        <v>0</v>
      </c>
      <c r="AL108">
        <f>IF('Calc base'!G$14=0,0,MIN(Z108,MAX(0,$E108-SUMIFS($V108:$AG108,'Calc base'!$C$19:$N$19,"&lt;"&amp;'Calc base'!G$19,'Calc base'!$C$14:$N$14,1))))</f>
        <v>0</v>
      </c>
      <c r="AM108">
        <f>IF('Calc base'!H$14=0,0,MIN(AA108,MAX(0,$E108-SUMIFS($V108:$AG108,'Calc base'!$C$19:$N$19,"&lt;"&amp;'Calc base'!H$19,'Calc base'!$C$14:$N$14,1))))</f>
        <v>0</v>
      </c>
      <c r="AN108">
        <f>IF('Calc base'!I$14=0,0,MIN(AB108,MAX(0,$E108-SUMIFS($V108:$AG108,'Calc base'!$C$19:$N$19,"&lt;"&amp;'Calc base'!I$19,'Calc base'!$C$14:$N$14,1))))</f>
        <v>0</v>
      </c>
      <c r="AO108">
        <f>IF('Calc base'!J$14=0,0,MIN(AC108,MAX(0,$E108-SUMIFS($V108:$AG108,'Calc base'!$C$19:$N$19,"&lt;"&amp;'Calc base'!J$19,'Calc base'!$C$14:$N$14,1))))</f>
        <v>0</v>
      </c>
      <c r="AP108">
        <f>IF('Calc base'!K$14=0,0,MIN(AD108,MAX(0,$E108-SUMIFS($V108:$AG108,'Calc base'!$C$19:$N$19,"&lt;"&amp;'Calc base'!K$19,'Calc base'!$C$14:$N$14,1))))</f>
        <v>0</v>
      </c>
      <c r="AQ108">
        <f>IF('Calc base'!L$14=0,0,MIN(AE108,MAX(0,$E108-SUMIFS($V108:$AG108,'Calc base'!$C$19:$N$19,"&lt;"&amp;'Calc base'!L$19,'Calc base'!$C$14:$N$14,1))))</f>
        <v>0</v>
      </c>
      <c r="AR108">
        <f>IF('Calc base'!M$14=0,0,MIN(AF108,MAX(0,$E108-SUMIFS($V108:$AG108,'Calc base'!$C$19:$N$19,"&lt;"&amp;'Calc base'!M$19,'Calc base'!$C$14:$N$14,1))))</f>
        <v>0</v>
      </c>
      <c r="AS108">
        <f>IF('Calc base'!N$14=0,0,MIN(AG108,MAX(0,$E108-SUMIFS($V108:$AG108,'Calc base'!$C$19:$N$19,"&lt;"&amp;'Calc base'!N$19,'Calc base'!$C$14:$N$14,1))))</f>
        <v>0</v>
      </c>
      <c r="AT108">
        <f>V108-AH108</f>
        <v>0</v>
      </c>
      <c r="AU108">
        <f>W108-AI108</f>
        <v>0</v>
      </c>
      <c r="AV108">
        <f>X108-AJ108</f>
        <v>0</v>
      </c>
      <c r="AW108">
        <f>Y108-AK108</f>
        <v>0</v>
      </c>
      <c r="AX108">
        <f>Z108-AL108</f>
        <v>0</v>
      </c>
      <c r="AY108">
        <f>AA108-AM108</f>
        <v>0</v>
      </c>
      <c r="AZ108">
        <f>AB108-AN108</f>
        <v>0</v>
      </c>
      <c r="BA108">
        <f>AC108-AO108</f>
        <v>0</v>
      </c>
      <c r="BB108">
        <f>AD108-AP108</f>
        <v>0</v>
      </c>
      <c r="BC108">
        <f>AE108-AQ108</f>
        <v>0</v>
      </c>
      <c r="BD108">
        <f>AF108-AR108</f>
        <v>0</v>
      </c>
      <c r="BE108">
        <f>AG108-AS108</f>
        <v>0</v>
      </c>
    </row>
    <row r="109">
      <c r="A109" t="n">
        <v>79</v>
      </c>
      <c r="B109">
        <f>SUMPRODUCT(ROUND($AT108:$BE108*(1+'Calc base'!$H109:$S109),2))</f>
        <v>0</v>
      </c>
      <c r="C109">
        <f>SUM(J109:U109)</f>
        <v>0</v>
      </c>
      <c r="D109">
        <f>SUM(V109:AG109)</f>
        <v>0</v>
      </c>
      <c r="E109">
        <f>MAX(0,IF(Impostazioni!$B$7="No",'Calc base'!$C109-$C$31,'Calc base'!$C109-C109)+'Calc base'!$G109+'Calc base'!$F109-(B109-C109-D109))</f>
        <v>900</v>
      </c>
      <c r="F109">
        <f>SUM(AH109:AS109)</f>
        <v>0</v>
      </c>
      <c r="G109">
        <f>SUM(AT109:BE109)</f>
        <v>0</v>
      </c>
      <c r="H109">
        <f>B109-G108</f>
        <v>0</v>
      </c>
      <c r="I109">
        <f>B109-G109</f>
        <v>0</v>
      </c>
      <c r="J109">
        <f>IF(AT108&lt;=0,0,IF(ROUND(AT108*(1+'Calc base'!H109),2)-MAX('Calc base'!C$12,ROUND('Calc base'!C$13*AT108,2))&lt;1,ROUND(AT108*(1+'Calc base'!H109),2),MAX('Calc base'!C$12,ROUND('Calc base'!C$13*AT108,2))))</f>
        <v>0</v>
      </c>
      <c r="K109">
        <f>IF(AU108&lt;=0,0,IF(ROUND(AU108*(1+'Calc base'!I109),2)-MAX('Calc base'!D$12,ROUND('Calc base'!D$13*AU108,2))&lt;1,ROUND(AU108*(1+'Calc base'!I109),2),MAX('Calc base'!D$12,ROUND('Calc base'!D$13*AU108,2))))</f>
        <v>0</v>
      </c>
      <c r="L109">
        <f>IF(AV108&lt;=0,0,IF(ROUND(AV108*(1+'Calc base'!J109),2)-MAX('Calc base'!E$12,ROUND('Calc base'!E$13*AV108,2))&lt;1,ROUND(AV108*(1+'Calc base'!J109),2),MAX('Calc base'!E$12,ROUND('Calc base'!E$13*AV108,2))))</f>
        <v>0</v>
      </c>
      <c r="M109">
        <f>IF(AW108&lt;=0,0,IF(ROUND(AW108*(1+'Calc base'!K109),2)-MAX('Calc base'!F$12,ROUND('Calc base'!F$13*AW108,2))&lt;1,ROUND(AW108*(1+'Calc base'!K109),2),MAX('Calc base'!F$12,ROUND('Calc base'!F$13*AW108,2))))</f>
        <v>0</v>
      </c>
      <c r="N109">
        <f>IF(AX108&lt;=0,0,IF(ROUND(AX108*(1+'Calc base'!L109),2)-MAX('Calc base'!G$12,ROUND('Calc base'!G$13*AX108,2))&lt;1,ROUND(AX108*(1+'Calc base'!L109),2),MAX('Calc base'!G$12,ROUND('Calc base'!G$13*AX108,2))))</f>
        <v>0</v>
      </c>
      <c r="O109">
        <f>IF(AY108&lt;=0,0,IF(ROUND(AY108*(1+'Calc base'!M109),2)-MAX('Calc base'!H$12,ROUND('Calc base'!H$13*AY108,2))&lt;1,ROUND(AY108*(1+'Calc base'!M109),2),MAX('Calc base'!H$12,ROUND('Calc base'!H$13*AY108,2))))</f>
        <v>0</v>
      </c>
      <c r="P109">
        <f>IF(AZ108&lt;=0,0,IF(ROUND(AZ108*(1+'Calc base'!N109),2)-MAX('Calc base'!I$12,ROUND('Calc base'!I$13*AZ108,2))&lt;1,ROUND(AZ108*(1+'Calc base'!N109),2),MAX('Calc base'!I$12,ROUND('Calc base'!I$13*AZ108,2))))</f>
        <v>0</v>
      </c>
      <c r="Q109">
        <f>IF(BA108&lt;=0,0,IF(ROUND(BA108*(1+'Calc base'!O109),2)-MAX('Calc base'!J$12,ROUND('Calc base'!J$13*BA108,2))&lt;1,ROUND(BA108*(1+'Calc base'!O109),2),MAX('Calc base'!J$12,ROUND('Calc base'!J$13*BA108,2))))</f>
        <v>0</v>
      </c>
      <c r="R109">
        <f>IF(BB108&lt;=0,0,IF(ROUND(BB108*(1+'Calc base'!P109),2)-MAX('Calc base'!K$12,ROUND('Calc base'!K$13*BB108,2))&lt;1,ROUND(BB108*(1+'Calc base'!P109),2),MAX('Calc base'!K$12,ROUND('Calc base'!K$13*BB108,2))))</f>
        <v>0</v>
      </c>
      <c r="S109">
        <f>IF(BC108&lt;=0,0,IF(ROUND(BC108*(1+'Calc base'!Q109),2)-MAX('Calc base'!L$12,ROUND('Calc base'!L$13*BC108,2))&lt;1,ROUND(BC108*(1+'Calc base'!Q109),2),MAX('Calc base'!L$12,ROUND('Calc base'!L$13*BC108,2))))</f>
        <v>0</v>
      </c>
      <c r="T109">
        <f>IF(BD108&lt;=0,0,IF(ROUND(BD108*(1+'Calc base'!R109),2)-MAX('Calc base'!M$12,ROUND('Calc base'!M$13*BD108,2))&lt;1,ROUND(BD108*(1+'Calc base'!R109),2),MAX('Calc base'!M$12,ROUND('Calc base'!M$13*BD108,2))))</f>
        <v>0</v>
      </c>
      <c r="U109">
        <f>IF(BE108&lt;=0,0,IF(ROUND(BE108*(1+'Calc base'!S109),2)-MAX('Calc base'!N$12,ROUND('Calc base'!N$13*BE108,2))&lt;1,ROUND(BE108*(1+'Calc base'!S109),2),MAX('Calc base'!N$12,ROUND('Calc base'!N$13*BE108,2))))</f>
        <v>0</v>
      </c>
      <c r="V109">
        <f>MAX(0,ROUND(AT108*(1+'Calc base'!H109),2)-J109-'Calc base'!T109)</f>
        <v>0</v>
      </c>
      <c r="W109">
        <f>MAX(0,ROUND(AU108*(1+'Calc base'!I109),2)-K109-'Calc base'!U109)</f>
        <v>0</v>
      </c>
      <c r="X109">
        <f>MAX(0,ROUND(AV108*(1+'Calc base'!J109),2)-L109-'Calc base'!V109)</f>
        <v>0</v>
      </c>
      <c r="Y109">
        <f>MAX(0,ROUND(AW108*(1+'Calc base'!K109),2)-M109-'Calc base'!W109)</f>
        <v>0</v>
      </c>
      <c r="Z109">
        <f>MAX(0,ROUND(AX108*(1+'Calc base'!L109),2)-N109-'Calc base'!X109)</f>
        <v>0</v>
      </c>
      <c r="AA109">
        <f>MAX(0,ROUND(AY108*(1+'Calc base'!M109),2)-O109-'Calc base'!Y109)</f>
        <v>0</v>
      </c>
      <c r="AB109">
        <f>MAX(0,ROUND(AZ108*(1+'Calc base'!N109),2)-P109-'Calc base'!Z109)</f>
        <v>0</v>
      </c>
      <c r="AC109">
        <f>MAX(0,ROUND(BA108*(1+'Calc base'!O109),2)-Q109-'Calc base'!AA109)</f>
        <v>0</v>
      </c>
      <c r="AD109">
        <f>MAX(0,ROUND(BB108*(1+'Calc base'!P109),2)-R109-'Calc base'!AB109)</f>
        <v>0</v>
      </c>
      <c r="AE109">
        <f>MAX(0,ROUND(BC108*(1+'Calc base'!Q109),2)-S109-'Calc base'!AC109)</f>
        <v>0</v>
      </c>
      <c r="AF109">
        <f>MAX(0,ROUND(BD108*(1+'Calc base'!R109),2)-T109-'Calc base'!AD109)</f>
        <v>0</v>
      </c>
      <c r="AG109">
        <f>MAX(0,ROUND(BE108*(1+'Calc base'!S109),2)-U109-'Calc base'!AE109)</f>
        <v>0</v>
      </c>
      <c r="AH109">
        <f>IF('Calc base'!C$14=0,0,MIN(V109,MAX(0,$E109-SUMIFS($V109:$AG109,'Calc base'!$C$19:$N$19,"&lt;"&amp;'Calc base'!C$19,'Calc base'!$C$14:$N$14,1))))</f>
        <v>0</v>
      </c>
      <c r="AI109">
        <f>IF('Calc base'!D$14=0,0,MIN(W109,MAX(0,$E109-SUMIFS($V109:$AG109,'Calc base'!$C$19:$N$19,"&lt;"&amp;'Calc base'!D$19,'Calc base'!$C$14:$N$14,1))))</f>
        <v>0</v>
      </c>
      <c r="AJ109">
        <f>IF('Calc base'!E$14=0,0,MIN(X109,MAX(0,$E109-SUMIFS($V109:$AG109,'Calc base'!$C$19:$N$19,"&lt;"&amp;'Calc base'!E$19,'Calc base'!$C$14:$N$14,1))))</f>
        <v>0</v>
      </c>
      <c r="AK109">
        <f>IF('Calc base'!F$14=0,0,MIN(Y109,MAX(0,$E109-SUMIFS($V109:$AG109,'Calc base'!$C$19:$N$19,"&lt;"&amp;'Calc base'!F$19,'Calc base'!$C$14:$N$14,1))))</f>
        <v>0</v>
      </c>
      <c r="AL109">
        <f>IF('Calc base'!G$14=0,0,MIN(Z109,MAX(0,$E109-SUMIFS($V109:$AG109,'Calc base'!$C$19:$N$19,"&lt;"&amp;'Calc base'!G$19,'Calc base'!$C$14:$N$14,1))))</f>
        <v>0</v>
      </c>
      <c r="AM109">
        <f>IF('Calc base'!H$14=0,0,MIN(AA109,MAX(0,$E109-SUMIFS($V109:$AG109,'Calc base'!$C$19:$N$19,"&lt;"&amp;'Calc base'!H$19,'Calc base'!$C$14:$N$14,1))))</f>
        <v>0</v>
      </c>
      <c r="AN109">
        <f>IF('Calc base'!I$14=0,0,MIN(AB109,MAX(0,$E109-SUMIFS($V109:$AG109,'Calc base'!$C$19:$N$19,"&lt;"&amp;'Calc base'!I$19,'Calc base'!$C$14:$N$14,1))))</f>
        <v>0</v>
      </c>
      <c r="AO109">
        <f>IF('Calc base'!J$14=0,0,MIN(AC109,MAX(0,$E109-SUMIFS($V109:$AG109,'Calc base'!$C$19:$N$19,"&lt;"&amp;'Calc base'!J$19,'Calc base'!$C$14:$N$14,1))))</f>
        <v>0</v>
      </c>
      <c r="AP109">
        <f>IF('Calc base'!K$14=0,0,MIN(AD109,MAX(0,$E109-SUMIFS($V109:$AG109,'Calc base'!$C$19:$N$19,"&lt;"&amp;'Calc base'!K$19,'Calc base'!$C$14:$N$14,1))))</f>
        <v>0</v>
      </c>
      <c r="AQ109">
        <f>IF('Calc base'!L$14=0,0,MIN(AE109,MAX(0,$E109-SUMIFS($V109:$AG109,'Calc base'!$C$19:$N$19,"&lt;"&amp;'Calc base'!L$19,'Calc base'!$C$14:$N$14,1))))</f>
        <v>0</v>
      </c>
      <c r="AR109">
        <f>IF('Calc base'!M$14=0,0,MIN(AF109,MAX(0,$E109-SUMIFS($V109:$AG109,'Calc base'!$C$19:$N$19,"&lt;"&amp;'Calc base'!M$19,'Calc base'!$C$14:$N$14,1))))</f>
        <v>0</v>
      </c>
      <c r="AS109">
        <f>IF('Calc base'!N$14=0,0,MIN(AG109,MAX(0,$E109-SUMIFS($V109:$AG109,'Calc base'!$C$19:$N$19,"&lt;"&amp;'Calc base'!N$19,'Calc base'!$C$14:$N$14,1))))</f>
        <v>0</v>
      </c>
      <c r="AT109">
        <f>V109-AH109</f>
        <v>0</v>
      </c>
      <c r="AU109">
        <f>W109-AI109</f>
        <v>0</v>
      </c>
      <c r="AV109">
        <f>X109-AJ109</f>
        <v>0</v>
      </c>
      <c r="AW109">
        <f>Y109-AK109</f>
        <v>0</v>
      </c>
      <c r="AX109">
        <f>Z109-AL109</f>
        <v>0</v>
      </c>
      <c r="AY109">
        <f>AA109-AM109</f>
        <v>0</v>
      </c>
      <c r="AZ109">
        <f>AB109-AN109</f>
        <v>0</v>
      </c>
      <c r="BA109">
        <f>AC109-AO109</f>
        <v>0</v>
      </c>
      <c r="BB109">
        <f>AD109-AP109</f>
        <v>0</v>
      </c>
      <c r="BC109">
        <f>AE109-AQ109</f>
        <v>0</v>
      </c>
      <c r="BD109">
        <f>AF109-AR109</f>
        <v>0</v>
      </c>
      <c r="BE109">
        <f>AG109-AS109</f>
        <v>0</v>
      </c>
    </row>
    <row r="110">
      <c r="A110" t="n">
        <v>80</v>
      </c>
      <c r="B110">
        <f>SUMPRODUCT(ROUND($AT109:$BE109*(1+'Calc base'!$H110:$S110),2))</f>
        <v>0</v>
      </c>
      <c r="C110">
        <f>SUM(J110:U110)</f>
        <v>0</v>
      </c>
      <c r="D110">
        <f>SUM(V110:AG110)</f>
        <v>0</v>
      </c>
      <c r="E110">
        <f>MAX(0,IF(Impostazioni!$B$7="No",'Calc base'!$C110-$C$31,'Calc base'!$C110-C110)+'Calc base'!$G110+'Calc base'!$F110-(B110-C110-D110))</f>
        <v>900</v>
      </c>
      <c r="F110">
        <f>SUM(AH110:AS110)</f>
        <v>0</v>
      </c>
      <c r="G110">
        <f>SUM(AT110:BE110)</f>
        <v>0</v>
      </c>
      <c r="H110">
        <f>B110-G109</f>
        <v>0</v>
      </c>
      <c r="I110">
        <f>B110-G110</f>
        <v>0</v>
      </c>
      <c r="J110">
        <f>IF(AT109&lt;=0,0,IF(ROUND(AT109*(1+'Calc base'!H110),2)-MAX('Calc base'!C$12,ROUND('Calc base'!C$13*AT109,2))&lt;1,ROUND(AT109*(1+'Calc base'!H110),2),MAX('Calc base'!C$12,ROUND('Calc base'!C$13*AT109,2))))</f>
        <v>0</v>
      </c>
      <c r="K110">
        <f>IF(AU109&lt;=0,0,IF(ROUND(AU109*(1+'Calc base'!I110),2)-MAX('Calc base'!D$12,ROUND('Calc base'!D$13*AU109,2))&lt;1,ROUND(AU109*(1+'Calc base'!I110),2),MAX('Calc base'!D$12,ROUND('Calc base'!D$13*AU109,2))))</f>
        <v>0</v>
      </c>
      <c r="L110">
        <f>IF(AV109&lt;=0,0,IF(ROUND(AV109*(1+'Calc base'!J110),2)-MAX('Calc base'!E$12,ROUND('Calc base'!E$13*AV109,2))&lt;1,ROUND(AV109*(1+'Calc base'!J110),2),MAX('Calc base'!E$12,ROUND('Calc base'!E$13*AV109,2))))</f>
        <v>0</v>
      </c>
      <c r="M110">
        <f>IF(AW109&lt;=0,0,IF(ROUND(AW109*(1+'Calc base'!K110),2)-MAX('Calc base'!F$12,ROUND('Calc base'!F$13*AW109,2))&lt;1,ROUND(AW109*(1+'Calc base'!K110),2),MAX('Calc base'!F$12,ROUND('Calc base'!F$13*AW109,2))))</f>
        <v>0</v>
      </c>
      <c r="N110">
        <f>IF(AX109&lt;=0,0,IF(ROUND(AX109*(1+'Calc base'!L110),2)-MAX('Calc base'!G$12,ROUND('Calc base'!G$13*AX109,2))&lt;1,ROUND(AX109*(1+'Calc base'!L110),2),MAX('Calc base'!G$12,ROUND('Calc base'!G$13*AX109,2))))</f>
        <v>0</v>
      </c>
      <c r="O110">
        <f>IF(AY109&lt;=0,0,IF(ROUND(AY109*(1+'Calc base'!M110),2)-MAX('Calc base'!H$12,ROUND('Calc base'!H$13*AY109,2))&lt;1,ROUND(AY109*(1+'Calc base'!M110),2),MAX('Calc base'!H$12,ROUND('Calc base'!H$13*AY109,2))))</f>
        <v>0</v>
      </c>
      <c r="P110">
        <f>IF(AZ109&lt;=0,0,IF(ROUND(AZ109*(1+'Calc base'!N110),2)-MAX('Calc base'!I$12,ROUND('Calc base'!I$13*AZ109,2))&lt;1,ROUND(AZ109*(1+'Calc base'!N110),2),MAX('Calc base'!I$12,ROUND('Calc base'!I$13*AZ109,2))))</f>
        <v>0</v>
      </c>
      <c r="Q110">
        <f>IF(BA109&lt;=0,0,IF(ROUND(BA109*(1+'Calc base'!O110),2)-MAX('Calc base'!J$12,ROUND('Calc base'!J$13*BA109,2))&lt;1,ROUND(BA109*(1+'Calc base'!O110),2),MAX('Calc base'!J$12,ROUND('Calc base'!J$13*BA109,2))))</f>
        <v>0</v>
      </c>
      <c r="R110">
        <f>IF(BB109&lt;=0,0,IF(ROUND(BB109*(1+'Calc base'!P110),2)-MAX('Calc base'!K$12,ROUND('Calc base'!K$13*BB109,2))&lt;1,ROUND(BB109*(1+'Calc base'!P110),2),MAX('Calc base'!K$12,ROUND('Calc base'!K$13*BB109,2))))</f>
        <v>0</v>
      </c>
      <c r="S110">
        <f>IF(BC109&lt;=0,0,IF(ROUND(BC109*(1+'Calc base'!Q110),2)-MAX('Calc base'!L$12,ROUND('Calc base'!L$13*BC109,2))&lt;1,ROUND(BC109*(1+'Calc base'!Q110),2),MAX('Calc base'!L$12,ROUND('Calc base'!L$13*BC109,2))))</f>
        <v>0</v>
      </c>
      <c r="T110">
        <f>IF(BD109&lt;=0,0,IF(ROUND(BD109*(1+'Calc base'!R110),2)-MAX('Calc base'!M$12,ROUND('Calc base'!M$13*BD109,2))&lt;1,ROUND(BD109*(1+'Calc base'!R110),2),MAX('Calc base'!M$12,ROUND('Calc base'!M$13*BD109,2))))</f>
        <v>0</v>
      </c>
      <c r="U110">
        <f>IF(BE109&lt;=0,0,IF(ROUND(BE109*(1+'Calc base'!S110),2)-MAX('Calc base'!N$12,ROUND('Calc base'!N$13*BE109,2))&lt;1,ROUND(BE109*(1+'Calc base'!S110),2),MAX('Calc base'!N$12,ROUND('Calc base'!N$13*BE109,2))))</f>
        <v>0</v>
      </c>
      <c r="V110">
        <f>MAX(0,ROUND(AT109*(1+'Calc base'!H110),2)-J110-'Calc base'!T110)</f>
        <v>0</v>
      </c>
      <c r="W110">
        <f>MAX(0,ROUND(AU109*(1+'Calc base'!I110),2)-K110-'Calc base'!U110)</f>
        <v>0</v>
      </c>
      <c r="X110">
        <f>MAX(0,ROUND(AV109*(1+'Calc base'!J110),2)-L110-'Calc base'!V110)</f>
        <v>0</v>
      </c>
      <c r="Y110">
        <f>MAX(0,ROUND(AW109*(1+'Calc base'!K110),2)-M110-'Calc base'!W110)</f>
        <v>0</v>
      </c>
      <c r="Z110">
        <f>MAX(0,ROUND(AX109*(1+'Calc base'!L110),2)-N110-'Calc base'!X110)</f>
        <v>0</v>
      </c>
      <c r="AA110">
        <f>MAX(0,ROUND(AY109*(1+'Calc base'!M110),2)-O110-'Calc base'!Y110)</f>
        <v>0</v>
      </c>
      <c r="AB110">
        <f>MAX(0,ROUND(AZ109*(1+'Calc base'!N110),2)-P110-'Calc base'!Z110)</f>
        <v>0</v>
      </c>
      <c r="AC110">
        <f>MAX(0,ROUND(BA109*(1+'Calc base'!O110),2)-Q110-'Calc base'!AA110)</f>
        <v>0</v>
      </c>
      <c r="AD110">
        <f>MAX(0,ROUND(BB109*(1+'Calc base'!P110),2)-R110-'Calc base'!AB110)</f>
        <v>0</v>
      </c>
      <c r="AE110">
        <f>MAX(0,ROUND(BC109*(1+'Calc base'!Q110),2)-S110-'Calc base'!AC110)</f>
        <v>0</v>
      </c>
      <c r="AF110">
        <f>MAX(0,ROUND(BD109*(1+'Calc base'!R110),2)-T110-'Calc base'!AD110)</f>
        <v>0</v>
      </c>
      <c r="AG110">
        <f>MAX(0,ROUND(BE109*(1+'Calc base'!S110),2)-U110-'Calc base'!AE110)</f>
        <v>0</v>
      </c>
      <c r="AH110">
        <f>IF('Calc base'!C$14=0,0,MIN(V110,MAX(0,$E110-SUMIFS($V110:$AG110,'Calc base'!$C$19:$N$19,"&lt;"&amp;'Calc base'!C$19,'Calc base'!$C$14:$N$14,1))))</f>
        <v>0</v>
      </c>
      <c r="AI110">
        <f>IF('Calc base'!D$14=0,0,MIN(W110,MAX(0,$E110-SUMIFS($V110:$AG110,'Calc base'!$C$19:$N$19,"&lt;"&amp;'Calc base'!D$19,'Calc base'!$C$14:$N$14,1))))</f>
        <v>0</v>
      </c>
      <c r="AJ110">
        <f>IF('Calc base'!E$14=0,0,MIN(X110,MAX(0,$E110-SUMIFS($V110:$AG110,'Calc base'!$C$19:$N$19,"&lt;"&amp;'Calc base'!E$19,'Calc base'!$C$14:$N$14,1))))</f>
        <v>0</v>
      </c>
      <c r="AK110">
        <f>IF('Calc base'!F$14=0,0,MIN(Y110,MAX(0,$E110-SUMIFS($V110:$AG110,'Calc base'!$C$19:$N$19,"&lt;"&amp;'Calc base'!F$19,'Calc base'!$C$14:$N$14,1))))</f>
        <v>0</v>
      </c>
      <c r="AL110">
        <f>IF('Calc base'!G$14=0,0,MIN(Z110,MAX(0,$E110-SUMIFS($V110:$AG110,'Calc base'!$C$19:$N$19,"&lt;"&amp;'Calc base'!G$19,'Calc base'!$C$14:$N$14,1))))</f>
        <v>0</v>
      </c>
      <c r="AM110">
        <f>IF('Calc base'!H$14=0,0,MIN(AA110,MAX(0,$E110-SUMIFS($V110:$AG110,'Calc base'!$C$19:$N$19,"&lt;"&amp;'Calc base'!H$19,'Calc base'!$C$14:$N$14,1))))</f>
        <v>0</v>
      </c>
      <c r="AN110">
        <f>IF('Calc base'!I$14=0,0,MIN(AB110,MAX(0,$E110-SUMIFS($V110:$AG110,'Calc base'!$C$19:$N$19,"&lt;"&amp;'Calc base'!I$19,'Calc base'!$C$14:$N$14,1))))</f>
        <v>0</v>
      </c>
      <c r="AO110">
        <f>IF('Calc base'!J$14=0,0,MIN(AC110,MAX(0,$E110-SUMIFS($V110:$AG110,'Calc base'!$C$19:$N$19,"&lt;"&amp;'Calc base'!J$19,'Calc base'!$C$14:$N$14,1))))</f>
        <v>0</v>
      </c>
      <c r="AP110">
        <f>IF('Calc base'!K$14=0,0,MIN(AD110,MAX(0,$E110-SUMIFS($V110:$AG110,'Calc base'!$C$19:$N$19,"&lt;"&amp;'Calc base'!K$19,'Calc base'!$C$14:$N$14,1))))</f>
        <v>0</v>
      </c>
      <c r="AQ110">
        <f>IF('Calc base'!L$14=0,0,MIN(AE110,MAX(0,$E110-SUMIFS($V110:$AG110,'Calc base'!$C$19:$N$19,"&lt;"&amp;'Calc base'!L$19,'Calc base'!$C$14:$N$14,1))))</f>
        <v>0</v>
      </c>
      <c r="AR110">
        <f>IF('Calc base'!M$14=0,0,MIN(AF110,MAX(0,$E110-SUMIFS($V110:$AG110,'Calc base'!$C$19:$N$19,"&lt;"&amp;'Calc base'!M$19,'Calc base'!$C$14:$N$14,1))))</f>
        <v>0</v>
      </c>
      <c r="AS110">
        <f>IF('Calc base'!N$14=0,0,MIN(AG110,MAX(0,$E110-SUMIFS($V110:$AG110,'Calc base'!$C$19:$N$19,"&lt;"&amp;'Calc base'!N$19,'Calc base'!$C$14:$N$14,1))))</f>
        <v>0</v>
      </c>
      <c r="AT110">
        <f>V110-AH110</f>
        <v>0</v>
      </c>
      <c r="AU110">
        <f>W110-AI110</f>
        <v>0</v>
      </c>
      <c r="AV110">
        <f>X110-AJ110</f>
        <v>0</v>
      </c>
      <c r="AW110">
        <f>Y110-AK110</f>
        <v>0</v>
      </c>
      <c r="AX110">
        <f>Z110-AL110</f>
        <v>0</v>
      </c>
      <c r="AY110">
        <f>AA110-AM110</f>
        <v>0</v>
      </c>
      <c r="AZ110">
        <f>AB110-AN110</f>
        <v>0</v>
      </c>
      <c r="BA110">
        <f>AC110-AO110</f>
        <v>0</v>
      </c>
      <c r="BB110">
        <f>AD110-AP110</f>
        <v>0</v>
      </c>
      <c r="BC110">
        <f>AE110-AQ110</f>
        <v>0</v>
      </c>
      <c r="BD110">
        <f>AF110-AR110</f>
        <v>0</v>
      </c>
      <c r="BE110">
        <f>AG110-AS110</f>
        <v>0</v>
      </c>
    </row>
    <row r="111">
      <c r="A111" t="n">
        <v>81</v>
      </c>
      <c r="B111">
        <f>SUMPRODUCT(ROUND($AT110:$BE110*(1+'Calc base'!$H111:$S111),2))</f>
        <v>0</v>
      </c>
      <c r="C111">
        <f>SUM(J111:U111)</f>
        <v>0</v>
      </c>
      <c r="D111">
        <f>SUM(V111:AG111)</f>
        <v>0</v>
      </c>
      <c r="E111">
        <f>MAX(0,IF(Impostazioni!$B$7="No",'Calc base'!$C111-$C$31,'Calc base'!$C111-C111)+'Calc base'!$G111+'Calc base'!$F111-(B111-C111-D111))</f>
        <v>900</v>
      </c>
      <c r="F111">
        <f>SUM(AH111:AS111)</f>
        <v>0</v>
      </c>
      <c r="G111">
        <f>SUM(AT111:BE111)</f>
        <v>0</v>
      </c>
      <c r="H111">
        <f>B111-G110</f>
        <v>0</v>
      </c>
      <c r="I111">
        <f>B111-G111</f>
        <v>0</v>
      </c>
      <c r="J111">
        <f>IF(AT110&lt;=0,0,IF(ROUND(AT110*(1+'Calc base'!H111),2)-MAX('Calc base'!C$12,ROUND('Calc base'!C$13*AT110,2))&lt;1,ROUND(AT110*(1+'Calc base'!H111),2),MAX('Calc base'!C$12,ROUND('Calc base'!C$13*AT110,2))))</f>
        <v>0</v>
      </c>
      <c r="K111">
        <f>IF(AU110&lt;=0,0,IF(ROUND(AU110*(1+'Calc base'!I111),2)-MAX('Calc base'!D$12,ROUND('Calc base'!D$13*AU110,2))&lt;1,ROUND(AU110*(1+'Calc base'!I111),2),MAX('Calc base'!D$12,ROUND('Calc base'!D$13*AU110,2))))</f>
        <v>0</v>
      </c>
      <c r="L111">
        <f>IF(AV110&lt;=0,0,IF(ROUND(AV110*(1+'Calc base'!J111),2)-MAX('Calc base'!E$12,ROUND('Calc base'!E$13*AV110,2))&lt;1,ROUND(AV110*(1+'Calc base'!J111),2),MAX('Calc base'!E$12,ROUND('Calc base'!E$13*AV110,2))))</f>
        <v>0</v>
      </c>
      <c r="M111">
        <f>IF(AW110&lt;=0,0,IF(ROUND(AW110*(1+'Calc base'!K111),2)-MAX('Calc base'!F$12,ROUND('Calc base'!F$13*AW110,2))&lt;1,ROUND(AW110*(1+'Calc base'!K111),2),MAX('Calc base'!F$12,ROUND('Calc base'!F$13*AW110,2))))</f>
        <v>0</v>
      </c>
      <c r="N111">
        <f>IF(AX110&lt;=0,0,IF(ROUND(AX110*(1+'Calc base'!L111),2)-MAX('Calc base'!G$12,ROUND('Calc base'!G$13*AX110,2))&lt;1,ROUND(AX110*(1+'Calc base'!L111),2),MAX('Calc base'!G$12,ROUND('Calc base'!G$13*AX110,2))))</f>
        <v>0</v>
      </c>
      <c r="O111">
        <f>IF(AY110&lt;=0,0,IF(ROUND(AY110*(1+'Calc base'!M111),2)-MAX('Calc base'!H$12,ROUND('Calc base'!H$13*AY110,2))&lt;1,ROUND(AY110*(1+'Calc base'!M111),2),MAX('Calc base'!H$12,ROUND('Calc base'!H$13*AY110,2))))</f>
        <v>0</v>
      </c>
      <c r="P111">
        <f>IF(AZ110&lt;=0,0,IF(ROUND(AZ110*(1+'Calc base'!N111),2)-MAX('Calc base'!I$12,ROUND('Calc base'!I$13*AZ110,2))&lt;1,ROUND(AZ110*(1+'Calc base'!N111),2),MAX('Calc base'!I$12,ROUND('Calc base'!I$13*AZ110,2))))</f>
        <v>0</v>
      </c>
      <c r="Q111">
        <f>IF(BA110&lt;=0,0,IF(ROUND(BA110*(1+'Calc base'!O111),2)-MAX('Calc base'!J$12,ROUND('Calc base'!J$13*BA110,2))&lt;1,ROUND(BA110*(1+'Calc base'!O111),2),MAX('Calc base'!J$12,ROUND('Calc base'!J$13*BA110,2))))</f>
        <v>0</v>
      </c>
      <c r="R111">
        <f>IF(BB110&lt;=0,0,IF(ROUND(BB110*(1+'Calc base'!P111),2)-MAX('Calc base'!K$12,ROUND('Calc base'!K$13*BB110,2))&lt;1,ROUND(BB110*(1+'Calc base'!P111),2),MAX('Calc base'!K$12,ROUND('Calc base'!K$13*BB110,2))))</f>
        <v>0</v>
      </c>
      <c r="S111">
        <f>IF(BC110&lt;=0,0,IF(ROUND(BC110*(1+'Calc base'!Q111),2)-MAX('Calc base'!L$12,ROUND('Calc base'!L$13*BC110,2))&lt;1,ROUND(BC110*(1+'Calc base'!Q111),2),MAX('Calc base'!L$12,ROUND('Calc base'!L$13*BC110,2))))</f>
        <v>0</v>
      </c>
      <c r="T111">
        <f>IF(BD110&lt;=0,0,IF(ROUND(BD110*(1+'Calc base'!R111),2)-MAX('Calc base'!M$12,ROUND('Calc base'!M$13*BD110,2))&lt;1,ROUND(BD110*(1+'Calc base'!R111),2),MAX('Calc base'!M$12,ROUND('Calc base'!M$13*BD110,2))))</f>
        <v>0</v>
      </c>
      <c r="U111">
        <f>IF(BE110&lt;=0,0,IF(ROUND(BE110*(1+'Calc base'!S111),2)-MAX('Calc base'!N$12,ROUND('Calc base'!N$13*BE110,2))&lt;1,ROUND(BE110*(1+'Calc base'!S111),2),MAX('Calc base'!N$12,ROUND('Calc base'!N$13*BE110,2))))</f>
        <v>0</v>
      </c>
      <c r="V111">
        <f>MAX(0,ROUND(AT110*(1+'Calc base'!H111),2)-J111-'Calc base'!T111)</f>
        <v>0</v>
      </c>
      <c r="W111">
        <f>MAX(0,ROUND(AU110*(1+'Calc base'!I111),2)-K111-'Calc base'!U111)</f>
        <v>0</v>
      </c>
      <c r="X111">
        <f>MAX(0,ROUND(AV110*(1+'Calc base'!J111),2)-L111-'Calc base'!V111)</f>
        <v>0</v>
      </c>
      <c r="Y111">
        <f>MAX(0,ROUND(AW110*(1+'Calc base'!K111),2)-M111-'Calc base'!W111)</f>
        <v>0</v>
      </c>
      <c r="Z111">
        <f>MAX(0,ROUND(AX110*(1+'Calc base'!L111),2)-N111-'Calc base'!X111)</f>
        <v>0</v>
      </c>
      <c r="AA111">
        <f>MAX(0,ROUND(AY110*(1+'Calc base'!M111),2)-O111-'Calc base'!Y111)</f>
        <v>0</v>
      </c>
      <c r="AB111">
        <f>MAX(0,ROUND(AZ110*(1+'Calc base'!N111),2)-P111-'Calc base'!Z111)</f>
        <v>0</v>
      </c>
      <c r="AC111">
        <f>MAX(0,ROUND(BA110*(1+'Calc base'!O111),2)-Q111-'Calc base'!AA111)</f>
        <v>0</v>
      </c>
      <c r="AD111">
        <f>MAX(0,ROUND(BB110*(1+'Calc base'!P111),2)-R111-'Calc base'!AB111)</f>
        <v>0</v>
      </c>
      <c r="AE111">
        <f>MAX(0,ROUND(BC110*(1+'Calc base'!Q111),2)-S111-'Calc base'!AC111)</f>
        <v>0</v>
      </c>
      <c r="AF111">
        <f>MAX(0,ROUND(BD110*(1+'Calc base'!R111),2)-T111-'Calc base'!AD111)</f>
        <v>0</v>
      </c>
      <c r="AG111">
        <f>MAX(0,ROUND(BE110*(1+'Calc base'!S111),2)-U111-'Calc base'!AE111)</f>
        <v>0</v>
      </c>
      <c r="AH111">
        <f>IF('Calc base'!C$14=0,0,MIN(V111,MAX(0,$E111-SUMIFS($V111:$AG111,'Calc base'!$C$19:$N$19,"&lt;"&amp;'Calc base'!C$19,'Calc base'!$C$14:$N$14,1))))</f>
        <v>0</v>
      </c>
      <c r="AI111">
        <f>IF('Calc base'!D$14=0,0,MIN(W111,MAX(0,$E111-SUMIFS($V111:$AG111,'Calc base'!$C$19:$N$19,"&lt;"&amp;'Calc base'!D$19,'Calc base'!$C$14:$N$14,1))))</f>
        <v>0</v>
      </c>
      <c r="AJ111">
        <f>IF('Calc base'!E$14=0,0,MIN(X111,MAX(0,$E111-SUMIFS($V111:$AG111,'Calc base'!$C$19:$N$19,"&lt;"&amp;'Calc base'!E$19,'Calc base'!$C$14:$N$14,1))))</f>
        <v>0</v>
      </c>
      <c r="AK111">
        <f>IF('Calc base'!F$14=0,0,MIN(Y111,MAX(0,$E111-SUMIFS($V111:$AG111,'Calc base'!$C$19:$N$19,"&lt;"&amp;'Calc base'!F$19,'Calc base'!$C$14:$N$14,1))))</f>
        <v>0</v>
      </c>
      <c r="AL111">
        <f>IF('Calc base'!G$14=0,0,MIN(Z111,MAX(0,$E111-SUMIFS($V111:$AG111,'Calc base'!$C$19:$N$19,"&lt;"&amp;'Calc base'!G$19,'Calc base'!$C$14:$N$14,1))))</f>
        <v>0</v>
      </c>
      <c r="AM111">
        <f>IF('Calc base'!H$14=0,0,MIN(AA111,MAX(0,$E111-SUMIFS($V111:$AG111,'Calc base'!$C$19:$N$19,"&lt;"&amp;'Calc base'!H$19,'Calc base'!$C$14:$N$14,1))))</f>
        <v>0</v>
      </c>
      <c r="AN111">
        <f>IF('Calc base'!I$14=0,0,MIN(AB111,MAX(0,$E111-SUMIFS($V111:$AG111,'Calc base'!$C$19:$N$19,"&lt;"&amp;'Calc base'!I$19,'Calc base'!$C$14:$N$14,1))))</f>
        <v>0</v>
      </c>
      <c r="AO111">
        <f>IF('Calc base'!J$14=0,0,MIN(AC111,MAX(0,$E111-SUMIFS($V111:$AG111,'Calc base'!$C$19:$N$19,"&lt;"&amp;'Calc base'!J$19,'Calc base'!$C$14:$N$14,1))))</f>
        <v>0</v>
      </c>
      <c r="AP111">
        <f>IF('Calc base'!K$14=0,0,MIN(AD111,MAX(0,$E111-SUMIFS($V111:$AG111,'Calc base'!$C$19:$N$19,"&lt;"&amp;'Calc base'!K$19,'Calc base'!$C$14:$N$14,1))))</f>
        <v>0</v>
      </c>
      <c r="AQ111">
        <f>IF('Calc base'!L$14=0,0,MIN(AE111,MAX(0,$E111-SUMIFS($V111:$AG111,'Calc base'!$C$19:$N$19,"&lt;"&amp;'Calc base'!L$19,'Calc base'!$C$14:$N$14,1))))</f>
        <v>0</v>
      </c>
      <c r="AR111">
        <f>IF('Calc base'!M$14=0,0,MIN(AF111,MAX(0,$E111-SUMIFS($V111:$AG111,'Calc base'!$C$19:$N$19,"&lt;"&amp;'Calc base'!M$19,'Calc base'!$C$14:$N$14,1))))</f>
        <v>0</v>
      </c>
      <c r="AS111">
        <f>IF('Calc base'!N$14=0,0,MIN(AG111,MAX(0,$E111-SUMIFS($V111:$AG111,'Calc base'!$C$19:$N$19,"&lt;"&amp;'Calc base'!N$19,'Calc base'!$C$14:$N$14,1))))</f>
        <v>0</v>
      </c>
      <c r="AT111">
        <f>V111-AH111</f>
        <v>0</v>
      </c>
      <c r="AU111">
        <f>W111-AI111</f>
        <v>0</v>
      </c>
      <c r="AV111">
        <f>X111-AJ111</f>
        <v>0</v>
      </c>
      <c r="AW111">
        <f>Y111-AK111</f>
        <v>0</v>
      </c>
      <c r="AX111">
        <f>Z111-AL111</f>
        <v>0</v>
      </c>
      <c r="AY111">
        <f>AA111-AM111</f>
        <v>0</v>
      </c>
      <c r="AZ111">
        <f>AB111-AN111</f>
        <v>0</v>
      </c>
      <c r="BA111">
        <f>AC111-AO111</f>
        <v>0</v>
      </c>
      <c r="BB111">
        <f>AD111-AP111</f>
        <v>0</v>
      </c>
      <c r="BC111">
        <f>AE111-AQ111</f>
        <v>0</v>
      </c>
      <c r="BD111">
        <f>AF111-AR111</f>
        <v>0</v>
      </c>
      <c r="BE111">
        <f>AG111-AS111</f>
        <v>0</v>
      </c>
    </row>
    <row r="112">
      <c r="A112" t="n">
        <v>82</v>
      </c>
      <c r="B112">
        <f>SUMPRODUCT(ROUND($AT111:$BE111*(1+'Calc base'!$H112:$S112),2))</f>
        <v>0</v>
      </c>
      <c r="C112">
        <f>SUM(J112:U112)</f>
        <v>0</v>
      </c>
      <c r="D112">
        <f>SUM(V112:AG112)</f>
        <v>0</v>
      </c>
      <c r="E112">
        <f>MAX(0,IF(Impostazioni!$B$7="No",'Calc base'!$C112-$C$31,'Calc base'!$C112-C112)+'Calc base'!$G112+'Calc base'!$F112-(B112-C112-D112))</f>
        <v>900</v>
      </c>
      <c r="F112">
        <f>SUM(AH112:AS112)</f>
        <v>0</v>
      </c>
      <c r="G112">
        <f>SUM(AT112:BE112)</f>
        <v>0</v>
      </c>
      <c r="H112">
        <f>B112-G111</f>
        <v>0</v>
      </c>
      <c r="I112">
        <f>B112-G112</f>
        <v>0</v>
      </c>
      <c r="J112">
        <f>IF(AT111&lt;=0,0,IF(ROUND(AT111*(1+'Calc base'!H112),2)-MAX('Calc base'!C$12,ROUND('Calc base'!C$13*AT111,2))&lt;1,ROUND(AT111*(1+'Calc base'!H112),2),MAX('Calc base'!C$12,ROUND('Calc base'!C$13*AT111,2))))</f>
        <v>0</v>
      </c>
      <c r="K112">
        <f>IF(AU111&lt;=0,0,IF(ROUND(AU111*(1+'Calc base'!I112),2)-MAX('Calc base'!D$12,ROUND('Calc base'!D$13*AU111,2))&lt;1,ROUND(AU111*(1+'Calc base'!I112),2),MAX('Calc base'!D$12,ROUND('Calc base'!D$13*AU111,2))))</f>
        <v>0</v>
      </c>
      <c r="L112">
        <f>IF(AV111&lt;=0,0,IF(ROUND(AV111*(1+'Calc base'!J112),2)-MAX('Calc base'!E$12,ROUND('Calc base'!E$13*AV111,2))&lt;1,ROUND(AV111*(1+'Calc base'!J112),2),MAX('Calc base'!E$12,ROUND('Calc base'!E$13*AV111,2))))</f>
        <v>0</v>
      </c>
      <c r="M112">
        <f>IF(AW111&lt;=0,0,IF(ROUND(AW111*(1+'Calc base'!K112),2)-MAX('Calc base'!F$12,ROUND('Calc base'!F$13*AW111,2))&lt;1,ROUND(AW111*(1+'Calc base'!K112),2),MAX('Calc base'!F$12,ROUND('Calc base'!F$13*AW111,2))))</f>
        <v>0</v>
      </c>
      <c r="N112">
        <f>IF(AX111&lt;=0,0,IF(ROUND(AX111*(1+'Calc base'!L112),2)-MAX('Calc base'!G$12,ROUND('Calc base'!G$13*AX111,2))&lt;1,ROUND(AX111*(1+'Calc base'!L112),2),MAX('Calc base'!G$12,ROUND('Calc base'!G$13*AX111,2))))</f>
        <v>0</v>
      </c>
      <c r="O112">
        <f>IF(AY111&lt;=0,0,IF(ROUND(AY111*(1+'Calc base'!M112),2)-MAX('Calc base'!H$12,ROUND('Calc base'!H$13*AY111,2))&lt;1,ROUND(AY111*(1+'Calc base'!M112),2),MAX('Calc base'!H$12,ROUND('Calc base'!H$13*AY111,2))))</f>
        <v>0</v>
      </c>
      <c r="P112">
        <f>IF(AZ111&lt;=0,0,IF(ROUND(AZ111*(1+'Calc base'!N112),2)-MAX('Calc base'!I$12,ROUND('Calc base'!I$13*AZ111,2))&lt;1,ROUND(AZ111*(1+'Calc base'!N112),2),MAX('Calc base'!I$12,ROUND('Calc base'!I$13*AZ111,2))))</f>
        <v>0</v>
      </c>
      <c r="Q112">
        <f>IF(BA111&lt;=0,0,IF(ROUND(BA111*(1+'Calc base'!O112),2)-MAX('Calc base'!J$12,ROUND('Calc base'!J$13*BA111,2))&lt;1,ROUND(BA111*(1+'Calc base'!O112),2),MAX('Calc base'!J$12,ROUND('Calc base'!J$13*BA111,2))))</f>
        <v>0</v>
      </c>
      <c r="R112">
        <f>IF(BB111&lt;=0,0,IF(ROUND(BB111*(1+'Calc base'!P112),2)-MAX('Calc base'!K$12,ROUND('Calc base'!K$13*BB111,2))&lt;1,ROUND(BB111*(1+'Calc base'!P112),2),MAX('Calc base'!K$12,ROUND('Calc base'!K$13*BB111,2))))</f>
        <v>0</v>
      </c>
      <c r="S112">
        <f>IF(BC111&lt;=0,0,IF(ROUND(BC111*(1+'Calc base'!Q112),2)-MAX('Calc base'!L$12,ROUND('Calc base'!L$13*BC111,2))&lt;1,ROUND(BC111*(1+'Calc base'!Q112),2),MAX('Calc base'!L$12,ROUND('Calc base'!L$13*BC111,2))))</f>
        <v>0</v>
      </c>
      <c r="T112">
        <f>IF(BD111&lt;=0,0,IF(ROUND(BD111*(1+'Calc base'!R112),2)-MAX('Calc base'!M$12,ROUND('Calc base'!M$13*BD111,2))&lt;1,ROUND(BD111*(1+'Calc base'!R112),2),MAX('Calc base'!M$12,ROUND('Calc base'!M$13*BD111,2))))</f>
        <v>0</v>
      </c>
      <c r="U112">
        <f>IF(BE111&lt;=0,0,IF(ROUND(BE111*(1+'Calc base'!S112),2)-MAX('Calc base'!N$12,ROUND('Calc base'!N$13*BE111,2))&lt;1,ROUND(BE111*(1+'Calc base'!S112),2),MAX('Calc base'!N$12,ROUND('Calc base'!N$13*BE111,2))))</f>
        <v>0</v>
      </c>
      <c r="V112">
        <f>MAX(0,ROUND(AT111*(1+'Calc base'!H112),2)-J112-'Calc base'!T112)</f>
        <v>0</v>
      </c>
      <c r="W112">
        <f>MAX(0,ROUND(AU111*(1+'Calc base'!I112),2)-K112-'Calc base'!U112)</f>
        <v>0</v>
      </c>
      <c r="X112">
        <f>MAX(0,ROUND(AV111*(1+'Calc base'!J112),2)-L112-'Calc base'!V112)</f>
        <v>0</v>
      </c>
      <c r="Y112">
        <f>MAX(0,ROUND(AW111*(1+'Calc base'!K112),2)-M112-'Calc base'!W112)</f>
        <v>0</v>
      </c>
      <c r="Z112">
        <f>MAX(0,ROUND(AX111*(1+'Calc base'!L112),2)-N112-'Calc base'!X112)</f>
        <v>0</v>
      </c>
      <c r="AA112">
        <f>MAX(0,ROUND(AY111*(1+'Calc base'!M112),2)-O112-'Calc base'!Y112)</f>
        <v>0</v>
      </c>
      <c r="AB112">
        <f>MAX(0,ROUND(AZ111*(1+'Calc base'!N112),2)-P112-'Calc base'!Z112)</f>
        <v>0</v>
      </c>
      <c r="AC112">
        <f>MAX(0,ROUND(BA111*(1+'Calc base'!O112),2)-Q112-'Calc base'!AA112)</f>
        <v>0</v>
      </c>
      <c r="AD112">
        <f>MAX(0,ROUND(BB111*(1+'Calc base'!P112),2)-R112-'Calc base'!AB112)</f>
        <v>0</v>
      </c>
      <c r="AE112">
        <f>MAX(0,ROUND(BC111*(1+'Calc base'!Q112),2)-S112-'Calc base'!AC112)</f>
        <v>0</v>
      </c>
      <c r="AF112">
        <f>MAX(0,ROUND(BD111*(1+'Calc base'!R112),2)-T112-'Calc base'!AD112)</f>
        <v>0</v>
      </c>
      <c r="AG112">
        <f>MAX(0,ROUND(BE111*(1+'Calc base'!S112),2)-U112-'Calc base'!AE112)</f>
        <v>0</v>
      </c>
      <c r="AH112">
        <f>IF('Calc base'!C$14=0,0,MIN(V112,MAX(0,$E112-SUMIFS($V112:$AG112,'Calc base'!$C$19:$N$19,"&lt;"&amp;'Calc base'!C$19,'Calc base'!$C$14:$N$14,1))))</f>
        <v>0</v>
      </c>
      <c r="AI112">
        <f>IF('Calc base'!D$14=0,0,MIN(W112,MAX(0,$E112-SUMIFS($V112:$AG112,'Calc base'!$C$19:$N$19,"&lt;"&amp;'Calc base'!D$19,'Calc base'!$C$14:$N$14,1))))</f>
        <v>0</v>
      </c>
      <c r="AJ112">
        <f>IF('Calc base'!E$14=0,0,MIN(X112,MAX(0,$E112-SUMIFS($V112:$AG112,'Calc base'!$C$19:$N$19,"&lt;"&amp;'Calc base'!E$19,'Calc base'!$C$14:$N$14,1))))</f>
        <v>0</v>
      </c>
      <c r="AK112">
        <f>IF('Calc base'!F$14=0,0,MIN(Y112,MAX(0,$E112-SUMIFS($V112:$AG112,'Calc base'!$C$19:$N$19,"&lt;"&amp;'Calc base'!F$19,'Calc base'!$C$14:$N$14,1))))</f>
        <v>0</v>
      </c>
      <c r="AL112">
        <f>IF('Calc base'!G$14=0,0,MIN(Z112,MAX(0,$E112-SUMIFS($V112:$AG112,'Calc base'!$C$19:$N$19,"&lt;"&amp;'Calc base'!G$19,'Calc base'!$C$14:$N$14,1))))</f>
        <v>0</v>
      </c>
      <c r="AM112">
        <f>IF('Calc base'!H$14=0,0,MIN(AA112,MAX(0,$E112-SUMIFS($V112:$AG112,'Calc base'!$C$19:$N$19,"&lt;"&amp;'Calc base'!H$19,'Calc base'!$C$14:$N$14,1))))</f>
        <v>0</v>
      </c>
      <c r="AN112">
        <f>IF('Calc base'!I$14=0,0,MIN(AB112,MAX(0,$E112-SUMIFS($V112:$AG112,'Calc base'!$C$19:$N$19,"&lt;"&amp;'Calc base'!I$19,'Calc base'!$C$14:$N$14,1))))</f>
        <v>0</v>
      </c>
      <c r="AO112">
        <f>IF('Calc base'!J$14=0,0,MIN(AC112,MAX(0,$E112-SUMIFS($V112:$AG112,'Calc base'!$C$19:$N$19,"&lt;"&amp;'Calc base'!J$19,'Calc base'!$C$14:$N$14,1))))</f>
        <v>0</v>
      </c>
      <c r="AP112">
        <f>IF('Calc base'!K$14=0,0,MIN(AD112,MAX(0,$E112-SUMIFS($V112:$AG112,'Calc base'!$C$19:$N$19,"&lt;"&amp;'Calc base'!K$19,'Calc base'!$C$14:$N$14,1))))</f>
        <v>0</v>
      </c>
      <c r="AQ112">
        <f>IF('Calc base'!L$14=0,0,MIN(AE112,MAX(0,$E112-SUMIFS($V112:$AG112,'Calc base'!$C$19:$N$19,"&lt;"&amp;'Calc base'!L$19,'Calc base'!$C$14:$N$14,1))))</f>
        <v>0</v>
      </c>
      <c r="AR112">
        <f>IF('Calc base'!M$14=0,0,MIN(AF112,MAX(0,$E112-SUMIFS($V112:$AG112,'Calc base'!$C$19:$N$19,"&lt;"&amp;'Calc base'!M$19,'Calc base'!$C$14:$N$14,1))))</f>
        <v>0</v>
      </c>
      <c r="AS112">
        <f>IF('Calc base'!N$14=0,0,MIN(AG112,MAX(0,$E112-SUMIFS($V112:$AG112,'Calc base'!$C$19:$N$19,"&lt;"&amp;'Calc base'!N$19,'Calc base'!$C$14:$N$14,1))))</f>
        <v>0</v>
      </c>
      <c r="AT112">
        <f>V112-AH112</f>
        <v>0</v>
      </c>
      <c r="AU112">
        <f>W112-AI112</f>
        <v>0</v>
      </c>
      <c r="AV112">
        <f>X112-AJ112</f>
        <v>0</v>
      </c>
      <c r="AW112">
        <f>Y112-AK112</f>
        <v>0</v>
      </c>
      <c r="AX112">
        <f>Z112-AL112</f>
        <v>0</v>
      </c>
      <c r="AY112">
        <f>AA112-AM112</f>
        <v>0</v>
      </c>
      <c r="AZ112">
        <f>AB112-AN112</f>
        <v>0</v>
      </c>
      <c r="BA112">
        <f>AC112-AO112</f>
        <v>0</v>
      </c>
      <c r="BB112">
        <f>AD112-AP112</f>
        <v>0</v>
      </c>
      <c r="BC112">
        <f>AE112-AQ112</f>
        <v>0</v>
      </c>
      <c r="BD112">
        <f>AF112-AR112</f>
        <v>0</v>
      </c>
      <c r="BE112">
        <f>AG112-AS112</f>
        <v>0</v>
      </c>
    </row>
    <row r="113">
      <c r="A113" t="n">
        <v>83</v>
      </c>
      <c r="B113">
        <f>SUMPRODUCT(ROUND($AT112:$BE112*(1+'Calc base'!$H113:$S113),2))</f>
        <v>0</v>
      </c>
      <c r="C113">
        <f>SUM(J113:U113)</f>
        <v>0</v>
      </c>
      <c r="D113">
        <f>SUM(V113:AG113)</f>
        <v>0</v>
      </c>
      <c r="E113">
        <f>MAX(0,IF(Impostazioni!$B$7="No",'Calc base'!$C113-$C$31,'Calc base'!$C113-C113)+'Calc base'!$G113+'Calc base'!$F113-(B113-C113-D113))</f>
        <v>900</v>
      </c>
      <c r="F113">
        <f>SUM(AH113:AS113)</f>
        <v>0</v>
      </c>
      <c r="G113">
        <f>SUM(AT113:BE113)</f>
        <v>0</v>
      </c>
      <c r="H113">
        <f>B113-G112</f>
        <v>0</v>
      </c>
      <c r="I113">
        <f>B113-G113</f>
        <v>0</v>
      </c>
      <c r="J113">
        <f>IF(AT112&lt;=0,0,IF(ROUND(AT112*(1+'Calc base'!H113),2)-MAX('Calc base'!C$12,ROUND('Calc base'!C$13*AT112,2))&lt;1,ROUND(AT112*(1+'Calc base'!H113),2),MAX('Calc base'!C$12,ROUND('Calc base'!C$13*AT112,2))))</f>
        <v>0</v>
      </c>
      <c r="K113">
        <f>IF(AU112&lt;=0,0,IF(ROUND(AU112*(1+'Calc base'!I113),2)-MAX('Calc base'!D$12,ROUND('Calc base'!D$13*AU112,2))&lt;1,ROUND(AU112*(1+'Calc base'!I113),2),MAX('Calc base'!D$12,ROUND('Calc base'!D$13*AU112,2))))</f>
        <v>0</v>
      </c>
      <c r="L113">
        <f>IF(AV112&lt;=0,0,IF(ROUND(AV112*(1+'Calc base'!J113),2)-MAX('Calc base'!E$12,ROUND('Calc base'!E$13*AV112,2))&lt;1,ROUND(AV112*(1+'Calc base'!J113),2),MAX('Calc base'!E$12,ROUND('Calc base'!E$13*AV112,2))))</f>
        <v>0</v>
      </c>
      <c r="M113">
        <f>IF(AW112&lt;=0,0,IF(ROUND(AW112*(1+'Calc base'!K113),2)-MAX('Calc base'!F$12,ROUND('Calc base'!F$13*AW112,2))&lt;1,ROUND(AW112*(1+'Calc base'!K113),2),MAX('Calc base'!F$12,ROUND('Calc base'!F$13*AW112,2))))</f>
        <v>0</v>
      </c>
      <c r="N113">
        <f>IF(AX112&lt;=0,0,IF(ROUND(AX112*(1+'Calc base'!L113),2)-MAX('Calc base'!G$12,ROUND('Calc base'!G$13*AX112,2))&lt;1,ROUND(AX112*(1+'Calc base'!L113),2),MAX('Calc base'!G$12,ROUND('Calc base'!G$13*AX112,2))))</f>
        <v>0</v>
      </c>
      <c r="O113">
        <f>IF(AY112&lt;=0,0,IF(ROUND(AY112*(1+'Calc base'!M113),2)-MAX('Calc base'!H$12,ROUND('Calc base'!H$13*AY112,2))&lt;1,ROUND(AY112*(1+'Calc base'!M113),2),MAX('Calc base'!H$12,ROUND('Calc base'!H$13*AY112,2))))</f>
        <v>0</v>
      </c>
      <c r="P113">
        <f>IF(AZ112&lt;=0,0,IF(ROUND(AZ112*(1+'Calc base'!N113),2)-MAX('Calc base'!I$12,ROUND('Calc base'!I$13*AZ112,2))&lt;1,ROUND(AZ112*(1+'Calc base'!N113),2),MAX('Calc base'!I$12,ROUND('Calc base'!I$13*AZ112,2))))</f>
        <v>0</v>
      </c>
      <c r="Q113">
        <f>IF(BA112&lt;=0,0,IF(ROUND(BA112*(1+'Calc base'!O113),2)-MAX('Calc base'!J$12,ROUND('Calc base'!J$13*BA112,2))&lt;1,ROUND(BA112*(1+'Calc base'!O113),2),MAX('Calc base'!J$12,ROUND('Calc base'!J$13*BA112,2))))</f>
        <v>0</v>
      </c>
      <c r="R113">
        <f>IF(BB112&lt;=0,0,IF(ROUND(BB112*(1+'Calc base'!P113),2)-MAX('Calc base'!K$12,ROUND('Calc base'!K$13*BB112,2))&lt;1,ROUND(BB112*(1+'Calc base'!P113),2),MAX('Calc base'!K$12,ROUND('Calc base'!K$13*BB112,2))))</f>
        <v>0</v>
      </c>
      <c r="S113">
        <f>IF(BC112&lt;=0,0,IF(ROUND(BC112*(1+'Calc base'!Q113),2)-MAX('Calc base'!L$12,ROUND('Calc base'!L$13*BC112,2))&lt;1,ROUND(BC112*(1+'Calc base'!Q113),2),MAX('Calc base'!L$12,ROUND('Calc base'!L$13*BC112,2))))</f>
        <v>0</v>
      </c>
      <c r="T113">
        <f>IF(BD112&lt;=0,0,IF(ROUND(BD112*(1+'Calc base'!R113),2)-MAX('Calc base'!M$12,ROUND('Calc base'!M$13*BD112,2))&lt;1,ROUND(BD112*(1+'Calc base'!R113),2),MAX('Calc base'!M$12,ROUND('Calc base'!M$13*BD112,2))))</f>
        <v>0</v>
      </c>
      <c r="U113">
        <f>IF(BE112&lt;=0,0,IF(ROUND(BE112*(1+'Calc base'!S113),2)-MAX('Calc base'!N$12,ROUND('Calc base'!N$13*BE112,2))&lt;1,ROUND(BE112*(1+'Calc base'!S113),2),MAX('Calc base'!N$12,ROUND('Calc base'!N$13*BE112,2))))</f>
        <v>0</v>
      </c>
      <c r="V113">
        <f>MAX(0,ROUND(AT112*(1+'Calc base'!H113),2)-J113-'Calc base'!T113)</f>
        <v>0</v>
      </c>
      <c r="W113">
        <f>MAX(0,ROUND(AU112*(1+'Calc base'!I113),2)-K113-'Calc base'!U113)</f>
        <v>0</v>
      </c>
      <c r="X113">
        <f>MAX(0,ROUND(AV112*(1+'Calc base'!J113),2)-L113-'Calc base'!V113)</f>
        <v>0</v>
      </c>
      <c r="Y113">
        <f>MAX(0,ROUND(AW112*(1+'Calc base'!K113),2)-M113-'Calc base'!W113)</f>
        <v>0</v>
      </c>
      <c r="Z113">
        <f>MAX(0,ROUND(AX112*(1+'Calc base'!L113),2)-N113-'Calc base'!X113)</f>
        <v>0</v>
      </c>
      <c r="AA113">
        <f>MAX(0,ROUND(AY112*(1+'Calc base'!M113),2)-O113-'Calc base'!Y113)</f>
        <v>0</v>
      </c>
      <c r="AB113">
        <f>MAX(0,ROUND(AZ112*(1+'Calc base'!N113),2)-P113-'Calc base'!Z113)</f>
        <v>0</v>
      </c>
      <c r="AC113">
        <f>MAX(0,ROUND(BA112*(1+'Calc base'!O113),2)-Q113-'Calc base'!AA113)</f>
        <v>0</v>
      </c>
      <c r="AD113">
        <f>MAX(0,ROUND(BB112*(1+'Calc base'!P113),2)-R113-'Calc base'!AB113)</f>
        <v>0</v>
      </c>
      <c r="AE113">
        <f>MAX(0,ROUND(BC112*(1+'Calc base'!Q113),2)-S113-'Calc base'!AC113)</f>
        <v>0</v>
      </c>
      <c r="AF113">
        <f>MAX(0,ROUND(BD112*(1+'Calc base'!R113),2)-T113-'Calc base'!AD113)</f>
        <v>0</v>
      </c>
      <c r="AG113">
        <f>MAX(0,ROUND(BE112*(1+'Calc base'!S113),2)-U113-'Calc base'!AE113)</f>
        <v>0</v>
      </c>
      <c r="AH113">
        <f>IF('Calc base'!C$14=0,0,MIN(V113,MAX(0,$E113-SUMIFS($V113:$AG113,'Calc base'!$C$19:$N$19,"&lt;"&amp;'Calc base'!C$19,'Calc base'!$C$14:$N$14,1))))</f>
        <v>0</v>
      </c>
      <c r="AI113">
        <f>IF('Calc base'!D$14=0,0,MIN(W113,MAX(0,$E113-SUMIFS($V113:$AG113,'Calc base'!$C$19:$N$19,"&lt;"&amp;'Calc base'!D$19,'Calc base'!$C$14:$N$14,1))))</f>
        <v>0</v>
      </c>
      <c r="AJ113">
        <f>IF('Calc base'!E$14=0,0,MIN(X113,MAX(0,$E113-SUMIFS($V113:$AG113,'Calc base'!$C$19:$N$19,"&lt;"&amp;'Calc base'!E$19,'Calc base'!$C$14:$N$14,1))))</f>
        <v>0</v>
      </c>
      <c r="AK113">
        <f>IF('Calc base'!F$14=0,0,MIN(Y113,MAX(0,$E113-SUMIFS($V113:$AG113,'Calc base'!$C$19:$N$19,"&lt;"&amp;'Calc base'!F$19,'Calc base'!$C$14:$N$14,1))))</f>
        <v>0</v>
      </c>
      <c r="AL113">
        <f>IF('Calc base'!G$14=0,0,MIN(Z113,MAX(0,$E113-SUMIFS($V113:$AG113,'Calc base'!$C$19:$N$19,"&lt;"&amp;'Calc base'!G$19,'Calc base'!$C$14:$N$14,1))))</f>
        <v>0</v>
      </c>
      <c r="AM113">
        <f>IF('Calc base'!H$14=0,0,MIN(AA113,MAX(0,$E113-SUMIFS($V113:$AG113,'Calc base'!$C$19:$N$19,"&lt;"&amp;'Calc base'!H$19,'Calc base'!$C$14:$N$14,1))))</f>
        <v>0</v>
      </c>
      <c r="AN113">
        <f>IF('Calc base'!I$14=0,0,MIN(AB113,MAX(0,$E113-SUMIFS($V113:$AG113,'Calc base'!$C$19:$N$19,"&lt;"&amp;'Calc base'!I$19,'Calc base'!$C$14:$N$14,1))))</f>
        <v>0</v>
      </c>
      <c r="AO113">
        <f>IF('Calc base'!J$14=0,0,MIN(AC113,MAX(0,$E113-SUMIFS($V113:$AG113,'Calc base'!$C$19:$N$19,"&lt;"&amp;'Calc base'!J$19,'Calc base'!$C$14:$N$14,1))))</f>
        <v>0</v>
      </c>
      <c r="AP113">
        <f>IF('Calc base'!K$14=0,0,MIN(AD113,MAX(0,$E113-SUMIFS($V113:$AG113,'Calc base'!$C$19:$N$19,"&lt;"&amp;'Calc base'!K$19,'Calc base'!$C$14:$N$14,1))))</f>
        <v>0</v>
      </c>
      <c r="AQ113">
        <f>IF('Calc base'!L$14=0,0,MIN(AE113,MAX(0,$E113-SUMIFS($V113:$AG113,'Calc base'!$C$19:$N$19,"&lt;"&amp;'Calc base'!L$19,'Calc base'!$C$14:$N$14,1))))</f>
        <v>0</v>
      </c>
      <c r="AR113">
        <f>IF('Calc base'!M$14=0,0,MIN(AF113,MAX(0,$E113-SUMIFS($V113:$AG113,'Calc base'!$C$19:$N$19,"&lt;"&amp;'Calc base'!M$19,'Calc base'!$C$14:$N$14,1))))</f>
        <v>0</v>
      </c>
      <c r="AS113">
        <f>IF('Calc base'!N$14=0,0,MIN(AG113,MAX(0,$E113-SUMIFS($V113:$AG113,'Calc base'!$C$19:$N$19,"&lt;"&amp;'Calc base'!N$19,'Calc base'!$C$14:$N$14,1))))</f>
        <v>0</v>
      </c>
      <c r="AT113">
        <f>V113-AH113</f>
        <v>0</v>
      </c>
      <c r="AU113">
        <f>W113-AI113</f>
        <v>0</v>
      </c>
      <c r="AV113">
        <f>X113-AJ113</f>
        <v>0</v>
      </c>
      <c r="AW113">
        <f>Y113-AK113</f>
        <v>0</v>
      </c>
      <c r="AX113">
        <f>Z113-AL113</f>
        <v>0</v>
      </c>
      <c r="AY113">
        <f>AA113-AM113</f>
        <v>0</v>
      </c>
      <c r="AZ113">
        <f>AB113-AN113</f>
        <v>0</v>
      </c>
      <c r="BA113">
        <f>AC113-AO113</f>
        <v>0</v>
      </c>
      <c r="BB113">
        <f>AD113-AP113</f>
        <v>0</v>
      </c>
      <c r="BC113">
        <f>AE113-AQ113</f>
        <v>0</v>
      </c>
      <c r="BD113">
        <f>AF113-AR113</f>
        <v>0</v>
      </c>
      <c r="BE113">
        <f>AG113-AS113</f>
        <v>0</v>
      </c>
    </row>
    <row r="114">
      <c r="A114" t="n">
        <v>84</v>
      </c>
      <c r="B114">
        <f>SUMPRODUCT(ROUND($AT113:$BE113*(1+'Calc base'!$H114:$S114),2))</f>
        <v>0</v>
      </c>
      <c r="C114">
        <f>SUM(J114:U114)</f>
        <v>0</v>
      </c>
      <c r="D114">
        <f>SUM(V114:AG114)</f>
        <v>0</v>
      </c>
      <c r="E114">
        <f>MAX(0,IF(Impostazioni!$B$7="No",'Calc base'!$C114-$C$31,'Calc base'!$C114-C114)+'Calc base'!$G114+'Calc base'!$F114-(B114-C114-D114))</f>
        <v>900</v>
      </c>
      <c r="F114">
        <f>SUM(AH114:AS114)</f>
        <v>0</v>
      </c>
      <c r="G114">
        <f>SUM(AT114:BE114)</f>
        <v>0</v>
      </c>
      <c r="H114">
        <f>B114-G113</f>
        <v>0</v>
      </c>
      <c r="I114">
        <f>B114-G114</f>
        <v>0</v>
      </c>
      <c r="J114">
        <f>IF(AT113&lt;=0,0,IF(ROUND(AT113*(1+'Calc base'!H114),2)-MAX('Calc base'!C$12,ROUND('Calc base'!C$13*AT113,2))&lt;1,ROUND(AT113*(1+'Calc base'!H114),2),MAX('Calc base'!C$12,ROUND('Calc base'!C$13*AT113,2))))</f>
        <v>0</v>
      </c>
      <c r="K114">
        <f>IF(AU113&lt;=0,0,IF(ROUND(AU113*(1+'Calc base'!I114),2)-MAX('Calc base'!D$12,ROUND('Calc base'!D$13*AU113,2))&lt;1,ROUND(AU113*(1+'Calc base'!I114),2),MAX('Calc base'!D$12,ROUND('Calc base'!D$13*AU113,2))))</f>
        <v>0</v>
      </c>
      <c r="L114">
        <f>IF(AV113&lt;=0,0,IF(ROUND(AV113*(1+'Calc base'!J114),2)-MAX('Calc base'!E$12,ROUND('Calc base'!E$13*AV113,2))&lt;1,ROUND(AV113*(1+'Calc base'!J114),2),MAX('Calc base'!E$12,ROUND('Calc base'!E$13*AV113,2))))</f>
        <v>0</v>
      </c>
      <c r="M114">
        <f>IF(AW113&lt;=0,0,IF(ROUND(AW113*(1+'Calc base'!K114),2)-MAX('Calc base'!F$12,ROUND('Calc base'!F$13*AW113,2))&lt;1,ROUND(AW113*(1+'Calc base'!K114),2),MAX('Calc base'!F$12,ROUND('Calc base'!F$13*AW113,2))))</f>
        <v>0</v>
      </c>
      <c r="N114">
        <f>IF(AX113&lt;=0,0,IF(ROUND(AX113*(1+'Calc base'!L114),2)-MAX('Calc base'!G$12,ROUND('Calc base'!G$13*AX113,2))&lt;1,ROUND(AX113*(1+'Calc base'!L114),2),MAX('Calc base'!G$12,ROUND('Calc base'!G$13*AX113,2))))</f>
        <v>0</v>
      </c>
      <c r="O114">
        <f>IF(AY113&lt;=0,0,IF(ROUND(AY113*(1+'Calc base'!M114),2)-MAX('Calc base'!H$12,ROUND('Calc base'!H$13*AY113,2))&lt;1,ROUND(AY113*(1+'Calc base'!M114),2),MAX('Calc base'!H$12,ROUND('Calc base'!H$13*AY113,2))))</f>
        <v>0</v>
      </c>
      <c r="P114">
        <f>IF(AZ113&lt;=0,0,IF(ROUND(AZ113*(1+'Calc base'!N114),2)-MAX('Calc base'!I$12,ROUND('Calc base'!I$13*AZ113,2))&lt;1,ROUND(AZ113*(1+'Calc base'!N114),2),MAX('Calc base'!I$12,ROUND('Calc base'!I$13*AZ113,2))))</f>
        <v>0</v>
      </c>
      <c r="Q114">
        <f>IF(BA113&lt;=0,0,IF(ROUND(BA113*(1+'Calc base'!O114),2)-MAX('Calc base'!J$12,ROUND('Calc base'!J$13*BA113,2))&lt;1,ROUND(BA113*(1+'Calc base'!O114),2),MAX('Calc base'!J$12,ROUND('Calc base'!J$13*BA113,2))))</f>
        <v>0</v>
      </c>
      <c r="R114">
        <f>IF(BB113&lt;=0,0,IF(ROUND(BB113*(1+'Calc base'!P114),2)-MAX('Calc base'!K$12,ROUND('Calc base'!K$13*BB113,2))&lt;1,ROUND(BB113*(1+'Calc base'!P114),2),MAX('Calc base'!K$12,ROUND('Calc base'!K$13*BB113,2))))</f>
        <v>0</v>
      </c>
      <c r="S114">
        <f>IF(BC113&lt;=0,0,IF(ROUND(BC113*(1+'Calc base'!Q114),2)-MAX('Calc base'!L$12,ROUND('Calc base'!L$13*BC113,2))&lt;1,ROUND(BC113*(1+'Calc base'!Q114),2),MAX('Calc base'!L$12,ROUND('Calc base'!L$13*BC113,2))))</f>
        <v>0</v>
      </c>
      <c r="T114">
        <f>IF(BD113&lt;=0,0,IF(ROUND(BD113*(1+'Calc base'!R114),2)-MAX('Calc base'!M$12,ROUND('Calc base'!M$13*BD113,2))&lt;1,ROUND(BD113*(1+'Calc base'!R114),2),MAX('Calc base'!M$12,ROUND('Calc base'!M$13*BD113,2))))</f>
        <v>0</v>
      </c>
      <c r="U114">
        <f>IF(BE113&lt;=0,0,IF(ROUND(BE113*(1+'Calc base'!S114),2)-MAX('Calc base'!N$12,ROUND('Calc base'!N$13*BE113,2))&lt;1,ROUND(BE113*(1+'Calc base'!S114),2),MAX('Calc base'!N$12,ROUND('Calc base'!N$13*BE113,2))))</f>
        <v>0</v>
      </c>
      <c r="V114">
        <f>MAX(0,ROUND(AT113*(1+'Calc base'!H114),2)-J114-'Calc base'!T114)</f>
        <v>0</v>
      </c>
      <c r="W114">
        <f>MAX(0,ROUND(AU113*(1+'Calc base'!I114),2)-K114-'Calc base'!U114)</f>
        <v>0</v>
      </c>
      <c r="X114">
        <f>MAX(0,ROUND(AV113*(1+'Calc base'!J114),2)-L114-'Calc base'!V114)</f>
        <v>0</v>
      </c>
      <c r="Y114">
        <f>MAX(0,ROUND(AW113*(1+'Calc base'!K114),2)-M114-'Calc base'!W114)</f>
        <v>0</v>
      </c>
      <c r="Z114">
        <f>MAX(0,ROUND(AX113*(1+'Calc base'!L114),2)-N114-'Calc base'!X114)</f>
        <v>0</v>
      </c>
      <c r="AA114">
        <f>MAX(0,ROUND(AY113*(1+'Calc base'!M114),2)-O114-'Calc base'!Y114)</f>
        <v>0</v>
      </c>
      <c r="AB114">
        <f>MAX(0,ROUND(AZ113*(1+'Calc base'!N114),2)-P114-'Calc base'!Z114)</f>
        <v>0</v>
      </c>
      <c r="AC114">
        <f>MAX(0,ROUND(BA113*(1+'Calc base'!O114),2)-Q114-'Calc base'!AA114)</f>
        <v>0</v>
      </c>
      <c r="AD114">
        <f>MAX(0,ROUND(BB113*(1+'Calc base'!P114),2)-R114-'Calc base'!AB114)</f>
        <v>0</v>
      </c>
      <c r="AE114">
        <f>MAX(0,ROUND(BC113*(1+'Calc base'!Q114),2)-S114-'Calc base'!AC114)</f>
        <v>0</v>
      </c>
      <c r="AF114">
        <f>MAX(0,ROUND(BD113*(1+'Calc base'!R114),2)-T114-'Calc base'!AD114)</f>
        <v>0</v>
      </c>
      <c r="AG114">
        <f>MAX(0,ROUND(BE113*(1+'Calc base'!S114),2)-U114-'Calc base'!AE114)</f>
        <v>0</v>
      </c>
      <c r="AH114">
        <f>IF('Calc base'!C$14=0,0,MIN(V114,MAX(0,$E114-SUMIFS($V114:$AG114,'Calc base'!$C$19:$N$19,"&lt;"&amp;'Calc base'!C$19,'Calc base'!$C$14:$N$14,1))))</f>
        <v>0</v>
      </c>
      <c r="AI114">
        <f>IF('Calc base'!D$14=0,0,MIN(W114,MAX(0,$E114-SUMIFS($V114:$AG114,'Calc base'!$C$19:$N$19,"&lt;"&amp;'Calc base'!D$19,'Calc base'!$C$14:$N$14,1))))</f>
        <v>0</v>
      </c>
      <c r="AJ114">
        <f>IF('Calc base'!E$14=0,0,MIN(X114,MAX(0,$E114-SUMIFS($V114:$AG114,'Calc base'!$C$19:$N$19,"&lt;"&amp;'Calc base'!E$19,'Calc base'!$C$14:$N$14,1))))</f>
        <v>0</v>
      </c>
      <c r="AK114">
        <f>IF('Calc base'!F$14=0,0,MIN(Y114,MAX(0,$E114-SUMIFS($V114:$AG114,'Calc base'!$C$19:$N$19,"&lt;"&amp;'Calc base'!F$19,'Calc base'!$C$14:$N$14,1))))</f>
        <v>0</v>
      </c>
      <c r="AL114">
        <f>IF('Calc base'!G$14=0,0,MIN(Z114,MAX(0,$E114-SUMIFS($V114:$AG114,'Calc base'!$C$19:$N$19,"&lt;"&amp;'Calc base'!G$19,'Calc base'!$C$14:$N$14,1))))</f>
        <v>0</v>
      </c>
      <c r="AM114">
        <f>IF('Calc base'!H$14=0,0,MIN(AA114,MAX(0,$E114-SUMIFS($V114:$AG114,'Calc base'!$C$19:$N$19,"&lt;"&amp;'Calc base'!H$19,'Calc base'!$C$14:$N$14,1))))</f>
        <v>0</v>
      </c>
      <c r="AN114">
        <f>IF('Calc base'!I$14=0,0,MIN(AB114,MAX(0,$E114-SUMIFS($V114:$AG114,'Calc base'!$C$19:$N$19,"&lt;"&amp;'Calc base'!I$19,'Calc base'!$C$14:$N$14,1))))</f>
        <v>0</v>
      </c>
      <c r="AO114">
        <f>IF('Calc base'!J$14=0,0,MIN(AC114,MAX(0,$E114-SUMIFS($V114:$AG114,'Calc base'!$C$19:$N$19,"&lt;"&amp;'Calc base'!J$19,'Calc base'!$C$14:$N$14,1))))</f>
        <v>0</v>
      </c>
      <c r="AP114">
        <f>IF('Calc base'!K$14=0,0,MIN(AD114,MAX(0,$E114-SUMIFS($V114:$AG114,'Calc base'!$C$19:$N$19,"&lt;"&amp;'Calc base'!K$19,'Calc base'!$C$14:$N$14,1))))</f>
        <v>0</v>
      </c>
      <c r="AQ114">
        <f>IF('Calc base'!L$14=0,0,MIN(AE114,MAX(0,$E114-SUMIFS($V114:$AG114,'Calc base'!$C$19:$N$19,"&lt;"&amp;'Calc base'!L$19,'Calc base'!$C$14:$N$14,1))))</f>
        <v>0</v>
      </c>
      <c r="AR114">
        <f>IF('Calc base'!M$14=0,0,MIN(AF114,MAX(0,$E114-SUMIFS($V114:$AG114,'Calc base'!$C$19:$N$19,"&lt;"&amp;'Calc base'!M$19,'Calc base'!$C$14:$N$14,1))))</f>
        <v>0</v>
      </c>
      <c r="AS114">
        <f>IF('Calc base'!N$14=0,0,MIN(AG114,MAX(0,$E114-SUMIFS($V114:$AG114,'Calc base'!$C$19:$N$19,"&lt;"&amp;'Calc base'!N$19,'Calc base'!$C$14:$N$14,1))))</f>
        <v>0</v>
      </c>
      <c r="AT114">
        <f>V114-AH114</f>
        <v>0</v>
      </c>
      <c r="AU114">
        <f>W114-AI114</f>
        <v>0</v>
      </c>
      <c r="AV114">
        <f>X114-AJ114</f>
        <v>0</v>
      </c>
      <c r="AW114">
        <f>Y114-AK114</f>
        <v>0</v>
      </c>
      <c r="AX114">
        <f>Z114-AL114</f>
        <v>0</v>
      </c>
      <c r="AY114">
        <f>AA114-AM114</f>
        <v>0</v>
      </c>
      <c r="AZ114">
        <f>AB114-AN114</f>
        <v>0</v>
      </c>
      <c r="BA114">
        <f>AC114-AO114</f>
        <v>0</v>
      </c>
      <c r="BB114">
        <f>AD114-AP114</f>
        <v>0</v>
      </c>
      <c r="BC114">
        <f>AE114-AQ114</f>
        <v>0</v>
      </c>
      <c r="BD114">
        <f>AF114-AR114</f>
        <v>0</v>
      </c>
      <c r="BE114">
        <f>AG114-AS114</f>
        <v>0</v>
      </c>
    </row>
    <row r="115">
      <c r="A115" t="n">
        <v>85</v>
      </c>
      <c r="B115">
        <f>SUMPRODUCT(ROUND($AT114:$BE114*(1+'Calc base'!$H115:$S115),2))</f>
        <v>0</v>
      </c>
      <c r="C115">
        <f>SUM(J115:U115)</f>
        <v>0</v>
      </c>
      <c r="D115">
        <f>SUM(V115:AG115)</f>
        <v>0</v>
      </c>
      <c r="E115">
        <f>MAX(0,IF(Impostazioni!$B$7="No",'Calc base'!$C115-$C$31,'Calc base'!$C115-C115)+'Calc base'!$G115+'Calc base'!$F115-(B115-C115-D115))</f>
        <v>900</v>
      </c>
      <c r="F115">
        <f>SUM(AH115:AS115)</f>
        <v>0</v>
      </c>
      <c r="G115">
        <f>SUM(AT115:BE115)</f>
        <v>0</v>
      </c>
      <c r="H115">
        <f>B115-G114</f>
        <v>0</v>
      </c>
      <c r="I115">
        <f>B115-G115</f>
        <v>0</v>
      </c>
      <c r="J115">
        <f>IF(AT114&lt;=0,0,IF(ROUND(AT114*(1+'Calc base'!H115),2)-MAX('Calc base'!C$12,ROUND('Calc base'!C$13*AT114,2))&lt;1,ROUND(AT114*(1+'Calc base'!H115),2),MAX('Calc base'!C$12,ROUND('Calc base'!C$13*AT114,2))))</f>
        <v>0</v>
      </c>
      <c r="K115">
        <f>IF(AU114&lt;=0,0,IF(ROUND(AU114*(1+'Calc base'!I115),2)-MAX('Calc base'!D$12,ROUND('Calc base'!D$13*AU114,2))&lt;1,ROUND(AU114*(1+'Calc base'!I115),2),MAX('Calc base'!D$12,ROUND('Calc base'!D$13*AU114,2))))</f>
        <v>0</v>
      </c>
      <c r="L115">
        <f>IF(AV114&lt;=0,0,IF(ROUND(AV114*(1+'Calc base'!J115),2)-MAX('Calc base'!E$12,ROUND('Calc base'!E$13*AV114,2))&lt;1,ROUND(AV114*(1+'Calc base'!J115),2),MAX('Calc base'!E$12,ROUND('Calc base'!E$13*AV114,2))))</f>
        <v>0</v>
      </c>
      <c r="M115">
        <f>IF(AW114&lt;=0,0,IF(ROUND(AW114*(1+'Calc base'!K115),2)-MAX('Calc base'!F$12,ROUND('Calc base'!F$13*AW114,2))&lt;1,ROUND(AW114*(1+'Calc base'!K115),2),MAX('Calc base'!F$12,ROUND('Calc base'!F$13*AW114,2))))</f>
        <v>0</v>
      </c>
      <c r="N115">
        <f>IF(AX114&lt;=0,0,IF(ROUND(AX114*(1+'Calc base'!L115),2)-MAX('Calc base'!G$12,ROUND('Calc base'!G$13*AX114,2))&lt;1,ROUND(AX114*(1+'Calc base'!L115),2),MAX('Calc base'!G$12,ROUND('Calc base'!G$13*AX114,2))))</f>
        <v>0</v>
      </c>
      <c r="O115">
        <f>IF(AY114&lt;=0,0,IF(ROUND(AY114*(1+'Calc base'!M115),2)-MAX('Calc base'!H$12,ROUND('Calc base'!H$13*AY114,2))&lt;1,ROUND(AY114*(1+'Calc base'!M115),2),MAX('Calc base'!H$12,ROUND('Calc base'!H$13*AY114,2))))</f>
        <v>0</v>
      </c>
      <c r="P115">
        <f>IF(AZ114&lt;=0,0,IF(ROUND(AZ114*(1+'Calc base'!N115),2)-MAX('Calc base'!I$12,ROUND('Calc base'!I$13*AZ114,2))&lt;1,ROUND(AZ114*(1+'Calc base'!N115),2),MAX('Calc base'!I$12,ROUND('Calc base'!I$13*AZ114,2))))</f>
        <v>0</v>
      </c>
      <c r="Q115">
        <f>IF(BA114&lt;=0,0,IF(ROUND(BA114*(1+'Calc base'!O115),2)-MAX('Calc base'!J$12,ROUND('Calc base'!J$13*BA114,2))&lt;1,ROUND(BA114*(1+'Calc base'!O115),2),MAX('Calc base'!J$12,ROUND('Calc base'!J$13*BA114,2))))</f>
        <v>0</v>
      </c>
      <c r="R115">
        <f>IF(BB114&lt;=0,0,IF(ROUND(BB114*(1+'Calc base'!P115),2)-MAX('Calc base'!K$12,ROUND('Calc base'!K$13*BB114,2))&lt;1,ROUND(BB114*(1+'Calc base'!P115),2),MAX('Calc base'!K$12,ROUND('Calc base'!K$13*BB114,2))))</f>
        <v>0</v>
      </c>
      <c r="S115">
        <f>IF(BC114&lt;=0,0,IF(ROUND(BC114*(1+'Calc base'!Q115),2)-MAX('Calc base'!L$12,ROUND('Calc base'!L$13*BC114,2))&lt;1,ROUND(BC114*(1+'Calc base'!Q115),2),MAX('Calc base'!L$12,ROUND('Calc base'!L$13*BC114,2))))</f>
        <v>0</v>
      </c>
      <c r="T115">
        <f>IF(BD114&lt;=0,0,IF(ROUND(BD114*(1+'Calc base'!R115),2)-MAX('Calc base'!M$12,ROUND('Calc base'!M$13*BD114,2))&lt;1,ROUND(BD114*(1+'Calc base'!R115),2),MAX('Calc base'!M$12,ROUND('Calc base'!M$13*BD114,2))))</f>
        <v>0</v>
      </c>
      <c r="U115">
        <f>IF(BE114&lt;=0,0,IF(ROUND(BE114*(1+'Calc base'!S115),2)-MAX('Calc base'!N$12,ROUND('Calc base'!N$13*BE114,2))&lt;1,ROUND(BE114*(1+'Calc base'!S115),2),MAX('Calc base'!N$12,ROUND('Calc base'!N$13*BE114,2))))</f>
        <v>0</v>
      </c>
      <c r="V115">
        <f>MAX(0,ROUND(AT114*(1+'Calc base'!H115),2)-J115-'Calc base'!T115)</f>
        <v>0</v>
      </c>
      <c r="W115">
        <f>MAX(0,ROUND(AU114*(1+'Calc base'!I115),2)-K115-'Calc base'!U115)</f>
        <v>0</v>
      </c>
      <c r="X115">
        <f>MAX(0,ROUND(AV114*(1+'Calc base'!J115),2)-L115-'Calc base'!V115)</f>
        <v>0</v>
      </c>
      <c r="Y115">
        <f>MAX(0,ROUND(AW114*(1+'Calc base'!K115),2)-M115-'Calc base'!W115)</f>
        <v>0</v>
      </c>
      <c r="Z115">
        <f>MAX(0,ROUND(AX114*(1+'Calc base'!L115),2)-N115-'Calc base'!X115)</f>
        <v>0</v>
      </c>
      <c r="AA115">
        <f>MAX(0,ROUND(AY114*(1+'Calc base'!M115),2)-O115-'Calc base'!Y115)</f>
        <v>0</v>
      </c>
      <c r="AB115">
        <f>MAX(0,ROUND(AZ114*(1+'Calc base'!N115),2)-P115-'Calc base'!Z115)</f>
        <v>0</v>
      </c>
      <c r="AC115">
        <f>MAX(0,ROUND(BA114*(1+'Calc base'!O115),2)-Q115-'Calc base'!AA115)</f>
        <v>0</v>
      </c>
      <c r="AD115">
        <f>MAX(0,ROUND(BB114*(1+'Calc base'!P115),2)-R115-'Calc base'!AB115)</f>
        <v>0</v>
      </c>
      <c r="AE115">
        <f>MAX(0,ROUND(BC114*(1+'Calc base'!Q115),2)-S115-'Calc base'!AC115)</f>
        <v>0</v>
      </c>
      <c r="AF115">
        <f>MAX(0,ROUND(BD114*(1+'Calc base'!R115),2)-T115-'Calc base'!AD115)</f>
        <v>0</v>
      </c>
      <c r="AG115">
        <f>MAX(0,ROUND(BE114*(1+'Calc base'!S115),2)-U115-'Calc base'!AE115)</f>
        <v>0</v>
      </c>
      <c r="AH115">
        <f>IF('Calc base'!C$14=0,0,MIN(V115,MAX(0,$E115-SUMIFS($V115:$AG115,'Calc base'!$C$19:$N$19,"&lt;"&amp;'Calc base'!C$19,'Calc base'!$C$14:$N$14,1))))</f>
        <v>0</v>
      </c>
      <c r="AI115">
        <f>IF('Calc base'!D$14=0,0,MIN(W115,MAX(0,$E115-SUMIFS($V115:$AG115,'Calc base'!$C$19:$N$19,"&lt;"&amp;'Calc base'!D$19,'Calc base'!$C$14:$N$14,1))))</f>
        <v>0</v>
      </c>
      <c r="AJ115">
        <f>IF('Calc base'!E$14=0,0,MIN(X115,MAX(0,$E115-SUMIFS($V115:$AG115,'Calc base'!$C$19:$N$19,"&lt;"&amp;'Calc base'!E$19,'Calc base'!$C$14:$N$14,1))))</f>
        <v>0</v>
      </c>
      <c r="AK115">
        <f>IF('Calc base'!F$14=0,0,MIN(Y115,MAX(0,$E115-SUMIFS($V115:$AG115,'Calc base'!$C$19:$N$19,"&lt;"&amp;'Calc base'!F$19,'Calc base'!$C$14:$N$14,1))))</f>
        <v>0</v>
      </c>
      <c r="AL115">
        <f>IF('Calc base'!G$14=0,0,MIN(Z115,MAX(0,$E115-SUMIFS($V115:$AG115,'Calc base'!$C$19:$N$19,"&lt;"&amp;'Calc base'!G$19,'Calc base'!$C$14:$N$14,1))))</f>
        <v>0</v>
      </c>
      <c r="AM115">
        <f>IF('Calc base'!H$14=0,0,MIN(AA115,MAX(0,$E115-SUMIFS($V115:$AG115,'Calc base'!$C$19:$N$19,"&lt;"&amp;'Calc base'!H$19,'Calc base'!$C$14:$N$14,1))))</f>
        <v>0</v>
      </c>
      <c r="AN115">
        <f>IF('Calc base'!I$14=0,0,MIN(AB115,MAX(0,$E115-SUMIFS($V115:$AG115,'Calc base'!$C$19:$N$19,"&lt;"&amp;'Calc base'!I$19,'Calc base'!$C$14:$N$14,1))))</f>
        <v>0</v>
      </c>
      <c r="AO115">
        <f>IF('Calc base'!J$14=0,0,MIN(AC115,MAX(0,$E115-SUMIFS($V115:$AG115,'Calc base'!$C$19:$N$19,"&lt;"&amp;'Calc base'!J$19,'Calc base'!$C$14:$N$14,1))))</f>
        <v>0</v>
      </c>
      <c r="AP115">
        <f>IF('Calc base'!K$14=0,0,MIN(AD115,MAX(0,$E115-SUMIFS($V115:$AG115,'Calc base'!$C$19:$N$19,"&lt;"&amp;'Calc base'!K$19,'Calc base'!$C$14:$N$14,1))))</f>
        <v>0</v>
      </c>
      <c r="AQ115">
        <f>IF('Calc base'!L$14=0,0,MIN(AE115,MAX(0,$E115-SUMIFS($V115:$AG115,'Calc base'!$C$19:$N$19,"&lt;"&amp;'Calc base'!L$19,'Calc base'!$C$14:$N$14,1))))</f>
        <v>0</v>
      </c>
      <c r="AR115">
        <f>IF('Calc base'!M$14=0,0,MIN(AF115,MAX(0,$E115-SUMIFS($V115:$AG115,'Calc base'!$C$19:$N$19,"&lt;"&amp;'Calc base'!M$19,'Calc base'!$C$14:$N$14,1))))</f>
        <v>0</v>
      </c>
      <c r="AS115">
        <f>IF('Calc base'!N$14=0,0,MIN(AG115,MAX(0,$E115-SUMIFS($V115:$AG115,'Calc base'!$C$19:$N$19,"&lt;"&amp;'Calc base'!N$19,'Calc base'!$C$14:$N$14,1))))</f>
        <v>0</v>
      </c>
      <c r="AT115">
        <f>V115-AH115</f>
        <v>0</v>
      </c>
      <c r="AU115">
        <f>W115-AI115</f>
        <v>0</v>
      </c>
      <c r="AV115">
        <f>X115-AJ115</f>
        <v>0</v>
      </c>
      <c r="AW115">
        <f>Y115-AK115</f>
        <v>0</v>
      </c>
      <c r="AX115">
        <f>Z115-AL115</f>
        <v>0</v>
      </c>
      <c r="AY115">
        <f>AA115-AM115</f>
        <v>0</v>
      </c>
      <c r="AZ115">
        <f>AB115-AN115</f>
        <v>0</v>
      </c>
      <c r="BA115">
        <f>AC115-AO115</f>
        <v>0</v>
      </c>
      <c r="BB115">
        <f>AD115-AP115</f>
        <v>0</v>
      </c>
      <c r="BC115">
        <f>AE115-AQ115</f>
        <v>0</v>
      </c>
      <c r="BD115">
        <f>AF115-AR115</f>
        <v>0</v>
      </c>
      <c r="BE115">
        <f>AG115-AS115</f>
        <v>0</v>
      </c>
    </row>
    <row r="116">
      <c r="A116" t="n">
        <v>86</v>
      </c>
      <c r="B116">
        <f>SUMPRODUCT(ROUND($AT115:$BE115*(1+'Calc base'!$H116:$S116),2))</f>
        <v>0</v>
      </c>
      <c r="C116">
        <f>SUM(J116:U116)</f>
        <v>0</v>
      </c>
      <c r="D116">
        <f>SUM(V116:AG116)</f>
        <v>0</v>
      </c>
      <c r="E116">
        <f>MAX(0,IF(Impostazioni!$B$7="No",'Calc base'!$C116-$C$31,'Calc base'!$C116-C116)+'Calc base'!$G116+'Calc base'!$F116-(B116-C116-D116))</f>
        <v>900</v>
      </c>
      <c r="F116">
        <f>SUM(AH116:AS116)</f>
        <v>0</v>
      </c>
      <c r="G116">
        <f>SUM(AT116:BE116)</f>
        <v>0</v>
      </c>
      <c r="H116">
        <f>B116-G115</f>
        <v>0</v>
      </c>
      <c r="I116">
        <f>B116-G116</f>
        <v>0</v>
      </c>
      <c r="J116">
        <f>IF(AT115&lt;=0,0,IF(ROUND(AT115*(1+'Calc base'!H116),2)-MAX('Calc base'!C$12,ROUND('Calc base'!C$13*AT115,2))&lt;1,ROUND(AT115*(1+'Calc base'!H116),2),MAX('Calc base'!C$12,ROUND('Calc base'!C$13*AT115,2))))</f>
        <v>0</v>
      </c>
      <c r="K116">
        <f>IF(AU115&lt;=0,0,IF(ROUND(AU115*(1+'Calc base'!I116),2)-MAX('Calc base'!D$12,ROUND('Calc base'!D$13*AU115,2))&lt;1,ROUND(AU115*(1+'Calc base'!I116),2),MAX('Calc base'!D$12,ROUND('Calc base'!D$13*AU115,2))))</f>
        <v>0</v>
      </c>
      <c r="L116">
        <f>IF(AV115&lt;=0,0,IF(ROUND(AV115*(1+'Calc base'!J116),2)-MAX('Calc base'!E$12,ROUND('Calc base'!E$13*AV115,2))&lt;1,ROUND(AV115*(1+'Calc base'!J116),2),MAX('Calc base'!E$12,ROUND('Calc base'!E$13*AV115,2))))</f>
        <v>0</v>
      </c>
      <c r="M116">
        <f>IF(AW115&lt;=0,0,IF(ROUND(AW115*(1+'Calc base'!K116),2)-MAX('Calc base'!F$12,ROUND('Calc base'!F$13*AW115,2))&lt;1,ROUND(AW115*(1+'Calc base'!K116),2),MAX('Calc base'!F$12,ROUND('Calc base'!F$13*AW115,2))))</f>
        <v>0</v>
      </c>
      <c r="N116">
        <f>IF(AX115&lt;=0,0,IF(ROUND(AX115*(1+'Calc base'!L116),2)-MAX('Calc base'!G$12,ROUND('Calc base'!G$13*AX115,2))&lt;1,ROUND(AX115*(1+'Calc base'!L116),2),MAX('Calc base'!G$12,ROUND('Calc base'!G$13*AX115,2))))</f>
        <v>0</v>
      </c>
      <c r="O116">
        <f>IF(AY115&lt;=0,0,IF(ROUND(AY115*(1+'Calc base'!M116),2)-MAX('Calc base'!H$12,ROUND('Calc base'!H$13*AY115,2))&lt;1,ROUND(AY115*(1+'Calc base'!M116),2),MAX('Calc base'!H$12,ROUND('Calc base'!H$13*AY115,2))))</f>
        <v>0</v>
      </c>
      <c r="P116">
        <f>IF(AZ115&lt;=0,0,IF(ROUND(AZ115*(1+'Calc base'!N116),2)-MAX('Calc base'!I$12,ROUND('Calc base'!I$13*AZ115,2))&lt;1,ROUND(AZ115*(1+'Calc base'!N116),2),MAX('Calc base'!I$12,ROUND('Calc base'!I$13*AZ115,2))))</f>
        <v>0</v>
      </c>
      <c r="Q116">
        <f>IF(BA115&lt;=0,0,IF(ROUND(BA115*(1+'Calc base'!O116),2)-MAX('Calc base'!J$12,ROUND('Calc base'!J$13*BA115,2))&lt;1,ROUND(BA115*(1+'Calc base'!O116),2),MAX('Calc base'!J$12,ROUND('Calc base'!J$13*BA115,2))))</f>
        <v>0</v>
      </c>
      <c r="R116">
        <f>IF(BB115&lt;=0,0,IF(ROUND(BB115*(1+'Calc base'!P116),2)-MAX('Calc base'!K$12,ROUND('Calc base'!K$13*BB115,2))&lt;1,ROUND(BB115*(1+'Calc base'!P116),2),MAX('Calc base'!K$12,ROUND('Calc base'!K$13*BB115,2))))</f>
        <v>0</v>
      </c>
      <c r="S116">
        <f>IF(BC115&lt;=0,0,IF(ROUND(BC115*(1+'Calc base'!Q116),2)-MAX('Calc base'!L$12,ROUND('Calc base'!L$13*BC115,2))&lt;1,ROUND(BC115*(1+'Calc base'!Q116),2),MAX('Calc base'!L$12,ROUND('Calc base'!L$13*BC115,2))))</f>
        <v>0</v>
      </c>
      <c r="T116">
        <f>IF(BD115&lt;=0,0,IF(ROUND(BD115*(1+'Calc base'!R116),2)-MAX('Calc base'!M$12,ROUND('Calc base'!M$13*BD115,2))&lt;1,ROUND(BD115*(1+'Calc base'!R116),2),MAX('Calc base'!M$12,ROUND('Calc base'!M$13*BD115,2))))</f>
        <v>0</v>
      </c>
      <c r="U116">
        <f>IF(BE115&lt;=0,0,IF(ROUND(BE115*(1+'Calc base'!S116),2)-MAX('Calc base'!N$12,ROUND('Calc base'!N$13*BE115,2))&lt;1,ROUND(BE115*(1+'Calc base'!S116),2),MAX('Calc base'!N$12,ROUND('Calc base'!N$13*BE115,2))))</f>
        <v>0</v>
      </c>
      <c r="V116">
        <f>MAX(0,ROUND(AT115*(1+'Calc base'!H116),2)-J116-'Calc base'!T116)</f>
        <v>0</v>
      </c>
      <c r="W116">
        <f>MAX(0,ROUND(AU115*(1+'Calc base'!I116),2)-K116-'Calc base'!U116)</f>
        <v>0</v>
      </c>
      <c r="X116">
        <f>MAX(0,ROUND(AV115*(1+'Calc base'!J116),2)-L116-'Calc base'!V116)</f>
        <v>0</v>
      </c>
      <c r="Y116">
        <f>MAX(0,ROUND(AW115*(1+'Calc base'!K116),2)-M116-'Calc base'!W116)</f>
        <v>0</v>
      </c>
      <c r="Z116">
        <f>MAX(0,ROUND(AX115*(1+'Calc base'!L116),2)-N116-'Calc base'!X116)</f>
        <v>0</v>
      </c>
      <c r="AA116">
        <f>MAX(0,ROUND(AY115*(1+'Calc base'!M116),2)-O116-'Calc base'!Y116)</f>
        <v>0</v>
      </c>
      <c r="AB116">
        <f>MAX(0,ROUND(AZ115*(1+'Calc base'!N116),2)-P116-'Calc base'!Z116)</f>
        <v>0</v>
      </c>
      <c r="AC116">
        <f>MAX(0,ROUND(BA115*(1+'Calc base'!O116),2)-Q116-'Calc base'!AA116)</f>
        <v>0</v>
      </c>
      <c r="AD116">
        <f>MAX(0,ROUND(BB115*(1+'Calc base'!P116),2)-R116-'Calc base'!AB116)</f>
        <v>0</v>
      </c>
      <c r="AE116">
        <f>MAX(0,ROUND(BC115*(1+'Calc base'!Q116),2)-S116-'Calc base'!AC116)</f>
        <v>0</v>
      </c>
      <c r="AF116">
        <f>MAX(0,ROUND(BD115*(1+'Calc base'!R116),2)-T116-'Calc base'!AD116)</f>
        <v>0</v>
      </c>
      <c r="AG116">
        <f>MAX(0,ROUND(BE115*(1+'Calc base'!S116),2)-U116-'Calc base'!AE116)</f>
        <v>0</v>
      </c>
      <c r="AH116">
        <f>IF('Calc base'!C$14=0,0,MIN(V116,MAX(0,$E116-SUMIFS($V116:$AG116,'Calc base'!$C$19:$N$19,"&lt;"&amp;'Calc base'!C$19,'Calc base'!$C$14:$N$14,1))))</f>
        <v>0</v>
      </c>
      <c r="AI116">
        <f>IF('Calc base'!D$14=0,0,MIN(W116,MAX(0,$E116-SUMIFS($V116:$AG116,'Calc base'!$C$19:$N$19,"&lt;"&amp;'Calc base'!D$19,'Calc base'!$C$14:$N$14,1))))</f>
        <v>0</v>
      </c>
      <c r="AJ116">
        <f>IF('Calc base'!E$14=0,0,MIN(X116,MAX(0,$E116-SUMIFS($V116:$AG116,'Calc base'!$C$19:$N$19,"&lt;"&amp;'Calc base'!E$19,'Calc base'!$C$14:$N$14,1))))</f>
        <v>0</v>
      </c>
      <c r="AK116">
        <f>IF('Calc base'!F$14=0,0,MIN(Y116,MAX(0,$E116-SUMIFS($V116:$AG116,'Calc base'!$C$19:$N$19,"&lt;"&amp;'Calc base'!F$19,'Calc base'!$C$14:$N$14,1))))</f>
        <v>0</v>
      </c>
      <c r="AL116">
        <f>IF('Calc base'!G$14=0,0,MIN(Z116,MAX(0,$E116-SUMIFS($V116:$AG116,'Calc base'!$C$19:$N$19,"&lt;"&amp;'Calc base'!G$19,'Calc base'!$C$14:$N$14,1))))</f>
        <v>0</v>
      </c>
      <c r="AM116">
        <f>IF('Calc base'!H$14=0,0,MIN(AA116,MAX(0,$E116-SUMIFS($V116:$AG116,'Calc base'!$C$19:$N$19,"&lt;"&amp;'Calc base'!H$19,'Calc base'!$C$14:$N$14,1))))</f>
        <v>0</v>
      </c>
      <c r="AN116">
        <f>IF('Calc base'!I$14=0,0,MIN(AB116,MAX(0,$E116-SUMIFS($V116:$AG116,'Calc base'!$C$19:$N$19,"&lt;"&amp;'Calc base'!I$19,'Calc base'!$C$14:$N$14,1))))</f>
        <v>0</v>
      </c>
      <c r="AO116">
        <f>IF('Calc base'!J$14=0,0,MIN(AC116,MAX(0,$E116-SUMIFS($V116:$AG116,'Calc base'!$C$19:$N$19,"&lt;"&amp;'Calc base'!J$19,'Calc base'!$C$14:$N$14,1))))</f>
        <v>0</v>
      </c>
      <c r="AP116">
        <f>IF('Calc base'!K$14=0,0,MIN(AD116,MAX(0,$E116-SUMIFS($V116:$AG116,'Calc base'!$C$19:$N$19,"&lt;"&amp;'Calc base'!K$19,'Calc base'!$C$14:$N$14,1))))</f>
        <v>0</v>
      </c>
      <c r="AQ116">
        <f>IF('Calc base'!L$14=0,0,MIN(AE116,MAX(0,$E116-SUMIFS($V116:$AG116,'Calc base'!$C$19:$N$19,"&lt;"&amp;'Calc base'!L$19,'Calc base'!$C$14:$N$14,1))))</f>
        <v>0</v>
      </c>
      <c r="AR116">
        <f>IF('Calc base'!M$14=0,0,MIN(AF116,MAX(0,$E116-SUMIFS($V116:$AG116,'Calc base'!$C$19:$N$19,"&lt;"&amp;'Calc base'!M$19,'Calc base'!$C$14:$N$14,1))))</f>
        <v>0</v>
      </c>
      <c r="AS116">
        <f>IF('Calc base'!N$14=0,0,MIN(AG116,MAX(0,$E116-SUMIFS($V116:$AG116,'Calc base'!$C$19:$N$19,"&lt;"&amp;'Calc base'!N$19,'Calc base'!$C$14:$N$14,1))))</f>
        <v>0</v>
      </c>
      <c r="AT116">
        <f>V116-AH116</f>
        <v>0</v>
      </c>
      <c r="AU116">
        <f>W116-AI116</f>
        <v>0</v>
      </c>
      <c r="AV116">
        <f>X116-AJ116</f>
        <v>0</v>
      </c>
      <c r="AW116">
        <f>Y116-AK116</f>
        <v>0</v>
      </c>
      <c r="AX116">
        <f>Z116-AL116</f>
        <v>0</v>
      </c>
      <c r="AY116">
        <f>AA116-AM116</f>
        <v>0</v>
      </c>
      <c r="AZ116">
        <f>AB116-AN116</f>
        <v>0</v>
      </c>
      <c r="BA116">
        <f>AC116-AO116</f>
        <v>0</v>
      </c>
      <c r="BB116">
        <f>AD116-AP116</f>
        <v>0</v>
      </c>
      <c r="BC116">
        <f>AE116-AQ116</f>
        <v>0</v>
      </c>
      <c r="BD116">
        <f>AF116-AR116</f>
        <v>0</v>
      </c>
      <c r="BE116">
        <f>AG116-AS116</f>
        <v>0</v>
      </c>
    </row>
    <row r="117">
      <c r="A117" t="n">
        <v>87</v>
      </c>
      <c r="B117">
        <f>SUMPRODUCT(ROUND($AT116:$BE116*(1+'Calc base'!$H117:$S117),2))</f>
        <v>0</v>
      </c>
      <c r="C117">
        <f>SUM(J117:U117)</f>
        <v>0</v>
      </c>
      <c r="D117">
        <f>SUM(V117:AG117)</f>
        <v>0</v>
      </c>
      <c r="E117">
        <f>MAX(0,IF(Impostazioni!$B$7="No",'Calc base'!$C117-$C$31,'Calc base'!$C117-C117)+'Calc base'!$G117+'Calc base'!$F117-(B117-C117-D117))</f>
        <v>900</v>
      </c>
      <c r="F117">
        <f>SUM(AH117:AS117)</f>
        <v>0</v>
      </c>
      <c r="G117">
        <f>SUM(AT117:BE117)</f>
        <v>0</v>
      </c>
      <c r="H117">
        <f>B117-G116</f>
        <v>0</v>
      </c>
      <c r="I117">
        <f>B117-G117</f>
        <v>0</v>
      </c>
      <c r="J117">
        <f>IF(AT116&lt;=0,0,IF(ROUND(AT116*(1+'Calc base'!H117),2)-MAX('Calc base'!C$12,ROUND('Calc base'!C$13*AT116,2))&lt;1,ROUND(AT116*(1+'Calc base'!H117),2),MAX('Calc base'!C$12,ROUND('Calc base'!C$13*AT116,2))))</f>
        <v>0</v>
      </c>
      <c r="K117">
        <f>IF(AU116&lt;=0,0,IF(ROUND(AU116*(1+'Calc base'!I117),2)-MAX('Calc base'!D$12,ROUND('Calc base'!D$13*AU116,2))&lt;1,ROUND(AU116*(1+'Calc base'!I117),2),MAX('Calc base'!D$12,ROUND('Calc base'!D$13*AU116,2))))</f>
        <v>0</v>
      </c>
      <c r="L117">
        <f>IF(AV116&lt;=0,0,IF(ROUND(AV116*(1+'Calc base'!J117),2)-MAX('Calc base'!E$12,ROUND('Calc base'!E$13*AV116,2))&lt;1,ROUND(AV116*(1+'Calc base'!J117),2),MAX('Calc base'!E$12,ROUND('Calc base'!E$13*AV116,2))))</f>
        <v>0</v>
      </c>
      <c r="M117">
        <f>IF(AW116&lt;=0,0,IF(ROUND(AW116*(1+'Calc base'!K117),2)-MAX('Calc base'!F$12,ROUND('Calc base'!F$13*AW116,2))&lt;1,ROUND(AW116*(1+'Calc base'!K117),2),MAX('Calc base'!F$12,ROUND('Calc base'!F$13*AW116,2))))</f>
        <v>0</v>
      </c>
      <c r="N117">
        <f>IF(AX116&lt;=0,0,IF(ROUND(AX116*(1+'Calc base'!L117),2)-MAX('Calc base'!G$12,ROUND('Calc base'!G$13*AX116,2))&lt;1,ROUND(AX116*(1+'Calc base'!L117),2),MAX('Calc base'!G$12,ROUND('Calc base'!G$13*AX116,2))))</f>
        <v>0</v>
      </c>
      <c r="O117">
        <f>IF(AY116&lt;=0,0,IF(ROUND(AY116*(1+'Calc base'!M117),2)-MAX('Calc base'!H$12,ROUND('Calc base'!H$13*AY116,2))&lt;1,ROUND(AY116*(1+'Calc base'!M117),2),MAX('Calc base'!H$12,ROUND('Calc base'!H$13*AY116,2))))</f>
        <v>0</v>
      </c>
      <c r="P117">
        <f>IF(AZ116&lt;=0,0,IF(ROUND(AZ116*(1+'Calc base'!N117),2)-MAX('Calc base'!I$12,ROUND('Calc base'!I$13*AZ116,2))&lt;1,ROUND(AZ116*(1+'Calc base'!N117),2),MAX('Calc base'!I$12,ROUND('Calc base'!I$13*AZ116,2))))</f>
        <v>0</v>
      </c>
      <c r="Q117">
        <f>IF(BA116&lt;=0,0,IF(ROUND(BA116*(1+'Calc base'!O117),2)-MAX('Calc base'!J$12,ROUND('Calc base'!J$13*BA116,2))&lt;1,ROUND(BA116*(1+'Calc base'!O117),2),MAX('Calc base'!J$12,ROUND('Calc base'!J$13*BA116,2))))</f>
        <v>0</v>
      </c>
      <c r="R117">
        <f>IF(BB116&lt;=0,0,IF(ROUND(BB116*(1+'Calc base'!P117),2)-MAX('Calc base'!K$12,ROUND('Calc base'!K$13*BB116,2))&lt;1,ROUND(BB116*(1+'Calc base'!P117),2),MAX('Calc base'!K$12,ROUND('Calc base'!K$13*BB116,2))))</f>
        <v>0</v>
      </c>
      <c r="S117">
        <f>IF(BC116&lt;=0,0,IF(ROUND(BC116*(1+'Calc base'!Q117),2)-MAX('Calc base'!L$12,ROUND('Calc base'!L$13*BC116,2))&lt;1,ROUND(BC116*(1+'Calc base'!Q117),2),MAX('Calc base'!L$12,ROUND('Calc base'!L$13*BC116,2))))</f>
        <v>0</v>
      </c>
      <c r="T117">
        <f>IF(BD116&lt;=0,0,IF(ROUND(BD116*(1+'Calc base'!R117),2)-MAX('Calc base'!M$12,ROUND('Calc base'!M$13*BD116,2))&lt;1,ROUND(BD116*(1+'Calc base'!R117),2),MAX('Calc base'!M$12,ROUND('Calc base'!M$13*BD116,2))))</f>
        <v>0</v>
      </c>
      <c r="U117">
        <f>IF(BE116&lt;=0,0,IF(ROUND(BE116*(1+'Calc base'!S117),2)-MAX('Calc base'!N$12,ROUND('Calc base'!N$13*BE116,2))&lt;1,ROUND(BE116*(1+'Calc base'!S117),2),MAX('Calc base'!N$12,ROUND('Calc base'!N$13*BE116,2))))</f>
        <v>0</v>
      </c>
      <c r="V117">
        <f>MAX(0,ROUND(AT116*(1+'Calc base'!H117),2)-J117-'Calc base'!T117)</f>
        <v>0</v>
      </c>
      <c r="W117">
        <f>MAX(0,ROUND(AU116*(1+'Calc base'!I117),2)-K117-'Calc base'!U117)</f>
        <v>0</v>
      </c>
      <c r="X117">
        <f>MAX(0,ROUND(AV116*(1+'Calc base'!J117),2)-L117-'Calc base'!V117)</f>
        <v>0</v>
      </c>
      <c r="Y117">
        <f>MAX(0,ROUND(AW116*(1+'Calc base'!K117),2)-M117-'Calc base'!W117)</f>
        <v>0</v>
      </c>
      <c r="Z117">
        <f>MAX(0,ROUND(AX116*(1+'Calc base'!L117),2)-N117-'Calc base'!X117)</f>
        <v>0</v>
      </c>
      <c r="AA117">
        <f>MAX(0,ROUND(AY116*(1+'Calc base'!M117),2)-O117-'Calc base'!Y117)</f>
        <v>0</v>
      </c>
      <c r="AB117">
        <f>MAX(0,ROUND(AZ116*(1+'Calc base'!N117),2)-P117-'Calc base'!Z117)</f>
        <v>0</v>
      </c>
      <c r="AC117">
        <f>MAX(0,ROUND(BA116*(1+'Calc base'!O117),2)-Q117-'Calc base'!AA117)</f>
        <v>0</v>
      </c>
      <c r="AD117">
        <f>MAX(0,ROUND(BB116*(1+'Calc base'!P117),2)-R117-'Calc base'!AB117)</f>
        <v>0</v>
      </c>
      <c r="AE117">
        <f>MAX(0,ROUND(BC116*(1+'Calc base'!Q117),2)-S117-'Calc base'!AC117)</f>
        <v>0</v>
      </c>
      <c r="AF117">
        <f>MAX(0,ROUND(BD116*(1+'Calc base'!R117),2)-T117-'Calc base'!AD117)</f>
        <v>0</v>
      </c>
      <c r="AG117">
        <f>MAX(0,ROUND(BE116*(1+'Calc base'!S117),2)-U117-'Calc base'!AE117)</f>
        <v>0</v>
      </c>
      <c r="AH117">
        <f>IF('Calc base'!C$14=0,0,MIN(V117,MAX(0,$E117-SUMIFS($V117:$AG117,'Calc base'!$C$19:$N$19,"&lt;"&amp;'Calc base'!C$19,'Calc base'!$C$14:$N$14,1))))</f>
        <v>0</v>
      </c>
      <c r="AI117">
        <f>IF('Calc base'!D$14=0,0,MIN(W117,MAX(0,$E117-SUMIFS($V117:$AG117,'Calc base'!$C$19:$N$19,"&lt;"&amp;'Calc base'!D$19,'Calc base'!$C$14:$N$14,1))))</f>
        <v>0</v>
      </c>
      <c r="AJ117">
        <f>IF('Calc base'!E$14=0,0,MIN(X117,MAX(0,$E117-SUMIFS($V117:$AG117,'Calc base'!$C$19:$N$19,"&lt;"&amp;'Calc base'!E$19,'Calc base'!$C$14:$N$14,1))))</f>
        <v>0</v>
      </c>
      <c r="AK117">
        <f>IF('Calc base'!F$14=0,0,MIN(Y117,MAX(0,$E117-SUMIFS($V117:$AG117,'Calc base'!$C$19:$N$19,"&lt;"&amp;'Calc base'!F$19,'Calc base'!$C$14:$N$14,1))))</f>
        <v>0</v>
      </c>
      <c r="AL117">
        <f>IF('Calc base'!G$14=0,0,MIN(Z117,MAX(0,$E117-SUMIFS($V117:$AG117,'Calc base'!$C$19:$N$19,"&lt;"&amp;'Calc base'!G$19,'Calc base'!$C$14:$N$14,1))))</f>
        <v>0</v>
      </c>
      <c r="AM117">
        <f>IF('Calc base'!H$14=0,0,MIN(AA117,MAX(0,$E117-SUMIFS($V117:$AG117,'Calc base'!$C$19:$N$19,"&lt;"&amp;'Calc base'!H$19,'Calc base'!$C$14:$N$14,1))))</f>
        <v>0</v>
      </c>
      <c r="AN117">
        <f>IF('Calc base'!I$14=0,0,MIN(AB117,MAX(0,$E117-SUMIFS($V117:$AG117,'Calc base'!$C$19:$N$19,"&lt;"&amp;'Calc base'!I$19,'Calc base'!$C$14:$N$14,1))))</f>
        <v>0</v>
      </c>
      <c r="AO117">
        <f>IF('Calc base'!J$14=0,0,MIN(AC117,MAX(0,$E117-SUMIFS($V117:$AG117,'Calc base'!$C$19:$N$19,"&lt;"&amp;'Calc base'!J$19,'Calc base'!$C$14:$N$14,1))))</f>
        <v>0</v>
      </c>
      <c r="AP117">
        <f>IF('Calc base'!K$14=0,0,MIN(AD117,MAX(0,$E117-SUMIFS($V117:$AG117,'Calc base'!$C$19:$N$19,"&lt;"&amp;'Calc base'!K$19,'Calc base'!$C$14:$N$14,1))))</f>
        <v>0</v>
      </c>
      <c r="AQ117">
        <f>IF('Calc base'!L$14=0,0,MIN(AE117,MAX(0,$E117-SUMIFS($V117:$AG117,'Calc base'!$C$19:$N$19,"&lt;"&amp;'Calc base'!L$19,'Calc base'!$C$14:$N$14,1))))</f>
        <v>0</v>
      </c>
      <c r="AR117">
        <f>IF('Calc base'!M$14=0,0,MIN(AF117,MAX(0,$E117-SUMIFS($V117:$AG117,'Calc base'!$C$19:$N$19,"&lt;"&amp;'Calc base'!M$19,'Calc base'!$C$14:$N$14,1))))</f>
        <v>0</v>
      </c>
      <c r="AS117">
        <f>IF('Calc base'!N$14=0,0,MIN(AG117,MAX(0,$E117-SUMIFS($V117:$AG117,'Calc base'!$C$19:$N$19,"&lt;"&amp;'Calc base'!N$19,'Calc base'!$C$14:$N$14,1))))</f>
        <v>0</v>
      </c>
      <c r="AT117">
        <f>V117-AH117</f>
        <v>0</v>
      </c>
      <c r="AU117">
        <f>W117-AI117</f>
        <v>0</v>
      </c>
      <c r="AV117">
        <f>X117-AJ117</f>
        <v>0</v>
      </c>
      <c r="AW117">
        <f>Y117-AK117</f>
        <v>0</v>
      </c>
      <c r="AX117">
        <f>Z117-AL117</f>
        <v>0</v>
      </c>
      <c r="AY117">
        <f>AA117-AM117</f>
        <v>0</v>
      </c>
      <c r="AZ117">
        <f>AB117-AN117</f>
        <v>0</v>
      </c>
      <c r="BA117">
        <f>AC117-AO117</f>
        <v>0</v>
      </c>
      <c r="BB117">
        <f>AD117-AP117</f>
        <v>0</v>
      </c>
      <c r="BC117">
        <f>AE117-AQ117</f>
        <v>0</v>
      </c>
      <c r="BD117">
        <f>AF117-AR117</f>
        <v>0</v>
      </c>
      <c r="BE117">
        <f>AG117-AS117</f>
        <v>0</v>
      </c>
    </row>
    <row r="118">
      <c r="A118" t="n">
        <v>88</v>
      </c>
      <c r="B118">
        <f>SUMPRODUCT(ROUND($AT117:$BE117*(1+'Calc base'!$H118:$S118),2))</f>
        <v>0</v>
      </c>
      <c r="C118">
        <f>SUM(J118:U118)</f>
        <v>0</v>
      </c>
      <c r="D118">
        <f>SUM(V118:AG118)</f>
        <v>0</v>
      </c>
      <c r="E118">
        <f>MAX(0,IF(Impostazioni!$B$7="No",'Calc base'!$C118-$C$31,'Calc base'!$C118-C118)+'Calc base'!$G118+'Calc base'!$F118-(B118-C118-D118))</f>
        <v>900</v>
      </c>
      <c r="F118">
        <f>SUM(AH118:AS118)</f>
        <v>0</v>
      </c>
      <c r="G118">
        <f>SUM(AT118:BE118)</f>
        <v>0</v>
      </c>
      <c r="H118">
        <f>B118-G117</f>
        <v>0</v>
      </c>
      <c r="I118">
        <f>B118-G118</f>
        <v>0</v>
      </c>
      <c r="J118">
        <f>IF(AT117&lt;=0,0,IF(ROUND(AT117*(1+'Calc base'!H118),2)-MAX('Calc base'!C$12,ROUND('Calc base'!C$13*AT117,2))&lt;1,ROUND(AT117*(1+'Calc base'!H118),2),MAX('Calc base'!C$12,ROUND('Calc base'!C$13*AT117,2))))</f>
        <v>0</v>
      </c>
      <c r="K118">
        <f>IF(AU117&lt;=0,0,IF(ROUND(AU117*(1+'Calc base'!I118),2)-MAX('Calc base'!D$12,ROUND('Calc base'!D$13*AU117,2))&lt;1,ROUND(AU117*(1+'Calc base'!I118),2),MAX('Calc base'!D$12,ROUND('Calc base'!D$13*AU117,2))))</f>
        <v>0</v>
      </c>
      <c r="L118">
        <f>IF(AV117&lt;=0,0,IF(ROUND(AV117*(1+'Calc base'!J118),2)-MAX('Calc base'!E$12,ROUND('Calc base'!E$13*AV117,2))&lt;1,ROUND(AV117*(1+'Calc base'!J118),2),MAX('Calc base'!E$12,ROUND('Calc base'!E$13*AV117,2))))</f>
        <v>0</v>
      </c>
      <c r="M118">
        <f>IF(AW117&lt;=0,0,IF(ROUND(AW117*(1+'Calc base'!K118),2)-MAX('Calc base'!F$12,ROUND('Calc base'!F$13*AW117,2))&lt;1,ROUND(AW117*(1+'Calc base'!K118),2),MAX('Calc base'!F$12,ROUND('Calc base'!F$13*AW117,2))))</f>
        <v>0</v>
      </c>
      <c r="N118">
        <f>IF(AX117&lt;=0,0,IF(ROUND(AX117*(1+'Calc base'!L118),2)-MAX('Calc base'!G$12,ROUND('Calc base'!G$13*AX117,2))&lt;1,ROUND(AX117*(1+'Calc base'!L118),2),MAX('Calc base'!G$12,ROUND('Calc base'!G$13*AX117,2))))</f>
        <v>0</v>
      </c>
      <c r="O118">
        <f>IF(AY117&lt;=0,0,IF(ROUND(AY117*(1+'Calc base'!M118),2)-MAX('Calc base'!H$12,ROUND('Calc base'!H$13*AY117,2))&lt;1,ROUND(AY117*(1+'Calc base'!M118),2),MAX('Calc base'!H$12,ROUND('Calc base'!H$13*AY117,2))))</f>
        <v>0</v>
      </c>
      <c r="P118">
        <f>IF(AZ117&lt;=0,0,IF(ROUND(AZ117*(1+'Calc base'!N118),2)-MAX('Calc base'!I$12,ROUND('Calc base'!I$13*AZ117,2))&lt;1,ROUND(AZ117*(1+'Calc base'!N118),2),MAX('Calc base'!I$12,ROUND('Calc base'!I$13*AZ117,2))))</f>
        <v>0</v>
      </c>
      <c r="Q118">
        <f>IF(BA117&lt;=0,0,IF(ROUND(BA117*(1+'Calc base'!O118),2)-MAX('Calc base'!J$12,ROUND('Calc base'!J$13*BA117,2))&lt;1,ROUND(BA117*(1+'Calc base'!O118),2),MAX('Calc base'!J$12,ROUND('Calc base'!J$13*BA117,2))))</f>
        <v>0</v>
      </c>
      <c r="R118">
        <f>IF(BB117&lt;=0,0,IF(ROUND(BB117*(1+'Calc base'!P118),2)-MAX('Calc base'!K$12,ROUND('Calc base'!K$13*BB117,2))&lt;1,ROUND(BB117*(1+'Calc base'!P118),2),MAX('Calc base'!K$12,ROUND('Calc base'!K$13*BB117,2))))</f>
        <v>0</v>
      </c>
      <c r="S118">
        <f>IF(BC117&lt;=0,0,IF(ROUND(BC117*(1+'Calc base'!Q118),2)-MAX('Calc base'!L$12,ROUND('Calc base'!L$13*BC117,2))&lt;1,ROUND(BC117*(1+'Calc base'!Q118),2),MAX('Calc base'!L$12,ROUND('Calc base'!L$13*BC117,2))))</f>
        <v>0</v>
      </c>
      <c r="T118">
        <f>IF(BD117&lt;=0,0,IF(ROUND(BD117*(1+'Calc base'!R118),2)-MAX('Calc base'!M$12,ROUND('Calc base'!M$13*BD117,2))&lt;1,ROUND(BD117*(1+'Calc base'!R118),2),MAX('Calc base'!M$12,ROUND('Calc base'!M$13*BD117,2))))</f>
        <v>0</v>
      </c>
      <c r="U118">
        <f>IF(BE117&lt;=0,0,IF(ROUND(BE117*(1+'Calc base'!S118),2)-MAX('Calc base'!N$12,ROUND('Calc base'!N$13*BE117,2))&lt;1,ROUND(BE117*(1+'Calc base'!S118),2),MAX('Calc base'!N$12,ROUND('Calc base'!N$13*BE117,2))))</f>
        <v>0</v>
      </c>
      <c r="V118">
        <f>MAX(0,ROUND(AT117*(1+'Calc base'!H118),2)-J118-'Calc base'!T118)</f>
        <v>0</v>
      </c>
      <c r="W118">
        <f>MAX(0,ROUND(AU117*(1+'Calc base'!I118),2)-K118-'Calc base'!U118)</f>
        <v>0</v>
      </c>
      <c r="X118">
        <f>MAX(0,ROUND(AV117*(1+'Calc base'!J118),2)-L118-'Calc base'!V118)</f>
        <v>0</v>
      </c>
      <c r="Y118">
        <f>MAX(0,ROUND(AW117*(1+'Calc base'!K118),2)-M118-'Calc base'!W118)</f>
        <v>0</v>
      </c>
      <c r="Z118">
        <f>MAX(0,ROUND(AX117*(1+'Calc base'!L118),2)-N118-'Calc base'!X118)</f>
        <v>0</v>
      </c>
      <c r="AA118">
        <f>MAX(0,ROUND(AY117*(1+'Calc base'!M118),2)-O118-'Calc base'!Y118)</f>
        <v>0</v>
      </c>
      <c r="AB118">
        <f>MAX(0,ROUND(AZ117*(1+'Calc base'!N118),2)-P118-'Calc base'!Z118)</f>
        <v>0</v>
      </c>
      <c r="AC118">
        <f>MAX(0,ROUND(BA117*(1+'Calc base'!O118),2)-Q118-'Calc base'!AA118)</f>
        <v>0</v>
      </c>
      <c r="AD118">
        <f>MAX(0,ROUND(BB117*(1+'Calc base'!P118),2)-R118-'Calc base'!AB118)</f>
        <v>0</v>
      </c>
      <c r="AE118">
        <f>MAX(0,ROUND(BC117*(1+'Calc base'!Q118),2)-S118-'Calc base'!AC118)</f>
        <v>0</v>
      </c>
      <c r="AF118">
        <f>MAX(0,ROUND(BD117*(1+'Calc base'!R118),2)-T118-'Calc base'!AD118)</f>
        <v>0</v>
      </c>
      <c r="AG118">
        <f>MAX(0,ROUND(BE117*(1+'Calc base'!S118),2)-U118-'Calc base'!AE118)</f>
        <v>0</v>
      </c>
      <c r="AH118">
        <f>IF('Calc base'!C$14=0,0,MIN(V118,MAX(0,$E118-SUMIFS($V118:$AG118,'Calc base'!$C$19:$N$19,"&lt;"&amp;'Calc base'!C$19,'Calc base'!$C$14:$N$14,1))))</f>
        <v>0</v>
      </c>
      <c r="AI118">
        <f>IF('Calc base'!D$14=0,0,MIN(W118,MAX(0,$E118-SUMIFS($V118:$AG118,'Calc base'!$C$19:$N$19,"&lt;"&amp;'Calc base'!D$19,'Calc base'!$C$14:$N$14,1))))</f>
        <v>0</v>
      </c>
      <c r="AJ118">
        <f>IF('Calc base'!E$14=0,0,MIN(X118,MAX(0,$E118-SUMIFS($V118:$AG118,'Calc base'!$C$19:$N$19,"&lt;"&amp;'Calc base'!E$19,'Calc base'!$C$14:$N$14,1))))</f>
        <v>0</v>
      </c>
      <c r="AK118">
        <f>IF('Calc base'!F$14=0,0,MIN(Y118,MAX(0,$E118-SUMIFS($V118:$AG118,'Calc base'!$C$19:$N$19,"&lt;"&amp;'Calc base'!F$19,'Calc base'!$C$14:$N$14,1))))</f>
        <v>0</v>
      </c>
      <c r="AL118">
        <f>IF('Calc base'!G$14=0,0,MIN(Z118,MAX(0,$E118-SUMIFS($V118:$AG118,'Calc base'!$C$19:$N$19,"&lt;"&amp;'Calc base'!G$19,'Calc base'!$C$14:$N$14,1))))</f>
        <v>0</v>
      </c>
      <c r="AM118">
        <f>IF('Calc base'!H$14=0,0,MIN(AA118,MAX(0,$E118-SUMIFS($V118:$AG118,'Calc base'!$C$19:$N$19,"&lt;"&amp;'Calc base'!H$19,'Calc base'!$C$14:$N$14,1))))</f>
        <v>0</v>
      </c>
      <c r="AN118">
        <f>IF('Calc base'!I$14=0,0,MIN(AB118,MAX(0,$E118-SUMIFS($V118:$AG118,'Calc base'!$C$19:$N$19,"&lt;"&amp;'Calc base'!I$19,'Calc base'!$C$14:$N$14,1))))</f>
        <v>0</v>
      </c>
      <c r="AO118">
        <f>IF('Calc base'!J$14=0,0,MIN(AC118,MAX(0,$E118-SUMIFS($V118:$AG118,'Calc base'!$C$19:$N$19,"&lt;"&amp;'Calc base'!J$19,'Calc base'!$C$14:$N$14,1))))</f>
        <v>0</v>
      </c>
      <c r="AP118">
        <f>IF('Calc base'!K$14=0,0,MIN(AD118,MAX(0,$E118-SUMIFS($V118:$AG118,'Calc base'!$C$19:$N$19,"&lt;"&amp;'Calc base'!K$19,'Calc base'!$C$14:$N$14,1))))</f>
        <v>0</v>
      </c>
      <c r="AQ118">
        <f>IF('Calc base'!L$14=0,0,MIN(AE118,MAX(0,$E118-SUMIFS($V118:$AG118,'Calc base'!$C$19:$N$19,"&lt;"&amp;'Calc base'!L$19,'Calc base'!$C$14:$N$14,1))))</f>
        <v>0</v>
      </c>
      <c r="AR118">
        <f>IF('Calc base'!M$14=0,0,MIN(AF118,MAX(0,$E118-SUMIFS($V118:$AG118,'Calc base'!$C$19:$N$19,"&lt;"&amp;'Calc base'!M$19,'Calc base'!$C$14:$N$14,1))))</f>
        <v>0</v>
      </c>
      <c r="AS118">
        <f>IF('Calc base'!N$14=0,0,MIN(AG118,MAX(0,$E118-SUMIFS($V118:$AG118,'Calc base'!$C$19:$N$19,"&lt;"&amp;'Calc base'!N$19,'Calc base'!$C$14:$N$14,1))))</f>
        <v>0</v>
      </c>
      <c r="AT118">
        <f>V118-AH118</f>
        <v>0</v>
      </c>
      <c r="AU118">
        <f>W118-AI118</f>
        <v>0</v>
      </c>
      <c r="AV118">
        <f>X118-AJ118</f>
        <v>0</v>
      </c>
      <c r="AW118">
        <f>Y118-AK118</f>
        <v>0</v>
      </c>
      <c r="AX118">
        <f>Z118-AL118</f>
        <v>0</v>
      </c>
      <c r="AY118">
        <f>AA118-AM118</f>
        <v>0</v>
      </c>
      <c r="AZ118">
        <f>AB118-AN118</f>
        <v>0</v>
      </c>
      <c r="BA118">
        <f>AC118-AO118</f>
        <v>0</v>
      </c>
      <c r="BB118">
        <f>AD118-AP118</f>
        <v>0</v>
      </c>
      <c r="BC118">
        <f>AE118-AQ118</f>
        <v>0</v>
      </c>
      <c r="BD118">
        <f>AF118-AR118</f>
        <v>0</v>
      </c>
      <c r="BE118">
        <f>AG118-AS118</f>
        <v>0</v>
      </c>
    </row>
    <row r="119">
      <c r="A119" t="n">
        <v>89</v>
      </c>
      <c r="B119">
        <f>SUMPRODUCT(ROUND($AT118:$BE118*(1+'Calc base'!$H119:$S119),2))</f>
        <v>0</v>
      </c>
      <c r="C119">
        <f>SUM(J119:U119)</f>
        <v>0</v>
      </c>
      <c r="D119">
        <f>SUM(V119:AG119)</f>
        <v>0</v>
      </c>
      <c r="E119">
        <f>MAX(0,IF(Impostazioni!$B$7="No",'Calc base'!$C119-$C$31,'Calc base'!$C119-C119)+'Calc base'!$G119+'Calc base'!$F119-(B119-C119-D119))</f>
        <v>900</v>
      </c>
      <c r="F119">
        <f>SUM(AH119:AS119)</f>
        <v>0</v>
      </c>
      <c r="G119">
        <f>SUM(AT119:BE119)</f>
        <v>0</v>
      </c>
      <c r="H119">
        <f>B119-G118</f>
        <v>0</v>
      </c>
      <c r="I119">
        <f>B119-G119</f>
        <v>0</v>
      </c>
      <c r="J119">
        <f>IF(AT118&lt;=0,0,IF(ROUND(AT118*(1+'Calc base'!H119),2)-MAX('Calc base'!C$12,ROUND('Calc base'!C$13*AT118,2))&lt;1,ROUND(AT118*(1+'Calc base'!H119),2),MAX('Calc base'!C$12,ROUND('Calc base'!C$13*AT118,2))))</f>
        <v>0</v>
      </c>
      <c r="K119">
        <f>IF(AU118&lt;=0,0,IF(ROUND(AU118*(1+'Calc base'!I119),2)-MAX('Calc base'!D$12,ROUND('Calc base'!D$13*AU118,2))&lt;1,ROUND(AU118*(1+'Calc base'!I119),2),MAX('Calc base'!D$12,ROUND('Calc base'!D$13*AU118,2))))</f>
        <v>0</v>
      </c>
      <c r="L119">
        <f>IF(AV118&lt;=0,0,IF(ROUND(AV118*(1+'Calc base'!J119),2)-MAX('Calc base'!E$12,ROUND('Calc base'!E$13*AV118,2))&lt;1,ROUND(AV118*(1+'Calc base'!J119),2),MAX('Calc base'!E$12,ROUND('Calc base'!E$13*AV118,2))))</f>
        <v>0</v>
      </c>
      <c r="M119">
        <f>IF(AW118&lt;=0,0,IF(ROUND(AW118*(1+'Calc base'!K119),2)-MAX('Calc base'!F$12,ROUND('Calc base'!F$13*AW118,2))&lt;1,ROUND(AW118*(1+'Calc base'!K119),2),MAX('Calc base'!F$12,ROUND('Calc base'!F$13*AW118,2))))</f>
        <v>0</v>
      </c>
      <c r="N119">
        <f>IF(AX118&lt;=0,0,IF(ROUND(AX118*(1+'Calc base'!L119),2)-MAX('Calc base'!G$12,ROUND('Calc base'!G$13*AX118,2))&lt;1,ROUND(AX118*(1+'Calc base'!L119),2),MAX('Calc base'!G$12,ROUND('Calc base'!G$13*AX118,2))))</f>
        <v>0</v>
      </c>
      <c r="O119">
        <f>IF(AY118&lt;=0,0,IF(ROUND(AY118*(1+'Calc base'!M119),2)-MAX('Calc base'!H$12,ROUND('Calc base'!H$13*AY118,2))&lt;1,ROUND(AY118*(1+'Calc base'!M119),2),MAX('Calc base'!H$12,ROUND('Calc base'!H$13*AY118,2))))</f>
        <v>0</v>
      </c>
      <c r="P119">
        <f>IF(AZ118&lt;=0,0,IF(ROUND(AZ118*(1+'Calc base'!N119),2)-MAX('Calc base'!I$12,ROUND('Calc base'!I$13*AZ118,2))&lt;1,ROUND(AZ118*(1+'Calc base'!N119),2),MAX('Calc base'!I$12,ROUND('Calc base'!I$13*AZ118,2))))</f>
        <v>0</v>
      </c>
      <c r="Q119">
        <f>IF(BA118&lt;=0,0,IF(ROUND(BA118*(1+'Calc base'!O119),2)-MAX('Calc base'!J$12,ROUND('Calc base'!J$13*BA118,2))&lt;1,ROUND(BA118*(1+'Calc base'!O119),2),MAX('Calc base'!J$12,ROUND('Calc base'!J$13*BA118,2))))</f>
        <v>0</v>
      </c>
      <c r="R119">
        <f>IF(BB118&lt;=0,0,IF(ROUND(BB118*(1+'Calc base'!P119),2)-MAX('Calc base'!K$12,ROUND('Calc base'!K$13*BB118,2))&lt;1,ROUND(BB118*(1+'Calc base'!P119),2),MAX('Calc base'!K$12,ROUND('Calc base'!K$13*BB118,2))))</f>
        <v>0</v>
      </c>
      <c r="S119">
        <f>IF(BC118&lt;=0,0,IF(ROUND(BC118*(1+'Calc base'!Q119),2)-MAX('Calc base'!L$12,ROUND('Calc base'!L$13*BC118,2))&lt;1,ROUND(BC118*(1+'Calc base'!Q119),2),MAX('Calc base'!L$12,ROUND('Calc base'!L$13*BC118,2))))</f>
        <v>0</v>
      </c>
      <c r="T119">
        <f>IF(BD118&lt;=0,0,IF(ROUND(BD118*(1+'Calc base'!R119),2)-MAX('Calc base'!M$12,ROUND('Calc base'!M$13*BD118,2))&lt;1,ROUND(BD118*(1+'Calc base'!R119),2),MAX('Calc base'!M$12,ROUND('Calc base'!M$13*BD118,2))))</f>
        <v>0</v>
      </c>
      <c r="U119">
        <f>IF(BE118&lt;=0,0,IF(ROUND(BE118*(1+'Calc base'!S119),2)-MAX('Calc base'!N$12,ROUND('Calc base'!N$13*BE118,2))&lt;1,ROUND(BE118*(1+'Calc base'!S119),2),MAX('Calc base'!N$12,ROUND('Calc base'!N$13*BE118,2))))</f>
        <v>0</v>
      </c>
      <c r="V119">
        <f>MAX(0,ROUND(AT118*(1+'Calc base'!H119),2)-J119-'Calc base'!T119)</f>
        <v>0</v>
      </c>
      <c r="W119">
        <f>MAX(0,ROUND(AU118*(1+'Calc base'!I119),2)-K119-'Calc base'!U119)</f>
        <v>0</v>
      </c>
      <c r="X119">
        <f>MAX(0,ROUND(AV118*(1+'Calc base'!J119),2)-L119-'Calc base'!V119)</f>
        <v>0</v>
      </c>
      <c r="Y119">
        <f>MAX(0,ROUND(AW118*(1+'Calc base'!K119),2)-M119-'Calc base'!W119)</f>
        <v>0</v>
      </c>
      <c r="Z119">
        <f>MAX(0,ROUND(AX118*(1+'Calc base'!L119),2)-N119-'Calc base'!X119)</f>
        <v>0</v>
      </c>
      <c r="AA119">
        <f>MAX(0,ROUND(AY118*(1+'Calc base'!M119),2)-O119-'Calc base'!Y119)</f>
        <v>0</v>
      </c>
      <c r="AB119">
        <f>MAX(0,ROUND(AZ118*(1+'Calc base'!N119),2)-P119-'Calc base'!Z119)</f>
        <v>0</v>
      </c>
      <c r="AC119">
        <f>MAX(0,ROUND(BA118*(1+'Calc base'!O119),2)-Q119-'Calc base'!AA119)</f>
        <v>0</v>
      </c>
      <c r="AD119">
        <f>MAX(0,ROUND(BB118*(1+'Calc base'!P119),2)-R119-'Calc base'!AB119)</f>
        <v>0</v>
      </c>
      <c r="AE119">
        <f>MAX(0,ROUND(BC118*(1+'Calc base'!Q119),2)-S119-'Calc base'!AC119)</f>
        <v>0</v>
      </c>
      <c r="AF119">
        <f>MAX(0,ROUND(BD118*(1+'Calc base'!R119),2)-T119-'Calc base'!AD119)</f>
        <v>0</v>
      </c>
      <c r="AG119">
        <f>MAX(0,ROUND(BE118*(1+'Calc base'!S119),2)-U119-'Calc base'!AE119)</f>
        <v>0</v>
      </c>
      <c r="AH119">
        <f>IF('Calc base'!C$14=0,0,MIN(V119,MAX(0,$E119-SUMIFS($V119:$AG119,'Calc base'!$C$19:$N$19,"&lt;"&amp;'Calc base'!C$19,'Calc base'!$C$14:$N$14,1))))</f>
        <v>0</v>
      </c>
      <c r="AI119">
        <f>IF('Calc base'!D$14=0,0,MIN(W119,MAX(0,$E119-SUMIFS($V119:$AG119,'Calc base'!$C$19:$N$19,"&lt;"&amp;'Calc base'!D$19,'Calc base'!$C$14:$N$14,1))))</f>
        <v>0</v>
      </c>
      <c r="AJ119">
        <f>IF('Calc base'!E$14=0,0,MIN(X119,MAX(0,$E119-SUMIFS($V119:$AG119,'Calc base'!$C$19:$N$19,"&lt;"&amp;'Calc base'!E$19,'Calc base'!$C$14:$N$14,1))))</f>
        <v>0</v>
      </c>
      <c r="AK119">
        <f>IF('Calc base'!F$14=0,0,MIN(Y119,MAX(0,$E119-SUMIFS($V119:$AG119,'Calc base'!$C$19:$N$19,"&lt;"&amp;'Calc base'!F$19,'Calc base'!$C$14:$N$14,1))))</f>
        <v>0</v>
      </c>
      <c r="AL119">
        <f>IF('Calc base'!G$14=0,0,MIN(Z119,MAX(0,$E119-SUMIFS($V119:$AG119,'Calc base'!$C$19:$N$19,"&lt;"&amp;'Calc base'!G$19,'Calc base'!$C$14:$N$14,1))))</f>
        <v>0</v>
      </c>
      <c r="AM119">
        <f>IF('Calc base'!H$14=0,0,MIN(AA119,MAX(0,$E119-SUMIFS($V119:$AG119,'Calc base'!$C$19:$N$19,"&lt;"&amp;'Calc base'!H$19,'Calc base'!$C$14:$N$14,1))))</f>
        <v>0</v>
      </c>
      <c r="AN119">
        <f>IF('Calc base'!I$14=0,0,MIN(AB119,MAX(0,$E119-SUMIFS($V119:$AG119,'Calc base'!$C$19:$N$19,"&lt;"&amp;'Calc base'!I$19,'Calc base'!$C$14:$N$14,1))))</f>
        <v>0</v>
      </c>
      <c r="AO119">
        <f>IF('Calc base'!J$14=0,0,MIN(AC119,MAX(0,$E119-SUMIFS($V119:$AG119,'Calc base'!$C$19:$N$19,"&lt;"&amp;'Calc base'!J$19,'Calc base'!$C$14:$N$14,1))))</f>
        <v>0</v>
      </c>
      <c r="AP119">
        <f>IF('Calc base'!K$14=0,0,MIN(AD119,MAX(0,$E119-SUMIFS($V119:$AG119,'Calc base'!$C$19:$N$19,"&lt;"&amp;'Calc base'!K$19,'Calc base'!$C$14:$N$14,1))))</f>
        <v>0</v>
      </c>
      <c r="AQ119">
        <f>IF('Calc base'!L$14=0,0,MIN(AE119,MAX(0,$E119-SUMIFS($V119:$AG119,'Calc base'!$C$19:$N$19,"&lt;"&amp;'Calc base'!L$19,'Calc base'!$C$14:$N$14,1))))</f>
        <v>0</v>
      </c>
      <c r="AR119">
        <f>IF('Calc base'!M$14=0,0,MIN(AF119,MAX(0,$E119-SUMIFS($V119:$AG119,'Calc base'!$C$19:$N$19,"&lt;"&amp;'Calc base'!M$19,'Calc base'!$C$14:$N$14,1))))</f>
        <v>0</v>
      </c>
      <c r="AS119">
        <f>IF('Calc base'!N$14=0,0,MIN(AG119,MAX(0,$E119-SUMIFS($V119:$AG119,'Calc base'!$C$19:$N$19,"&lt;"&amp;'Calc base'!N$19,'Calc base'!$C$14:$N$14,1))))</f>
        <v>0</v>
      </c>
      <c r="AT119">
        <f>V119-AH119</f>
        <v>0</v>
      </c>
      <c r="AU119">
        <f>W119-AI119</f>
        <v>0</v>
      </c>
      <c r="AV119">
        <f>X119-AJ119</f>
        <v>0</v>
      </c>
      <c r="AW119">
        <f>Y119-AK119</f>
        <v>0</v>
      </c>
      <c r="AX119">
        <f>Z119-AL119</f>
        <v>0</v>
      </c>
      <c r="AY119">
        <f>AA119-AM119</f>
        <v>0</v>
      </c>
      <c r="AZ119">
        <f>AB119-AN119</f>
        <v>0</v>
      </c>
      <c r="BA119">
        <f>AC119-AO119</f>
        <v>0</v>
      </c>
      <c r="BB119">
        <f>AD119-AP119</f>
        <v>0</v>
      </c>
      <c r="BC119">
        <f>AE119-AQ119</f>
        <v>0</v>
      </c>
      <c r="BD119">
        <f>AF119-AR119</f>
        <v>0</v>
      </c>
      <c r="BE119">
        <f>AG119-AS119</f>
        <v>0</v>
      </c>
    </row>
    <row r="120">
      <c r="A120" t="n">
        <v>90</v>
      </c>
      <c r="B120">
        <f>SUMPRODUCT(ROUND($AT119:$BE119*(1+'Calc base'!$H120:$S120),2))</f>
        <v>0</v>
      </c>
      <c r="C120">
        <f>SUM(J120:U120)</f>
        <v>0</v>
      </c>
      <c r="D120">
        <f>SUM(V120:AG120)</f>
        <v>0</v>
      </c>
      <c r="E120">
        <f>MAX(0,IF(Impostazioni!$B$7="No",'Calc base'!$C120-$C$31,'Calc base'!$C120-C120)+'Calc base'!$G120+'Calc base'!$F120-(B120-C120-D120))</f>
        <v>900</v>
      </c>
      <c r="F120">
        <f>SUM(AH120:AS120)</f>
        <v>0</v>
      </c>
      <c r="G120">
        <f>SUM(AT120:BE120)</f>
        <v>0</v>
      </c>
      <c r="H120">
        <f>B120-G119</f>
        <v>0</v>
      </c>
      <c r="I120">
        <f>B120-G120</f>
        <v>0</v>
      </c>
      <c r="J120">
        <f>IF(AT119&lt;=0,0,IF(ROUND(AT119*(1+'Calc base'!H120),2)-MAX('Calc base'!C$12,ROUND('Calc base'!C$13*AT119,2))&lt;1,ROUND(AT119*(1+'Calc base'!H120),2),MAX('Calc base'!C$12,ROUND('Calc base'!C$13*AT119,2))))</f>
        <v>0</v>
      </c>
      <c r="K120">
        <f>IF(AU119&lt;=0,0,IF(ROUND(AU119*(1+'Calc base'!I120),2)-MAX('Calc base'!D$12,ROUND('Calc base'!D$13*AU119,2))&lt;1,ROUND(AU119*(1+'Calc base'!I120),2),MAX('Calc base'!D$12,ROUND('Calc base'!D$13*AU119,2))))</f>
        <v>0</v>
      </c>
      <c r="L120">
        <f>IF(AV119&lt;=0,0,IF(ROUND(AV119*(1+'Calc base'!J120),2)-MAX('Calc base'!E$12,ROUND('Calc base'!E$13*AV119,2))&lt;1,ROUND(AV119*(1+'Calc base'!J120),2),MAX('Calc base'!E$12,ROUND('Calc base'!E$13*AV119,2))))</f>
        <v>0</v>
      </c>
      <c r="M120">
        <f>IF(AW119&lt;=0,0,IF(ROUND(AW119*(1+'Calc base'!K120),2)-MAX('Calc base'!F$12,ROUND('Calc base'!F$13*AW119,2))&lt;1,ROUND(AW119*(1+'Calc base'!K120),2),MAX('Calc base'!F$12,ROUND('Calc base'!F$13*AW119,2))))</f>
        <v>0</v>
      </c>
      <c r="N120">
        <f>IF(AX119&lt;=0,0,IF(ROUND(AX119*(1+'Calc base'!L120),2)-MAX('Calc base'!G$12,ROUND('Calc base'!G$13*AX119,2))&lt;1,ROUND(AX119*(1+'Calc base'!L120),2),MAX('Calc base'!G$12,ROUND('Calc base'!G$13*AX119,2))))</f>
        <v>0</v>
      </c>
      <c r="O120">
        <f>IF(AY119&lt;=0,0,IF(ROUND(AY119*(1+'Calc base'!M120),2)-MAX('Calc base'!H$12,ROUND('Calc base'!H$13*AY119,2))&lt;1,ROUND(AY119*(1+'Calc base'!M120),2),MAX('Calc base'!H$12,ROUND('Calc base'!H$13*AY119,2))))</f>
        <v>0</v>
      </c>
      <c r="P120">
        <f>IF(AZ119&lt;=0,0,IF(ROUND(AZ119*(1+'Calc base'!N120),2)-MAX('Calc base'!I$12,ROUND('Calc base'!I$13*AZ119,2))&lt;1,ROUND(AZ119*(1+'Calc base'!N120),2),MAX('Calc base'!I$12,ROUND('Calc base'!I$13*AZ119,2))))</f>
        <v>0</v>
      </c>
      <c r="Q120">
        <f>IF(BA119&lt;=0,0,IF(ROUND(BA119*(1+'Calc base'!O120),2)-MAX('Calc base'!J$12,ROUND('Calc base'!J$13*BA119,2))&lt;1,ROUND(BA119*(1+'Calc base'!O120),2),MAX('Calc base'!J$12,ROUND('Calc base'!J$13*BA119,2))))</f>
        <v>0</v>
      </c>
      <c r="R120">
        <f>IF(BB119&lt;=0,0,IF(ROUND(BB119*(1+'Calc base'!P120),2)-MAX('Calc base'!K$12,ROUND('Calc base'!K$13*BB119,2))&lt;1,ROUND(BB119*(1+'Calc base'!P120),2),MAX('Calc base'!K$12,ROUND('Calc base'!K$13*BB119,2))))</f>
        <v>0</v>
      </c>
      <c r="S120">
        <f>IF(BC119&lt;=0,0,IF(ROUND(BC119*(1+'Calc base'!Q120),2)-MAX('Calc base'!L$12,ROUND('Calc base'!L$13*BC119,2))&lt;1,ROUND(BC119*(1+'Calc base'!Q120),2),MAX('Calc base'!L$12,ROUND('Calc base'!L$13*BC119,2))))</f>
        <v>0</v>
      </c>
      <c r="T120">
        <f>IF(BD119&lt;=0,0,IF(ROUND(BD119*(1+'Calc base'!R120),2)-MAX('Calc base'!M$12,ROUND('Calc base'!M$13*BD119,2))&lt;1,ROUND(BD119*(1+'Calc base'!R120),2),MAX('Calc base'!M$12,ROUND('Calc base'!M$13*BD119,2))))</f>
        <v>0</v>
      </c>
      <c r="U120">
        <f>IF(BE119&lt;=0,0,IF(ROUND(BE119*(1+'Calc base'!S120),2)-MAX('Calc base'!N$12,ROUND('Calc base'!N$13*BE119,2))&lt;1,ROUND(BE119*(1+'Calc base'!S120),2),MAX('Calc base'!N$12,ROUND('Calc base'!N$13*BE119,2))))</f>
        <v>0</v>
      </c>
      <c r="V120">
        <f>MAX(0,ROUND(AT119*(1+'Calc base'!H120),2)-J120-'Calc base'!T120)</f>
        <v>0</v>
      </c>
      <c r="W120">
        <f>MAX(0,ROUND(AU119*(1+'Calc base'!I120),2)-K120-'Calc base'!U120)</f>
        <v>0</v>
      </c>
      <c r="X120">
        <f>MAX(0,ROUND(AV119*(1+'Calc base'!J120),2)-L120-'Calc base'!V120)</f>
        <v>0</v>
      </c>
      <c r="Y120">
        <f>MAX(0,ROUND(AW119*(1+'Calc base'!K120),2)-M120-'Calc base'!W120)</f>
        <v>0</v>
      </c>
      <c r="Z120">
        <f>MAX(0,ROUND(AX119*(1+'Calc base'!L120),2)-N120-'Calc base'!X120)</f>
        <v>0</v>
      </c>
      <c r="AA120">
        <f>MAX(0,ROUND(AY119*(1+'Calc base'!M120),2)-O120-'Calc base'!Y120)</f>
        <v>0</v>
      </c>
      <c r="AB120">
        <f>MAX(0,ROUND(AZ119*(1+'Calc base'!N120),2)-P120-'Calc base'!Z120)</f>
        <v>0</v>
      </c>
      <c r="AC120">
        <f>MAX(0,ROUND(BA119*(1+'Calc base'!O120),2)-Q120-'Calc base'!AA120)</f>
        <v>0</v>
      </c>
      <c r="AD120">
        <f>MAX(0,ROUND(BB119*(1+'Calc base'!P120),2)-R120-'Calc base'!AB120)</f>
        <v>0</v>
      </c>
      <c r="AE120">
        <f>MAX(0,ROUND(BC119*(1+'Calc base'!Q120),2)-S120-'Calc base'!AC120)</f>
        <v>0</v>
      </c>
      <c r="AF120">
        <f>MAX(0,ROUND(BD119*(1+'Calc base'!R120),2)-T120-'Calc base'!AD120)</f>
        <v>0</v>
      </c>
      <c r="AG120">
        <f>MAX(0,ROUND(BE119*(1+'Calc base'!S120),2)-U120-'Calc base'!AE120)</f>
        <v>0</v>
      </c>
      <c r="AH120">
        <f>IF('Calc base'!C$14=0,0,MIN(V120,MAX(0,$E120-SUMIFS($V120:$AG120,'Calc base'!$C$19:$N$19,"&lt;"&amp;'Calc base'!C$19,'Calc base'!$C$14:$N$14,1))))</f>
        <v>0</v>
      </c>
      <c r="AI120">
        <f>IF('Calc base'!D$14=0,0,MIN(W120,MAX(0,$E120-SUMIFS($V120:$AG120,'Calc base'!$C$19:$N$19,"&lt;"&amp;'Calc base'!D$19,'Calc base'!$C$14:$N$14,1))))</f>
        <v>0</v>
      </c>
      <c r="AJ120">
        <f>IF('Calc base'!E$14=0,0,MIN(X120,MAX(0,$E120-SUMIFS($V120:$AG120,'Calc base'!$C$19:$N$19,"&lt;"&amp;'Calc base'!E$19,'Calc base'!$C$14:$N$14,1))))</f>
        <v>0</v>
      </c>
      <c r="AK120">
        <f>IF('Calc base'!F$14=0,0,MIN(Y120,MAX(0,$E120-SUMIFS($V120:$AG120,'Calc base'!$C$19:$N$19,"&lt;"&amp;'Calc base'!F$19,'Calc base'!$C$14:$N$14,1))))</f>
        <v>0</v>
      </c>
      <c r="AL120">
        <f>IF('Calc base'!G$14=0,0,MIN(Z120,MAX(0,$E120-SUMIFS($V120:$AG120,'Calc base'!$C$19:$N$19,"&lt;"&amp;'Calc base'!G$19,'Calc base'!$C$14:$N$14,1))))</f>
        <v>0</v>
      </c>
      <c r="AM120">
        <f>IF('Calc base'!H$14=0,0,MIN(AA120,MAX(0,$E120-SUMIFS($V120:$AG120,'Calc base'!$C$19:$N$19,"&lt;"&amp;'Calc base'!H$19,'Calc base'!$C$14:$N$14,1))))</f>
        <v>0</v>
      </c>
      <c r="AN120">
        <f>IF('Calc base'!I$14=0,0,MIN(AB120,MAX(0,$E120-SUMIFS($V120:$AG120,'Calc base'!$C$19:$N$19,"&lt;"&amp;'Calc base'!I$19,'Calc base'!$C$14:$N$14,1))))</f>
        <v>0</v>
      </c>
      <c r="AO120">
        <f>IF('Calc base'!J$14=0,0,MIN(AC120,MAX(0,$E120-SUMIFS($V120:$AG120,'Calc base'!$C$19:$N$19,"&lt;"&amp;'Calc base'!J$19,'Calc base'!$C$14:$N$14,1))))</f>
        <v>0</v>
      </c>
      <c r="AP120">
        <f>IF('Calc base'!K$14=0,0,MIN(AD120,MAX(0,$E120-SUMIFS($V120:$AG120,'Calc base'!$C$19:$N$19,"&lt;"&amp;'Calc base'!K$19,'Calc base'!$C$14:$N$14,1))))</f>
        <v>0</v>
      </c>
      <c r="AQ120">
        <f>IF('Calc base'!L$14=0,0,MIN(AE120,MAX(0,$E120-SUMIFS($V120:$AG120,'Calc base'!$C$19:$N$19,"&lt;"&amp;'Calc base'!L$19,'Calc base'!$C$14:$N$14,1))))</f>
        <v>0</v>
      </c>
      <c r="AR120">
        <f>IF('Calc base'!M$14=0,0,MIN(AF120,MAX(0,$E120-SUMIFS($V120:$AG120,'Calc base'!$C$19:$N$19,"&lt;"&amp;'Calc base'!M$19,'Calc base'!$C$14:$N$14,1))))</f>
        <v>0</v>
      </c>
      <c r="AS120">
        <f>IF('Calc base'!N$14=0,0,MIN(AG120,MAX(0,$E120-SUMIFS($V120:$AG120,'Calc base'!$C$19:$N$19,"&lt;"&amp;'Calc base'!N$19,'Calc base'!$C$14:$N$14,1))))</f>
        <v>0</v>
      </c>
      <c r="AT120">
        <f>V120-AH120</f>
        <v>0</v>
      </c>
      <c r="AU120">
        <f>W120-AI120</f>
        <v>0</v>
      </c>
      <c r="AV120">
        <f>X120-AJ120</f>
        <v>0</v>
      </c>
      <c r="AW120">
        <f>Y120-AK120</f>
        <v>0</v>
      </c>
      <c r="AX120">
        <f>Z120-AL120</f>
        <v>0</v>
      </c>
      <c r="AY120">
        <f>AA120-AM120</f>
        <v>0</v>
      </c>
      <c r="AZ120">
        <f>AB120-AN120</f>
        <v>0</v>
      </c>
      <c r="BA120">
        <f>AC120-AO120</f>
        <v>0</v>
      </c>
      <c r="BB120">
        <f>AD120-AP120</f>
        <v>0</v>
      </c>
      <c r="BC120">
        <f>AE120-AQ120</f>
        <v>0</v>
      </c>
      <c r="BD120">
        <f>AF120-AR120</f>
        <v>0</v>
      </c>
      <c r="BE120">
        <f>AG120-AS120</f>
        <v>0</v>
      </c>
    </row>
    <row r="121">
      <c r="A121" t="n">
        <v>91</v>
      </c>
      <c r="B121">
        <f>SUMPRODUCT(ROUND($AT120:$BE120*(1+'Calc base'!$H121:$S121),2))</f>
        <v>0</v>
      </c>
      <c r="C121">
        <f>SUM(J121:U121)</f>
        <v>0</v>
      </c>
      <c r="D121">
        <f>SUM(V121:AG121)</f>
        <v>0</v>
      </c>
      <c r="E121">
        <f>MAX(0,IF(Impostazioni!$B$7="No",'Calc base'!$C121-$C$31,'Calc base'!$C121-C121)+'Calc base'!$G121+'Calc base'!$F121-(B121-C121-D121))</f>
        <v>900</v>
      </c>
      <c r="F121">
        <f>SUM(AH121:AS121)</f>
        <v>0</v>
      </c>
      <c r="G121">
        <f>SUM(AT121:BE121)</f>
        <v>0</v>
      </c>
      <c r="H121">
        <f>B121-G120</f>
        <v>0</v>
      </c>
      <c r="I121">
        <f>B121-G121</f>
        <v>0</v>
      </c>
      <c r="J121">
        <f>IF(AT120&lt;=0,0,IF(ROUND(AT120*(1+'Calc base'!H121),2)-MAX('Calc base'!C$12,ROUND('Calc base'!C$13*AT120,2))&lt;1,ROUND(AT120*(1+'Calc base'!H121),2),MAX('Calc base'!C$12,ROUND('Calc base'!C$13*AT120,2))))</f>
        <v>0</v>
      </c>
      <c r="K121">
        <f>IF(AU120&lt;=0,0,IF(ROUND(AU120*(1+'Calc base'!I121),2)-MAX('Calc base'!D$12,ROUND('Calc base'!D$13*AU120,2))&lt;1,ROUND(AU120*(1+'Calc base'!I121),2),MAX('Calc base'!D$12,ROUND('Calc base'!D$13*AU120,2))))</f>
        <v>0</v>
      </c>
      <c r="L121">
        <f>IF(AV120&lt;=0,0,IF(ROUND(AV120*(1+'Calc base'!J121),2)-MAX('Calc base'!E$12,ROUND('Calc base'!E$13*AV120,2))&lt;1,ROUND(AV120*(1+'Calc base'!J121),2),MAX('Calc base'!E$12,ROUND('Calc base'!E$13*AV120,2))))</f>
        <v>0</v>
      </c>
      <c r="M121">
        <f>IF(AW120&lt;=0,0,IF(ROUND(AW120*(1+'Calc base'!K121),2)-MAX('Calc base'!F$12,ROUND('Calc base'!F$13*AW120,2))&lt;1,ROUND(AW120*(1+'Calc base'!K121),2),MAX('Calc base'!F$12,ROUND('Calc base'!F$13*AW120,2))))</f>
        <v>0</v>
      </c>
      <c r="N121">
        <f>IF(AX120&lt;=0,0,IF(ROUND(AX120*(1+'Calc base'!L121),2)-MAX('Calc base'!G$12,ROUND('Calc base'!G$13*AX120,2))&lt;1,ROUND(AX120*(1+'Calc base'!L121),2),MAX('Calc base'!G$12,ROUND('Calc base'!G$13*AX120,2))))</f>
        <v>0</v>
      </c>
      <c r="O121">
        <f>IF(AY120&lt;=0,0,IF(ROUND(AY120*(1+'Calc base'!M121),2)-MAX('Calc base'!H$12,ROUND('Calc base'!H$13*AY120,2))&lt;1,ROUND(AY120*(1+'Calc base'!M121),2),MAX('Calc base'!H$12,ROUND('Calc base'!H$13*AY120,2))))</f>
        <v>0</v>
      </c>
      <c r="P121">
        <f>IF(AZ120&lt;=0,0,IF(ROUND(AZ120*(1+'Calc base'!N121),2)-MAX('Calc base'!I$12,ROUND('Calc base'!I$13*AZ120,2))&lt;1,ROUND(AZ120*(1+'Calc base'!N121),2),MAX('Calc base'!I$12,ROUND('Calc base'!I$13*AZ120,2))))</f>
        <v>0</v>
      </c>
      <c r="Q121">
        <f>IF(BA120&lt;=0,0,IF(ROUND(BA120*(1+'Calc base'!O121),2)-MAX('Calc base'!J$12,ROUND('Calc base'!J$13*BA120,2))&lt;1,ROUND(BA120*(1+'Calc base'!O121),2),MAX('Calc base'!J$12,ROUND('Calc base'!J$13*BA120,2))))</f>
        <v>0</v>
      </c>
      <c r="R121">
        <f>IF(BB120&lt;=0,0,IF(ROUND(BB120*(1+'Calc base'!P121),2)-MAX('Calc base'!K$12,ROUND('Calc base'!K$13*BB120,2))&lt;1,ROUND(BB120*(1+'Calc base'!P121),2),MAX('Calc base'!K$12,ROUND('Calc base'!K$13*BB120,2))))</f>
        <v>0</v>
      </c>
      <c r="S121">
        <f>IF(BC120&lt;=0,0,IF(ROUND(BC120*(1+'Calc base'!Q121),2)-MAX('Calc base'!L$12,ROUND('Calc base'!L$13*BC120,2))&lt;1,ROUND(BC120*(1+'Calc base'!Q121),2),MAX('Calc base'!L$12,ROUND('Calc base'!L$13*BC120,2))))</f>
        <v>0</v>
      </c>
      <c r="T121">
        <f>IF(BD120&lt;=0,0,IF(ROUND(BD120*(1+'Calc base'!R121),2)-MAX('Calc base'!M$12,ROUND('Calc base'!M$13*BD120,2))&lt;1,ROUND(BD120*(1+'Calc base'!R121),2),MAX('Calc base'!M$12,ROUND('Calc base'!M$13*BD120,2))))</f>
        <v>0</v>
      </c>
      <c r="U121">
        <f>IF(BE120&lt;=0,0,IF(ROUND(BE120*(1+'Calc base'!S121),2)-MAX('Calc base'!N$12,ROUND('Calc base'!N$13*BE120,2))&lt;1,ROUND(BE120*(1+'Calc base'!S121),2),MAX('Calc base'!N$12,ROUND('Calc base'!N$13*BE120,2))))</f>
        <v>0</v>
      </c>
      <c r="V121">
        <f>MAX(0,ROUND(AT120*(1+'Calc base'!H121),2)-J121-'Calc base'!T121)</f>
        <v>0</v>
      </c>
      <c r="W121">
        <f>MAX(0,ROUND(AU120*(1+'Calc base'!I121),2)-K121-'Calc base'!U121)</f>
        <v>0</v>
      </c>
      <c r="X121">
        <f>MAX(0,ROUND(AV120*(1+'Calc base'!J121),2)-L121-'Calc base'!V121)</f>
        <v>0</v>
      </c>
      <c r="Y121">
        <f>MAX(0,ROUND(AW120*(1+'Calc base'!K121),2)-M121-'Calc base'!W121)</f>
        <v>0</v>
      </c>
      <c r="Z121">
        <f>MAX(0,ROUND(AX120*(1+'Calc base'!L121),2)-N121-'Calc base'!X121)</f>
        <v>0</v>
      </c>
      <c r="AA121">
        <f>MAX(0,ROUND(AY120*(1+'Calc base'!M121),2)-O121-'Calc base'!Y121)</f>
        <v>0</v>
      </c>
      <c r="AB121">
        <f>MAX(0,ROUND(AZ120*(1+'Calc base'!N121),2)-P121-'Calc base'!Z121)</f>
        <v>0</v>
      </c>
      <c r="AC121">
        <f>MAX(0,ROUND(BA120*(1+'Calc base'!O121),2)-Q121-'Calc base'!AA121)</f>
        <v>0</v>
      </c>
      <c r="AD121">
        <f>MAX(0,ROUND(BB120*(1+'Calc base'!P121),2)-R121-'Calc base'!AB121)</f>
        <v>0</v>
      </c>
      <c r="AE121">
        <f>MAX(0,ROUND(BC120*(1+'Calc base'!Q121),2)-S121-'Calc base'!AC121)</f>
        <v>0</v>
      </c>
      <c r="AF121">
        <f>MAX(0,ROUND(BD120*(1+'Calc base'!R121),2)-T121-'Calc base'!AD121)</f>
        <v>0</v>
      </c>
      <c r="AG121">
        <f>MAX(0,ROUND(BE120*(1+'Calc base'!S121),2)-U121-'Calc base'!AE121)</f>
        <v>0</v>
      </c>
      <c r="AH121">
        <f>IF('Calc base'!C$14=0,0,MIN(V121,MAX(0,$E121-SUMIFS($V121:$AG121,'Calc base'!$C$19:$N$19,"&lt;"&amp;'Calc base'!C$19,'Calc base'!$C$14:$N$14,1))))</f>
        <v>0</v>
      </c>
      <c r="AI121">
        <f>IF('Calc base'!D$14=0,0,MIN(W121,MAX(0,$E121-SUMIFS($V121:$AG121,'Calc base'!$C$19:$N$19,"&lt;"&amp;'Calc base'!D$19,'Calc base'!$C$14:$N$14,1))))</f>
        <v>0</v>
      </c>
      <c r="AJ121">
        <f>IF('Calc base'!E$14=0,0,MIN(X121,MAX(0,$E121-SUMIFS($V121:$AG121,'Calc base'!$C$19:$N$19,"&lt;"&amp;'Calc base'!E$19,'Calc base'!$C$14:$N$14,1))))</f>
        <v>0</v>
      </c>
      <c r="AK121">
        <f>IF('Calc base'!F$14=0,0,MIN(Y121,MAX(0,$E121-SUMIFS($V121:$AG121,'Calc base'!$C$19:$N$19,"&lt;"&amp;'Calc base'!F$19,'Calc base'!$C$14:$N$14,1))))</f>
        <v>0</v>
      </c>
      <c r="AL121">
        <f>IF('Calc base'!G$14=0,0,MIN(Z121,MAX(0,$E121-SUMIFS($V121:$AG121,'Calc base'!$C$19:$N$19,"&lt;"&amp;'Calc base'!G$19,'Calc base'!$C$14:$N$14,1))))</f>
        <v>0</v>
      </c>
      <c r="AM121">
        <f>IF('Calc base'!H$14=0,0,MIN(AA121,MAX(0,$E121-SUMIFS($V121:$AG121,'Calc base'!$C$19:$N$19,"&lt;"&amp;'Calc base'!H$19,'Calc base'!$C$14:$N$14,1))))</f>
        <v>0</v>
      </c>
      <c r="AN121">
        <f>IF('Calc base'!I$14=0,0,MIN(AB121,MAX(0,$E121-SUMIFS($V121:$AG121,'Calc base'!$C$19:$N$19,"&lt;"&amp;'Calc base'!I$19,'Calc base'!$C$14:$N$14,1))))</f>
        <v>0</v>
      </c>
      <c r="AO121">
        <f>IF('Calc base'!J$14=0,0,MIN(AC121,MAX(0,$E121-SUMIFS($V121:$AG121,'Calc base'!$C$19:$N$19,"&lt;"&amp;'Calc base'!J$19,'Calc base'!$C$14:$N$14,1))))</f>
        <v>0</v>
      </c>
      <c r="AP121">
        <f>IF('Calc base'!K$14=0,0,MIN(AD121,MAX(0,$E121-SUMIFS($V121:$AG121,'Calc base'!$C$19:$N$19,"&lt;"&amp;'Calc base'!K$19,'Calc base'!$C$14:$N$14,1))))</f>
        <v>0</v>
      </c>
      <c r="AQ121">
        <f>IF('Calc base'!L$14=0,0,MIN(AE121,MAX(0,$E121-SUMIFS($V121:$AG121,'Calc base'!$C$19:$N$19,"&lt;"&amp;'Calc base'!L$19,'Calc base'!$C$14:$N$14,1))))</f>
        <v>0</v>
      </c>
      <c r="AR121">
        <f>IF('Calc base'!M$14=0,0,MIN(AF121,MAX(0,$E121-SUMIFS($V121:$AG121,'Calc base'!$C$19:$N$19,"&lt;"&amp;'Calc base'!M$19,'Calc base'!$C$14:$N$14,1))))</f>
        <v>0</v>
      </c>
      <c r="AS121">
        <f>IF('Calc base'!N$14=0,0,MIN(AG121,MAX(0,$E121-SUMIFS($V121:$AG121,'Calc base'!$C$19:$N$19,"&lt;"&amp;'Calc base'!N$19,'Calc base'!$C$14:$N$14,1))))</f>
        <v>0</v>
      </c>
      <c r="AT121">
        <f>V121-AH121</f>
        <v>0</v>
      </c>
      <c r="AU121">
        <f>W121-AI121</f>
        <v>0</v>
      </c>
      <c r="AV121">
        <f>X121-AJ121</f>
        <v>0</v>
      </c>
      <c r="AW121">
        <f>Y121-AK121</f>
        <v>0</v>
      </c>
      <c r="AX121">
        <f>Z121-AL121</f>
        <v>0</v>
      </c>
      <c r="AY121">
        <f>AA121-AM121</f>
        <v>0</v>
      </c>
      <c r="AZ121">
        <f>AB121-AN121</f>
        <v>0</v>
      </c>
      <c r="BA121">
        <f>AC121-AO121</f>
        <v>0</v>
      </c>
      <c r="BB121">
        <f>AD121-AP121</f>
        <v>0</v>
      </c>
      <c r="BC121">
        <f>AE121-AQ121</f>
        <v>0</v>
      </c>
      <c r="BD121">
        <f>AF121-AR121</f>
        <v>0</v>
      </c>
      <c r="BE121">
        <f>AG121-AS121</f>
        <v>0</v>
      </c>
    </row>
    <row r="122">
      <c r="A122" t="n">
        <v>92</v>
      </c>
      <c r="B122">
        <f>SUMPRODUCT(ROUND($AT121:$BE121*(1+'Calc base'!$H122:$S122),2))</f>
        <v>0</v>
      </c>
      <c r="C122">
        <f>SUM(J122:U122)</f>
        <v>0</v>
      </c>
      <c r="D122">
        <f>SUM(V122:AG122)</f>
        <v>0</v>
      </c>
      <c r="E122">
        <f>MAX(0,IF(Impostazioni!$B$7="No",'Calc base'!$C122-$C$31,'Calc base'!$C122-C122)+'Calc base'!$G122+'Calc base'!$F122-(B122-C122-D122))</f>
        <v>900</v>
      </c>
      <c r="F122">
        <f>SUM(AH122:AS122)</f>
        <v>0</v>
      </c>
      <c r="G122">
        <f>SUM(AT122:BE122)</f>
        <v>0</v>
      </c>
      <c r="H122">
        <f>B122-G121</f>
        <v>0</v>
      </c>
      <c r="I122">
        <f>B122-G122</f>
        <v>0</v>
      </c>
      <c r="J122">
        <f>IF(AT121&lt;=0,0,IF(ROUND(AT121*(1+'Calc base'!H122),2)-MAX('Calc base'!C$12,ROUND('Calc base'!C$13*AT121,2))&lt;1,ROUND(AT121*(1+'Calc base'!H122),2),MAX('Calc base'!C$12,ROUND('Calc base'!C$13*AT121,2))))</f>
        <v>0</v>
      </c>
      <c r="K122">
        <f>IF(AU121&lt;=0,0,IF(ROUND(AU121*(1+'Calc base'!I122),2)-MAX('Calc base'!D$12,ROUND('Calc base'!D$13*AU121,2))&lt;1,ROUND(AU121*(1+'Calc base'!I122),2),MAX('Calc base'!D$12,ROUND('Calc base'!D$13*AU121,2))))</f>
        <v>0</v>
      </c>
      <c r="L122">
        <f>IF(AV121&lt;=0,0,IF(ROUND(AV121*(1+'Calc base'!J122),2)-MAX('Calc base'!E$12,ROUND('Calc base'!E$13*AV121,2))&lt;1,ROUND(AV121*(1+'Calc base'!J122),2),MAX('Calc base'!E$12,ROUND('Calc base'!E$13*AV121,2))))</f>
        <v>0</v>
      </c>
      <c r="M122">
        <f>IF(AW121&lt;=0,0,IF(ROUND(AW121*(1+'Calc base'!K122),2)-MAX('Calc base'!F$12,ROUND('Calc base'!F$13*AW121,2))&lt;1,ROUND(AW121*(1+'Calc base'!K122),2),MAX('Calc base'!F$12,ROUND('Calc base'!F$13*AW121,2))))</f>
        <v>0</v>
      </c>
      <c r="N122">
        <f>IF(AX121&lt;=0,0,IF(ROUND(AX121*(1+'Calc base'!L122),2)-MAX('Calc base'!G$12,ROUND('Calc base'!G$13*AX121,2))&lt;1,ROUND(AX121*(1+'Calc base'!L122),2),MAX('Calc base'!G$12,ROUND('Calc base'!G$13*AX121,2))))</f>
        <v>0</v>
      </c>
      <c r="O122">
        <f>IF(AY121&lt;=0,0,IF(ROUND(AY121*(1+'Calc base'!M122),2)-MAX('Calc base'!H$12,ROUND('Calc base'!H$13*AY121,2))&lt;1,ROUND(AY121*(1+'Calc base'!M122),2),MAX('Calc base'!H$12,ROUND('Calc base'!H$13*AY121,2))))</f>
        <v>0</v>
      </c>
      <c r="P122">
        <f>IF(AZ121&lt;=0,0,IF(ROUND(AZ121*(1+'Calc base'!N122),2)-MAX('Calc base'!I$12,ROUND('Calc base'!I$13*AZ121,2))&lt;1,ROUND(AZ121*(1+'Calc base'!N122),2),MAX('Calc base'!I$12,ROUND('Calc base'!I$13*AZ121,2))))</f>
        <v>0</v>
      </c>
      <c r="Q122">
        <f>IF(BA121&lt;=0,0,IF(ROUND(BA121*(1+'Calc base'!O122),2)-MAX('Calc base'!J$12,ROUND('Calc base'!J$13*BA121,2))&lt;1,ROUND(BA121*(1+'Calc base'!O122),2),MAX('Calc base'!J$12,ROUND('Calc base'!J$13*BA121,2))))</f>
        <v>0</v>
      </c>
      <c r="R122">
        <f>IF(BB121&lt;=0,0,IF(ROUND(BB121*(1+'Calc base'!P122),2)-MAX('Calc base'!K$12,ROUND('Calc base'!K$13*BB121,2))&lt;1,ROUND(BB121*(1+'Calc base'!P122),2),MAX('Calc base'!K$12,ROUND('Calc base'!K$13*BB121,2))))</f>
        <v>0</v>
      </c>
      <c r="S122">
        <f>IF(BC121&lt;=0,0,IF(ROUND(BC121*(1+'Calc base'!Q122),2)-MAX('Calc base'!L$12,ROUND('Calc base'!L$13*BC121,2))&lt;1,ROUND(BC121*(1+'Calc base'!Q122),2),MAX('Calc base'!L$12,ROUND('Calc base'!L$13*BC121,2))))</f>
        <v>0</v>
      </c>
      <c r="T122">
        <f>IF(BD121&lt;=0,0,IF(ROUND(BD121*(1+'Calc base'!R122),2)-MAX('Calc base'!M$12,ROUND('Calc base'!M$13*BD121,2))&lt;1,ROUND(BD121*(1+'Calc base'!R122),2),MAX('Calc base'!M$12,ROUND('Calc base'!M$13*BD121,2))))</f>
        <v>0</v>
      </c>
      <c r="U122">
        <f>IF(BE121&lt;=0,0,IF(ROUND(BE121*(1+'Calc base'!S122),2)-MAX('Calc base'!N$12,ROUND('Calc base'!N$13*BE121,2))&lt;1,ROUND(BE121*(1+'Calc base'!S122),2),MAX('Calc base'!N$12,ROUND('Calc base'!N$13*BE121,2))))</f>
        <v>0</v>
      </c>
      <c r="V122">
        <f>MAX(0,ROUND(AT121*(1+'Calc base'!H122),2)-J122-'Calc base'!T122)</f>
        <v>0</v>
      </c>
      <c r="W122">
        <f>MAX(0,ROUND(AU121*(1+'Calc base'!I122),2)-K122-'Calc base'!U122)</f>
        <v>0</v>
      </c>
      <c r="X122">
        <f>MAX(0,ROUND(AV121*(1+'Calc base'!J122),2)-L122-'Calc base'!V122)</f>
        <v>0</v>
      </c>
      <c r="Y122">
        <f>MAX(0,ROUND(AW121*(1+'Calc base'!K122),2)-M122-'Calc base'!W122)</f>
        <v>0</v>
      </c>
      <c r="Z122">
        <f>MAX(0,ROUND(AX121*(1+'Calc base'!L122),2)-N122-'Calc base'!X122)</f>
        <v>0</v>
      </c>
      <c r="AA122">
        <f>MAX(0,ROUND(AY121*(1+'Calc base'!M122),2)-O122-'Calc base'!Y122)</f>
        <v>0</v>
      </c>
      <c r="AB122">
        <f>MAX(0,ROUND(AZ121*(1+'Calc base'!N122),2)-P122-'Calc base'!Z122)</f>
        <v>0</v>
      </c>
      <c r="AC122">
        <f>MAX(0,ROUND(BA121*(1+'Calc base'!O122),2)-Q122-'Calc base'!AA122)</f>
        <v>0</v>
      </c>
      <c r="AD122">
        <f>MAX(0,ROUND(BB121*(1+'Calc base'!P122),2)-R122-'Calc base'!AB122)</f>
        <v>0</v>
      </c>
      <c r="AE122">
        <f>MAX(0,ROUND(BC121*(1+'Calc base'!Q122),2)-S122-'Calc base'!AC122)</f>
        <v>0</v>
      </c>
      <c r="AF122">
        <f>MAX(0,ROUND(BD121*(1+'Calc base'!R122),2)-T122-'Calc base'!AD122)</f>
        <v>0</v>
      </c>
      <c r="AG122">
        <f>MAX(0,ROUND(BE121*(1+'Calc base'!S122),2)-U122-'Calc base'!AE122)</f>
        <v>0</v>
      </c>
      <c r="AH122">
        <f>IF('Calc base'!C$14=0,0,MIN(V122,MAX(0,$E122-SUMIFS($V122:$AG122,'Calc base'!$C$19:$N$19,"&lt;"&amp;'Calc base'!C$19,'Calc base'!$C$14:$N$14,1))))</f>
        <v>0</v>
      </c>
      <c r="AI122">
        <f>IF('Calc base'!D$14=0,0,MIN(W122,MAX(0,$E122-SUMIFS($V122:$AG122,'Calc base'!$C$19:$N$19,"&lt;"&amp;'Calc base'!D$19,'Calc base'!$C$14:$N$14,1))))</f>
        <v>0</v>
      </c>
      <c r="AJ122">
        <f>IF('Calc base'!E$14=0,0,MIN(X122,MAX(0,$E122-SUMIFS($V122:$AG122,'Calc base'!$C$19:$N$19,"&lt;"&amp;'Calc base'!E$19,'Calc base'!$C$14:$N$14,1))))</f>
        <v>0</v>
      </c>
      <c r="AK122">
        <f>IF('Calc base'!F$14=0,0,MIN(Y122,MAX(0,$E122-SUMIFS($V122:$AG122,'Calc base'!$C$19:$N$19,"&lt;"&amp;'Calc base'!F$19,'Calc base'!$C$14:$N$14,1))))</f>
        <v>0</v>
      </c>
      <c r="AL122">
        <f>IF('Calc base'!G$14=0,0,MIN(Z122,MAX(0,$E122-SUMIFS($V122:$AG122,'Calc base'!$C$19:$N$19,"&lt;"&amp;'Calc base'!G$19,'Calc base'!$C$14:$N$14,1))))</f>
        <v>0</v>
      </c>
      <c r="AM122">
        <f>IF('Calc base'!H$14=0,0,MIN(AA122,MAX(0,$E122-SUMIFS($V122:$AG122,'Calc base'!$C$19:$N$19,"&lt;"&amp;'Calc base'!H$19,'Calc base'!$C$14:$N$14,1))))</f>
        <v>0</v>
      </c>
      <c r="AN122">
        <f>IF('Calc base'!I$14=0,0,MIN(AB122,MAX(0,$E122-SUMIFS($V122:$AG122,'Calc base'!$C$19:$N$19,"&lt;"&amp;'Calc base'!I$19,'Calc base'!$C$14:$N$14,1))))</f>
        <v>0</v>
      </c>
      <c r="AO122">
        <f>IF('Calc base'!J$14=0,0,MIN(AC122,MAX(0,$E122-SUMIFS($V122:$AG122,'Calc base'!$C$19:$N$19,"&lt;"&amp;'Calc base'!J$19,'Calc base'!$C$14:$N$14,1))))</f>
        <v>0</v>
      </c>
      <c r="AP122">
        <f>IF('Calc base'!K$14=0,0,MIN(AD122,MAX(0,$E122-SUMIFS($V122:$AG122,'Calc base'!$C$19:$N$19,"&lt;"&amp;'Calc base'!K$19,'Calc base'!$C$14:$N$14,1))))</f>
        <v>0</v>
      </c>
      <c r="AQ122">
        <f>IF('Calc base'!L$14=0,0,MIN(AE122,MAX(0,$E122-SUMIFS($V122:$AG122,'Calc base'!$C$19:$N$19,"&lt;"&amp;'Calc base'!L$19,'Calc base'!$C$14:$N$14,1))))</f>
        <v>0</v>
      </c>
      <c r="AR122">
        <f>IF('Calc base'!M$14=0,0,MIN(AF122,MAX(0,$E122-SUMIFS($V122:$AG122,'Calc base'!$C$19:$N$19,"&lt;"&amp;'Calc base'!M$19,'Calc base'!$C$14:$N$14,1))))</f>
        <v>0</v>
      </c>
      <c r="AS122">
        <f>IF('Calc base'!N$14=0,0,MIN(AG122,MAX(0,$E122-SUMIFS($V122:$AG122,'Calc base'!$C$19:$N$19,"&lt;"&amp;'Calc base'!N$19,'Calc base'!$C$14:$N$14,1))))</f>
        <v>0</v>
      </c>
      <c r="AT122">
        <f>V122-AH122</f>
        <v>0</v>
      </c>
      <c r="AU122">
        <f>W122-AI122</f>
        <v>0</v>
      </c>
      <c r="AV122">
        <f>X122-AJ122</f>
        <v>0</v>
      </c>
      <c r="AW122">
        <f>Y122-AK122</f>
        <v>0</v>
      </c>
      <c r="AX122">
        <f>Z122-AL122</f>
        <v>0</v>
      </c>
      <c r="AY122">
        <f>AA122-AM122</f>
        <v>0</v>
      </c>
      <c r="AZ122">
        <f>AB122-AN122</f>
        <v>0</v>
      </c>
      <c r="BA122">
        <f>AC122-AO122</f>
        <v>0</v>
      </c>
      <c r="BB122">
        <f>AD122-AP122</f>
        <v>0</v>
      </c>
      <c r="BC122">
        <f>AE122-AQ122</f>
        <v>0</v>
      </c>
      <c r="BD122">
        <f>AF122-AR122</f>
        <v>0</v>
      </c>
      <c r="BE122">
        <f>AG122-AS122</f>
        <v>0</v>
      </c>
    </row>
    <row r="123">
      <c r="A123" t="n">
        <v>93</v>
      </c>
      <c r="B123">
        <f>SUMPRODUCT(ROUND($AT122:$BE122*(1+'Calc base'!$H123:$S123),2))</f>
        <v>0</v>
      </c>
      <c r="C123">
        <f>SUM(J123:U123)</f>
        <v>0</v>
      </c>
      <c r="D123">
        <f>SUM(V123:AG123)</f>
        <v>0</v>
      </c>
      <c r="E123">
        <f>MAX(0,IF(Impostazioni!$B$7="No",'Calc base'!$C123-$C$31,'Calc base'!$C123-C123)+'Calc base'!$G123+'Calc base'!$F123-(B123-C123-D123))</f>
        <v>900</v>
      </c>
      <c r="F123">
        <f>SUM(AH123:AS123)</f>
        <v>0</v>
      </c>
      <c r="G123">
        <f>SUM(AT123:BE123)</f>
        <v>0</v>
      </c>
      <c r="H123">
        <f>B123-G122</f>
        <v>0</v>
      </c>
      <c r="I123">
        <f>B123-G123</f>
        <v>0</v>
      </c>
      <c r="J123">
        <f>IF(AT122&lt;=0,0,IF(ROUND(AT122*(1+'Calc base'!H123),2)-MAX('Calc base'!C$12,ROUND('Calc base'!C$13*AT122,2))&lt;1,ROUND(AT122*(1+'Calc base'!H123),2),MAX('Calc base'!C$12,ROUND('Calc base'!C$13*AT122,2))))</f>
        <v>0</v>
      </c>
      <c r="K123">
        <f>IF(AU122&lt;=0,0,IF(ROUND(AU122*(1+'Calc base'!I123),2)-MAX('Calc base'!D$12,ROUND('Calc base'!D$13*AU122,2))&lt;1,ROUND(AU122*(1+'Calc base'!I123),2),MAX('Calc base'!D$12,ROUND('Calc base'!D$13*AU122,2))))</f>
        <v>0</v>
      </c>
      <c r="L123">
        <f>IF(AV122&lt;=0,0,IF(ROUND(AV122*(1+'Calc base'!J123),2)-MAX('Calc base'!E$12,ROUND('Calc base'!E$13*AV122,2))&lt;1,ROUND(AV122*(1+'Calc base'!J123),2),MAX('Calc base'!E$12,ROUND('Calc base'!E$13*AV122,2))))</f>
        <v>0</v>
      </c>
      <c r="M123">
        <f>IF(AW122&lt;=0,0,IF(ROUND(AW122*(1+'Calc base'!K123),2)-MAX('Calc base'!F$12,ROUND('Calc base'!F$13*AW122,2))&lt;1,ROUND(AW122*(1+'Calc base'!K123),2),MAX('Calc base'!F$12,ROUND('Calc base'!F$13*AW122,2))))</f>
        <v>0</v>
      </c>
      <c r="N123">
        <f>IF(AX122&lt;=0,0,IF(ROUND(AX122*(1+'Calc base'!L123),2)-MAX('Calc base'!G$12,ROUND('Calc base'!G$13*AX122,2))&lt;1,ROUND(AX122*(1+'Calc base'!L123),2),MAX('Calc base'!G$12,ROUND('Calc base'!G$13*AX122,2))))</f>
        <v>0</v>
      </c>
      <c r="O123">
        <f>IF(AY122&lt;=0,0,IF(ROUND(AY122*(1+'Calc base'!M123),2)-MAX('Calc base'!H$12,ROUND('Calc base'!H$13*AY122,2))&lt;1,ROUND(AY122*(1+'Calc base'!M123),2),MAX('Calc base'!H$12,ROUND('Calc base'!H$13*AY122,2))))</f>
        <v>0</v>
      </c>
      <c r="P123">
        <f>IF(AZ122&lt;=0,0,IF(ROUND(AZ122*(1+'Calc base'!N123),2)-MAX('Calc base'!I$12,ROUND('Calc base'!I$13*AZ122,2))&lt;1,ROUND(AZ122*(1+'Calc base'!N123),2),MAX('Calc base'!I$12,ROUND('Calc base'!I$13*AZ122,2))))</f>
        <v>0</v>
      </c>
      <c r="Q123">
        <f>IF(BA122&lt;=0,0,IF(ROUND(BA122*(1+'Calc base'!O123),2)-MAX('Calc base'!J$12,ROUND('Calc base'!J$13*BA122,2))&lt;1,ROUND(BA122*(1+'Calc base'!O123),2),MAX('Calc base'!J$12,ROUND('Calc base'!J$13*BA122,2))))</f>
        <v>0</v>
      </c>
      <c r="R123">
        <f>IF(BB122&lt;=0,0,IF(ROUND(BB122*(1+'Calc base'!P123),2)-MAX('Calc base'!K$12,ROUND('Calc base'!K$13*BB122,2))&lt;1,ROUND(BB122*(1+'Calc base'!P123),2),MAX('Calc base'!K$12,ROUND('Calc base'!K$13*BB122,2))))</f>
        <v>0</v>
      </c>
      <c r="S123">
        <f>IF(BC122&lt;=0,0,IF(ROUND(BC122*(1+'Calc base'!Q123),2)-MAX('Calc base'!L$12,ROUND('Calc base'!L$13*BC122,2))&lt;1,ROUND(BC122*(1+'Calc base'!Q123),2),MAX('Calc base'!L$12,ROUND('Calc base'!L$13*BC122,2))))</f>
        <v>0</v>
      </c>
      <c r="T123">
        <f>IF(BD122&lt;=0,0,IF(ROUND(BD122*(1+'Calc base'!R123),2)-MAX('Calc base'!M$12,ROUND('Calc base'!M$13*BD122,2))&lt;1,ROUND(BD122*(1+'Calc base'!R123),2),MAX('Calc base'!M$12,ROUND('Calc base'!M$13*BD122,2))))</f>
        <v>0</v>
      </c>
      <c r="U123">
        <f>IF(BE122&lt;=0,0,IF(ROUND(BE122*(1+'Calc base'!S123),2)-MAX('Calc base'!N$12,ROUND('Calc base'!N$13*BE122,2))&lt;1,ROUND(BE122*(1+'Calc base'!S123),2),MAX('Calc base'!N$12,ROUND('Calc base'!N$13*BE122,2))))</f>
        <v>0</v>
      </c>
      <c r="V123">
        <f>MAX(0,ROUND(AT122*(1+'Calc base'!H123),2)-J123-'Calc base'!T123)</f>
        <v>0</v>
      </c>
      <c r="W123">
        <f>MAX(0,ROUND(AU122*(1+'Calc base'!I123),2)-K123-'Calc base'!U123)</f>
        <v>0</v>
      </c>
      <c r="X123">
        <f>MAX(0,ROUND(AV122*(1+'Calc base'!J123),2)-L123-'Calc base'!V123)</f>
        <v>0</v>
      </c>
      <c r="Y123">
        <f>MAX(0,ROUND(AW122*(1+'Calc base'!K123),2)-M123-'Calc base'!W123)</f>
        <v>0</v>
      </c>
      <c r="Z123">
        <f>MAX(0,ROUND(AX122*(1+'Calc base'!L123),2)-N123-'Calc base'!X123)</f>
        <v>0</v>
      </c>
      <c r="AA123">
        <f>MAX(0,ROUND(AY122*(1+'Calc base'!M123),2)-O123-'Calc base'!Y123)</f>
        <v>0</v>
      </c>
      <c r="AB123">
        <f>MAX(0,ROUND(AZ122*(1+'Calc base'!N123),2)-P123-'Calc base'!Z123)</f>
        <v>0</v>
      </c>
      <c r="AC123">
        <f>MAX(0,ROUND(BA122*(1+'Calc base'!O123),2)-Q123-'Calc base'!AA123)</f>
        <v>0</v>
      </c>
      <c r="AD123">
        <f>MAX(0,ROUND(BB122*(1+'Calc base'!P123),2)-R123-'Calc base'!AB123)</f>
        <v>0</v>
      </c>
      <c r="AE123">
        <f>MAX(0,ROUND(BC122*(1+'Calc base'!Q123),2)-S123-'Calc base'!AC123)</f>
        <v>0</v>
      </c>
      <c r="AF123">
        <f>MAX(0,ROUND(BD122*(1+'Calc base'!R123),2)-T123-'Calc base'!AD123)</f>
        <v>0</v>
      </c>
      <c r="AG123">
        <f>MAX(0,ROUND(BE122*(1+'Calc base'!S123),2)-U123-'Calc base'!AE123)</f>
        <v>0</v>
      </c>
      <c r="AH123">
        <f>IF('Calc base'!C$14=0,0,MIN(V123,MAX(0,$E123-SUMIFS($V123:$AG123,'Calc base'!$C$19:$N$19,"&lt;"&amp;'Calc base'!C$19,'Calc base'!$C$14:$N$14,1))))</f>
        <v>0</v>
      </c>
      <c r="AI123">
        <f>IF('Calc base'!D$14=0,0,MIN(W123,MAX(0,$E123-SUMIFS($V123:$AG123,'Calc base'!$C$19:$N$19,"&lt;"&amp;'Calc base'!D$19,'Calc base'!$C$14:$N$14,1))))</f>
        <v>0</v>
      </c>
      <c r="AJ123">
        <f>IF('Calc base'!E$14=0,0,MIN(X123,MAX(0,$E123-SUMIFS($V123:$AG123,'Calc base'!$C$19:$N$19,"&lt;"&amp;'Calc base'!E$19,'Calc base'!$C$14:$N$14,1))))</f>
        <v>0</v>
      </c>
      <c r="AK123">
        <f>IF('Calc base'!F$14=0,0,MIN(Y123,MAX(0,$E123-SUMIFS($V123:$AG123,'Calc base'!$C$19:$N$19,"&lt;"&amp;'Calc base'!F$19,'Calc base'!$C$14:$N$14,1))))</f>
        <v>0</v>
      </c>
      <c r="AL123">
        <f>IF('Calc base'!G$14=0,0,MIN(Z123,MAX(0,$E123-SUMIFS($V123:$AG123,'Calc base'!$C$19:$N$19,"&lt;"&amp;'Calc base'!G$19,'Calc base'!$C$14:$N$14,1))))</f>
        <v>0</v>
      </c>
      <c r="AM123">
        <f>IF('Calc base'!H$14=0,0,MIN(AA123,MAX(0,$E123-SUMIFS($V123:$AG123,'Calc base'!$C$19:$N$19,"&lt;"&amp;'Calc base'!H$19,'Calc base'!$C$14:$N$14,1))))</f>
        <v>0</v>
      </c>
      <c r="AN123">
        <f>IF('Calc base'!I$14=0,0,MIN(AB123,MAX(0,$E123-SUMIFS($V123:$AG123,'Calc base'!$C$19:$N$19,"&lt;"&amp;'Calc base'!I$19,'Calc base'!$C$14:$N$14,1))))</f>
        <v>0</v>
      </c>
      <c r="AO123">
        <f>IF('Calc base'!J$14=0,0,MIN(AC123,MAX(0,$E123-SUMIFS($V123:$AG123,'Calc base'!$C$19:$N$19,"&lt;"&amp;'Calc base'!J$19,'Calc base'!$C$14:$N$14,1))))</f>
        <v>0</v>
      </c>
      <c r="AP123">
        <f>IF('Calc base'!K$14=0,0,MIN(AD123,MAX(0,$E123-SUMIFS($V123:$AG123,'Calc base'!$C$19:$N$19,"&lt;"&amp;'Calc base'!K$19,'Calc base'!$C$14:$N$14,1))))</f>
        <v>0</v>
      </c>
      <c r="AQ123">
        <f>IF('Calc base'!L$14=0,0,MIN(AE123,MAX(0,$E123-SUMIFS($V123:$AG123,'Calc base'!$C$19:$N$19,"&lt;"&amp;'Calc base'!L$19,'Calc base'!$C$14:$N$14,1))))</f>
        <v>0</v>
      </c>
      <c r="AR123">
        <f>IF('Calc base'!M$14=0,0,MIN(AF123,MAX(0,$E123-SUMIFS($V123:$AG123,'Calc base'!$C$19:$N$19,"&lt;"&amp;'Calc base'!M$19,'Calc base'!$C$14:$N$14,1))))</f>
        <v>0</v>
      </c>
      <c r="AS123">
        <f>IF('Calc base'!N$14=0,0,MIN(AG123,MAX(0,$E123-SUMIFS($V123:$AG123,'Calc base'!$C$19:$N$19,"&lt;"&amp;'Calc base'!N$19,'Calc base'!$C$14:$N$14,1))))</f>
        <v>0</v>
      </c>
      <c r="AT123">
        <f>V123-AH123</f>
        <v>0</v>
      </c>
      <c r="AU123">
        <f>W123-AI123</f>
        <v>0</v>
      </c>
      <c r="AV123">
        <f>X123-AJ123</f>
        <v>0</v>
      </c>
      <c r="AW123">
        <f>Y123-AK123</f>
        <v>0</v>
      </c>
      <c r="AX123">
        <f>Z123-AL123</f>
        <v>0</v>
      </c>
      <c r="AY123">
        <f>AA123-AM123</f>
        <v>0</v>
      </c>
      <c r="AZ123">
        <f>AB123-AN123</f>
        <v>0</v>
      </c>
      <c r="BA123">
        <f>AC123-AO123</f>
        <v>0</v>
      </c>
      <c r="BB123">
        <f>AD123-AP123</f>
        <v>0</v>
      </c>
      <c r="BC123">
        <f>AE123-AQ123</f>
        <v>0</v>
      </c>
      <c r="BD123">
        <f>AF123-AR123</f>
        <v>0</v>
      </c>
      <c r="BE123">
        <f>AG123-AS123</f>
        <v>0</v>
      </c>
    </row>
    <row r="124">
      <c r="A124" t="n">
        <v>94</v>
      </c>
      <c r="B124">
        <f>SUMPRODUCT(ROUND($AT123:$BE123*(1+'Calc base'!$H124:$S124),2))</f>
        <v>0</v>
      </c>
      <c r="C124">
        <f>SUM(J124:U124)</f>
        <v>0</v>
      </c>
      <c r="D124">
        <f>SUM(V124:AG124)</f>
        <v>0</v>
      </c>
      <c r="E124">
        <f>MAX(0,IF(Impostazioni!$B$7="No",'Calc base'!$C124-$C$31,'Calc base'!$C124-C124)+'Calc base'!$G124+'Calc base'!$F124-(B124-C124-D124))</f>
        <v>900</v>
      </c>
      <c r="F124">
        <f>SUM(AH124:AS124)</f>
        <v>0</v>
      </c>
      <c r="G124">
        <f>SUM(AT124:BE124)</f>
        <v>0</v>
      </c>
      <c r="H124">
        <f>B124-G123</f>
        <v>0</v>
      </c>
      <c r="I124">
        <f>B124-G124</f>
        <v>0</v>
      </c>
      <c r="J124">
        <f>IF(AT123&lt;=0,0,IF(ROUND(AT123*(1+'Calc base'!H124),2)-MAX('Calc base'!C$12,ROUND('Calc base'!C$13*AT123,2))&lt;1,ROUND(AT123*(1+'Calc base'!H124),2),MAX('Calc base'!C$12,ROUND('Calc base'!C$13*AT123,2))))</f>
        <v>0</v>
      </c>
      <c r="K124">
        <f>IF(AU123&lt;=0,0,IF(ROUND(AU123*(1+'Calc base'!I124),2)-MAX('Calc base'!D$12,ROUND('Calc base'!D$13*AU123,2))&lt;1,ROUND(AU123*(1+'Calc base'!I124),2),MAX('Calc base'!D$12,ROUND('Calc base'!D$13*AU123,2))))</f>
        <v>0</v>
      </c>
      <c r="L124">
        <f>IF(AV123&lt;=0,0,IF(ROUND(AV123*(1+'Calc base'!J124),2)-MAX('Calc base'!E$12,ROUND('Calc base'!E$13*AV123,2))&lt;1,ROUND(AV123*(1+'Calc base'!J124),2),MAX('Calc base'!E$12,ROUND('Calc base'!E$13*AV123,2))))</f>
        <v>0</v>
      </c>
      <c r="M124">
        <f>IF(AW123&lt;=0,0,IF(ROUND(AW123*(1+'Calc base'!K124),2)-MAX('Calc base'!F$12,ROUND('Calc base'!F$13*AW123,2))&lt;1,ROUND(AW123*(1+'Calc base'!K124),2),MAX('Calc base'!F$12,ROUND('Calc base'!F$13*AW123,2))))</f>
        <v>0</v>
      </c>
      <c r="N124">
        <f>IF(AX123&lt;=0,0,IF(ROUND(AX123*(1+'Calc base'!L124),2)-MAX('Calc base'!G$12,ROUND('Calc base'!G$13*AX123,2))&lt;1,ROUND(AX123*(1+'Calc base'!L124),2),MAX('Calc base'!G$12,ROUND('Calc base'!G$13*AX123,2))))</f>
        <v>0</v>
      </c>
      <c r="O124">
        <f>IF(AY123&lt;=0,0,IF(ROUND(AY123*(1+'Calc base'!M124),2)-MAX('Calc base'!H$12,ROUND('Calc base'!H$13*AY123,2))&lt;1,ROUND(AY123*(1+'Calc base'!M124),2),MAX('Calc base'!H$12,ROUND('Calc base'!H$13*AY123,2))))</f>
        <v>0</v>
      </c>
      <c r="P124">
        <f>IF(AZ123&lt;=0,0,IF(ROUND(AZ123*(1+'Calc base'!N124),2)-MAX('Calc base'!I$12,ROUND('Calc base'!I$13*AZ123,2))&lt;1,ROUND(AZ123*(1+'Calc base'!N124),2),MAX('Calc base'!I$12,ROUND('Calc base'!I$13*AZ123,2))))</f>
        <v>0</v>
      </c>
      <c r="Q124">
        <f>IF(BA123&lt;=0,0,IF(ROUND(BA123*(1+'Calc base'!O124),2)-MAX('Calc base'!J$12,ROUND('Calc base'!J$13*BA123,2))&lt;1,ROUND(BA123*(1+'Calc base'!O124),2),MAX('Calc base'!J$12,ROUND('Calc base'!J$13*BA123,2))))</f>
        <v>0</v>
      </c>
      <c r="R124">
        <f>IF(BB123&lt;=0,0,IF(ROUND(BB123*(1+'Calc base'!P124),2)-MAX('Calc base'!K$12,ROUND('Calc base'!K$13*BB123,2))&lt;1,ROUND(BB123*(1+'Calc base'!P124),2),MAX('Calc base'!K$12,ROUND('Calc base'!K$13*BB123,2))))</f>
        <v>0</v>
      </c>
      <c r="S124">
        <f>IF(BC123&lt;=0,0,IF(ROUND(BC123*(1+'Calc base'!Q124),2)-MAX('Calc base'!L$12,ROUND('Calc base'!L$13*BC123,2))&lt;1,ROUND(BC123*(1+'Calc base'!Q124),2),MAX('Calc base'!L$12,ROUND('Calc base'!L$13*BC123,2))))</f>
        <v>0</v>
      </c>
      <c r="T124">
        <f>IF(BD123&lt;=0,0,IF(ROUND(BD123*(1+'Calc base'!R124),2)-MAX('Calc base'!M$12,ROUND('Calc base'!M$13*BD123,2))&lt;1,ROUND(BD123*(1+'Calc base'!R124),2),MAX('Calc base'!M$12,ROUND('Calc base'!M$13*BD123,2))))</f>
        <v>0</v>
      </c>
      <c r="U124">
        <f>IF(BE123&lt;=0,0,IF(ROUND(BE123*(1+'Calc base'!S124),2)-MAX('Calc base'!N$12,ROUND('Calc base'!N$13*BE123,2))&lt;1,ROUND(BE123*(1+'Calc base'!S124),2),MAX('Calc base'!N$12,ROUND('Calc base'!N$13*BE123,2))))</f>
        <v>0</v>
      </c>
      <c r="V124">
        <f>MAX(0,ROUND(AT123*(1+'Calc base'!H124),2)-J124-'Calc base'!T124)</f>
        <v>0</v>
      </c>
      <c r="W124">
        <f>MAX(0,ROUND(AU123*(1+'Calc base'!I124),2)-K124-'Calc base'!U124)</f>
        <v>0</v>
      </c>
      <c r="X124">
        <f>MAX(0,ROUND(AV123*(1+'Calc base'!J124),2)-L124-'Calc base'!V124)</f>
        <v>0</v>
      </c>
      <c r="Y124">
        <f>MAX(0,ROUND(AW123*(1+'Calc base'!K124),2)-M124-'Calc base'!W124)</f>
        <v>0</v>
      </c>
      <c r="Z124">
        <f>MAX(0,ROUND(AX123*(1+'Calc base'!L124),2)-N124-'Calc base'!X124)</f>
        <v>0</v>
      </c>
      <c r="AA124">
        <f>MAX(0,ROUND(AY123*(1+'Calc base'!M124),2)-O124-'Calc base'!Y124)</f>
        <v>0</v>
      </c>
      <c r="AB124">
        <f>MAX(0,ROUND(AZ123*(1+'Calc base'!N124),2)-P124-'Calc base'!Z124)</f>
        <v>0</v>
      </c>
      <c r="AC124">
        <f>MAX(0,ROUND(BA123*(1+'Calc base'!O124),2)-Q124-'Calc base'!AA124)</f>
        <v>0</v>
      </c>
      <c r="AD124">
        <f>MAX(0,ROUND(BB123*(1+'Calc base'!P124),2)-R124-'Calc base'!AB124)</f>
        <v>0</v>
      </c>
      <c r="AE124">
        <f>MAX(0,ROUND(BC123*(1+'Calc base'!Q124),2)-S124-'Calc base'!AC124)</f>
        <v>0</v>
      </c>
      <c r="AF124">
        <f>MAX(0,ROUND(BD123*(1+'Calc base'!R124),2)-T124-'Calc base'!AD124)</f>
        <v>0</v>
      </c>
      <c r="AG124">
        <f>MAX(0,ROUND(BE123*(1+'Calc base'!S124),2)-U124-'Calc base'!AE124)</f>
        <v>0</v>
      </c>
      <c r="AH124">
        <f>IF('Calc base'!C$14=0,0,MIN(V124,MAX(0,$E124-SUMIFS($V124:$AG124,'Calc base'!$C$19:$N$19,"&lt;"&amp;'Calc base'!C$19,'Calc base'!$C$14:$N$14,1))))</f>
        <v>0</v>
      </c>
      <c r="AI124">
        <f>IF('Calc base'!D$14=0,0,MIN(W124,MAX(0,$E124-SUMIFS($V124:$AG124,'Calc base'!$C$19:$N$19,"&lt;"&amp;'Calc base'!D$19,'Calc base'!$C$14:$N$14,1))))</f>
        <v>0</v>
      </c>
      <c r="AJ124">
        <f>IF('Calc base'!E$14=0,0,MIN(X124,MAX(0,$E124-SUMIFS($V124:$AG124,'Calc base'!$C$19:$N$19,"&lt;"&amp;'Calc base'!E$19,'Calc base'!$C$14:$N$14,1))))</f>
        <v>0</v>
      </c>
      <c r="AK124">
        <f>IF('Calc base'!F$14=0,0,MIN(Y124,MAX(0,$E124-SUMIFS($V124:$AG124,'Calc base'!$C$19:$N$19,"&lt;"&amp;'Calc base'!F$19,'Calc base'!$C$14:$N$14,1))))</f>
        <v>0</v>
      </c>
      <c r="AL124">
        <f>IF('Calc base'!G$14=0,0,MIN(Z124,MAX(0,$E124-SUMIFS($V124:$AG124,'Calc base'!$C$19:$N$19,"&lt;"&amp;'Calc base'!G$19,'Calc base'!$C$14:$N$14,1))))</f>
        <v>0</v>
      </c>
      <c r="AM124">
        <f>IF('Calc base'!H$14=0,0,MIN(AA124,MAX(0,$E124-SUMIFS($V124:$AG124,'Calc base'!$C$19:$N$19,"&lt;"&amp;'Calc base'!H$19,'Calc base'!$C$14:$N$14,1))))</f>
        <v>0</v>
      </c>
      <c r="AN124">
        <f>IF('Calc base'!I$14=0,0,MIN(AB124,MAX(0,$E124-SUMIFS($V124:$AG124,'Calc base'!$C$19:$N$19,"&lt;"&amp;'Calc base'!I$19,'Calc base'!$C$14:$N$14,1))))</f>
        <v>0</v>
      </c>
      <c r="AO124">
        <f>IF('Calc base'!J$14=0,0,MIN(AC124,MAX(0,$E124-SUMIFS($V124:$AG124,'Calc base'!$C$19:$N$19,"&lt;"&amp;'Calc base'!J$19,'Calc base'!$C$14:$N$14,1))))</f>
        <v>0</v>
      </c>
      <c r="AP124">
        <f>IF('Calc base'!K$14=0,0,MIN(AD124,MAX(0,$E124-SUMIFS($V124:$AG124,'Calc base'!$C$19:$N$19,"&lt;"&amp;'Calc base'!K$19,'Calc base'!$C$14:$N$14,1))))</f>
        <v>0</v>
      </c>
      <c r="AQ124">
        <f>IF('Calc base'!L$14=0,0,MIN(AE124,MAX(0,$E124-SUMIFS($V124:$AG124,'Calc base'!$C$19:$N$19,"&lt;"&amp;'Calc base'!L$19,'Calc base'!$C$14:$N$14,1))))</f>
        <v>0</v>
      </c>
      <c r="AR124">
        <f>IF('Calc base'!M$14=0,0,MIN(AF124,MAX(0,$E124-SUMIFS($V124:$AG124,'Calc base'!$C$19:$N$19,"&lt;"&amp;'Calc base'!M$19,'Calc base'!$C$14:$N$14,1))))</f>
        <v>0</v>
      </c>
      <c r="AS124">
        <f>IF('Calc base'!N$14=0,0,MIN(AG124,MAX(0,$E124-SUMIFS($V124:$AG124,'Calc base'!$C$19:$N$19,"&lt;"&amp;'Calc base'!N$19,'Calc base'!$C$14:$N$14,1))))</f>
        <v>0</v>
      </c>
      <c r="AT124">
        <f>V124-AH124</f>
        <v>0</v>
      </c>
      <c r="AU124">
        <f>W124-AI124</f>
        <v>0</v>
      </c>
      <c r="AV124">
        <f>X124-AJ124</f>
        <v>0</v>
      </c>
      <c r="AW124">
        <f>Y124-AK124</f>
        <v>0</v>
      </c>
      <c r="AX124">
        <f>Z124-AL124</f>
        <v>0</v>
      </c>
      <c r="AY124">
        <f>AA124-AM124</f>
        <v>0</v>
      </c>
      <c r="AZ124">
        <f>AB124-AN124</f>
        <v>0</v>
      </c>
      <c r="BA124">
        <f>AC124-AO124</f>
        <v>0</v>
      </c>
      <c r="BB124">
        <f>AD124-AP124</f>
        <v>0</v>
      </c>
      <c r="BC124">
        <f>AE124-AQ124</f>
        <v>0</v>
      </c>
      <c r="BD124">
        <f>AF124-AR124</f>
        <v>0</v>
      </c>
      <c r="BE124">
        <f>AG124-AS124</f>
        <v>0</v>
      </c>
    </row>
    <row r="125">
      <c r="A125" t="n">
        <v>95</v>
      </c>
      <c r="B125">
        <f>SUMPRODUCT(ROUND($AT124:$BE124*(1+'Calc base'!$H125:$S125),2))</f>
        <v>0</v>
      </c>
      <c r="C125">
        <f>SUM(J125:U125)</f>
        <v>0</v>
      </c>
      <c r="D125">
        <f>SUM(V125:AG125)</f>
        <v>0</v>
      </c>
      <c r="E125">
        <f>MAX(0,IF(Impostazioni!$B$7="No",'Calc base'!$C125-$C$31,'Calc base'!$C125-C125)+'Calc base'!$G125+'Calc base'!$F125-(B125-C125-D125))</f>
        <v>900</v>
      </c>
      <c r="F125">
        <f>SUM(AH125:AS125)</f>
        <v>0</v>
      </c>
      <c r="G125">
        <f>SUM(AT125:BE125)</f>
        <v>0</v>
      </c>
      <c r="H125">
        <f>B125-G124</f>
        <v>0</v>
      </c>
      <c r="I125">
        <f>B125-G125</f>
        <v>0</v>
      </c>
      <c r="J125">
        <f>IF(AT124&lt;=0,0,IF(ROUND(AT124*(1+'Calc base'!H125),2)-MAX('Calc base'!C$12,ROUND('Calc base'!C$13*AT124,2))&lt;1,ROUND(AT124*(1+'Calc base'!H125),2),MAX('Calc base'!C$12,ROUND('Calc base'!C$13*AT124,2))))</f>
        <v>0</v>
      </c>
      <c r="K125">
        <f>IF(AU124&lt;=0,0,IF(ROUND(AU124*(1+'Calc base'!I125),2)-MAX('Calc base'!D$12,ROUND('Calc base'!D$13*AU124,2))&lt;1,ROUND(AU124*(1+'Calc base'!I125),2),MAX('Calc base'!D$12,ROUND('Calc base'!D$13*AU124,2))))</f>
        <v>0</v>
      </c>
      <c r="L125">
        <f>IF(AV124&lt;=0,0,IF(ROUND(AV124*(1+'Calc base'!J125),2)-MAX('Calc base'!E$12,ROUND('Calc base'!E$13*AV124,2))&lt;1,ROUND(AV124*(1+'Calc base'!J125),2),MAX('Calc base'!E$12,ROUND('Calc base'!E$13*AV124,2))))</f>
        <v>0</v>
      </c>
      <c r="M125">
        <f>IF(AW124&lt;=0,0,IF(ROUND(AW124*(1+'Calc base'!K125),2)-MAX('Calc base'!F$12,ROUND('Calc base'!F$13*AW124,2))&lt;1,ROUND(AW124*(1+'Calc base'!K125),2),MAX('Calc base'!F$12,ROUND('Calc base'!F$13*AW124,2))))</f>
        <v>0</v>
      </c>
      <c r="N125">
        <f>IF(AX124&lt;=0,0,IF(ROUND(AX124*(1+'Calc base'!L125),2)-MAX('Calc base'!G$12,ROUND('Calc base'!G$13*AX124,2))&lt;1,ROUND(AX124*(1+'Calc base'!L125),2),MAX('Calc base'!G$12,ROUND('Calc base'!G$13*AX124,2))))</f>
        <v>0</v>
      </c>
      <c r="O125">
        <f>IF(AY124&lt;=0,0,IF(ROUND(AY124*(1+'Calc base'!M125),2)-MAX('Calc base'!H$12,ROUND('Calc base'!H$13*AY124,2))&lt;1,ROUND(AY124*(1+'Calc base'!M125),2),MAX('Calc base'!H$12,ROUND('Calc base'!H$13*AY124,2))))</f>
        <v>0</v>
      </c>
      <c r="P125">
        <f>IF(AZ124&lt;=0,0,IF(ROUND(AZ124*(1+'Calc base'!N125),2)-MAX('Calc base'!I$12,ROUND('Calc base'!I$13*AZ124,2))&lt;1,ROUND(AZ124*(1+'Calc base'!N125),2),MAX('Calc base'!I$12,ROUND('Calc base'!I$13*AZ124,2))))</f>
        <v>0</v>
      </c>
      <c r="Q125">
        <f>IF(BA124&lt;=0,0,IF(ROUND(BA124*(1+'Calc base'!O125),2)-MAX('Calc base'!J$12,ROUND('Calc base'!J$13*BA124,2))&lt;1,ROUND(BA124*(1+'Calc base'!O125),2),MAX('Calc base'!J$12,ROUND('Calc base'!J$13*BA124,2))))</f>
        <v>0</v>
      </c>
      <c r="R125">
        <f>IF(BB124&lt;=0,0,IF(ROUND(BB124*(1+'Calc base'!P125),2)-MAX('Calc base'!K$12,ROUND('Calc base'!K$13*BB124,2))&lt;1,ROUND(BB124*(1+'Calc base'!P125),2),MAX('Calc base'!K$12,ROUND('Calc base'!K$13*BB124,2))))</f>
        <v>0</v>
      </c>
      <c r="S125">
        <f>IF(BC124&lt;=0,0,IF(ROUND(BC124*(1+'Calc base'!Q125),2)-MAX('Calc base'!L$12,ROUND('Calc base'!L$13*BC124,2))&lt;1,ROUND(BC124*(1+'Calc base'!Q125),2),MAX('Calc base'!L$12,ROUND('Calc base'!L$13*BC124,2))))</f>
        <v>0</v>
      </c>
      <c r="T125">
        <f>IF(BD124&lt;=0,0,IF(ROUND(BD124*(1+'Calc base'!R125),2)-MAX('Calc base'!M$12,ROUND('Calc base'!M$13*BD124,2))&lt;1,ROUND(BD124*(1+'Calc base'!R125),2),MAX('Calc base'!M$12,ROUND('Calc base'!M$13*BD124,2))))</f>
        <v>0</v>
      </c>
      <c r="U125">
        <f>IF(BE124&lt;=0,0,IF(ROUND(BE124*(1+'Calc base'!S125),2)-MAX('Calc base'!N$12,ROUND('Calc base'!N$13*BE124,2))&lt;1,ROUND(BE124*(1+'Calc base'!S125),2),MAX('Calc base'!N$12,ROUND('Calc base'!N$13*BE124,2))))</f>
        <v>0</v>
      </c>
      <c r="V125">
        <f>MAX(0,ROUND(AT124*(1+'Calc base'!H125),2)-J125-'Calc base'!T125)</f>
        <v>0</v>
      </c>
      <c r="W125">
        <f>MAX(0,ROUND(AU124*(1+'Calc base'!I125),2)-K125-'Calc base'!U125)</f>
        <v>0</v>
      </c>
      <c r="X125">
        <f>MAX(0,ROUND(AV124*(1+'Calc base'!J125),2)-L125-'Calc base'!V125)</f>
        <v>0</v>
      </c>
      <c r="Y125">
        <f>MAX(0,ROUND(AW124*(1+'Calc base'!K125),2)-M125-'Calc base'!W125)</f>
        <v>0</v>
      </c>
      <c r="Z125">
        <f>MAX(0,ROUND(AX124*(1+'Calc base'!L125),2)-N125-'Calc base'!X125)</f>
        <v>0</v>
      </c>
      <c r="AA125">
        <f>MAX(0,ROUND(AY124*(1+'Calc base'!M125),2)-O125-'Calc base'!Y125)</f>
        <v>0</v>
      </c>
      <c r="AB125">
        <f>MAX(0,ROUND(AZ124*(1+'Calc base'!N125),2)-P125-'Calc base'!Z125)</f>
        <v>0</v>
      </c>
      <c r="AC125">
        <f>MAX(0,ROUND(BA124*(1+'Calc base'!O125),2)-Q125-'Calc base'!AA125)</f>
        <v>0</v>
      </c>
      <c r="AD125">
        <f>MAX(0,ROUND(BB124*(1+'Calc base'!P125),2)-R125-'Calc base'!AB125)</f>
        <v>0</v>
      </c>
      <c r="AE125">
        <f>MAX(0,ROUND(BC124*(1+'Calc base'!Q125),2)-S125-'Calc base'!AC125)</f>
        <v>0</v>
      </c>
      <c r="AF125">
        <f>MAX(0,ROUND(BD124*(1+'Calc base'!R125),2)-T125-'Calc base'!AD125)</f>
        <v>0</v>
      </c>
      <c r="AG125">
        <f>MAX(0,ROUND(BE124*(1+'Calc base'!S125),2)-U125-'Calc base'!AE125)</f>
        <v>0</v>
      </c>
      <c r="AH125">
        <f>IF('Calc base'!C$14=0,0,MIN(V125,MAX(0,$E125-SUMIFS($V125:$AG125,'Calc base'!$C$19:$N$19,"&lt;"&amp;'Calc base'!C$19,'Calc base'!$C$14:$N$14,1))))</f>
        <v>0</v>
      </c>
      <c r="AI125">
        <f>IF('Calc base'!D$14=0,0,MIN(W125,MAX(0,$E125-SUMIFS($V125:$AG125,'Calc base'!$C$19:$N$19,"&lt;"&amp;'Calc base'!D$19,'Calc base'!$C$14:$N$14,1))))</f>
        <v>0</v>
      </c>
      <c r="AJ125">
        <f>IF('Calc base'!E$14=0,0,MIN(X125,MAX(0,$E125-SUMIFS($V125:$AG125,'Calc base'!$C$19:$N$19,"&lt;"&amp;'Calc base'!E$19,'Calc base'!$C$14:$N$14,1))))</f>
        <v>0</v>
      </c>
      <c r="AK125">
        <f>IF('Calc base'!F$14=0,0,MIN(Y125,MAX(0,$E125-SUMIFS($V125:$AG125,'Calc base'!$C$19:$N$19,"&lt;"&amp;'Calc base'!F$19,'Calc base'!$C$14:$N$14,1))))</f>
        <v>0</v>
      </c>
      <c r="AL125">
        <f>IF('Calc base'!G$14=0,0,MIN(Z125,MAX(0,$E125-SUMIFS($V125:$AG125,'Calc base'!$C$19:$N$19,"&lt;"&amp;'Calc base'!G$19,'Calc base'!$C$14:$N$14,1))))</f>
        <v>0</v>
      </c>
      <c r="AM125">
        <f>IF('Calc base'!H$14=0,0,MIN(AA125,MAX(0,$E125-SUMIFS($V125:$AG125,'Calc base'!$C$19:$N$19,"&lt;"&amp;'Calc base'!H$19,'Calc base'!$C$14:$N$14,1))))</f>
        <v>0</v>
      </c>
      <c r="AN125">
        <f>IF('Calc base'!I$14=0,0,MIN(AB125,MAX(0,$E125-SUMIFS($V125:$AG125,'Calc base'!$C$19:$N$19,"&lt;"&amp;'Calc base'!I$19,'Calc base'!$C$14:$N$14,1))))</f>
        <v>0</v>
      </c>
      <c r="AO125">
        <f>IF('Calc base'!J$14=0,0,MIN(AC125,MAX(0,$E125-SUMIFS($V125:$AG125,'Calc base'!$C$19:$N$19,"&lt;"&amp;'Calc base'!J$19,'Calc base'!$C$14:$N$14,1))))</f>
        <v>0</v>
      </c>
      <c r="AP125">
        <f>IF('Calc base'!K$14=0,0,MIN(AD125,MAX(0,$E125-SUMIFS($V125:$AG125,'Calc base'!$C$19:$N$19,"&lt;"&amp;'Calc base'!K$19,'Calc base'!$C$14:$N$14,1))))</f>
        <v>0</v>
      </c>
      <c r="AQ125">
        <f>IF('Calc base'!L$14=0,0,MIN(AE125,MAX(0,$E125-SUMIFS($V125:$AG125,'Calc base'!$C$19:$N$19,"&lt;"&amp;'Calc base'!L$19,'Calc base'!$C$14:$N$14,1))))</f>
        <v>0</v>
      </c>
      <c r="AR125">
        <f>IF('Calc base'!M$14=0,0,MIN(AF125,MAX(0,$E125-SUMIFS($V125:$AG125,'Calc base'!$C$19:$N$19,"&lt;"&amp;'Calc base'!M$19,'Calc base'!$C$14:$N$14,1))))</f>
        <v>0</v>
      </c>
      <c r="AS125">
        <f>IF('Calc base'!N$14=0,0,MIN(AG125,MAX(0,$E125-SUMIFS($V125:$AG125,'Calc base'!$C$19:$N$19,"&lt;"&amp;'Calc base'!N$19,'Calc base'!$C$14:$N$14,1))))</f>
        <v>0</v>
      </c>
      <c r="AT125">
        <f>V125-AH125</f>
        <v>0</v>
      </c>
      <c r="AU125">
        <f>W125-AI125</f>
        <v>0</v>
      </c>
      <c r="AV125">
        <f>X125-AJ125</f>
        <v>0</v>
      </c>
      <c r="AW125">
        <f>Y125-AK125</f>
        <v>0</v>
      </c>
      <c r="AX125">
        <f>Z125-AL125</f>
        <v>0</v>
      </c>
      <c r="AY125">
        <f>AA125-AM125</f>
        <v>0</v>
      </c>
      <c r="AZ125">
        <f>AB125-AN125</f>
        <v>0</v>
      </c>
      <c r="BA125">
        <f>AC125-AO125</f>
        <v>0</v>
      </c>
      <c r="BB125">
        <f>AD125-AP125</f>
        <v>0</v>
      </c>
      <c r="BC125">
        <f>AE125-AQ125</f>
        <v>0</v>
      </c>
      <c r="BD125">
        <f>AF125-AR125</f>
        <v>0</v>
      </c>
      <c r="BE125">
        <f>AG125-AS125</f>
        <v>0</v>
      </c>
    </row>
    <row r="126">
      <c r="A126" t="n">
        <v>96</v>
      </c>
      <c r="B126">
        <f>SUMPRODUCT(ROUND($AT125:$BE125*(1+'Calc base'!$H126:$S126),2))</f>
        <v>0</v>
      </c>
      <c r="C126">
        <f>SUM(J126:U126)</f>
        <v>0</v>
      </c>
      <c r="D126">
        <f>SUM(V126:AG126)</f>
        <v>0</v>
      </c>
      <c r="E126">
        <f>MAX(0,IF(Impostazioni!$B$7="No",'Calc base'!$C126-$C$31,'Calc base'!$C126-C126)+'Calc base'!$G126+'Calc base'!$F126-(B126-C126-D126))</f>
        <v>900</v>
      </c>
      <c r="F126">
        <f>SUM(AH126:AS126)</f>
        <v>0</v>
      </c>
      <c r="G126">
        <f>SUM(AT126:BE126)</f>
        <v>0</v>
      </c>
      <c r="H126">
        <f>B126-G125</f>
        <v>0</v>
      </c>
      <c r="I126">
        <f>B126-G126</f>
        <v>0</v>
      </c>
      <c r="J126">
        <f>IF(AT125&lt;=0,0,IF(ROUND(AT125*(1+'Calc base'!H126),2)-MAX('Calc base'!C$12,ROUND('Calc base'!C$13*AT125,2))&lt;1,ROUND(AT125*(1+'Calc base'!H126),2),MAX('Calc base'!C$12,ROUND('Calc base'!C$13*AT125,2))))</f>
        <v>0</v>
      </c>
      <c r="K126">
        <f>IF(AU125&lt;=0,0,IF(ROUND(AU125*(1+'Calc base'!I126),2)-MAX('Calc base'!D$12,ROUND('Calc base'!D$13*AU125,2))&lt;1,ROUND(AU125*(1+'Calc base'!I126),2),MAX('Calc base'!D$12,ROUND('Calc base'!D$13*AU125,2))))</f>
        <v>0</v>
      </c>
      <c r="L126">
        <f>IF(AV125&lt;=0,0,IF(ROUND(AV125*(1+'Calc base'!J126),2)-MAX('Calc base'!E$12,ROUND('Calc base'!E$13*AV125,2))&lt;1,ROUND(AV125*(1+'Calc base'!J126),2),MAX('Calc base'!E$12,ROUND('Calc base'!E$13*AV125,2))))</f>
        <v>0</v>
      </c>
      <c r="M126">
        <f>IF(AW125&lt;=0,0,IF(ROUND(AW125*(1+'Calc base'!K126),2)-MAX('Calc base'!F$12,ROUND('Calc base'!F$13*AW125,2))&lt;1,ROUND(AW125*(1+'Calc base'!K126),2),MAX('Calc base'!F$12,ROUND('Calc base'!F$13*AW125,2))))</f>
        <v>0</v>
      </c>
      <c r="N126">
        <f>IF(AX125&lt;=0,0,IF(ROUND(AX125*(1+'Calc base'!L126),2)-MAX('Calc base'!G$12,ROUND('Calc base'!G$13*AX125,2))&lt;1,ROUND(AX125*(1+'Calc base'!L126),2),MAX('Calc base'!G$12,ROUND('Calc base'!G$13*AX125,2))))</f>
        <v>0</v>
      </c>
      <c r="O126">
        <f>IF(AY125&lt;=0,0,IF(ROUND(AY125*(1+'Calc base'!M126),2)-MAX('Calc base'!H$12,ROUND('Calc base'!H$13*AY125,2))&lt;1,ROUND(AY125*(1+'Calc base'!M126),2),MAX('Calc base'!H$12,ROUND('Calc base'!H$13*AY125,2))))</f>
        <v>0</v>
      </c>
      <c r="P126">
        <f>IF(AZ125&lt;=0,0,IF(ROUND(AZ125*(1+'Calc base'!N126),2)-MAX('Calc base'!I$12,ROUND('Calc base'!I$13*AZ125,2))&lt;1,ROUND(AZ125*(1+'Calc base'!N126),2),MAX('Calc base'!I$12,ROUND('Calc base'!I$13*AZ125,2))))</f>
        <v>0</v>
      </c>
      <c r="Q126">
        <f>IF(BA125&lt;=0,0,IF(ROUND(BA125*(1+'Calc base'!O126),2)-MAX('Calc base'!J$12,ROUND('Calc base'!J$13*BA125,2))&lt;1,ROUND(BA125*(1+'Calc base'!O126),2),MAX('Calc base'!J$12,ROUND('Calc base'!J$13*BA125,2))))</f>
        <v>0</v>
      </c>
      <c r="R126">
        <f>IF(BB125&lt;=0,0,IF(ROUND(BB125*(1+'Calc base'!P126),2)-MAX('Calc base'!K$12,ROUND('Calc base'!K$13*BB125,2))&lt;1,ROUND(BB125*(1+'Calc base'!P126),2),MAX('Calc base'!K$12,ROUND('Calc base'!K$13*BB125,2))))</f>
        <v>0</v>
      </c>
      <c r="S126">
        <f>IF(BC125&lt;=0,0,IF(ROUND(BC125*(1+'Calc base'!Q126),2)-MAX('Calc base'!L$12,ROUND('Calc base'!L$13*BC125,2))&lt;1,ROUND(BC125*(1+'Calc base'!Q126),2),MAX('Calc base'!L$12,ROUND('Calc base'!L$13*BC125,2))))</f>
        <v>0</v>
      </c>
      <c r="T126">
        <f>IF(BD125&lt;=0,0,IF(ROUND(BD125*(1+'Calc base'!R126),2)-MAX('Calc base'!M$12,ROUND('Calc base'!M$13*BD125,2))&lt;1,ROUND(BD125*(1+'Calc base'!R126),2),MAX('Calc base'!M$12,ROUND('Calc base'!M$13*BD125,2))))</f>
        <v>0</v>
      </c>
      <c r="U126">
        <f>IF(BE125&lt;=0,0,IF(ROUND(BE125*(1+'Calc base'!S126),2)-MAX('Calc base'!N$12,ROUND('Calc base'!N$13*BE125,2))&lt;1,ROUND(BE125*(1+'Calc base'!S126),2),MAX('Calc base'!N$12,ROUND('Calc base'!N$13*BE125,2))))</f>
        <v>0</v>
      </c>
      <c r="V126">
        <f>MAX(0,ROUND(AT125*(1+'Calc base'!H126),2)-J126-'Calc base'!T126)</f>
        <v>0</v>
      </c>
      <c r="W126">
        <f>MAX(0,ROUND(AU125*(1+'Calc base'!I126),2)-K126-'Calc base'!U126)</f>
        <v>0</v>
      </c>
      <c r="X126">
        <f>MAX(0,ROUND(AV125*(1+'Calc base'!J126),2)-L126-'Calc base'!V126)</f>
        <v>0</v>
      </c>
      <c r="Y126">
        <f>MAX(0,ROUND(AW125*(1+'Calc base'!K126),2)-M126-'Calc base'!W126)</f>
        <v>0</v>
      </c>
      <c r="Z126">
        <f>MAX(0,ROUND(AX125*(1+'Calc base'!L126),2)-N126-'Calc base'!X126)</f>
        <v>0</v>
      </c>
      <c r="AA126">
        <f>MAX(0,ROUND(AY125*(1+'Calc base'!M126),2)-O126-'Calc base'!Y126)</f>
        <v>0</v>
      </c>
      <c r="AB126">
        <f>MAX(0,ROUND(AZ125*(1+'Calc base'!N126),2)-P126-'Calc base'!Z126)</f>
        <v>0</v>
      </c>
      <c r="AC126">
        <f>MAX(0,ROUND(BA125*(1+'Calc base'!O126),2)-Q126-'Calc base'!AA126)</f>
        <v>0</v>
      </c>
      <c r="AD126">
        <f>MAX(0,ROUND(BB125*(1+'Calc base'!P126),2)-R126-'Calc base'!AB126)</f>
        <v>0</v>
      </c>
      <c r="AE126">
        <f>MAX(0,ROUND(BC125*(1+'Calc base'!Q126),2)-S126-'Calc base'!AC126)</f>
        <v>0</v>
      </c>
      <c r="AF126">
        <f>MAX(0,ROUND(BD125*(1+'Calc base'!R126),2)-T126-'Calc base'!AD126)</f>
        <v>0</v>
      </c>
      <c r="AG126">
        <f>MAX(0,ROUND(BE125*(1+'Calc base'!S126),2)-U126-'Calc base'!AE126)</f>
        <v>0</v>
      </c>
      <c r="AH126">
        <f>IF('Calc base'!C$14=0,0,MIN(V126,MAX(0,$E126-SUMIFS($V126:$AG126,'Calc base'!$C$19:$N$19,"&lt;"&amp;'Calc base'!C$19,'Calc base'!$C$14:$N$14,1))))</f>
        <v>0</v>
      </c>
      <c r="AI126">
        <f>IF('Calc base'!D$14=0,0,MIN(W126,MAX(0,$E126-SUMIFS($V126:$AG126,'Calc base'!$C$19:$N$19,"&lt;"&amp;'Calc base'!D$19,'Calc base'!$C$14:$N$14,1))))</f>
        <v>0</v>
      </c>
      <c r="AJ126">
        <f>IF('Calc base'!E$14=0,0,MIN(X126,MAX(0,$E126-SUMIFS($V126:$AG126,'Calc base'!$C$19:$N$19,"&lt;"&amp;'Calc base'!E$19,'Calc base'!$C$14:$N$14,1))))</f>
        <v>0</v>
      </c>
      <c r="AK126">
        <f>IF('Calc base'!F$14=0,0,MIN(Y126,MAX(0,$E126-SUMIFS($V126:$AG126,'Calc base'!$C$19:$N$19,"&lt;"&amp;'Calc base'!F$19,'Calc base'!$C$14:$N$14,1))))</f>
        <v>0</v>
      </c>
      <c r="AL126">
        <f>IF('Calc base'!G$14=0,0,MIN(Z126,MAX(0,$E126-SUMIFS($V126:$AG126,'Calc base'!$C$19:$N$19,"&lt;"&amp;'Calc base'!G$19,'Calc base'!$C$14:$N$14,1))))</f>
        <v>0</v>
      </c>
      <c r="AM126">
        <f>IF('Calc base'!H$14=0,0,MIN(AA126,MAX(0,$E126-SUMIFS($V126:$AG126,'Calc base'!$C$19:$N$19,"&lt;"&amp;'Calc base'!H$19,'Calc base'!$C$14:$N$14,1))))</f>
        <v>0</v>
      </c>
      <c r="AN126">
        <f>IF('Calc base'!I$14=0,0,MIN(AB126,MAX(0,$E126-SUMIFS($V126:$AG126,'Calc base'!$C$19:$N$19,"&lt;"&amp;'Calc base'!I$19,'Calc base'!$C$14:$N$14,1))))</f>
        <v>0</v>
      </c>
      <c r="AO126">
        <f>IF('Calc base'!J$14=0,0,MIN(AC126,MAX(0,$E126-SUMIFS($V126:$AG126,'Calc base'!$C$19:$N$19,"&lt;"&amp;'Calc base'!J$19,'Calc base'!$C$14:$N$14,1))))</f>
        <v>0</v>
      </c>
      <c r="AP126">
        <f>IF('Calc base'!K$14=0,0,MIN(AD126,MAX(0,$E126-SUMIFS($V126:$AG126,'Calc base'!$C$19:$N$19,"&lt;"&amp;'Calc base'!K$19,'Calc base'!$C$14:$N$14,1))))</f>
        <v>0</v>
      </c>
      <c r="AQ126">
        <f>IF('Calc base'!L$14=0,0,MIN(AE126,MAX(0,$E126-SUMIFS($V126:$AG126,'Calc base'!$C$19:$N$19,"&lt;"&amp;'Calc base'!L$19,'Calc base'!$C$14:$N$14,1))))</f>
        <v>0</v>
      </c>
      <c r="AR126">
        <f>IF('Calc base'!M$14=0,0,MIN(AF126,MAX(0,$E126-SUMIFS($V126:$AG126,'Calc base'!$C$19:$N$19,"&lt;"&amp;'Calc base'!M$19,'Calc base'!$C$14:$N$14,1))))</f>
        <v>0</v>
      </c>
      <c r="AS126">
        <f>IF('Calc base'!N$14=0,0,MIN(AG126,MAX(0,$E126-SUMIFS($V126:$AG126,'Calc base'!$C$19:$N$19,"&lt;"&amp;'Calc base'!N$19,'Calc base'!$C$14:$N$14,1))))</f>
        <v>0</v>
      </c>
      <c r="AT126">
        <f>V126-AH126</f>
        <v>0</v>
      </c>
      <c r="AU126">
        <f>W126-AI126</f>
        <v>0</v>
      </c>
      <c r="AV126">
        <f>X126-AJ126</f>
        <v>0</v>
      </c>
      <c r="AW126">
        <f>Y126-AK126</f>
        <v>0</v>
      </c>
      <c r="AX126">
        <f>Z126-AL126</f>
        <v>0</v>
      </c>
      <c r="AY126">
        <f>AA126-AM126</f>
        <v>0</v>
      </c>
      <c r="AZ126">
        <f>AB126-AN126</f>
        <v>0</v>
      </c>
      <c r="BA126">
        <f>AC126-AO126</f>
        <v>0</v>
      </c>
      <c r="BB126">
        <f>AD126-AP126</f>
        <v>0</v>
      </c>
      <c r="BC126">
        <f>AE126-AQ126</f>
        <v>0</v>
      </c>
      <c r="BD126">
        <f>AF126-AR126</f>
        <v>0</v>
      </c>
      <c r="BE126">
        <f>AG126-AS126</f>
        <v>0</v>
      </c>
    </row>
    <row r="127">
      <c r="A127" t="n">
        <v>97</v>
      </c>
      <c r="B127">
        <f>SUMPRODUCT(ROUND($AT126:$BE126*(1+'Calc base'!$H127:$S127),2))</f>
        <v>0</v>
      </c>
      <c r="C127">
        <f>SUM(J127:U127)</f>
        <v>0</v>
      </c>
      <c r="D127">
        <f>SUM(V127:AG127)</f>
        <v>0</v>
      </c>
      <c r="E127">
        <f>MAX(0,IF(Impostazioni!$B$7="No",'Calc base'!$C127-$C$31,'Calc base'!$C127-C127)+'Calc base'!$G127+'Calc base'!$F127-(B127-C127-D127))</f>
        <v>900</v>
      </c>
      <c r="F127">
        <f>SUM(AH127:AS127)</f>
        <v>0</v>
      </c>
      <c r="G127">
        <f>SUM(AT127:BE127)</f>
        <v>0</v>
      </c>
      <c r="H127">
        <f>B127-G126</f>
        <v>0</v>
      </c>
      <c r="I127">
        <f>B127-G127</f>
        <v>0</v>
      </c>
      <c r="J127">
        <f>IF(AT126&lt;=0,0,IF(ROUND(AT126*(1+'Calc base'!H127),2)-MAX('Calc base'!C$12,ROUND('Calc base'!C$13*AT126,2))&lt;1,ROUND(AT126*(1+'Calc base'!H127),2),MAX('Calc base'!C$12,ROUND('Calc base'!C$13*AT126,2))))</f>
        <v>0</v>
      </c>
      <c r="K127">
        <f>IF(AU126&lt;=0,0,IF(ROUND(AU126*(1+'Calc base'!I127),2)-MAX('Calc base'!D$12,ROUND('Calc base'!D$13*AU126,2))&lt;1,ROUND(AU126*(1+'Calc base'!I127),2),MAX('Calc base'!D$12,ROUND('Calc base'!D$13*AU126,2))))</f>
        <v>0</v>
      </c>
      <c r="L127">
        <f>IF(AV126&lt;=0,0,IF(ROUND(AV126*(1+'Calc base'!J127),2)-MAX('Calc base'!E$12,ROUND('Calc base'!E$13*AV126,2))&lt;1,ROUND(AV126*(1+'Calc base'!J127),2),MAX('Calc base'!E$12,ROUND('Calc base'!E$13*AV126,2))))</f>
        <v>0</v>
      </c>
      <c r="M127">
        <f>IF(AW126&lt;=0,0,IF(ROUND(AW126*(1+'Calc base'!K127),2)-MAX('Calc base'!F$12,ROUND('Calc base'!F$13*AW126,2))&lt;1,ROUND(AW126*(1+'Calc base'!K127),2),MAX('Calc base'!F$12,ROUND('Calc base'!F$13*AW126,2))))</f>
        <v>0</v>
      </c>
      <c r="N127">
        <f>IF(AX126&lt;=0,0,IF(ROUND(AX126*(1+'Calc base'!L127),2)-MAX('Calc base'!G$12,ROUND('Calc base'!G$13*AX126,2))&lt;1,ROUND(AX126*(1+'Calc base'!L127),2),MAX('Calc base'!G$12,ROUND('Calc base'!G$13*AX126,2))))</f>
        <v>0</v>
      </c>
      <c r="O127">
        <f>IF(AY126&lt;=0,0,IF(ROUND(AY126*(1+'Calc base'!M127),2)-MAX('Calc base'!H$12,ROUND('Calc base'!H$13*AY126,2))&lt;1,ROUND(AY126*(1+'Calc base'!M127),2),MAX('Calc base'!H$12,ROUND('Calc base'!H$13*AY126,2))))</f>
        <v>0</v>
      </c>
      <c r="P127">
        <f>IF(AZ126&lt;=0,0,IF(ROUND(AZ126*(1+'Calc base'!N127),2)-MAX('Calc base'!I$12,ROUND('Calc base'!I$13*AZ126,2))&lt;1,ROUND(AZ126*(1+'Calc base'!N127),2),MAX('Calc base'!I$12,ROUND('Calc base'!I$13*AZ126,2))))</f>
        <v>0</v>
      </c>
      <c r="Q127">
        <f>IF(BA126&lt;=0,0,IF(ROUND(BA126*(1+'Calc base'!O127),2)-MAX('Calc base'!J$12,ROUND('Calc base'!J$13*BA126,2))&lt;1,ROUND(BA126*(1+'Calc base'!O127),2),MAX('Calc base'!J$12,ROUND('Calc base'!J$13*BA126,2))))</f>
        <v>0</v>
      </c>
      <c r="R127">
        <f>IF(BB126&lt;=0,0,IF(ROUND(BB126*(1+'Calc base'!P127),2)-MAX('Calc base'!K$12,ROUND('Calc base'!K$13*BB126,2))&lt;1,ROUND(BB126*(1+'Calc base'!P127),2),MAX('Calc base'!K$12,ROUND('Calc base'!K$13*BB126,2))))</f>
        <v>0</v>
      </c>
      <c r="S127">
        <f>IF(BC126&lt;=0,0,IF(ROUND(BC126*(1+'Calc base'!Q127),2)-MAX('Calc base'!L$12,ROUND('Calc base'!L$13*BC126,2))&lt;1,ROUND(BC126*(1+'Calc base'!Q127),2),MAX('Calc base'!L$12,ROUND('Calc base'!L$13*BC126,2))))</f>
        <v>0</v>
      </c>
      <c r="T127">
        <f>IF(BD126&lt;=0,0,IF(ROUND(BD126*(1+'Calc base'!R127),2)-MAX('Calc base'!M$12,ROUND('Calc base'!M$13*BD126,2))&lt;1,ROUND(BD126*(1+'Calc base'!R127),2),MAX('Calc base'!M$12,ROUND('Calc base'!M$13*BD126,2))))</f>
        <v>0</v>
      </c>
      <c r="U127">
        <f>IF(BE126&lt;=0,0,IF(ROUND(BE126*(1+'Calc base'!S127),2)-MAX('Calc base'!N$12,ROUND('Calc base'!N$13*BE126,2))&lt;1,ROUND(BE126*(1+'Calc base'!S127),2),MAX('Calc base'!N$12,ROUND('Calc base'!N$13*BE126,2))))</f>
        <v>0</v>
      </c>
      <c r="V127">
        <f>MAX(0,ROUND(AT126*(1+'Calc base'!H127),2)-J127-'Calc base'!T127)</f>
        <v>0</v>
      </c>
      <c r="W127">
        <f>MAX(0,ROUND(AU126*(1+'Calc base'!I127),2)-K127-'Calc base'!U127)</f>
        <v>0</v>
      </c>
      <c r="X127">
        <f>MAX(0,ROUND(AV126*(1+'Calc base'!J127),2)-L127-'Calc base'!V127)</f>
        <v>0</v>
      </c>
      <c r="Y127">
        <f>MAX(0,ROUND(AW126*(1+'Calc base'!K127),2)-M127-'Calc base'!W127)</f>
        <v>0</v>
      </c>
      <c r="Z127">
        <f>MAX(0,ROUND(AX126*(1+'Calc base'!L127),2)-N127-'Calc base'!X127)</f>
        <v>0</v>
      </c>
      <c r="AA127">
        <f>MAX(0,ROUND(AY126*(1+'Calc base'!M127),2)-O127-'Calc base'!Y127)</f>
        <v>0</v>
      </c>
      <c r="AB127">
        <f>MAX(0,ROUND(AZ126*(1+'Calc base'!N127),2)-P127-'Calc base'!Z127)</f>
        <v>0</v>
      </c>
      <c r="AC127">
        <f>MAX(0,ROUND(BA126*(1+'Calc base'!O127),2)-Q127-'Calc base'!AA127)</f>
        <v>0</v>
      </c>
      <c r="AD127">
        <f>MAX(0,ROUND(BB126*(1+'Calc base'!P127),2)-R127-'Calc base'!AB127)</f>
        <v>0</v>
      </c>
      <c r="AE127">
        <f>MAX(0,ROUND(BC126*(1+'Calc base'!Q127),2)-S127-'Calc base'!AC127)</f>
        <v>0</v>
      </c>
      <c r="AF127">
        <f>MAX(0,ROUND(BD126*(1+'Calc base'!R127),2)-T127-'Calc base'!AD127)</f>
        <v>0</v>
      </c>
      <c r="AG127">
        <f>MAX(0,ROUND(BE126*(1+'Calc base'!S127),2)-U127-'Calc base'!AE127)</f>
        <v>0</v>
      </c>
      <c r="AH127">
        <f>IF('Calc base'!C$14=0,0,MIN(V127,MAX(0,$E127-SUMIFS($V127:$AG127,'Calc base'!$C$19:$N$19,"&lt;"&amp;'Calc base'!C$19,'Calc base'!$C$14:$N$14,1))))</f>
        <v>0</v>
      </c>
      <c r="AI127">
        <f>IF('Calc base'!D$14=0,0,MIN(W127,MAX(0,$E127-SUMIFS($V127:$AG127,'Calc base'!$C$19:$N$19,"&lt;"&amp;'Calc base'!D$19,'Calc base'!$C$14:$N$14,1))))</f>
        <v>0</v>
      </c>
      <c r="AJ127">
        <f>IF('Calc base'!E$14=0,0,MIN(X127,MAX(0,$E127-SUMIFS($V127:$AG127,'Calc base'!$C$19:$N$19,"&lt;"&amp;'Calc base'!E$19,'Calc base'!$C$14:$N$14,1))))</f>
        <v>0</v>
      </c>
      <c r="AK127">
        <f>IF('Calc base'!F$14=0,0,MIN(Y127,MAX(0,$E127-SUMIFS($V127:$AG127,'Calc base'!$C$19:$N$19,"&lt;"&amp;'Calc base'!F$19,'Calc base'!$C$14:$N$14,1))))</f>
        <v>0</v>
      </c>
      <c r="AL127">
        <f>IF('Calc base'!G$14=0,0,MIN(Z127,MAX(0,$E127-SUMIFS($V127:$AG127,'Calc base'!$C$19:$N$19,"&lt;"&amp;'Calc base'!G$19,'Calc base'!$C$14:$N$14,1))))</f>
        <v>0</v>
      </c>
      <c r="AM127">
        <f>IF('Calc base'!H$14=0,0,MIN(AA127,MAX(0,$E127-SUMIFS($V127:$AG127,'Calc base'!$C$19:$N$19,"&lt;"&amp;'Calc base'!H$19,'Calc base'!$C$14:$N$14,1))))</f>
        <v>0</v>
      </c>
      <c r="AN127">
        <f>IF('Calc base'!I$14=0,0,MIN(AB127,MAX(0,$E127-SUMIFS($V127:$AG127,'Calc base'!$C$19:$N$19,"&lt;"&amp;'Calc base'!I$19,'Calc base'!$C$14:$N$14,1))))</f>
        <v>0</v>
      </c>
      <c r="AO127">
        <f>IF('Calc base'!J$14=0,0,MIN(AC127,MAX(0,$E127-SUMIFS($V127:$AG127,'Calc base'!$C$19:$N$19,"&lt;"&amp;'Calc base'!J$19,'Calc base'!$C$14:$N$14,1))))</f>
        <v>0</v>
      </c>
      <c r="AP127">
        <f>IF('Calc base'!K$14=0,0,MIN(AD127,MAX(0,$E127-SUMIFS($V127:$AG127,'Calc base'!$C$19:$N$19,"&lt;"&amp;'Calc base'!K$19,'Calc base'!$C$14:$N$14,1))))</f>
        <v>0</v>
      </c>
      <c r="AQ127">
        <f>IF('Calc base'!L$14=0,0,MIN(AE127,MAX(0,$E127-SUMIFS($V127:$AG127,'Calc base'!$C$19:$N$19,"&lt;"&amp;'Calc base'!L$19,'Calc base'!$C$14:$N$14,1))))</f>
        <v>0</v>
      </c>
      <c r="AR127">
        <f>IF('Calc base'!M$14=0,0,MIN(AF127,MAX(0,$E127-SUMIFS($V127:$AG127,'Calc base'!$C$19:$N$19,"&lt;"&amp;'Calc base'!M$19,'Calc base'!$C$14:$N$14,1))))</f>
        <v>0</v>
      </c>
      <c r="AS127">
        <f>IF('Calc base'!N$14=0,0,MIN(AG127,MAX(0,$E127-SUMIFS($V127:$AG127,'Calc base'!$C$19:$N$19,"&lt;"&amp;'Calc base'!N$19,'Calc base'!$C$14:$N$14,1))))</f>
        <v>0</v>
      </c>
      <c r="AT127">
        <f>V127-AH127</f>
        <v>0</v>
      </c>
      <c r="AU127">
        <f>W127-AI127</f>
        <v>0</v>
      </c>
      <c r="AV127">
        <f>X127-AJ127</f>
        <v>0</v>
      </c>
      <c r="AW127">
        <f>Y127-AK127</f>
        <v>0</v>
      </c>
      <c r="AX127">
        <f>Z127-AL127</f>
        <v>0</v>
      </c>
      <c r="AY127">
        <f>AA127-AM127</f>
        <v>0</v>
      </c>
      <c r="AZ127">
        <f>AB127-AN127</f>
        <v>0</v>
      </c>
      <c r="BA127">
        <f>AC127-AO127</f>
        <v>0</v>
      </c>
      <c r="BB127">
        <f>AD127-AP127</f>
        <v>0</v>
      </c>
      <c r="BC127">
        <f>AE127-AQ127</f>
        <v>0</v>
      </c>
      <c r="BD127">
        <f>AF127-AR127</f>
        <v>0</v>
      </c>
      <c r="BE127">
        <f>AG127-AS127</f>
        <v>0</v>
      </c>
    </row>
    <row r="128">
      <c r="A128" t="n">
        <v>98</v>
      </c>
      <c r="B128">
        <f>SUMPRODUCT(ROUND($AT127:$BE127*(1+'Calc base'!$H128:$S128),2))</f>
        <v>0</v>
      </c>
      <c r="C128">
        <f>SUM(J128:U128)</f>
        <v>0</v>
      </c>
      <c r="D128">
        <f>SUM(V128:AG128)</f>
        <v>0</v>
      </c>
      <c r="E128">
        <f>MAX(0,IF(Impostazioni!$B$7="No",'Calc base'!$C128-$C$31,'Calc base'!$C128-C128)+'Calc base'!$G128+'Calc base'!$F128-(B128-C128-D128))</f>
        <v>900</v>
      </c>
      <c r="F128">
        <f>SUM(AH128:AS128)</f>
        <v>0</v>
      </c>
      <c r="G128">
        <f>SUM(AT128:BE128)</f>
        <v>0</v>
      </c>
      <c r="H128">
        <f>B128-G127</f>
        <v>0</v>
      </c>
      <c r="I128">
        <f>B128-G128</f>
        <v>0</v>
      </c>
      <c r="J128">
        <f>IF(AT127&lt;=0,0,IF(ROUND(AT127*(1+'Calc base'!H128),2)-MAX('Calc base'!C$12,ROUND('Calc base'!C$13*AT127,2))&lt;1,ROUND(AT127*(1+'Calc base'!H128),2),MAX('Calc base'!C$12,ROUND('Calc base'!C$13*AT127,2))))</f>
        <v>0</v>
      </c>
      <c r="K128">
        <f>IF(AU127&lt;=0,0,IF(ROUND(AU127*(1+'Calc base'!I128),2)-MAX('Calc base'!D$12,ROUND('Calc base'!D$13*AU127,2))&lt;1,ROUND(AU127*(1+'Calc base'!I128),2),MAX('Calc base'!D$12,ROUND('Calc base'!D$13*AU127,2))))</f>
        <v>0</v>
      </c>
      <c r="L128">
        <f>IF(AV127&lt;=0,0,IF(ROUND(AV127*(1+'Calc base'!J128),2)-MAX('Calc base'!E$12,ROUND('Calc base'!E$13*AV127,2))&lt;1,ROUND(AV127*(1+'Calc base'!J128),2),MAX('Calc base'!E$12,ROUND('Calc base'!E$13*AV127,2))))</f>
        <v>0</v>
      </c>
      <c r="M128">
        <f>IF(AW127&lt;=0,0,IF(ROUND(AW127*(1+'Calc base'!K128),2)-MAX('Calc base'!F$12,ROUND('Calc base'!F$13*AW127,2))&lt;1,ROUND(AW127*(1+'Calc base'!K128),2),MAX('Calc base'!F$12,ROUND('Calc base'!F$13*AW127,2))))</f>
        <v>0</v>
      </c>
      <c r="N128">
        <f>IF(AX127&lt;=0,0,IF(ROUND(AX127*(1+'Calc base'!L128),2)-MAX('Calc base'!G$12,ROUND('Calc base'!G$13*AX127,2))&lt;1,ROUND(AX127*(1+'Calc base'!L128),2),MAX('Calc base'!G$12,ROUND('Calc base'!G$13*AX127,2))))</f>
        <v>0</v>
      </c>
      <c r="O128">
        <f>IF(AY127&lt;=0,0,IF(ROUND(AY127*(1+'Calc base'!M128),2)-MAX('Calc base'!H$12,ROUND('Calc base'!H$13*AY127,2))&lt;1,ROUND(AY127*(1+'Calc base'!M128),2),MAX('Calc base'!H$12,ROUND('Calc base'!H$13*AY127,2))))</f>
        <v>0</v>
      </c>
      <c r="P128">
        <f>IF(AZ127&lt;=0,0,IF(ROUND(AZ127*(1+'Calc base'!N128),2)-MAX('Calc base'!I$12,ROUND('Calc base'!I$13*AZ127,2))&lt;1,ROUND(AZ127*(1+'Calc base'!N128),2),MAX('Calc base'!I$12,ROUND('Calc base'!I$13*AZ127,2))))</f>
        <v>0</v>
      </c>
      <c r="Q128">
        <f>IF(BA127&lt;=0,0,IF(ROUND(BA127*(1+'Calc base'!O128),2)-MAX('Calc base'!J$12,ROUND('Calc base'!J$13*BA127,2))&lt;1,ROUND(BA127*(1+'Calc base'!O128),2),MAX('Calc base'!J$12,ROUND('Calc base'!J$13*BA127,2))))</f>
        <v>0</v>
      </c>
      <c r="R128">
        <f>IF(BB127&lt;=0,0,IF(ROUND(BB127*(1+'Calc base'!P128),2)-MAX('Calc base'!K$12,ROUND('Calc base'!K$13*BB127,2))&lt;1,ROUND(BB127*(1+'Calc base'!P128),2),MAX('Calc base'!K$12,ROUND('Calc base'!K$13*BB127,2))))</f>
        <v>0</v>
      </c>
      <c r="S128">
        <f>IF(BC127&lt;=0,0,IF(ROUND(BC127*(1+'Calc base'!Q128),2)-MAX('Calc base'!L$12,ROUND('Calc base'!L$13*BC127,2))&lt;1,ROUND(BC127*(1+'Calc base'!Q128),2),MAX('Calc base'!L$12,ROUND('Calc base'!L$13*BC127,2))))</f>
        <v>0</v>
      </c>
      <c r="T128">
        <f>IF(BD127&lt;=0,0,IF(ROUND(BD127*(1+'Calc base'!R128),2)-MAX('Calc base'!M$12,ROUND('Calc base'!M$13*BD127,2))&lt;1,ROUND(BD127*(1+'Calc base'!R128),2),MAX('Calc base'!M$12,ROUND('Calc base'!M$13*BD127,2))))</f>
        <v>0</v>
      </c>
      <c r="U128">
        <f>IF(BE127&lt;=0,0,IF(ROUND(BE127*(1+'Calc base'!S128),2)-MAX('Calc base'!N$12,ROUND('Calc base'!N$13*BE127,2))&lt;1,ROUND(BE127*(1+'Calc base'!S128),2),MAX('Calc base'!N$12,ROUND('Calc base'!N$13*BE127,2))))</f>
        <v>0</v>
      </c>
      <c r="V128">
        <f>MAX(0,ROUND(AT127*(1+'Calc base'!H128),2)-J128-'Calc base'!T128)</f>
        <v>0</v>
      </c>
      <c r="W128">
        <f>MAX(0,ROUND(AU127*(1+'Calc base'!I128),2)-K128-'Calc base'!U128)</f>
        <v>0</v>
      </c>
      <c r="X128">
        <f>MAX(0,ROUND(AV127*(1+'Calc base'!J128),2)-L128-'Calc base'!V128)</f>
        <v>0</v>
      </c>
      <c r="Y128">
        <f>MAX(0,ROUND(AW127*(1+'Calc base'!K128),2)-M128-'Calc base'!W128)</f>
        <v>0</v>
      </c>
      <c r="Z128">
        <f>MAX(0,ROUND(AX127*(1+'Calc base'!L128),2)-N128-'Calc base'!X128)</f>
        <v>0</v>
      </c>
      <c r="AA128">
        <f>MAX(0,ROUND(AY127*(1+'Calc base'!M128),2)-O128-'Calc base'!Y128)</f>
        <v>0</v>
      </c>
      <c r="AB128">
        <f>MAX(0,ROUND(AZ127*(1+'Calc base'!N128),2)-P128-'Calc base'!Z128)</f>
        <v>0</v>
      </c>
      <c r="AC128">
        <f>MAX(0,ROUND(BA127*(1+'Calc base'!O128),2)-Q128-'Calc base'!AA128)</f>
        <v>0</v>
      </c>
      <c r="AD128">
        <f>MAX(0,ROUND(BB127*(1+'Calc base'!P128),2)-R128-'Calc base'!AB128)</f>
        <v>0</v>
      </c>
      <c r="AE128">
        <f>MAX(0,ROUND(BC127*(1+'Calc base'!Q128),2)-S128-'Calc base'!AC128)</f>
        <v>0</v>
      </c>
      <c r="AF128">
        <f>MAX(0,ROUND(BD127*(1+'Calc base'!R128),2)-T128-'Calc base'!AD128)</f>
        <v>0</v>
      </c>
      <c r="AG128">
        <f>MAX(0,ROUND(BE127*(1+'Calc base'!S128),2)-U128-'Calc base'!AE128)</f>
        <v>0</v>
      </c>
      <c r="AH128">
        <f>IF('Calc base'!C$14=0,0,MIN(V128,MAX(0,$E128-SUMIFS($V128:$AG128,'Calc base'!$C$19:$N$19,"&lt;"&amp;'Calc base'!C$19,'Calc base'!$C$14:$N$14,1))))</f>
        <v>0</v>
      </c>
      <c r="AI128">
        <f>IF('Calc base'!D$14=0,0,MIN(W128,MAX(0,$E128-SUMIFS($V128:$AG128,'Calc base'!$C$19:$N$19,"&lt;"&amp;'Calc base'!D$19,'Calc base'!$C$14:$N$14,1))))</f>
        <v>0</v>
      </c>
      <c r="AJ128">
        <f>IF('Calc base'!E$14=0,0,MIN(X128,MAX(0,$E128-SUMIFS($V128:$AG128,'Calc base'!$C$19:$N$19,"&lt;"&amp;'Calc base'!E$19,'Calc base'!$C$14:$N$14,1))))</f>
        <v>0</v>
      </c>
      <c r="AK128">
        <f>IF('Calc base'!F$14=0,0,MIN(Y128,MAX(0,$E128-SUMIFS($V128:$AG128,'Calc base'!$C$19:$N$19,"&lt;"&amp;'Calc base'!F$19,'Calc base'!$C$14:$N$14,1))))</f>
        <v>0</v>
      </c>
      <c r="AL128">
        <f>IF('Calc base'!G$14=0,0,MIN(Z128,MAX(0,$E128-SUMIFS($V128:$AG128,'Calc base'!$C$19:$N$19,"&lt;"&amp;'Calc base'!G$19,'Calc base'!$C$14:$N$14,1))))</f>
        <v>0</v>
      </c>
      <c r="AM128">
        <f>IF('Calc base'!H$14=0,0,MIN(AA128,MAX(0,$E128-SUMIFS($V128:$AG128,'Calc base'!$C$19:$N$19,"&lt;"&amp;'Calc base'!H$19,'Calc base'!$C$14:$N$14,1))))</f>
        <v>0</v>
      </c>
      <c r="AN128">
        <f>IF('Calc base'!I$14=0,0,MIN(AB128,MAX(0,$E128-SUMIFS($V128:$AG128,'Calc base'!$C$19:$N$19,"&lt;"&amp;'Calc base'!I$19,'Calc base'!$C$14:$N$14,1))))</f>
        <v>0</v>
      </c>
      <c r="AO128">
        <f>IF('Calc base'!J$14=0,0,MIN(AC128,MAX(0,$E128-SUMIFS($V128:$AG128,'Calc base'!$C$19:$N$19,"&lt;"&amp;'Calc base'!J$19,'Calc base'!$C$14:$N$14,1))))</f>
        <v>0</v>
      </c>
      <c r="AP128">
        <f>IF('Calc base'!K$14=0,0,MIN(AD128,MAX(0,$E128-SUMIFS($V128:$AG128,'Calc base'!$C$19:$N$19,"&lt;"&amp;'Calc base'!K$19,'Calc base'!$C$14:$N$14,1))))</f>
        <v>0</v>
      </c>
      <c r="AQ128">
        <f>IF('Calc base'!L$14=0,0,MIN(AE128,MAX(0,$E128-SUMIFS($V128:$AG128,'Calc base'!$C$19:$N$19,"&lt;"&amp;'Calc base'!L$19,'Calc base'!$C$14:$N$14,1))))</f>
        <v>0</v>
      </c>
      <c r="AR128">
        <f>IF('Calc base'!M$14=0,0,MIN(AF128,MAX(0,$E128-SUMIFS($V128:$AG128,'Calc base'!$C$19:$N$19,"&lt;"&amp;'Calc base'!M$19,'Calc base'!$C$14:$N$14,1))))</f>
        <v>0</v>
      </c>
      <c r="AS128">
        <f>IF('Calc base'!N$14=0,0,MIN(AG128,MAX(0,$E128-SUMIFS($V128:$AG128,'Calc base'!$C$19:$N$19,"&lt;"&amp;'Calc base'!N$19,'Calc base'!$C$14:$N$14,1))))</f>
        <v>0</v>
      </c>
      <c r="AT128">
        <f>V128-AH128</f>
        <v>0</v>
      </c>
      <c r="AU128">
        <f>W128-AI128</f>
        <v>0</v>
      </c>
      <c r="AV128">
        <f>X128-AJ128</f>
        <v>0</v>
      </c>
      <c r="AW128">
        <f>Y128-AK128</f>
        <v>0</v>
      </c>
      <c r="AX128">
        <f>Z128-AL128</f>
        <v>0</v>
      </c>
      <c r="AY128">
        <f>AA128-AM128</f>
        <v>0</v>
      </c>
      <c r="AZ128">
        <f>AB128-AN128</f>
        <v>0</v>
      </c>
      <c r="BA128">
        <f>AC128-AO128</f>
        <v>0</v>
      </c>
      <c r="BB128">
        <f>AD128-AP128</f>
        <v>0</v>
      </c>
      <c r="BC128">
        <f>AE128-AQ128</f>
        <v>0</v>
      </c>
      <c r="BD128">
        <f>AF128-AR128</f>
        <v>0</v>
      </c>
      <c r="BE128">
        <f>AG128-AS128</f>
        <v>0</v>
      </c>
    </row>
    <row r="129">
      <c r="A129" t="n">
        <v>99</v>
      </c>
      <c r="B129">
        <f>SUMPRODUCT(ROUND($AT128:$BE128*(1+'Calc base'!$H129:$S129),2))</f>
        <v>0</v>
      </c>
      <c r="C129">
        <f>SUM(J129:U129)</f>
        <v>0</v>
      </c>
      <c r="D129">
        <f>SUM(V129:AG129)</f>
        <v>0</v>
      </c>
      <c r="E129">
        <f>MAX(0,IF(Impostazioni!$B$7="No",'Calc base'!$C129-$C$31,'Calc base'!$C129-C129)+'Calc base'!$G129+'Calc base'!$F129-(B129-C129-D129))</f>
        <v>900</v>
      </c>
      <c r="F129">
        <f>SUM(AH129:AS129)</f>
        <v>0</v>
      </c>
      <c r="G129">
        <f>SUM(AT129:BE129)</f>
        <v>0</v>
      </c>
      <c r="H129">
        <f>B129-G128</f>
        <v>0</v>
      </c>
      <c r="I129">
        <f>B129-G129</f>
        <v>0</v>
      </c>
      <c r="J129">
        <f>IF(AT128&lt;=0,0,IF(ROUND(AT128*(1+'Calc base'!H129),2)-MAX('Calc base'!C$12,ROUND('Calc base'!C$13*AT128,2))&lt;1,ROUND(AT128*(1+'Calc base'!H129),2),MAX('Calc base'!C$12,ROUND('Calc base'!C$13*AT128,2))))</f>
        <v>0</v>
      </c>
      <c r="K129">
        <f>IF(AU128&lt;=0,0,IF(ROUND(AU128*(1+'Calc base'!I129),2)-MAX('Calc base'!D$12,ROUND('Calc base'!D$13*AU128,2))&lt;1,ROUND(AU128*(1+'Calc base'!I129),2),MAX('Calc base'!D$12,ROUND('Calc base'!D$13*AU128,2))))</f>
        <v>0</v>
      </c>
      <c r="L129">
        <f>IF(AV128&lt;=0,0,IF(ROUND(AV128*(1+'Calc base'!J129),2)-MAX('Calc base'!E$12,ROUND('Calc base'!E$13*AV128,2))&lt;1,ROUND(AV128*(1+'Calc base'!J129),2),MAX('Calc base'!E$12,ROUND('Calc base'!E$13*AV128,2))))</f>
        <v>0</v>
      </c>
      <c r="M129">
        <f>IF(AW128&lt;=0,0,IF(ROUND(AW128*(1+'Calc base'!K129),2)-MAX('Calc base'!F$12,ROUND('Calc base'!F$13*AW128,2))&lt;1,ROUND(AW128*(1+'Calc base'!K129),2),MAX('Calc base'!F$12,ROUND('Calc base'!F$13*AW128,2))))</f>
        <v>0</v>
      </c>
      <c r="N129">
        <f>IF(AX128&lt;=0,0,IF(ROUND(AX128*(1+'Calc base'!L129),2)-MAX('Calc base'!G$12,ROUND('Calc base'!G$13*AX128,2))&lt;1,ROUND(AX128*(1+'Calc base'!L129),2),MAX('Calc base'!G$12,ROUND('Calc base'!G$13*AX128,2))))</f>
        <v>0</v>
      </c>
      <c r="O129">
        <f>IF(AY128&lt;=0,0,IF(ROUND(AY128*(1+'Calc base'!M129),2)-MAX('Calc base'!H$12,ROUND('Calc base'!H$13*AY128,2))&lt;1,ROUND(AY128*(1+'Calc base'!M129),2),MAX('Calc base'!H$12,ROUND('Calc base'!H$13*AY128,2))))</f>
        <v>0</v>
      </c>
      <c r="P129">
        <f>IF(AZ128&lt;=0,0,IF(ROUND(AZ128*(1+'Calc base'!N129),2)-MAX('Calc base'!I$12,ROUND('Calc base'!I$13*AZ128,2))&lt;1,ROUND(AZ128*(1+'Calc base'!N129),2),MAX('Calc base'!I$12,ROUND('Calc base'!I$13*AZ128,2))))</f>
        <v>0</v>
      </c>
      <c r="Q129">
        <f>IF(BA128&lt;=0,0,IF(ROUND(BA128*(1+'Calc base'!O129),2)-MAX('Calc base'!J$12,ROUND('Calc base'!J$13*BA128,2))&lt;1,ROUND(BA128*(1+'Calc base'!O129),2),MAX('Calc base'!J$12,ROUND('Calc base'!J$13*BA128,2))))</f>
        <v>0</v>
      </c>
      <c r="R129">
        <f>IF(BB128&lt;=0,0,IF(ROUND(BB128*(1+'Calc base'!P129),2)-MAX('Calc base'!K$12,ROUND('Calc base'!K$13*BB128,2))&lt;1,ROUND(BB128*(1+'Calc base'!P129),2),MAX('Calc base'!K$12,ROUND('Calc base'!K$13*BB128,2))))</f>
        <v>0</v>
      </c>
      <c r="S129">
        <f>IF(BC128&lt;=0,0,IF(ROUND(BC128*(1+'Calc base'!Q129),2)-MAX('Calc base'!L$12,ROUND('Calc base'!L$13*BC128,2))&lt;1,ROUND(BC128*(1+'Calc base'!Q129),2),MAX('Calc base'!L$12,ROUND('Calc base'!L$13*BC128,2))))</f>
        <v>0</v>
      </c>
      <c r="T129">
        <f>IF(BD128&lt;=0,0,IF(ROUND(BD128*(1+'Calc base'!R129),2)-MAX('Calc base'!M$12,ROUND('Calc base'!M$13*BD128,2))&lt;1,ROUND(BD128*(1+'Calc base'!R129),2),MAX('Calc base'!M$12,ROUND('Calc base'!M$13*BD128,2))))</f>
        <v>0</v>
      </c>
      <c r="U129">
        <f>IF(BE128&lt;=0,0,IF(ROUND(BE128*(1+'Calc base'!S129),2)-MAX('Calc base'!N$12,ROUND('Calc base'!N$13*BE128,2))&lt;1,ROUND(BE128*(1+'Calc base'!S129),2),MAX('Calc base'!N$12,ROUND('Calc base'!N$13*BE128,2))))</f>
        <v>0</v>
      </c>
      <c r="V129">
        <f>MAX(0,ROUND(AT128*(1+'Calc base'!H129),2)-J129-'Calc base'!T129)</f>
        <v>0</v>
      </c>
      <c r="W129">
        <f>MAX(0,ROUND(AU128*(1+'Calc base'!I129),2)-K129-'Calc base'!U129)</f>
        <v>0</v>
      </c>
      <c r="X129">
        <f>MAX(0,ROUND(AV128*(1+'Calc base'!J129),2)-L129-'Calc base'!V129)</f>
        <v>0</v>
      </c>
      <c r="Y129">
        <f>MAX(0,ROUND(AW128*(1+'Calc base'!K129),2)-M129-'Calc base'!W129)</f>
        <v>0</v>
      </c>
      <c r="Z129">
        <f>MAX(0,ROUND(AX128*(1+'Calc base'!L129),2)-N129-'Calc base'!X129)</f>
        <v>0</v>
      </c>
      <c r="AA129">
        <f>MAX(0,ROUND(AY128*(1+'Calc base'!M129),2)-O129-'Calc base'!Y129)</f>
        <v>0</v>
      </c>
      <c r="AB129">
        <f>MAX(0,ROUND(AZ128*(1+'Calc base'!N129),2)-P129-'Calc base'!Z129)</f>
        <v>0</v>
      </c>
      <c r="AC129">
        <f>MAX(0,ROUND(BA128*(1+'Calc base'!O129),2)-Q129-'Calc base'!AA129)</f>
        <v>0</v>
      </c>
      <c r="AD129">
        <f>MAX(0,ROUND(BB128*(1+'Calc base'!P129),2)-R129-'Calc base'!AB129)</f>
        <v>0</v>
      </c>
      <c r="AE129">
        <f>MAX(0,ROUND(BC128*(1+'Calc base'!Q129),2)-S129-'Calc base'!AC129)</f>
        <v>0</v>
      </c>
      <c r="AF129">
        <f>MAX(0,ROUND(BD128*(1+'Calc base'!R129),2)-T129-'Calc base'!AD129)</f>
        <v>0</v>
      </c>
      <c r="AG129">
        <f>MAX(0,ROUND(BE128*(1+'Calc base'!S129),2)-U129-'Calc base'!AE129)</f>
        <v>0</v>
      </c>
      <c r="AH129">
        <f>IF('Calc base'!C$14=0,0,MIN(V129,MAX(0,$E129-SUMIFS($V129:$AG129,'Calc base'!$C$19:$N$19,"&lt;"&amp;'Calc base'!C$19,'Calc base'!$C$14:$N$14,1))))</f>
        <v>0</v>
      </c>
      <c r="AI129">
        <f>IF('Calc base'!D$14=0,0,MIN(W129,MAX(0,$E129-SUMIFS($V129:$AG129,'Calc base'!$C$19:$N$19,"&lt;"&amp;'Calc base'!D$19,'Calc base'!$C$14:$N$14,1))))</f>
        <v>0</v>
      </c>
      <c r="AJ129">
        <f>IF('Calc base'!E$14=0,0,MIN(X129,MAX(0,$E129-SUMIFS($V129:$AG129,'Calc base'!$C$19:$N$19,"&lt;"&amp;'Calc base'!E$19,'Calc base'!$C$14:$N$14,1))))</f>
        <v>0</v>
      </c>
      <c r="AK129">
        <f>IF('Calc base'!F$14=0,0,MIN(Y129,MAX(0,$E129-SUMIFS($V129:$AG129,'Calc base'!$C$19:$N$19,"&lt;"&amp;'Calc base'!F$19,'Calc base'!$C$14:$N$14,1))))</f>
        <v>0</v>
      </c>
      <c r="AL129">
        <f>IF('Calc base'!G$14=0,0,MIN(Z129,MAX(0,$E129-SUMIFS($V129:$AG129,'Calc base'!$C$19:$N$19,"&lt;"&amp;'Calc base'!G$19,'Calc base'!$C$14:$N$14,1))))</f>
        <v>0</v>
      </c>
      <c r="AM129">
        <f>IF('Calc base'!H$14=0,0,MIN(AA129,MAX(0,$E129-SUMIFS($V129:$AG129,'Calc base'!$C$19:$N$19,"&lt;"&amp;'Calc base'!H$19,'Calc base'!$C$14:$N$14,1))))</f>
        <v>0</v>
      </c>
      <c r="AN129">
        <f>IF('Calc base'!I$14=0,0,MIN(AB129,MAX(0,$E129-SUMIFS($V129:$AG129,'Calc base'!$C$19:$N$19,"&lt;"&amp;'Calc base'!I$19,'Calc base'!$C$14:$N$14,1))))</f>
        <v>0</v>
      </c>
      <c r="AO129">
        <f>IF('Calc base'!J$14=0,0,MIN(AC129,MAX(0,$E129-SUMIFS($V129:$AG129,'Calc base'!$C$19:$N$19,"&lt;"&amp;'Calc base'!J$19,'Calc base'!$C$14:$N$14,1))))</f>
        <v>0</v>
      </c>
      <c r="AP129">
        <f>IF('Calc base'!K$14=0,0,MIN(AD129,MAX(0,$E129-SUMIFS($V129:$AG129,'Calc base'!$C$19:$N$19,"&lt;"&amp;'Calc base'!K$19,'Calc base'!$C$14:$N$14,1))))</f>
        <v>0</v>
      </c>
      <c r="AQ129">
        <f>IF('Calc base'!L$14=0,0,MIN(AE129,MAX(0,$E129-SUMIFS($V129:$AG129,'Calc base'!$C$19:$N$19,"&lt;"&amp;'Calc base'!L$19,'Calc base'!$C$14:$N$14,1))))</f>
        <v>0</v>
      </c>
      <c r="AR129">
        <f>IF('Calc base'!M$14=0,0,MIN(AF129,MAX(0,$E129-SUMIFS($V129:$AG129,'Calc base'!$C$19:$N$19,"&lt;"&amp;'Calc base'!M$19,'Calc base'!$C$14:$N$14,1))))</f>
        <v>0</v>
      </c>
      <c r="AS129">
        <f>IF('Calc base'!N$14=0,0,MIN(AG129,MAX(0,$E129-SUMIFS($V129:$AG129,'Calc base'!$C$19:$N$19,"&lt;"&amp;'Calc base'!N$19,'Calc base'!$C$14:$N$14,1))))</f>
        <v>0</v>
      </c>
      <c r="AT129">
        <f>V129-AH129</f>
        <v>0</v>
      </c>
      <c r="AU129">
        <f>W129-AI129</f>
        <v>0</v>
      </c>
      <c r="AV129">
        <f>X129-AJ129</f>
        <v>0</v>
      </c>
      <c r="AW129">
        <f>Y129-AK129</f>
        <v>0</v>
      </c>
      <c r="AX129">
        <f>Z129-AL129</f>
        <v>0</v>
      </c>
      <c r="AY129">
        <f>AA129-AM129</f>
        <v>0</v>
      </c>
      <c r="AZ129">
        <f>AB129-AN129</f>
        <v>0</v>
      </c>
      <c r="BA129">
        <f>AC129-AO129</f>
        <v>0</v>
      </c>
      <c r="BB129">
        <f>AD129-AP129</f>
        <v>0</v>
      </c>
      <c r="BC129">
        <f>AE129-AQ129</f>
        <v>0</v>
      </c>
      <c r="BD129">
        <f>AF129-AR129</f>
        <v>0</v>
      </c>
      <c r="BE129">
        <f>AG129-AS129</f>
        <v>0</v>
      </c>
    </row>
    <row r="130">
      <c r="A130" t="n">
        <v>100</v>
      </c>
      <c r="B130">
        <f>SUMPRODUCT(ROUND($AT129:$BE129*(1+'Calc base'!$H130:$S130),2))</f>
        <v>0</v>
      </c>
      <c r="C130">
        <f>SUM(J130:U130)</f>
        <v>0</v>
      </c>
      <c r="D130">
        <f>SUM(V130:AG130)</f>
        <v>0</v>
      </c>
      <c r="E130">
        <f>MAX(0,IF(Impostazioni!$B$7="No",'Calc base'!$C130-$C$31,'Calc base'!$C130-C130)+'Calc base'!$G130+'Calc base'!$F130-(B130-C130-D130))</f>
        <v>900</v>
      </c>
      <c r="F130">
        <f>SUM(AH130:AS130)</f>
        <v>0</v>
      </c>
      <c r="G130">
        <f>SUM(AT130:BE130)</f>
        <v>0</v>
      </c>
      <c r="H130">
        <f>B130-G129</f>
        <v>0</v>
      </c>
      <c r="I130">
        <f>B130-G130</f>
        <v>0</v>
      </c>
      <c r="J130">
        <f>IF(AT129&lt;=0,0,IF(ROUND(AT129*(1+'Calc base'!H130),2)-MAX('Calc base'!C$12,ROUND('Calc base'!C$13*AT129,2))&lt;1,ROUND(AT129*(1+'Calc base'!H130),2),MAX('Calc base'!C$12,ROUND('Calc base'!C$13*AT129,2))))</f>
        <v>0</v>
      </c>
      <c r="K130">
        <f>IF(AU129&lt;=0,0,IF(ROUND(AU129*(1+'Calc base'!I130),2)-MAX('Calc base'!D$12,ROUND('Calc base'!D$13*AU129,2))&lt;1,ROUND(AU129*(1+'Calc base'!I130),2),MAX('Calc base'!D$12,ROUND('Calc base'!D$13*AU129,2))))</f>
        <v>0</v>
      </c>
      <c r="L130">
        <f>IF(AV129&lt;=0,0,IF(ROUND(AV129*(1+'Calc base'!J130),2)-MAX('Calc base'!E$12,ROUND('Calc base'!E$13*AV129,2))&lt;1,ROUND(AV129*(1+'Calc base'!J130),2),MAX('Calc base'!E$12,ROUND('Calc base'!E$13*AV129,2))))</f>
        <v>0</v>
      </c>
      <c r="M130">
        <f>IF(AW129&lt;=0,0,IF(ROUND(AW129*(1+'Calc base'!K130),2)-MAX('Calc base'!F$12,ROUND('Calc base'!F$13*AW129,2))&lt;1,ROUND(AW129*(1+'Calc base'!K130),2),MAX('Calc base'!F$12,ROUND('Calc base'!F$13*AW129,2))))</f>
        <v>0</v>
      </c>
      <c r="N130">
        <f>IF(AX129&lt;=0,0,IF(ROUND(AX129*(1+'Calc base'!L130),2)-MAX('Calc base'!G$12,ROUND('Calc base'!G$13*AX129,2))&lt;1,ROUND(AX129*(1+'Calc base'!L130),2),MAX('Calc base'!G$12,ROUND('Calc base'!G$13*AX129,2))))</f>
        <v>0</v>
      </c>
      <c r="O130">
        <f>IF(AY129&lt;=0,0,IF(ROUND(AY129*(1+'Calc base'!M130),2)-MAX('Calc base'!H$12,ROUND('Calc base'!H$13*AY129,2))&lt;1,ROUND(AY129*(1+'Calc base'!M130),2),MAX('Calc base'!H$12,ROUND('Calc base'!H$13*AY129,2))))</f>
        <v>0</v>
      </c>
      <c r="P130">
        <f>IF(AZ129&lt;=0,0,IF(ROUND(AZ129*(1+'Calc base'!N130),2)-MAX('Calc base'!I$12,ROUND('Calc base'!I$13*AZ129,2))&lt;1,ROUND(AZ129*(1+'Calc base'!N130),2),MAX('Calc base'!I$12,ROUND('Calc base'!I$13*AZ129,2))))</f>
        <v>0</v>
      </c>
      <c r="Q130">
        <f>IF(BA129&lt;=0,0,IF(ROUND(BA129*(1+'Calc base'!O130),2)-MAX('Calc base'!J$12,ROUND('Calc base'!J$13*BA129,2))&lt;1,ROUND(BA129*(1+'Calc base'!O130),2),MAX('Calc base'!J$12,ROUND('Calc base'!J$13*BA129,2))))</f>
        <v>0</v>
      </c>
      <c r="R130">
        <f>IF(BB129&lt;=0,0,IF(ROUND(BB129*(1+'Calc base'!P130),2)-MAX('Calc base'!K$12,ROUND('Calc base'!K$13*BB129,2))&lt;1,ROUND(BB129*(1+'Calc base'!P130),2),MAX('Calc base'!K$12,ROUND('Calc base'!K$13*BB129,2))))</f>
        <v>0</v>
      </c>
      <c r="S130">
        <f>IF(BC129&lt;=0,0,IF(ROUND(BC129*(1+'Calc base'!Q130),2)-MAX('Calc base'!L$12,ROUND('Calc base'!L$13*BC129,2))&lt;1,ROUND(BC129*(1+'Calc base'!Q130),2),MAX('Calc base'!L$12,ROUND('Calc base'!L$13*BC129,2))))</f>
        <v>0</v>
      </c>
      <c r="T130">
        <f>IF(BD129&lt;=0,0,IF(ROUND(BD129*(1+'Calc base'!R130),2)-MAX('Calc base'!M$12,ROUND('Calc base'!M$13*BD129,2))&lt;1,ROUND(BD129*(1+'Calc base'!R130),2),MAX('Calc base'!M$12,ROUND('Calc base'!M$13*BD129,2))))</f>
        <v>0</v>
      </c>
      <c r="U130">
        <f>IF(BE129&lt;=0,0,IF(ROUND(BE129*(1+'Calc base'!S130),2)-MAX('Calc base'!N$12,ROUND('Calc base'!N$13*BE129,2))&lt;1,ROUND(BE129*(1+'Calc base'!S130),2),MAX('Calc base'!N$12,ROUND('Calc base'!N$13*BE129,2))))</f>
        <v>0</v>
      </c>
      <c r="V130">
        <f>MAX(0,ROUND(AT129*(1+'Calc base'!H130),2)-J130-'Calc base'!T130)</f>
        <v>0</v>
      </c>
      <c r="W130">
        <f>MAX(0,ROUND(AU129*(1+'Calc base'!I130),2)-K130-'Calc base'!U130)</f>
        <v>0</v>
      </c>
      <c r="X130">
        <f>MAX(0,ROUND(AV129*(1+'Calc base'!J130),2)-L130-'Calc base'!V130)</f>
        <v>0</v>
      </c>
      <c r="Y130">
        <f>MAX(0,ROUND(AW129*(1+'Calc base'!K130),2)-M130-'Calc base'!W130)</f>
        <v>0</v>
      </c>
      <c r="Z130">
        <f>MAX(0,ROUND(AX129*(1+'Calc base'!L130),2)-N130-'Calc base'!X130)</f>
        <v>0</v>
      </c>
      <c r="AA130">
        <f>MAX(0,ROUND(AY129*(1+'Calc base'!M130),2)-O130-'Calc base'!Y130)</f>
        <v>0</v>
      </c>
      <c r="AB130">
        <f>MAX(0,ROUND(AZ129*(1+'Calc base'!N130),2)-P130-'Calc base'!Z130)</f>
        <v>0</v>
      </c>
      <c r="AC130">
        <f>MAX(0,ROUND(BA129*(1+'Calc base'!O130),2)-Q130-'Calc base'!AA130)</f>
        <v>0</v>
      </c>
      <c r="AD130">
        <f>MAX(0,ROUND(BB129*(1+'Calc base'!P130),2)-R130-'Calc base'!AB130)</f>
        <v>0</v>
      </c>
      <c r="AE130">
        <f>MAX(0,ROUND(BC129*(1+'Calc base'!Q130),2)-S130-'Calc base'!AC130)</f>
        <v>0</v>
      </c>
      <c r="AF130">
        <f>MAX(0,ROUND(BD129*(1+'Calc base'!R130),2)-T130-'Calc base'!AD130)</f>
        <v>0</v>
      </c>
      <c r="AG130">
        <f>MAX(0,ROUND(BE129*(1+'Calc base'!S130),2)-U130-'Calc base'!AE130)</f>
        <v>0</v>
      </c>
      <c r="AH130">
        <f>IF('Calc base'!C$14=0,0,MIN(V130,MAX(0,$E130-SUMIFS($V130:$AG130,'Calc base'!$C$19:$N$19,"&lt;"&amp;'Calc base'!C$19,'Calc base'!$C$14:$N$14,1))))</f>
        <v>0</v>
      </c>
      <c r="AI130">
        <f>IF('Calc base'!D$14=0,0,MIN(W130,MAX(0,$E130-SUMIFS($V130:$AG130,'Calc base'!$C$19:$N$19,"&lt;"&amp;'Calc base'!D$19,'Calc base'!$C$14:$N$14,1))))</f>
        <v>0</v>
      </c>
      <c r="AJ130">
        <f>IF('Calc base'!E$14=0,0,MIN(X130,MAX(0,$E130-SUMIFS($V130:$AG130,'Calc base'!$C$19:$N$19,"&lt;"&amp;'Calc base'!E$19,'Calc base'!$C$14:$N$14,1))))</f>
        <v>0</v>
      </c>
      <c r="AK130">
        <f>IF('Calc base'!F$14=0,0,MIN(Y130,MAX(0,$E130-SUMIFS($V130:$AG130,'Calc base'!$C$19:$N$19,"&lt;"&amp;'Calc base'!F$19,'Calc base'!$C$14:$N$14,1))))</f>
        <v>0</v>
      </c>
      <c r="AL130">
        <f>IF('Calc base'!G$14=0,0,MIN(Z130,MAX(0,$E130-SUMIFS($V130:$AG130,'Calc base'!$C$19:$N$19,"&lt;"&amp;'Calc base'!G$19,'Calc base'!$C$14:$N$14,1))))</f>
        <v>0</v>
      </c>
      <c r="AM130">
        <f>IF('Calc base'!H$14=0,0,MIN(AA130,MAX(0,$E130-SUMIFS($V130:$AG130,'Calc base'!$C$19:$N$19,"&lt;"&amp;'Calc base'!H$19,'Calc base'!$C$14:$N$14,1))))</f>
        <v>0</v>
      </c>
      <c r="AN130">
        <f>IF('Calc base'!I$14=0,0,MIN(AB130,MAX(0,$E130-SUMIFS($V130:$AG130,'Calc base'!$C$19:$N$19,"&lt;"&amp;'Calc base'!I$19,'Calc base'!$C$14:$N$14,1))))</f>
        <v>0</v>
      </c>
      <c r="AO130">
        <f>IF('Calc base'!J$14=0,0,MIN(AC130,MAX(0,$E130-SUMIFS($V130:$AG130,'Calc base'!$C$19:$N$19,"&lt;"&amp;'Calc base'!J$19,'Calc base'!$C$14:$N$14,1))))</f>
        <v>0</v>
      </c>
      <c r="AP130">
        <f>IF('Calc base'!K$14=0,0,MIN(AD130,MAX(0,$E130-SUMIFS($V130:$AG130,'Calc base'!$C$19:$N$19,"&lt;"&amp;'Calc base'!K$19,'Calc base'!$C$14:$N$14,1))))</f>
        <v>0</v>
      </c>
      <c r="AQ130">
        <f>IF('Calc base'!L$14=0,0,MIN(AE130,MAX(0,$E130-SUMIFS($V130:$AG130,'Calc base'!$C$19:$N$19,"&lt;"&amp;'Calc base'!L$19,'Calc base'!$C$14:$N$14,1))))</f>
        <v>0</v>
      </c>
      <c r="AR130">
        <f>IF('Calc base'!M$14=0,0,MIN(AF130,MAX(0,$E130-SUMIFS($V130:$AG130,'Calc base'!$C$19:$N$19,"&lt;"&amp;'Calc base'!M$19,'Calc base'!$C$14:$N$14,1))))</f>
        <v>0</v>
      </c>
      <c r="AS130">
        <f>IF('Calc base'!N$14=0,0,MIN(AG130,MAX(0,$E130-SUMIFS($V130:$AG130,'Calc base'!$C$19:$N$19,"&lt;"&amp;'Calc base'!N$19,'Calc base'!$C$14:$N$14,1))))</f>
        <v>0</v>
      </c>
      <c r="AT130">
        <f>V130-AH130</f>
        <v>0</v>
      </c>
      <c r="AU130">
        <f>W130-AI130</f>
        <v>0</v>
      </c>
      <c r="AV130">
        <f>X130-AJ130</f>
        <v>0</v>
      </c>
      <c r="AW130">
        <f>Y130-AK130</f>
        <v>0</v>
      </c>
      <c r="AX130">
        <f>Z130-AL130</f>
        <v>0</v>
      </c>
      <c r="AY130">
        <f>AA130-AM130</f>
        <v>0</v>
      </c>
      <c r="AZ130">
        <f>AB130-AN130</f>
        <v>0</v>
      </c>
      <c r="BA130">
        <f>AC130-AO130</f>
        <v>0</v>
      </c>
      <c r="BB130">
        <f>AD130-AP130</f>
        <v>0</v>
      </c>
      <c r="BC130">
        <f>AE130-AQ130</f>
        <v>0</v>
      </c>
      <c r="BD130">
        <f>AF130-AR130</f>
        <v>0</v>
      </c>
      <c r="BE130">
        <f>AG130-AS130</f>
        <v>0</v>
      </c>
    </row>
    <row r="131">
      <c r="A131" t="n">
        <v>101</v>
      </c>
      <c r="B131">
        <f>SUMPRODUCT(ROUND($AT130:$BE130*(1+'Calc base'!$H131:$S131),2))</f>
        <v>0</v>
      </c>
      <c r="C131">
        <f>SUM(J131:U131)</f>
        <v>0</v>
      </c>
      <c r="D131">
        <f>SUM(V131:AG131)</f>
        <v>0</v>
      </c>
      <c r="E131">
        <f>MAX(0,IF(Impostazioni!$B$7="No",'Calc base'!$C131-$C$31,'Calc base'!$C131-C131)+'Calc base'!$G131+'Calc base'!$F131-(B131-C131-D131))</f>
        <v>900</v>
      </c>
      <c r="F131">
        <f>SUM(AH131:AS131)</f>
        <v>0</v>
      </c>
      <c r="G131">
        <f>SUM(AT131:BE131)</f>
        <v>0</v>
      </c>
      <c r="H131">
        <f>B131-G130</f>
        <v>0</v>
      </c>
      <c r="I131">
        <f>B131-G131</f>
        <v>0</v>
      </c>
      <c r="J131">
        <f>IF(AT130&lt;=0,0,IF(ROUND(AT130*(1+'Calc base'!H131),2)-MAX('Calc base'!C$12,ROUND('Calc base'!C$13*AT130,2))&lt;1,ROUND(AT130*(1+'Calc base'!H131),2),MAX('Calc base'!C$12,ROUND('Calc base'!C$13*AT130,2))))</f>
        <v>0</v>
      </c>
      <c r="K131">
        <f>IF(AU130&lt;=0,0,IF(ROUND(AU130*(1+'Calc base'!I131),2)-MAX('Calc base'!D$12,ROUND('Calc base'!D$13*AU130,2))&lt;1,ROUND(AU130*(1+'Calc base'!I131),2),MAX('Calc base'!D$12,ROUND('Calc base'!D$13*AU130,2))))</f>
        <v>0</v>
      </c>
      <c r="L131">
        <f>IF(AV130&lt;=0,0,IF(ROUND(AV130*(1+'Calc base'!J131),2)-MAX('Calc base'!E$12,ROUND('Calc base'!E$13*AV130,2))&lt;1,ROUND(AV130*(1+'Calc base'!J131),2),MAX('Calc base'!E$12,ROUND('Calc base'!E$13*AV130,2))))</f>
        <v>0</v>
      </c>
      <c r="M131">
        <f>IF(AW130&lt;=0,0,IF(ROUND(AW130*(1+'Calc base'!K131),2)-MAX('Calc base'!F$12,ROUND('Calc base'!F$13*AW130,2))&lt;1,ROUND(AW130*(1+'Calc base'!K131),2),MAX('Calc base'!F$12,ROUND('Calc base'!F$13*AW130,2))))</f>
        <v>0</v>
      </c>
      <c r="N131">
        <f>IF(AX130&lt;=0,0,IF(ROUND(AX130*(1+'Calc base'!L131),2)-MAX('Calc base'!G$12,ROUND('Calc base'!G$13*AX130,2))&lt;1,ROUND(AX130*(1+'Calc base'!L131),2),MAX('Calc base'!G$12,ROUND('Calc base'!G$13*AX130,2))))</f>
        <v>0</v>
      </c>
      <c r="O131">
        <f>IF(AY130&lt;=0,0,IF(ROUND(AY130*(1+'Calc base'!M131),2)-MAX('Calc base'!H$12,ROUND('Calc base'!H$13*AY130,2))&lt;1,ROUND(AY130*(1+'Calc base'!M131),2),MAX('Calc base'!H$12,ROUND('Calc base'!H$13*AY130,2))))</f>
        <v>0</v>
      </c>
      <c r="P131">
        <f>IF(AZ130&lt;=0,0,IF(ROUND(AZ130*(1+'Calc base'!N131),2)-MAX('Calc base'!I$12,ROUND('Calc base'!I$13*AZ130,2))&lt;1,ROUND(AZ130*(1+'Calc base'!N131),2),MAX('Calc base'!I$12,ROUND('Calc base'!I$13*AZ130,2))))</f>
        <v>0</v>
      </c>
      <c r="Q131">
        <f>IF(BA130&lt;=0,0,IF(ROUND(BA130*(1+'Calc base'!O131),2)-MAX('Calc base'!J$12,ROUND('Calc base'!J$13*BA130,2))&lt;1,ROUND(BA130*(1+'Calc base'!O131),2),MAX('Calc base'!J$12,ROUND('Calc base'!J$13*BA130,2))))</f>
        <v>0</v>
      </c>
      <c r="R131">
        <f>IF(BB130&lt;=0,0,IF(ROUND(BB130*(1+'Calc base'!P131),2)-MAX('Calc base'!K$12,ROUND('Calc base'!K$13*BB130,2))&lt;1,ROUND(BB130*(1+'Calc base'!P131),2),MAX('Calc base'!K$12,ROUND('Calc base'!K$13*BB130,2))))</f>
        <v>0</v>
      </c>
      <c r="S131">
        <f>IF(BC130&lt;=0,0,IF(ROUND(BC130*(1+'Calc base'!Q131),2)-MAX('Calc base'!L$12,ROUND('Calc base'!L$13*BC130,2))&lt;1,ROUND(BC130*(1+'Calc base'!Q131),2),MAX('Calc base'!L$12,ROUND('Calc base'!L$13*BC130,2))))</f>
        <v>0</v>
      </c>
      <c r="T131">
        <f>IF(BD130&lt;=0,0,IF(ROUND(BD130*(1+'Calc base'!R131),2)-MAX('Calc base'!M$12,ROUND('Calc base'!M$13*BD130,2))&lt;1,ROUND(BD130*(1+'Calc base'!R131),2),MAX('Calc base'!M$12,ROUND('Calc base'!M$13*BD130,2))))</f>
        <v>0</v>
      </c>
      <c r="U131">
        <f>IF(BE130&lt;=0,0,IF(ROUND(BE130*(1+'Calc base'!S131),2)-MAX('Calc base'!N$12,ROUND('Calc base'!N$13*BE130,2))&lt;1,ROUND(BE130*(1+'Calc base'!S131),2),MAX('Calc base'!N$12,ROUND('Calc base'!N$13*BE130,2))))</f>
        <v>0</v>
      </c>
      <c r="V131">
        <f>MAX(0,ROUND(AT130*(1+'Calc base'!H131),2)-J131-'Calc base'!T131)</f>
        <v>0</v>
      </c>
      <c r="W131">
        <f>MAX(0,ROUND(AU130*(1+'Calc base'!I131),2)-K131-'Calc base'!U131)</f>
        <v>0</v>
      </c>
      <c r="X131">
        <f>MAX(0,ROUND(AV130*(1+'Calc base'!J131),2)-L131-'Calc base'!V131)</f>
        <v>0</v>
      </c>
      <c r="Y131">
        <f>MAX(0,ROUND(AW130*(1+'Calc base'!K131),2)-M131-'Calc base'!W131)</f>
        <v>0</v>
      </c>
      <c r="Z131">
        <f>MAX(0,ROUND(AX130*(1+'Calc base'!L131),2)-N131-'Calc base'!X131)</f>
        <v>0</v>
      </c>
      <c r="AA131">
        <f>MAX(0,ROUND(AY130*(1+'Calc base'!M131),2)-O131-'Calc base'!Y131)</f>
        <v>0</v>
      </c>
      <c r="AB131">
        <f>MAX(0,ROUND(AZ130*(1+'Calc base'!N131),2)-P131-'Calc base'!Z131)</f>
        <v>0</v>
      </c>
      <c r="AC131">
        <f>MAX(0,ROUND(BA130*(1+'Calc base'!O131),2)-Q131-'Calc base'!AA131)</f>
        <v>0</v>
      </c>
      <c r="AD131">
        <f>MAX(0,ROUND(BB130*(1+'Calc base'!P131),2)-R131-'Calc base'!AB131)</f>
        <v>0</v>
      </c>
      <c r="AE131">
        <f>MAX(0,ROUND(BC130*(1+'Calc base'!Q131),2)-S131-'Calc base'!AC131)</f>
        <v>0</v>
      </c>
      <c r="AF131">
        <f>MAX(0,ROUND(BD130*(1+'Calc base'!R131),2)-T131-'Calc base'!AD131)</f>
        <v>0</v>
      </c>
      <c r="AG131">
        <f>MAX(0,ROUND(BE130*(1+'Calc base'!S131),2)-U131-'Calc base'!AE131)</f>
        <v>0</v>
      </c>
      <c r="AH131">
        <f>IF('Calc base'!C$14=0,0,MIN(V131,MAX(0,$E131-SUMIFS($V131:$AG131,'Calc base'!$C$19:$N$19,"&lt;"&amp;'Calc base'!C$19,'Calc base'!$C$14:$N$14,1))))</f>
        <v>0</v>
      </c>
      <c r="AI131">
        <f>IF('Calc base'!D$14=0,0,MIN(W131,MAX(0,$E131-SUMIFS($V131:$AG131,'Calc base'!$C$19:$N$19,"&lt;"&amp;'Calc base'!D$19,'Calc base'!$C$14:$N$14,1))))</f>
        <v>0</v>
      </c>
      <c r="AJ131">
        <f>IF('Calc base'!E$14=0,0,MIN(X131,MAX(0,$E131-SUMIFS($V131:$AG131,'Calc base'!$C$19:$N$19,"&lt;"&amp;'Calc base'!E$19,'Calc base'!$C$14:$N$14,1))))</f>
        <v>0</v>
      </c>
      <c r="AK131">
        <f>IF('Calc base'!F$14=0,0,MIN(Y131,MAX(0,$E131-SUMIFS($V131:$AG131,'Calc base'!$C$19:$N$19,"&lt;"&amp;'Calc base'!F$19,'Calc base'!$C$14:$N$14,1))))</f>
        <v>0</v>
      </c>
      <c r="AL131">
        <f>IF('Calc base'!G$14=0,0,MIN(Z131,MAX(0,$E131-SUMIFS($V131:$AG131,'Calc base'!$C$19:$N$19,"&lt;"&amp;'Calc base'!G$19,'Calc base'!$C$14:$N$14,1))))</f>
        <v>0</v>
      </c>
      <c r="AM131">
        <f>IF('Calc base'!H$14=0,0,MIN(AA131,MAX(0,$E131-SUMIFS($V131:$AG131,'Calc base'!$C$19:$N$19,"&lt;"&amp;'Calc base'!H$19,'Calc base'!$C$14:$N$14,1))))</f>
        <v>0</v>
      </c>
      <c r="AN131">
        <f>IF('Calc base'!I$14=0,0,MIN(AB131,MAX(0,$E131-SUMIFS($V131:$AG131,'Calc base'!$C$19:$N$19,"&lt;"&amp;'Calc base'!I$19,'Calc base'!$C$14:$N$14,1))))</f>
        <v>0</v>
      </c>
      <c r="AO131">
        <f>IF('Calc base'!J$14=0,0,MIN(AC131,MAX(0,$E131-SUMIFS($V131:$AG131,'Calc base'!$C$19:$N$19,"&lt;"&amp;'Calc base'!J$19,'Calc base'!$C$14:$N$14,1))))</f>
        <v>0</v>
      </c>
      <c r="AP131">
        <f>IF('Calc base'!K$14=0,0,MIN(AD131,MAX(0,$E131-SUMIFS($V131:$AG131,'Calc base'!$C$19:$N$19,"&lt;"&amp;'Calc base'!K$19,'Calc base'!$C$14:$N$14,1))))</f>
        <v>0</v>
      </c>
      <c r="AQ131">
        <f>IF('Calc base'!L$14=0,0,MIN(AE131,MAX(0,$E131-SUMIFS($V131:$AG131,'Calc base'!$C$19:$N$19,"&lt;"&amp;'Calc base'!L$19,'Calc base'!$C$14:$N$14,1))))</f>
        <v>0</v>
      </c>
      <c r="AR131">
        <f>IF('Calc base'!M$14=0,0,MIN(AF131,MAX(0,$E131-SUMIFS($V131:$AG131,'Calc base'!$C$19:$N$19,"&lt;"&amp;'Calc base'!M$19,'Calc base'!$C$14:$N$14,1))))</f>
        <v>0</v>
      </c>
      <c r="AS131">
        <f>IF('Calc base'!N$14=0,0,MIN(AG131,MAX(0,$E131-SUMIFS($V131:$AG131,'Calc base'!$C$19:$N$19,"&lt;"&amp;'Calc base'!N$19,'Calc base'!$C$14:$N$14,1))))</f>
        <v>0</v>
      </c>
      <c r="AT131">
        <f>V131-AH131</f>
        <v>0</v>
      </c>
      <c r="AU131">
        <f>W131-AI131</f>
        <v>0</v>
      </c>
      <c r="AV131">
        <f>X131-AJ131</f>
        <v>0</v>
      </c>
      <c r="AW131">
        <f>Y131-AK131</f>
        <v>0</v>
      </c>
      <c r="AX131">
        <f>Z131-AL131</f>
        <v>0</v>
      </c>
      <c r="AY131">
        <f>AA131-AM131</f>
        <v>0</v>
      </c>
      <c r="AZ131">
        <f>AB131-AN131</f>
        <v>0</v>
      </c>
      <c r="BA131">
        <f>AC131-AO131</f>
        <v>0</v>
      </c>
      <c r="BB131">
        <f>AD131-AP131</f>
        <v>0</v>
      </c>
      <c r="BC131">
        <f>AE131-AQ131</f>
        <v>0</v>
      </c>
      <c r="BD131">
        <f>AF131-AR131</f>
        <v>0</v>
      </c>
      <c r="BE131">
        <f>AG131-AS131</f>
        <v>0</v>
      </c>
    </row>
    <row r="132">
      <c r="A132" t="n">
        <v>102</v>
      </c>
      <c r="B132">
        <f>SUMPRODUCT(ROUND($AT131:$BE131*(1+'Calc base'!$H132:$S132),2))</f>
        <v>0</v>
      </c>
      <c r="C132">
        <f>SUM(J132:U132)</f>
        <v>0</v>
      </c>
      <c r="D132">
        <f>SUM(V132:AG132)</f>
        <v>0</v>
      </c>
      <c r="E132">
        <f>MAX(0,IF(Impostazioni!$B$7="No",'Calc base'!$C132-$C$31,'Calc base'!$C132-C132)+'Calc base'!$G132+'Calc base'!$F132-(B132-C132-D132))</f>
        <v>900</v>
      </c>
      <c r="F132">
        <f>SUM(AH132:AS132)</f>
        <v>0</v>
      </c>
      <c r="G132">
        <f>SUM(AT132:BE132)</f>
        <v>0</v>
      </c>
      <c r="H132">
        <f>B132-G131</f>
        <v>0</v>
      </c>
      <c r="I132">
        <f>B132-G132</f>
        <v>0</v>
      </c>
      <c r="J132">
        <f>IF(AT131&lt;=0,0,IF(ROUND(AT131*(1+'Calc base'!H132),2)-MAX('Calc base'!C$12,ROUND('Calc base'!C$13*AT131,2))&lt;1,ROUND(AT131*(1+'Calc base'!H132),2),MAX('Calc base'!C$12,ROUND('Calc base'!C$13*AT131,2))))</f>
        <v>0</v>
      </c>
      <c r="K132">
        <f>IF(AU131&lt;=0,0,IF(ROUND(AU131*(1+'Calc base'!I132),2)-MAX('Calc base'!D$12,ROUND('Calc base'!D$13*AU131,2))&lt;1,ROUND(AU131*(1+'Calc base'!I132),2),MAX('Calc base'!D$12,ROUND('Calc base'!D$13*AU131,2))))</f>
        <v>0</v>
      </c>
      <c r="L132">
        <f>IF(AV131&lt;=0,0,IF(ROUND(AV131*(1+'Calc base'!J132),2)-MAX('Calc base'!E$12,ROUND('Calc base'!E$13*AV131,2))&lt;1,ROUND(AV131*(1+'Calc base'!J132),2),MAX('Calc base'!E$12,ROUND('Calc base'!E$13*AV131,2))))</f>
        <v>0</v>
      </c>
      <c r="M132">
        <f>IF(AW131&lt;=0,0,IF(ROUND(AW131*(1+'Calc base'!K132),2)-MAX('Calc base'!F$12,ROUND('Calc base'!F$13*AW131,2))&lt;1,ROUND(AW131*(1+'Calc base'!K132),2),MAX('Calc base'!F$12,ROUND('Calc base'!F$13*AW131,2))))</f>
        <v>0</v>
      </c>
      <c r="N132">
        <f>IF(AX131&lt;=0,0,IF(ROUND(AX131*(1+'Calc base'!L132),2)-MAX('Calc base'!G$12,ROUND('Calc base'!G$13*AX131,2))&lt;1,ROUND(AX131*(1+'Calc base'!L132),2),MAX('Calc base'!G$12,ROUND('Calc base'!G$13*AX131,2))))</f>
        <v>0</v>
      </c>
      <c r="O132">
        <f>IF(AY131&lt;=0,0,IF(ROUND(AY131*(1+'Calc base'!M132),2)-MAX('Calc base'!H$12,ROUND('Calc base'!H$13*AY131,2))&lt;1,ROUND(AY131*(1+'Calc base'!M132),2),MAX('Calc base'!H$12,ROUND('Calc base'!H$13*AY131,2))))</f>
        <v>0</v>
      </c>
      <c r="P132">
        <f>IF(AZ131&lt;=0,0,IF(ROUND(AZ131*(1+'Calc base'!N132),2)-MAX('Calc base'!I$12,ROUND('Calc base'!I$13*AZ131,2))&lt;1,ROUND(AZ131*(1+'Calc base'!N132),2),MAX('Calc base'!I$12,ROUND('Calc base'!I$13*AZ131,2))))</f>
        <v>0</v>
      </c>
      <c r="Q132">
        <f>IF(BA131&lt;=0,0,IF(ROUND(BA131*(1+'Calc base'!O132),2)-MAX('Calc base'!J$12,ROUND('Calc base'!J$13*BA131,2))&lt;1,ROUND(BA131*(1+'Calc base'!O132),2),MAX('Calc base'!J$12,ROUND('Calc base'!J$13*BA131,2))))</f>
        <v>0</v>
      </c>
      <c r="R132">
        <f>IF(BB131&lt;=0,0,IF(ROUND(BB131*(1+'Calc base'!P132),2)-MAX('Calc base'!K$12,ROUND('Calc base'!K$13*BB131,2))&lt;1,ROUND(BB131*(1+'Calc base'!P132),2),MAX('Calc base'!K$12,ROUND('Calc base'!K$13*BB131,2))))</f>
        <v>0</v>
      </c>
      <c r="S132">
        <f>IF(BC131&lt;=0,0,IF(ROUND(BC131*(1+'Calc base'!Q132),2)-MAX('Calc base'!L$12,ROUND('Calc base'!L$13*BC131,2))&lt;1,ROUND(BC131*(1+'Calc base'!Q132),2),MAX('Calc base'!L$12,ROUND('Calc base'!L$13*BC131,2))))</f>
        <v>0</v>
      </c>
      <c r="T132">
        <f>IF(BD131&lt;=0,0,IF(ROUND(BD131*(1+'Calc base'!R132),2)-MAX('Calc base'!M$12,ROUND('Calc base'!M$13*BD131,2))&lt;1,ROUND(BD131*(1+'Calc base'!R132),2),MAX('Calc base'!M$12,ROUND('Calc base'!M$13*BD131,2))))</f>
        <v>0</v>
      </c>
      <c r="U132">
        <f>IF(BE131&lt;=0,0,IF(ROUND(BE131*(1+'Calc base'!S132),2)-MAX('Calc base'!N$12,ROUND('Calc base'!N$13*BE131,2))&lt;1,ROUND(BE131*(1+'Calc base'!S132),2),MAX('Calc base'!N$12,ROUND('Calc base'!N$13*BE131,2))))</f>
        <v>0</v>
      </c>
      <c r="V132">
        <f>MAX(0,ROUND(AT131*(1+'Calc base'!H132),2)-J132-'Calc base'!T132)</f>
        <v>0</v>
      </c>
      <c r="W132">
        <f>MAX(0,ROUND(AU131*(1+'Calc base'!I132),2)-K132-'Calc base'!U132)</f>
        <v>0</v>
      </c>
      <c r="X132">
        <f>MAX(0,ROUND(AV131*(1+'Calc base'!J132),2)-L132-'Calc base'!V132)</f>
        <v>0</v>
      </c>
      <c r="Y132">
        <f>MAX(0,ROUND(AW131*(1+'Calc base'!K132),2)-M132-'Calc base'!W132)</f>
        <v>0</v>
      </c>
      <c r="Z132">
        <f>MAX(0,ROUND(AX131*(1+'Calc base'!L132),2)-N132-'Calc base'!X132)</f>
        <v>0</v>
      </c>
      <c r="AA132">
        <f>MAX(0,ROUND(AY131*(1+'Calc base'!M132),2)-O132-'Calc base'!Y132)</f>
        <v>0</v>
      </c>
      <c r="AB132">
        <f>MAX(0,ROUND(AZ131*(1+'Calc base'!N132),2)-P132-'Calc base'!Z132)</f>
        <v>0</v>
      </c>
      <c r="AC132">
        <f>MAX(0,ROUND(BA131*(1+'Calc base'!O132),2)-Q132-'Calc base'!AA132)</f>
        <v>0</v>
      </c>
      <c r="AD132">
        <f>MAX(0,ROUND(BB131*(1+'Calc base'!P132),2)-R132-'Calc base'!AB132)</f>
        <v>0</v>
      </c>
      <c r="AE132">
        <f>MAX(0,ROUND(BC131*(1+'Calc base'!Q132),2)-S132-'Calc base'!AC132)</f>
        <v>0</v>
      </c>
      <c r="AF132">
        <f>MAX(0,ROUND(BD131*(1+'Calc base'!R132),2)-T132-'Calc base'!AD132)</f>
        <v>0</v>
      </c>
      <c r="AG132">
        <f>MAX(0,ROUND(BE131*(1+'Calc base'!S132),2)-U132-'Calc base'!AE132)</f>
        <v>0</v>
      </c>
      <c r="AH132">
        <f>IF('Calc base'!C$14=0,0,MIN(V132,MAX(0,$E132-SUMIFS($V132:$AG132,'Calc base'!$C$19:$N$19,"&lt;"&amp;'Calc base'!C$19,'Calc base'!$C$14:$N$14,1))))</f>
        <v>0</v>
      </c>
      <c r="AI132">
        <f>IF('Calc base'!D$14=0,0,MIN(W132,MAX(0,$E132-SUMIFS($V132:$AG132,'Calc base'!$C$19:$N$19,"&lt;"&amp;'Calc base'!D$19,'Calc base'!$C$14:$N$14,1))))</f>
        <v>0</v>
      </c>
      <c r="AJ132">
        <f>IF('Calc base'!E$14=0,0,MIN(X132,MAX(0,$E132-SUMIFS($V132:$AG132,'Calc base'!$C$19:$N$19,"&lt;"&amp;'Calc base'!E$19,'Calc base'!$C$14:$N$14,1))))</f>
        <v>0</v>
      </c>
      <c r="AK132">
        <f>IF('Calc base'!F$14=0,0,MIN(Y132,MAX(0,$E132-SUMIFS($V132:$AG132,'Calc base'!$C$19:$N$19,"&lt;"&amp;'Calc base'!F$19,'Calc base'!$C$14:$N$14,1))))</f>
        <v>0</v>
      </c>
      <c r="AL132">
        <f>IF('Calc base'!G$14=0,0,MIN(Z132,MAX(0,$E132-SUMIFS($V132:$AG132,'Calc base'!$C$19:$N$19,"&lt;"&amp;'Calc base'!G$19,'Calc base'!$C$14:$N$14,1))))</f>
        <v>0</v>
      </c>
      <c r="AM132">
        <f>IF('Calc base'!H$14=0,0,MIN(AA132,MAX(0,$E132-SUMIFS($V132:$AG132,'Calc base'!$C$19:$N$19,"&lt;"&amp;'Calc base'!H$19,'Calc base'!$C$14:$N$14,1))))</f>
        <v>0</v>
      </c>
      <c r="AN132">
        <f>IF('Calc base'!I$14=0,0,MIN(AB132,MAX(0,$E132-SUMIFS($V132:$AG132,'Calc base'!$C$19:$N$19,"&lt;"&amp;'Calc base'!I$19,'Calc base'!$C$14:$N$14,1))))</f>
        <v>0</v>
      </c>
      <c r="AO132">
        <f>IF('Calc base'!J$14=0,0,MIN(AC132,MAX(0,$E132-SUMIFS($V132:$AG132,'Calc base'!$C$19:$N$19,"&lt;"&amp;'Calc base'!J$19,'Calc base'!$C$14:$N$14,1))))</f>
        <v>0</v>
      </c>
      <c r="AP132">
        <f>IF('Calc base'!K$14=0,0,MIN(AD132,MAX(0,$E132-SUMIFS($V132:$AG132,'Calc base'!$C$19:$N$19,"&lt;"&amp;'Calc base'!K$19,'Calc base'!$C$14:$N$14,1))))</f>
        <v>0</v>
      </c>
      <c r="AQ132">
        <f>IF('Calc base'!L$14=0,0,MIN(AE132,MAX(0,$E132-SUMIFS($V132:$AG132,'Calc base'!$C$19:$N$19,"&lt;"&amp;'Calc base'!L$19,'Calc base'!$C$14:$N$14,1))))</f>
        <v>0</v>
      </c>
      <c r="AR132">
        <f>IF('Calc base'!M$14=0,0,MIN(AF132,MAX(0,$E132-SUMIFS($V132:$AG132,'Calc base'!$C$19:$N$19,"&lt;"&amp;'Calc base'!M$19,'Calc base'!$C$14:$N$14,1))))</f>
        <v>0</v>
      </c>
      <c r="AS132">
        <f>IF('Calc base'!N$14=0,0,MIN(AG132,MAX(0,$E132-SUMIFS($V132:$AG132,'Calc base'!$C$19:$N$19,"&lt;"&amp;'Calc base'!N$19,'Calc base'!$C$14:$N$14,1))))</f>
        <v>0</v>
      </c>
      <c r="AT132">
        <f>V132-AH132</f>
        <v>0</v>
      </c>
      <c r="AU132">
        <f>W132-AI132</f>
        <v>0</v>
      </c>
      <c r="AV132">
        <f>X132-AJ132</f>
        <v>0</v>
      </c>
      <c r="AW132">
        <f>Y132-AK132</f>
        <v>0</v>
      </c>
      <c r="AX132">
        <f>Z132-AL132</f>
        <v>0</v>
      </c>
      <c r="AY132">
        <f>AA132-AM132</f>
        <v>0</v>
      </c>
      <c r="AZ132">
        <f>AB132-AN132</f>
        <v>0</v>
      </c>
      <c r="BA132">
        <f>AC132-AO132</f>
        <v>0</v>
      </c>
      <c r="BB132">
        <f>AD132-AP132</f>
        <v>0</v>
      </c>
      <c r="BC132">
        <f>AE132-AQ132</f>
        <v>0</v>
      </c>
      <c r="BD132">
        <f>AF132-AR132</f>
        <v>0</v>
      </c>
      <c r="BE132">
        <f>AG132-AS132</f>
        <v>0</v>
      </c>
    </row>
    <row r="133">
      <c r="A133" t="n">
        <v>103</v>
      </c>
      <c r="B133">
        <f>SUMPRODUCT(ROUND($AT132:$BE132*(1+'Calc base'!$H133:$S133),2))</f>
        <v>0</v>
      </c>
      <c r="C133">
        <f>SUM(J133:U133)</f>
        <v>0</v>
      </c>
      <c r="D133">
        <f>SUM(V133:AG133)</f>
        <v>0</v>
      </c>
      <c r="E133">
        <f>MAX(0,IF(Impostazioni!$B$7="No",'Calc base'!$C133-$C$31,'Calc base'!$C133-C133)+'Calc base'!$G133+'Calc base'!$F133-(B133-C133-D133))</f>
        <v>900</v>
      </c>
      <c r="F133">
        <f>SUM(AH133:AS133)</f>
        <v>0</v>
      </c>
      <c r="G133">
        <f>SUM(AT133:BE133)</f>
        <v>0</v>
      </c>
      <c r="H133">
        <f>B133-G132</f>
        <v>0</v>
      </c>
      <c r="I133">
        <f>B133-G133</f>
        <v>0</v>
      </c>
      <c r="J133">
        <f>IF(AT132&lt;=0,0,IF(ROUND(AT132*(1+'Calc base'!H133),2)-MAX('Calc base'!C$12,ROUND('Calc base'!C$13*AT132,2))&lt;1,ROUND(AT132*(1+'Calc base'!H133),2),MAX('Calc base'!C$12,ROUND('Calc base'!C$13*AT132,2))))</f>
        <v>0</v>
      </c>
      <c r="K133">
        <f>IF(AU132&lt;=0,0,IF(ROUND(AU132*(1+'Calc base'!I133),2)-MAX('Calc base'!D$12,ROUND('Calc base'!D$13*AU132,2))&lt;1,ROUND(AU132*(1+'Calc base'!I133),2),MAX('Calc base'!D$12,ROUND('Calc base'!D$13*AU132,2))))</f>
        <v>0</v>
      </c>
      <c r="L133">
        <f>IF(AV132&lt;=0,0,IF(ROUND(AV132*(1+'Calc base'!J133),2)-MAX('Calc base'!E$12,ROUND('Calc base'!E$13*AV132,2))&lt;1,ROUND(AV132*(1+'Calc base'!J133),2),MAX('Calc base'!E$12,ROUND('Calc base'!E$13*AV132,2))))</f>
        <v>0</v>
      </c>
      <c r="M133">
        <f>IF(AW132&lt;=0,0,IF(ROUND(AW132*(1+'Calc base'!K133),2)-MAX('Calc base'!F$12,ROUND('Calc base'!F$13*AW132,2))&lt;1,ROUND(AW132*(1+'Calc base'!K133),2),MAX('Calc base'!F$12,ROUND('Calc base'!F$13*AW132,2))))</f>
        <v>0</v>
      </c>
      <c r="N133">
        <f>IF(AX132&lt;=0,0,IF(ROUND(AX132*(1+'Calc base'!L133),2)-MAX('Calc base'!G$12,ROUND('Calc base'!G$13*AX132,2))&lt;1,ROUND(AX132*(1+'Calc base'!L133),2),MAX('Calc base'!G$12,ROUND('Calc base'!G$13*AX132,2))))</f>
        <v>0</v>
      </c>
      <c r="O133">
        <f>IF(AY132&lt;=0,0,IF(ROUND(AY132*(1+'Calc base'!M133),2)-MAX('Calc base'!H$12,ROUND('Calc base'!H$13*AY132,2))&lt;1,ROUND(AY132*(1+'Calc base'!M133),2),MAX('Calc base'!H$12,ROUND('Calc base'!H$13*AY132,2))))</f>
        <v>0</v>
      </c>
      <c r="P133">
        <f>IF(AZ132&lt;=0,0,IF(ROUND(AZ132*(1+'Calc base'!N133),2)-MAX('Calc base'!I$12,ROUND('Calc base'!I$13*AZ132,2))&lt;1,ROUND(AZ132*(1+'Calc base'!N133),2),MAX('Calc base'!I$12,ROUND('Calc base'!I$13*AZ132,2))))</f>
        <v>0</v>
      </c>
      <c r="Q133">
        <f>IF(BA132&lt;=0,0,IF(ROUND(BA132*(1+'Calc base'!O133),2)-MAX('Calc base'!J$12,ROUND('Calc base'!J$13*BA132,2))&lt;1,ROUND(BA132*(1+'Calc base'!O133),2),MAX('Calc base'!J$12,ROUND('Calc base'!J$13*BA132,2))))</f>
        <v>0</v>
      </c>
      <c r="R133">
        <f>IF(BB132&lt;=0,0,IF(ROUND(BB132*(1+'Calc base'!P133),2)-MAX('Calc base'!K$12,ROUND('Calc base'!K$13*BB132,2))&lt;1,ROUND(BB132*(1+'Calc base'!P133),2),MAX('Calc base'!K$12,ROUND('Calc base'!K$13*BB132,2))))</f>
        <v>0</v>
      </c>
      <c r="S133">
        <f>IF(BC132&lt;=0,0,IF(ROUND(BC132*(1+'Calc base'!Q133),2)-MAX('Calc base'!L$12,ROUND('Calc base'!L$13*BC132,2))&lt;1,ROUND(BC132*(1+'Calc base'!Q133),2),MAX('Calc base'!L$12,ROUND('Calc base'!L$13*BC132,2))))</f>
        <v>0</v>
      </c>
      <c r="T133">
        <f>IF(BD132&lt;=0,0,IF(ROUND(BD132*(1+'Calc base'!R133),2)-MAX('Calc base'!M$12,ROUND('Calc base'!M$13*BD132,2))&lt;1,ROUND(BD132*(1+'Calc base'!R133),2),MAX('Calc base'!M$12,ROUND('Calc base'!M$13*BD132,2))))</f>
        <v>0</v>
      </c>
      <c r="U133">
        <f>IF(BE132&lt;=0,0,IF(ROUND(BE132*(1+'Calc base'!S133),2)-MAX('Calc base'!N$12,ROUND('Calc base'!N$13*BE132,2))&lt;1,ROUND(BE132*(1+'Calc base'!S133),2),MAX('Calc base'!N$12,ROUND('Calc base'!N$13*BE132,2))))</f>
        <v>0</v>
      </c>
      <c r="V133">
        <f>MAX(0,ROUND(AT132*(1+'Calc base'!H133),2)-J133-'Calc base'!T133)</f>
        <v>0</v>
      </c>
      <c r="W133">
        <f>MAX(0,ROUND(AU132*(1+'Calc base'!I133),2)-K133-'Calc base'!U133)</f>
        <v>0</v>
      </c>
      <c r="X133">
        <f>MAX(0,ROUND(AV132*(1+'Calc base'!J133),2)-L133-'Calc base'!V133)</f>
        <v>0</v>
      </c>
      <c r="Y133">
        <f>MAX(0,ROUND(AW132*(1+'Calc base'!K133),2)-M133-'Calc base'!W133)</f>
        <v>0</v>
      </c>
      <c r="Z133">
        <f>MAX(0,ROUND(AX132*(1+'Calc base'!L133),2)-N133-'Calc base'!X133)</f>
        <v>0</v>
      </c>
      <c r="AA133">
        <f>MAX(0,ROUND(AY132*(1+'Calc base'!M133),2)-O133-'Calc base'!Y133)</f>
        <v>0</v>
      </c>
      <c r="AB133">
        <f>MAX(0,ROUND(AZ132*(1+'Calc base'!N133),2)-P133-'Calc base'!Z133)</f>
        <v>0</v>
      </c>
      <c r="AC133">
        <f>MAX(0,ROUND(BA132*(1+'Calc base'!O133),2)-Q133-'Calc base'!AA133)</f>
        <v>0</v>
      </c>
      <c r="AD133">
        <f>MAX(0,ROUND(BB132*(1+'Calc base'!P133),2)-R133-'Calc base'!AB133)</f>
        <v>0</v>
      </c>
      <c r="AE133">
        <f>MAX(0,ROUND(BC132*(1+'Calc base'!Q133),2)-S133-'Calc base'!AC133)</f>
        <v>0</v>
      </c>
      <c r="AF133">
        <f>MAX(0,ROUND(BD132*(1+'Calc base'!R133),2)-T133-'Calc base'!AD133)</f>
        <v>0</v>
      </c>
      <c r="AG133">
        <f>MAX(0,ROUND(BE132*(1+'Calc base'!S133),2)-U133-'Calc base'!AE133)</f>
        <v>0</v>
      </c>
      <c r="AH133">
        <f>IF('Calc base'!C$14=0,0,MIN(V133,MAX(0,$E133-SUMIFS($V133:$AG133,'Calc base'!$C$19:$N$19,"&lt;"&amp;'Calc base'!C$19,'Calc base'!$C$14:$N$14,1))))</f>
        <v>0</v>
      </c>
      <c r="AI133">
        <f>IF('Calc base'!D$14=0,0,MIN(W133,MAX(0,$E133-SUMIFS($V133:$AG133,'Calc base'!$C$19:$N$19,"&lt;"&amp;'Calc base'!D$19,'Calc base'!$C$14:$N$14,1))))</f>
        <v>0</v>
      </c>
      <c r="AJ133">
        <f>IF('Calc base'!E$14=0,0,MIN(X133,MAX(0,$E133-SUMIFS($V133:$AG133,'Calc base'!$C$19:$N$19,"&lt;"&amp;'Calc base'!E$19,'Calc base'!$C$14:$N$14,1))))</f>
        <v>0</v>
      </c>
      <c r="AK133">
        <f>IF('Calc base'!F$14=0,0,MIN(Y133,MAX(0,$E133-SUMIFS($V133:$AG133,'Calc base'!$C$19:$N$19,"&lt;"&amp;'Calc base'!F$19,'Calc base'!$C$14:$N$14,1))))</f>
        <v>0</v>
      </c>
      <c r="AL133">
        <f>IF('Calc base'!G$14=0,0,MIN(Z133,MAX(0,$E133-SUMIFS($V133:$AG133,'Calc base'!$C$19:$N$19,"&lt;"&amp;'Calc base'!G$19,'Calc base'!$C$14:$N$14,1))))</f>
        <v>0</v>
      </c>
      <c r="AM133">
        <f>IF('Calc base'!H$14=0,0,MIN(AA133,MAX(0,$E133-SUMIFS($V133:$AG133,'Calc base'!$C$19:$N$19,"&lt;"&amp;'Calc base'!H$19,'Calc base'!$C$14:$N$14,1))))</f>
        <v>0</v>
      </c>
      <c r="AN133">
        <f>IF('Calc base'!I$14=0,0,MIN(AB133,MAX(0,$E133-SUMIFS($V133:$AG133,'Calc base'!$C$19:$N$19,"&lt;"&amp;'Calc base'!I$19,'Calc base'!$C$14:$N$14,1))))</f>
        <v>0</v>
      </c>
      <c r="AO133">
        <f>IF('Calc base'!J$14=0,0,MIN(AC133,MAX(0,$E133-SUMIFS($V133:$AG133,'Calc base'!$C$19:$N$19,"&lt;"&amp;'Calc base'!J$19,'Calc base'!$C$14:$N$14,1))))</f>
        <v>0</v>
      </c>
      <c r="AP133">
        <f>IF('Calc base'!K$14=0,0,MIN(AD133,MAX(0,$E133-SUMIFS($V133:$AG133,'Calc base'!$C$19:$N$19,"&lt;"&amp;'Calc base'!K$19,'Calc base'!$C$14:$N$14,1))))</f>
        <v>0</v>
      </c>
      <c r="AQ133">
        <f>IF('Calc base'!L$14=0,0,MIN(AE133,MAX(0,$E133-SUMIFS($V133:$AG133,'Calc base'!$C$19:$N$19,"&lt;"&amp;'Calc base'!L$19,'Calc base'!$C$14:$N$14,1))))</f>
        <v>0</v>
      </c>
      <c r="AR133">
        <f>IF('Calc base'!M$14=0,0,MIN(AF133,MAX(0,$E133-SUMIFS($V133:$AG133,'Calc base'!$C$19:$N$19,"&lt;"&amp;'Calc base'!M$19,'Calc base'!$C$14:$N$14,1))))</f>
        <v>0</v>
      </c>
      <c r="AS133">
        <f>IF('Calc base'!N$14=0,0,MIN(AG133,MAX(0,$E133-SUMIFS($V133:$AG133,'Calc base'!$C$19:$N$19,"&lt;"&amp;'Calc base'!N$19,'Calc base'!$C$14:$N$14,1))))</f>
        <v>0</v>
      </c>
      <c r="AT133">
        <f>V133-AH133</f>
        <v>0</v>
      </c>
      <c r="AU133">
        <f>W133-AI133</f>
        <v>0</v>
      </c>
      <c r="AV133">
        <f>X133-AJ133</f>
        <v>0</v>
      </c>
      <c r="AW133">
        <f>Y133-AK133</f>
        <v>0</v>
      </c>
      <c r="AX133">
        <f>Z133-AL133</f>
        <v>0</v>
      </c>
      <c r="AY133">
        <f>AA133-AM133</f>
        <v>0</v>
      </c>
      <c r="AZ133">
        <f>AB133-AN133</f>
        <v>0</v>
      </c>
      <c r="BA133">
        <f>AC133-AO133</f>
        <v>0</v>
      </c>
      <c r="BB133">
        <f>AD133-AP133</f>
        <v>0</v>
      </c>
      <c r="BC133">
        <f>AE133-AQ133</f>
        <v>0</v>
      </c>
      <c r="BD133">
        <f>AF133-AR133</f>
        <v>0</v>
      </c>
      <c r="BE133">
        <f>AG133-AS133</f>
        <v>0</v>
      </c>
    </row>
    <row r="134">
      <c r="A134" t="n">
        <v>104</v>
      </c>
      <c r="B134">
        <f>SUMPRODUCT(ROUND($AT133:$BE133*(1+'Calc base'!$H134:$S134),2))</f>
        <v>0</v>
      </c>
      <c r="C134">
        <f>SUM(J134:U134)</f>
        <v>0</v>
      </c>
      <c r="D134">
        <f>SUM(V134:AG134)</f>
        <v>0</v>
      </c>
      <c r="E134">
        <f>MAX(0,IF(Impostazioni!$B$7="No",'Calc base'!$C134-$C$31,'Calc base'!$C134-C134)+'Calc base'!$G134+'Calc base'!$F134-(B134-C134-D134))</f>
        <v>900</v>
      </c>
      <c r="F134">
        <f>SUM(AH134:AS134)</f>
        <v>0</v>
      </c>
      <c r="G134">
        <f>SUM(AT134:BE134)</f>
        <v>0</v>
      </c>
      <c r="H134">
        <f>B134-G133</f>
        <v>0</v>
      </c>
      <c r="I134">
        <f>B134-G134</f>
        <v>0</v>
      </c>
      <c r="J134">
        <f>IF(AT133&lt;=0,0,IF(ROUND(AT133*(1+'Calc base'!H134),2)-MAX('Calc base'!C$12,ROUND('Calc base'!C$13*AT133,2))&lt;1,ROUND(AT133*(1+'Calc base'!H134),2),MAX('Calc base'!C$12,ROUND('Calc base'!C$13*AT133,2))))</f>
        <v>0</v>
      </c>
      <c r="K134">
        <f>IF(AU133&lt;=0,0,IF(ROUND(AU133*(1+'Calc base'!I134),2)-MAX('Calc base'!D$12,ROUND('Calc base'!D$13*AU133,2))&lt;1,ROUND(AU133*(1+'Calc base'!I134),2),MAX('Calc base'!D$12,ROUND('Calc base'!D$13*AU133,2))))</f>
        <v>0</v>
      </c>
      <c r="L134">
        <f>IF(AV133&lt;=0,0,IF(ROUND(AV133*(1+'Calc base'!J134),2)-MAX('Calc base'!E$12,ROUND('Calc base'!E$13*AV133,2))&lt;1,ROUND(AV133*(1+'Calc base'!J134),2),MAX('Calc base'!E$12,ROUND('Calc base'!E$13*AV133,2))))</f>
        <v>0</v>
      </c>
      <c r="M134">
        <f>IF(AW133&lt;=0,0,IF(ROUND(AW133*(1+'Calc base'!K134),2)-MAX('Calc base'!F$12,ROUND('Calc base'!F$13*AW133,2))&lt;1,ROUND(AW133*(1+'Calc base'!K134),2),MAX('Calc base'!F$12,ROUND('Calc base'!F$13*AW133,2))))</f>
        <v>0</v>
      </c>
      <c r="N134">
        <f>IF(AX133&lt;=0,0,IF(ROUND(AX133*(1+'Calc base'!L134),2)-MAX('Calc base'!G$12,ROUND('Calc base'!G$13*AX133,2))&lt;1,ROUND(AX133*(1+'Calc base'!L134),2),MAX('Calc base'!G$12,ROUND('Calc base'!G$13*AX133,2))))</f>
        <v>0</v>
      </c>
      <c r="O134">
        <f>IF(AY133&lt;=0,0,IF(ROUND(AY133*(1+'Calc base'!M134),2)-MAX('Calc base'!H$12,ROUND('Calc base'!H$13*AY133,2))&lt;1,ROUND(AY133*(1+'Calc base'!M134),2),MAX('Calc base'!H$12,ROUND('Calc base'!H$13*AY133,2))))</f>
        <v>0</v>
      </c>
      <c r="P134">
        <f>IF(AZ133&lt;=0,0,IF(ROUND(AZ133*(1+'Calc base'!N134),2)-MAX('Calc base'!I$12,ROUND('Calc base'!I$13*AZ133,2))&lt;1,ROUND(AZ133*(1+'Calc base'!N134),2),MAX('Calc base'!I$12,ROUND('Calc base'!I$13*AZ133,2))))</f>
        <v>0</v>
      </c>
      <c r="Q134">
        <f>IF(BA133&lt;=0,0,IF(ROUND(BA133*(1+'Calc base'!O134),2)-MAX('Calc base'!J$12,ROUND('Calc base'!J$13*BA133,2))&lt;1,ROUND(BA133*(1+'Calc base'!O134),2),MAX('Calc base'!J$12,ROUND('Calc base'!J$13*BA133,2))))</f>
        <v>0</v>
      </c>
      <c r="R134">
        <f>IF(BB133&lt;=0,0,IF(ROUND(BB133*(1+'Calc base'!P134),2)-MAX('Calc base'!K$12,ROUND('Calc base'!K$13*BB133,2))&lt;1,ROUND(BB133*(1+'Calc base'!P134),2),MAX('Calc base'!K$12,ROUND('Calc base'!K$13*BB133,2))))</f>
        <v>0</v>
      </c>
      <c r="S134">
        <f>IF(BC133&lt;=0,0,IF(ROUND(BC133*(1+'Calc base'!Q134),2)-MAX('Calc base'!L$12,ROUND('Calc base'!L$13*BC133,2))&lt;1,ROUND(BC133*(1+'Calc base'!Q134),2),MAX('Calc base'!L$12,ROUND('Calc base'!L$13*BC133,2))))</f>
        <v>0</v>
      </c>
      <c r="T134">
        <f>IF(BD133&lt;=0,0,IF(ROUND(BD133*(1+'Calc base'!R134),2)-MAX('Calc base'!M$12,ROUND('Calc base'!M$13*BD133,2))&lt;1,ROUND(BD133*(1+'Calc base'!R134),2),MAX('Calc base'!M$12,ROUND('Calc base'!M$13*BD133,2))))</f>
        <v>0</v>
      </c>
      <c r="U134">
        <f>IF(BE133&lt;=0,0,IF(ROUND(BE133*(1+'Calc base'!S134),2)-MAX('Calc base'!N$12,ROUND('Calc base'!N$13*BE133,2))&lt;1,ROUND(BE133*(1+'Calc base'!S134),2),MAX('Calc base'!N$12,ROUND('Calc base'!N$13*BE133,2))))</f>
        <v>0</v>
      </c>
      <c r="V134">
        <f>MAX(0,ROUND(AT133*(1+'Calc base'!H134),2)-J134-'Calc base'!T134)</f>
        <v>0</v>
      </c>
      <c r="W134">
        <f>MAX(0,ROUND(AU133*(1+'Calc base'!I134),2)-K134-'Calc base'!U134)</f>
        <v>0</v>
      </c>
      <c r="X134">
        <f>MAX(0,ROUND(AV133*(1+'Calc base'!J134),2)-L134-'Calc base'!V134)</f>
        <v>0</v>
      </c>
      <c r="Y134">
        <f>MAX(0,ROUND(AW133*(1+'Calc base'!K134),2)-M134-'Calc base'!W134)</f>
        <v>0</v>
      </c>
      <c r="Z134">
        <f>MAX(0,ROUND(AX133*(1+'Calc base'!L134),2)-N134-'Calc base'!X134)</f>
        <v>0</v>
      </c>
      <c r="AA134">
        <f>MAX(0,ROUND(AY133*(1+'Calc base'!M134),2)-O134-'Calc base'!Y134)</f>
        <v>0</v>
      </c>
      <c r="AB134">
        <f>MAX(0,ROUND(AZ133*(1+'Calc base'!N134),2)-P134-'Calc base'!Z134)</f>
        <v>0</v>
      </c>
      <c r="AC134">
        <f>MAX(0,ROUND(BA133*(1+'Calc base'!O134),2)-Q134-'Calc base'!AA134)</f>
        <v>0</v>
      </c>
      <c r="AD134">
        <f>MAX(0,ROUND(BB133*(1+'Calc base'!P134),2)-R134-'Calc base'!AB134)</f>
        <v>0</v>
      </c>
      <c r="AE134">
        <f>MAX(0,ROUND(BC133*(1+'Calc base'!Q134),2)-S134-'Calc base'!AC134)</f>
        <v>0</v>
      </c>
      <c r="AF134">
        <f>MAX(0,ROUND(BD133*(1+'Calc base'!R134),2)-T134-'Calc base'!AD134)</f>
        <v>0</v>
      </c>
      <c r="AG134">
        <f>MAX(0,ROUND(BE133*(1+'Calc base'!S134),2)-U134-'Calc base'!AE134)</f>
        <v>0</v>
      </c>
      <c r="AH134">
        <f>IF('Calc base'!C$14=0,0,MIN(V134,MAX(0,$E134-SUMIFS($V134:$AG134,'Calc base'!$C$19:$N$19,"&lt;"&amp;'Calc base'!C$19,'Calc base'!$C$14:$N$14,1))))</f>
        <v>0</v>
      </c>
      <c r="AI134">
        <f>IF('Calc base'!D$14=0,0,MIN(W134,MAX(0,$E134-SUMIFS($V134:$AG134,'Calc base'!$C$19:$N$19,"&lt;"&amp;'Calc base'!D$19,'Calc base'!$C$14:$N$14,1))))</f>
        <v>0</v>
      </c>
      <c r="AJ134">
        <f>IF('Calc base'!E$14=0,0,MIN(X134,MAX(0,$E134-SUMIFS($V134:$AG134,'Calc base'!$C$19:$N$19,"&lt;"&amp;'Calc base'!E$19,'Calc base'!$C$14:$N$14,1))))</f>
        <v>0</v>
      </c>
      <c r="AK134">
        <f>IF('Calc base'!F$14=0,0,MIN(Y134,MAX(0,$E134-SUMIFS($V134:$AG134,'Calc base'!$C$19:$N$19,"&lt;"&amp;'Calc base'!F$19,'Calc base'!$C$14:$N$14,1))))</f>
        <v>0</v>
      </c>
      <c r="AL134">
        <f>IF('Calc base'!G$14=0,0,MIN(Z134,MAX(0,$E134-SUMIFS($V134:$AG134,'Calc base'!$C$19:$N$19,"&lt;"&amp;'Calc base'!G$19,'Calc base'!$C$14:$N$14,1))))</f>
        <v>0</v>
      </c>
      <c r="AM134">
        <f>IF('Calc base'!H$14=0,0,MIN(AA134,MAX(0,$E134-SUMIFS($V134:$AG134,'Calc base'!$C$19:$N$19,"&lt;"&amp;'Calc base'!H$19,'Calc base'!$C$14:$N$14,1))))</f>
        <v>0</v>
      </c>
      <c r="AN134">
        <f>IF('Calc base'!I$14=0,0,MIN(AB134,MAX(0,$E134-SUMIFS($V134:$AG134,'Calc base'!$C$19:$N$19,"&lt;"&amp;'Calc base'!I$19,'Calc base'!$C$14:$N$14,1))))</f>
        <v>0</v>
      </c>
      <c r="AO134">
        <f>IF('Calc base'!J$14=0,0,MIN(AC134,MAX(0,$E134-SUMIFS($V134:$AG134,'Calc base'!$C$19:$N$19,"&lt;"&amp;'Calc base'!J$19,'Calc base'!$C$14:$N$14,1))))</f>
        <v>0</v>
      </c>
      <c r="AP134">
        <f>IF('Calc base'!K$14=0,0,MIN(AD134,MAX(0,$E134-SUMIFS($V134:$AG134,'Calc base'!$C$19:$N$19,"&lt;"&amp;'Calc base'!K$19,'Calc base'!$C$14:$N$14,1))))</f>
        <v>0</v>
      </c>
      <c r="AQ134">
        <f>IF('Calc base'!L$14=0,0,MIN(AE134,MAX(0,$E134-SUMIFS($V134:$AG134,'Calc base'!$C$19:$N$19,"&lt;"&amp;'Calc base'!L$19,'Calc base'!$C$14:$N$14,1))))</f>
        <v>0</v>
      </c>
      <c r="AR134">
        <f>IF('Calc base'!M$14=0,0,MIN(AF134,MAX(0,$E134-SUMIFS($V134:$AG134,'Calc base'!$C$19:$N$19,"&lt;"&amp;'Calc base'!M$19,'Calc base'!$C$14:$N$14,1))))</f>
        <v>0</v>
      </c>
      <c r="AS134">
        <f>IF('Calc base'!N$14=0,0,MIN(AG134,MAX(0,$E134-SUMIFS($V134:$AG134,'Calc base'!$C$19:$N$19,"&lt;"&amp;'Calc base'!N$19,'Calc base'!$C$14:$N$14,1))))</f>
        <v>0</v>
      </c>
      <c r="AT134">
        <f>V134-AH134</f>
        <v>0</v>
      </c>
      <c r="AU134">
        <f>W134-AI134</f>
        <v>0</v>
      </c>
      <c r="AV134">
        <f>X134-AJ134</f>
        <v>0</v>
      </c>
      <c r="AW134">
        <f>Y134-AK134</f>
        <v>0</v>
      </c>
      <c r="AX134">
        <f>Z134-AL134</f>
        <v>0</v>
      </c>
      <c r="AY134">
        <f>AA134-AM134</f>
        <v>0</v>
      </c>
      <c r="AZ134">
        <f>AB134-AN134</f>
        <v>0</v>
      </c>
      <c r="BA134">
        <f>AC134-AO134</f>
        <v>0</v>
      </c>
      <c r="BB134">
        <f>AD134-AP134</f>
        <v>0</v>
      </c>
      <c r="BC134">
        <f>AE134-AQ134</f>
        <v>0</v>
      </c>
      <c r="BD134">
        <f>AF134-AR134</f>
        <v>0</v>
      </c>
      <c r="BE134">
        <f>AG134-AS134</f>
        <v>0</v>
      </c>
    </row>
    <row r="135">
      <c r="A135" t="n">
        <v>105</v>
      </c>
      <c r="B135">
        <f>SUMPRODUCT(ROUND($AT134:$BE134*(1+'Calc base'!$H135:$S135),2))</f>
        <v>0</v>
      </c>
      <c r="C135">
        <f>SUM(J135:U135)</f>
        <v>0</v>
      </c>
      <c r="D135">
        <f>SUM(V135:AG135)</f>
        <v>0</v>
      </c>
      <c r="E135">
        <f>MAX(0,IF(Impostazioni!$B$7="No",'Calc base'!$C135-$C$31,'Calc base'!$C135-C135)+'Calc base'!$G135+'Calc base'!$F135-(B135-C135-D135))</f>
        <v>900</v>
      </c>
      <c r="F135">
        <f>SUM(AH135:AS135)</f>
        <v>0</v>
      </c>
      <c r="G135">
        <f>SUM(AT135:BE135)</f>
        <v>0</v>
      </c>
      <c r="H135">
        <f>B135-G134</f>
        <v>0</v>
      </c>
      <c r="I135">
        <f>B135-G135</f>
        <v>0</v>
      </c>
      <c r="J135">
        <f>IF(AT134&lt;=0,0,IF(ROUND(AT134*(1+'Calc base'!H135),2)-MAX('Calc base'!C$12,ROUND('Calc base'!C$13*AT134,2))&lt;1,ROUND(AT134*(1+'Calc base'!H135),2),MAX('Calc base'!C$12,ROUND('Calc base'!C$13*AT134,2))))</f>
        <v>0</v>
      </c>
      <c r="K135">
        <f>IF(AU134&lt;=0,0,IF(ROUND(AU134*(1+'Calc base'!I135),2)-MAX('Calc base'!D$12,ROUND('Calc base'!D$13*AU134,2))&lt;1,ROUND(AU134*(1+'Calc base'!I135),2),MAX('Calc base'!D$12,ROUND('Calc base'!D$13*AU134,2))))</f>
        <v>0</v>
      </c>
      <c r="L135">
        <f>IF(AV134&lt;=0,0,IF(ROUND(AV134*(1+'Calc base'!J135),2)-MAX('Calc base'!E$12,ROUND('Calc base'!E$13*AV134,2))&lt;1,ROUND(AV134*(1+'Calc base'!J135),2),MAX('Calc base'!E$12,ROUND('Calc base'!E$13*AV134,2))))</f>
        <v>0</v>
      </c>
      <c r="M135">
        <f>IF(AW134&lt;=0,0,IF(ROUND(AW134*(1+'Calc base'!K135),2)-MAX('Calc base'!F$12,ROUND('Calc base'!F$13*AW134,2))&lt;1,ROUND(AW134*(1+'Calc base'!K135),2),MAX('Calc base'!F$12,ROUND('Calc base'!F$13*AW134,2))))</f>
        <v>0</v>
      </c>
      <c r="N135">
        <f>IF(AX134&lt;=0,0,IF(ROUND(AX134*(1+'Calc base'!L135),2)-MAX('Calc base'!G$12,ROUND('Calc base'!G$13*AX134,2))&lt;1,ROUND(AX134*(1+'Calc base'!L135),2),MAX('Calc base'!G$12,ROUND('Calc base'!G$13*AX134,2))))</f>
        <v>0</v>
      </c>
      <c r="O135">
        <f>IF(AY134&lt;=0,0,IF(ROUND(AY134*(1+'Calc base'!M135),2)-MAX('Calc base'!H$12,ROUND('Calc base'!H$13*AY134,2))&lt;1,ROUND(AY134*(1+'Calc base'!M135),2),MAX('Calc base'!H$12,ROUND('Calc base'!H$13*AY134,2))))</f>
        <v>0</v>
      </c>
      <c r="P135">
        <f>IF(AZ134&lt;=0,0,IF(ROUND(AZ134*(1+'Calc base'!N135),2)-MAX('Calc base'!I$12,ROUND('Calc base'!I$13*AZ134,2))&lt;1,ROUND(AZ134*(1+'Calc base'!N135),2),MAX('Calc base'!I$12,ROUND('Calc base'!I$13*AZ134,2))))</f>
        <v>0</v>
      </c>
      <c r="Q135">
        <f>IF(BA134&lt;=0,0,IF(ROUND(BA134*(1+'Calc base'!O135),2)-MAX('Calc base'!J$12,ROUND('Calc base'!J$13*BA134,2))&lt;1,ROUND(BA134*(1+'Calc base'!O135),2),MAX('Calc base'!J$12,ROUND('Calc base'!J$13*BA134,2))))</f>
        <v>0</v>
      </c>
      <c r="R135">
        <f>IF(BB134&lt;=0,0,IF(ROUND(BB134*(1+'Calc base'!P135),2)-MAX('Calc base'!K$12,ROUND('Calc base'!K$13*BB134,2))&lt;1,ROUND(BB134*(1+'Calc base'!P135),2),MAX('Calc base'!K$12,ROUND('Calc base'!K$13*BB134,2))))</f>
        <v>0</v>
      </c>
      <c r="S135">
        <f>IF(BC134&lt;=0,0,IF(ROUND(BC134*(1+'Calc base'!Q135),2)-MAX('Calc base'!L$12,ROUND('Calc base'!L$13*BC134,2))&lt;1,ROUND(BC134*(1+'Calc base'!Q135),2),MAX('Calc base'!L$12,ROUND('Calc base'!L$13*BC134,2))))</f>
        <v>0</v>
      </c>
      <c r="T135">
        <f>IF(BD134&lt;=0,0,IF(ROUND(BD134*(1+'Calc base'!R135),2)-MAX('Calc base'!M$12,ROUND('Calc base'!M$13*BD134,2))&lt;1,ROUND(BD134*(1+'Calc base'!R135),2),MAX('Calc base'!M$12,ROUND('Calc base'!M$13*BD134,2))))</f>
        <v>0</v>
      </c>
      <c r="U135">
        <f>IF(BE134&lt;=0,0,IF(ROUND(BE134*(1+'Calc base'!S135),2)-MAX('Calc base'!N$12,ROUND('Calc base'!N$13*BE134,2))&lt;1,ROUND(BE134*(1+'Calc base'!S135),2),MAX('Calc base'!N$12,ROUND('Calc base'!N$13*BE134,2))))</f>
        <v>0</v>
      </c>
      <c r="V135">
        <f>MAX(0,ROUND(AT134*(1+'Calc base'!H135),2)-J135-'Calc base'!T135)</f>
        <v>0</v>
      </c>
      <c r="W135">
        <f>MAX(0,ROUND(AU134*(1+'Calc base'!I135),2)-K135-'Calc base'!U135)</f>
        <v>0</v>
      </c>
      <c r="X135">
        <f>MAX(0,ROUND(AV134*(1+'Calc base'!J135),2)-L135-'Calc base'!V135)</f>
        <v>0</v>
      </c>
      <c r="Y135">
        <f>MAX(0,ROUND(AW134*(1+'Calc base'!K135),2)-M135-'Calc base'!W135)</f>
        <v>0</v>
      </c>
      <c r="Z135">
        <f>MAX(0,ROUND(AX134*(1+'Calc base'!L135),2)-N135-'Calc base'!X135)</f>
        <v>0</v>
      </c>
      <c r="AA135">
        <f>MAX(0,ROUND(AY134*(1+'Calc base'!M135),2)-O135-'Calc base'!Y135)</f>
        <v>0</v>
      </c>
      <c r="AB135">
        <f>MAX(0,ROUND(AZ134*(1+'Calc base'!N135),2)-P135-'Calc base'!Z135)</f>
        <v>0</v>
      </c>
      <c r="AC135">
        <f>MAX(0,ROUND(BA134*(1+'Calc base'!O135),2)-Q135-'Calc base'!AA135)</f>
        <v>0</v>
      </c>
      <c r="AD135">
        <f>MAX(0,ROUND(BB134*(1+'Calc base'!P135),2)-R135-'Calc base'!AB135)</f>
        <v>0</v>
      </c>
      <c r="AE135">
        <f>MAX(0,ROUND(BC134*(1+'Calc base'!Q135),2)-S135-'Calc base'!AC135)</f>
        <v>0</v>
      </c>
      <c r="AF135">
        <f>MAX(0,ROUND(BD134*(1+'Calc base'!R135),2)-T135-'Calc base'!AD135)</f>
        <v>0</v>
      </c>
      <c r="AG135">
        <f>MAX(0,ROUND(BE134*(1+'Calc base'!S135),2)-U135-'Calc base'!AE135)</f>
        <v>0</v>
      </c>
      <c r="AH135">
        <f>IF('Calc base'!C$14=0,0,MIN(V135,MAX(0,$E135-SUMIFS($V135:$AG135,'Calc base'!$C$19:$N$19,"&lt;"&amp;'Calc base'!C$19,'Calc base'!$C$14:$N$14,1))))</f>
        <v>0</v>
      </c>
      <c r="AI135">
        <f>IF('Calc base'!D$14=0,0,MIN(W135,MAX(0,$E135-SUMIFS($V135:$AG135,'Calc base'!$C$19:$N$19,"&lt;"&amp;'Calc base'!D$19,'Calc base'!$C$14:$N$14,1))))</f>
        <v>0</v>
      </c>
      <c r="AJ135">
        <f>IF('Calc base'!E$14=0,0,MIN(X135,MAX(0,$E135-SUMIFS($V135:$AG135,'Calc base'!$C$19:$N$19,"&lt;"&amp;'Calc base'!E$19,'Calc base'!$C$14:$N$14,1))))</f>
        <v>0</v>
      </c>
      <c r="AK135">
        <f>IF('Calc base'!F$14=0,0,MIN(Y135,MAX(0,$E135-SUMIFS($V135:$AG135,'Calc base'!$C$19:$N$19,"&lt;"&amp;'Calc base'!F$19,'Calc base'!$C$14:$N$14,1))))</f>
        <v>0</v>
      </c>
      <c r="AL135">
        <f>IF('Calc base'!G$14=0,0,MIN(Z135,MAX(0,$E135-SUMIFS($V135:$AG135,'Calc base'!$C$19:$N$19,"&lt;"&amp;'Calc base'!G$19,'Calc base'!$C$14:$N$14,1))))</f>
        <v>0</v>
      </c>
      <c r="AM135">
        <f>IF('Calc base'!H$14=0,0,MIN(AA135,MAX(0,$E135-SUMIFS($V135:$AG135,'Calc base'!$C$19:$N$19,"&lt;"&amp;'Calc base'!H$19,'Calc base'!$C$14:$N$14,1))))</f>
        <v>0</v>
      </c>
      <c r="AN135">
        <f>IF('Calc base'!I$14=0,0,MIN(AB135,MAX(0,$E135-SUMIFS($V135:$AG135,'Calc base'!$C$19:$N$19,"&lt;"&amp;'Calc base'!I$19,'Calc base'!$C$14:$N$14,1))))</f>
        <v>0</v>
      </c>
      <c r="AO135">
        <f>IF('Calc base'!J$14=0,0,MIN(AC135,MAX(0,$E135-SUMIFS($V135:$AG135,'Calc base'!$C$19:$N$19,"&lt;"&amp;'Calc base'!J$19,'Calc base'!$C$14:$N$14,1))))</f>
        <v>0</v>
      </c>
      <c r="AP135">
        <f>IF('Calc base'!K$14=0,0,MIN(AD135,MAX(0,$E135-SUMIFS($V135:$AG135,'Calc base'!$C$19:$N$19,"&lt;"&amp;'Calc base'!K$19,'Calc base'!$C$14:$N$14,1))))</f>
        <v>0</v>
      </c>
      <c r="AQ135">
        <f>IF('Calc base'!L$14=0,0,MIN(AE135,MAX(0,$E135-SUMIFS($V135:$AG135,'Calc base'!$C$19:$N$19,"&lt;"&amp;'Calc base'!L$19,'Calc base'!$C$14:$N$14,1))))</f>
        <v>0</v>
      </c>
      <c r="AR135">
        <f>IF('Calc base'!M$14=0,0,MIN(AF135,MAX(0,$E135-SUMIFS($V135:$AG135,'Calc base'!$C$19:$N$19,"&lt;"&amp;'Calc base'!M$19,'Calc base'!$C$14:$N$14,1))))</f>
        <v>0</v>
      </c>
      <c r="AS135">
        <f>IF('Calc base'!N$14=0,0,MIN(AG135,MAX(0,$E135-SUMIFS($V135:$AG135,'Calc base'!$C$19:$N$19,"&lt;"&amp;'Calc base'!N$19,'Calc base'!$C$14:$N$14,1))))</f>
        <v>0</v>
      </c>
      <c r="AT135">
        <f>V135-AH135</f>
        <v>0</v>
      </c>
      <c r="AU135">
        <f>W135-AI135</f>
        <v>0</v>
      </c>
      <c r="AV135">
        <f>X135-AJ135</f>
        <v>0</v>
      </c>
      <c r="AW135">
        <f>Y135-AK135</f>
        <v>0</v>
      </c>
      <c r="AX135">
        <f>Z135-AL135</f>
        <v>0</v>
      </c>
      <c r="AY135">
        <f>AA135-AM135</f>
        <v>0</v>
      </c>
      <c r="AZ135">
        <f>AB135-AN135</f>
        <v>0</v>
      </c>
      <c r="BA135">
        <f>AC135-AO135</f>
        <v>0</v>
      </c>
      <c r="BB135">
        <f>AD135-AP135</f>
        <v>0</v>
      </c>
      <c r="BC135">
        <f>AE135-AQ135</f>
        <v>0</v>
      </c>
      <c r="BD135">
        <f>AF135-AR135</f>
        <v>0</v>
      </c>
      <c r="BE135">
        <f>AG135-AS135</f>
        <v>0</v>
      </c>
    </row>
    <row r="136">
      <c r="A136" t="n">
        <v>106</v>
      </c>
      <c r="B136">
        <f>SUMPRODUCT(ROUND($AT135:$BE135*(1+'Calc base'!$H136:$S136),2))</f>
        <v>0</v>
      </c>
      <c r="C136">
        <f>SUM(J136:U136)</f>
        <v>0</v>
      </c>
      <c r="D136">
        <f>SUM(V136:AG136)</f>
        <v>0</v>
      </c>
      <c r="E136">
        <f>MAX(0,IF(Impostazioni!$B$7="No",'Calc base'!$C136-$C$31,'Calc base'!$C136-C136)+'Calc base'!$G136+'Calc base'!$F136-(B136-C136-D136))</f>
        <v>900</v>
      </c>
      <c r="F136">
        <f>SUM(AH136:AS136)</f>
        <v>0</v>
      </c>
      <c r="G136">
        <f>SUM(AT136:BE136)</f>
        <v>0</v>
      </c>
      <c r="H136">
        <f>B136-G135</f>
        <v>0</v>
      </c>
      <c r="I136">
        <f>B136-G136</f>
        <v>0</v>
      </c>
      <c r="J136">
        <f>IF(AT135&lt;=0,0,IF(ROUND(AT135*(1+'Calc base'!H136),2)-MAX('Calc base'!C$12,ROUND('Calc base'!C$13*AT135,2))&lt;1,ROUND(AT135*(1+'Calc base'!H136),2),MAX('Calc base'!C$12,ROUND('Calc base'!C$13*AT135,2))))</f>
        <v>0</v>
      </c>
      <c r="K136">
        <f>IF(AU135&lt;=0,0,IF(ROUND(AU135*(1+'Calc base'!I136),2)-MAX('Calc base'!D$12,ROUND('Calc base'!D$13*AU135,2))&lt;1,ROUND(AU135*(1+'Calc base'!I136),2),MAX('Calc base'!D$12,ROUND('Calc base'!D$13*AU135,2))))</f>
        <v>0</v>
      </c>
      <c r="L136">
        <f>IF(AV135&lt;=0,0,IF(ROUND(AV135*(1+'Calc base'!J136),2)-MAX('Calc base'!E$12,ROUND('Calc base'!E$13*AV135,2))&lt;1,ROUND(AV135*(1+'Calc base'!J136),2),MAX('Calc base'!E$12,ROUND('Calc base'!E$13*AV135,2))))</f>
        <v>0</v>
      </c>
      <c r="M136">
        <f>IF(AW135&lt;=0,0,IF(ROUND(AW135*(1+'Calc base'!K136),2)-MAX('Calc base'!F$12,ROUND('Calc base'!F$13*AW135,2))&lt;1,ROUND(AW135*(1+'Calc base'!K136),2),MAX('Calc base'!F$12,ROUND('Calc base'!F$13*AW135,2))))</f>
        <v>0</v>
      </c>
      <c r="N136">
        <f>IF(AX135&lt;=0,0,IF(ROUND(AX135*(1+'Calc base'!L136),2)-MAX('Calc base'!G$12,ROUND('Calc base'!G$13*AX135,2))&lt;1,ROUND(AX135*(1+'Calc base'!L136),2),MAX('Calc base'!G$12,ROUND('Calc base'!G$13*AX135,2))))</f>
        <v>0</v>
      </c>
      <c r="O136">
        <f>IF(AY135&lt;=0,0,IF(ROUND(AY135*(1+'Calc base'!M136),2)-MAX('Calc base'!H$12,ROUND('Calc base'!H$13*AY135,2))&lt;1,ROUND(AY135*(1+'Calc base'!M136),2),MAX('Calc base'!H$12,ROUND('Calc base'!H$13*AY135,2))))</f>
        <v>0</v>
      </c>
      <c r="P136">
        <f>IF(AZ135&lt;=0,0,IF(ROUND(AZ135*(1+'Calc base'!N136),2)-MAX('Calc base'!I$12,ROUND('Calc base'!I$13*AZ135,2))&lt;1,ROUND(AZ135*(1+'Calc base'!N136),2),MAX('Calc base'!I$12,ROUND('Calc base'!I$13*AZ135,2))))</f>
        <v>0</v>
      </c>
      <c r="Q136">
        <f>IF(BA135&lt;=0,0,IF(ROUND(BA135*(1+'Calc base'!O136),2)-MAX('Calc base'!J$12,ROUND('Calc base'!J$13*BA135,2))&lt;1,ROUND(BA135*(1+'Calc base'!O136),2),MAX('Calc base'!J$12,ROUND('Calc base'!J$13*BA135,2))))</f>
        <v>0</v>
      </c>
      <c r="R136">
        <f>IF(BB135&lt;=0,0,IF(ROUND(BB135*(1+'Calc base'!P136),2)-MAX('Calc base'!K$12,ROUND('Calc base'!K$13*BB135,2))&lt;1,ROUND(BB135*(1+'Calc base'!P136),2),MAX('Calc base'!K$12,ROUND('Calc base'!K$13*BB135,2))))</f>
        <v>0</v>
      </c>
      <c r="S136">
        <f>IF(BC135&lt;=0,0,IF(ROUND(BC135*(1+'Calc base'!Q136),2)-MAX('Calc base'!L$12,ROUND('Calc base'!L$13*BC135,2))&lt;1,ROUND(BC135*(1+'Calc base'!Q136),2),MAX('Calc base'!L$12,ROUND('Calc base'!L$13*BC135,2))))</f>
        <v>0</v>
      </c>
      <c r="T136">
        <f>IF(BD135&lt;=0,0,IF(ROUND(BD135*(1+'Calc base'!R136),2)-MAX('Calc base'!M$12,ROUND('Calc base'!M$13*BD135,2))&lt;1,ROUND(BD135*(1+'Calc base'!R136),2),MAX('Calc base'!M$12,ROUND('Calc base'!M$13*BD135,2))))</f>
        <v>0</v>
      </c>
      <c r="U136">
        <f>IF(BE135&lt;=0,0,IF(ROUND(BE135*(1+'Calc base'!S136),2)-MAX('Calc base'!N$12,ROUND('Calc base'!N$13*BE135,2))&lt;1,ROUND(BE135*(1+'Calc base'!S136),2),MAX('Calc base'!N$12,ROUND('Calc base'!N$13*BE135,2))))</f>
        <v>0</v>
      </c>
      <c r="V136">
        <f>MAX(0,ROUND(AT135*(1+'Calc base'!H136),2)-J136-'Calc base'!T136)</f>
        <v>0</v>
      </c>
      <c r="W136">
        <f>MAX(0,ROUND(AU135*(1+'Calc base'!I136),2)-K136-'Calc base'!U136)</f>
        <v>0</v>
      </c>
      <c r="X136">
        <f>MAX(0,ROUND(AV135*(1+'Calc base'!J136),2)-L136-'Calc base'!V136)</f>
        <v>0</v>
      </c>
      <c r="Y136">
        <f>MAX(0,ROUND(AW135*(1+'Calc base'!K136),2)-M136-'Calc base'!W136)</f>
        <v>0</v>
      </c>
      <c r="Z136">
        <f>MAX(0,ROUND(AX135*(1+'Calc base'!L136),2)-N136-'Calc base'!X136)</f>
        <v>0</v>
      </c>
      <c r="AA136">
        <f>MAX(0,ROUND(AY135*(1+'Calc base'!M136),2)-O136-'Calc base'!Y136)</f>
        <v>0</v>
      </c>
      <c r="AB136">
        <f>MAX(0,ROUND(AZ135*(1+'Calc base'!N136),2)-P136-'Calc base'!Z136)</f>
        <v>0</v>
      </c>
      <c r="AC136">
        <f>MAX(0,ROUND(BA135*(1+'Calc base'!O136),2)-Q136-'Calc base'!AA136)</f>
        <v>0</v>
      </c>
      <c r="AD136">
        <f>MAX(0,ROUND(BB135*(1+'Calc base'!P136),2)-R136-'Calc base'!AB136)</f>
        <v>0</v>
      </c>
      <c r="AE136">
        <f>MAX(0,ROUND(BC135*(1+'Calc base'!Q136),2)-S136-'Calc base'!AC136)</f>
        <v>0</v>
      </c>
      <c r="AF136">
        <f>MAX(0,ROUND(BD135*(1+'Calc base'!R136),2)-T136-'Calc base'!AD136)</f>
        <v>0</v>
      </c>
      <c r="AG136">
        <f>MAX(0,ROUND(BE135*(1+'Calc base'!S136),2)-U136-'Calc base'!AE136)</f>
        <v>0</v>
      </c>
      <c r="AH136">
        <f>IF('Calc base'!C$14=0,0,MIN(V136,MAX(0,$E136-SUMIFS($V136:$AG136,'Calc base'!$C$19:$N$19,"&lt;"&amp;'Calc base'!C$19,'Calc base'!$C$14:$N$14,1))))</f>
        <v>0</v>
      </c>
      <c r="AI136">
        <f>IF('Calc base'!D$14=0,0,MIN(W136,MAX(0,$E136-SUMIFS($V136:$AG136,'Calc base'!$C$19:$N$19,"&lt;"&amp;'Calc base'!D$19,'Calc base'!$C$14:$N$14,1))))</f>
        <v>0</v>
      </c>
      <c r="AJ136">
        <f>IF('Calc base'!E$14=0,0,MIN(X136,MAX(0,$E136-SUMIFS($V136:$AG136,'Calc base'!$C$19:$N$19,"&lt;"&amp;'Calc base'!E$19,'Calc base'!$C$14:$N$14,1))))</f>
        <v>0</v>
      </c>
      <c r="AK136">
        <f>IF('Calc base'!F$14=0,0,MIN(Y136,MAX(0,$E136-SUMIFS($V136:$AG136,'Calc base'!$C$19:$N$19,"&lt;"&amp;'Calc base'!F$19,'Calc base'!$C$14:$N$14,1))))</f>
        <v>0</v>
      </c>
      <c r="AL136">
        <f>IF('Calc base'!G$14=0,0,MIN(Z136,MAX(0,$E136-SUMIFS($V136:$AG136,'Calc base'!$C$19:$N$19,"&lt;"&amp;'Calc base'!G$19,'Calc base'!$C$14:$N$14,1))))</f>
        <v>0</v>
      </c>
      <c r="AM136">
        <f>IF('Calc base'!H$14=0,0,MIN(AA136,MAX(0,$E136-SUMIFS($V136:$AG136,'Calc base'!$C$19:$N$19,"&lt;"&amp;'Calc base'!H$19,'Calc base'!$C$14:$N$14,1))))</f>
        <v>0</v>
      </c>
      <c r="AN136">
        <f>IF('Calc base'!I$14=0,0,MIN(AB136,MAX(0,$E136-SUMIFS($V136:$AG136,'Calc base'!$C$19:$N$19,"&lt;"&amp;'Calc base'!I$19,'Calc base'!$C$14:$N$14,1))))</f>
        <v>0</v>
      </c>
      <c r="AO136">
        <f>IF('Calc base'!J$14=0,0,MIN(AC136,MAX(0,$E136-SUMIFS($V136:$AG136,'Calc base'!$C$19:$N$19,"&lt;"&amp;'Calc base'!J$19,'Calc base'!$C$14:$N$14,1))))</f>
        <v>0</v>
      </c>
      <c r="AP136">
        <f>IF('Calc base'!K$14=0,0,MIN(AD136,MAX(0,$E136-SUMIFS($V136:$AG136,'Calc base'!$C$19:$N$19,"&lt;"&amp;'Calc base'!K$19,'Calc base'!$C$14:$N$14,1))))</f>
        <v>0</v>
      </c>
      <c r="AQ136">
        <f>IF('Calc base'!L$14=0,0,MIN(AE136,MAX(0,$E136-SUMIFS($V136:$AG136,'Calc base'!$C$19:$N$19,"&lt;"&amp;'Calc base'!L$19,'Calc base'!$C$14:$N$14,1))))</f>
        <v>0</v>
      </c>
      <c r="AR136">
        <f>IF('Calc base'!M$14=0,0,MIN(AF136,MAX(0,$E136-SUMIFS($V136:$AG136,'Calc base'!$C$19:$N$19,"&lt;"&amp;'Calc base'!M$19,'Calc base'!$C$14:$N$14,1))))</f>
        <v>0</v>
      </c>
      <c r="AS136">
        <f>IF('Calc base'!N$14=0,0,MIN(AG136,MAX(0,$E136-SUMIFS($V136:$AG136,'Calc base'!$C$19:$N$19,"&lt;"&amp;'Calc base'!N$19,'Calc base'!$C$14:$N$14,1))))</f>
        <v>0</v>
      </c>
      <c r="AT136">
        <f>V136-AH136</f>
        <v>0</v>
      </c>
      <c r="AU136">
        <f>W136-AI136</f>
        <v>0</v>
      </c>
      <c r="AV136">
        <f>X136-AJ136</f>
        <v>0</v>
      </c>
      <c r="AW136">
        <f>Y136-AK136</f>
        <v>0</v>
      </c>
      <c r="AX136">
        <f>Z136-AL136</f>
        <v>0</v>
      </c>
      <c r="AY136">
        <f>AA136-AM136</f>
        <v>0</v>
      </c>
      <c r="AZ136">
        <f>AB136-AN136</f>
        <v>0</v>
      </c>
      <c r="BA136">
        <f>AC136-AO136</f>
        <v>0</v>
      </c>
      <c r="BB136">
        <f>AD136-AP136</f>
        <v>0</v>
      </c>
      <c r="BC136">
        <f>AE136-AQ136</f>
        <v>0</v>
      </c>
      <c r="BD136">
        <f>AF136-AR136</f>
        <v>0</v>
      </c>
      <c r="BE136">
        <f>AG136-AS136</f>
        <v>0</v>
      </c>
    </row>
    <row r="137">
      <c r="A137" t="n">
        <v>107</v>
      </c>
      <c r="B137">
        <f>SUMPRODUCT(ROUND($AT136:$BE136*(1+'Calc base'!$H137:$S137),2))</f>
        <v>0</v>
      </c>
      <c r="C137">
        <f>SUM(J137:U137)</f>
        <v>0</v>
      </c>
      <c r="D137">
        <f>SUM(V137:AG137)</f>
        <v>0</v>
      </c>
      <c r="E137">
        <f>MAX(0,IF(Impostazioni!$B$7="No",'Calc base'!$C137-$C$31,'Calc base'!$C137-C137)+'Calc base'!$G137+'Calc base'!$F137-(B137-C137-D137))</f>
        <v>900</v>
      </c>
      <c r="F137">
        <f>SUM(AH137:AS137)</f>
        <v>0</v>
      </c>
      <c r="G137">
        <f>SUM(AT137:BE137)</f>
        <v>0</v>
      </c>
      <c r="H137">
        <f>B137-G136</f>
        <v>0</v>
      </c>
      <c r="I137">
        <f>B137-G137</f>
        <v>0</v>
      </c>
      <c r="J137">
        <f>IF(AT136&lt;=0,0,IF(ROUND(AT136*(1+'Calc base'!H137),2)-MAX('Calc base'!C$12,ROUND('Calc base'!C$13*AT136,2))&lt;1,ROUND(AT136*(1+'Calc base'!H137),2),MAX('Calc base'!C$12,ROUND('Calc base'!C$13*AT136,2))))</f>
        <v>0</v>
      </c>
      <c r="K137">
        <f>IF(AU136&lt;=0,0,IF(ROUND(AU136*(1+'Calc base'!I137),2)-MAX('Calc base'!D$12,ROUND('Calc base'!D$13*AU136,2))&lt;1,ROUND(AU136*(1+'Calc base'!I137),2),MAX('Calc base'!D$12,ROUND('Calc base'!D$13*AU136,2))))</f>
        <v>0</v>
      </c>
      <c r="L137">
        <f>IF(AV136&lt;=0,0,IF(ROUND(AV136*(1+'Calc base'!J137),2)-MAX('Calc base'!E$12,ROUND('Calc base'!E$13*AV136,2))&lt;1,ROUND(AV136*(1+'Calc base'!J137),2),MAX('Calc base'!E$12,ROUND('Calc base'!E$13*AV136,2))))</f>
        <v>0</v>
      </c>
      <c r="M137">
        <f>IF(AW136&lt;=0,0,IF(ROUND(AW136*(1+'Calc base'!K137),2)-MAX('Calc base'!F$12,ROUND('Calc base'!F$13*AW136,2))&lt;1,ROUND(AW136*(1+'Calc base'!K137),2),MAX('Calc base'!F$12,ROUND('Calc base'!F$13*AW136,2))))</f>
        <v>0</v>
      </c>
      <c r="N137">
        <f>IF(AX136&lt;=0,0,IF(ROUND(AX136*(1+'Calc base'!L137),2)-MAX('Calc base'!G$12,ROUND('Calc base'!G$13*AX136,2))&lt;1,ROUND(AX136*(1+'Calc base'!L137),2),MAX('Calc base'!G$12,ROUND('Calc base'!G$13*AX136,2))))</f>
        <v>0</v>
      </c>
      <c r="O137">
        <f>IF(AY136&lt;=0,0,IF(ROUND(AY136*(1+'Calc base'!M137),2)-MAX('Calc base'!H$12,ROUND('Calc base'!H$13*AY136,2))&lt;1,ROUND(AY136*(1+'Calc base'!M137),2),MAX('Calc base'!H$12,ROUND('Calc base'!H$13*AY136,2))))</f>
        <v>0</v>
      </c>
      <c r="P137">
        <f>IF(AZ136&lt;=0,0,IF(ROUND(AZ136*(1+'Calc base'!N137),2)-MAX('Calc base'!I$12,ROUND('Calc base'!I$13*AZ136,2))&lt;1,ROUND(AZ136*(1+'Calc base'!N137),2),MAX('Calc base'!I$12,ROUND('Calc base'!I$13*AZ136,2))))</f>
        <v>0</v>
      </c>
      <c r="Q137">
        <f>IF(BA136&lt;=0,0,IF(ROUND(BA136*(1+'Calc base'!O137),2)-MAX('Calc base'!J$12,ROUND('Calc base'!J$13*BA136,2))&lt;1,ROUND(BA136*(1+'Calc base'!O137),2),MAX('Calc base'!J$12,ROUND('Calc base'!J$13*BA136,2))))</f>
        <v>0</v>
      </c>
      <c r="R137">
        <f>IF(BB136&lt;=0,0,IF(ROUND(BB136*(1+'Calc base'!P137),2)-MAX('Calc base'!K$12,ROUND('Calc base'!K$13*BB136,2))&lt;1,ROUND(BB136*(1+'Calc base'!P137),2),MAX('Calc base'!K$12,ROUND('Calc base'!K$13*BB136,2))))</f>
        <v>0</v>
      </c>
      <c r="S137">
        <f>IF(BC136&lt;=0,0,IF(ROUND(BC136*(1+'Calc base'!Q137),2)-MAX('Calc base'!L$12,ROUND('Calc base'!L$13*BC136,2))&lt;1,ROUND(BC136*(1+'Calc base'!Q137),2),MAX('Calc base'!L$12,ROUND('Calc base'!L$13*BC136,2))))</f>
        <v>0</v>
      </c>
      <c r="T137">
        <f>IF(BD136&lt;=0,0,IF(ROUND(BD136*(1+'Calc base'!R137),2)-MAX('Calc base'!M$12,ROUND('Calc base'!M$13*BD136,2))&lt;1,ROUND(BD136*(1+'Calc base'!R137),2),MAX('Calc base'!M$12,ROUND('Calc base'!M$13*BD136,2))))</f>
        <v>0</v>
      </c>
      <c r="U137">
        <f>IF(BE136&lt;=0,0,IF(ROUND(BE136*(1+'Calc base'!S137),2)-MAX('Calc base'!N$12,ROUND('Calc base'!N$13*BE136,2))&lt;1,ROUND(BE136*(1+'Calc base'!S137),2),MAX('Calc base'!N$12,ROUND('Calc base'!N$13*BE136,2))))</f>
        <v>0</v>
      </c>
      <c r="V137">
        <f>MAX(0,ROUND(AT136*(1+'Calc base'!H137),2)-J137-'Calc base'!T137)</f>
        <v>0</v>
      </c>
      <c r="W137">
        <f>MAX(0,ROUND(AU136*(1+'Calc base'!I137),2)-K137-'Calc base'!U137)</f>
        <v>0</v>
      </c>
      <c r="X137">
        <f>MAX(0,ROUND(AV136*(1+'Calc base'!J137),2)-L137-'Calc base'!V137)</f>
        <v>0</v>
      </c>
      <c r="Y137">
        <f>MAX(0,ROUND(AW136*(1+'Calc base'!K137),2)-M137-'Calc base'!W137)</f>
        <v>0</v>
      </c>
      <c r="Z137">
        <f>MAX(0,ROUND(AX136*(1+'Calc base'!L137),2)-N137-'Calc base'!X137)</f>
        <v>0</v>
      </c>
      <c r="AA137">
        <f>MAX(0,ROUND(AY136*(1+'Calc base'!M137),2)-O137-'Calc base'!Y137)</f>
        <v>0</v>
      </c>
      <c r="AB137">
        <f>MAX(0,ROUND(AZ136*(1+'Calc base'!N137),2)-P137-'Calc base'!Z137)</f>
        <v>0</v>
      </c>
      <c r="AC137">
        <f>MAX(0,ROUND(BA136*(1+'Calc base'!O137),2)-Q137-'Calc base'!AA137)</f>
        <v>0</v>
      </c>
      <c r="AD137">
        <f>MAX(0,ROUND(BB136*(1+'Calc base'!P137),2)-R137-'Calc base'!AB137)</f>
        <v>0</v>
      </c>
      <c r="AE137">
        <f>MAX(0,ROUND(BC136*(1+'Calc base'!Q137),2)-S137-'Calc base'!AC137)</f>
        <v>0</v>
      </c>
      <c r="AF137">
        <f>MAX(0,ROUND(BD136*(1+'Calc base'!R137),2)-T137-'Calc base'!AD137)</f>
        <v>0</v>
      </c>
      <c r="AG137">
        <f>MAX(0,ROUND(BE136*(1+'Calc base'!S137),2)-U137-'Calc base'!AE137)</f>
        <v>0</v>
      </c>
      <c r="AH137">
        <f>IF('Calc base'!C$14=0,0,MIN(V137,MAX(0,$E137-SUMIFS($V137:$AG137,'Calc base'!$C$19:$N$19,"&lt;"&amp;'Calc base'!C$19,'Calc base'!$C$14:$N$14,1))))</f>
        <v>0</v>
      </c>
      <c r="AI137">
        <f>IF('Calc base'!D$14=0,0,MIN(W137,MAX(0,$E137-SUMIFS($V137:$AG137,'Calc base'!$C$19:$N$19,"&lt;"&amp;'Calc base'!D$19,'Calc base'!$C$14:$N$14,1))))</f>
        <v>0</v>
      </c>
      <c r="AJ137">
        <f>IF('Calc base'!E$14=0,0,MIN(X137,MAX(0,$E137-SUMIFS($V137:$AG137,'Calc base'!$C$19:$N$19,"&lt;"&amp;'Calc base'!E$19,'Calc base'!$C$14:$N$14,1))))</f>
        <v>0</v>
      </c>
      <c r="AK137">
        <f>IF('Calc base'!F$14=0,0,MIN(Y137,MAX(0,$E137-SUMIFS($V137:$AG137,'Calc base'!$C$19:$N$19,"&lt;"&amp;'Calc base'!F$19,'Calc base'!$C$14:$N$14,1))))</f>
        <v>0</v>
      </c>
      <c r="AL137">
        <f>IF('Calc base'!G$14=0,0,MIN(Z137,MAX(0,$E137-SUMIFS($V137:$AG137,'Calc base'!$C$19:$N$19,"&lt;"&amp;'Calc base'!G$19,'Calc base'!$C$14:$N$14,1))))</f>
        <v>0</v>
      </c>
      <c r="AM137">
        <f>IF('Calc base'!H$14=0,0,MIN(AA137,MAX(0,$E137-SUMIFS($V137:$AG137,'Calc base'!$C$19:$N$19,"&lt;"&amp;'Calc base'!H$19,'Calc base'!$C$14:$N$14,1))))</f>
        <v>0</v>
      </c>
      <c r="AN137">
        <f>IF('Calc base'!I$14=0,0,MIN(AB137,MAX(0,$E137-SUMIFS($V137:$AG137,'Calc base'!$C$19:$N$19,"&lt;"&amp;'Calc base'!I$19,'Calc base'!$C$14:$N$14,1))))</f>
        <v>0</v>
      </c>
      <c r="AO137">
        <f>IF('Calc base'!J$14=0,0,MIN(AC137,MAX(0,$E137-SUMIFS($V137:$AG137,'Calc base'!$C$19:$N$19,"&lt;"&amp;'Calc base'!J$19,'Calc base'!$C$14:$N$14,1))))</f>
        <v>0</v>
      </c>
      <c r="AP137">
        <f>IF('Calc base'!K$14=0,0,MIN(AD137,MAX(0,$E137-SUMIFS($V137:$AG137,'Calc base'!$C$19:$N$19,"&lt;"&amp;'Calc base'!K$19,'Calc base'!$C$14:$N$14,1))))</f>
        <v>0</v>
      </c>
      <c r="AQ137">
        <f>IF('Calc base'!L$14=0,0,MIN(AE137,MAX(0,$E137-SUMIFS($V137:$AG137,'Calc base'!$C$19:$N$19,"&lt;"&amp;'Calc base'!L$19,'Calc base'!$C$14:$N$14,1))))</f>
        <v>0</v>
      </c>
      <c r="AR137">
        <f>IF('Calc base'!M$14=0,0,MIN(AF137,MAX(0,$E137-SUMIFS($V137:$AG137,'Calc base'!$C$19:$N$19,"&lt;"&amp;'Calc base'!M$19,'Calc base'!$C$14:$N$14,1))))</f>
        <v>0</v>
      </c>
      <c r="AS137">
        <f>IF('Calc base'!N$14=0,0,MIN(AG137,MAX(0,$E137-SUMIFS($V137:$AG137,'Calc base'!$C$19:$N$19,"&lt;"&amp;'Calc base'!N$19,'Calc base'!$C$14:$N$14,1))))</f>
        <v>0</v>
      </c>
      <c r="AT137">
        <f>V137-AH137</f>
        <v>0</v>
      </c>
      <c r="AU137">
        <f>W137-AI137</f>
        <v>0</v>
      </c>
      <c r="AV137">
        <f>X137-AJ137</f>
        <v>0</v>
      </c>
      <c r="AW137">
        <f>Y137-AK137</f>
        <v>0</v>
      </c>
      <c r="AX137">
        <f>Z137-AL137</f>
        <v>0</v>
      </c>
      <c r="AY137">
        <f>AA137-AM137</f>
        <v>0</v>
      </c>
      <c r="AZ137">
        <f>AB137-AN137</f>
        <v>0</v>
      </c>
      <c r="BA137">
        <f>AC137-AO137</f>
        <v>0</v>
      </c>
      <c r="BB137">
        <f>AD137-AP137</f>
        <v>0</v>
      </c>
      <c r="BC137">
        <f>AE137-AQ137</f>
        <v>0</v>
      </c>
      <c r="BD137">
        <f>AF137-AR137</f>
        <v>0</v>
      </c>
      <c r="BE137">
        <f>AG137-AS137</f>
        <v>0</v>
      </c>
    </row>
    <row r="138">
      <c r="A138" t="n">
        <v>108</v>
      </c>
      <c r="B138">
        <f>SUMPRODUCT(ROUND($AT137:$BE137*(1+'Calc base'!$H138:$S138),2))</f>
        <v>0</v>
      </c>
      <c r="C138">
        <f>SUM(J138:U138)</f>
        <v>0</v>
      </c>
      <c r="D138">
        <f>SUM(V138:AG138)</f>
        <v>0</v>
      </c>
      <c r="E138">
        <f>MAX(0,IF(Impostazioni!$B$7="No",'Calc base'!$C138-$C$31,'Calc base'!$C138-C138)+'Calc base'!$G138+'Calc base'!$F138-(B138-C138-D138))</f>
        <v>900</v>
      </c>
      <c r="F138">
        <f>SUM(AH138:AS138)</f>
        <v>0</v>
      </c>
      <c r="G138">
        <f>SUM(AT138:BE138)</f>
        <v>0</v>
      </c>
      <c r="H138">
        <f>B138-G137</f>
        <v>0</v>
      </c>
      <c r="I138">
        <f>B138-G138</f>
        <v>0</v>
      </c>
      <c r="J138">
        <f>IF(AT137&lt;=0,0,IF(ROUND(AT137*(1+'Calc base'!H138),2)-MAX('Calc base'!C$12,ROUND('Calc base'!C$13*AT137,2))&lt;1,ROUND(AT137*(1+'Calc base'!H138),2),MAX('Calc base'!C$12,ROUND('Calc base'!C$13*AT137,2))))</f>
        <v>0</v>
      </c>
      <c r="K138">
        <f>IF(AU137&lt;=0,0,IF(ROUND(AU137*(1+'Calc base'!I138),2)-MAX('Calc base'!D$12,ROUND('Calc base'!D$13*AU137,2))&lt;1,ROUND(AU137*(1+'Calc base'!I138),2),MAX('Calc base'!D$12,ROUND('Calc base'!D$13*AU137,2))))</f>
        <v>0</v>
      </c>
      <c r="L138">
        <f>IF(AV137&lt;=0,0,IF(ROUND(AV137*(1+'Calc base'!J138),2)-MAX('Calc base'!E$12,ROUND('Calc base'!E$13*AV137,2))&lt;1,ROUND(AV137*(1+'Calc base'!J138),2),MAX('Calc base'!E$12,ROUND('Calc base'!E$13*AV137,2))))</f>
        <v>0</v>
      </c>
      <c r="M138">
        <f>IF(AW137&lt;=0,0,IF(ROUND(AW137*(1+'Calc base'!K138),2)-MAX('Calc base'!F$12,ROUND('Calc base'!F$13*AW137,2))&lt;1,ROUND(AW137*(1+'Calc base'!K138),2),MAX('Calc base'!F$12,ROUND('Calc base'!F$13*AW137,2))))</f>
        <v>0</v>
      </c>
      <c r="N138">
        <f>IF(AX137&lt;=0,0,IF(ROUND(AX137*(1+'Calc base'!L138),2)-MAX('Calc base'!G$12,ROUND('Calc base'!G$13*AX137,2))&lt;1,ROUND(AX137*(1+'Calc base'!L138),2),MAX('Calc base'!G$12,ROUND('Calc base'!G$13*AX137,2))))</f>
        <v>0</v>
      </c>
      <c r="O138">
        <f>IF(AY137&lt;=0,0,IF(ROUND(AY137*(1+'Calc base'!M138),2)-MAX('Calc base'!H$12,ROUND('Calc base'!H$13*AY137,2))&lt;1,ROUND(AY137*(1+'Calc base'!M138),2),MAX('Calc base'!H$12,ROUND('Calc base'!H$13*AY137,2))))</f>
        <v>0</v>
      </c>
      <c r="P138">
        <f>IF(AZ137&lt;=0,0,IF(ROUND(AZ137*(1+'Calc base'!N138),2)-MAX('Calc base'!I$12,ROUND('Calc base'!I$13*AZ137,2))&lt;1,ROUND(AZ137*(1+'Calc base'!N138),2),MAX('Calc base'!I$12,ROUND('Calc base'!I$13*AZ137,2))))</f>
        <v>0</v>
      </c>
      <c r="Q138">
        <f>IF(BA137&lt;=0,0,IF(ROUND(BA137*(1+'Calc base'!O138),2)-MAX('Calc base'!J$12,ROUND('Calc base'!J$13*BA137,2))&lt;1,ROUND(BA137*(1+'Calc base'!O138),2),MAX('Calc base'!J$12,ROUND('Calc base'!J$13*BA137,2))))</f>
        <v>0</v>
      </c>
      <c r="R138">
        <f>IF(BB137&lt;=0,0,IF(ROUND(BB137*(1+'Calc base'!P138),2)-MAX('Calc base'!K$12,ROUND('Calc base'!K$13*BB137,2))&lt;1,ROUND(BB137*(1+'Calc base'!P138),2),MAX('Calc base'!K$12,ROUND('Calc base'!K$13*BB137,2))))</f>
        <v>0</v>
      </c>
      <c r="S138">
        <f>IF(BC137&lt;=0,0,IF(ROUND(BC137*(1+'Calc base'!Q138),2)-MAX('Calc base'!L$12,ROUND('Calc base'!L$13*BC137,2))&lt;1,ROUND(BC137*(1+'Calc base'!Q138),2),MAX('Calc base'!L$12,ROUND('Calc base'!L$13*BC137,2))))</f>
        <v>0</v>
      </c>
      <c r="T138">
        <f>IF(BD137&lt;=0,0,IF(ROUND(BD137*(1+'Calc base'!R138),2)-MAX('Calc base'!M$12,ROUND('Calc base'!M$13*BD137,2))&lt;1,ROUND(BD137*(1+'Calc base'!R138),2),MAX('Calc base'!M$12,ROUND('Calc base'!M$13*BD137,2))))</f>
        <v>0</v>
      </c>
      <c r="U138">
        <f>IF(BE137&lt;=0,0,IF(ROUND(BE137*(1+'Calc base'!S138),2)-MAX('Calc base'!N$12,ROUND('Calc base'!N$13*BE137,2))&lt;1,ROUND(BE137*(1+'Calc base'!S138),2),MAX('Calc base'!N$12,ROUND('Calc base'!N$13*BE137,2))))</f>
        <v>0</v>
      </c>
      <c r="V138">
        <f>MAX(0,ROUND(AT137*(1+'Calc base'!H138),2)-J138-'Calc base'!T138)</f>
        <v>0</v>
      </c>
      <c r="W138">
        <f>MAX(0,ROUND(AU137*(1+'Calc base'!I138),2)-K138-'Calc base'!U138)</f>
        <v>0</v>
      </c>
      <c r="X138">
        <f>MAX(0,ROUND(AV137*(1+'Calc base'!J138),2)-L138-'Calc base'!V138)</f>
        <v>0</v>
      </c>
      <c r="Y138">
        <f>MAX(0,ROUND(AW137*(1+'Calc base'!K138),2)-M138-'Calc base'!W138)</f>
        <v>0</v>
      </c>
      <c r="Z138">
        <f>MAX(0,ROUND(AX137*(1+'Calc base'!L138),2)-N138-'Calc base'!X138)</f>
        <v>0</v>
      </c>
      <c r="AA138">
        <f>MAX(0,ROUND(AY137*(1+'Calc base'!M138),2)-O138-'Calc base'!Y138)</f>
        <v>0</v>
      </c>
      <c r="AB138">
        <f>MAX(0,ROUND(AZ137*(1+'Calc base'!N138),2)-P138-'Calc base'!Z138)</f>
        <v>0</v>
      </c>
      <c r="AC138">
        <f>MAX(0,ROUND(BA137*(1+'Calc base'!O138),2)-Q138-'Calc base'!AA138)</f>
        <v>0</v>
      </c>
      <c r="AD138">
        <f>MAX(0,ROUND(BB137*(1+'Calc base'!P138),2)-R138-'Calc base'!AB138)</f>
        <v>0</v>
      </c>
      <c r="AE138">
        <f>MAX(0,ROUND(BC137*(1+'Calc base'!Q138),2)-S138-'Calc base'!AC138)</f>
        <v>0</v>
      </c>
      <c r="AF138">
        <f>MAX(0,ROUND(BD137*(1+'Calc base'!R138),2)-T138-'Calc base'!AD138)</f>
        <v>0</v>
      </c>
      <c r="AG138">
        <f>MAX(0,ROUND(BE137*(1+'Calc base'!S138),2)-U138-'Calc base'!AE138)</f>
        <v>0</v>
      </c>
      <c r="AH138">
        <f>IF('Calc base'!C$14=0,0,MIN(V138,MAX(0,$E138-SUMIFS($V138:$AG138,'Calc base'!$C$19:$N$19,"&lt;"&amp;'Calc base'!C$19,'Calc base'!$C$14:$N$14,1))))</f>
        <v>0</v>
      </c>
      <c r="AI138">
        <f>IF('Calc base'!D$14=0,0,MIN(W138,MAX(0,$E138-SUMIFS($V138:$AG138,'Calc base'!$C$19:$N$19,"&lt;"&amp;'Calc base'!D$19,'Calc base'!$C$14:$N$14,1))))</f>
        <v>0</v>
      </c>
      <c r="AJ138">
        <f>IF('Calc base'!E$14=0,0,MIN(X138,MAX(0,$E138-SUMIFS($V138:$AG138,'Calc base'!$C$19:$N$19,"&lt;"&amp;'Calc base'!E$19,'Calc base'!$C$14:$N$14,1))))</f>
        <v>0</v>
      </c>
      <c r="AK138">
        <f>IF('Calc base'!F$14=0,0,MIN(Y138,MAX(0,$E138-SUMIFS($V138:$AG138,'Calc base'!$C$19:$N$19,"&lt;"&amp;'Calc base'!F$19,'Calc base'!$C$14:$N$14,1))))</f>
        <v>0</v>
      </c>
      <c r="AL138">
        <f>IF('Calc base'!G$14=0,0,MIN(Z138,MAX(0,$E138-SUMIFS($V138:$AG138,'Calc base'!$C$19:$N$19,"&lt;"&amp;'Calc base'!G$19,'Calc base'!$C$14:$N$14,1))))</f>
        <v>0</v>
      </c>
      <c r="AM138">
        <f>IF('Calc base'!H$14=0,0,MIN(AA138,MAX(0,$E138-SUMIFS($V138:$AG138,'Calc base'!$C$19:$N$19,"&lt;"&amp;'Calc base'!H$19,'Calc base'!$C$14:$N$14,1))))</f>
        <v>0</v>
      </c>
      <c r="AN138">
        <f>IF('Calc base'!I$14=0,0,MIN(AB138,MAX(0,$E138-SUMIFS($V138:$AG138,'Calc base'!$C$19:$N$19,"&lt;"&amp;'Calc base'!I$19,'Calc base'!$C$14:$N$14,1))))</f>
        <v>0</v>
      </c>
      <c r="AO138">
        <f>IF('Calc base'!J$14=0,0,MIN(AC138,MAX(0,$E138-SUMIFS($V138:$AG138,'Calc base'!$C$19:$N$19,"&lt;"&amp;'Calc base'!J$19,'Calc base'!$C$14:$N$14,1))))</f>
        <v>0</v>
      </c>
      <c r="AP138">
        <f>IF('Calc base'!K$14=0,0,MIN(AD138,MAX(0,$E138-SUMIFS($V138:$AG138,'Calc base'!$C$19:$N$19,"&lt;"&amp;'Calc base'!K$19,'Calc base'!$C$14:$N$14,1))))</f>
        <v>0</v>
      </c>
      <c r="AQ138">
        <f>IF('Calc base'!L$14=0,0,MIN(AE138,MAX(0,$E138-SUMIFS($V138:$AG138,'Calc base'!$C$19:$N$19,"&lt;"&amp;'Calc base'!L$19,'Calc base'!$C$14:$N$14,1))))</f>
        <v>0</v>
      </c>
      <c r="AR138">
        <f>IF('Calc base'!M$14=0,0,MIN(AF138,MAX(0,$E138-SUMIFS($V138:$AG138,'Calc base'!$C$19:$N$19,"&lt;"&amp;'Calc base'!M$19,'Calc base'!$C$14:$N$14,1))))</f>
        <v>0</v>
      </c>
      <c r="AS138">
        <f>IF('Calc base'!N$14=0,0,MIN(AG138,MAX(0,$E138-SUMIFS($V138:$AG138,'Calc base'!$C$19:$N$19,"&lt;"&amp;'Calc base'!N$19,'Calc base'!$C$14:$N$14,1))))</f>
        <v>0</v>
      </c>
      <c r="AT138">
        <f>V138-AH138</f>
        <v>0</v>
      </c>
      <c r="AU138">
        <f>W138-AI138</f>
        <v>0</v>
      </c>
      <c r="AV138">
        <f>X138-AJ138</f>
        <v>0</v>
      </c>
      <c r="AW138">
        <f>Y138-AK138</f>
        <v>0</v>
      </c>
      <c r="AX138">
        <f>Z138-AL138</f>
        <v>0</v>
      </c>
      <c r="AY138">
        <f>AA138-AM138</f>
        <v>0</v>
      </c>
      <c r="AZ138">
        <f>AB138-AN138</f>
        <v>0</v>
      </c>
      <c r="BA138">
        <f>AC138-AO138</f>
        <v>0</v>
      </c>
      <c r="BB138">
        <f>AD138-AP138</f>
        <v>0</v>
      </c>
      <c r="BC138">
        <f>AE138-AQ138</f>
        <v>0</v>
      </c>
      <c r="BD138">
        <f>AF138-AR138</f>
        <v>0</v>
      </c>
      <c r="BE138">
        <f>AG138-AS138</f>
        <v>0</v>
      </c>
    </row>
    <row r="139">
      <c r="A139" t="n">
        <v>109</v>
      </c>
      <c r="B139">
        <f>SUMPRODUCT(ROUND($AT138:$BE138*(1+'Calc base'!$H139:$S139),2))</f>
        <v>0</v>
      </c>
      <c r="C139">
        <f>SUM(J139:U139)</f>
        <v>0</v>
      </c>
      <c r="D139">
        <f>SUM(V139:AG139)</f>
        <v>0</v>
      </c>
      <c r="E139">
        <f>MAX(0,IF(Impostazioni!$B$7="No",'Calc base'!$C139-$C$31,'Calc base'!$C139-C139)+'Calc base'!$G139+'Calc base'!$F139-(B139-C139-D139))</f>
        <v>900</v>
      </c>
      <c r="F139">
        <f>SUM(AH139:AS139)</f>
        <v>0</v>
      </c>
      <c r="G139">
        <f>SUM(AT139:BE139)</f>
        <v>0</v>
      </c>
      <c r="H139">
        <f>B139-G138</f>
        <v>0</v>
      </c>
      <c r="I139">
        <f>B139-G139</f>
        <v>0</v>
      </c>
      <c r="J139">
        <f>IF(AT138&lt;=0,0,IF(ROUND(AT138*(1+'Calc base'!H139),2)-MAX('Calc base'!C$12,ROUND('Calc base'!C$13*AT138,2))&lt;1,ROUND(AT138*(1+'Calc base'!H139),2),MAX('Calc base'!C$12,ROUND('Calc base'!C$13*AT138,2))))</f>
        <v>0</v>
      </c>
      <c r="K139">
        <f>IF(AU138&lt;=0,0,IF(ROUND(AU138*(1+'Calc base'!I139),2)-MAX('Calc base'!D$12,ROUND('Calc base'!D$13*AU138,2))&lt;1,ROUND(AU138*(1+'Calc base'!I139),2),MAX('Calc base'!D$12,ROUND('Calc base'!D$13*AU138,2))))</f>
        <v>0</v>
      </c>
      <c r="L139">
        <f>IF(AV138&lt;=0,0,IF(ROUND(AV138*(1+'Calc base'!J139),2)-MAX('Calc base'!E$12,ROUND('Calc base'!E$13*AV138,2))&lt;1,ROUND(AV138*(1+'Calc base'!J139),2),MAX('Calc base'!E$12,ROUND('Calc base'!E$13*AV138,2))))</f>
        <v>0</v>
      </c>
      <c r="M139">
        <f>IF(AW138&lt;=0,0,IF(ROUND(AW138*(1+'Calc base'!K139),2)-MAX('Calc base'!F$12,ROUND('Calc base'!F$13*AW138,2))&lt;1,ROUND(AW138*(1+'Calc base'!K139),2),MAX('Calc base'!F$12,ROUND('Calc base'!F$13*AW138,2))))</f>
        <v>0</v>
      </c>
      <c r="N139">
        <f>IF(AX138&lt;=0,0,IF(ROUND(AX138*(1+'Calc base'!L139),2)-MAX('Calc base'!G$12,ROUND('Calc base'!G$13*AX138,2))&lt;1,ROUND(AX138*(1+'Calc base'!L139),2),MAX('Calc base'!G$12,ROUND('Calc base'!G$13*AX138,2))))</f>
        <v>0</v>
      </c>
      <c r="O139">
        <f>IF(AY138&lt;=0,0,IF(ROUND(AY138*(1+'Calc base'!M139),2)-MAX('Calc base'!H$12,ROUND('Calc base'!H$13*AY138,2))&lt;1,ROUND(AY138*(1+'Calc base'!M139),2),MAX('Calc base'!H$12,ROUND('Calc base'!H$13*AY138,2))))</f>
        <v>0</v>
      </c>
      <c r="P139">
        <f>IF(AZ138&lt;=0,0,IF(ROUND(AZ138*(1+'Calc base'!N139),2)-MAX('Calc base'!I$12,ROUND('Calc base'!I$13*AZ138,2))&lt;1,ROUND(AZ138*(1+'Calc base'!N139),2),MAX('Calc base'!I$12,ROUND('Calc base'!I$13*AZ138,2))))</f>
        <v>0</v>
      </c>
      <c r="Q139">
        <f>IF(BA138&lt;=0,0,IF(ROUND(BA138*(1+'Calc base'!O139),2)-MAX('Calc base'!J$12,ROUND('Calc base'!J$13*BA138,2))&lt;1,ROUND(BA138*(1+'Calc base'!O139),2),MAX('Calc base'!J$12,ROUND('Calc base'!J$13*BA138,2))))</f>
        <v>0</v>
      </c>
      <c r="R139">
        <f>IF(BB138&lt;=0,0,IF(ROUND(BB138*(1+'Calc base'!P139),2)-MAX('Calc base'!K$12,ROUND('Calc base'!K$13*BB138,2))&lt;1,ROUND(BB138*(1+'Calc base'!P139),2),MAX('Calc base'!K$12,ROUND('Calc base'!K$13*BB138,2))))</f>
        <v>0</v>
      </c>
      <c r="S139">
        <f>IF(BC138&lt;=0,0,IF(ROUND(BC138*(1+'Calc base'!Q139),2)-MAX('Calc base'!L$12,ROUND('Calc base'!L$13*BC138,2))&lt;1,ROUND(BC138*(1+'Calc base'!Q139),2),MAX('Calc base'!L$12,ROUND('Calc base'!L$13*BC138,2))))</f>
        <v>0</v>
      </c>
      <c r="T139">
        <f>IF(BD138&lt;=0,0,IF(ROUND(BD138*(1+'Calc base'!R139),2)-MAX('Calc base'!M$12,ROUND('Calc base'!M$13*BD138,2))&lt;1,ROUND(BD138*(1+'Calc base'!R139),2),MAX('Calc base'!M$12,ROUND('Calc base'!M$13*BD138,2))))</f>
        <v>0</v>
      </c>
      <c r="U139">
        <f>IF(BE138&lt;=0,0,IF(ROUND(BE138*(1+'Calc base'!S139),2)-MAX('Calc base'!N$12,ROUND('Calc base'!N$13*BE138,2))&lt;1,ROUND(BE138*(1+'Calc base'!S139),2),MAX('Calc base'!N$12,ROUND('Calc base'!N$13*BE138,2))))</f>
        <v>0</v>
      </c>
      <c r="V139">
        <f>MAX(0,ROUND(AT138*(1+'Calc base'!H139),2)-J139-'Calc base'!T139)</f>
        <v>0</v>
      </c>
      <c r="W139">
        <f>MAX(0,ROUND(AU138*(1+'Calc base'!I139),2)-K139-'Calc base'!U139)</f>
        <v>0</v>
      </c>
      <c r="X139">
        <f>MAX(0,ROUND(AV138*(1+'Calc base'!J139),2)-L139-'Calc base'!V139)</f>
        <v>0</v>
      </c>
      <c r="Y139">
        <f>MAX(0,ROUND(AW138*(1+'Calc base'!K139),2)-M139-'Calc base'!W139)</f>
        <v>0</v>
      </c>
      <c r="Z139">
        <f>MAX(0,ROUND(AX138*(1+'Calc base'!L139),2)-N139-'Calc base'!X139)</f>
        <v>0</v>
      </c>
      <c r="AA139">
        <f>MAX(0,ROUND(AY138*(1+'Calc base'!M139),2)-O139-'Calc base'!Y139)</f>
        <v>0</v>
      </c>
      <c r="AB139">
        <f>MAX(0,ROUND(AZ138*(1+'Calc base'!N139),2)-P139-'Calc base'!Z139)</f>
        <v>0</v>
      </c>
      <c r="AC139">
        <f>MAX(0,ROUND(BA138*(1+'Calc base'!O139),2)-Q139-'Calc base'!AA139)</f>
        <v>0</v>
      </c>
      <c r="AD139">
        <f>MAX(0,ROUND(BB138*(1+'Calc base'!P139),2)-R139-'Calc base'!AB139)</f>
        <v>0</v>
      </c>
      <c r="AE139">
        <f>MAX(0,ROUND(BC138*(1+'Calc base'!Q139),2)-S139-'Calc base'!AC139)</f>
        <v>0</v>
      </c>
      <c r="AF139">
        <f>MAX(0,ROUND(BD138*(1+'Calc base'!R139),2)-T139-'Calc base'!AD139)</f>
        <v>0</v>
      </c>
      <c r="AG139">
        <f>MAX(0,ROUND(BE138*(1+'Calc base'!S139),2)-U139-'Calc base'!AE139)</f>
        <v>0</v>
      </c>
      <c r="AH139">
        <f>IF('Calc base'!C$14=0,0,MIN(V139,MAX(0,$E139-SUMIFS($V139:$AG139,'Calc base'!$C$19:$N$19,"&lt;"&amp;'Calc base'!C$19,'Calc base'!$C$14:$N$14,1))))</f>
        <v>0</v>
      </c>
      <c r="AI139">
        <f>IF('Calc base'!D$14=0,0,MIN(W139,MAX(0,$E139-SUMIFS($V139:$AG139,'Calc base'!$C$19:$N$19,"&lt;"&amp;'Calc base'!D$19,'Calc base'!$C$14:$N$14,1))))</f>
        <v>0</v>
      </c>
      <c r="AJ139">
        <f>IF('Calc base'!E$14=0,0,MIN(X139,MAX(0,$E139-SUMIFS($V139:$AG139,'Calc base'!$C$19:$N$19,"&lt;"&amp;'Calc base'!E$19,'Calc base'!$C$14:$N$14,1))))</f>
        <v>0</v>
      </c>
      <c r="AK139">
        <f>IF('Calc base'!F$14=0,0,MIN(Y139,MAX(0,$E139-SUMIFS($V139:$AG139,'Calc base'!$C$19:$N$19,"&lt;"&amp;'Calc base'!F$19,'Calc base'!$C$14:$N$14,1))))</f>
        <v>0</v>
      </c>
      <c r="AL139">
        <f>IF('Calc base'!G$14=0,0,MIN(Z139,MAX(0,$E139-SUMIFS($V139:$AG139,'Calc base'!$C$19:$N$19,"&lt;"&amp;'Calc base'!G$19,'Calc base'!$C$14:$N$14,1))))</f>
        <v>0</v>
      </c>
      <c r="AM139">
        <f>IF('Calc base'!H$14=0,0,MIN(AA139,MAX(0,$E139-SUMIFS($V139:$AG139,'Calc base'!$C$19:$N$19,"&lt;"&amp;'Calc base'!H$19,'Calc base'!$C$14:$N$14,1))))</f>
        <v>0</v>
      </c>
      <c r="AN139">
        <f>IF('Calc base'!I$14=0,0,MIN(AB139,MAX(0,$E139-SUMIFS($V139:$AG139,'Calc base'!$C$19:$N$19,"&lt;"&amp;'Calc base'!I$19,'Calc base'!$C$14:$N$14,1))))</f>
        <v>0</v>
      </c>
      <c r="AO139">
        <f>IF('Calc base'!J$14=0,0,MIN(AC139,MAX(0,$E139-SUMIFS($V139:$AG139,'Calc base'!$C$19:$N$19,"&lt;"&amp;'Calc base'!J$19,'Calc base'!$C$14:$N$14,1))))</f>
        <v>0</v>
      </c>
      <c r="AP139">
        <f>IF('Calc base'!K$14=0,0,MIN(AD139,MAX(0,$E139-SUMIFS($V139:$AG139,'Calc base'!$C$19:$N$19,"&lt;"&amp;'Calc base'!K$19,'Calc base'!$C$14:$N$14,1))))</f>
        <v>0</v>
      </c>
      <c r="AQ139">
        <f>IF('Calc base'!L$14=0,0,MIN(AE139,MAX(0,$E139-SUMIFS($V139:$AG139,'Calc base'!$C$19:$N$19,"&lt;"&amp;'Calc base'!L$19,'Calc base'!$C$14:$N$14,1))))</f>
        <v>0</v>
      </c>
      <c r="AR139">
        <f>IF('Calc base'!M$14=0,0,MIN(AF139,MAX(0,$E139-SUMIFS($V139:$AG139,'Calc base'!$C$19:$N$19,"&lt;"&amp;'Calc base'!M$19,'Calc base'!$C$14:$N$14,1))))</f>
        <v>0</v>
      </c>
      <c r="AS139">
        <f>IF('Calc base'!N$14=0,0,MIN(AG139,MAX(0,$E139-SUMIFS($V139:$AG139,'Calc base'!$C$19:$N$19,"&lt;"&amp;'Calc base'!N$19,'Calc base'!$C$14:$N$14,1))))</f>
        <v>0</v>
      </c>
      <c r="AT139">
        <f>V139-AH139</f>
        <v>0</v>
      </c>
      <c r="AU139">
        <f>W139-AI139</f>
        <v>0</v>
      </c>
      <c r="AV139">
        <f>X139-AJ139</f>
        <v>0</v>
      </c>
      <c r="AW139">
        <f>Y139-AK139</f>
        <v>0</v>
      </c>
      <c r="AX139">
        <f>Z139-AL139</f>
        <v>0</v>
      </c>
      <c r="AY139">
        <f>AA139-AM139</f>
        <v>0</v>
      </c>
      <c r="AZ139">
        <f>AB139-AN139</f>
        <v>0</v>
      </c>
      <c r="BA139">
        <f>AC139-AO139</f>
        <v>0</v>
      </c>
      <c r="BB139">
        <f>AD139-AP139</f>
        <v>0</v>
      </c>
      <c r="BC139">
        <f>AE139-AQ139</f>
        <v>0</v>
      </c>
      <c r="BD139">
        <f>AF139-AR139</f>
        <v>0</v>
      </c>
      <c r="BE139">
        <f>AG139-AS139</f>
        <v>0</v>
      </c>
    </row>
    <row r="140">
      <c r="A140" t="n">
        <v>110</v>
      </c>
      <c r="B140">
        <f>SUMPRODUCT(ROUND($AT139:$BE139*(1+'Calc base'!$H140:$S140),2))</f>
        <v>0</v>
      </c>
      <c r="C140">
        <f>SUM(J140:U140)</f>
        <v>0</v>
      </c>
      <c r="D140">
        <f>SUM(V140:AG140)</f>
        <v>0</v>
      </c>
      <c r="E140">
        <f>MAX(0,IF(Impostazioni!$B$7="No",'Calc base'!$C140-$C$31,'Calc base'!$C140-C140)+'Calc base'!$G140+'Calc base'!$F140-(B140-C140-D140))</f>
        <v>900</v>
      </c>
      <c r="F140">
        <f>SUM(AH140:AS140)</f>
        <v>0</v>
      </c>
      <c r="G140">
        <f>SUM(AT140:BE140)</f>
        <v>0</v>
      </c>
      <c r="H140">
        <f>B140-G139</f>
        <v>0</v>
      </c>
      <c r="I140">
        <f>B140-G140</f>
        <v>0</v>
      </c>
      <c r="J140">
        <f>IF(AT139&lt;=0,0,IF(ROUND(AT139*(1+'Calc base'!H140),2)-MAX('Calc base'!C$12,ROUND('Calc base'!C$13*AT139,2))&lt;1,ROUND(AT139*(1+'Calc base'!H140),2),MAX('Calc base'!C$12,ROUND('Calc base'!C$13*AT139,2))))</f>
        <v>0</v>
      </c>
      <c r="K140">
        <f>IF(AU139&lt;=0,0,IF(ROUND(AU139*(1+'Calc base'!I140),2)-MAX('Calc base'!D$12,ROUND('Calc base'!D$13*AU139,2))&lt;1,ROUND(AU139*(1+'Calc base'!I140),2),MAX('Calc base'!D$12,ROUND('Calc base'!D$13*AU139,2))))</f>
        <v>0</v>
      </c>
      <c r="L140">
        <f>IF(AV139&lt;=0,0,IF(ROUND(AV139*(1+'Calc base'!J140),2)-MAX('Calc base'!E$12,ROUND('Calc base'!E$13*AV139,2))&lt;1,ROUND(AV139*(1+'Calc base'!J140),2),MAX('Calc base'!E$12,ROUND('Calc base'!E$13*AV139,2))))</f>
        <v>0</v>
      </c>
      <c r="M140">
        <f>IF(AW139&lt;=0,0,IF(ROUND(AW139*(1+'Calc base'!K140),2)-MAX('Calc base'!F$12,ROUND('Calc base'!F$13*AW139,2))&lt;1,ROUND(AW139*(1+'Calc base'!K140),2),MAX('Calc base'!F$12,ROUND('Calc base'!F$13*AW139,2))))</f>
        <v>0</v>
      </c>
      <c r="N140">
        <f>IF(AX139&lt;=0,0,IF(ROUND(AX139*(1+'Calc base'!L140),2)-MAX('Calc base'!G$12,ROUND('Calc base'!G$13*AX139,2))&lt;1,ROUND(AX139*(1+'Calc base'!L140),2),MAX('Calc base'!G$12,ROUND('Calc base'!G$13*AX139,2))))</f>
        <v>0</v>
      </c>
      <c r="O140">
        <f>IF(AY139&lt;=0,0,IF(ROUND(AY139*(1+'Calc base'!M140),2)-MAX('Calc base'!H$12,ROUND('Calc base'!H$13*AY139,2))&lt;1,ROUND(AY139*(1+'Calc base'!M140),2),MAX('Calc base'!H$12,ROUND('Calc base'!H$13*AY139,2))))</f>
        <v>0</v>
      </c>
      <c r="P140">
        <f>IF(AZ139&lt;=0,0,IF(ROUND(AZ139*(1+'Calc base'!N140),2)-MAX('Calc base'!I$12,ROUND('Calc base'!I$13*AZ139,2))&lt;1,ROUND(AZ139*(1+'Calc base'!N140),2),MAX('Calc base'!I$12,ROUND('Calc base'!I$13*AZ139,2))))</f>
        <v>0</v>
      </c>
      <c r="Q140">
        <f>IF(BA139&lt;=0,0,IF(ROUND(BA139*(1+'Calc base'!O140),2)-MAX('Calc base'!J$12,ROUND('Calc base'!J$13*BA139,2))&lt;1,ROUND(BA139*(1+'Calc base'!O140),2),MAX('Calc base'!J$12,ROUND('Calc base'!J$13*BA139,2))))</f>
        <v>0</v>
      </c>
      <c r="R140">
        <f>IF(BB139&lt;=0,0,IF(ROUND(BB139*(1+'Calc base'!P140),2)-MAX('Calc base'!K$12,ROUND('Calc base'!K$13*BB139,2))&lt;1,ROUND(BB139*(1+'Calc base'!P140),2),MAX('Calc base'!K$12,ROUND('Calc base'!K$13*BB139,2))))</f>
        <v>0</v>
      </c>
      <c r="S140">
        <f>IF(BC139&lt;=0,0,IF(ROUND(BC139*(1+'Calc base'!Q140),2)-MAX('Calc base'!L$12,ROUND('Calc base'!L$13*BC139,2))&lt;1,ROUND(BC139*(1+'Calc base'!Q140),2),MAX('Calc base'!L$12,ROUND('Calc base'!L$13*BC139,2))))</f>
        <v>0</v>
      </c>
      <c r="T140">
        <f>IF(BD139&lt;=0,0,IF(ROUND(BD139*(1+'Calc base'!R140),2)-MAX('Calc base'!M$12,ROUND('Calc base'!M$13*BD139,2))&lt;1,ROUND(BD139*(1+'Calc base'!R140),2),MAX('Calc base'!M$12,ROUND('Calc base'!M$13*BD139,2))))</f>
        <v>0</v>
      </c>
      <c r="U140">
        <f>IF(BE139&lt;=0,0,IF(ROUND(BE139*(1+'Calc base'!S140),2)-MAX('Calc base'!N$12,ROUND('Calc base'!N$13*BE139,2))&lt;1,ROUND(BE139*(1+'Calc base'!S140),2),MAX('Calc base'!N$12,ROUND('Calc base'!N$13*BE139,2))))</f>
        <v>0</v>
      </c>
      <c r="V140">
        <f>MAX(0,ROUND(AT139*(1+'Calc base'!H140),2)-J140-'Calc base'!T140)</f>
        <v>0</v>
      </c>
      <c r="W140">
        <f>MAX(0,ROUND(AU139*(1+'Calc base'!I140),2)-K140-'Calc base'!U140)</f>
        <v>0</v>
      </c>
      <c r="X140">
        <f>MAX(0,ROUND(AV139*(1+'Calc base'!J140),2)-L140-'Calc base'!V140)</f>
        <v>0</v>
      </c>
      <c r="Y140">
        <f>MAX(0,ROUND(AW139*(1+'Calc base'!K140),2)-M140-'Calc base'!W140)</f>
        <v>0</v>
      </c>
      <c r="Z140">
        <f>MAX(0,ROUND(AX139*(1+'Calc base'!L140),2)-N140-'Calc base'!X140)</f>
        <v>0</v>
      </c>
      <c r="AA140">
        <f>MAX(0,ROUND(AY139*(1+'Calc base'!M140),2)-O140-'Calc base'!Y140)</f>
        <v>0</v>
      </c>
      <c r="AB140">
        <f>MAX(0,ROUND(AZ139*(1+'Calc base'!N140),2)-P140-'Calc base'!Z140)</f>
        <v>0</v>
      </c>
      <c r="AC140">
        <f>MAX(0,ROUND(BA139*(1+'Calc base'!O140),2)-Q140-'Calc base'!AA140)</f>
        <v>0</v>
      </c>
      <c r="AD140">
        <f>MAX(0,ROUND(BB139*(1+'Calc base'!P140),2)-R140-'Calc base'!AB140)</f>
        <v>0</v>
      </c>
      <c r="AE140">
        <f>MAX(0,ROUND(BC139*(1+'Calc base'!Q140),2)-S140-'Calc base'!AC140)</f>
        <v>0</v>
      </c>
      <c r="AF140">
        <f>MAX(0,ROUND(BD139*(1+'Calc base'!R140),2)-T140-'Calc base'!AD140)</f>
        <v>0</v>
      </c>
      <c r="AG140">
        <f>MAX(0,ROUND(BE139*(1+'Calc base'!S140),2)-U140-'Calc base'!AE140)</f>
        <v>0</v>
      </c>
      <c r="AH140">
        <f>IF('Calc base'!C$14=0,0,MIN(V140,MAX(0,$E140-SUMIFS($V140:$AG140,'Calc base'!$C$19:$N$19,"&lt;"&amp;'Calc base'!C$19,'Calc base'!$C$14:$N$14,1))))</f>
        <v>0</v>
      </c>
      <c r="AI140">
        <f>IF('Calc base'!D$14=0,0,MIN(W140,MAX(0,$E140-SUMIFS($V140:$AG140,'Calc base'!$C$19:$N$19,"&lt;"&amp;'Calc base'!D$19,'Calc base'!$C$14:$N$14,1))))</f>
        <v>0</v>
      </c>
      <c r="AJ140">
        <f>IF('Calc base'!E$14=0,0,MIN(X140,MAX(0,$E140-SUMIFS($V140:$AG140,'Calc base'!$C$19:$N$19,"&lt;"&amp;'Calc base'!E$19,'Calc base'!$C$14:$N$14,1))))</f>
        <v>0</v>
      </c>
      <c r="AK140">
        <f>IF('Calc base'!F$14=0,0,MIN(Y140,MAX(0,$E140-SUMIFS($V140:$AG140,'Calc base'!$C$19:$N$19,"&lt;"&amp;'Calc base'!F$19,'Calc base'!$C$14:$N$14,1))))</f>
        <v>0</v>
      </c>
      <c r="AL140">
        <f>IF('Calc base'!G$14=0,0,MIN(Z140,MAX(0,$E140-SUMIFS($V140:$AG140,'Calc base'!$C$19:$N$19,"&lt;"&amp;'Calc base'!G$19,'Calc base'!$C$14:$N$14,1))))</f>
        <v>0</v>
      </c>
      <c r="AM140">
        <f>IF('Calc base'!H$14=0,0,MIN(AA140,MAX(0,$E140-SUMIFS($V140:$AG140,'Calc base'!$C$19:$N$19,"&lt;"&amp;'Calc base'!H$19,'Calc base'!$C$14:$N$14,1))))</f>
        <v>0</v>
      </c>
      <c r="AN140">
        <f>IF('Calc base'!I$14=0,0,MIN(AB140,MAX(0,$E140-SUMIFS($V140:$AG140,'Calc base'!$C$19:$N$19,"&lt;"&amp;'Calc base'!I$19,'Calc base'!$C$14:$N$14,1))))</f>
        <v>0</v>
      </c>
      <c r="AO140">
        <f>IF('Calc base'!J$14=0,0,MIN(AC140,MAX(0,$E140-SUMIFS($V140:$AG140,'Calc base'!$C$19:$N$19,"&lt;"&amp;'Calc base'!J$19,'Calc base'!$C$14:$N$14,1))))</f>
        <v>0</v>
      </c>
      <c r="AP140">
        <f>IF('Calc base'!K$14=0,0,MIN(AD140,MAX(0,$E140-SUMIFS($V140:$AG140,'Calc base'!$C$19:$N$19,"&lt;"&amp;'Calc base'!K$19,'Calc base'!$C$14:$N$14,1))))</f>
        <v>0</v>
      </c>
      <c r="AQ140">
        <f>IF('Calc base'!L$14=0,0,MIN(AE140,MAX(0,$E140-SUMIFS($V140:$AG140,'Calc base'!$C$19:$N$19,"&lt;"&amp;'Calc base'!L$19,'Calc base'!$C$14:$N$14,1))))</f>
        <v>0</v>
      </c>
      <c r="AR140">
        <f>IF('Calc base'!M$14=0,0,MIN(AF140,MAX(0,$E140-SUMIFS($V140:$AG140,'Calc base'!$C$19:$N$19,"&lt;"&amp;'Calc base'!M$19,'Calc base'!$C$14:$N$14,1))))</f>
        <v>0</v>
      </c>
      <c r="AS140">
        <f>IF('Calc base'!N$14=0,0,MIN(AG140,MAX(0,$E140-SUMIFS($V140:$AG140,'Calc base'!$C$19:$N$19,"&lt;"&amp;'Calc base'!N$19,'Calc base'!$C$14:$N$14,1))))</f>
        <v>0</v>
      </c>
      <c r="AT140">
        <f>V140-AH140</f>
        <v>0</v>
      </c>
      <c r="AU140">
        <f>W140-AI140</f>
        <v>0</v>
      </c>
      <c r="AV140">
        <f>X140-AJ140</f>
        <v>0</v>
      </c>
      <c r="AW140">
        <f>Y140-AK140</f>
        <v>0</v>
      </c>
      <c r="AX140">
        <f>Z140-AL140</f>
        <v>0</v>
      </c>
      <c r="AY140">
        <f>AA140-AM140</f>
        <v>0</v>
      </c>
      <c r="AZ140">
        <f>AB140-AN140</f>
        <v>0</v>
      </c>
      <c r="BA140">
        <f>AC140-AO140</f>
        <v>0</v>
      </c>
      <c r="BB140">
        <f>AD140-AP140</f>
        <v>0</v>
      </c>
      <c r="BC140">
        <f>AE140-AQ140</f>
        <v>0</v>
      </c>
      <c r="BD140">
        <f>AF140-AR140</f>
        <v>0</v>
      </c>
      <c r="BE140">
        <f>AG140-AS140</f>
        <v>0</v>
      </c>
    </row>
    <row r="141">
      <c r="A141" t="n">
        <v>111</v>
      </c>
      <c r="B141">
        <f>SUMPRODUCT(ROUND($AT140:$BE140*(1+'Calc base'!$H141:$S141),2))</f>
        <v>0</v>
      </c>
      <c r="C141">
        <f>SUM(J141:U141)</f>
        <v>0</v>
      </c>
      <c r="D141">
        <f>SUM(V141:AG141)</f>
        <v>0</v>
      </c>
      <c r="E141">
        <f>MAX(0,IF(Impostazioni!$B$7="No",'Calc base'!$C141-$C$31,'Calc base'!$C141-C141)+'Calc base'!$G141+'Calc base'!$F141-(B141-C141-D141))</f>
        <v>900</v>
      </c>
      <c r="F141">
        <f>SUM(AH141:AS141)</f>
        <v>0</v>
      </c>
      <c r="G141">
        <f>SUM(AT141:BE141)</f>
        <v>0</v>
      </c>
      <c r="H141">
        <f>B141-G140</f>
        <v>0</v>
      </c>
      <c r="I141">
        <f>B141-G141</f>
        <v>0</v>
      </c>
      <c r="J141">
        <f>IF(AT140&lt;=0,0,IF(ROUND(AT140*(1+'Calc base'!H141),2)-MAX('Calc base'!C$12,ROUND('Calc base'!C$13*AT140,2))&lt;1,ROUND(AT140*(1+'Calc base'!H141),2),MAX('Calc base'!C$12,ROUND('Calc base'!C$13*AT140,2))))</f>
        <v>0</v>
      </c>
      <c r="K141">
        <f>IF(AU140&lt;=0,0,IF(ROUND(AU140*(1+'Calc base'!I141),2)-MAX('Calc base'!D$12,ROUND('Calc base'!D$13*AU140,2))&lt;1,ROUND(AU140*(1+'Calc base'!I141),2),MAX('Calc base'!D$12,ROUND('Calc base'!D$13*AU140,2))))</f>
        <v>0</v>
      </c>
      <c r="L141">
        <f>IF(AV140&lt;=0,0,IF(ROUND(AV140*(1+'Calc base'!J141),2)-MAX('Calc base'!E$12,ROUND('Calc base'!E$13*AV140,2))&lt;1,ROUND(AV140*(1+'Calc base'!J141),2),MAX('Calc base'!E$12,ROUND('Calc base'!E$13*AV140,2))))</f>
        <v>0</v>
      </c>
      <c r="M141">
        <f>IF(AW140&lt;=0,0,IF(ROUND(AW140*(1+'Calc base'!K141),2)-MAX('Calc base'!F$12,ROUND('Calc base'!F$13*AW140,2))&lt;1,ROUND(AW140*(1+'Calc base'!K141),2),MAX('Calc base'!F$12,ROUND('Calc base'!F$13*AW140,2))))</f>
        <v>0</v>
      </c>
      <c r="N141">
        <f>IF(AX140&lt;=0,0,IF(ROUND(AX140*(1+'Calc base'!L141),2)-MAX('Calc base'!G$12,ROUND('Calc base'!G$13*AX140,2))&lt;1,ROUND(AX140*(1+'Calc base'!L141),2),MAX('Calc base'!G$12,ROUND('Calc base'!G$13*AX140,2))))</f>
        <v>0</v>
      </c>
      <c r="O141">
        <f>IF(AY140&lt;=0,0,IF(ROUND(AY140*(1+'Calc base'!M141),2)-MAX('Calc base'!H$12,ROUND('Calc base'!H$13*AY140,2))&lt;1,ROUND(AY140*(1+'Calc base'!M141),2),MAX('Calc base'!H$12,ROUND('Calc base'!H$13*AY140,2))))</f>
        <v>0</v>
      </c>
      <c r="P141">
        <f>IF(AZ140&lt;=0,0,IF(ROUND(AZ140*(1+'Calc base'!N141),2)-MAX('Calc base'!I$12,ROUND('Calc base'!I$13*AZ140,2))&lt;1,ROUND(AZ140*(1+'Calc base'!N141),2),MAX('Calc base'!I$12,ROUND('Calc base'!I$13*AZ140,2))))</f>
        <v>0</v>
      </c>
      <c r="Q141">
        <f>IF(BA140&lt;=0,0,IF(ROUND(BA140*(1+'Calc base'!O141),2)-MAX('Calc base'!J$12,ROUND('Calc base'!J$13*BA140,2))&lt;1,ROUND(BA140*(1+'Calc base'!O141),2),MAX('Calc base'!J$12,ROUND('Calc base'!J$13*BA140,2))))</f>
        <v>0</v>
      </c>
      <c r="R141">
        <f>IF(BB140&lt;=0,0,IF(ROUND(BB140*(1+'Calc base'!P141),2)-MAX('Calc base'!K$12,ROUND('Calc base'!K$13*BB140,2))&lt;1,ROUND(BB140*(1+'Calc base'!P141),2),MAX('Calc base'!K$12,ROUND('Calc base'!K$13*BB140,2))))</f>
        <v>0</v>
      </c>
      <c r="S141">
        <f>IF(BC140&lt;=0,0,IF(ROUND(BC140*(1+'Calc base'!Q141),2)-MAX('Calc base'!L$12,ROUND('Calc base'!L$13*BC140,2))&lt;1,ROUND(BC140*(1+'Calc base'!Q141),2),MAX('Calc base'!L$12,ROUND('Calc base'!L$13*BC140,2))))</f>
        <v>0</v>
      </c>
      <c r="T141">
        <f>IF(BD140&lt;=0,0,IF(ROUND(BD140*(1+'Calc base'!R141),2)-MAX('Calc base'!M$12,ROUND('Calc base'!M$13*BD140,2))&lt;1,ROUND(BD140*(1+'Calc base'!R141),2),MAX('Calc base'!M$12,ROUND('Calc base'!M$13*BD140,2))))</f>
        <v>0</v>
      </c>
      <c r="U141">
        <f>IF(BE140&lt;=0,0,IF(ROUND(BE140*(1+'Calc base'!S141),2)-MAX('Calc base'!N$12,ROUND('Calc base'!N$13*BE140,2))&lt;1,ROUND(BE140*(1+'Calc base'!S141),2),MAX('Calc base'!N$12,ROUND('Calc base'!N$13*BE140,2))))</f>
        <v>0</v>
      </c>
      <c r="V141">
        <f>MAX(0,ROUND(AT140*(1+'Calc base'!H141),2)-J141-'Calc base'!T141)</f>
        <v>0</v>
      </c>
      <c r="W141">
        <f>MAX(0,ROUND(AU140*(1+'Calc base'!I141),2)-K141-'Calc base'!U141)</f>
        <v>0</v>
      </c>
      <c r="X141">
        <f>MAX(0,ROUND(AV140*(1+'Calc base'!J141),2)-L141-'Calc base'!V141)</f>
        <v>0</v>
      </c>
      <c r="Y141">
        <f>MAX(0,ROUND(AW140*(1+'Calc base'!K141),2)-M141-'Calc base'!W141)</f>
        <v>0</v>
      </c>
      <c r="Z141">
        <f>MAX(0,ROUND(AX140*(1+'Calc base'!L141),2)-N141-'Calc base'!X141)</f>
        <v>0</v>
      </c>
      <c r="AA141">
        <f>MAX(0,ROUND(AY140*(1+'Calc base'!M141),2)-O141-'Calc base'!Y141)</f>
        <v>0</v>
      </c>
      <c r="AB141">
        <f>MAX(0,ROUND(AZ140*(1+'Calc base'!N141),2)-P141-'Calc base'!Z141)</f>
        <v>0</v>
      </c>
      <c r="AC141">
        <f>MAX(0,ROUND(BA140*(1+'Calc base'!O141),2)-Q141-'Calc base'!AA141)</f>
        <v>0</v>
      </c>
      <c r="AD141">
        <f>MAX(0,ROUND(BB140*(1+'Calc base'!P141),2)-R141-'Calc base'!AB141)</f>
        <v>0</v>
      </c>
      <c r="AE141">
        <f>MAX(0,ROUND(BC140*(1+'Calc base'!Q141),2)-S141-'Calc base'!AC141)</f>
        <v>0</v>
      </c>
      <c r="AF141">
        <f>MAX(0,ROUND(BD140*(1+'Calc base'!R141),2)-T141-'Calc base'!AD141)</f>
        <v>0</v>
      </c>
      <c r="AG141">
        <f>MAX(0,ROUND(BE140*(1+'Calc base'!S141),2)-U141-'Calc base'!AE141)</f>
        <v>0</v>
      </c>
      <c r="AH141">
        <f>IF('Calc base'!C$14=0,0,MIN(V141,MAX(0,$E141-SUMIFS($V141:$AG141,'Calc base'!$C$19:$N$19,"&lt;"&amp;'Calc base'!C$19,'Calc base'!$C$14:$N$14,1))))</f>
        <v>0</v>
      </c>
      <c r="AI141">
        <f>IF('Calc base'!D$14=0,0,MIN(W141,MAX(0,$E141-SUMIFS($V141:$AG141,'Calc base'!$C$19:$N$19,"&lt;"&amp;'Calc base'!D$19,'Calc base'!$C$14:$N$14,1))))</f>
        <v>0</v>
      </c>
      <c r="AJ141">
        <f>IF('Calc base'!E$14=0,0,MIN(X141,MAX(0,$E141-SUMIFS($V141:$AG141,'Calc base'!$C$19:$N$19,"&lt;"&amp;'Calc base'!E$19,'Calc base'!$C$14:$N$14,1))))</f>
        <v>0</v>
      </c>
      <c r="AK141">
        <f>IF('Calc base'!F$14=0,0,MIN(Y141,MAX(0,$E141-SUMIFS($V141:$AG141,'Calc base'!$C$19:$N$19,"&lt;"&amp;'Calc base'!F$19,'Calc base'!$C$14:$N$14,1))))</f>
        <v>0</v>
      </c>
      <c r="AL141">
        <f>IF('Calc base'!G$14=0,0,MIN(Z141,MAX(0,$E141-SUMIFS($V141:$AG141,'Calc base'!$C$19:$N$19,"&lt;"&amp;'Calc base'!G$19,'Calc base'!$C$14:$N$14,1))))</f>
        <v>0</v>
      </c>
      <c r="AM141">
        <f>IF('Calc base'!H$14=0,0,MIN(AA141,MAX(0,$E141-SUMIFS($V141:$AG141,'Calc base'!$C$19:$N$19,"&lt;"&amp;'Calc base'!H$19,'Calc base'!$C$14:$N$14,1))))</f>
        <v>0</v>
      </c>
      <c r="AN141">
        <f>IF('Calc base'!I$14=0,0,MIN(AB141,MAX(0,$E141-SUMIFS($V141:$AG141,'Calc base'!$C$19:$N$19,"&lt;"&amp;'Calc base'!I$19,'Calc base'!$C$14:$N$14,1))))</f>
        <v>0</v>
      </c>
      <c r="AO141">
        <f>IF('Calc base'!J$14=0,0,MIN(AC141,MAX(0,$E141-SUMIFS($V141:$AG141,'Calc base'!$C$19:$N$19,"&lt;"&amp;'Calc base'!J$19,'Calc base'!$C$14:$N$14,1))))</f>
        <v>0</v>
      </c>
      <c r="AP141">
        <f>IF('Calc base'!K$14=0,0,MIN(AD141,MAX(0,$E141-SUMIFS($V141:$AG141,'Calc base'!$C$19:$N$19,"&lt;"&amp;'Calc base'!K$19,'Calc base'!$C$14:$N$14,1))))</f>
        <v>0</v>
      </c>
      <c r="AQ141">
        <f>IF('Calc base'!L$14=0,0,MIN(AE141,MAX(0,$E141-SUMIFS($V141:$AG141,'Calc base'!$C$19:$N$19,"&lt;"&amp;'Calc base'!L$19,'Calc base'!$C$14:$N$14,1))))</f>
        <v>0</v>
      </c>
      <c r="AR141">
        <f>IF('Calc base'!M$14=0,0,MIN(AF141,MAX(0,$E141-SUMIFS($V141:$AG141,'Calc base'!$C$19:$N$19,"&lt;"&amp;'Calc base'!M$19,'Calc base'!$C$14:$N$14,1))))</f>
        <v>0</v>
      </c>
      <c r="AS141">
        <f>IF('Calc base'!N$14=0,0,MIN(AG141,MAX(0,$E141-SUMIFS($V141:$AG141,'Calc base'!$C$19:$N$19,"&lt;"&amp;'Calc base'!N$19,'Calc base'!$C$14:$N$14,1))))</f>
        <v>0</v>
      </c>
      <c r="AT141">
        <f>V141-AH141</f>
        <v>0</v>
      </c>
      <c r="AU141">
        <f>W141-AI141</f>
        <v>0</v>
      </c>
      <c r="AV141">
        <f>X141-AJ141</f>
        <v>0</v>
      </c>
      <c r="AW141">
        <f>Y141-AK141</f>
        <v>0</v>
      </c>
      <c r="AX141">
        <f>Z141-AL141</f>
        <v>0</v>
      </c>
      <c r="AY141">
        <f>AA141-AM141</f>
        <v>0</v>
      </c>
      <c r="AZ141">
        <f>AB141-AN141</f>
        <v>0</v>
      </c>
      <c r="BA141">
        <f>AC141-AO141</f>
        <v>0</v>
      </c>
      <c r="BB141">
        <f>AD141-AP141</f>
        <v>0</v>
      </c>
      <c r="BC141">
        <f>AE141-AQ141</f>
        <v>0</v>
      </c>
      <c r="BD141">
        <f>AF141-AR141</f>
        <v>0</v>
      </c>
      <c r="BE141">
        <f>AG141-AS141</f>
        <v>0</v>
      </c>
    </row>
    <row r="142">
      <c r="A142" t="n">
        <v>112</v>
      </c>
      <c r="B142">
        <f>SUMPRODUCT(ROUND($AT141:$BE141*(1+'Calc base'!$H142:$S142),2))</f>
        <v>0</v>
      </c>
      <c r="C142">
        <f>SUM(J142:U142)</f>
        <v>0</v>
      </c>
      <c r="D142">
        <f>SUM(V142:AG142)</f>
        <v>0</v>
      </c>
      <c r="E142">
        <f>MAX(0,IF(Impostazioni!$B$7="No",'Calc base'!$C142-$C$31,'Calc base'!$C142-C142)+'Calc base'!$G142+'Calc base'!$F142-(B142-C142-D142))</f>
        <v>900</v>
      </c>
      <c r="F142">
        <f>SUM(AH142:AS142)</f>
        <v>0</v>
      </c>
      <c r="G142">
        <f>SUM(AT142:BE142)</f>
        <v>0</v>
      </c>
      <c r="H142">
        <f>B142-G141</f>
        <v>0</v>
      </c>
      <c r="I142">
        <f>B142-G142</f>
        <v>0</v>
      </c>
      <c r="J142">
        <f>IF(AT141&lt;=0,0,IF(ROUND(AT141*(1+'Calc base'!H142),2)-MAX('Calc base'!C$12,ROUND('Calc base'!C$13*AT141,2))&lt;1,ROUND(AT141*(1+'Calc base'!H142),2),MAX('Calc base'!C$12,ROUND('Calc base'!C$13*AT141,2))))</f>
        <v>0</v>
      </c>
      <c r="K142">
        <f>IF(AU141&lt;=0,0,IF(ROUND(AU141*(1+'Calc base'!I142),2)-MAX('Calc base'!D$12,ROUND('Calc base'!D$13*AU141,2))&lt;1,ROUND(AU141*(1+'Calc base'!I142),2),MAX('Calc base'!D$12,ROUND('Calc base'!D$13*AU141,2))))</f>
        <v>0</v>
      </c>
      <c r="L142">
        <f>IF(AV141&lt;=0,0,IF(ROUND(AV141*(1+'Calc base'!J142),2)-MAX('Calc base'!E$12,ROUND('Calc base'!E$13*AV141,2))&lt;1,ROUND(AV141*(1+'Calc base'!J142),2),MAX('Calc base'!E$12,ROUND('Calc base'!E$13*AV141,2))))</f>
        <v>0</v>
      </c>
      <c r="M142">
        <f>IF(AW141&lt;=0,0,IF(ROUND(AW141*(1+'Calc base'!K142),2)-MAX('Calc base'!F$12,ROUND('Calc base'!F$13*AW141,2))&lt;1,ROUND(AW141*(1+'Calc base'!K142),2),MAX('Calc base'!F$12,ROUND('Calc base'!F$13*AW141,2))))</f>
        <v>0</v>
      </c>
      <c r="N142">
        <f>IF(AX141&lt;=0,0,IF(ROUND(AX141*(1+'Calc base'!L142),2)-MAX('Calc base'!G$12,ROUND('Calc base'!G$13*AX141,2))&lt;1,ROUND(AX141*(1+'Calc base'!L142),2),MAX('Calc base'!G$12,ROUND('Calc base'!G$13*AX141,2))))</f>
        <v>0</v>
      </c>
      <c r="O142">
        <f>IF(AY141&lt;=0,0,IF(ROUND(AY141*(1+'Calc base'!M142),2)-MAX('Calc base'!H$12,ROUND('Calc base'!H$13*AY141,2))&lt;1,ROUND(AY141*(1+'Calc base'!M142),2),MAX('Calc base'!H$12,ROUND('Calc base'!H$13*AY141,2))))</f>
        <v>0</v>
      </c>
      <c r="P142">
        <f>IF(AZ141&lt;=0,0,IF(ROUND(AZ141*(1+'Calc base'!N142),2)-MAX('Calc base'!I$12,ROUND('Calc base'!I$13*AZ141,2))&lt;1,ROUND(AZ141*(1+'Calc base'!N142),2),MAX('Calc base'!I$12,ROUND('Calc base'!I$13*AZ141,2))))</f>
        <v>0</v>
      </c>
      <c r="Q142">
        <f>IF(BA141&lt;=0,0,IF(ROUND(BA141*(1+'Calc base'!O142),2)-MAX('Calc base'!J$12,ROUND('Calc base'!J$13*BA141,2))&lt;1,ROUND(BA141*(1+'Calc base'!O142),2),MAX('Calc base'!J$12,ROUND('Calc base'!J$13*BA141,2))))</f>
        <v>0</v>
      </c>
      <c r="R142">
        <f>IF(BB141&lt;=0,0,IF(ROUND(BB141*(1+'Calc base'!P142),2)-MAX('Calc base'!K$12,ROUND('Calc base'!K$13*BB141,2))&lt;1,ROUND(BB141*(1+'Calc base'!P142),2),MAX('Calc base'!K$12,ROUND('Calc base'!K$13*BB141,2))))</f>
        <v>0</v>
      </c>
      <c r="S142">
        <f>IF(BC141&lt;=0,0,IF(ROUND(BC141*(1+'Calc base'!Q142),2)-MAX('Calc base'!L$12,ROUND('Calc base'!L$13*BC141,2))&lt;1,ROUND(BC141*(1+'Calc base'!Q142),2),MAX('Calc base'!L$12,ROUND('Calc base'!L$13*BC141,2))))</f>
        <v>0</v>
      </c>
      <c r="T142">
        <f>IF(BD141&lt;=0,0,IF(ROUND(BD141*(1+'Calc base'!R142),2)-MAX('Calc base'!M$12,ROUND('Calc base'!M$13*BD141,2))&lt;1,ROUND(BD141*(1+'Calc base'!R142),2),MAX('Calc base'!M$12,ROUND('Calc base'!M$13*BD141,2))))</f>
        <v>0</v>
      </c>
      <c r="U142">
        <f>IF(BE141&lt;=0,0,IF(ROUND(BE141*(1+'Calc base'!S142),2)-MAX('Calc base'!N$12,ROUND('Calc base'!N$13*BE141,2))&lt;1,ROUND(BE141*(1+'Calc base'!S142),2),MAX('Calc base'!N$12,ROUND('Calc base'!N$13*BE141,2))))</f>
        <v>0</v>
      </c>
      <c r="V142">
        <f>MAX(0,ROUND(AT141*(1+'Calc base'!H142),2)-J142-'Calc base'!T142)</f>
        <v>0</v>
      </c>
      <c r="W142">
        <f>MAX(0,ROUND(AU141*(1+'Calc base'!I142),2)-K142-'Calc base'!U142)</f>
        <v>0</v>
      </c>
      <c r="X142">
        <f>MAX(0,ROUND(AV141*(1+'Calc base'!J142),2)-L142-'Calc base'!V142)</f>
        <v>0</v>
      </c>
      <c r="Y142">
        <f>MAX(0,ROUND(AW141*(1+'Calc base'!K142),2)-M142-'Calc base'!W142)</f>
        <v>0</v>
      </c>
      <c r="Z142">
        <f>MAX(0,ROUND(AX141*(1+'Calc base'!L142),2)-N142-'Calc base'!X142)</f>
        <v>0</v>
      </c>
      <c r="AA142">
        <f>MAX(0,ROUND(AY141*(1+'Calc base'!M142),2)-O142-'Calc base'!Y142)</f>
        <v>0</v>
      </c>
      <c r="AB142">
        <f>MAX(0,ROUND(AZ141*(1+'Calc base'!N142),2)-P142-'Calc base'!Z142)</f>
        <v>0</v>
      </c>
      <c r="AC142">
        <f>MAX(0,ROUND(BA141*(1+'Calc base'!O142),2)-Q142-'Calc base'!AA142)</f>
        <v>0</v>
      </c>
      <c r="AD142">
        <f>MAX(0,ROUND(BB141*(1+'Calc base'!P142),2)-R142-'Calc base'!AB142)</f>
        <v>0</v>
      </c>
      <c r="AE142">
        <f>MAX(0,ROUND(BC141*(1+'Calc base'!Q142),2)-S142-'Calc base'!AC142)</f>
        <v>0</v>
      </c>
      <c r="AF142">
        <f>MAX(0,ROUND(BD141*(1+'Calc base'!R142),2)-T142-'Calc base'!AD142)</f>
        <v>0</v>
      </c>
      <c r="AG142">
        <f>MAX(0,ROUND(BE141*(1+'Calc base'!S142),2)-U142-'Calc base'!AE142)</f>
        <v>0</v>
      </c>
      <c r="AH142">
        <f>IF('Calc base'!C$14=0,0,MIN(V142,MAX(0,$E142-SUMIFS($V142:$AG142,'Calc base'!$C$19:$N$19,"&lt;"&amp;'Calc base'!C$19,'Calc base'!$C$14:$N$14,1))))</f>
        <v>0</v>
      </c>
      <c r="AI142">
        <f>IF('Calc base'!D$14=0,0,MIN(W142,MAX(0,$E142-SUMIFS($V142:$AG142,'Calc base'!$C$19:$N$19,"&lt;"&amp;'Calc base'!D$19,'Calc base'!$C$14:$N$14,1))))</f>
        <v>0</v>
      </c>
      <c r="AJ142">
        <f>IF('Calc base'!E$14=0,0,MIN(X142,MAX(0,$E142-SUMIFS($V142:$AG142,'Calc base'!$C$19:$N$19,"&lt;"&amp;'Calc base'!E$19,'Calc base'!$C$14:$N$14,1))))</f>
        <v>0</v>
      </c>
      <c r="AK142">
        <f>IF('Calc base'!F$14=0,0,MIN(Y142,MAX(0,$E142-SUMIFS($V142:$AG142,'Calc base'!$C$19:$N$19,"&lt;"&amp;'Calc base'!F$19,'Calc base'!$C$14:$N$14,1))))</f>
        <v>0</v>
      </c>
      <c r="AL142">
        <f>IF('Calc base'!G$14=0,0,MIN(Z142,MAX(0,$E142-SUMIFS($V142:$AG142,'Calc base'!$C$19:$N$19,"&lt;"&amp;'Calc base'!G$19,'Calc base'!$C$14:$N$14,1))))</f>
        <v>0</v>
      </c>
      <c r="AM142">
        <f>IF('Calc base'!H$14=0,0,MIN(AA142,MAX(0,$E142-SUMIFS($V142:$AG142,'Calc base'!$C$19:$N$19,"&lt;"&amp;'Calc base'!H$19,'Calc base'!$C$14:$N$14,1))))</f>
        <v>0</v>
      </c>
      <c r="AN142">
        <f>IF('Calc base'!I$14=0,0,MIN(AB142,MAX(0,$E142-SUMIFS($V142:$AG142,'Calc base'!$C$19:$N$19,"&lt;"&amp;'Calc base'!I$19,'Calc base'!$C$14:$N$14,1))))</f>
        <v>0</v>
      </c>
      <c r="AO142">
        <f>IF('Calc base'!J$14=0,0,MIN(AC142,MAX(0,$E142-SUMIFS($V142:$AG142,'Calc base'!$C$19:$N$19,"&lt;"&amp;'Calc base'!J$19,'Calc base'!$C$14:$N$14,1))))</f>
        <v>0</v>
      </c>
      <c r="AP142">
        <f>IF('Calc base'!K$14=0,0,MIN(AD142,MAX(0,$E142-SUMIFS($V142:$AG142,'Calc base'!$C$19:$N$19,"&lt;"&amp;'Calc base'!K$19,'Calc base'!$C$14:$N$14,1))))</f>
        <v>0</v>
      </c>
      <c r="AQ142">
        <f>IF('Calc base'!L$14=0,0,MIN(AE142,MAX(0,$E142-SUMIFS($V142:$AG142,'Calc base'!$C$19:$N$19,"&lt;"&amp;'Calc base'!L$19,'Calc base'!$C$14:$N$14,1))))</f>
        <v>0</v>
      </c>
      <c r="AR142">
        <f>IF('Calc base'!M$14=0,0,MIN(AF142,MAX(0,$E142-SUMIFS($V142:$AG142,'Calc base'!$C$19:$N$19,"&lt;"&amp;'Calc base'!M$19,'Calc base'!$C$14:$N$14,1))))</f>
        <v>0</v>
      </c>
      <c r="AS142">
        <f>IF('Calc base'!N$14=0,0,MIN(AG142,MAX(0,$E142-SUMIFS($V142:$AG142,'Calc base'!$C$19:$N$19,"&lt;"&amp;'Calc base'!N$19,'Calc base'!$C$14:$N$14,1))))</f>
        <v>0</v>
      </c>
      <c r="AT142">
        <f>V142-AH142</f>
        <v>0</v>
      </c>
      <c r="AU142">
        <f>W142-AI142</f>
        <v>0</v>
      </c>
      <c r="AV142">
        <f>X142-AJ142</f>
        <v>0</v>
      </c>
      <c r="AW142">
        <f>Y142-AK142</f>
        <v>0</v>
      </c>
      <c r="AX142">
        <f>Z142-AL142</f>
        <v>0</v>
      </c>
      <c r="AY142">
        <f>AA142-AM142</f>
        <v>0</v>
      </c>
      <c r="AZ142">
        <f>AB142-AN142</f>
        <v>0</v>
      </c>
      <c r="BA142">
        <f>AC142-AO142</f>
        <v>0</v>
      </c>
      <c r="BB142">
        <f>AD142-AP142</f>
        <v>0</v>
      </c>
      <c r="BC142">
        <f>AE142-AQ142</f>
        <v>0</v>
      </c>
      <c r="BD142">
        <f>AF142-AR142</f>
        <v>0</v>
      </c>
      <c r="BE142">
        <f>AG142-AS142</f>
        <v>0</v>
      </c>
    </row>
    <row r="143">
      <c r="A143" t="n">
        <v>113</v>
      </c>
      <c r="B143">
        <f>SUMPRODUCT(ROUND($AT142:$BE142*(1+'Calc base'!$H143:$S143),2))</f>
        <v>0</v>
      </c>
      <c r="C143">
        <f>SUM(J143:U143)</f>
        <v>0</v>
      </c>
      <c r="D143">
        <f>SUM(V143:AG143)</f>
        <v>0</v>
      </c>
      <c r="E143">
        <f>MAX(0,IF(Impostazioni!$B$7="No",'Calc base'!$C143-$C$31,'Calc base'!$C143-C143)+'Calc base'!$G143+'Calc base'!$F143-(B143-C143-D143))</f>
        <v>900</v>
      </c>
      <c r="F143">
        <f>SUM(AH143:AS143)</f>
        <v>0</v>
      </c>
      <c r="G143">
        <f>SUM(AT143:BE143)</f>
        <v>0</v>
      </c>
      <c r="H143">
        <f>B143-G142</f>
        <v>0</v>
      </c>
      <c r="I143">
        <f>B143-G143</f>
        <v>0</v>
      </c>
      <c r="J143">
        <f>IF(AT142&lt;=0,0,IF(ROUND(AT142*(1+'Calc base'!H143),2)-MAX('Calc base'!C$12,ROUND('Calc base'!C$13*AT142,2))&lt;1,ROUND(AT142*(1+'Calc base'!H143),2),MAX('Calc base'!C$12,ROUND('Calc base'!C$13*AT142,2))))</f>
        <v>0</v>
      </c>
      <c r="K143">
        <f>IF(AU142&lt;=0,0,IF(ROUND(AU142*(1+'Calc base'!I143),2)-MAX('Calc base'!D$12,ROUND('Calc base'!D$13*AU142,2))&lt;1,ROUND(AU142*(1+'Calc base'!I143),2),MAX('Calc base'!D$12,ROUND('Calc base'!D$13*AU142,2))))</f>
        <v>0</v>
      </c>
      <c r="L143">
        <f>IF(AV142&lt;=0,0,IF(ROUND(AV142*(1+'Calc base'!J143),2)-MAX('Calc base'!E$12,ROUND('Calc base'!E$13*AV142,2))&lt;1,ROUND(AV142*(1+'Calc base'!J143),2),MAX('Calc base'!E$12,ROUND('Calc base'!E$13*AV142,2))))</f>
        <v>0</v>
      </c>
      <c r="M143">
        <f>IF(AW142&lt;=0,0,IF(ROUND(AW142*(1+'Calc base'!K143),2)-MAX('Calc base'!F$12,ROUND('Calc base'!F$13*AW142,2))&lt;1,ROUND(AW142*(1+'Calc base'!K143),2),MAX('Calc base'!F$12,ROUND('Calc base'!F$13*AW142,2))))</f>
        <v>0</v>
      </c>
      <c r="N143">
        <f>IF(AX142&lt;=0,0,IF(ROUND(AX142*(1+'Calc base'!L143),2)-MAX('Calc base'!G$12,ROUND('Calc base'!G$13*AX142,2))&lt;1,ROUND(AX142*(1+'Calc base'!L143),2),MAX('Calc base'!G$12,ROUND('Calc base'!G$13*AX142,2))))</f>
        <v>0</v>
      </c>
      <c r="O143">
        <f>IF(AY142&lt;=0,0,IF(ROUND(AY142*(1+'Calc base'!M143),2)-MAX('Calc base'!H$12,ROUND('Calc base'!H$13*AY142,2))&lt;1,ROUND(AY142*(1+'Calc base'!M143),2),MAX('Calc base'!H$12,ROUND('Calc base'!H$13*AY142,2))))</f>
        <v>0</v>
      </c>
      <c r="P143">
        <f>IF(AZ142&lt;=0,0,IF(ROUND(AZ142*(1+'Calc base'!N143),2)-MAX('Calc base'!I$12,ROUND('Calc base'!I$13*AZ142,2))&lt;1,ROUND(AZ142*(1+'Calc base'!N143),2),MAX('Calc base'!I$12,ROUND('Calc base'!I$13*AZ142,2))))</f>
        <v>0</v>
      </c>
      <c r="Q143">
        <f>IF(BA142&lt;=0,0,IF(ROUND(BA142*(1+'Calc base'!O143),2)-MAX('Calc base'!J$12,ROUND('Calc base'!J$13*BA142,2))&lt;1,ROUND(BA142*(1+'Calc base'!O143),2),MAX('Calc base'!J$12,ROUND('Calc base'!J$13*BA142,2))))</f>
        <v>0</v>
      </c>
      <c r="R143">
        <f>IF(BB142&lt;=0,0,IF(ROUND(BB142*(1+'Calc base'!P143),2)-MAX('Calc base'!K$12,ROUND('Calc base'!K$13*BB142,2))&lt;1,ROUND(BB142*(1+'Calc base'!P143),2),MAX('Calc base'!K$12,ROUND('Calc base'!K$13*BB142,2))))</f>
        <v>0</v>
      </c>
      <c r="S143">
        <f>IF(BC142&lt;=0,0,IF(ROUND(BC142*(1+'Calc base'!Q143),2)-MAX('Calc base'!L$12,ROUND('Calc base'!L$13*BC142,2))&lt;1,ROUND(BC142*(1+'Calc base'!Q143),2),MAX('Calc base'!L$12,ROUND('Calc base'!L$13*BC142,2))))</f>
        <v>0</v>
      </c>
      <c r="T143">
        <f>IF(BD142&lt;=0,0,IF(ROUND(BD142*(1+'Calc base'!R143),2)-MAX('Calc base'!M$12,ROUND('Calc base'!M$13*BD142,2))&lt;1,ROUND(BD142*(1+'Calc base'!R143),2),MAX('Calc base'!M$12,ROUND('Calc base'!M$13*BD142,2))))</f>
        <v>0</v>
      </c>
      <c r="U143">
        <f>IF(BE142&lt;=0,0,IF(ROUND(BE142*(1+'Calc base'!S143),2)-MAX('Calc base'!N$12,ROUND('Calc base'!N$13*BE142,2))&lt;1,ROUND(BE142*(1+'Calc base'!S143),2),MAX('Calc base'!N$12,ROUND('Calc base'!N$13*BE142,2))))</f>
        <v>0</v>
      </c>
      <c r="V143">
        <f>MAX(0,ROUND(AT142*(1+'Calc base'!H143),2)-J143-'Calc base'!T143)</f>
        <v>0</v>
      </c>
      <c r="W143">
        <f>MAX(0,ROUND(AU142*(1+'Calc base'!I143),2)-K143-'Calc base'!U143)</f>
        <v>0</v>
      </c>
      <c r="X143">
        <f>MAX(0,ROUND(AV142*(1+'Calc base'!J143),2)-L143-'Calc base'!V143)</f>
        <v>0</v>
      </c>
      <c r="Y143">
        <f>MAX(0,ROUND(AW142*(1+'Calc base'!K143),2)-M143-'Calc base'!W143)</f>
        <v>0</v>
      </c>
      <c r="Z143">
        <f>MAX(0,ROUND(AX142*(1+'Calc base'!L143),2)-N143-'Calc base'!X143)</f>
        <v>0</v>
      </c>
      <c r="AA143">
        <f>MAX(0,ROUND(AY142*(1+'Calc base'!M143),2)-O143-'Calc base'!Y143)</f>
        <v>0</v>
      </c>
      <c r="AB143">
        <f>MAX(0,ROUND(AZ142*(1+'Calc base'!N143),2)-P143-'Calc base'!Z143)</f>
        <v>0</v>
      </c>
      <c r="AC143">
        <f>MAX(0,ROUND(BA142*(1+'Calc base'!O143),2)-Q143-'Calc base'!AA143)</f>
        <v>0</v>
      </c>
      <c r="AD143">
        <f>MAX(0,ROUND(BB142*(1+'Calc base'!P143),2)-R143-'Calc base'!AB143)</f>
        <v>0</v>
      </c>
      <c r="AE143">
        <f>MAX(0,ROUND(BC142*(1+'Calc base'!Q143),2)-S143-'Calc base'!AC143)</f>
        <v>0</v>
      </c>
      <c r="AF143">
        <f>MAX(0,ROUND(BD142*(1+'Calc base'!R143),2)-T143-'Calc base'!AD143)</f>
        <v>0</v>
      </c>
      <c r="AG143">
        <f>MAX(0,ROUND(BE142*(1+'Calc base'!S143),2)-U143-'Calc base'!AE143)</f>
        <v>0</v>
      </c>
      <c r="AH143">
        <f>IF('Calc base'!C$14=0,0,MIN(V143,MAX(0,$E143-SUMIFS($V143:$AG143,'Calc base'!$C$19:$N$19,"&lt;"&amp;'Calc base'!C$19,'Calc base'!$C$14:$N$14,1))))</f>
        <v>0</v>
      </c>
      <c r="AI143">
        <f>IF('Calc base'!D$14=0,0,MIN(W143,MAX(0,$E143-SUMIFS($V143:$AG143,'Calc base'!$C$19:$N$19,"&lt;"&amp;'Calc base'!D$19,'Calc base'!$C$14:$N$14,1))))</f>
        <v>0</v>
      </c>
      <c r="AJ143">
        <f>IF('Calc base'!E$14=0,0,MIN(X143,MAX(0,$E143-SUMIFS($V143:$AG143,'Calc base'!$C$19:$N$19,"&lt;"&amp;'Calc base'!E$19,'Calc base'!$C$14:$N$14,1))))</f>
        <v>0</v>
      </c>
      <c r="AK143">
        <f>IF('Calc base'!F$14=0,0,MIN(Y143,MAX(0,$E143-SUMIFS($V143:$AG143,'Calc base'!$C$19:$N$19,"&lt;"&amp;'Calc base'!F$19,'Calc base'!$C$14:$N$14,1))))</f>
        <v>0</v>
      </c>
      <c r="AL143">
        <f>IF('Calc base'!G$14=0,0,MIN(Z143,MAX(0,$E143-SUMIFS($V143:$AG143,'Calc base'!$C$19:$N$19,"&lt;"&amp;'Calc base'!G$19,'Calc base'!$C$14:$N$14,1))))</f>
        <v>0</v>
      </c>
      <c r="AM143">
        <f>IF('Calc base'!H$14=0,0,MIN(AA143,MAX(0,$E143-SUMIFS($V143:$AG143,'Calc base'!$C$19:$N$19,"&lt;"&amp;'Calc base'!H$19,'Calc base'!$C$14:$N$14,1))))</f>
        <v>0</v>
      </c>
      <c r="AN143">
        <f>IF('Calc base'!I$14=0,0,MIN(AB143,MAX(0,$E143-SUMIFS($V143:$AG143,'Calc base'!$C$19:$N$19,"&lt;"&amp;'Calc base'!I$19,'Calc base'!$C$14:$N$14,1))))</f>
        <v>0</v>
      </c>
      <c r="AO143">
        <f>IF('Calc base'!J$14=0,0,MIN(AC143,MAX(0,$E143-SUMIFS($V143:$AG143,'Calc base'!$C$19:$N$19,"&lt;"&amp;'Calc base'!J$19,'Calc base'!$C$14:$N$14,1))))</f>
        <v>0</v>
      </c>
      <c r="AP143">
        <f>IF('Calc base'!K$14=0,0,MIN(AD143,MAX(0,$E143-SUMIFS($V143:$AG143,'Calc base'!$C$19:$N$19,"&lt;"&amp;'Calc base'!K$19,'Calc base'!$C$14:$N$14,1))))</f>
        <v>0</v>
      </c>
      <c r="AQ143">
        <f>IF('Calc base'!L$14=0,0,MIN(AE143,MAX(0,$E143-SUMIFS($V143:$AG143,'Calc base'!$C$19:$N$19,"&lt;"&amp;'Calc base'!L$19,'Calc base'!$C$14:$N$14,1))))</f>
        <v>0</v>
      </c>
      <c r="AR143">
        <f>IF('Calc base'!M$14=0,0,MIN(AF143,MAX(0,$E143-SUMIFS($V143:$AG143,'Calc base'!$C$19:$N$19,"&lt;"&amp;'Calc base'!M$19,'Calc base'!$C$14:$N$14,1))))</f>
        <v>0</v>
      </c>
      <c r="AS143">
        <f>IF('Calc base'!N$14=0,0,MIN(AG143,MAX(0,$E143-SUMIFS($V143:$AG143,'Calc base'!$C$19:$N$19,"&lt;"&amp;'Calc base'!N$19,'Calc base'!$C$14:$N$14,1))))</f>
        <v>0</v>
      </c>
      <c r="AT143">
        <f>V143-AH143</f>
        <v>0</v>
      </c>
      <c r="AU143">
        <f>W143-AI143</f>
        <v>0</v>
      </c>
      <c r="AV143">
        <f>X143-AJ143</f>
        <v>0</v>
      </c>
      <c r="AW143">
        <f>Y143-AK143</f>
        <v>0</v>
      </c>
      <c r="AX143">
        <f>Z143-AL143</f>
        <v>0</v>
      </c>
      <c r="AY143">
        <f>AA143-AM143</f>
        <v>0</v>
      </c>
      <c r="AZ143">
        <f>AB143-AN143</f>
        <v>0</v>
      </c>
      <c r="BA143">
        <f>AC143-AO143</f>
        <v>0</v>
      </c>
      <c r="BB143">
        <f>AD143-AP143</f>
        <v>0</v>
      </c>
      <c r="BC143">
        <f>AE143-AQ143</f>
        <v>0</v>
      </c>
      <c r="BD143">
        <f>AF143-AR143</f>
        <v>0</v>
      </c>
      <c r="BE143">
        <f>AG143-AS143</f>
        <v>0</v>
      </c>
    </row>
    <row r="144">
      <c r="A144" t="n">
        <v>114</v>
      </c>
      <c r="B144">
        <f>SUMPRODUCT(ROUND($AT143:$BE143*(1+'Calc base'!$H144:$S144),2))</f>
        <v>0</v>
      </c>
      <c r="C144">
        <f>SUM(J144:U144)</f>
        <v>0</v>
      </c>
      <c r="D144">
        <f>SUM(V144:AG144)</f>
        <v>0</v>
      </c>
      <c r="E144">
        <f>MAX(0,IF(Impostazioni!$B$7="No",'Calc base'!$C144-$C$31,'Calc base'!$C144-C144)+'Calc base'!$G144+'Calc base'!$F144-(B144-C144-D144))</f>
        <v>900</v>
      </c>
      <c r="F144">
        <f>SUM(AH144:AS144)</f>
        <v>0</v>
      </c>
      <c r="G144">
        <f>SUM(AT144:BE144)</f>
        <v>0</v>
      </c>
      <c r="H144">
        <f>B144-G143</f>
        <v>0</v>
      </c>
      <c r="I144">
        <f>B144-G144</f>
        <v>0</v>
      </c>
      <c r="J144">
        <f>IF(AT143&lt;=0,0,IF(ROUND(AT143*(1+'Calc base'!H144),2)-MAX('Calc base'!C$12,ROUND('Calc base'!C$13*AT143,2))&lt;1,ROUND(AT143*(1+'Calc base'!H144),2),MAX('Calc base'!C$12,ROUND('Calc base'!C$13*AT143,2))))</f>
        <v>0</v>
      </c>
      <c r="K144">
        <f>IF(AU143&lt;=0,0,IF(ROUND(AU143*(1+'Calc base'!I144),2)-MAX('Calc base'!D$12,ROUND('Calc base'!D$13*AU143,2))&lt;1,ROUND(AU143*(1+'Calc base'!I144),2),MAX('Calc base'!D$12,ROUND('Calc base'!D$13*AU143,2))))</f>
        <v>0</v>
      </c>
      <c r="L144">
        <f>IF(AV143&lt;=0,0,IF(ROUND(AV143*(1+'Calc base'!J144),2)-MAX('Calc base'!E$12,ROUND('Calc base'!E$13*AV143,2))&lt;1,ROUND(AV143*(1+'Calc base'!J144),2),MAX('Calc base'!E$12,ROUND('Calc base'!E$13*AV143,2))))</f>
        <v>0</v>
      </c>
      <c r="M144">
        <f>IF(AW143&lt;=0,0,IF(ROUND(AW143*(1+'Calc base'!K144),2)-MAX('Calc base'!F$12,ROUND('Calc base'!F$13*AW143,2))&lt;1,ROUND(AW143*(1+'Calc base'!K144),2),MAX('Calc base'!F$12,ROUND('Calc base'!F$13*AW143,2))))</f>
        <v>0</v>
      </c>
      <c r="N144">
        <f>IF(AX143&lt;=0,0,IF(ROUND(AX143*(1+'Calc base'!L144),2)-MAX('Calc base'!G$12,ROUND('Calc base'!G$13*AX143,2))&lt;1,ROUND(AX143*(1+'Calc base'!L144),2),MAX('Calc base'!G$12,ROUND('Calc base'!G$13*AX143,2))))</f>
        <v>0</v>
      </c>
      <c r="O144">
        <f>IF(AY143&lt;=0,0,IF(ROUND(AY143*(1+'Calc base'!M144),2)-MAX('Calc base'!H$12,ROUND('Calc base'!H$13*AY143,2))&lt;1,ROUND(AY143*(1+'Calc base'!M144),2),MAX('Calc base'!H$12,ROUND('Calc base'!H$13*AY143,2))))</f>
        <v>0</v>
      </c>
      <c r="P144">
        <f>IF(AZ143&lt;=0,0,IF(ROUND(AZ143*(1+'Calc base'!N144),2)-MAX('Calc base'!I$12,ROUND('Calc base'!I$13*AZ143,2))&lt;1,ROUND(AZ143*(1+'Calc base'!N144),2),MAX('Calc base'!I$12,ROUND('Calc base'!I$13*AZ143,2))))</f>
        <v>0</v>
      </c>
      <c r="Q144">
        <f>IF(BA143&lt;=0,0,IF(ROUND(BA143*(1+'Calc base'!O144),2)-MAX('Calc base'!J$12,ROUND('Calc base'!J$13*BA143,2))&lt;1,ROUND(BA143*(1+'Calc base'!O144),2),MAX('Calc base'!J$12,ROUND('Calc base'!J$13*BA143,2))))</f>
        <v>0</v>
      </c>
      <c r="R144">
        <f>IF(BB143&lt;=0,0,IF(ROUND(BB143*(1+'Calc base'!P144),2)-MAX('Calc base'!K$12,ROUND('Calc base'!K$13*BB143,2))&lt;1,ROUND(BB143*(1+'Calc base'!P144),2),MAX('Calc base'!K$12,ROUND('Calc base'!K$13*BB143,2))))</f>
        <v>0</v>
      </c>
      <c r="S144">
        <f>IF(BC143&lt;=0,0,IF(ROUND(BC143*(1+'Calc base'!Q144),2)-MAX('Calc base'!L$12,ROUND('Calc base'!L$13*BC143,2))&lt;1,ROUND(BC143*(1+'Calc base'!Q144),2),MAX('Calc base'!L$12,ROUND('Calc base'!L$13*BC143,2))))</f>
        <v>0</v>
      </c>
      <c r="T144">
        <f>IF(BD143&lt;=0,0,IF(ROUND(BD143*(1+'Calc base'!R144),2)-MAX('Calc base'!M$12,ROUND('Calc base'!M$13*BD143,2))&lt;1,ROUND(BD143*(1+'Calc base'!R144),2),MAX('Calc base'!M$12,ROUND('Calc base'!M$13*BD143,2))))</f>
        <v>0</v>
      </c>
      <c r="U144">
        <f>IF(BE143&lt;=0,0,IF(ROUND(BE143*(1+'Calc base'!S144),2)-MAX('Calc base'!N$12,ROUND('Calc base'!N$13*BE143,2))&lt;1,ROUND(BE143*(1+'Calc base'!S144),2),MAX('Calc base'!N$12,ROUND('Calc base'!N$13*BE143,2))))</f>
        <v>0</v>
      </c>
      <c r="V144">
        <f>MAX(0,ROUND(AT143*(1+'Calc base'!H144),2)-J144-'Calc base'!T144)</f>
        <v>0</v>
      </c>
      <c r="W144">
        <f>MAX(0,ROUND(AU143*(1+'Calc base'!I144),2)-K144-'Calc base'!U144)</f>
        <v>0</v>
      </c>
      <c r="X144">
        <f>MAX(0,ROUND(AV143*(1+'Calc base'!J144),2)-L144-'Calc base'!V144)</f>
        <v>0</v>
      </c>
      <c r="Y144">
        <f>MAX(0,ROUND(AW143*(1+'Calc base'!K144),2)-M144-'Calc base'!W144)</f>
        <v>0</v>
      </c>
      <c r="Z144">
        <f>MAX(0,ROUND(AX143*(1+'Calc base'!L144),2)-N144-'Calc base'!X144)</f>
        <v>0</v>
      </c>
      <c r="AA144">
        <f>MAX(0,ROUND(AY143*(1+'Calc base'!M144),2)-O144-'Calc base'!Y144)</f>
        <v>0</v>
      </c>
      <c r="AB144">
        <f>MAX(0,ROUND(AZ143*(1+'Calc base'!N144),2)-P144-'Calc base'!Z144)</f>
        <v>0</v>
      </c>
      <c r="AC144">
        <f>MAX(0,ROUND(BA143*(1+'Calc base'!O144),2)-Q144-'Calc base'!AA144)</f>
        <v>0</v>
      </c>
      <c r="AD144">
        <f>MAX(0,ROUND(BB143*(1+'Calc base'!P144),2)-R144-'Calc base'!AB144)</f>
        <v>0</v>
      </c>
      <c r="AE144">
        <f>MAX(0,ROUND(BC143*(1+'Calc base'!Q144),2)-S144-'Calc base'!AC144)</f>
        <v>0</v>
      </c>
      <c r="AF144">
        <f>MAX(0,ROUND(BD143*(1+'Calc base'!R144),2)-T144-'Calc base'!AD144)</f>
        <v>0</v>
      </c>
      <c r="AG144">
        <f>MAX(0,ROUND(BE143*(1+'Calc base'!S144),2)-U144-'Calc base'!AE144)</f>
        <v>0</v>
      </c>
      <c r="AH144">
        <f>IF('Calc base'!C$14=0,0,MIN(V144,MAX(0,$E144-SUMIFS($V144:$AG144,'Calc base'!$C$19:$N$19,"&lt;"&amp;'Calc base'!C$19,'Calc base'!$C$14:$N$14,1))))</f>
        <v>0</v>
      </c>
      <c r="AI144">
        <f>IF('Calc base'!D$14=0,0,MIN(W144,MAX(0,$E144-SUMIFS($V144:$AG144,'Calc base'!$C$19:$N$19,"&lt;"&amp;'Calc base'!D$19,'Calc base'!$C$14:$N$14,1))))</f>
        <v>0</v>
      </c>
      <c r="AJ144">
        <f>IF('Calc base'!E$14=0,0,MIN(X144,MAX(0,$E144-SUMIFS($V144:$AG144,'Calc base'!$C$19:$N$19,"&lt;"&amp;'Calc base'!E$19,'Calc base'!$C$14:$N$14,1))))</f>
        <v>0</v>
      </c>
      <c r="AK144">
        <f>IF('Calc base'!F$14=0,0,MIN(Y144,MAX(0,$E144-SUMIFS($V144:$AG144,'Calc base'!$C$19:$N$19,"&lt;"&amp;'Calc base'!F$19,'Calc base'!$C$14:$N$14,1))))</f>
        <v>0</v>
      </c>
      <c r="AL144">
        <f>IF('Calc base'!G$14=0,0,MIN(Z144,MAX(0,$E144-SUMIFS($V144:$AG144,'Calc base'!$C$19:$N$19,"&lt;"&amp;'Calc base'!G$19,'Calc base'!$C$14:$N$14,1))))</f>
        <v>0</v>
      </c>
      <c r="AM144">
        <f>IF('Calc base'!H$14=0,0,MIN(AA144,MAX(0,$E144-SUMIFS($V144:$AG144,'Calc base'!$C$19:$N$19,"&lt;"&amp;'Calc base'!H$19,'Calc base'!$C$14:$N$14,1))))</f>
        <v>0</v>
      </c>
      <c r="AN144">
        <f>IF('Calc base'!I$14=0,0,MIN(AB144,MAX(0,$E144-SUMIFS($V144:$AG144,'Calc base'!$C$19:$N$19,"&lt;"&amp;'Calc base'!I$19,'Calc base'!$C$14:$N$14,1))))</f>
        <v>0</v>
      </c>
      <c r="AO144">
        <f>IF('Calc base'!J$14=0,0,MIN(AC144,MAX(0,$E144-SUMIFS($V144:$AG144,'Calc base'!$C$19:$N$19,"&lt;"&amp;'Calc base'!J$19,'Calc base'!$C$14:$N$14,1))))</f>
        <v>0</v>
      </c>
      <c r="AP144">
        <f>IF('Calc base'!K$14=0,0,MIN(AD144,MAX(0,$E144-SUMIFS($V144:$AG144,'Calc base'!$C$19:$N$19,"&lt;"&amp;'Calc base'!K$19,'Calc base'!$C$14:$N$14,1))))</f>
        <v>0</v>
      </c>
      <c r="AQ144">
        <f>IF('Calc base'!L$14=0,0,MIN(AE144,MAX(0,$E144-SUMIFS($V144:$AG144,'Calc base'!$C$19:$N$19,"&lt;"&amp;'Calc base'!L$19,'Calc base'!$C$14:$N$14,1))))</f>
        <v>0</v>
      </c>
      <c r="AR144">
        <f>IF('Calc base'!M$14=0,0,MIN(AF144,MAX(0,$E144-SUMIFS($V144:$AG144,'Calc base'!$C$19:$N$19,"&lt;"&amp;'Calc base'!M$19,'Calc base'!$C$14:$N$14,1))))</f>
        <v>0</v>
      </c>
      <c r="AS144">
        <f>IF('Calc base'!N$14=0,0,MIN(AG144,MAX(0,$E144-SUMIFS($V144:$AG144,'Calc base'!$C$19:$N$19,"&lt;"&amp;'Calc base'!N$19,'Calc base'!$C$14:$N$14,1))))</f>
        <v>0</v>
      </c>
      <c r="AT144">
        <f>V144-AH144</f>
        <v>0</v>
      </c>
      <c r="AU144">
        <f>W144-AI144</f>
        <v>0</v>
      </c>
      <c r="AV144">
        <f>X144-AJ144</f>
        <v>0</v>
      </c>
      <c r="AW144">
        <f>Y144-AK144</f>
        <v>0</v>
      </c>
      <c r="AX144">
        <f>Z144-AL144</f>
        <v>0</v>
      </c>
      <c r="AY144">
        <f>AA144-AM144</f>
        <v>0</v>
      </c>
      <c r="AZ144">
        <f>AB144-AN144</f>
        <v>0</v>
      </c>
      <c r="BA144">
        <f>AC144-AO144</f>
        <v>0</v>
      </c>
      <c r="BB144">
        <f>AD144-AP144</f>
        <v>0</v>
      </c>
      <c r="BC144">
        <f>AE144-AQ144</f>
        <v>0</v>
      </c>
      <c r="BD144">
        <f>AF144-AR144</f>
        <v>0</v>
      </c>
      <c r="BE144">
        <f>AG144-AS144</f>
        <v>0</v>
      </c>
    </row>
    <row r="145">
      <c r="A145" t="n">
        <v>115</v>
      </c>
      <c r="B145">
        <f>SUMPRODUCT(ROUND($AT144:$BE144*(1+'Calc base'!$H145:$S145),2))</f>
        <v>0</v>
      </c>
      <c r="C145">
        <f>SUM(J145:U145)</f>
        <v>0</v>
      </c>
      <c r="D145">
        <f>SUM(V145:AG145)</f>
        <v>0</v>
      </c>
      <c r="E145">
        <f>MAX(0,IF(Impostazioni!$B$7="No",'Calc base'!$C145-$C$31,'Calc base'!$C145-C145)+'Calc base'!$G145+'Calc base'!$F145-(B145-C145-D145))</f>
        <v>900</v>
      </c>
      <c r="F145">
        <f>SUM(AH145:AS145)</f>
        <v>0</v>
      </c>
      <c r="G145">
        <f>SUM(AT145:BE145)</f>
        <v>0</v>
      </c>
      <c r="H145">
        <f>B145-G144</f>
        <v>0</v>
      </c>
      <c r="I145">
        <f>B145-G145</f>
        <v>0</v>
      </c>
      <c r="J145">
        <f>IF(AT144&lt;=0,0,IF(ROUND(AT144*(1+'Calc base'!H145),2)-MAX('Calc base'!C$12,ROUND('Calc base'!C$13*AT144,2))&lt;1,ROUND(AT144*(1+'Calc base'!H145),2),MAX('Calc base'!C$12,ROUND('Calc base'!C$13*AT144,2))))</f>
        <v>0</v>
      </c>
      <c r="K145">
        <f>IF(AU144&lt;=0,0,IF(ROUND(AU144*(1+'Calc base'!I145),2)-MAX('Calc base'!D$12,ROUND('Calc base'!D$13*AU144,2))&lt;1,ROUND(AU144*(1+'Calc base'!I145),2),MAX('Calc base'!D$12,ROUND('Calc base'!D$13*AU144,2))))</f>
        <v>0</v>
      </c>
      <c r="L145">
        <f>IF(AV144&lt;=0,0,IF(ROUND(AV144*(1+'Calc base'!J145),2)-MAX('Calc base'!E$12,ROUND('Calc base'!E$13*AV144,2))&lt;1,ROUND(AV144*(1+'Calc base'!J145),2),MAX('Calc base'!E$12,ROUND('Calc base'!E$13*AV144,2))))</f>
        <v>0</v>
      </c>
      <c r="M145">
        <f>IF(AW144&lt;=0,0,IF(ROUND(AW144*(1+'Calc base'!K145),2)-MAX('Calc base'!F$12,ROUND('Calc base'!F$13*AW144,2))&lt;1,ROUND(AW144*(1+'Calc base'!K145),2),MAX('Calc base'!F$12,ROUND('Calc base'!F$13*AW144,2))))</f>
        <v>0</v>
      </c>
      <c r="N145">
        <f>IF(AX144&lt;=0,0,IF(ROUND(AX144*(1+'Calc base'!L145),2)-MAX('Calc base'!G$12,ROUND('Calc base'!G$13*AX144,2))&lt;1,ROUND(AX144*(1+'Calc base'!L145),2),MAX('Calc base'!G$12,ROUND('Calc base'!G$13*AX144,2))))</f>
        <v>0</v>
      </c>
      <c r="O145">
        <f>IF(AY144&lt;=0,0,IF(ROUND(AY144*(1+'Calc base'!M145),2)-MAX('Calc base'!H$12,ROUND('Calc base'!H$13*AY144,2))&lt;1,ROUND(AY144*(1+'Calc base'!M145),2),MAX('Calc base'!H$12,ROUND('Calc base'!H$13*AY144,2))))</f>
        <v>0</v>
      </c>
      <c r="P145">
        <f>IF(AZ144&lt;=0,0,IF(ROUND(AZ144*(1+'Calc base'!N145),2)-MAX('Calc base'!I$12,ROUND('Calc base'!I$13*AZ144,2))&lt;1,ROUND(AZ144*(1+'Calc base'!N145),2),MAX('Calc base'!I$12,ROUND('Calc base'!I$13*AZ144,2))))</f>
        <v>0</v>
      </c>
      <c r="Q145">
        <f>IF(BA144&lt;=0,0,IF(ROUND(BA144*(1+'Calc base'!O145),2)-MAX('Calc base'!J$12,ROUND('Calc base'!J$13*BA144,2))&lt;1,ROUND(BA144*(1+'Calc base'!O145),2),MAX('Calc base'!J$12,ROUND('Calc base'!J$13*BA144,2))))</f>
        <v>0</v>
      </c>
      <c r="R145">
        <f>IF(BB144&lt;=0,0,IF(ROUND(BB144*(1+'Calc base'!P145),2)-MAX('Calc base'!K$12,ROUND('Calc base'!K$13*BB144,2))&lt;1,ROUND(BB144*(1+'Calc base'!P145),2),MAX('Calc base'!K$12,ROUND('Calc base'!K$13*BB144,2))))</f>
        <v>0</v>
      </c>
      <c r="S145">
        <f>IF(BC144&lt;=0,0,IF(ROUND(BC144*(1+'Calc base'!Q145),2)-MAX('Calc base'!L$12,ROUND('Calc base'!L$13*BC144,2))&lt;1,ROUND(BC144*(1+'Calc base'!Q145),2),MAX('Calc base'!L$12,ROUND('Calc base'!L$13*BC144,2))))</f>
        <v>0</v>
      </c>
      <c r="T145">
        <f>IF(BD144&lt;=0,0,IF(ROUND(BD144*(1+'Calc base'!R145),2)-MAX('Calc base'!M$12,ROUND('Calc base'!M$13*BD144,2))&lt;1,ROUND(BD144*(1+'Calc base'!R145),2),MAX('Calc base'!M$12,ROUND('Calc base'!M$13*BD144,2))))</f>
        <v>0</v>
      </c>
      <c r="U145">
        <f>IF(BE144&lt;=0,0,IF(ROUND(BE144*(1+'Calc base'!S145),2)-MAX('Calc base'!N$12,ROUND('Calc base'!N$13*BE144,2))&lt;1,ROUND(BE144*(1+'Calc base'!S145),2),MAX('Calc base'!N$12,ROUND('Calc base'!N$13*BE144,2))))</f>
        <v>0</v>
      </c>
      <c r="V145">
        <f>MAX(0,ROUND(AT144*(1+'Calc base'!H145),2)-J145-'Calc base'!T145)</f>
        <v>0</v>
      </c>
      <c r="W145">
        <f>MAX(0,ROUND(AU144*(1+'Calc base'!I145),2)-K145-'Calc base'!U145)</f>
        <v>0</v>
      </c>
      <c r="X145">
        <f>MAX(0,ROUND(AV144*(1+'Calc base'!J145),2)-L145-'Calc base'!V145)</f>
        <v>0</v>
      </c>
      <c r="Y145">
        <f>MAX(0,ROUND(AW144*(1+'Calc base'!K145),2)-M145-'Calc base'!W145)</f>
        <v>0</v>
      </c>
      <c r="Z145">
        <f>MAX(0,ROUND(AX144*(1+'Calc base'!L145),2)-N145-'Calc base'!X145)</f>
        <v>0</v>
      </c>
      <c r="AA145">
        <f>MAX(0,ROUND(AY144*(1+'Calc base'!M145),2)-O145-'Calc base'!Y145)</f>
        <v>0</v>
      </c>
      <c r="AB145">
        <f>MAX(0,ROUND(AZ144*(1+'Calc base'!N145),2)-P145-'Calc base'!Z145)</f>
        <v>0</v>
      </c>
      <c r="AC145">
        <f>MAX(0,ROUND(BA144*(1+'Calc base'!O145),2)-Q145-'Calc base'!AA145)</f>
        <v>0</v>
      </c>
      <c r="AD145">
        <f>MAX(0,ROUND(BB144*(1+'Calc base'!P145),2)-R145-'Calc base'!AB145)</f>
        <v>0</v>
      </c>
      <c r="AE145">
        <f>MAX(0,ROUND(BC144*(1+'Calc base'!Q145),2)-S145-'Calc base'!AC145)</f>
        <v>0</v>
      </c>
      <c r="AF145">
        <f>MAX(0,ROUND(BD144*(1+'Calc base'!R145),2)-T145-'Calc base'!AD145)</f>
        <v>0</v>
      </c>
      <c r="AG145">
        <f>MAX(0,ROUND(BE144*(1+'Calc base'!S145),2)-U145-'Calc base'!AE145)</f>
        <v>0</v>
      </c>
      <c r="AH145">
        <f>IF('Calc base'!C$14=0,0,MIN(V145,MAX(0,$E145-SUMIFS($V145:$AG145,'Calc base'!$C$19:$N$19,"&lt;"&amp;'Calc base'!C$19,'Calc base'!$C$14:$N$14,1))))</f>
        <v>0</v>
      </c>
      <c r="AI145">
        <f>IF('Calc base'!D$14=0,0,MIN(W145,MAX(0,$E145-SUMIFS($V145:$AG145,'Calc base'!$C$19:$N$19,"&lt;"&amp;'Calc base'!D$19,'Calc base'!$C$14:$N$14,1))))</f>
        <v>0</v>
      </c>
      <c r="AJ145">
        <f>IF('Calc base'!E$14=0,0,MIN(X145,MAX(0,$E145-SUMIFS($V145:$AG145,'Calc base'!$C$19:$N$19,"&lt;"&amp;'Calc base'!E$19,'Calc base'!$C$14:$N$14,1))))</f>
        <v>0</v>
      </c>
      <c r="AK145">
        <f>IF('Calc base'!F$14=0,0,MIN(Y145,MAX(0,$E145-SUMIFS($V145:$AG145,'Calc base'!$C$19:$N$19,"&lt;"&amp;'Calc base'!F$19,'Calc base'!$C$14:$N$14,1))))</f>
        <v>0</v>
      </c>
      <c r="AL145">
        <f>IF('Calc base'!G$14=0,0,MIN(Z145,MAX(0,$E145-SUMIFS($V145:$AG145,'Calc base'!$C$19:$N$19,"&lt;"&amp;'Calc base'!G$19,'Calc base'!$C$14:$N$14,1))))</f>
        <v>0</v>
      </c>
      <c r="AM145">
        <f>IF('Calc base'!H$14=0,0,MIN(AA145,MAX(0,$E145-SUMIFS($V145:$AG145,'Calc base'!$C$19:$N$19,"&lt;"&amp;'Calc base'!H$19,'Calc base'!$C$14:$N$14,1))))</f>
        <v>0</v>
      </c>
      <c r="AN145">
        <f>IF('Calc base'!I$14=0,0,MIN(AB145,MAX(0,$E145-SUMIFS($V145:$AG145,'Calc base'!$C$19:$N$19,"&lt;"&amp;'Calc base'!I$19,'Calc base'!$C$14:$N$14,1))))</f>
        <v>0</v>
      </c>
      <c r="AO145">
        <f>IF('Calc base'!J$14=0,0,MIN(AC145,MAX(0,$E145-SUMIFS($V145:$AG145,'Calc base'!$C$19:$N$19,"&lt;"&amp;'Calc base'!J$19,'Calc base'!$C$14:$N$14,1))))</f>
        <v>0</v>
      </c>
      <c r="AP145">
        <f>IF('Calc base'!K$14=0,0,MIN(AD145,MAX(0,$E145-SUMIFS($V145:$AG145,'Calc base'!$C$19:$N$19,"&lt;"&amp;'Calc base'!K$19,'Calc base'!$C$14:$N$14,1))))</f>
        <v>0</v>
      </c>
      <c r="AQ145">
        <f>IF('Calc base'!L$14=0,0,MIN(AE145,MAX(0,$E145-SUMIFS($V145:$AG145,'Calc base'!$C$19:$N$19,"&lt;"&amp;'Calc base'!L$19,'Calc base'!$C$14:$N$14,1))))</f>
        <v>0</v>
      </c>
      <c r="AR145">
        <f>IF('Calc base'!M$14=0,0,MIN(AF145,MAX(0,$E145-SUMIFS($V145:$AG145,'Calc base'!$C$19:$N$19,"&lt;"&amp;'Calc base'!M$19,'Calc base'!$C$14:$N$14,1))))</f>
        <v>0</v>
      </c>
      <c r="AS145">
        <f>IF('Calc base'!N$14=0,0,MIN(AG145,MAX(0,$E145-SUMIFS($V145:$AG145,'Calc base'!$C$19:$N$19,"&lt;"&amp;'Calc base'!N$19,'Calc base'!$C$14:$N$14,1))))</f>
        <v>0</v>
      </c>
      <c r="AT145">
        <f>V145-AH145</f>
        <v>0</v>
      </c>
      <c r="AU145">
        <f>W145-AI145</f>
        <v>0</v>
      </c>
      <c r="AV145">
        <f>X145-AJ145</f>
        <v>0</v>
      </c>
      <c r="AW145">
        <f>Y145-AK145</f>
        <v>0</v>
      </c>
      <c r="AX145">
        <f>Z145-AL145</f>
        <v>0</v>
      </c>
      <c r="AY145">
        <f>AA145-AM145</f>
        <v>0</v>
      </c>
      <c r="AZ145">
        <f>AB145-AN145</f>
        <v>0</v>
      </c>
      <c r="BA145">
        <f>AC145-AO145</f>
        <v>0</v>
      </c>
      <c r="BB145">
        <f>AD145-AP145</f>
        <v>0</v>
      </c>
      <c r="BC145">
        <f>AE145-AQ145</f>
        <v>0</v>
      </c>
      <c r="BD145">
        <f>AF145-AR145</f>
        <v>0</v>
      </c>
      <c r="BE145">
        <f>AG145-AS145</f>
        <v>0</v>
      </c>
    </row>
    <row r="146">
      <c r="A146" t="n">
        <v>116</v>
      </c>
      <c r="B146">
        <f>SUMPRODUCT(ROUND($AT145:$BE145*(1+'Calc base'!$H146:$S146),2))</f>
        <v>0</v>
      </c>
      <c r="C146">
        <f>SUM(J146:U146)</f>
        <v>0</v>
      </c>
      <c r="D146">
        <f>SUM(V146:AG146)</f>
        <v>0</v>
      </c>
      <c r="E146">
        <f>MAX(0,IF(Impostazioni!$B$7="No",'Calc base'!$C146-$C$31,'Calc base'!$C146-C146)+'Calc base'!$G146+'Calc base'!$F146-(B146-C146-D146))</f>
        <v>900</v>
      </c>
      <c r="F146">
        <f>SUM(AH146:AS146)</f>
        <v>0</v>
      </c>
      <c r="G146">
        <f>SUM(AT146:BE146)</f>
        <v>0</v>
      </c>
      <c r="H146">
        <f>B146-G145</f>
        <v>0</v>
      </c>
      <c r="I146">
        <f>B146-G146</f>
        <v>0</v>
      </c>
      <c r="J146">
        <f>IF(AT145&lt;=0,0,IF(ROUND(AT145*(1+'Calc base'!H146),2)-MAX('Calc base'!C$12,ROUND('Calc base'!C$13*AT145,2))&lt;1,ROUND(AT145*(1+'Calc base'!H146),2),MAX('Calc base'!C$12,ROUND('Calc base'!C$13*AT145,2))))</f>
        <v>0</v>
      </c>
      <c r="K146">
        <f>IF(AU145&lt;=0,0,IF(ROUND(AU145*(1+'Calc base'!I146),2)-MAX('Calc base'!D$12,ROUND('Calc base'!D$13*AU145,2))&lt;1,ROUND(AU145*(1+'Calc base'!I146),2),MAX('Calc base'!D$12,ROUND('Calc base'!D$13*AU145,2))))</f>
        <v>0</v>
      </c>
      <c r="L146">
        <f>IF(AV145&lt;=0,0,IF(ROUND(AV145*(1+'Calc base'!J146),2)-MAX('Calc base'!E$12,ROUND('Calc base'!E$13*AV145,2))&lt;1,ROUND(AV145*(1+'Calc base'!J146),2),MAX('Calc base'!E$12,ROUND('Calc base'!E$13*AV145,2))))</f>
        <v>0</v>
      </c>
      <c r="M146">
        <f>IF(AW145&lt;=0,0,IF(ROUND(AW145*(1+'Calc base'!K146),2)-MAX('Calc base'!F$12,ROUND('Calc base'!F$13*AW145,2))&lt;1,ROUND(AW145*(1+'Calc base'!K146),2),MAX('Calc base'!F$12,ROUND('Calc base'!F$13*AW145,2))))</f>
        <v>0</v>
      </c>
      <c r="N146">
        <f>IF(AX145&lt;=0,0,IF(ROUND(AX145*(1+'Calc base'!L146),2)-MAX('Calc base'!G$12,ROUND('Calc base'!G$13*AX145,2))&lt;1,ROUND(AX145*(1+'Calc base'!L146),2),MAX('Calc base'!G$12,ROUND('Calc base'!G$13*AX145,2))))</f>
        <v>0</v>
      </c>
      <c r="O146">
        <f>IF(AY145&lt;=0,0,IF(ROUND(AY145*(1+'Calc base'!M146),2)-MAX('Calc base'!H$12,ROUND('Calc base'!H$13*AY145,2))&lt;1,ROUND(AY145*(1+'Calc base'!M146),2),MAX('Calc base'!H$12,ROUND('Calc base'!H$13*AY145,2))))</f>
        <v>0</v>
      </c>
      <c r="P146">
        <f>IF(AZ145&lt;=0,0,IF(ROUND(AZ145*(1+'Calc base'!N146),2)-MAX('Calc base'!I$12,ROUND('Calc base'!I$13*AZ145,2))&lt;1,ROUND(AZ145*(1+'Calc base'!N146),2),MAX('Calc base'!I$12,ROUND('Calc base'!I$13*AZ145,2))))</f>
        <v>0</v>
      </c>
      <c r="Q146">
        <f>IF(BA145&lt;=0,0,IF(ROUND(BA145*(1+'Calc base'!O146),2)-MAX('Calc base'!J$12,ROUND('Calc base'!J$13*BA145,2))&lt;1,ROUND(BA145*(1+'Calc base'!O146),2),MAX('Calc base'!J$12,ROUND('Calc base'!J$13*BA145,2))))</f>
        <v>0</v>
      </c>
      <c r="R146">
        <f>IF(BB145&lt;=0,0,IF(ROUND(BB145*(1+'Calc base'!P146),2)-MAX('Calc base'!K$12,ROUND('Calc base'!K$13*BB145,2))&lt;1,ROUND(BB145*(1+'Calc base'!P146),2),MAX('Calc base'!K$12,ROUND('Calc base'!K$13*BB145,2))))</f>
        <v>0</v>
      </c>
      <c r="S146">
        <f>IF(BC145&lt;=0,0,IF(ROUND(BC145*(1+'Calc base'!Q146),2)-MAX('Calc base'!L$12,ROUND('Calc base'!L$13*BC145,2))&lt;1,ROUND(BC145*(1+'Calc base'!Q146),2),MAX('Calc base'!L$12,ROUND('Calc base'!L$13*BC145,2))))</f>
        <v>0</v>
      </c>
      <c r="T146">
        <f>IF(BD145&lt;=0,0,IF(ROUND(BD145*(1+'Calc base'!R146),2)-MAX('Calc base'!M$12,ROUND('Calc base'!M$13*BD145,2))&lt;1,ROUND(BD145*(1+'Calc base'!R146),2),MAX('Calc base'!M$12,ROUND('Calc base'!M$13*BD145,2))))</f>
        <v>0</v>
      </c>
      <c r="U146">
        <f>IF(BE145&lt;=0,0,IF(ROUND(BE145*(1+'Calc base'!S146),2)-MAX('Calc base'!N$12,ROUND('Calc base'!N$13*BE145,2))&lt;1,ROUND(BE145*(1+'Calc base'!S146),2),MAX('Calc base'!N$12,ROUND('Calc base'!N$13*BE145,2))))</f>
        <v>0</v>
      </c>
      <c r="V146">
        <f>MAX(0,ROUND(AT145*(1+'Calc base'!H146),2)-J146-'Calc base'!T146)</f>
        <v>0</v>
      </c>
      <c r="W146">
        <f>MAX(0,ROUND(AU145*(1+'Calc base'!I146),2)-K146-'Calc base'!U146)</f>
        <v>0</v>
      </c>
      <c r="X146">
        <f>MAX(0,ROUND(AV145*(1+'Calc base'!J146),2)-L146-'Calc base'!V146)</f>
        <v>0</v>
      </c>
      <c r="Y146">
        <f>MAX(0,ROUND(AW145*(1+'Calc base'!K146),2)-M146-'Calc base'!W146)</f>
        <v>0</v>
      </c>
      <c r="Z146">
        <f>MAX(0,ROUND(AX145*(1+'Calc base'!L146),2)-N146-'Calc base'!X146)</f>
        <v>0</v>
      </c>
      <c r="AA146">
        <f>MAX(0,ROUND(AY145*(1+'Calc base'!M146),2)-O146-'Calc base'!Y146)</f>
        <v>0</v>
      </c>
      <c r="AB146">
        <f>MAX(0,ROUND(AZ145*(1+'Calc base'!N146),2)-P146-'Calc base'!Z146)</f>
        <v>0</v>
      </c>
      <c r="AC146">
        <f>MAX(0,ROUND(BA145*(1+'Calc base'!O146),2)-Q146-'Calc base'!AA146)</f>
        <v>0</v>
      </c>
      <c r="AD146">
        <f>MAX(0,ROUND(BB145*(1+'Calc base'!P146),2)-R146-'Calc base'!AB146)</f>
        <v>0</v>
      </c>
      <c r="AE146">
        <f>MAX(0,ROUND(BC145*(1+'Calc base'!Q146),2)-S146-'Calc base'!AC146)</f>
        <v>0</v>
      </c>
      <c r="AF146">
        <f>MAX(0,ROUND(BD145*(1+'Calc base'!R146),2)-T146-'Calc base'!AD146)</f>
        <v>0</v>
      </c>
      <c r="AG146">
        <f>MAX(0,ROUND(BE145*(1+'Calc base'!S146),2)-U146-'Calc base'!AE146)</f>
        <v>0</v>
      </c>
      <c r="AH146">
        <f>IF('Calc base'!C$14=0,0,MIN(V146,MAX(0,$E146-SUMIFS($V146:$AG146,'Calc base'!$C$19:$N$19,"&lt;"&amp;'Calc base'!C$19,'Calc base'!$C$14:$N$14,1))))</f>
        <v>0</v>
      </c>
      <c r="AI146">
        <f>IF('Calc base'!D$14=0,0,MIN(W146,MAX(0,$E146-SUMIFS($V146:$AG146,'Calc base'!$C$19:$N$19,"&lt;"&amp;'Calc base'!D$19,'Calc base'!$C$14:$N$14,1))))</f>
        <v>0</v>
      </c>
      <c r="AJ146">
        <f>IF('Calc base'!E$14=0,0,MIN(X146,MAX(0,$E146-SUMIFS($V146:$AG146,'Calc base'!$C$19:$N$19,"&lt;"&amp;'Calc base'!E$19,'Calc base'!$C$14:$N$14,1))))</f>
        <v>0</v>
      </c>
      <c r="AK146">
        <f>IF('Calc base'!F$14=0,0,MIN(Y146,MAX(0,$E146-SUMIFS($V146:$AG146,'Calc base'!$C$19:$N$19,"&lt;"&amp;'Calc base'!F$19,'Calc base'!$C$14:$N$14,1))))</f>
        <v>0</v>
      </c>
      <c r="AL146">
        <f>IF('Calc base'!G$14=0,0,MIN(Z146,MAX(0,$E146-SUMIFS($V146:$AG146,'Calc base'!$C$19:$N$19,"&lt;"&amp;'Calc base'!G$19,'Calc base'!$C$14:$N$14,1))))</f>
        <v>0</v>
      </c>
      <c r="AM146">
        <f>IF('Calc base'!H$14=0,0,MIN(AA146,MAX(0,$E146-SUMIFS($V146:$AG146,'Calc base'!$C$19:$N$19,"&lt;"&amp;'Calc base'!H$19,'Calc base'!$C$14:$N$14,1))))</f>
        <v>0</v>
      </c>
      <c r="AN146">
        <f>IF('Calc base'!I$14=0,0,MIN(AB146,MAX(0,$E146-SUMIFS($V146:$AG146,'Calc base'!$C$19:$N$19,"&lt;"&amp;'Calc base'!I$19,'Calc base'!$C$14:$N$14,1))))</f>
        <v>0</v>
      </c>
      <c r="AO146">
        <f>IF('Calc base'!J$14=0,0,MIN(AC146,MAX(0,$E146-SUMIFS($V146:$AG146,'Calc base'!$C$19:$N$19,"&lt;"&amp;'Calc base'!J$19,'Calc base'!$C$14:$N$14,1))))</f>
        <v>0</v>
      </c>
      <c r="AP146">
        <f>IF('Calc base'!K$14=0,0,MIN(AD146,MAX(0,$E146-SUMIFS($V146:$AG146,'Calc base'!$C$19:$N$19,"&lt;"&amp;'Calc base'!K$19,'Calc base'!$C$14:$N$14,1))))</f>
        <v>0</v>
      </c>
      <c r="AQ146">
        <f>IF('Calc base'!L$14=0,0,MIN(AE146,MAX(0,$E146-SUMIFS($V146:$AG146,'Calc base'!$C$19:$N$19,"&lt;"&amp;'Calc base'!L$19,'Calc base'!$C$14:$N$14,1))))</f>
        <v>0</v>
      </c>
      <c r="AR146">
        <f>IF('Calc base'!M$14=0,0,MIN(AF146,MAX(0,$E146-SUMIFS($V146:$AG146,'Calc base'!$C$19:$N$19,"&lt;"&amp;'Calc base'!M$19,'Calc base'!$C$14:$N$14,1))))</f>
        <v>0</v>
      </c>
      <c r="AS146">
        <f>IF('Calc base'!N$14=0,0,MIN(AG146,MAX(0,$E146-SUMIFS($V146:$AG146,'Calc base'!$C$19:$N$19,"&lt;"&amp;'Calc base'!N$19,'Calc base'!$C$14:$N$14,1))))</f>
        <v>0</v>
      </c>
      <c r="AT146">
        <f>V146-AH146</f>
        <v>0</v>
      </c>
      <c r="AU146">
        <f>W146-AI146</f>
        <v>0</v>
      </c>
      <c r="AV146">
        <f>X146-AJ146</f>
        <v>0</v>
      </c>
      <c r="AW146">
        <f>Y146-AK146</f>
        <v>0</v>
      </c>
      <c r="AX146">
        <f>Z146-AL146</f>
        <v>0</v>
      </c>
      <c r="AY146">
        <f>AA146-AM146</f>
        <v>0</v>
      </c>
      <c r="AZ146">
        <f>AB146-AN146</f>
        <v>0</v>
      </c>
      <c r="BA146">
        <f>AC146-AO146</f>
        <v>0</v>
      </c>
      <c r="BB146">
        <f>AD146-AP146</f>
        <v>0</v>
      </c>
      <c r="BC146">
        <f>AE146-AQ146</f>
        <v>0</v>
      </c>
      <c r="BD146">
        <f>AF146-AR146</f>
        <v>0</v>
      </c>
      <c r="BE146">
        <f>AG146-AS146</f>
        <v>0</v>
      </c>
    </row>
    <row r="147">
      <c r="A147" t="n">
        <v>117</v>
      </c>
      <c r="B147">
        <f>SUMPRODUCT(ROUND($AT146:$BE146*(1+'Calc base'!$H147:$S147),2))</f>
        <v>0</v>
      </c>
      <c r="C147">
        <f>SUM(J147:U147)</f>
        <v>0</v>
      </c>
      <c r="D147">
        <f>SUM(V147:AG147)</f>
        <v>0</v>
      </c>
      <c r="E147">
        <f>MAX(0,IF(Impostazioni!$B$7="No",'Calc base'!$C147-$C$31,'Calc base'!$C147-C147)+'Calc base'!$G147+'Calc base'!$F147-(B147-C147-D147))</f>
        <v>900</v>
      </c>
      <c r="F147">
        <f>SUM(AH147:AS147)</f>
        <v>0</v>
      </c>
      <c r="G147">
        <f>SUM(AT147:BE147)</f>
        <v>0</v>
      </c>
      <c r="H147">
        <f>B147-G146</f>
        <v>0</v>
      </c>
      <c r="I147">
        <f>B147-G147</f>
        <v>0</v>
      </c>
      <c r="J147">
        <f>IF(AT146&lt;=0,0,IF(ROUND(AT146*(1+'Calc base'!H147),2)-MAX('Calc base'!C$12,ROUND('Calc base'!C$13*AT146,2))&lt;1,ROUND(AT146*(1+'Calc base'!H147),2),MAX('Calc base'!C$12,ROUND('Calc base'!C$13*AT146,2))))</f>
        <v>0</v>
      </c>
      <c r="K147">
        <f>IF(AU146&lt;=0,0,IF(ROUND(AU146*(1+'Calc base'!I147),2)-MAX('Calc base'!D$12,ROUND('Calc base'!D$13*AU146,2))&lt;1,ROUND(AU146*(1+'Calc base'!I147),2),MAX('Calc base'!D$12,ROUND('Calc base'!D$13*AU146,2))))</f>
        <v>0</v>
      </c>
      <c r="L147">
        <f>IF(AV146&lt;=0,0,IF(ROUND(AV146*(1+'Calc base'!J147),2)-MAX('Calc base'!E$12,ROUND('Calc base'!E$13*AV146,2))&lt;1,ROUND(AV146*(1+'Calc base'!J147),2),MAX('Calc base'!E$12,ROUND('Calc base'!E$13*AV146,2))))</f>
        <v>0</v>
      </c>
      <c r="M147">
        <f>IF(AW146&lt;=0,0,IF(ROUND(AW146*(1+'Calc base'!K147),2)-MAX('Calc base'!F$12,ROUND('Calc base'!F$13*AW146,2))&lt;1,ROUND(AW146*(1+'Calc base'!K147),2),MAX('Calc base'!F$12,ROUND('Calc base'!F$13*AW146,2))))</f>
        <v>0</v>
      </c>
      <c r="N147">
        <f>IF(AX146&lt;=0,0,IF(ROUND(AX146*(1+'Calc base'!L147),2)-MAX('Calc base'!G$12,ROUND('Calc base'!G$13*AX146,2))&lt;1,ROUND(AX146*(1+'Calc base'!L147),2),MAX('Calc base'!G$12,ROUND('Calc base'!G$13*AX146,2))))</f>
        <v>0</v>
      </c>
      <c r="O147">
        <f>IF(AY146&lt;=0,0,IF(ROUND(AY146*(1+'Calc base'!M147),2)-MAX('Calc base'!H$12,ROUND('Calc base'!H$13*AY146,2))&lt;1,ROUND(AY146*(1+'Calc base'!M147),2),MAX('Calc base'!H$12,ROUND('Calc base'!H$13*AY146,2))))</f>
        <v>0</v>
      </c>
      <c r="P147">
        <f>IF(AZ146&lt;=0,0,IF(ROUND(AZ146*(1+'Calc base'!N147),2)-MAX('Calc base'!I$12,ROUND('Calc base'!I$13*AZ146,2))&lt;1,ROUND(AZ146*(1+'Calc base'!N147),2),MAX('Calc base'!I$12,ROUND('Calc base'!I$13*AZ146,2))))</f>
        <v>0</v>
      </c>
      <c r="Q147">
        <f>IF(BA146&lt;=0,0,IF(ROUND(BA146*(1+'Calc base'!O147),2)-MAX('Calc base'!J$12,ROUND('Calc base'!J$13*BA146,2))&lt;1,ROUND(BA146*(1+'Calc base'!O147),2),MAX('Calc base'!J$12,ROUND('Calc base'!J$13*BA146,2))))</f>
        <v>0</v>
      </c>
      <c r="R147">
        <f>IF(BB146&lt;=0,0,IF(ROUND(BB146*(1+'Calc base'!P147),2)-MAX('Calc base'!K$12,ROUND('Calc base'!K$13*BB146,2))&lt;1,ROUND(BB146*(1+'Calc base'!P147),2),MAX('Calc base'!K$12,ROUND('Calc base'!K$13*BB146,2))))</f>
        <v>0</v>
      </c>
      <c r="S147">
        <f>IF(BC146&lt;=0,0,IF(ROUND(BC146*(1+'Calc base'!Q147),2)-MAX('Calc base'!L$12,ROUND('Calc base'!L$13*BC146,2))&lt;1,ROUND(BC146*(1+'Calc base'!Q147),2),MAX('Calc base'!L$12,ROUND('Calc base'!L$13*BC146,2))))</f>
        <v>0</v>
      </c>
      <c r="T147">
        <f>IF(BD146&lt;=0,0,IF(ROUND(BD146*(1+'Calc base'!R147),2)-MAX('Calc base'!M$12,ROUND('Calc base'!M$13*BD146,2))&lt;1,ROUND(BD146*(1+'Calc base'!R147),2),MAX('Calc base'!M$12,ROUND('Calc base'!M$13*BD146,2))))</f>
        <v>0</v>
      </c>
      <c r="U147">
        <f>IF(BE146&lt;=0,0,IF(ROUND(BE146*(1+'Calc base'!S147),2)-MAX('Calc base'!N$12,ROUND('Calc base'!N$13*BE146,2))&lt;1,ROUND(BE146*(1+'Calc base'!S147),2),MAX('Calc base'!N$12,ROUND('Calc base'!N$13*BE146,2))))</f>
        <v>0</v>
      </c>
      <c r="V147">
        <f>MAX(0,ROUND(AT146*(1+'Calc base'!H147),2)-J147-'Calc base'!T147)</f>
        <v>0</v>
      </c>
      <c r="W147">
        <f>MAX(0,ROUND(AU146*(1+'Calc base'!I147),2)-K147-'Calc base'!U147)</f>
        <v>0</v>
      </c>
      <c r="X147">
        <f>MAX(0,ROUND(AV146*(1+'Calc base'!J147),2)-L147-'Calc base'!V147)</f>
        <v>0</v>
      </c>
      <c r="Y147">
        <f>MAX(0,ROUND(AW146*(1+'Calc base'!K147),2)-M147-'Calc base'!W147)</f>
        <v>0</v>
      </c>
      <c r="Z147">
        <f>MAX(0,ROUND(AX146*(1+'Calc base'!L147),2)-N147-'Calc base'!X147)</f>
        <v>0</v>
      </c>
      <c r="AA147">
        <f>MAX(0,ROUND(AY146*(1+'Calc base'!M147),2)-O147-'Calc base'!Y147)</f>
        <v>0</v>
      </c>
      <c r="AB147">
        <f>MAX(0,ROUND(AZ146*(1+'Calc base'!N147),2)-P147-'Calc base'!Z147)</f>
        <v>0</v>
      </c>
      <c r="AC147">
        <f>MAX(0,ROUND(BA146*(1+'Calc base'!O147),2)-Q147-'Calc base'!AA147)</f>
        <v>0</v>
      </c>
      <c r="AD147">
        <f>MAX(0,ROUND(BB146*(1+'Calc base'!P147),2)-R147-'Calc base'!AB147)</f>
        <v>0</v>
      </c>
      <c r="AE147">
        <f>MAX(0,ROUND(BC146*(1+'Calc base'!Q147),2)-S147-'Calc base'!AC147)</f>
        <v>0</v>
      </c>
      <c r="AF147">
        <f>MAX(0,ROUND(BD146*(1+'Calc base'!R147),2)-T147-'Calc base'!AD147)</f>
        <v>0</v>
      </c>
      <c r="AG147">
        <f>MAX(0,ROUND(BE146*(1+'Calc base'!S147),2)-U147-'Calc base'!AE147)</f>
        <v>0</v>
      </c>
      <c r="AH147">
        <f>IF('Calc base'!C$14=0,0,MIN(V147,MAX(0,$E147-SUMIFS($V147:$AG147,'Calc base'!$C$19:$N$19,"&lt;"&amp;'Calc base'!C$19,'Calc base'!$C$14:$N$14,1))))</f>
        <v>0</v>
      </c>
      <c r="AI147">
        <f>IF('Calc base'!D$14=0,0,MIN(W147,MAX(0,$E147-SUMIFS($V147:$AG147,'Calc base'!$C$19:$N$19,"&lt;"&amp;'Calc base'!D$19,'Calc base'!$C$14:$N$14,1))))</f>
        <v>0</v>
      </c>
      <c r="AJ147">
        <f>IF('Calc base'!E$14=0,0,MIN(X147,MAX(0,$E147-SUMIFS($V147:$AG147,'Calc base'!$C$19:$N$19,"&lt;"&amp;'Calc base'!E$19,'Calc base'!$C$14:$N$14,1))))</f>
        <v>0</v>
      </c>
      <c r="AK147">
        <f>IF('Calc base'!F$14=0,0,MIN(Y147,MAX(0,$E147-SUMIFS($V147:$AG147,'Calc base'!$C$19:$N$19,"&lt;"&amp;'Calc base'!F$19,'Calc base'!$C$14:$N$14,1))))</f>
        <v>0</v>
      </c>
      <c r="AL147">
        <f>IF('Calc base'!G$14=0,0,MIN(Z147,MAX(0,$E147-SUMIFS($V147:$AG147,'Calc base'!$C$19:$N$19,"&lt;"&amp;'Calc base'!G$19,'Calc base'!$C$14:$N$14,1))))</f>
        <v>0</v>
      </c>
      <c r="AM147">
        <f>IF('Calc base'!H$14=0,0,MIN(AA147,MAX(0,$E147-SUMIFS($V147:$AG147,'Calc base'!$C$19:$N$19,"&lt;"&amp;'Calc base'!H$19,'Calc base'!$C$14:$N$14,1))))</f>
        <v>0</v>
      </c>
      <c r="AN147">
        <f>IF('Calc base'!I$14=0,0,MIN(AB147,MAX(0,$E147-SUMIFS($V147:$AG147,'Calc base'!$C$19:$N$19,"&lt;"&amp;'Calc base'!I$19,'Calc base'!$C$14:$N$14,1))))</f>
        <v>0</v>
      </c>
      <c r="AO147">
        <f>IF('Calc base'!J$14=0,0,MIN(AC147,MAX(0,$E147-SUMIFS($V147:$AG147,'Calc base'!$C$19:$N$19,"&lt;"&amp;'Calc base'!J$19,'Calc base'!$C$14:$N$14,1))))</f>
        <v>0</v>
      </c>
      <c r="AP147">
        <f>IF('Calc base'!K$14=0,0,MIN(AD147,MAX(0,$E147-SUMIFS($V147:$AG147,'Calc base'!$C$19:$N$19,"&lt;"&amp;'Calc base'!K$19,'Calc base'!$C$14:$N$14,1))))</f>
        <v>0</v>
      </c>
      <c r="AQ147">
        <f>IF('Calc base'!L$14=0,0,MIN(AE147,MAX(0,$E147-SUMIFS($V147:$AG147,'Calc base'!$C$19:$N$19,"&lt;"&amp;'Calc base'!L$19,'Calc base'!$C$14:$N$14,1))))</f>
        <v>0</v>
      </c>
      <c r="AR147">
        <f>IF('Calc base'!M$14=0,0,MIN(AF147,MAX(0,$E147-SUMIFS($V147:$AG147,'Calc base'!$C$19:$N$19,"&lt;"&amp;'Calc base'!M$19,'Calc base'!$C$14:$N$14,1))))</f>
        <v>0</v>
      </c>
      <c r="AS147">
        <f>IF('Calc base'!N$14=0,0,MIN(AG147,MAX(0,$E147-SUMIFS($V147:$AG147,'Calc base'!$C$19:$N$19,"&lt;"&amp;'Calc base'!N$19,'Calc base'!$C$14:$N$14,1))))</f>
        <v>0</v>
      </c>
      <c r="AT147">
        <f>V147-AH147</f>
        <v>0</v>
      </c>
      <c r="AU147">
        <f>W147-AI147</f>
        <v>0</v>
      </c>
      <c r="AV147">
        <f>X147-AJ147</f>
        <v>0</v>
      </c>
      <c r="AW147">
        <f>Y147-AK147</f>
        <v>0</v>
      </c>
      <c r="AX147">
        <f>Z147-AL147</f>
        <v>0</v>
      </c>
      <c r="AY147">
        <f>AA147-AM147</f>
        <v>0</v>
      </c>
      <c r="AZ147">
        <f>AB147-AN147</f>
        <v>0</v>
      </c>
      <c r="BA147">
        <f>AC147-AO147</f>
        <v>0</v>
      </c>
      <c r="BB147">
        <f>AD147-AP147</f>
        <v>0</v>
      </c>
      <c r="BC147">
        <f>AE147-AQ147</f>
        <v>0</v>
      </c>
      <c r="BD147">
        <f>AF147-AR147</f>
        <v>0</v>
      </c>
      <c r="BE147">
        <f>AG147-AS147</f>
        <v>0</v>
      </c>
    </row>
    <row r="148">
      <c r="A148" t="n">
        <v>118</v>
      </c>
      <c r="B148">
        <f>SUMPRODUCT(ROUND($AT147:$BE147*(1+'Calc base'!$H148:$S148),2))</f>
        <v>0</v>
      </c>
      <c r="C148">
        <f>SUM(J148:U148)</f>
        <v>0</v>
      </c>
      <c r="D148">
        <f>SUM(V148:AG148)</f>
        <v>0</v>
      </c>
      <c r="E148">
        <f>MAX(0,IF(Impostazioni!$B$7="No",'Calc base'!$C148-$C$31,'Calc base'!$C148-C148)+'Calc base'!$G148+'Calc base'!$F148-(B148-C148-D148))</f>
        <v>900</v>
      </c>
      <c r="F148">
        <f>SUM(AH148:AS148)</f>
        <v>0</v>
      </c>
      <c r="G148">
        <f>SUM(AT148:BE148)</f>
        <v>0</v>
      </c>
      <c r="H148">
        <f>B148-G147</f>
        <v>0</v>
      </c>
      <c r="I148">
        <f>B148-G148</f>
        <v>0</v>
      </c>
      <c r="J148">
        <f>IF(AT147&lt;=0,0,IF(ROUND(AT147*(1+'Calc base'!H148),2)-MAX('Calc base'!C$12,ROUND('Calc base'!C$13*AT147,2))&lt;1,ROUND(AT147*(1+'Calc base'!H148),2),MAX('Calc base'!C$12,ROUND('Calc base'!C$13*AT147,2))))</f>
        <v>0</v>
      </c>
      <c r="K148">
        <f>IF(AU147&lt;=0,0,IF(ROUND(AU147*(1+'Calc base'!I148),2)-MAX('Calc base'!D$12,ROUND('Calc base'!D$13*AU147,2))&lt;1,ROUND(AU147*(1+'Calc base'!I148),2),MAX('Calc base'!D$12,ROUND('Calc base'!D$13*AU147,2))))</f>
        <v>0</v>
      </c>
      <c r="L148">
        <f>IF(AV147&lt;=0,0,IF(ROUND(AV147*(1+'Calc base'!J148),2)-MAX('Calc base'!E$12,ROUND('Calc base'!E$13*AV147,2))&lt;1,ROUND(AV147*(1+'Calc base'!J148),2),MAX('Calc base'!E$12,ROUND('Calc base'!E$13*AV147,2))))</f>
        <v>0</v>
      </c>
      <c r="M148">
        <f>IF(AW147&lt;=0,0,IF(ROUND(AW147*(1+'Calc base'!K148),2)-MAX('Calc base'!F$12,ROUND('Calc base'!F$13*AW147,2))&lt;1,ROUND(AW147*(1+'Calc base'!K148),2),MAX('Calc base'!F$12,ROUND('Calc base'!F$13*AW147,2))))</f>
        <v>0</v>
      </c>
      <c r="N148">
        <f>IF(AX147&lt;=0,0,IF(ROUND(AX147*(1+'Calc base'!L148),2)-MAX('Calc base'!G$12,ROUND('Calc base'!G$13*AX147,2))&lt;1,ROUND(AX147*(1+'Calc base'!L148),2),MAX('Calc base'!G$12,ROUND('Calc base'!G$13*AX147,2))))</f>
        <v>0</v>
      </c>
      <c r="O148">
        <f>IF(AY147&lt;=0,0,IF(ROUND(AY147*(1+'Calc base'!M148),2)-MAX('Calc base'!H$12,ROUND('Calc base'!H$13*AY147,2))&lt;1,ROUND(AY147*(1+'Calc base'!M148),2),MAX('Calc base'!H$12,ROUND('Calc base'!H$13*AY147,2))))</f>
        <v>0</v>
      </c>
      <c r="P148">
        <f>IF(AZ147&lt;=0,0,IF(ROUND(AZ147*(1+'Calc base'!N148),2)-MAX('Calc base'!I$12,ROUND('Calc base'!I$13*AZ147,2))&lt;1,ROUND(AZ147*(1+'Calc base'!N148),2),MAX('Calc base'!I$12,ROUND('Calc base'!I$13*AZ147,2))))</f>
        <v>0</v>
      </c>
      <c r="Q148">
        <f>IF(BA147&lt;=0,0,IF(ROUND(BA147*(1+'Calc base'!O148),2)-MAX('Calc base'!J$12,ROUND('Calc base'!J$13*BA147,2))&lt;1,ROUND(BA147*(1+'Calc base'!O148),2),MAX('Calc base'!J$12,ROUND('Calc base'!J$13*BA147,2))))</f>
        <v>0</v>
      </c>
      <c r="R148">
        <f>IF(BB147&lt;=0,0,IF(ROUND(BB147*(1+'Calc base'!P148),2)-MAX('Calc base'!K$12,ROUND('Calc base'!K$13*BB147,2))&lt;1,ROUND(BB147*(1+'Calc base'!P148),2),MAX('Calc base'!K$12,ROUND('Calc base'!K$13*BB147,2))))</f>
        <v>0</v>
      </c>
      <c r="S148">
        <f>IF(BC147&lt;=0,0,IF(ROUND(BC147*(1+'Calc base'!Q148),2)-MAX('Calc base'!L$12,ROUND('Calc base'!L$13*BC147,2))&lt;1,ROUND(BC147*(1+'Calc base'!Q148),2),MAX('Calc base'!L$12,ROUND('Calc base'!L$13*BC147,2))))</f>
        <v>0</v>
      </c>
      <c r="T148">
        <f>IF(BD147&lt;=0,0,IF(ROUND(BD147*(1+'Calc base'!R148),2)-MAX('Calc base'!M$12,ROUND('Calc base'!M$13*BD147,2))&lt;1,ROUND(BD147*(1+'Calc base'!R148),2),MAX('Calc base'!M$12,ROUND('Calc base'!M$13*BD147,2))))</f>
        <v>0</v>
      </c>
      <c r="U148">
        <f>IF(BE147&lt;=0,0,IF(ROUND(BE147*(1+'Calc base'!S148),2)-MAX('Calc base'!N$12,ROUND('Calc base'!N$13*BE147,2))&lt;1,ROUND(BE147*(1+'Calc base'!S148),2),MAX('Calc base'!N$12,ROUND('Calc base'!N$13*BE147,2))))</f>
        <v>0</v>
      </c>
      <c r="V148">
        <f>MAX(0,ROUND(AT147*(1+'Calc base'!H148),2)-J148-'Calc base'!T148)</f>
        <v>0</v>
      </c>
      <c r="W148">
        <f>MAX(0,ROUND(AU147*(1+'Calc base'!I148),2)-K148-'Calc base'!U148)</f>
        <v>0</v>
      </c>
      <c r="X148">
        <f>MAX(0,ROUND(AV147*(1+'Calc base'!J148),2)-L148-'Calc base'!V148)</f>
        <v>0</v>
      </c>
      <c r="Y148">
        <f>MAX(0,ROUND(AW147*(1+'Calc base'!K148),2)-M148-'Calc base'!W148)</f>
        <v>0</v>
      </c>
      <c r="Z148">
        <f>MAX(0,ROUND(AX147*(1+'Calc base'!L148),2)-N148-'Calc base'!X148)</f>
        <v>0</v>
      </c>
      <c r="AA148">
        <f>MAX(0,ROUND(AY147*(1+'Calc base'!M148),2)-O148-'Calc base'!Y148)</f>
        <v>0</v>
      </c>
      <c r="AB148">
        <f>MAX(0,ROUND(AZ147*(1+'Calc base'!N148),2)-P148-'Calc base'!Z148)</f>
        <v>0</v>
      </c>
      <c r="AC148">
        <f>MAX(0,ROUND(BA147*(1+'Calc base'!O148),2)-Q148-'Calc base'!AA148)</f>
        <v>0</v>
      </c>
      <c r="AD148">
        <f>MAX(0,ROUND(BB147*(1+'Calc base'!P148),2)-R148-'Calc base'!AB148)</f>
        <v>0</v>
      </c>
      <c r="AE148">
        <f>MAX(0,ROUND(BC147*(1+'Calc base'!Q148),2)-S148-'Calc base'!AC148)</f>
        <v>0</v>
      </c>
      <c r="AF148">
        <f>MAX(0,ROUND(BD147*(1+'Calc base'!R148),2)-T148-'Calc base'!AD148)</f>
        <v>0</v>
      </c>
      <c r="AG148">
        <f>MAX(0,ROUND(BE147*(1+'Calc base'!S148),2)-U148-'Calc base'!AE148)</f>
        <v>0</v>
      </c>
      <c r="AH148">
        <f>IF('Calc base'!C$14=0,0,MIN(V148,MAX(0,$E148-SUMIFS($V148:$AG148,'Calc base'!$C$19:$N$19,"&lt;"&amp;'Calc base'!C$19,'Calc base'!$C$14:$N$14,1))))</f>
        <v>0</v>
      </c>
      <c r="AI148">
        <f>IF('Calc base'!D$14=0,0,MIN(W148,MAX(0,$E148-SUMIFS($V148:$AG148,'Calc base'!$C$19:$N$19,"&lt;"&amp;'Calc base'!D$19,'Calc base'!$C$14:$N$14,1))))</f>
        <v>0</v>
      </c>
      <c r="AJ148">
        <f>IF('Calc base'!E$14=0,0,MIN(X148,MAX(0,$E148-SUMIFS($V148:$AG148,'Calc base'!$C$19:$N$19,"&lt;"&amp;'Calc base'!E$19,'Calc base'!$C$14:$N$14,1))))</f>
        <v>0</v>
      </c>
      <c r="AK148">
        <f>IF('Calc base'!F$14=0,0,MIN(Y148,MAX(0,$E148-SUMIFS($V148:$AG148,'Calc base'!$C$19:$N$19,"&lt;"&amp;'Calc base'!F$19,'Calc base'!$C$14:$N$14,1))))</f>
        <v>0</v>
      </c>
      <c r="AL148">
        <f>IF('Calc base'!G$14=0,0,MIN(Z148,MAX(0,$E148-SUMIFS($V148:$AG148,'Calc base'!$C$19:$N$19,"&lt;"&amp;'Calc base'!G$19,'Calc base'!$C$14:$N$14,1))))</f>
        <v>0</v>
      </c>
      <c r="AM148">
        <f>IF('Calc base'!H$14=0,0,MIN(AA148,MAX(0,$E148-SUMIFS($V148:$AG148,'Calc base'!$C$19:$N$19,"&lt;"&amp;'Calc base'!H$19,'Calc base'!$C$14:$N$14,1))))</f>
        <v>0</v>
      </c>
      <c r="AN148">
        <f>IF('Calc base'!I$14=0,0,MIN(AB148,MAX(0,$E148-SUMIFS($V148:$AG148,'Calc base'!$C$19:$N$19,"&lt;"&amp;'Calc base'!I$19,'Calc base'!$C$14:$N$14,1))))</f>
        <v>0</v>
      </c>
      <c r="AO148">
        <f>IF('Calc base'!J$14=0,0,MIN(AC148,MAX(0,$E148-SUMIFS($V148:$AG148,'Calc base'!$C$19:$N$19,"&lt;"&amp;'Calc base'!J$19,'Calc base'!$C$14:$N$14,1))))</f>
        <v>0</v>
      </c>
      <c r="AP148">
        <f>IF('Calc base'!K$14=0,0,MIN(AD148,MAX(0,$E148-SUMIFS($V148:$AG148,'Calc base'!$C$19:$N$19,"&lt;"&amp;'Calc base'!K$19,'Calc base'!$C$14:$N$14,1))))</f>
        <v>0</v>
      </c>
      <c r="AQ148">
        <f>IF('Calc base'!L$14=0,0,MIN(AE148,MAX(0,$E148-SUMIFS($V148:$AG148,'Calc base'!$C$19:$N$19,"&lt;"&amp;'Calc base'!L$19,'Calc base'!$C$14:$N$14,1))))</f>
        <v>0</v>
      </c>
      <c r="AR148">
        <f>IF('Calc base'!M$14=0,0,MIN(AF148,MAX(0,$E148-SUMIFS($V148:$AG148,'Calc base'!$C$19:$N$19,"&lt;"&amp;'Calc base'!M$19,'Calc base'!$C$14:$N$14,1))))</f>
        <v>0</v>
      </c>
      <c r="AS148">
        <f>IF('Calc base'!N$14=0,0,MIN(AG148,MAX(0,$E148-SUMIFS($V148:$AG148,'Calc base'!$C$19:$N$19,"&lt;"&amp;'Calc base'!N$19,'Calc base'!$C$14:$N$14,1))))</f>
        <v>0</v>
      </c>
      <c r="AT148">
        <f>V148-AH148</f>
        <v>0</v>
      </c>
      <c r="AU148">
        <f>W148-AI148</f>
        <v>0</v>
      </c>
      <c r="AV148">
        <f>X148-AJ148</f>
        <v>0</v>
      </c>
      <c r="AW148">
        <f>Y148-AK148</f>
        <v>0</v>
      </c>
      <c r="AX148">
        <f>Z148-AL148</f>
        <v>0</v>
      </c>
      <c r="AY148">
        <f>AA148-AM148</f>
        <v>0</v>
      </c>
      <c r="AZ148">
        <f>AB148-AN148</f>
        <v>0</v>
      </c>
      <c r="BA148">
        <f>AC148-AO148</f>
        <v>0</v>
      </c>
      <c r="BB148">
        <f>AD148-AP148</f>
        <v>0</v>
      </c>
      <c r="BC148">
        <f>AE148-AQ148</f>
        <v>0</v>
      </c>
      <c r="BD148">
        <f>AF148-AR148</f>
        <v>0</v>
      </c>
      <c r="BE148">
        <f>AG148-AS148</f>
        <v>0</v>
      </c>
    </row>
    <row r="149">
      <c r="A149" t="n">
        <v>119</v>
      </c>
      <c r="B149">
        <f>SUMPRODUCT(ROUND($AT148:$BE148*(1+'Calc base'!$H149:$S149),2))</f>
        <v>0</v>
      </c>
      <c r="C149">
        <f>SUM(J149:U149)</f>
        <v>0</v>
      </c>
      <c r="D149">
        <f>SUM(V149:AG149)</f>
        <v>0</v>
      </c>
      <c r="E149">
        <f>MAX(0,IF(Impostazioni!$B$7="No",'Calc base'!$C149-$C$31,'Calc base'!$C149-C149)+'Calc base'!$G149+'Calc base'!$F149-(B149-C149-D149))</f>
        <v>900</v>
      </c>
      <c r="F149">
        <f>SUM(AH149:AS149)</f>
        <v>0</v>
      </c>
      <c r="G149">
        <f>SUM(AT149:BE149)</f>
        <v>0</v>
      </c>
      <c r="H149">
        <f>B149-G148</f>
        <v>0</v>
      </c>
      <c r="I149">
        <f>B149-G149</f>
        <v>0</v>
      </c>
      <c r="J149">
        <f>IF(AT148&lt;=0,0,IF(ROUND(AT148*(1+'Calc base'!H149),2)-MAX('Calc base'!C$12,ROUND('Calc base'!C$13*AT148,2))&lt;1,ROUND(AT148*(1+'Calc base'!H149),2),MAX('Calc base'!C$12,ROUND('Calc base'!C$13*AT148,2))))</f>
        <v>0</v>
      </c>
      <c r="K149">
        <f>IF(AU148&lt;=0,0,IF(ROUND(AU148*(1+'Calc base'!I149),2)-MAX('Calc base'!D$12,ROUND('Calc base'!D$13*AU148,2))&lt;1,ROUND(AU148*(1+'Calc base'!I149),2),MAX('Calc base'!D$12,ROUND('Calc base'!D$13*AU148,2))))</f>
        <v>0</v>
      </c>
      <c r="L149">
        <f>IF(AV148&lt;=0,0,IF(ROUND(AV148*(1+'Calc base'!J149),2)-MAX('Calc base'!E$12,ROUND('Calc base'!E$13*AV148,2))&lt;1,ROUND(AV148*(1+'Calc base'!J149),2),MAX('Calc base'!E$12,ROUND('Calc base'!E$13*AV148,2))))</f>
        <v>0</v>
      </c>
      <c r="M149">
        <f>IF(AW148&lt;=0,0,IF(ROUND(AW148*(1+'Calc base'!K149),2)-MAX('Calc base'!F$12,ROUND('Calc base'!F$13*AW148,2))&lt;1,ROUND(AW148*(1+'Calc base'!K149),2),MAX('Calc base'!F$12,ROUND('Calc base'!F$13*AW148,2))))</f>
        <v>0</v>
      </c>
      <c r="N149">
        <f>IF(AX148&lt;=0,0,IF(ROUND(AX148*(1+'Calc base'!L149),2)-MAX('Calc base'!G$12,ROUND('Calc base'!G$13*AX148,2))&lt;1,ROUND(AX148*(1+'Calc base'!L149),2),MAX('Calc base'!G$12,ROUND('Calc base'!G$13*AX148,2))))</f>
        <v>0</v>
      </c>
      <c r="O149">
        <f>IF(AY148&lt;=0,0,IF(ROUND(AY148*(1+'Calc base'!M149),2)-MAX('Calc base'!H$12,ROUND('Calc base'!H$13*AY148,2))&lt;1,ROUND(AY148*(1+'Calc base'!M149),2),MAX('Calc base'!H$12,ROUND('Calc base'!H$13*AY148,2))))</f>
        <v>0</v>
      </c>
      <c r="P149">
        <f>IF(AZ148&lt;=0,0,IF(ROUND(AZ148*(1+'Calc base'!N149),2)-MAX('Calc base'!I$12,ROUND('Calc base'!I$13*AZ148,2))&lt;1,ROUND(AZ148*(1+'Calc base'!N149),2),MAX('Calc base'!I$12,ROUND('Calc base'!I$13*AZ148,2))))</f>
        <v>0</v>
      </c>
      <c r="Q149">
        <f>IF(BA148&lt;=0,0,IF(ROUND(BA148*(1+'Calc base'!O149),2)-MAX('Calc base'!J$12,ROUND('Calc base'!J$13*BA148,2))&lt;1,ROUND(BA148*(1+'Calc base'!O149),2),MAX('Calc base'!J$12,ROUND('Calc base'!J$13*BA148,2))))</f>
        <v>0</v>
      </c>
      <c r="R149">
        <f>IF(BB148&lt;=0,0,IF(ROUND(BB148*(1+'Calc base'!P149),2)-MAX('Calc base'!K$12,ROUND('Calc base'!K$13*BB148,2))&lt;1,ROUND(BB148*(1+'Calc base'!P149),2),MAX('Calc base'!K$12,ROUND('Calc base'!K$13*BB148,2))))</f>
        <v>0</v>
      </c>
      <c r="S149">
        <f>IF(BC148&lt;=0,0,IF(ROUND(BC148*(1+'Calc base'!Q149),2)-MAX('Calc base'!L$12,ROUND('Calc base'!L$13*BC148,2))&lt;1,ROUND(BC148*(1+'Calc base'!Q149),2),MAX('Calc base'!L$12,ROUND('Calc base'!L$13*BC148,2))))</f>
        <v>0</v>
      </c>
      <c r="T149">
        <f>IF(BD148&lt;=0,0,IF(ROUND(BD148*(1+'Calc base'!R149),2)-MAX('Calc base'!M$12,ROUND('Calc base'!M$13*BD148,2))&lt;1,ROUND(BD148*(1+'Calc base'!R149),2),MAX('Calc base'!M$12,ROUND('Calc base'!M$13*BD148,2))))</f>
        <v>0</v>
      </c>
      <c r="U149">
        <f>IF(BE148&lt;=0,0,IF(ROUND(BE148*(1+'Calc base'!S149),2)-MAX('Calc base'!N$12,ROUND('Calc base'!N$13*BE148,2))&lt;1,ROUND(BE148*(1+'Calc base'!S149),2),MAX('Calc base'!N$12,ROUND('Calc base'!N$13*BE148,2))))</f>
        <v>0</v>
      </c>
      <c r="V149">
        <f>MAX(0,ROUND(AT148*(1+'Calc base'!H149),2)-J149-'Calc base'!T149)</f>
        <v>0</v>
      </c>
      <c r="W149">
        <f>MAX(0,ROUND(AU148*(1+'Calc base'!I149),2)-K149-'Calc base'!U149)</f>
        <v>0</v>
      </c>
      <c r="X149">
        <f>MAX(0,ROUND(AV148*(1+'Calc base'!J149),2)-L149-'Calc base'!V149)</f>
        <v>0</v>
      </c>
      <c r="Y149">
        <f>MAX(0,ROUND(AW148*(1+'Calc base'!K149),2)-M149-'Calc base'!W149)</f>
        <v>0</v>
      </c>
      <c r="Z149">
        <f>MAX(0,ROUND(AX148*(1+'Calc base'!L149),2)-N149-'Calc base'!X149)</f>
        <v>0</v>
      </c>
      <c r="AA149">
        <f>MAX(0,ROUND(AY148*(1+'Calc base'!M149),2)-O149-'Calc base'!Y149)</f>
        <v>0</v>
      </c>
      <c r="AB149">
        <f>MAX(0,ROUND(AZ148*(1+'Calc base'!N149),2)-P149-'Calc base'!Z149)</f>
        <v>0</v>
      </c>
      <c r="AC149">
        <f>MAX(0,ROUND(BA148*(1+'Calc base'!O149),2)-Q149-'Calc base'!AA149)</f>
        <v>0</v>
      </c>
      <c r="AD149">
        <f>MAX(0,ROUND(BB148*(1+'Calc base'!P149),2)-R149-'Calc base'!AB149)</f>
        <v>0</v>
      </c>
      <c r="AE149">
        <f>MAX(0,ROUND(BC148*(1+'Calc base'!Q149),2)-S149-'Calc base'!AC149)</f>
        <v>0</v>
      </c>
      <c r="AF149">
        <f>MAX(0,ROUND(BD148*(1+'Calc base'!R149),2)-T149-'Calc base'!AD149)</f>
        <v>0</v>
      </c>
      <c r="AG149">
        <f>MAX(0,ROUND(BE148*(1+'Calc base'!S149),2)-U149-'Calc base'!AE149)</f>
        <v>0</v>
      </c>
      <c r="AH149">
        <f>IF('Calc base'!C$14=0,0,MIN(V149,MAX(0,$E149-SUMIFS($V149:$AG149,'Calc base'!$C$19:$N$19,"&lt;"&amp;'Calc base'!C$19,'Calc base'!$C$14:$N$14,1))))</f>
        <v>0</v>
      </c>
      <c r="AI149">
        <f>IF('Calc base'!D$14=0,0,MIN(W149,MAX(0,$E149-SUMIFS($V149:$AG149,'Calc base'!$C$19:$N$19,"&lt;"&amp;'Calc base'!D$19,'Calc base'!$C$14:$N$14,1))))</f>
        <v>0</v>
      </c>
      <c r="AJ149">
        <f>IF('Calc base'!E$14=0,0,MIN(X149,MAX(0,$E149-SUMIFS($V149:$AG149,'Calc base'!$C$19:$N$19,"&lt;"&amp;'Calc base'!E$19,'Calc base'!$C$14:$N$14,1))))</f>
        <v>0</v>
      </c>
      <c r="AK149">
        <f>IF('Calc base'!F$14=0,0,MIN(Y149,MAX(0,$E149-SUMIFS($V149:$AG149,'Calc base'!$C$19:$N$19,"&lt;"&amp;'Calc base'!F$19,'Calc base'!$C$14:$N$14,1))))</f>
        <v>0</v>
      </c>
      <c r="AL149">
        <f>IF('Calc base'!G$14=0,0,MIN(Z149,MAX(0,$E149-SUMIFS($V149:$AG149,'Calc base'!$C$19:$N$19,"&lt;"&amp;'Calc base'!G$19,'Calc base'!$C$14:$N$14,1))))</f>
        <v>0</v>
      </c>
      <c r="AM149">
        <f>IF('Calc base'!H$14=0,0,MIN(AA149,MAX(0,$E149-SUMIFS($V149:$AG149,'Calc base'!$C$19:$N$19,"&lt;"&amp;'Calc base'!H$19,'Calc base'!$C$14:$N$14,1))))</f>
        <v>0</v>
      </c>
      <c r="AN149">
        <f>IF('Calc base'!I$14=0,0,MIN(AB149,MAX(0,$E149-SUMIFS($V149:$AG149,'Calc base'!$C$19:$N$19,"&lt;"&amp;'Calc base'!I$19,'Calc base'!$C$14:$N$14,1))))</f>
        <v>0</v>
      </c>
      <c r="AO149">
        <f>IF('Calc base'!J$14=0,0,MIN(AC149,MAX(0,$E149-SUMIFS($V149:$AG149,'Calc base'!$C$19:$N$19,"&lt;"&amp;'Calc base'!J$19,'Calc base'!$C$14:$N$14,1))))</f>
        <v>0</v>
      </c>
      <c r="AP149">
        <f>IF('Calc base'!K$14=0,0,MIN(AD149,MAX(0,$E149-SUMIFS($V149:$AG149,'Calc base'!$C$19:$N$19,"&lt;"&amp;'Calc base'!K$19,'Calc base'!$C$14:$N$14,1))))</f>
        <v>0</v>
      </c>
      <c r="AQ149">
        <f>IF('Calc base'!L$14=0,0,MIN(AE149,MAX(0,$E149-SUMIFS($V149:$AG149,'Calc base'!$C$19:$N$19,"&lt;"&amp;'Calc base'!L$19,'Calc base'!$C$14:$N$14,1))))</f>
        <v>0</v>
      </c>
      <c r="AR149">
        <f>IF('Calc base'!M$14=0,0,MIN(AF149,MAX(0,$E149-SUMIFS($V149:$AG149,'Calc base'!$C$19:$N$19,"&lt;"&amp;'Calc base'!M$19,'Calc base'!$C$14:$N$14,1))))</f>
        <v>0</v>
      </c>
      <c r="AS149">
        <f>IF('Calc base'!N$14=0,0,MIN(AG149,MAX(0,$E149-SUMIFS($V149:$AG149,'Calc base'!$C$19:$N$19,"&lt;"&amp;'Calc base'!N$19,'Calc base'!$C$14:$N$14,1))))</f>
        <v>0</v>
      </c>
      <c r="AT149">
        <f>V149-AH149</f>
        <v>0</v>
      </c>
      <c r="AU149">
        <f>W149-AI149</f>
        <v>0</v>
      </c>
      <c r="AV149">
        <f>X149-AJ149</f>
        <v>0</v>
      </c>
      <c r="AW149">
        <f>Y149-AK149</f>
        <v>0</v>
      </c>
      <c r="AX149">
        <f>Z149-AL149</f>
        <v>0</v>
      </c>
      <c r="AY149">
        <f>AA149-AM149</f>
        <v>0</v>
      </c>
      <c r="AZ149">
        <f>AB149-AN149</f>
        <v>0</v>
      </c>
      <c r="BA149">
        <f>AC149-AO149</f>
        <v>0</v>
      </c>
      <c r="BB149">
        <f>AD149-AP149</f>
        <v>0</v>
      </c>
      <c r="BC149">
        <f>AE149-AQ149</f>
        <v>0</v>
      </c>
      <c r="BD149">
        <f>AF149-AR149</f>
        <v>0</v>
      </c>
      <c r="BE149">
        <f>AG149-AS149</f>
        <v>0</v>
      </c>
    </row>
    <row r="150">
      <c r="A150" t="n">
        <v>120</v>
      </c>
      <c r="B150">
        <f>SUMPRODUCT(ROUND($AT149:$BE149*(1+'Calc base'!$H150:$S150),2))</f>
        <v>0</v>
      </c>
      <c r="C150">
        <f>SUM(J150:U150)</f>
        <v>0</v>
      </c>
      <c r="D150">
        <f>SUM(V150:AG150)</f>
        <v>0</v>
      </c>
      <c r="E150">
        <f>MAX(0,IF(Impostazioni!$B$7="No",'Calc base'!$C150-$C$31,'Calc base'!$C150-C150)+'Calc base'!$G150+'Calc base'!$F150-(B150-C150-D150))</f>
        <v>900</v>
      </c>
      <c r="F150">
        <f>SUM(AH150:AS150)</f>
        <v>0</v>
      </c>
      <c r="G150">
        <f>SUM(AT150:BE150)</f>
        <v>0</v>
      </c>
      <c r="H150">
        <f>B150-G149</f>
        <v>0</v>
      </c>
      <c r="I150">
        <f>B150-G150</f>
        <v>0</v>
      </c>
      <c r="J150">
        <f>IF(AT149&lt;=0,0,IF(ROUND(AT149*(1+'Calc base'!H150),2)-MAX('Calc base'!C$12,ROUND('Calc base'!C$13*AT149,2))&lt;1,ROUND(AT149*(1+'Calc base'!H150),2),MAX('Calc base'!C$12,ROUND('Calc base'!C$13*AT149,2))))</f>
        <v>0</v>
      </c>
      <c r="K150">
        <f>IF(AU149&lt;=0,0,IF(ROUND(AU149*(1+'Calc base'!I150),2)-MAX('Calc base'!D$12,ROUND('Calc base'!D$13*AU149,2))&lt;1,ROUND(AU149*(1+'Calc base'!I150),2),MAX('Calc base'!D$12,ROUND('Calc base'!D$13*AU149,2))))</f>
        <v>0</v>
      </c>
      <c r="L150">
        <f>IF(AV149&lt;=0,0,IF(ROUND(AV149*(1+'Calc base'!J150),2)-MAX('Calc base'!E$12,ROUND('Calc base'!E$13*AV149,2))&lt;1,ROUND(AV149*(1+'Calc base'!J150),2),MAX('Calc base'!E$12,ROUND('Calc base'!E$13*AV149,2))))</f>
        <v>0</v>
      </c>
      <c r="M150">
        <f>IF(AW149&lt;=0,0,IF(ROUND(AW149*(1+'Calc base'!K150),2)-MAX('Calc base'!F$12,ROUND('Calc base'!F$13*AW149,2))&lt;1,ROUND(AW149*(1+'Calc base'!K150),2),MAX('Calc base'!F$12,ROUND('Calc base'!F$13*AW149,2))))</f>
        <v>0</v>
      </c>
      <c r="N150">
        <f>IF(AX149&lt;=0,0,IF(ROUND(AX149*(1+'Calc base'!L150),2)-MAX('Calc base'!G$12,ROUND('Calc base'!G$13*AX149,2))&lt;1,ROUND(AX149*(1+'Calc base'!L150),2),MAX('Calc base'!G$12,ROUND('Calc base'!G$13*AX149,2))))</f>
        <v>0</v>
      </c>
      <c r="O150">
        <f>IF(AY149&lt;=0,0,IF(ROUND(AY149*(1+'Calc base'!M150),2)-MAX('Calc base'!H$12,ROUND('Calc base'!H$13*AY149,2))&lt;1,ROUND(AY149*(1+'Calc base'!M150),2),MAX('Calc base'!H$12,ROUND('Calc base'!H$13*AY149,2))))</f>
        <v>0</v>
      </c>
      <c r="P150">
        <f>IF(AZ149&lt;=0,0,IF(ROUND(AZ149*(1+'Calc base'!N150),2)-MAX('Calc base'!I$12,ROUND('Calc base'!I$13*AZ149,2))&lt;1,ROUND(AZ149*(1+'Calc base'!N150),2),MAX('Calc base'!I$12,ROUND('Calc base'!I$13*AZ149,2))))</f>
        <v>0</v>
      </c>
      <c r="Q150">
        <f>IF(BA149&lt;=0,0,IF(ROUND(BA149*(1+'Calc base'!O150),2)-MAX('Calc base'!J$12,ROUND('Calc base'!J$13*BA149,2))&lt;1,ROUND(BA149*(1+'Calc base'!O150),2),MAX('Calc base'!J$12,ROUND('Calc base'!J$13*BA149,2))))</f>
        <v>0</v>
      </c>
      <c r="R150">
        <f>IF(BB149&lt;=0,0,IF(ROUND(BB149*(1+'Calc base'!P150),2)-MAX('Calc base'!K$12,ROUND('Calc base'!K$13*BB149,2))&lt;1,ROUND(BB149*(1+'Calc base'!P150),2),MAX('Calc base'!K$12,ROUND('Calc base'!K$13*BB149,2))))</f>
        <v>0</v>
      </c>
      <c r="S150">
        <f>IF(BC149&lt;=0,0,IF(ROUND(BC149*(1+'Calc base'!Q150),2)-MAX('Calc base'!L$12,ROUND('Calc base'!L$13*BC149,2))&lt;1,ROUND(BC149*(1+'Calc base'!Q150),2),MAX('Calc base'!L$12,ROUND('Calc base'!L$13*BC149,2))))</f>
        <v>0</v>
      </c>
      <c r="T150">
        <f>IF(BD149&lt;=0,0,IF(ROUND(BD149*(1+'Calc base'!R150),2)-MAX('Calc base'!M$12,ROUND('Calc base'!M$13*BD149,2))&lt;1,ROUND(BD149*(1+'Calc base'!R150),2),MAX('Calc base'!M$12,ROUND('Calc base'!M$13*BD149,2))))</f>
        <v>0</v>
      </c>
      <c r="U150">
        <f>IF(BE149&lt;=0,0,IF(ROUND(BE149*(1+'Calc base'!S150),2)-MAX('Calc base'!N$12,ROUND('Calc base'!N$13*BE149,2))&lt;1,ROUND(BE149*(1+'Calc base'!S150),2),MAX('Calc base'!N$12,ROUND('Calc base'!N$13*BE149,2))))</f>
        <v>0</v>
      </c>
      <c r="V150">
        <f>MAX(0,ROUND(AT149*(1+'Calc base'!H150),2)-J150-'Calc base'!T150)</f>
        <v>0</v>
      </c>
      <c r="W150">
        <f>MAX(0,ROUND(AU149*(1+'Calc base'!I150),2)-K150-'Calc base'!U150)</f>
        <v>0</v>
      </c>
      <c r="X150">
        <f>MAX(0,ROUND(AV149*(1+'Calc base'!J150),2)-L150-'Calc base'!V150)</f>
        <v>0</v>
      </c>
      <c r="Y150">
        <f>MAX(0,ROUND(AW149*(1+'Calc base'!K150),2)-M150-'Calc base'!W150)</f>
        <v>0</v>
      </c>
      <c r="Z150">
        <f>MAX(0,ROUND(AX149*(1+'Calc base'!L150),2)-N150-'Calc base'!X150)</f>
        <v>0</v>
      </c>
      <c r="AA150">
        <f>MAX(0,ROUND(AY149*(1+'Calc base'!M150),2)-O150-'Calc base'!Y150)</f>
        <v>0</v>
      </c>
      <c r="AB150">
        <f>MAX(0,ROUND(AZ149*(1+'Calc base'!N150),2)-P150-'Calc base'!Z150)</f>
        <v>0</v>
      </c>
      <c r="AC150">
        <f>MAX(0,ROUND(BA149*(1+'Calc base'!O150),2)-Q150-'Calc base'!AA150)</f>
        <v>0</v>
      </c>
      <c r="AD150">
        <f>MAX(0,ROUND(BB149*(1+'Calc base'!P150),2)-R150-'Calc base'!AB150)</f>
        <v>0</v>
      </c>
      <c r="AE150">
        <f>MAX(0,ROUND(BC149*(1+'Calc base'!Q150),2)-S150-'Calc base'!AC150)</f>
        <v>0</v>
      </c>
      <c r="AF150">
        <f>MAX(0,ROUND(BD149*(1+'Calc base'!R150),2)-T150-'Calc base'!AD150)</f>
        <v>0</v>
      </c>
      <c r="AG150">
        <f>MAX(0,ROUND(BE149*(1+'Calc base'!S150),2)-U150-'Calc base'!AE150)</f>
        <v>0</v>
      </c>
      <c r="AH150">
        <f>IF('Calc base'!C$14=0,0,MIN(V150,MAX(0,$E150-SUMIFS($V150:$AG150,'Calc base'!$C$19:$N$19,"&lt;"&amp;'Calc base'!C$19,'Calc base'!$C$14:$N$14,1))))</f>
        <v>0</v>
      </c>
      <c r="AI150">
        <f>IF('Calc base'!D$14=0,0,MIN(W150,MAX(0,$E150-SUMIFS($V150:$AG150,'Calc base'!$C$19:$N$19,"&lt;"&amp;'Calc base'!D$19,'Calc base'!$C$14:$N$14,1))))</f>
        <v>0</v>
      </c>
      <c r="AJ150">
        <f>IF('Calc base'!E$14=0,0,MIN(X150,MAX(0,$E150-SUMIFS($V150:$AG150,'Calc base'!$C$19:$N$19,"&lt;"&amp;'Calc base'!E$19,'Calc base'!$C$14:$N$14,1))))</f>
        <v>0</v>
      </c>
      <c r="AK150">
        <f>IF('Calc base'!F$14=0,0,MIN(Y150,MAX(0,$E150-SUMIFS($V150:$AG150,'Calc base'!$C$19:$N$19,"&lt;"&amp;'Calc base'!F$19,'Calc base'!$C$14:$N$14,1))))</f>
        <v>0</v>
      </c>
      <c r="AL150">
        <f>IF('Calc base'!G$14=0,0,MIN(Z150,MAX(0,$E150-SUMIFS($V150:$AG150,'Calc base'!$C$19:$N$19,"&lt;"&amp;'Calc base'!G$19,'Calc base'!$C$14:$N$14,1))))</f>
        <v>0</v>
      </c>
      <c r="AM150">
        <f>IF('Calc base'!H$14=0,0,MIN(AA150,MAX(0,$E150-SUMIFS($V150:$AG150,'Calc base'!$C$19:$N$19,"&lt;"&amp;'Calc base'!H$19,'Calc base'!$C$14:$N$14,1))))</f>
        <v>0</v>
      </c>
      <c r="AN150">
        <f>IF('Calc base'!I$14=0,0,MIN(AB150,MAX(0,$E150-SUMIFS($V150:$AG150,'Calc base'!$C$19:$N$19,"&lt;"&amp;'Calc base'!I$19,'Calc base'!$C$14:$N$14,1))))</f>
        <v>0</v>
      </c>
      <c r="AO150">
        <f>IF('Calc base'!J$14=0,0,MIN(AC150,MAX(0,$E150-SUMIFS($V150:$AG150,'Calc base'!$C$19:$N$19,"&lt;"&amp;'Calc base'!J$19,'Calc base'!$C$14:$N$14,1))))</f>
        <v>0</v>
      </c>
      <c r="AP150">
        <f>IF('Calc base'!K$14=0,0,MIN(AD150,MAX(0,$E150-SUMIFS($V150:$AG150,'Calc base'!$C$19:$N$19,"&lt;"&amp;'Calc base'!K$19,'Calc base'!$C$14:$N$14,1))))</f>
        <v>0</v>
      </c>
      <c r="AQ150">
        <f>IF('Calc base'!L$14=0,0,MIN(AE150,MAX(0,$E150-SUMIFS($V150:$AG150,'Calc base'!$C$19:$N$19,"&lt;"&amp;'Calc base'!L$19,'Calc base'!$C$14:$N$14,1))))</f>
        <v>0</v>
      </c>
      <c r="AR150">
        <f>IF('Calc base'!M$14=0,0,MIN(AF150,MAX(0,$E150-SUMIFS($V150:$AG150,'Calc base'!$C$19:$N$19,"&lt;"&amp;'Calc base'!M$19,'Calc base'!$C$14:$N$14,1))))</f>
        <v>0</v>
      </c>
      <c r="AS150">
        <f>IF('Calc base'!N$14=0,0,MIN(AG150,MAX(0,$E150-SUMIFS($V150:$AG150,'Calc base'!$C$19:$N$19,"&lt;"&amp;'Calc base'!N$19,'Calc base'!$C$14:$N$14,1))))</f>
        <v>0</v>
      </c>
      <c r="AT150">
        <f>V150-AH150</f>
        <v>0</v>
      </c>
      <c r="AU150">
        <f>W150-AI150</f>
        <v>0</v>
      </c>
      <c r="AV150">
        <f>X150-AJ150</f>
        <v>0</v>
      </c>
      <c r="AW150">
        <f>Y150-AK150</f>
        <v>0</v>
      </c>
      <c r="AX150">
        <f>Z150-AL150</f>
        <v>0</v>
      </c>
      <c r="AY150">
        <f>AA150-AM150</f>
        <v>0</v>
      </c>
      <c r="AZ150">
        <f>AB150-AN150</f>
        <v>0</v>
      </c>
      <c r="BA150">
        <f>AC150-AO150</f>
        <v>0</v>
      </c>
      <c r="BB150">
        <f>AD150-AP150</f>
        <v>0</v>
      </c>
      <c r="BC150">
        <f>AE150-AQ150</f>
        <v>0</v>
      </c>
      <c r="BD150">
        <f>AF150-AR150</f>
        <v>0</v>
      </c>
      <c r="BE150">
        <f>AG150-AS150</f>
        <v>0</v>
      </c>
    </row>
    <row r="151">
      <c r="A151" t="n">
        <v>121</v>
      </c>
      <c r="B151">
        <f>SUMPRODUCT(ROUND($AT150:$BE150*(1+'Calc base'!$H151:$S151),2))</f>
        <v>0</v>
      </c>
      <c r="C151">
        <f>SUM(J151:U151)</f>
        <v>0</v>
      </c>
      <c r="D151">
        <f>SUM(V151:AG151)</f>
        <v>0</v>
      </c>
      <c r="E151">
        <f>MAX(0,IF(Impostazioni!$B$7="No",'Calc base'!$C151-$C$31,'Calc base'!$C151-C151)+'Calc base'!$G151+'Calc base'!$F151-(B151-C151-D151))</f>
        <v>900</v>
      </c>
      <c r="F151">
        <f>SUM(AH151:AS151)</f>
        <v>0</v>
      </c>
      <c r="G151">
        <f>SUM(AT151:BE151)</f>
        <v>0</v>
      </c>
      <c r="H151">
        <f>B151-G150</f>
        <v>0</v>
      </c>
      <c r="I151">
        <f>B151-G151</f>
        <v>0</v>
      </c>
      <c r="J151">
        <f>IF(AT150&lt;=0,0,IF(ROUND(AT150*(1+'Calc base'!H151),2)-MAX('Calc base'!C$12,ROUND('Calc base'!C$13*AT150,2))&lt;1,ROUND(AT150*(1+'Calc base'!H151),2),MAX('Calc base'!C$12,ROUND('Calc base'!C$13*AT150,2))))</f>
        <v>0</v>
      </c>
      <c r="K151">
        <f>IF(AU150&lt;=0,0,IF(ROUND(AU150*(1+'Calc base'!I151),2)-MAX('Calc base'!D$12,ROUND('Calc base'!D$13*AU150,2))&lt;1,ROUND(AU150*(1+'Calc base'!I151),2),MAX('Calc base'!D$12,ROUND('Calc base'!D$13*AU150,2))))</f>
        <v>0</v>
      </c>
      <c r="L151">
        <f>IF(AV150&lt;=0,0,IF(ROUND(AV150*(1+'Calc base'!J151),2)-MAX('Calc base'!E$12,ROUND('Calc base'!E$13*AV150,2))&lt;1,ROUND(AV150*(1+'Calc base'!J151),2),MAX('Calc base'!E$12,ROUND('Calc base'!E$13*AV150,2))))</f>
        <v>0</v>
      </c>
      <c r="M151">
        <f>IF(AW150&lt;=0,0,IF(ROUND(AW150*(1+'Calc base'!K151),2)-MAX('Calc base'!F$12,ROUND('Calc base'!F$13*AW150,2))&lt;1,ROUND(AW150*(1+'Calc base'!K151),2),MAX('Calc base'!F$12,ROUND('Calc base'!F$13*AW150,2))))</f>
        <v>0</v>
      </c>
      <c r="N151">
        <f>IF(AX150&lt;=0,0,IF(ROUND(AX150*(1+'Calc base'!L151),2)-MAX('Calc base'!G$12,ROUND('Calc base'!G$13*AX150,2))&lt;1,ROUND(AX150*(1+'Calc base'!L151),2),MAX('Calc base'!G$12,ROUND('Calc base'!G$13*AX150,2))))</f>
        <v>0</v>
      </c>
      <c r="O151">
        <f>IF(AY150&lt;=0,0,IF(ROUND(AY150*(1+'Calc base'!M151),2)-MAX('Calc base'!H$12,ROUND('Calc base'!H$13*AY150,2))&lt;1,ROUND(AY150*(1+'Calc base'!M151),2),MAX('Calc base'!H$12,ROUND('Calc base'!H$13*AY150,2))))</f>
        <v>0</v>
      </c>
      <c r="P151">
        <f>IF(AZ150&lt;=0,0,IF(ROUND(AZ150*(1+'Calc base'!N151),2)-MAX('Calc base'!I$12,ROUND('Calc base'!I$13*AZ150,2))&lt;1,ROUND(AZ150*(1+'Calc base'!N151),2),MAX('Calc base'!I$12,ROUND('Calc base'!I$13*AZ150,2))))</f>
        <v>0</v>
      </c>
      <c r="Q151">
        <f>IF(BA150&lt;=0,0,IF(ROUND(BA150*(1+'Calc base'!O151),2)-MAX('Calc base'!J$12,ROUND('Calc base'!J$13*BA150,2))&lt;1,ROUND(BA150*(1+'Calc base'!O151),2),MAX('Calc base'!J$12,ROUND('Calc base'!J$13*BA150,2))))</f>
        <v>0</v>
      </c>
      <c r="R151">
        <f>IF(BB150&lt;=0,0,IF(ROUND(BB150*(1+'Calc base'!P151),2)-MAX('Calc base'!K$12,ROUND('Calc base'!K$13*BB150,2))&lt;1,ROUND(BB150*(1+'Calc base'!P151),2),MAX('Calc base'!K$12,ROUND('Calc base'!K$13*BB150,2))))</f>
        <v>0</v>
      </c>
      <c r="S151">
        <f>IF(BC150&lt;=0,0,IF(ROUND(BC150*(1+'Calc base'!Q151),2)-MAX('Calc base'!L$12,ROUND('Calc base'!L$13*BC150,2))&lt;1,ROUND(BC150*(1+'Calc base'!Q151),2),MAX('Calc base'!L$12,ROUND('Calc base'!L$13*BC150,2))))</f>
        <v>0</v>
      </c>
      <c r="T151">
        <f>IF(BD150&lt;=0,0,IF(ROUND(BD150*(1+'Calc base'!R151),2)-MAX('Calc base'!M$12,ROUND('Calc base'!M$13*BD150,2))&lt;1,ROUND(BD150*(1+'Calc base'!R151),2),MAX('Calc base'!M$12,ROUND('Calc base'!M$13*BD150,2))))</f>
        <v>0</v>
      </c>
      <c r="U151">
        <f>IF(BE150&lt;=0,0,IF(ROUND(BE150*(1+'Calc base'!S151),2)-MAX('Calc base'!N$12,ROUND('Calc base'!N$13*BE150,2))&lt;1,ROUND(BE150*(1+'Calc base'!S151),2),MAX('Calc base'!N$12,ROUND('Calc base'!N$13*BE150,2))))</f>
        <v>0</v>
      </c>
      <c r="V151">
        <f>MAX(0,ROUND(AT150*(1+'Calc base'!H151),2)-J151-'Calc base'!T151)</f>
        <v>0</v>
      </c>
      <c r="W151">
        <f>MAX(0,ROUND(AU150*(1+'Calc base'!I151),2)-K151-'Calc base'!U151)</f>
        <v>0</v>
      </c>
      <c r="X151">
        <f>MAX(0,ROUND(AV150*(1+'Calc base'!J151),2)-L151-'Calc base'!V151)</f>
        <v>0</v>
      </c>
      <c r="Y151">
        <f>MAX(0,ROUND(AW150*(1+'Calc base'!K151),2)-M151-'Calc base'!W151)</f>
        <v>0</v>
      </c>
      <c r="Z151">
        <f>MAX(0,ROUND(AX150*(1+'Calc base'!L151),2)-N151-'Calc base'!X151)</f>
        <v>0</v>
      </c>
      <c r="AA151">
        <f>MAX(0,ROUND(AY150*(1+'Calc base'!M151),2)-O151-'Calc base'!Y151)</f>
        <v>0</v>
      </c>
      <c r="AB151">
        <f>MAX(0,ROUND(AZ150*(1+'Calc base'!N151),2)-P151-'Calc base'!Z151)</f>
        <v>0</v>
      </c>
      <c r="AC151">
        <f>MAX(0,ROUND(BA150*(1+'Calc base'!O151),2)-Q151-'Calc base'!AA151)</f>
        <v>0</v>
      </c>
      <c r="AD151">
        <f>MAX(0,ROUND(BB150*(1+'Calc base'!P151),2)-R151-'Calc base'!AB151)</f>
        <v>0</v>
      </c>
      <c r="AE151">
        <f>MAX(0,ROUND(BC150*(1+'Calc base'!Q151),2)-S151-'Calc base'!AC151)</f>
        <v>0</v>
      </c>
      <c r="AF151">
        <f>MAX(0,ROUND(BD150*(1+'Calc base'!R151),2)-T151-'Calc base'!AD151)</f>
        <v>0</v>
      </c>
      <c r="AG151">
        <f>MAX(0,ROUND(BE150*(1+'Calc base'!S151),2)-U151-'Calc base'!AE151)</f>
        <v>0</v>
      </c>
      <c r="AH151">
        <f>IF('Calc base'!C$14=0,0,MIN(V151,MAX(0,$E151-SUMIFS($V151:$AG151,'Calc base'!$C$19:$N$19,"&lt;"&amp;'Calc base'!C$19,'Calc base'!$C$14:$N$14,1))))</f>
        <v>0</v>
      </c>
      <c r="AI151">
        <f>IF('Calc base'!D$14=0,0,MIN(W151,MAX(0,$E151-SUMIFS($V151:$AG151,'Calc base'!$C$19:$N$19,"&lt;"&amp;'Calc base'!D$19,'Calc base'!$C$14:$N$14,1))))</f>
        <v>0</v>
      </c>
      <c r="AJ151">
        <f>IF('Calc base'!E$14=0,0,MIN(X151,MAX(0,$E151-SUMIFS($V151:$AG151,'Calc base'!$C$19:$N$19,"&lt;"&amp;'Calc base'!E$19,'Calc base'!$C$14:$N$14,1))))</f>
        <v>0</v>
      </c>
      <c r="AK151">
        <f>IF('Calc base'!F$14=0,0,MIN(Y151,MAX(0,$E151-SUMIFS($V151:$AG151,'Calc base'!$C$19:$N$19,"&lt;"&amp;'Calc base'!F$19,'Calc base'!$C$14:$N$14,1))))</f>
        <v>0</v>
      </c>
      <c r="AL151">
        <f>IF('Calc base'!G$14=0,0,MIN(Z151,MAX(0,$E151-SUMIFS($V151:$AG151,'Calc base'!$C$19:$N$19,"&lt;"&amp;'Calc base'!G$19,'Calc base'!$C$14:$N$14,1))))</f>
        <v>0</v>
      </c>
      <c r="AM151">
        <f>IF('Calc base'!H$14=0,0,MIN(AA151,MAX(0,$E151-SUMIFS($V151:$AG151,'Calc base'!$C$19:$N$19,"&lt;"&amp;'Calc base'!H$19,'Calc base'!$C$14:$N$14,1))))</f>
        <v>0</v>
      </c>
      <c r="AN151">
        <f>IF('Calc base'!I$14=0,0,MIN(AB151,MAX(0,$E151-SUMIFS($V151:$AG151,'Calc base'!$C$19:$N$19,"&lt;"&amp;'Calc base'!I$19,'Calc base'!$C$14:$N$14,1))))</f>
        <v>0</v>
      </c>
      <c r="AO151">
        <f>IF('Calc base'!J$14=0,0,MIN(AC151,MAX(0,$E151-SUMIFS($V151:$AG151,'Calc base'!$C$19:$N$19,"&lt;"&amp;'Calc base'!J$19,'Calc base'!$C$14:$N$14,1))))</f>
        <v>0</v>
      </c>
      <c r="AP151">
        <f>IF('Calc base'!K$14=0,0,MIN(AD151,MAX(0,$E151-SUMIFS($V151:$AG151,'Calc base'!$C$19:$N$19,"&lt;"&amp;'Calc base'!K$19,'Calc base'!$C$14:$N$14,1))))</f>
        <v>0</v>
      </c>
      <c r="AQ151">
        <f>IF('Calc base'!L$14=0,0,MIN(AE151,MAX(0,$E151-SUMIFS($V151:$AG151,'Calc base'!$C$19:$N$19,"&lt;"&amp;'Calc base'!L$19,'Calc base'!$C$14:$N$14,1))))</f>
        <v>0</v>
      </c>
      <c r="AR151">
        <f>IF('Calc base'!M$14=0,0,MIN(AF151,MAX(0,$E151-SUMIFS($V151:$AG151,'Calc base'!$C$19:$N$19,"&lt;"&amp;'Calc base'!M$19,'Calc base'!$C$14:$N$14,1))))</f>
        <v>0</v>
      </c>
      <c r="AS151">
        <f>IF('Calc base'!N$14=0,0,MIN(AG151,MAX(0,$E151-SUMIFS($V151:$AG151,'Calc base'!$C$19:$N$19,"&lt;"&amp;'Calc base'!N$19,'Calc base'!$C$14:$N$14,1))))</f>
        <v>0</v>
      </c>
      <c r="AT151">
        <f>V151-AH151</f>
        <v>0</v>
      </c>
      <c r="AU151">
        <f>W151-AI151</f>
        <v>0</v>
      </c>
      <c r="AV151">
        <f>X151-AJ151</f>
        <v>0</v>
      </c>
      <c r="AW151">
        <f>Y151-AK151</f>
        <v>0</v>
      </c>
      <c r="AX151">
        <f>Z151-AL151</f>
        <v>0</v>
      </c>
      <c r="AY151">
        <f>AA151-AM151</f>
        <v>0</v>
      </c>
      <c r="AZ151">
        <f>AB151-AN151</f>
        <v>0</v>
      </c>
      <c r="BA151">
        <f>AC151-AO151</f>
        <v>0</v>
      </c>
      <c r="BB151">
        <f>AD151-AP151</f>
        <v>0</v>
      </c>
      <c r="BC151">
        <f>AE151-AQ151</f>
        <v>0</v>
      </c>
      <c r="BD151">
        <f>AF151-AR151</f>
        <v>0</v>
      </c>
      <c r="BE151">
        <f>AG151-AS151</f>
        <v>0</v>
      </c>
    </row>
    <row r="152">
      <c r="A152" t="n">
        <v>122</v>
      </c>
      <c r="B152">
        <f>SUMPRODUCT(ROUND($AT151:$BE151*(1+'Calc base'!$H152:$S152),2))</f>
        <v>0</v>
      </c>
      <c r="C152">
        <f>SUM(J152:U152)</f>
        <v>0</v>
      </c>
      <c r="D152">
        <f>SUM(V152:AG152)</f>
        <v>0</v>
      </c>
      <c r="E152">
        <f>MAX(0,IF(Impostazioni!$B$7="No",'Calc base'!$C152-$C$31,'Calc base'!$C152-C152)+'Calc base'!$G152+'Calc base'!$F152-(B152-C152-D152))</f>
        <v>900</v>
      </c>
      <c r="F152">
        <f>SUM(AH152:AS152)</f>
        <v>0</v>
      </c>
      <c r="G152">
        <f>SUM(AT152:BE152)</f>
        <v>0</v>
      </c>
      <c r="H152">
        <f>B152-G151</f>
        <v>0</v>
      </c>
      <c r="I152">
        <f>B152-G152</f>
        <v>0</v>
      </c>
      <c r="J152">
        <f>IF(AT151&lt;=0,0,IF(ROUND(AT151*(1+'Calc base'!H152),2)-MAX('Calc base'!C$12,ROUND('Calc base'!C$13*AT151,2))&lt;1,ROUND(AT151*(1+'Calc base'!H152),2),MAX('Calc base'!C$12,ROUND('Calc base'!C$13*AT151,2))))</f>
        <v>0</v>
      </c>
      <c r="K152">
        <f>IF(AU151&lt;=0,0,IF(ROUND(AU151*(1+'Calc base'!I152),2)-MAX('Calc base'!D$12,ROUND('Calc base'!D$13*AU151,2))&lt;1,ROUND(AU151*(1+'Calc base'!I152),2),MAX('Calc base'!D$12,ROUND('Calc base'!D$13*AU151,2))))</f>
        <v>0</v>
      </c>
      <c r="L152">
        <f>IF(AV151&lt;=0,0,IF(ROUND(AV151*(1+'Calc base'!J152),2)-MAX('Calc base'!E$12,ROUND('Calc base'!E$13*AV151,2))&lt;1,ROUND(AV151*(1+'Calc base'!J152),2),MAX('Calc base'!E$12,ROUND('Calc base'!E$13*AV151,2))))</f>
        <v>0</v>
      </c>
      <c r="M152">
        <f>IF(AW151&lt;=0,0,IF(ROUND(AW151*(1+'Calc base'!K152),2)-MAX('Calc base'!F$12,ROUND('Calc base'!F$13*AW151,2))&lt;1,ROUND(AW151*(1+'Calc base'!K152),2),MAX('Calc base'!F$12,ROUND('Calc base'!F$13*AW151,2))))</f>
        <v>0</v>
      </c>
      <c r="N152">
        <f>IF(AX151&lt;=0,0,IF(ROUND(AX151*(1+'Calc base'!L152),2)-MAX('Calc base'!G$12,ROUND('Calc base'!G$13*AX151,2))&lt;1,ROUND(AX151*(1+'Calc base'!L152),2),MAX('Calc base'!G$12,ROUND('Calc base'!G$13*AX151,2))))</f>
        <v>0</v>
      </c>
      <c r="O152">
        <f>IF(AY151&lt;=0,0,IF(ROUND(AY151*(1+'Calc base'!M152),2)-MAX('Calc base'!H$12,ROUND('Calc base'!H$13*AY151,2))&lt;1,ROUND(AY151*(1+'Calc base'!M152),2),MAX('Calc base'!H$12,ROUND('Calc base'!H$13*AY151,2))))</f>
        <v>0</v>
      </c>
      <c r="P152">
        <f>IF(AZ151&lt;=0,0,IF(ROUND(AZ151*(1+'Calc base'!N152),2)-MAX('Calc base'!I$12,ROUND('Calc base'!I$13*AZ151,2))&lt;1,ROUND(AZ151*(1+'Calc base'!N152),2),MAX('Calc base'!I$12,ROUND('Calc base'!I$13*AZ151,2))))</f>
        <v>0</v>
      </c>
      <c r="Q152">
        <f>IF(BA151&lt;=0,0,IF(ROUND(BA151*(1+'Calc base'!O152),2)-MAX('Calc base'!J$12,ROUND('Calc base'!J$13*BA151,2))&lt;1,ROUND(BA151*(1+'Calc base'!O152),2),MAX('Calc base'!J$12,ROUND('Calc base'!J$13*BA151,2))))</f>
        <v>0</v>
      </c>
      <c r="R152">
        <f>IF(BB151&lt;=0,0,IF(ROUND(BB151*(1+'Calc base'!P152),2)-MAX('Calc base'!K$12,ROUND('Calc base'!K$13*BB151,2))&lt;1,ROUND(BB151*(1+'Calc base'!P152),2),MAX('Calc base'!K$12,ROUND('Calc base'!K$13*BB151,2))))</f>
        <v>0</v>
      </c>
      <c r="S152">
        <f>IF(BC151&lt;=0,0,IF(ROUND(BC151*(1+'Calc base'!Q152),2)-MAX('Calc base'!L$12,ROUND('Calc base'!L$13*BC151,2))&lt;1,ROUND(BC151*(1+'Calc base'!Q152),2),MAX('Calc base'!L$12,ROUND('Calc base'!L$13*BC151,2))))</f>
        <v>0</v>
      </c>
      <c r="T152">
        <f>IF(BD151&lt;=0,0,IF(ROUND(BD151*(1+'Calc base'!R152),2)-MAX('Calc base'!M$12,ROUND('Calc base'!M$13*BD151,2))&lt;1,ROUND(BD151*(1+'Calc base'!R152),2),MAX('Calc base'!M$12,ROUND('Calc base'!M$13*BD151,2))))</f>
        <v>0</v>
      </c>
      <c r="U152">
        <f>IF(BE151&lt;=0,0,IF(ROUND(BE151*(1+'Calc base'!S152),2)-MAX('Calc base'!N$12,ROUND('Calc base'!N$13*BE151,2))&lt;1,ROUND(BE151*(1+'Calc base'!S152),2),MAX('Calc base'!N$12,ROUND('Calc base'!N$13*BE151,2))))</f>
        <v>0</v>
      </c>
      <c r="V152">
        <f>MAX(0,ROUND(AT151*(1+'Calc base'!H152),2)-J152-'Calc base'!T152)</f>
        <v>0</v>
      </c>
      <c r="W152">
        <f>MAX(0,ROUND(AU151*(1+'Calc base'!I152),2)-K152-'Calc base'!U152)</f>
        <v>0</v>
      </c>
      <c r="X152">
        <f>MAX(0,ROUND(AV151*(1+'Calc base'!J152),2)-L152-'Calc base'!V152)</f>
        <v>0</v>
      </c>
      <c r="Y152">
        <f>MAX(0,ROUND(AW151*(1+'Calc base'!K152),2)-M152-'Calc base'!W152)</f>
        <v>0</v>
      </c>
      <c r="Z152">
        <f>MAX(0,ROUND(AX151*(1+'Calc base'!L152),2)-N152-'Calc base'!X152)</f>
        <v>0</v>
      </c>
      <c r="AA152">
        <f>MAX(0,ROUND(AY151*(1+'Calc base'!M152),2)-O152-'Calc base'!Y152)</f>
        <v>0</v>
      </c>
      <c r="AB152">
        <f>MAX(0,ROUND(AZ151*(1+'Calc base'!N152),2)-P152-'Calc base'!Z152)</f>
        <v>0</v>
      </c>
      <c r="AC152">
        <f>MAX(0,ROUND(BA151*(1+'Calc base'!O152),2)-Q152-'Calc base'!AA152)</f>
        <v>0</v>
      </c>
      <c r="AD152">
        <f>MAX(0,ROUND(BB151*(1+'Calc base'!P152),2)-R152-'Calc base'!AB152)</f>
        <v>0</v>
      </c>
      <c r="AE152">
        <f>MAX(0,ROUND(BC151*(1+'Calc base'!Q152),2)-S152-'Calc base'!AC152)</f>
        <v>0</v>
      </c>
      <c r="AF152">
        <f>MAX(0,ROUND(BD151*(1+'Calc base'!R152),2)-T152-'Calc base'!AD152)</f>
        <v>0</v>
      </c>
      <c r="AG152">
        <f>MAX(0,ROUND(BE151*(1+'Calc base'!S152),2)-U152-'Calc base'!AE152)</f>
        <v>0</v>
      </c>
      <c r="AH152">
        <f>IF('Calc base'!C$14=0,0,MIN(V152,MAX(0,$E152-SUMIFS($V152:$AG152,'Calc base'!$C$19:$N$19,"&lt;"&amp;'Calc base'!C$19,'Calc base'!$C$14:$N$14,1))))</f>
        <v>0</v>
      </c>
      <c r="AI152">
        <f>IF('Calc base'!D$14=0,0,MIN(W152,MAX(0,$E152-SUMIFS($V152:$AG152,'Calc base'!$C$19:$N$19,"&lt;"&amp;'Calc base'!D$19,'Calc base'!$C$14:$N$14,1))))</f>
        <v>0</v>
      </c>
      <c r="AJ152">
        <f>IF('Calc base'!E$14=0,0,MIN(X152,MAX(0,$E152-SUMIFS($V152:$AG152,'Calc base'!$C$19:$N$19,"&lt;"&amp;'Calc base'!E$19,'Calc base'!$C$14:$N$14,1))))</f>
        <v>0</v>
      </c>
      <c r="AK152">
        <f>IF('Calc base'!F$14=0,0,MIN(Y152,MAX(0,$E152-SUMIFS($V152:$AG152,'Calc base'!$C$19:$N$19,"&lt;"&amp;'Calc base'!F$19,'Calc base'!$C$14:$N$14,1))))</f>
        <v>0</v>
      </c>
      <c r="AL152">
        <f>IF('Calc base'!G$14=0,0,MIN(Z152,MAX(0,$E152-SUMIFS($V152:$AG152,'Calc base'!$C$19:$N$19,"&lt;"&amp;'Calc base'!G$19,'Calc base'!$C$14:$N$14,1))))</f>
        <v>0</v>
      </c>
      <c r="AM152">
        <f>IF('Calc base'!H$14=0,0,MIN(AA152,MAX(0,$E152-SUMIFS($V152:$AG152,'Calc base'!$C$19:$N$19,"&lt;"&amp;'Calc base'!H$19,'Calc base'!$C$14:$N$14,1))))</f>
        <v>0</v>
      </c>
      <c r="AN152">
        <f>IF('Calc base'!I$14=0,0,MIN(AB152,MAX(0,$E152-SUMIFS($V152:$AG152,'Calc base'!$C$19:$N$19,"&lt;"&amp;'Calc base'!I$19,'Calc base'!$C$14:$N$14,1))))</f>
        <v>0</v>
      </c>
      <c r="AO152">
        <f>IF('Calc base'!J$14=0,0,MIN(AC152,MAX(0,$E152-SUMIFS($V152:$AG152,'Calc base'!$C$19:$N$19,"&lt;"&amp;'Calc base'!J$19,'Calc base'!$C$14:$N$14,1))))</f>
        <v>0</v>
      </c>
      <c r="AP152">
        <f>IF('Calc base'!K$14=0,0,MIN(AD152,MAX(0,$E152-SUMIFS($V152:$AG152,'Calc base'!$C$19:$N$19,"&lt;"&amp;'Calc base'!K$19,'Calc base'!$C$14:$N$14,1))))</f>
        <v>0</v>
      </c>
      <c r="AQ152">
        <f>IF('Calc base'!L$14=0,0,MIN(AE152,MAX(0,$E152-SUMIFS($V152:$AG152,'Calc base'!$C$19:$N$19,"&lt;"&amp;'Calc base'!L$19,'Calc base'!$C$14:$N$14,1))))</f>
        <v>0</v>
      </c>
      <c r="AR152">
        <f>IF('Calc base'!M$14=0,0,MIN(AF152,MAX(0,$E152-SUMIFS($V152:$AG152,'Calc base'!$C$19:$N$19,"&lt;"&amp;'Calc base'!M$19,'Calc base'!$C$14:$N$14,1))))</f>
        <v>0</v>
      </c>
      <c r="AS152">
        <f>IF('Calc base'!N$14=0,0,MIN(AG152,MAX(0,$E152-SUMIFS($V152:$AG152,'Calc base'!$C$19:$N$19,"&lt;"&amp;'Calc base'!N$19,'Calc base'!$C$14:$N$14,1))))</f>
        <v>0</v>
      </c>
      <c r="AT152">
        <f>V152-AH152</f>
        <v>0</v>
      </c>
      <c r="AU152">
        <f>W152-AI152</f>
        <v>0</v>
      </c>
      <c r="AV152">
        <f>X152-AJ152</f>
        <v>0</v>
      </c>
      <c r="AW152">
        <f>Y152-AK152</f>
        <v>0</v>
      </c>
      <c r="AX152">
        <f>Z152-AL152</f>
        <v>0</v>
      </c>
      <c r="AY152">
        <f>AA152-AM152</f>
        <v>0</v>
      </c>
      <c r="AZ152">
        <f>AB152-AN152</f>
        <v>0</v>
      </c>
      <c r="BA152">
        <f>AC152-AO152</f>
        <v>0</v>
      </c>
      <c r="BB152">
        <f>AD152-AP152</f>
        <v>0</v>
      </c>
      <c r="BC152">
        <f>AE152-AQ152</f>
        <v>0</v>
      </c>
      <c r="BD152">
        <f>AF152-AR152</f>
        <v>0</v>
      </c>
      <c r="BE152">
        <f>AG152-AS152</f>
        <v>0</v>
      </c>
    </row>
    <row r="153">
      <c r="A153" t="n">
        <v>123</v>
      </c>
      <c r="B153">
        <f>SUMPRODUCT(ROUND($AT152:$BE152*(1+'Calc base'!$H153:$S153),2))</f>
        <v>0</v>
      </c>
      <c r="C153">
        <f>SUM(J153:U153)</f>
        <v>0</v>
      </c>
      <c r="D153">
        <f>SUM(V153:AG153)</f>
        <v>0</v>
      </c>
      <c r="E153">
        <f>MAX(0,IF(Impostazioni!$B$7="No",'Calc base'!$C153-$C$31,'Calc base'!$C153-C153)+'Calc base'!$G153+'Calc base'!$F153-(B153-C153-D153))</f>
        <v>900</v>
      </c>
      <c r="F153">
        <f>SUM(AH153:AS153)</f>
        <v>0</v>
      </c>
      <c r="G153">
        <f>SUM(AT153:BE153)</f>
        <v>0</v>
      </c>
      <c r="H153">
        <f>B153-G152</f>
        <v>0</v>
      </c>
      <c r="I153">
        <f>B153-G153</f>
        <v>0</v>
      </c>
      <c r="J153">
        <f>IF(AT152&lt;=0,0,IF(ROUND(AT152*(1+'Calc base'!H153),2)-MAX('Calc base'!C$12,ROUND('Calc base'!C$13*AT152,2))&lt;1,ROUND(AT152*(1+'Calc base'!H153),2),MAX('Calc base'!C$12,ROUND('Calc base'!C$13*AT152,2))))</f>
        <v>0</v>
      </c>
      <c r="K153">
        <f>IF(AU152&lt;=0,0,IF(ROUND(AU152*(1+'Calc base'!I153),2)-MAX('Calc base'!D$12,ROUND('Calc base'!D$13*AU152,2))&lt;1,ROUND(AU152*(1+'Calc base'!I153),2),MAX('Calc base'!D$12,ROUND('Calc base'!D$13*AU152,2))))</f>
        <v>0</v>
      </c>
      <c r="L153">
        <f>IF(AV152&lt;=0,0,IF(ROUND(AV152*(1+'Calc base'!J153),2)-MAX('Calc base'!E$12,ROUND('Calc base'!E$13*AV152,2))&lt;1,ROUND(AV152*(1+'Calc base'!J153),2),MAX('Calc base'!E$12,ROUND('Calc base'!E$13*AV152,2))))</f>
        <v>0</v>
      </c>
      <c r="M153">
        <f>IF(AW152&lt;=0,0,IF(ROUND(AW152*(1+'Calc base'!K153),2)-MAX('Calc base'!F$12,ROUND('Calc base'!F$13*AW152,2))&lt;1,ROUND(AW152*(1+'Calc base'!K153),2),MAX('Calc base'!F$12,ROUND('Calc base'!F$13*AW152,2))))</f>
        <v>0</v>
      </c>
      <c r="N153">
        <f>IF(AX152&lt;=0,0,IF(ROUND(AX152*(1+'Calc base'!L153),2)-MAX('Calc base'!G$12,ROUND('Calc base'!G$13*AX152,2))&lt;1,ROUND(AX152*(1+'Calc base'!L153),2),MAX('Calc base'!G$12,ROUND('Calc base'!G$13*AX152,2))))</f>
        <v>0</v>
      </c>
      <c r="O153">
        <f>IF(AY152&lt;=0,0,IF(ROUND(AY152*(1+'Calc base'!M153),2)-MAX('Calc base'!H$12,ROUND('Calc base'!H$13*AY152,2))&lt;1,ROUND(AY152*(1+'Calc base'!M153),2),MAX('Calc base'!H$12,ROUND('Calc base'!H$13*AY152,2))))</f>
        <v>0</v>
      </c>
      <c r="P153">
        <f>IF(AZ152&lt;=0,0,IF(ROUND(AZ152*(1+'Calc base'!N153),2)-MAX('Calc base'!I$12,ROUND('Calc base'!I$13*AZ152,2))&lt;1,ROUND(AZ152*(1+'Calc base'!N153),2),MAX('Calc base'!I$12,ROUND('Calc base'!I$13*AZ152,2))))</f>
        <v>0</v>
      </c>
      <c r="Q153">
        <f>IF(BA152&lt;=0,0,IF(ROUND(BA152*(1+'Calc base'!O153),2)-MAX('Calc base'!J$12,ROUND('Calc base'!J$13*BA152,2))&lt;1,ROUND(BA152*(1+'Calc base'!O153),2),MAX('Calc base'!J$12,ROUND('Calc base'!J$13*BA152,2))))</f>
        <v>0</v>
      </c>
      <c r="R153">
        <f>IF(BB152&lt;=0,0,IF(ROUND(BB152*(1+'Calc base'!P153),2)-MAX('Calc base'!K$12,ROUND('Calc base'!K$13*BB152,2))&lt;1,ROUND(BB152*(1+'Calc base'!P153),2),MAX('Calc base'!K$12,ROUND('Calc base'!K$13*BB152,2))))</f>
        <v>0</v>
      </c>
      <c r="S153">
        <f>IF(BC152&lt;=0,0,IF(ROUND(BC152*(1+'Calc base'!Q153),2)-MAX('Calc base'!L$12,ROUND('Calc base'!L$13*BC152,2))&lt;1,ROUND(BC152*(1+'Calc base'!Q153),2),MAX('Calc base'!L$12,ROUND('Calc base'!L$13*BC152,2))))</f>
        <v>0</v>
      </c>
      <c r="T153">
        <f>IF(BD152&lt;=0,0,IF(ROUND(BD152*(1+'Calc base'!R153),2)-MAX('Calc base'!M$12,ROUND('Calc base'!M$13*BD152,2))&lt;1,ROUND(BD152*(1+'Calc base'!R153),2),MAX('Calc base'!M$12,ROUND('Calc base'!M$13*BD152,2))))</f>
        <v>0</v>
      </c>
      <c r="U153">
        <f>IF(BE152&lt;=0,0,IF(ROUND(BE152*(1+'Calc base'!S153),2)-MAX('Calc base'!N$12,ROUND('Calc base'!N$13*BE152,2))&lt;1,ROUND(BE152*(1+'Calc base'!S153),2),MAX('Calc base'!N$12,ROUND('Calc base'!N$13*BE152,2))))</f>
        <v>0</v>
      </c>
      <c r="V153">
        <f>MAX(0,ROUND(AT152*(1+'Calc base'!H153),2)-J153-'Calc base'!T153)</f>
        <v>0</v>
      </c>
      <c r="W153">
        <f>MAX(0,ROUND(AU152*(1+'Calc base'!I153),2)-K153-'Calc base'!U153)</f>
        <v>0</v>
      </c>
      <c r="X153">
        <f>MAX(0,ROUND(AV152*(1+'Calc base'!J153),2)-L153-'Calc base'!V153)</f>
        <v>0</v>
      </c>
      <c r="Y153">
        <f>MAX(0,ROUND(AW152*(1+'Calc base'!K153),2)-M153-'Calc base'!W153)</f>
        <v>0</v>
      </c>
      <c r="Z153">
        <f>MAX(0,ROUND(AX152*(1+'Calc base'!L153),2)-N153-'Calc base'!X153)</f>
        <v>0</v>
      </c>
      <c r="AA153">
        <f>MAX(0,ROUND(AY152*(1+'Calc base'!M153),2)-O153-'Calc base'!Y153)</f>
        <v>0</v>
      </c>
      <c r="AB153">
        <f>MAX(0,ROUND(AZ152*(1+'Calc base'!N153),2)-P153-'Calc base'!Z153)</f>
        <v>0</v>
      </c>
      <c r="AC153">
        <f>MAX(0,ROUND(BA152*(1+'Calc base'!O153),2)-Q153-'Calc base'!AA153)</f>
        <v>0</v>
      </c>
      <c r="AD153">
        <f>MAX(0,ROUND(BB152*(1+'Calc base'!P153),2)-R153-'Calc base'!AB153)</f>
        <v>0</v>
      </c>
      <c r="AE153">
        <f>MAX(0,ROUND(BC152*(1+'Calc base'!Q153),2)-S153-'Calc base'!AC153)</f>
        <v>0</v>
      </c>
      <c r="AF153">
        <f>MAX(0,ROUND(BD152*(1+'Calc base'!R153),2)-T153-'Calc base'!AD153)</f>
        <v>0</v>
      </c>
      <c r="AG153">
        <f>MAX(0,ROUND(BE152*(1+'Calc base'!S153),2)-U153-'Calc base'!AE153)</f>
        <v>0</v>
      </c>
      <c r="AH153">
        <f>IF('Calc base'!C$14=0,0,MIN(V153,MAX(0,$E153-SUMIFS($V153:$AG153,'Calc base'!$C$19:$N$19,"&lt;"&amp;'Calc base'!C$19,'Calc base'!$C$14:$N$14,1))))</f>
        <v>0</v>
      </c>
      <c r="AI153">
        <f>IF('Calc base'!D$14=0,0,MIN(W153,MAX(0,$E153-SUMIFS($V153:$AG153,'Calc base'!$C$19:$N$19,"&lt;"&amp;'Calc base'!D$19,'Calc base'!$C$14:$N$14,1))))</f>
        <v>0</v>
      </c>
      <c r="AJ153">
        <f>IF('Calc base'!E$14=0,0,MIN(X153,MAX(0,$E153-SUMIFS($V153:$AG153,'Calc base'!$C$19:$N$19,"&lt;"&amp;'Calc base'!E$19,'Calc base'!$C$14:$N$14,1))))</f>
        <v>0</v>
      </c>
      <c r="AK153">
        <f>IF('Calc base'!F$14=0,0,MIN(Y153,MAX(0,$E153-SUMIFS($V153:$AG153,'Calc base'!$C$19:$N$19,"&lt;"&amp;'Calc base'!F$19,'Calc base'!$C$14:$N$14,1))))</f>
        <v>0</v>
      </c>
      <c r="AL153">
        <f>IF('Calc base'!G$14=0,0,MIN(Z153,MAX(0,$E153-SUMIFS($V153:$AG153,'Calc base'!$C$19:$N$19,"&lt;"&amp;'Calc base'!G$19,'Calc base'!$C$14:$N$14,1))))</f>
        <v>0</v>
      </c>
      <c r="AM153">
        <f>IF('Calc base'!H$14=0,0,MIN(AA153,MAX(0,$E153-SUMIFS($V153:$AG153,'Calc base'!$C$19:$N$19,"&lt;"&amp;'Calc base'!H$19,'Calc base'!$C$14:$N$14,1))))</f>
        <v>0</v>
      </c>
      <c r="AN153">
        <f>IF('Calc base'!I$14=0,0,MIN(AB153,MAX(0,$E153-SUMIFS($V153:$AG153,'Calc base'!$C$19:$N$19,"&lt;"&amp;'Calc base'!I$19,'Calc base'!$C$14:$N$14,1))))</f>
        <v>0</v>
      </c>
      <c r="AO153">
        <f>IF('Calc base'!J$14=0,0,MIN(AC153,MAX(0,$E153-SUMIFS($V153:$AG153,'Calc base'!$C$19:$N$19,"&lt;"&amp;'Calc base'!J$19,'Calc base'!$C$14:$N$14,1))))</f>
        <v>0</v>
      </c>
      <c r="AP153">
        <f>IF('Calc base'!K$14=0,0,MIN(AD153,MAX(0,$E153-SUMIFS($V153:$AG153,'Calc base'!$C$19:$N$19,"&lt;"&amp;'Calc base'!K$19,'Calc base'!$C$14:$N$14,1))))</f>
        <v>0</v>
      </c>
      <c r="AQ153">
        <f>IF('Calc base'!L$14=0,0,MIN(AE153,MAX(0,$E153-SUMIFS($V153:$AG153,'Calc base'!$C$19:$N$19,"&lt;"&amp;'Calc base'!L$19,'Calc base'!$C$14:$N$14,1))))</f>
        <v>0</v>
      </c>
      <c r="AR153">
        <f>IF('Calc base'!M$14=0,0,MIN(AF153,MAX(0,$E153-SUMIFS($V153:$AG153,'Calc base'!$C$19:$N$19,"&lt;"&amp;'Calc base'!M$19,'Calc base'!$C$14:$N$14,1))))</f>
        <v>0</v>
      </c>
      <c r="AS153">
        <f>IF('Calc base'!N$14=0,0,MIN(AG153,MAX(0,$E153-SUMIFS($V153:$AG153,'Calc base'!$C$19:$N$19,"&lt;"&amp;'Calc base'!N$19,'Calc base'!$C$14:$N$14,1))))</f>
        <v>0</v>
      </c>
      <c r="AT153">
        <f>V153-AH153</f>
        <v>0</v>
      </c>
      <c r="AU153">
        <f>W153-AI153</f>
        <v>0</v>
      </c>
      <c r="AV153">
        <f>X153-AJ153</f>
        <v>0</v>
      </c>
      <c r="AW153">
        <f>Y153-AK153</f>
        <v>0</v>
      </c>
      <c r="AX153">
        <f>Z153-AL153</f>
        <v>0</v>
      </c>
      <c r="AY153">
        <f>AA153-AM153</f>
        <v>0</v>
      </c>
      <c r="AZ153">
        <f>AB153-AN153</f>
        <v>0</v>
      </c>
      <c r="BA153">
        <f>AC153-AO153</f>
        <v>0</v>
      </c>
      <c r="BB153">
        <f>AD153-AP153</f>
        <v>0</v>
      </c>
      <c r="BC153">
        <f>AE153-AQ153</f>
        <v>0</v>
      </c>
      <c r="BD153">
        <f>AF153-AR153</f>
        <v>0</v>
      </c>
      <c r="BE153">
        <f>AG153-AS153</f>
        <v>0</v>
      </c>
    </row>
    <row r="154">
      <c r="A154" t="n">
        <v>124</v>
      </c>
      <c r="B154">
        <f>SUMPRODUCT(ROUND($AT153:$BE153*(1+'Calc base'!$H154:$S154),2))</f>
        <v>0</v>
      </c>
      <c r="C154">
        <f>SUM(J154:U154)</f>
        <v>0</v>
      </c>
      <c r="D154">
        <f>SUM(V154:AG154)</f>
        <v>0</v>
      </c>
      <c r="E154">
        <f>MAX(0,IF(Impostazioni!$B$7="No",'Calc base'!$C154-$C$31,'Calc base'!$C154-C154)+'Calc base'!$G154+'Calc base'!$F154-(B154-C154-D154))</f>
        <v>900</v>
      </c>
      <c r="F154">
        <f>SUM(AH154:AS154)</f>
        <v>0</v>
      </c>
      <c r="G154">
        <f>SUM(AT154:BE154)</f>
        <v>0</v>
      </c>
      <c r="H154">
        <f>B154-G153</f>
        <v>0</v>
      </c>
      <c r="I154">
        <f>B154-G154</f>
        <v>0</v>
      </c>
      <c r="J154">
        <f>IF(AT153&lt;=0,0,IF(ROUND(AT153*(1+'Calc base'!H154),2)-MAX('Calc base'!C$12,ROUND('Calc base'!C$13*AT153,2))&lt;1,ROUND(AT153*(1+'Calc base'!H154),2),MAX('Calc base'!C$12,ROUND('Calc base'!C$13*AT153,2))))</f>
        <v>0</v>
      </c>
      <c r="K154">
        <f>IF(AU153&lt;=0,0,IF(ROUND(AU153*(1+'Calc base'!I154),2)-MAX('Calc base'!D$12,ROUND('Calc base'!D$13*AU153,2))&lt;1,ROUND(AU153*(1+'Calc base'!I154),2),MAX('Calc base'!D$12,ROUND('Calc base'!D$13*AU153,2))))</f>
        <v>0</v>
      </c>
      <c r="L154">
        <f>IF(AV153&lt;=0,0,IF(ROUND(AV153*(1+'Calc base'!J154),2)-MAX('Calc base'!E$12,ROUND('Calc base'!E$13*AV153,2))&lt;1,ROUND(AV153*(1+'Calc base'!J154),2),MAX('Calc base'!E$12,ROUND('Calc base'!E$13*AV153,2))))</f>
        <v>0</v>
      </c>
      <c r="M154">
        <f>IF(AW153&lt;=0,0,IF(ROUND(AW153*(1+'Calc base'!K154),2)-MAX('Calc base'!F$12,ROUND('Calc base'!F$13*AW153,2))&lt;1,ROUND(AW153*(1+'Calc base'!K154),2),MAX('Calc base'!F$12,ROUND('Calc base'!F$13*AW153,2))))</f>
        <v>0</v>
      </c>
      <c r="N154">
        <f>IF(AX153&lt;=0,0,IF(ROUND(AX153*(1+'Calc base'!L154),2)-MAX('Calc base'!G$12,ROUND('Calc base'!G$13*AX153,2))&lt;1,ROUND(AX153*(1+'Calc base'!L154),2),MAX('Calc base'!G$12,ROUND('Calc base'!G$13*AX153,2))))</f>
        <v>0</v>
      </c>
      <c r="O154">
        <f>IF(AY153&lt;=0,0,IF(ROUND(AY153*(1+'Calc base'!M154),2)-MAX('Calc base'!H$12,ROUND('Calc base'!H$13*AY153,2))&lt;1,ROUND(AY153*(1+'Calc base'!M154),2),MAX('Calc base'!H$12,ROUND('Calc base'!H$13*AY153,2))))</f>
        <v>0</v>
      </c>
      <c r="P154">
        <f>IF(AZ153&lt;=0,0,IF(ROUND(AZ153*(1+'Calc base'!N154),2)-MAX('Calc base'!I$12,ROUND('Calc base'!I$13*AZ153,2))&lt;1,ROUND(AZ153*(1+'Calc base'!N154),2),MAX('Calc base'!I$12,ROUND('Calc base'!I$13*AZ153,2))))</f>
        <v>0</v>
      </c>
      <c r="Q154">
        <f>IF(BA153&lt;=0,0,IF(ROUND(BA153*(1+'Calc base'!O154),2)-MAX('Calc base'!J$12,ROUND('Calc base'!J$13*BA153,2))&lt;1,ROUND(BA153*(1+'Calc base'!O154),2),MAX('Calc base'!J$12,ROUND('Calc base'!J$13*BA153,2))))</f>
        <v>0</v>
      </c>
      <c r="R154">
        <f>IF(BB153&lt;=0,0,IF(ROUND(BB153*(1+'Calc base'!P154),2)-MAX('Calc base'!K$12,ROUND('Calc base'!K$13*BB153,2))&lt;1,ROUND(BB153*(1+'Calc base'!P154),2),MAX('Calc base'!K$12,ROUND('Calc base'!K$13*BB153,2))))</f>
        <v>0</v>
      </c>
      <c r="S154">
        <f>IF(BC153&lt;=0,0,IF(ROUND(BC153*(1+'Calc base'!Q154),2)-MAX('Calc base'!L$12,ROUND('Calc base'!L$13*BC153,2))&lt;1,ROUND(BC153*(1+'Calc base'!Q154),2),MAX('Calc base'!L$12,ROUND('Calc base'!L$13*BC153,2))))</f>
        <v>0</v>
      </c>
      <c r="T154">
        <f>IF(BD153&lt;=0,0,IF(ROUND(BD153*(1+'Calc base'!R154),2)-MAX('Calc base'!M$12,ROUND('Calc base'!M$13*BD153,2))&lt;1,ROUND(BD153*(1+'Calc base'!R154),2),MAX('Calc base'!M$12,ROUND('Calc base'!M$13*BD153,2))))</f>
        <v>0</v>
      </c>
      <c r="U154">
        <f>IF(BE153&lt;=0,0,IF(ROUND(BE153*(1+'Calc base'!S154),2)-MAX('Calc base'!N$12,ROUND('Calc base'!N$13*BE153,2))&lt;1,ROUND(BE153*(1+'Calc base'!S154),2),MAX('Calc base'!N$12,ROUND('Calc base'!N$13*BE153,2))))</f>
        <v>0</v>
      </c>
      <c r="V154">
        <f>MAX(0,ROUND(AT153*(1+'Calc base'!H154),2)-J154-'Calc base'!T154)</f>
        <v>0</v>
      </c>
      <c r="W154">
        <f>MAX(0,ROUND(AU153*(1+'Calc base'!I154),2)-K154-'Calc base'!U154)</f>
        <v>0</v>
      </c>
      <c r="X154">
        <f>MAX(0,ROUND(AV153*(1+'Calc base'!J154),2)-L154-'Calc base'!V154)</f>
        <v>0</v>
      </c>
      <c r="Y154">
        <f>MAX(0,ROUND(AW153*(1+'Calc base'!K154),2)-M154-'Calc base'!W154)</f>
        <v>0</v>
      </c>
      <c r="Z154">
        <f>MAX(0,ROUND(AX153*(1+'Calc base'!L154),2)-N154-'Calc base'!X154)</f>
        <v>0</v>
      </c>
      <c r="AA154">
        <f>MAX(0,ROUND(AY153*(1+'Calc base'!M154),2)-O154-'Calc base'!Y154)</f>
        <v>0</v>
      </c>
      <c r="AB154">
        <f>MAX(0,ROUND(AZ153*(1+'Calc base'!N154),2)-P154-'Calc base'!Z154)</f>
        <v>0</v>
      </c>
      <c r="AC154">
        <f>MAX(0,ROUND(BA153*(1+'Calc base'!O154),2)-Q154-'Calc base'!AA154)</f>
        <v>0</v>
      </c>
      <c r="AD154">
        <f>MAX(0,ROUND(BB153*(1+'Calc base'!P154),2)-R154-'Calc base'!AB154)</f>
        <v>0</v>
      </c>
      <c r="AE154">
        <f>MAX(0,ROUND(BC153*(1+'Calc base'!Q154),2)-S154-'Calc base'!AC154)</f>
        <v>0</v>
      </c>
      <c r="AF154">
        <f>MAX(0,ROUND(BD153*(1+'Calc base'!R154),2)-T154-'Calc base'!AD154)</f>
        <v>0</v>
      </c>
      <c r="AG154">
        <f>MAX(0,ROUND(BE153*(1+'Calc base'!S154),2)-U154-'Calc base'!AE154)</f>
        <v>0</v>
      </c>
      <c r="AH154">
        <f>IF('Calc base'!C$14=0,0,MIN(V154,MAX(0,$E154-SUMIFS($V154:$AG154,'Calc base'!$C$19:$N$19,"&lt;"&amp;'Calc base'!C$19,'Calc base'!$C$14:$N$14,1))))</f>
        <v>0</v>
      </c>
      <c r="AI154">
        <f>IF('Calc base'!D$14=0,0,MIN(W154,MAX(0,$E154-SUMIFS($V154:$AG154,'Calc base'!$C$19:$N$19,"&lt;"&amp;'Calc base'!D$19,'Calc base'!$C$14:$N$14,1))))</f>
        <v>0</v>
      </c>
      <c r="AJ154">
        <f>IF('Calc base'!E$14=0,0,MIN(X154,MAX(0,$E154-SUMIFS($V154:$AG154,'Calc base'!$C$19:$N$19,"&lt;"&amp;'Calc base'!E$19,'Calc base'!$C$14:$N$14,1))))</f>
        <v>0</v>
      </c>
      <c r="AK154">
        <f>IF('Calc base'!F$14=0,0,MIN(Y154,MAX(0,$E154-SUMIFS($V154:$AG154,'Calc base'!$C$19:$N$19,"&lt;"&amp;'Calc base'!F$19,'Calc base'!$C$14:$N$14,1))))</f>
        <v>0</v>
      </c>
      <c r="AL154">
        <f>IF('Calc base'!G$14=0,0,MIN(Z154,MAX(0,$E154-SUMIFS($V154:$AG154,'Calc base'!$C$19:$N$19,"&lt;"&amp;'Calc base'!G$19,'Calc base'!$C$14:$N$14,1))))</f>
        <v>0</v>
      </c>
      <c r="AM154">
        <f>IF('Calc base'!H$14=0,0,MIN(AA154,MAX(0,$E154-SUMIFS($V154:$AG154,'Calc base'!$C$19:$N$19,"&lt;"&amp;'Calc base'!H$19,'Calc base'!$C$14:$N$14,1))))</f>
        <v>0</v>
      </c>
      <c r="AN154">
        <f>IF('Calc base'!I$14=0,0,MIN(AB154,MAX(0,$E154-SUMIFS($V154:$AG154,'Calc base'!$C$19:$N$19,"&lt;"&amp;'Calc base'!I$19,'Calc base'!$C$14:$N$14,1))))</f>
        <v>0</v>
      </c>
      <c r="AO154">
        <f>IF('Calc base'!J$14=0,0,MIN(AC154,MAX(0,$E154-SUMIFS($V154:$AG154,'Calc base'!$C$19:$N$19,"&lt;"&amp;'Calc base'!J$19,'Calc base'!$C$14:$N$14,1))))</f>
        <v>0</v>
      </c>
      <c r="AP154">
        <f>IF('Calc base'!K$14=0,0,MIN(AD154,MAX(0,$E154-SUMIFS($V154:$AG154,'Calc base'!$C$19:$N$19,"&lt;"&amp;'Calc base'!K$19,'Calc base'!$C$14:$N$14,1))))</f>
        <v>0</v>
      </c>
      <c r="AQ154">
        <f>IF('Calc base'!L$14=0,0,MIN(AE154,MAX(0,$E154-SUMIFS($V154:$AG154,'Calc base'!$C$19:$N$19,"&lt;"&amp;'Calc base'!L$19,'Calc base'!$C$14:$N$14,1))))</f>
        <v>0</v>
      </c>
      <c r="AR154">
        <f>IF('Calc base'!M$14=0,0,MIN(AF154,MAX(0,$E154-SUMIFS($V154:$AG154,'Calc base'!$C$19:$N$19,"&lt;"&amp;'Calc base'!M$19,'Calc base'!$C$14:$N$14,1))))</f>
        <v>0</v>
      </c>
      <c r="AS154">
        <f>IF('Calc base'!N$14=0,0,MIN(AG154,MAX(0,$E154-SUMIFS($V154:$AG154,'Calc base'!$C$19:$N$19,"&lt;"&amp;'Calc base'!N$19,'Calc base'!$C$14:$N$14,1))))</f>
        <v>0</v>
      </c>
      <c r="AT154">
        <f>V154-AH154</f>
        <v>0</v>
      </c>
      <c r="AU154">
        <f>W154-AI154</f>
        <v>0</v>
      </c>
      <c r="AV154">
        <f>X154-AJ154</f>
        <v>0</v>
      </c>
      <c r="AW154">
        <f>Y154-AK154</f>
        <v>0</v>
      </c>
      <c r="AX154">
        <f>Z154-AL154</f>
        <v>0</v>
      </c>
      <c r="AY154">
        <f>AA154-AM154</f>
        <v>0</v>
      </c>
      <c r="AZ154">
        <f>AB154-AN154</f>
        <v>0</v>
      </c>
      <c r="BA154">
        <f>AC154-AO154</f>
        <v>0</v>
      </c>
      <c r="BB154">
        <f>AD154-AP154</f>
        <v>0</v>
      </c>
      <c r="BC154">
        <f>AE154-AQ154</f>
        <v>0</v>
      </c>
      <c r="BD154">
        <f>AF154-AR154</f>
        <v>0</v>
      </c>
      <c r="BE154">
        <f>AG154-AS154</f>
        <v>0</v>
      </c>
    </row>
    <row r="155">
      <c r="A155" t="n">
        <v>125</v>
      </c>
      <c r="B155">
        <f>SUMPRODUCT(ROUND($AT154:$BE154*(1+'Calc base'!$H155:$S155),2))</f>
        <v>0</v>
      </c>
      <c r="C155">
        <f>SUM(J155:U155)</f>
        <v>0</v>
      </c>
      <c r="D155">
        <f>SUM(V155:AG155)</f>
        <v>0</v>
      </c>
      <c r="E155">
        <f>MAX(0,IF(Impostazioni!$B$7="No",'Calc base'!$C155-$C$31,'Calc base'!$C155-C155)+'Calc base'!$G155+'Calc base'!$F155-(B155-C155-D155))</f>
        <v>900</v>
      </c>
      <c r="F155">
        <f>SUM(AH155:AS155)</f>
        <v>0</v>
      </c>
      <c r="G155">
        <f>SUM(AT155:BE155)</f>
        <v>0</v>
      </c>
      <c r="H155">
        <f>B155-G154</f>
        <v>0</v>
      </c>
      <c r="I155">
        <f>B155-G155</f>
        <v>0</v>
      </c>
      <c r="J155">
        <f>IF(AT154&lt;=0,0,IF(ROUND(AT154*(1+'Calc base'!H155),2)-MAX('Calc base'!C$12,ROUND('Calc base'!C$13*AT154,2))&lt;1,ROUND(AT154*(1+'Calc base'!H155),2),MAX('Calc base'!C$12,ROUND('Calc base'!C$13*AT154,2))))</f>
        <v>0</v>
      </c>
      <c r="K155">
        <f>IF(AU154&lt;=0,0,IF(ROUND(AU154*(1+'Calc base'!I155),2)-MAX('Calc base'!D$12,ROUND('Calc base'!D$13*AU154,2))&lt;1,ROUND(AU154*(1+'Calc base'!I155),2),MAX('Calc base'!D$12,ROUND('Calc base'!D$13*AU154,2))))</f>
        <v>0</v>
      </c>
      <c r="L155">
        <f>IF(AV154&lt;=0,0,IF(ROUND(AV154*(1+'Calc base'!J155),2)-MAX('Calc base'!E$12,ROUND('Calc base'!E$13*AV154,2))&lt;1,ROUND(AV154*(1+'Calc base'!J155),2),MAX('Calc base'!E$12,ROUND('Calc base'!E$13*AV154,2))))</f>
        <v>0</v>
      </c>
      <c r="M155">
        <f>IF(AW154&lt;=0,0,IF(ROUND(AW154*(1+'Calc base'!K155),2)-MAX('Calc base'!F$12,ROUND('Calc base'!F$13*AW154,2))&lt;1,ROUND(AW154*(1+'Calc base'!K155),2),MAX('Calc base'!F$12,ROUND('Calc base'!F$13*AW154,2))))</f>
        <v>0</v>
      </c>
      <c r="N155">
        <f>IF(AX154&lt;=0,0,IF(ROUND(AX154*(1+'Calc base'!L155),2)-MAX('Calc base'!G$12,ROUND('Calc base'!G$13*AX154,2))&lt;1,ROUND(AX154*(1+'Calc base'!L155),2),MAX('Calc base'!G$12,ROUND('Calc base'!G$13*AX154,2))))</f>
        <v>0</v>
      </c>
      <c r="O155">
        <f>IF(AY154&lt;=0,0,IF(ROUND(AY154*(1+'Calc base'!M155),2)-MAX('Calc base'!H$12,ROUND('Calc base'!H$13*AY154,2))&lt;1,ROUND(AY154*(1+'Calc base'!M155),2),MAX('Calc base'!H$12,ROUND('Calc base'!H$13*AY154,2))))</f>
        <v>0</v>
      </c>
      <c r="P155">
        <f>IF(AZ154&lt;=0,0,IF(ROUND(AZ154*(1+'Calc base'!N155),2)-MAX('Calc base'!I$12,ROUND('Calc base'!I$13*AZ154,2))&lt;1,ROUND(AZ154*(1+'Calc base'!N155),2),MAX('Calc base'!I$12,ROUND('Calc base'!I$13*AZ154,2))))</f>
        <v>0</v>
      </c>
      <c r="Q155">
        <f>IF(BA154&lt;=0,0,IF(ROUND(BA154*(1+'Calc base'!O155),2)-MAX('Calc base'!J$12,ROUND('Calc base'!J$13*BA154,2))&lt;1,ROUND(BA154*(1+'Calc base'!O155),2),MAX('Calc base'!J$12,ROUND('Calc base'!J$13*BA154,2))))</f>
        <v>0</v>
      </c>
      <c r="R155">
        <f>IF(BB154&lt;=0,0,IF(ROUND(BB154*(1+'Calc base'!P155),2)-MAX('Calc base'!K$12,ROUND('Calc base'!K$13*BB154,2))&lt;1,ROUND(BB154*(1+'Calc base'!P155),2),MAX('Calc base'!K$12,ROUND('Calc base'!K$13*BB154,2))))</f>
        <v>0</v>
      </c>
      <c r="S155">
        <f>IF(BC154&lt;=0,0,IF(ROUND(BC154*(1+'Calc base'!Q155),2)-MAX('Calc base'!L$12,ROUND('Calc base'!L$13*BC154,2))&lt;1,ROUND(BC154*(1+'Calc base'!Q155),2),MAX('Calc base'!L$12,ROUND('Calc base'!L$13*BC154,2))))</f>
        <v>0</v>
      </c>
      <c r="T155">
        <f>IF(BD154&lt;=0,0,IF(ROUND(BD154*(1+'Calc base'!R155),2)-MAX('Calc base'!M$12,ROUND('Calc base'!M$13*BD154,2))&lt;1,ROUND(BD154*(1+'Calc base'!R155),2),MAX('Calc base'!M$12,ROUND('Calc base'!M$13*BD154,2))))</f>
        <v>0</v>
      </c>
      <c r="U155">
        <f>IF(BE154&lt;=0,0,IF(ROUND(BE154*(1+'Calc base'!S155),2)-MAX('Calc base'!N$12,ROUND('Calc base'!N$13*BE154,2))&lt;1,ROUND(BE154*(1+'Calc base'!S155),2),MAX('Calc base'!N$12,ROUND('Calc base'!N$13*BE154,2))))</f>
        <v>0</v>
      </c>
      <c r="V155">
        <f>MAX(0,ROUND(AT154*(1+'Calc base'!H155),2)-J155-'Calc base'!T155)</f>
        <v>0</v>
      </c>
      <c r="W155">
        <f>MAX(0,ROUND(AU154*(1+'Calc base'!I155),2)-K155-'Calc base'!U155)</f>
        <v>0</v>
      </c>
      <c r="X155">
        <f>MAX(0,ROUND(AV154*(1+'Calc base'!J155),2)-L155-'Calc base'!V155)</f>
        <v>0</v>
      </c>
      <c r="Y155">
        <f>MAX(0,ROUND(AW154*(1+'Calc base'!K155),2)-M155-'Calc base'!W155)</f>
        <v>0</v>
      </c>
      <c r="Z155">
        <f>MAX(0,ROUND(AX154*(1+'Calc base'!L155),2)-N155-'Calc base'!X155)</f>
        <v>0</v>
      </c>
      <c r="AA155">
        <f>MAX(0,ROUND(AY154*(1+'Calc base'!M155),2)-O155-'Calc base'!Y155)</f>
        <v>0</v>
      </c>
      <c r="AB155">
        <f>MAX(0,ROUND(AZ154*(1+'Calc base'!N155),2)-P155-'Calc base'!Z155)</f>
        <v>0</v>
      </c>
      <c r="AC155">
        <f>MAX(0,ROUND(BA154*(1+'Calc base'!O155),2)-Q155-'Calc base'!AA155)</f>
        <v>0</v>
      </c>
      <c r="AD155">
        <f>MAX(0,ROUND(BB154*(1+'Calc base'!P155),2)-R155-'Calc base'!AB155)</f>
        <v>0</v>
      </c>
      <c r="AE155">
        <f>MAX(0,ROUND(BC154*(1+'Calc base'!Q155),2)-S155-'Calc base'!AC155)</f>
        <v>0</v>
      </c>
      <c r="AF155">
        <f>MAX(0,ROUND(BD154*(1+'Calc base'!R155),2)-T155-'Calc base'!AD155)</f>
        <v>0</v>
      </c>
      <c r="AG155">
        <f>MAX(0,ROUND(BE154*(1+'Calc base'!S155),2)-U155-'Calc base'!AE155)</f>
        <v>0</v>
      </c>
      <c r="AH155">
        <f>IF('Calc base'!C$14=0,0,MIN(V155,MAX(0,$E155-SUMIFS($V155:$AG155,'Calc base'!$C$19:$N$19,"&lt;"&amp;'Calc base'!C$19,'Calc base'!$C$14:$N$14,1))))</f>
        <v>0</v>
      </c>
      <c r="AI155">
        <f>IF('Calc base'!D$14=0,0,MIN(W155,MAX(0,$E155-SUMIFS($V155:$AG155,'Calc base'!$C$19:$N$19,"&lt;"&amp;'Calc base'!D$19,'Calc base'!$C$14:$N$14,1))))</f>
        <v>0</v>
      </c>
      <c r="AJ155">
        <f>IF('Calc base'!E$14=0,0,MIN(X155,MAX(0,$E155-SUMIFS($V155:$AG155,'Calc base'!$C$19:$N$19,"&lt;"&amp;'Calc base'!E$19,'Calc base'!$C$14:$N$14,1))))</f>
        <v>0</v>
      </c>
      <c r="AK155">
        <f>IF('Calc base'!F$14=0,0,MIN(Y155,MAX(0,$E155-SUMIFS($V155:$AG155,'Calc base'!$C$19:$N$19,"&lt;"&amp;'Calc base'!F$19,'Calc base'!$C$14:$N$14,1))))</f>
        <v>0</v>
      </c>
      <c r="AL155">
        <f>IF('Calc base'!G$14=0,0,MIN(Z155,MAX(0,$E155-SUMIFS($V155:$AG155,'Calc base'!$C$19:$N$19,"&lt;"&amp;'Calc base'!G$19,'Calc base'!$C$14:$N$14,1))))</f>
        <v>0</v>
      </c>
      <c r="AM155">
        <f>IF('Calc base'!H$14=0,0,MIN(AA155,MAX(0,$E155-SUMIFS($V155:$AG155,'Calc base'!$C$19:$N$19,"&lt;"&amp;'Calc base'!H$19,'Calc base'!$C$14:$N$14,1))))</f>
        <v>0</v>
      </c>
      <c r="AN155">
        <f>IF('Calc base'!I$14=0,0,MIN(AB155,MAX(0,$E155-SUMIFS($V155:$AG155,'Calc base'!$C$19:$N$19,"&lt;"&amp;'Calc base'!I$19,'Calc base'!$C$14:$N$14,1))))</f>
        <v>0</v>
      </c>
      <c r="AO155">
        <f>IF('Calc base'!J$14=0,0,MIN(AC155,MAX(0,$E155-SUMIFS($V155:$AG155,'Calc base'!$C$19:$N$19,"&lt;"&amp;'Calc base'!J$19,'Calc base'!$C$14:$N$14,1))))</f>
        <v>0</v>
      </c>
      <c r="AP155">
        <f>IF('Calc base'!K$14=0,0,MIN(AD155,MAX(0,$E155-SUMIFS($V155:$AG155,'Calc base'!$C$19:$N$19,"&lt;"&amp;'Calc base'!K$19,'Calc base'!$C$14:$N$14,1))))</f>
        <v>0</v>
      </c>
      <c r="AQ155">
        <f>IF('Calc base'!L$14=0,0,MIN(AE155,MAX(0,$E155-SUMIFS($V155:$AG155,'Calc base'!$C$19:$N$19,"&lt;"&amp;'Calc base'!L$19,'Calc base'!$C$14:$N$14,1))))</f>
        <v>0</v>
      </c>
      <c r="AR155">
        <f>IF('Calc base'!M$14=0,0,MIN(AF155,MAX(0,$E155-SUMIFS($V155:$AG155,'Calc base'!$C$19:$N$19,"&lt;"&amp;'Calc base'!M$19,'Calc base'!$C$14:$N$14,1))))</f>
        <v>0</v>
      </c>
      <c r="AS155">
        <f>IF('Calc base'!N$14=0,0,MIN(AG155,MAX(0,$E155-SUMIFS($V155:$AG155,'Calc base'!$C$19:$N$19,"&lt;"&amp;'Calc base'!N$19,'Calc base'!$C$14:$N$14,1))))</f>
        <v>0</v>
      </c>
      <c r="AT155">
        <f>V155-AH155</f>
        <v>0</v>
      </c>
      <c r="AU155">
        <f>W155-AI155</f>
        <v>0</v>
      </c>
      <c r="AV155">
        <f>X155-AJ155</f>
        <v>0</v>
      </c>
      <c r="AW155">
        <f>Y155-AK155</f>
        <v>0</v>
      </c>
      <c r="AX155">
        <f>Z155-AL155</f>
        <v>0</v>
      </c>
      <c r="AY155">
        <f>AA155-AM155</f>
        <v>0</v>
      </c>
      <c r="AZ155">
        <f>AB155-AN155</f>
        <v>0</v>
      </c>
      <c r="BA155">
        <f>AC155-AO155</f>
        <v>0</v>
      </c>
      <c r="BB155">
        <f>AD155-AP155</f>
        <v>0</v>
      </c>
      <c r="BC155">
        <f>AE155-AQ155</f>
        <v>0</v>
      </c>
      <c r="BD155">
        <f>AF155-AR155</f>
        <v>0</v>
      </c>
      <c r="BE155">
        <f>AG155-AS155</f>
        <v>0</v>
      </c>
    </row>
    <row r="156">
      <c r="A156" t="n">
        <v>126</v>
      </c>
      <c r="B156">
        <f>SUMPRODUCT(ROUND($AT155:$BE155*(1+'Calc base'!$H156:$S156),2))</f>
        <v>0</v>
      </c>
      <c r="C156">
        <f>SUM(J156:U156)</f>
        <v>0</v>
      </c>
      <c r="D156">
        <f>SUM(V156:AG156)</f>
        <v>0</v>
      </c>
      <c r="E156">
        <f>MAX(0,IF(Impostazioni!$B$7="No",'Calc base'!$C156-$C$31,'Calc base'!$C156-C156)+'Calc base'!$G156+'Calc base'!$F156-(B156-C156-D156))</f>
        <v>900</v>
      </c>
      <c r="F156">
        <f>SUM(AH156:AS156)</f>
        <v>0</v>
      </c>
      <c r="G156">
        <f>SUM(AT156:BE156)</f>
        <v>0</v>
      </c>
      <c r="H156">
        <f>B156-G155</f>
        <v>0</v>
      </c>
      <c r="I156">
        <f>B156-G156</f>
        <v>0</v>
      </c>
      <c r="J156">
        <f>IF(AT155&lt;=0,0,IF(ROUND(AT155*(1+'Calc base'!H156),2)-MAX('Calc base'!C$12,ROUND('Calc base'!C$13*AT155,2))&lt;1,ROUND(AT155*(1+'Calc base'!H156),2),MAX('Calc base'!C$12,ROUND('Calc base'!C$13*AT155,2))))</f>
        <v>0</v>
      </c>
      <c r="K156">
        <f>IF(AU155&lt;=0,0,IF(ROUND(AU155*(1+'Calc base'!I156),2)-MAX('Calc base'!D$12,ROUND('Calc base'!D$13*AU155,2))&lt;1,ROUND(AU155*(1+'Calc base'!I156),2),MAX('Calc base'!D$12,ROUND('Calc base'!D$13*AU155,2))))</f>
        <v>0</v>
      </c>
      <c r="L156">
        <f>IF(AV155&lt;=0,0,IF(ROUND(AV155*(1+'Calc base'!J156),2)-MAX('Calc base'!E$12,ROUND('Calc base'!E$13*AV155,2))&lt;1,ROUND(AV155*(1+'Calc base'!J156),2),MAX('Calc base'!E$12,ROUND('Calc base'!E$13*AV155,2))))</f>
        <v>0</v>
      </c>
      <c r="M156">
        <f>IF(AW155&lt;=0,0,IF(ROUND(AW155*(1+'Calc base'!K156),2)-MAX('Calc base'!F$12,ROUND('Calc base'!F$13*AW155,2))&lt;1,ROUND(AW155*(1+'Calc base'!K156),2),MAX('Calc base'!F$12,ROUND('Calc base'!F$13*AW155,2))))</f>
        <v>0</v>
      </c>
      <c r="N156">
        <f>IF(AX155&lt;=0,0,IF(ROUND(AX155*(1+'Calc base'!L156),2)-MAX('Calc base'!G$12,ROUND('Calc base'!G$13*AX155,2))&lt;1,ROUND(AX155*(1+'Calc base'!L156),2),MAX('Calc base'!G$12,ROUND('Calc base'!G$13*AX155,2))))</f>
        <v>0</v>
      </c>
      <c r="O156">
        <f>IF(AY155&lt;=0,0,IF(ROUND(AY155*(1+'Calc base'!M156),2)-MAX('Calc base'!H$12,ROUND('Calc base'!H$13*AY155,2))&lt;1,ROUND(AY155*(1+'Calc base'!M156),2),MAX('Calc base'!H$12,ROUND('Calc base'!H$13*AY155,2))))</f>
        <v>0</v>
      </c>
      <c r="P156">
        <f>IF(AZ155&lt;=0,0,IF(ROUND(AZ155*(1+'Calc base'!N156),2)-MAX('Calc base'!I$12,ROUND('Calc base'!I$13*AZ155,2))&lt;1,ROUND(AZ155*(1+'Calc base'!N156),2),MAX('Calc base'!I$12,ROUND('Calc base'!I$13*AZ155,2))))</f>
        <v>0</v>
      </c>
      <c r="Q156">
        <f>IF(BA155&lt;=0,0,IF(ROUND(BA155*(1+'Calc base'!O156),2)-MAX('Calc base'!J$12,ROUND('Calc base'!J$13*BA155,2))&lt;1,ROUND(BA155*(1+'Calc base'!O156),2),MAX('Calc base'!J$12,ROUND('Calc base'!J$13*BA155,2))))</f>
        <v>0</v>
      </c>
      <c r="R156">
        <f>IF(BB155&lt;=0,0,IF(ROUND(BB155*(1+'Calc base'!P156),2)-MAX('Calc base'!K$12,ROUND('Calc base'!K$13*BB155,2))&lt;1,ROUND(BB155*(1+'Calc base'!P156),2),MAX('Calc base'!K$12,ROUND('Calc base'!K$13*BB155,2))))</f>
        <v>0</v>
      </c>
      <c r="S156">
        <f>IF(BC155&lt;=0,0,IF(ROUND(BC155*(1+'Calc base'!Q156),2)-MAX('Calc base'!L$12,ROUND('Calc base'!L$13*BC155,2))&lt;1,ROUND(BC155*(1+'Calc base'!Q156),2),MAX('Calc base'!L$12,ROUND('Calc base'!L$13*BC155,2))))</f>
        <v>0</v>
      </c>
      <c r="T156">
        <f>IF(BD155&lt;=0,0,IF(ROUND(BD155*(1+'Calc base'!R156),2)-MAX('Calc base'!M$12,ROUND('Calc base'!M$13*BD155,2))&lt;1,ROUND(BD155*(1+'Calc base'!R156),2),MAX('Calc base'!M$12,ROUND('Calc base'!M$13*BD155,2))))</f>
        <v>0</v>
      </c>
      <c r="U156">
        <f>IF(BE155&lt;=0,0,IF(ROUND(BE155*(1+'Calc base'!S156),2)-MAX('Calc base'!N$12,ROUND('Calc base'!N$13*BE155,2))&lt;1,ROUND(BE155*(1+'Calc base'!S156),2),MAX('Calc base'!N$12,ROUND('Calc base'!N$13*BE155,2))))</f>
        <v>0</v>
      </c>
      <c r="V156">
        <f>MAX(0,ROUND(AT155*(1+'Calc base'!H156),2)-J156-'Calc base'!T156)</f>
        <v>0</v>
      </c>
      <c r="W156">
        <f>MAX(0,ROUND(AU155*(1+'Calc base'!I156),2)-K156-'Calc base'!U156)</f>
        <v>0</v>
      </c>
      <c r="X156">
        <f>MAX(0,ROUND(AV155*(1+'Calc base'!J156),2)-L156-'Calc base'!V156)</f>
        <v>0</v>
      </c>
      <c r="Y156">
        <f>MAX(0,ROUND(AW155*(1+'Calc base'!K156),2)-M156-'Calc base'!W156)</f>
        <v>0</v>
      </c>
      <c r="Z156">
        <f>MAX(0,ROUND(AX155*(1+'Calc base'!L156),2)-N156-'Calc base'!X156)</f>
        <v>0</v>
      </c>
      <c r="AA156">
        <f>MAX(0,ROUND(AY155*(1+'Calc base'!M156),2)-O156-'Calc base'!Y156)</f>
        <v>0</v>
      </c>
      <c r="AB156">
        <f>MAX(0,ROUND(AZ155*(1+'Calc base'!N156),2)-P156-'Calc base'!Z156)</f>
        <v>0</v>
      </c>
      <c r="AC156">
        <f>MAX(0,ROUND(BA155*(1+'Calc base'!O156),2)-Q156-'Calc base'!AA156)</f>
        <v>0</v>
      </c>
      <c r="AD156">
        <f>MAX(0,ROUND(BB155*(1+'Calc base'!P156),2)-R156-'Calc base'!AB156)</f>
        <v>0</v>
      </c>
      <c r="AE156">
        <f>MAX(0,ROUND(BC155*(1+'Calc base'!Q156),2)-S156-'Calc base'!AC156)</f>
        <v>0</v>
      </c>
      <c r="AF156">
        <f>MAX(0,ROUND(BD155*(1+'Calc base'!R156),2)-T156-'Calc base'!AD156)</f>
        <v>0</v>
      </c>
      <c r="AG156">
        <f>MAX(0,ROUND(BE155*(1+'Calc base'!S156),2)-U156-'Calc base'!AE156)</f>
        <v>0</v>
      </c>
      <c r="AH156">
        <f>IF('Calc base'!C$14=0,0,MIN(V156,MAX(0,$E156-SUMIFS($V156:$AG156,'Calc base'!$C$19:$N$19,"&lt;"&amp;'Calc base'!C$19,'Calc base'!$C$14:$N$14,1))))</f>
        <v>0</v>
      </c>
      <c r="AI156">
        <f>IF('Calc base'!D$14=0,0,MIN(W156,MAX(0,$E156-SUMIFS($V156:$AG156,'Calc base'!$C$19:$N$19,"&lt;"&amp;'Calc base'!D$19,'Calc base'!$C$14:$N$14,1))))</f>
        <v>0</v>
      </c>
      <c r="AJ156">
        <f>IF('Calc base'!E$14=0,0,MIN(X156,MAX(0,$E156-SUMIFS($V156:$AG156,'Calc base'!$C$19:$N$19,"&lt;"&amp;'Calc base'!E$19,'Calc base'!$C$14:$N$14,1))))</f>
        <v>0</v>
      </c>
      <c r="AK156">
        <f>IF('Calc base'!F$14=0,0,MIN(Y156,MAX(0,$E156-SUMIFS($V156:$AG156,'Calc base'!$C$19:$N$19,"&lt;"&amp;'Calc base'!F$19,'Calc base'!$C$14:$N$14,1))))</f>
        <v>0</v>
      </c>
      <c r="AL156">
        <f>IF('Calc base'!G$14=0,0,MIN(Z156,MAX(0,$E156-SUMIFS($V156:$AG156,'Calc base'!$C$19:$N$19,"&lt;"&amp;'Calc base'!G$19,'Calc base'!$C$14:$N$14,1))))</f>
        <v>0</v>
      </c>
      <c r="AM156">
        <f>IF('Calc base'!H$14=0,0,MIN(AA156,MAX(0,$E156-SUMIFS($V156:$AG156,'Calc base'!$C$19:$N$19,"&lt;"&amp;'Calc base'!H$19,'Calc base'!$C$14:$N$14,1))))</f>
        <v>0</v>
      </c>
      <c r="AN156">
        <f>IF('Calc base'!I$14=0,0,MIN(AB156,MAX(0,$E156-SUMIFS($V156:$AG156,'Calc base'!$C$19:$N$19,"&lt;"&amp;'Calc base'!I$19,'Calc base'!$C$14:$N$14,1))))</f>
        <v>0</v>
      </c>
      <c r="AO156">
        <f>IF('Calc base'!J$14=0,0,MIN(AC156,MAX(0,$E156-SUMIFS($V156:$AG156,'Calc base'!$C$19:$N$19,"&lt;"&amp;'Calc base'!J$19,'Calc base'!$C$14:$N$14,1))))</f>
        <v>0</v>
      </c>
      <c r="AP156">
        <f>IF('Calc base'!K$14=0,0,MIN(AD156,MAX(0,$E156-SUMIFS($V156:$AG156,'Calc base'!$C$19:$N$19,"&lt;"&amp;'Calc base'!K$19,'Calc base'!$C$14:$N$14,1))))</f>
        <v>0</v>
      </c>
      <c r="AQ156">
        <f>IF('Calc base'!L$14=0,0,MIN(AE156,MAX(0,$E156-SUMIFS($V156:$AG156,'Calc base'!$C$19:$N$19,"&lt;"&amp;'Calc base'!L$19,'Calc base'!$C$14:$N$14,1))))</f>
        <v>0</v>
      </c>
      <c r="AR156">
        <f>IF('Calc base'!M$14=0,0,MIN(AF156,MAX(0,$E156-SUMIFS($V156:$AG156,'Calc base'!$C$19:$N$19,"&lt;"&amp;'Calc base'!M$19,'Calc base'!$C$14:$N$14,1))))</f>
        <v>0</v>
      </c>
      <c r="AS156">
        <f>IF('Calc base'!N$14=0,0,MIN(AG156,MAX(0,$E156-SUMIFS($V156:$AG156,'Calc base'!$C$19:$N$19,"&lt;"&amp;'Calc base'!N$19,'Calc base'!$C$14:$N$14,1))))</f>
        <v>0</v>
      </c>
      <c r="AT156">
        <f>V156-AH156</f>
        <v>0</v>
      </c>
      <c r="AU156">
        <f>W156-AI156</f>
        <v>0</v>
      </c>
      <c r="AV156">
        <f>X156-AJ156</f>
        <v>0</v>
      </c>
      <c r="AW156">
        <f>Y156-AK156</f>
        <v>0</v>
      </c>
      <c r="AX156">
        <f>Z156-AL156</f>
        <v>0</v>
      </c>
      <c r="AY156">
        <f>AA156-AM156</f>
        <v>0</v>
      </c>
      <c r="AZ156">
        <f>AB156-AN156</f>
        <v>0</v>
      </c>
      <c r="BA156">
        <f>AC156-AO156</f>
        <v>0</v>
      </c>
      <c r="BB156">
        <f>AD156-AP156</f>
        <v>0</v>
      </c>
      <c r="BC156">
        <f>AE156-AQ156</f>
        <v>0</v>
      </c>
      <c r="BD156">
        <f>AF156-AR156</f>
        <v>0</v>
      </c>
      <c r="BE156">
        <f>AG156-AS156</f>
        <v>0</v>
      </c>
    </row>
    <row r="157">
      <c r="A157" t="n">
        <v>127</v>
      </c>
      <c r="B157">
        <f>SUMPRODUCT(ROUND($AT156:$BE156*(1+'Calc base'!$H157:$S157),2))</f>
        <v>0</v>
      </c>
      <c r="C157">
        <f>SUM(J157:U157)</f>
        <v>0</v>
      </c>
      <c r="D157">
        <f>SUM(V157:AG157)</f>
        <v>0</v>
      </c>
      <c r="E157">
        <f>MAX(0,IF(Impostazioni!$B$7="No",'Calc base'!$C157-$C$31,'Calc base'!$C157-C157)+'Calc base'!$G157+'Calc base'!$F157-(B157-C157-D157))</f>
        <v>900</v>
      </c>
      <c r="F157">
        <f>SUM(AH157:AS157)</f>
        <v>0</v>
      </c>
      <c r="G157">
        <f>SUM(AT157:BE157)</f>
        <v>0</v>
      </c>
      <c r="H157">
        <f>B157-G156</f>
        <v>0</v>
      </c>
      <c r="I157">
        <f>B157-G157</f>
        <v>0</v>
      </c>
      <c r="J157">
        <f>IF(AT156&lt;=0,0,IF(ROUND(AT156*(1+'Calc base'!H157),2)-MAX('Calc base'!C$12,ROUND('Calc base'!C$13*AT156,2))&lt;1,ROUND(AT156*(1+'Calc base'!H157),2),MAX('Calc base'!C$12,ROUND('Calc base'!C$13*AT156,2))))</f>
        <v>0</v>
      </c>
      <c r="K157">
        <f>IF(AU156&lt;=0,0,IF(ROUND(AU156*(1+'Calc base'!I157),2)-MAX('Calc base'!D$12,ROUND('Calc base'!D$13*AU156,2))&lt;1,ROUND(AU156*(1+'Calc base'!I157),2),MAX('Calc base'!D$12,ROUND('Calc base'!D$13*AU156,2))))</f>
        <v>0</v>
      </c>
      <c r="L157">
        <f>IF(AV156&lt;=0,0,IF(ROUND(AV156*(1+'Calc base'!J157),2)-MAX('Calc base'!E$12,ROUND('Calc base'!E$13*AV156,2))&lt;1,ROUND(AV156*(1+'Calc base'!J157),2),MAX('Calc base'!E$12,ROUND('Calc base'!E$13*AV156,2))))</f>
        <v>0</v>
      </c>
      <c r="M157">
        <f>IF(AW156&lt;=0,0,IF(ROUND(AW156*(1+'Calc base'!K157),2)-MAX('Calc base'!F$12,ROUND('Calc base'!F$13*AW156,2))&lt;1,ROUND(AW156*(1+'Calc base'!K157),2),MAX('Calc base'!F$12,ROUND('Calc base'!F$13*AW156,2))))</f>
        <v>0</v>
      </c>
      <c r="N157">
        <f>IF(AX156&lt;=0,0,IF(ROUND(AX156*(1+'Calc base'!L157),2)-MAX('Calc base'!G$12,ROUND('Calc base'!G$13*AX156,2))&lt;1,ROUND(AX156*(1+'Calc base'!L157),2),MAX('Calc base'!G$12,ROUND('Calc base'!G$13*AX156,2))))</f>
        <v>0</v>
      </c>
      <c r="O157">
        <f>IF(AY156&lt;=0,0,IF(ROUND(AY156*(1+'Calc base'!M157),2)-MAX('Calc base'!H$12,ROUND('Calc base'!H$13*AY156,2))&lt;1,ROUND(AY156*(1+'Calc base'!M157),2),MAX('Calc base'!H$12,ROUND('Calc base'!H$13*AY156,2))))</f>
        <v>0</v>
      </c>
      <c r="P157">
        <f>IF(AZ156&lt;=0,0,IF(ROUND(AZ156*(1+'Calc base'!N157),2)-MAX('Calc base'!I$12,ROUND('Calc base'!I$13*AZ156,2))&lt;1,ROUND(AZ156*(1+'Calc base'!N157),2),MAX('Calc base'!I$12,ROUND('Calc base'!I$13*AZ156,2))))</f>
        <v>0</v>
      </c>
      <c r="Q157">
        <f>IF(BA156&lt;=0,0,IF(ROUND(BA156*(1+'Calc base'!O157),2)-MAX('Calc base'!J$12,ROUND('Calc base'!J$13*BA156,2))&lt;1,ROUND(BA156*(1+'Calc base'!O157),2),MAX('Calc base'!J$12,ROUND('Calc base'!J$13*BA156,2))))</f>
        <v>0</v>
      </c>
      <c r="R157">
        <f>IF(BB156&lt;=0,0,IF(ROUND(BB156*(1+'Calc base'!P157),2)-MAX('Calc base'!K$12,ROUND('Calc base'!K$13*BB156,2))&lt;1,ROUND(BB156*(1+'Calc base'!P157),2),MAX('Calc base'!K$12,ROUND('Calc base'!K$13*BB156,2))))</f>
        <v>0</v>
      </c>
      <c r="S157">
        <f>IF(BC156&lt;=0,0,IF(ROUND(BC156*(1+'Calc base'!Q157),2)-MAX('Calc base'!L$12,ROUND('Calc base'!L$13*BC156,2))&lt;1,ROUND(BC156*(1+'Calc base'!Q157),2),MAX('Calc base'!L$12,ROUND('Calc base'!L$13*BC156,2))))</f>
        <v>0</v>
      </c>
      <c r="T157">
        <f>IF(BD156&lt;=0,0,IF(ROUND(BD156*(1+'Calc base'!R157),2)-MAX('Calc base'!M$12,ROUND('Calc base'!M$13*BD156,2))&lt;1,ROUND(BD156*(1+'Calc base'!R157),2),MAX('Calc base'!M$12,ROUND('Calc base'!M$13*BD156,2))))</f>
        <v>0</v>
      </c>
      <c r="U157">
        <f>IF(BE156&lt;=0,0,IF(ROUND(BE156*(1+'Calc base'!S157),2)-MAX('Calc base'!N$12,ROUND('Calc base'!N$13*BE156,2))&lt;1,ROUND(BE156*(1+'Calc base'!S157),2),MAX('Calc base'!N$12,ROUND('Calc base'!N$13*BE156,2))))</f>
        <v>0</v>
      </c>
      <c r="V157">
        <f>MAX(0,ROUND(AT156*(1+'Calc base'!H157),2)-J157-'Calc base'!T157)</f>
        <v>0</v>
      </c>
      <c r="W157">
        <f>MAX(0,ROUND(AU156*(1+'Calc base'!I157),2)-K157-'Calc base'!U157)</f>
        <v>0</v>
      </c>
      <c r="X157">
        <f>MAX(0,ROUND(AV156*(1+'Calc base'!J157),2)-L157-'Calc base'!V157)</f>
        <v>0</v>
      </c>
      <c r="Y157">
        <f>MAX(0,ROUND(AW156*(1+'Calc base'!K157),2)-M157-'Calc base'!W157)</f>
        <v>0</v>
      </c>
      <c r="Z157">
        <f>MAX(0,ROUND(AX156*(1+'Calc base'!L157),2)-N157-'Calc base'!X157)</f>
        <v>0</v>
      </c>
      <c r="AA157">
        <f>MAX(0,ROUND(AY156*(1+'Calc base'!M157),2)-O157-'Calc base'!Y157)</f>
        <v>0</v>
      </c>
      <c r="AB157">
        <f>MAX(0,ROUND(AZ156*(1+'Calc base'!N157),2)-P157-'Calc base'!Z157)</f>
        <v>0</v>
      </c>
      <c r="AC157">
        <f>MAX(0,ROUND(BA156*(1+'Calc base'!O157),2)-Q157-'Calc base'!AA157)</f>
        <v>0</v>
      </c>
      <c r="AD157">
        <f>MAX(0,ROUND(BB156*(1+'Calc base'!P157),2)-R157-'Calc base'!AB157)</f>
        <v>0</v>
      </c>
      <c r="AE157">
        <f>MAX(0,ROUND(BC156*(1+'Calc base'!Q157),2)-S157-'Calc base'!AC157)</f>
        <v>0</v>
      </c>
      <c r="AF157">
        <f>MAX(0,ROUND(BD156*(1+'Calc base'!R157),2)-T157-'Calc base'!AD157)</f>
        <v>0</v>
      </c>
      <c r="AG157">
        <f>MAX(0,ROUND(BE156*(1+'Calc base'!S157),2)-U157-'Calc base'!AE157)</f>
        <v>0</v>
      </c>
      <c r="AH157">
        <f>IF('Calc base'!C$14=0,0,MIN(V157,MAX(0,$E157-SUMIFS($V157:$AG157,'Calc base'!$C$19:$N$19,"&lt;"&amp;'Calc base'!C$19,'Calc base'!$C$14:$N$14,1))))</f>
        <v>0</v>
      </c>
      <c r="AI157">
        <f>IF('Calc base'!D$14=0,0,MIN(W157,MAX(0,$E157-SUMIFS($V157:$AG157,'Calc base'!$C$19:$N$19,"&lt;"&amp;'Calc base'!D$19,'Calc base'!$C$14:$N$14,1))))</f>
        <v>0</v>
      </c>
      <c r="AJ157">
        <f>IF('Calc base'!E$14=0,0,MIN(X157,MAX(0,$E157-SUMIFS($V157:$AG157,'Calc base'!$C$19:$N$19,"&lt;"&amp;'Calc base'!E$19,'Calc base'!$C$14:$N$14,1))))</f>
        <v>0</v>
      </c>
      <c r="AK157">
        <f>IF('Calc base'!F$14=0,0,MIN(Y157,MAX(0,$E157-SUMIFS($V157:$AG157,'Calc base'!$C$19:$N$19,"&lt;"&amp;'Calc base'!F$19,'Calc base'!$C$14:$N$14,1))))</f>
        <v>0</v>
      </c>
      <c r="AL157">
        <f>IF('Calc base'!G$14=0,0,MIN(Z157,MAX(0,$E157-SUMIFS($V157:$AG157,'Calc base'!$C$19:$N$19,"&lt;"&amp;'Calc base'!G$19,'Calc base'!$C$14:$N$14,1))))</f>
        <v>0</v>
      </c>
      <c r="AM157">
        <f>IF('Calc base'!H$14=0,0,MIN(AA157,MAX(0,$E157-SUMIFS($V157:$AG157,'Calc base'!$C$19:$N$19,"&lt;"&amp;'Calc base'!H$19,'Calc base'!$C$14:$N$14,1))))</f>
        <v>0</v>
      </c>
      <c r="AN157">
        <f>IF('Calc base'!I$14=0,0,MIN(AB157,MAX(0,$E157-SUMIFS($V157:$AG157,'Calc base'!$C$19:$N$19,"&lt;"&amp;'Calc base'!I$19,'Calc base'!$C$14:$N$14,1))))</f>
        <v>0</v>
      </c>
      <c r="AO157">
        <f>IF('Calc base'!J$14=0,0,MIN(AC157,MAX(0,$E157-SUMIFS($V157:$AG157,'Calc base'!$C$19:$N$19,"&lt;"&amp;'Calc base'!J$19,'Calc base'!$C$14:$N$14,1))))</f>
        <v>0</v>
      </c>
      <c r="AP157">
        <f>IF('Calc base'!K$14=0,0,MIN(AD157,MAX(0,$E157-SUMIFS($V157:$AG157,'Calc base'!$C$19:$N$19,"&lt;"&amp;'Calc base'!K$19,'Calc base'!$C$14:$N$14,1))))</f>
        <v>0</v>
      </c>
      <c r="AQ157">
        <f>IF('Calc base'!L$14=0,0,MIN(AE157,MAX(0,$E157-SUMIFS($V157:$AG157,'Calc base'!$C$19:$N$19,"&lt;"&amp;'Calc base'!L$19,'Calc base'!$C$14:$N$14,1))))</f>
        <v>0</v>
      </c>
      <c r="AR157">
        <f>IF('Calc base'!M$14=0,0,MIN(AF157,MAX(0,$E157-SUMIFS($V157:$AG157,'Calc base'!$C$19:$N$19,"&lt;"&amp;'Calc base'!M$19,'Calc base'!$C$14:$N$14,1))))</f>
        <v>0</v>
      </c>
      <c r="AS157">
        <f>IF('Calc base'!N$14=0,0,MIN(AG157,MAX(0,$E157-SUMIFS($V157:$AG157,'Calc base'!$C$19:$N$19,"&lt;"&amp;'Calc base'!N$19,'Calc base'!$C$14:$N$14,1))))</f>
        <v>0</v>
      </c>
      <c r="AT157">
        <f>V157-AH157</f>
        <v>0</v>
      </c>
      <c r="AU157">
        <f>W157-AI157</f>
        <v>0</v>
      </c>
      <c r="AV157">
        <f>X157-AJ157</f>
        <v>0</v>
      </c>
      <c r="AW157">
        <f>Y157-AK157</f>
        <v>0</v>
      </c>
      <c r="AX157">
        <f>Z157-AL157</f>
        <v>0</v>
      </c>
      <c r="AY157">
        <f>AA157-AM157</f>
        <v>0</v>
      </c>
      <c r="AZ157">
        <f>AB157-AN157</f>
        <v>0</v>
      </c>
      <c r="BA157">
        <f>AC157-AO157</f>
        <v>0</v>
      </c>
      <c r="BB157">
        <f>AD157-AP157</f>
        <v>0</v>
      </c>
      <c r="BC157">
        <f>AE157-AQ157</f>
        <v>0</v>
      </c>
      <c r="BD157">
        <f>AF157-AR157</f>
        <v>0</v>
      </c>
      <c r="BE157">
        <f>AG157-AS157</f>
        <v>0</v>
      </c>
    </row>
    <row r="158">
      <c r="A158" t="n">
        <v>128</v>
      </c>
      <c r="B158">
        <f>SUMPRODUCT(ROUND($AT157:$BE157*(1+'Calc base'!$H158:$S158),2))</f>
        <v>0</v>
      </c>
      <c r="C158">
        <f>SUM(J158:U158)</f>
        <v>0</v>
      </c>
      <c r="D158">
        <f>SUM(V158:AG158)</f>
        <v>0</v>
      </c>
      <c r="E158">
        <f>MAX(0,IF(Impostazioni!$B$7="No",'Calc base'!$C158-$C$31,'Calc base'!$C158-C158)+'Calc base'!$G158+'Calc base'!$F158-(B158-C158-D158))</f>
        <v>900</v>
      </c>
      <c r="F158">
        <f>SUM(AH158:AS158)</f>
        <v>0</v>
      </c>
      <c r="G158">
        <f>SUM(AT158:BE158)</f>
        <v>0</v>
      </c>
      <c r="H158">
        <f>B158-G157</f>
        <v>0</v>
      </c>
      <c r="I158">
        <f>B158-G158</f>
        <v>0</v>
      </c>
      <c r="J158">
        <f>IF(AT157&lt;=0,0,IF(ROUND(AT157*(1+'Calc base'!H158),2)-MAX('Calc base'!C$12,ROUND('Calc base'!C$13*AT157,2))&lt;1,ROUND(AT157*(1+'Calc base'!H158),2),MAX('Calc base'!C$12,ROUND('Calc base'!C$13*AT157,2))))</f>
        <v>0</v>
      </c>
      <c r="K158">
        <f>IF(AU157&lt;=0,0,IF(ROUND(AU157*(1+'Calc base'!I158),2)-MAX('Calc base'!D$12,ROUND('Calc base'!D$13*AU157,2))&lt;1,ROUND(AU157*(1+'Calc base'!I158),2),MAX('Calc base'!D$12,ROUND('Calc base'!D$13*AU157,2))))</f>
        <v>0</v>
      </c>
      <c r="L158">
        <f>IF(AV157&lt;=0,0,IF(ROUND(AV157*(1+'Calc base'!J158),2)-MAX('Calc base'!E$12,ROUND('Calc base'!E$13*AV157,2))&lt;1,ROUND(AV157*(1+'Calc base'!J158),2),MAX('Calc base'!E$12,ROUND('Calc base'!E$13*AV157,2))))</f>
        <v>0</v>
      </c>
      <c r="M158">
        <f>IF(AW157&lt;=0,0,IF(ROUND(AW157*(1+'Calc base'!K158),2)-MAX('Calc base'!F$12,ROUND('Calc base'!F$13*AW157,2))&lt;1,ROUND(AW157*(1+'Calc base'!K158),2),MAX('Calc base'!F$12,ROUND('Calc base'!F$13*AW157,2))))</f>
        <v>0</v>
      </c>
      <c r="N158">
        <f>IF(AX157&lt;=0,0,IF(ROUND(AX157*(1+'Calc base'!L158),2)-MAX('Calc base'!G$12,ROUND('Calc base'!G$13*AX157,2))&lt;1,ROUND(AX157*(1+'Calc base'!L158),2),MAX('Calc base'!G$12,ROUND('Calc base'!G$13*AX157,2))))</f>
        <v>0</v>
      </c>
      <c r="O158">
        <f>IF(AY157&lt;=0,0,IF(ROUND(AY157*(1+'Calc base'!M158),2)-MAX('Calc base'!H$12,ROUND('Calc base'!H$13*AY157,2))&lt;1,ROUND(AY157*(1+'Calc base'!M158),2),MAX('Calc base'!H$12,ROUND('Calc base'!H$13*AY157,2))))</f>
        <v>0</v>
      </c>
      <c r="P158">
        <f>IF(AZ157&lt;=0,0,IF(ROUND(AZ157*(1+'Calc base'!N158),2)-MAX('Calc base'!I$12,ROUND('Calc base'!I$13*AZ157,2))&lt;1,ROUND(AZ157*(1+'Calc base'!N158),2),MAX('Calc base'!I$12,ROUND('Calc base'!I$13*AZ157,2))))</f>
        <v>0</v>
      </c>
      <c r="Q158">
        <f>IF(BA157&lt;=0,0,IF(ROUND(BA157*(1+'Calc base'!O158),2)-MAX('Calc base'!J$12,ROUND('Calc base'!J$13*BA157,2))&lt;1,ROUND(BA157*(1+'Calc base'!O158),2),MAX('Calc base'!J$12,ROUND('Calc base'!J$13*BA157,2))))</f>
        <v>0</v>
      </c>
      <c r="R158">
        <f>IF(BB157&lt;=0,0,IF(ROUND(BB157*(1+'Calc base'!P158),2)-MAX('Calc base'!K$12,ROUND('Calc base'!K$13*BB157,2))&lt;1,ROUND(BB157*(1+'Calc base'!P158),2),MAX('Calc base'!K$12,ROUND('Calc base'!K$13*BB157,2))))</f>
        <v>0</v>
      </c>
      <c r="S158">
        <f>IF(BC157&lt;=0,0,IF(ROUND(BC157*(1+'Calc base'!Q158),2)-MAX('Calc base'!L$12,ROUND('Calc base'!L$13*BC157,2))&lt;1,ROUND(BC157*(1+'Calc base'!Q158),2),MAX('Calc base'!L$12,ROUND('Calc base'!L$13*BC157,2))))</f>
        <v>0</v>
      </c>
      <c r="T158">
        <f>IF(BD157&lt;=0,0,IF(ROUND(BD157*(1+'Calc base'!R158),2)-MAX('Calc base'!M$12,ROUND('Calc base'!M$13*BD157,2))&lt;1,ROUND(BD157*(1+'Calc base'!R158),2),MAX('Calc base'!M$12,ROUND('Calc base'!M$13*BD157,2))))</f>
        <v>0</v>
      </c>
      <c r="U158">
        <f>IF(BE157&lt;=0,0,IF(ROUND(BE157*(1+'Calc base'!S158),2)-MAX('Calc base'!N$12,ROUND('Calc base'!N$13*BE157,2))&lt;1,ROUND(BE157*(1+'Calc base'!S158),2),MAX('Calc base'!N$12,ROUND('Calc base'!N$13*BE157,2))))</f>
        <v>0</v>
      </c>
      <c r="V158">
        <f>MAX(0,ROUND(AT157*(1+'Calc base'!H158),2)-J158-'Calc base'!T158)</f>
        <v>0</v>
      </c>
      <c r="W158">
        <f>MAX(0,ROUND(AU157*(1+'Calc base'!I158),2)-K158-'Calc base'!U158)</f>
        <v>0</v>
      </c>
      <c r="X158">
        <f>MAX(0,ROUND(AV157*(1+'Calc base'!J158),2)-L158-'Calc base'!V158)</f>
        <v>0</v>
      </c>
      <c r="Y158">
        <f>MAX(0,ROUND(AW157*(1+'Calc base'!K158),2)-M158-'Calc base'!W158)</f>
        <v>0</v>
      </c>
      <c r="Z158">
        <f>MAX(0,ROUND(AX157*(1+'Calc base'!L158),2)-N158-'Calc base'!X158)</f>
        <v>0</v>
      </c>
      <c r="AA158">
        <f>MAX(0,ROUND(AY157*(1+'Calc base'!M158),2)-O158-'Calc base'!Y158)</f>
        <v>0</v>
      </c>
      <c r="AB158">
        <f>MAX(0,ROUND(AZ157*(1+'Calc base'!N158),2)-P158-'Calc base'!Z158)</f>
        <v>0</v>
      </c>
      <c r="AC158">
        <f>MAX(0,ROUND(BA157*(1+'Calc base'!O158),2)-Q158-'Calc base'!AA158)</f>
        <v>0</v>
      </c>
      <c r="AD158">
        <f>MAX(0,ROUND(BB157*(1+'Calc base'!P158),2)-R158-'Calc base'!AB158)</f>
        <v>0</v>
      </c>
      <c r="AE158">
        <f>MAX(0,ROUND(BC157*(1+'Calc base'!Q158),2)-S158-'Calc base'!AC158)</f>
        <v>0</v>
      </c>
      <c r="AF158">
        <f>MAX(0,ROUND(BD157*(1+'Calc base'!R158),2)-T158-'Calc base'!AD158)</f>
        <v>0</v>
      </c>
      <c r="AG158">
        <f>MAX(0,ROUND(BE157*(1+'Calc base'!S158),2)-U158-'Calc base'!AE158)</f>
        <v>0</v>
      </c>
      <c r="AH158">
        <f>IF('Calc base'!C$14=0,0,MIN(V158,MAX(0,$E158-SUMIFS($V158:$AG158,'Calc base'!$C$19:$N$19,"&lt;"&amp;'Calc base'!C$19,'Calc base'!$C$14:$N$14,1))))</f>
        <v>0</v>
      </c>
      <c r="AI158">
        <f>IF('Calc base'!D$14=0,0,MIN(W158,MAX(0,$E158-SUMIFS($V158:$AG158,'Calc base'!$C$19:$N$19,"&lt;"&amp;'Calc base'!D$19,'Calc base'!$C$14:$N$14,1))))</f>
        <v>0</v>
      </c>
      <c r="AJ158">
        <f>IF('Calc base'!E$14=0,0,MIN(X158,MAX(0,$E158-SUMIFS($V158:$AG158,'Calc base'!$C$19:$N$19,"&lt;"&amp;'Calc base'!E$19,'Calc base'!$C$14:$N$14,1))))</f>
        <v>0</v>
      </c>
      <c r="AK158">
        <f>IF('Calc base'!F$14=0,0,MIN(Y158,MAX(0,$E158-SUMIFS($V158:$AG158,'Calc base'!$C$19:$N$19,"&lt;"&amp;'Calc base'!F$19,'Calc base'!$C$14:$N$14,1))))</f>
        <v>0</v>
      </c>
      <c r="AL158">
        <f>IF('Calc base'!G$14=0,0,MIN(Z158,MAX(0,$E158-SUMIFS($V158:$AG158,'Calc base'!$C$19:$N$19,"&lt;"&amp;'Calc base'!G$19,'Calc base'!$C$14:$N$14,1))))</f>
        <v>0</v>
      </c>
      <c r="AM158">
        <f>IF('Calc base'!H$14=0,0,MIN(AA158,MAX(0,$E158-SUMIFS($V158:$AG158,'Calc base'!$C$19:$N$19,"&lt;"&amp;'Calc base'!H$19,'Calc base'!$C$14:$N$14,1))))</f>
        <v>0</v>
      </c>
      <c r="AN158">
        <f>IF('Calc base'!I$14=0,0,MIN(AB158,MAX(0,$E158-SUMIFS($V158:$AG158,'Calc base'!$C$19:$N$19,"&lt;"&amp;'Calc base'!I$19,'Calc base'!$C$14:$N$14,1))))</f>
        <v>0</v>
      </c>
      <c r="AO158">
        <f>IF('Calc base'!J$14=0,0,MIN(AC158,MAX(0,$E158-SUMIFS($V158:$AG158,'Calc base'!$C$19:$N$19,"&lt;"&amp;'Calc base'!J$19,'Calc base'!$C$14:$N$14,1))))</f>
        <v>0</v>
      </c>
      <c r="AP158">
        <f>IF('Calc base'!K$14=0,0,MIN(AD158,MAX(0,$E158-SUMIFS($V158:$AG158,'Calc base'!$C$19:$N$19,"&lt;"&amp;'Calc base'!K$19,'Calc base'!$C$14:$N$14,1))))</f>
        <v>0</v>
      </c>
      <c r="AQ158">
        <f>IF('Calc base'!L$14=0,0,MIN(AE158,MAX(0,$E158-SUMIFS($V158:$AG158,'Calc base'!$C$19:$N$19,"&lt;"&amp;'Calc base'!L$19,'Calc base'!$C$14:$N$14,1))))</f>
        <v>0</v>
      </c>
      <c r="AR158">
        <f>IF('Calc base'!M$14=0,0,MIN(AF158,MAX(0,$E158-SUMIFS($V158:$AG158,'Calc base'!$C$19:$N$19,"&lt;"&amp;'Calc base'!M$19,'Calc base'!$C$14:$N$14,1))))</f>
        <v>0</v>
      </c>
      <c r="AS158">
        <f>IF('Calc base'!N$14=0,0,MIN(AG158,MAX(0,$E158-SUMIFS($V158:$AG158,'Calc base'!$C$19:$N$19,"&lt;"&amp;'Calc base'!N$19,'Calc base'!$C$14:$N$14,1))))</f>
        <v>0</v>
      </c>
      <c r="AT158">
        <f>V158-AH158</f>
        <v>0</v>
      </c>
      <c r="AU158">
        <f>W158-AI158</f>
        <v>0</v>
      </c>
      <c r="AV158">
        <f>X158-AJ158</f>
        <v>0</v>
      </c>
      <c r="AW158">
        <f>Y158-AK158</f>
        <v>0</v>
      </c>
      <c r="AX158">
        <f>Z158-AL158</f>
        <v>0</v>
      </c>
      <c r="AY158">
        <f>AA158-AM158</f>
        <v>0</v>
      </c>
      <c r="AZ158">
        <f>AB158-AN158</f>
        <v>0</v>
      </c>
      <c r="BA158">
        <f>AC158-AO158</f>
        <v>0</v>
      </c>
      <c r="BB158">
        <f>AD158-AP158</f>
        <v>0</v>
      </c>
      <c r="BC158">
        <f>AE158-AQ158</f>
        <v>0</v>
      </c>
      <c r="BD158">
        <f>AF158-AR158</f>
        <v>0</v>
      </c>
      <c r="BE158">
        <f>AG158-AS158</f>
        <v>0</v>
      </c>
    </row>
    <row r="159">
      <c r="A159" t="n">
        <v>129</v>
      </c>
      <c r="B159">
        <f>SUMPRODUCT(ROUND($AT158:$BE158*(1+'Calc base'!$H159:$S159),2))</f>
        <v>0</v>
      </c>
      <c r="C159">
        <f>SUM(J159:U159)</f>
        <v>0</v>
      </c>
      <c r="D159">
        <f>SUM(V159:AG159)</f>
        <v>0</v>
      </c>
      <c r="E159">
        <f>MAX(0,IF(Impostazioni!$B$7="No",'Calc base'!$C159-$C$31,'Calc base'!$C159-C159)+'Calc base'!$G159+'Calc base'!$F159-(B159-C159-D159))</f>
        <v>900</v>
      </c>
      <c r="F159">
        <f>SUM(AH159:AS159)</f>
        <v>0</v>
      </c>
      <c r="G159">
        <f>SUM(AT159:BE159)</f>
        <v>0</v>
      </c>
      <c r="H159">
        <f>B159-G158</f>
        <v>0</v>
      </c>
      <c r="I159">
        <f>B159-G159</f>
        <v>0</v>
      </c>
      <c r="J159">
        <f>IF(AT158&lt;=0,0,IF(ROUND(AT158*(1+'Calc base'!H159),2)-MAX('Calc base'!C$12,ROUND('Calc base'!C$13*AT158,2))&lt;1,ROUND(AT158*(1+'Calc base'!H159),2),MAX('Calc base'!C$12,ROUND('Calc base'!C$13*AT158,2))))</f>
        <v>0</v>
      </c>
      <c r="K159">
        <f>IF(AU158&lt;=0,0,IF(ROUND(AU158*(1+'Calc base'!I159),2)-MAX('Calc base'!D$12,ROUND('Calc base'!D$13*AU158,2))&lt;1,ROUND(AU158*(1+'Calc base'!I159),2),MAX('Calc base'!D$12,ROUND('Calc base'!D$13*AU158,2))))</f>
        <v>0</v>
      </c>
      <c r="L159">
        <f>IF(AV158&lt;=0,0,IF(ROUND(AV158*(1+'Calc base'!J159),2)-MAX('Calc base'!E$12,ROUND('Calc base'!E$13*AV158,2))&lt;1,ROUND(AV158*(1+'Calc base'!J159),2),MAX('Calc base'!E$12,ROUND('Calc base'!E$13*AV158,2))))</f>
        <v>0</v>
      </c>
      <c r="M159">
        <f>IF(AW158&lt;=0,0,IF(ROUND(AW158*(1+'Calc base'!K159),2)-MAX('Calc base'!F$12,ROUND('Calc base'!F$13*AW158,2))&lt;1,ROUND(AW158*(1+'Calc base'!K159),2),MAX('Calc base'!F$12,ROUND('Calc base'!F$13*AW158,2))))</f>
        <v>0</v>
      </c>
      <c r="N159">
        <f>IF(AX158&lt;=0,0,IF(ROUND(AX158*(1+'Calc base'!L159),2)-MAX('Calc base'!G$12,ROUND('Calc base'!G$13*AX158,2))&lt;1,ROUND(AX158*(1+'Calc base'!L159),2),MAX('Calc base'!G$12,ROUND('Calc base'!G$13*AX158,2))))</f>
        <v>0</v>
      </c>
      <c r="O159">
        <f>IF(AY158&lt;=0,0,IF(ROUND(AY158*(1+'Calc base'!M159),2)-MAX('Calc base'!H$12,ROUND('Calc base'!H$13*AY158,2))&lt;1,ROUND(AY158*(1+'Calc base'!M159),2),MAX('Calc base'!H$12,ROUND('Calc base'!H$13*AY158,2))))</f>
        <v>0</v>
      </c>
      <c r="P159">
        <f>IF(AZ158&lt;=0,0,IF(ROUND(AZ158*(1+'Calc base'!N159),2)-MAX('Calc base'!I$12,ROUND('Calc base'!I$13*AZ158,2))&lt;1,ROUND(AZ158*(1+'Calc base'!N159),2),MAX('Calc base'!I$12,ROUND('Calc base'!I$13*AZ158,2))))</f>
        <v>0</v>
      </c>
      <c r="Q159">
        <f>IF(BA158&lt;=0,0,IF(ROUND(BA158*(1+'Calc base'!O159),2)-MAX('Calc base'!J$12,ROUND('Calc base'!J$13*BA158,2))&lt;1,ROUND(BA158*(1+'Calc base'!O159),2),MAX('Calc base'!J$12,ROUND('Calc base'!J$13*BA158,2))))</f>
        <v>0</v>
      </c>
      <c r="R159">
        <f>IF(BB158&lt;=0,0,IF(ROUND(BB158*(1+'Calc base'!P159),2)-MAX('Calc base'!K$12,ROUND('Calc base'!K$13*BB158,2))&lt;1,ROUND(BB158*(1+'Calc base'!P159),2),MAX('Calc base'!K$12,ROUND('Calc base'!K$13*BB158,2))))</f>
        <v>0</v>
      </c>
      <c r="S159">
        <f>IF(BC158&lt;=0,0,IF(ROUND(BC158*(1+'Calc base'!Q159),2)-MAX('Calc base'!L$12,ROUND('Calc base'!L$13*BC158,2))&lt;1,ROUND(BC158*(1+'Calc base'!Q159),2),MAX('Calc base'!L$12,ROUND('Calc base'!L$13*BC158,2))))</f>
        <v>0</v>
      </c>
      <c r="T159">
        <f>IF(BD158&lt;=0,0,IF(ROUND(BD158*(1+'Calc base'!R159),2)-MAX('Calc base'!M$12,ROUND('Calc base'!M$13*BD158,2))&lt;1,ROUND(BD158*(1+'Calc base'!R159),2),MAX('Calc base'!M$12,ROUND('Calc base'!M$13*BD158,2))))</f>
        <v>0</v>
      </c>
      <c r="U159">
        <f>IF(BE158&lt;=0,0,IF(ROUND(BE158*(1+'Calc base'!S159),2)-MAX('Calc base'!N$12,ROUND('Calc base'!N$13*BE158,2))&lt;1,ROUND(BE158*(1+'Calc base'!S159),2),MAX('Calc base'!N$12,ROUND('Calc base'!N$13*BE158,2))))</f>
        <v>0</v>
      </c>
      <c r="V159">
        <f>MAX(0,ROUND(AT158*(1+'Calc base'!H159),2)-J159-'Calc base'!T159)</f>
        <v>0</v>
      </c>
      <c r="W159">
        <f>MAX(0,ROUND(AU158*(1+'Calc base'!I159),2)-K159-'Calc base'!U159)</f>
        <v>0</v>
      </c>
      <c r="X159">
        <f>MAX(0,ROUND(AV158*(1+'Calc base'!J159),2)-L159-'Calc base'!V159)</f>
        <v>0</v>
      </c>
      <c r="Y159">
        <f>MAX(0,ROUND(AW158*(1+'Calc base'!K159),2)-M159-'Calc base'!W159)</f>
        <v>0</v>
      </c>
      <c r="Z159">
        <f>MAX(0,ROUND(AX158*(1+'Calc base'!L159),2)-N159-'Calc base'!X159)</f>
        <v>0</v>
      </c>
      <c r="AA159">
        <f>MAX(0,ROUND(AY158*(1+'Calc base'!M159),2)-O159-'Calc base'!Y159)</f>
        <v>0</v>
      </c>
      <c r="AB159">
        <f>MAX(0,ROUND(AZ158*(1+'Calc base'!N159),2)-P159-'Calc base'!Z159)</f>
        <v>0</v>
      </c>
      <c r="AC159">
        <f>MAX(0,ROUND(BA158*(1+'Calc base'!O159),2)-Q159-'Calc base'!AA159)</f>
        <v>0</v>
      </c>
      <c r="AD159">
        <f>MAX(0,ROUND(BB158*(1+'Calc base'!P159),2)-R159-'Calc base'!AB159)</f>
        <v>0</v>
      </c>
      <c r="AE159">
        <f>MAX(0,ROUND(BC158*(1+'Calc base'!Q159),2)-S159-'Calc base'!AC159)</f>
        <v>0</v>
      </c>
      <c r="AF159">
        <f>MAX(0,ROUND(BD158*(1+'Calc base'!R159),2)-T159-'Calc base'!AD159)</f>
        <v>0</v>
      </c>
      <c r="AG159">
        <f>MAX(0,ROUND(BE158*(1+'Calc base'!S159),2)-U159-'Calc base'!AE159)</f>
        <v>0</v>
      </c>
      <c r="AH159">
        <f>IF('Calc base'!C$14=0,0,MIN(V159,MAX(0,$E159-SUMIFS($V159:$AG159,'Calc base'!$C$19:$N$19,"&lt;"&amp;'Calc base'!C$19,'Calc base'!$C$14:$N$14,1))))</f>
        <v>0</v>
      </c>
      <c r="AI159">
        <f>IF('Calc base'!D$14=0,0,MIN(W159,MAX(0,$E159-SUMIFS($V159:$AG159,'Calc base'!$C$19:$N$19,"&lt;"&amp;'Calc base'!D$19,'Calc base'!$C$14:$N$14,1))))</f>
        <v>0</v>
      </c>
      <c r="AJ159">
        <f>IF('Calc base'!E$14=0,0,MIN(X159,MAX(0,$E159-SUMIFS($V159:$AG159,'Calc base'!$C$19:$N$19,"&lt;"&amp;'Calc base'!E$19,'Calc base'!$C$14:$N$14,1))))</f>
        <v>0</v>
      </c>
      <c r="AK159">
        <f>IF('Calc base'!F$14=0,0,MIN(Y159,MAX(0,$E159-SUMIFS($V159:$AG159,'Calc base'!$C$19:$N$19,"&lt;"&amp;'Calc base'!F$19,'Calc base'!$C$14:$N$14,1))))</f>
        <v>0</v>
      </c>
      <c r="AL159">
        <f>IF('Calc base'!G$14=0,0,MIN(Z159,MAX(0,$E159-SUMIFS($V159:$AG159,'Calc base'!$C$19:$N$19,"&lt;"&amp;'Calc base'!G$19,'Calc base'!$C$14:$N$14,1))))</f>
        <v>0</v>
      </c>
      <c r="AM159">
        <f>IF('Calc base'!H$14=0,0,MIN(AA159,MAX(0,$E159-SUMIFS($V159:$AG159,'Calc base'!$C$19:$N$19,"&lt;"&amp;'Calc base'!H$19,'Calc base'!$C$14:$N$14,1))))</f>
        <v>0</v>
      </c>
      <c r="AN159">
        <f>IF('Calc base'!I$14=0,0,MIN(AB159,MAX(0,$E159-SUMIFS($V159:$AG159,'Calc base'!$C$19:$N$19,"&lt;"&amp;'Calc base'!I$19,'Calc base'!$C$14:$N$14,1))))</f>
        <v>0</v>
      </c>
      <c r="AO159">
        <f>IF('Calc base'!J$14=0,0,MIN(AC159,MAX(0,$E159-SUMIFS($V159:$AG159,'Calc base'!$C$19:$N$19,"&lt;"&amp;'Calc base'!J$19,'Calc base'!$C$14:$N$14,1))))</f>
        <v>0</v>
      </c>
      <c r="AP159">
        <f>IF('Calc base'!K$14=0,0,MIN(AD159,MAX(0,$E159-SUMIFS($V159:$AG159,'Calc base'!$C$19:$N$19,"&lt;"&amp;'Calc base'!K$19,'Calc base'!$C$14:$N$14,1))))</f>
        <v>0</v>
      </c>
      <c r="AQ159">
        <f>IF('Calc base'!L$14=0,0,MIN(AE159,MAX(0,$E159-SUMIFS($V159:$AG159,'Calc base'!$C$19:$N$19,"&lt;"&amp;'Calc base'!L$19,'Calc base'!$C$14:$N$14,1))))</f>
        <v>0</v>
      </c>
      <c r="AR159">
        <f>IF('Calc base'!M$14=0,0,MIN(AF159,MAX(0,$E159-SUMIFS($V159:$AG159,'Calc base'!$C$19:$N$19,"&lt;"&amp;'Calc base'!M$19,'Calc base'!$C$14:$N$14,1))))</f>
        <v>0</v>
      </c>
      <c r="AS159">
        <f>IF('Calc base'!N$14=0,0,MIN(AG159,MAX(0,$E159-SUMIFS($V159:$AG159,'Calc base'!$C$19:$N$19,"&lt;"&amp;'Calc base'!N$19,'Calc base'!$C$14:$N$14,1))))</f>
        <v>0</v>
      </c>
      <c r="AT159">
        <f>V159-AH159</f>
        <v>0</v>
      </c>
      <c r="AU159">
        <f>W159-AI159</f>
        <v>0</v>
      </c>
      <c r="AV159">
        <f>X159-AJ159</f>
        <v>0</v>
      </c>
      <c r="AW159">
        <f>Y159-AK159</f>
        <v>0</v>
      </c>
      <c r="AX159">
        <f>Z159-AL159</f>
        <v>0</v>
      </c>
      <c r="AY159">
        <f>AA159-AM159</f>
        <v>0</v>
      </c>
      <c r="AZ159">
        <f>AB159-AN159</f>
        <v>0</v>
      </c>
      <c r="BA159">
        <f>AC159-AO159</f>
        <v>0</v>
      </c>
      <c r="BB159">
        <f>AD159-AP159</f>
        <v>0</v>
      </c>
      <c r="BC159">
        <f>AE159-AQ159</f>
        <v>0</v>
      </c>
      <c r="BD159">
        <f>AF159-AR159</f>
        <v>0</v>
      </c>
      <c r="BE159">
        <f>AG159-AS159</f>
        <v>0</v>
      </c>
    </row>
    <row r="160">
      <c r="A160" t="n">
        <v>130</v>
      </c>
      <c r="B160">
        <f>SUMPRODUCT(ROUND($AT159:$BE159*(1+'Calc base'!$H160:$S160),2))</f>
        <v>0</v>
      </c>
      <c r="C160">
        <f>SUM(J160:U160)</f>
        <v>0</v>
      </c>
      <c r="D160">
        <f>SUM(V160:AG160)</f>
        <v>0</v>
      </c>
      <c r="E160">
        <f>MAX(0,IF(Impostazioni!$B$7="No",'Calc base'!$C160-$C$31,'Calc base'!$C160-C160)+'Calc base'!$G160+'Calc base'!$F160-(B160-C160-D160))</f>
        <v>900</v>
      </c>
      <c r="F160">
        <f>SUM(AH160:AS160)</f>
        <v>0</v>
      </c>
      <c r="G160">
        <f>SUM(AT160:BE160)</f>
        <v>0</v>
      </c>
      <c r="H160">
        <f>B160-G159</f>
        <v>0</v>
      </c>
      <c r="I160">
        <f>B160-G160</f>
        <v>0</v>
      </c>
      <c r="J160">
        <f>IF(AT159&lt;=0,0,IF(ROUND(AT159*(1+'Calc base'!H160),2)-MAX('Calc base'!C$12,ROUND('Calc base'!C$13*AT159,2))&lt;1,ROUND(AT159*(1+'Calc base'!H160),2),MAX('Calc base'!C$12,ROUND('Calc base'!C$13*AT159,2))))</f>
        <v>0</v>
      </c>
      <c r="K160">
        <f>IF(AU159&lt;=0,0,IF(ROUND(AU159*(1+'Calc base'!I160),2)-MAX('Calc base'!D$12,ROUND('Calc base'!D$13*AU159,2))&lt;1,ROUND(AU159*(1+'Calc base'!I160),2),MAX('Calc base'!D$12,ROUND('Calc base'!D$13*AU159,2))))</f>
        <v>0</v>
      </c>
      <c r="L160">
        <f>IF(AV159&lt;=0,0,IF(ROUND(AV159*(1+'Calc base'!J160),2)-MAX('Calc base'!E$12,ROUND('Calc base'!E$13*AV159,2))&lt;1,ROUND(AV159*(1+'Calc base'!J160),2),MAX('Calc base'!E$12,ROUND('Calc base'!E$13*AV159,2))))</f>
        <v>0</v>
      </c>
      <c r="M160">
        <f>IF(AW159&lt;=0,0,IF(ROUND(AW159*(1+'Calc base'!K160),2)-MAX('Calc base'!F$12,ROUND('Calc base'!F$13*AW159,2))&lt;1,ROUND(AW159*(1+'Calc base'!K160),2),MAX('Calc base'!F$12,ROUND('Calc base'!F$13*AW159,2))))</f>
        <v>0</v>
      </c>
      <c r="N160">
        <f>IF(AX159&lt;=0,0,IF(ROUND(AX159*(1+'Calc base'!L160),2)-MAX('Calc base'!G$12,ROUND('Calc base'!G$13*AX159,2))&lt;1,ROUND(AX159*(1+'Calc base'!L160),2),MAX('Calc base'!G$12,ROUND('Calc base'!G$13*AX159,2))))</f>
        <v>0</v>
      </c>
      <c r="O160">
        <f>IF(AY159&lt;=0,0,IF(ROUND(AY159*(1+'Calc base'!M160),2)-MAX('Calc base'!H$12,ROUND('Calc base'!H$13*AY159,2))&lt;1,ROUND(AY159*(1+'Calc base'!M160),2),MAX('Calc base'!H$12,ROUND('Calc base'!H$13*AY159,2))))</f>
        <v>0</v>
      </c>
      <c r="P160">
        <f>IF(AZ159&lt;=0,0,IF(ROUND(AZ159*(1+'Calc base'!N160),2)-MAX('Calc base'!I$12,ROUND('Calc base'!I$13*AZ159,2))&lt;1,ROUND(AZ159*(1+'Calc base'!N160),2),MAX('Calc base'!I$12,ROUND('Calc base'!I$13*AZ159,2))))</f>
        <v>0</v>
      </c>
      <c r="Q160">
        <f>IF(BA159&lt;=0,0,IF(ROUND(BA159*(1+'Calc base'!O160),2)-MAX('Calc base'!J$12,ROUND('Calc base'!J$13*BA159,2))&lt;1,ROUND(BA159*(1+'Calc base'!O160),2),MAX('Calc base'!J$12,ROUND('Calc base'!J$13*BA159,2))))</f>
        <v>0</v>
      </c>
      <c r="R160">
        <f>IF(BB159&lt;=0,0,IF(ROUND(BB159*(1+'Calc base'!P160),2)-MAX('Calc base'!K$12,ROUND('Calc base'!K$13*BB159,2))&lt;1,ROUND(BB159*(1+'Calc base'!P160),2),MAX('Calc base'!K$12,ROUND('Calc base'!K$13*BB159,2))))</f>
        <v>0</v>
      </c>
      <c r="S160">
        <f>IF(BC159&lt;=0,0,IF(ROUND(BC159*(1+'Calc base'!Q160),2)-MAX('Calc base'!L$12,ROUND('Calc base'!L$13*BC159,2))&lt;1,ROUND(BC159*(1+'Calc base'!Q160),2),MAX('Calc base'!L$12,ROUND('Calc base'!L$13*BC159,2))))</f>
        <v>0</v>
      </c>
      <c r="T160">
        <f>IF(BD159&lt;=0,0,IF(ROUND(BD159*(1+'Calc base'!R160),2)-MAX('Calc base'!M$12,ROUND('Calc base'!M$13*BD159,2))&lt;1,ROUND(BD159*(1+'Calc base'!R160),2),MAX('Calc base'!M$12,ROUND('Calc base'!M$13*BD159,2))))</f>
        <v>0</v>
      </c>
      <c r="U160">
        <f>IF(BE159&lt;=0,0,IF(ROUND(BE159*(1+'Calc base'!S160),2)-MAX('Calc base'!N$12,ROUND('Calc base'!N$13*BE159,2))&lt;1,ROUND(BE159*(1+'Calc base'!S160),2),MAX('Calc base'!N$12,ROUND('Calc base'!N$13*BE159,2))))</f>
        <v>0</v>
      </c>
      <c r="V160">
        <f>MAX(0,ROUND(AT159*(1+'Calc base'!H160),2)-J160-'Calc base'!T160)</f>
        <v>0</v>
      </c>
      <c r="W160">
        <f>MAX(0,ROUND(AU159*(1+'Calc base'!I160),2)-K160-'Calc base'!U160)</f>
        <v>0</v>
      </c>
      <c r="X160">
        <f>MAX(0,ROUND(AV159*(1+'Calc base'!J160),2)-L160-'Calc base'!V160)</f>
        <v>0</v>
      </c>
      <c r="Y160">
        <f>MAX(0,ROUND(AW159*(1+'Calc base'!K160),2)-M160-'Calc base'!W160)</f>
        <v>0</v>
      </c>
      <c r="Z160">
        <f>MAX(0,ROUND(AX159*(1+'Calc base'!L160),2)-N160-'Calc base'!X160)</f>
        <v>0</v>
      </c>
      <c r="AA160">
        <f>MAX(0,ROUND(AY159*(1+'Calc base'!M160),2)-O160-'Calc base'!Y160)</f>
        <v>0</v>
      </c>
      <c r="AB160">
        <f>MAX(0,ROUND(AZ159*(1+'Calc base'!N160),2)-P160-'Calc base'!Z160)</f>
        <v>0</v>
      </c>
      <c r="AC160">
        <f>MAX(0,ROUND(BA159*(1+'Calc base'!O160),2)-Q160-'Calc base'!AA160)</f>
        <v>0</v>
      </c>
      <c r="AD160">
        <f>MAX(0,ROUND(BB159*(1+'Calc base'!P160),2)-R160-'Calc base'!AB160)</f>
        <v>0</v>
      </c>
      <c r="AE160">
        <f>MAX(0,ROUND(BC159*(1+'Calc base'!Q160),2)-S160-'Calc base'!AC160)</f>
        <v>0</v>
      </c>
      <c r="AF160">
        <f>MAX(0,ROUND(BD159*(1+'Calc base'!R160),2)-T160-'Calc base'!AD160)</f>
        <v>0</v>
      </c>
      <c r="AG160">
        <f>MAX(0,ROUND(BE159*(1+'Calc base'!S160),2)-U160-'Calc base'!AE160)</f>
        <v>0</v>
      </c>
      <c r="AH160">
        <f>IF('Calc base'!C$14=0,0,MIN(V160,MAX(0,$E160-SUMIFS($V160:$AG160,'Calc base'!$C$19:$N$19,"&lt;"&amp;'Calc base'!C$19,'Calc base'!$C$14:$N$14,1))))</f>
        <v>0</v>
      </c>
      <c r="AI160">
        <f>IF('Calc base'!D$14=0,0,MIN(W160,MAX(0,$E160-SUMIFS($V160:$AG160,'Calc base'!$C$19:$N$19,"&lt;"&amp;'Calc base'!D$19,'Calc base'!$C$14:$N$14,1))))</f>
        <v>0</v>
      </c>
      <c r="AJ160">
        <f>IF('Calc base'!E$14=0,0,MIN(X160,MAX(0,$E160-SUMIFS($V160:$AG160,'Calc base'!$C$19:$N$19,"&lt;"&amp;'Calc base'!E$19,'Calc base'!$C$14:$N$14,1))))</f>
        <v>0</v>
      </c>
      <c r="AK160">
        <f>IF('Calc base'!F$14=0,0,MIN(Y160,MAX(0,$E160-SUMIFS($V160:$AG160,'Calc base'!$C$19:$N$19,"&lt;"&amp;'Calc base'!F$19,'Calc base'!$C$14:$N$14,1))))</f>
        <v>0</v>
      </c>
      <c r="AL160">
        <f>IF('Calc base'!G$14=0,0,MIN(Z160,MAX(0,$E160-SUMIFS($V160:$AG160,'Calc base'!$C$19:$N$19,"&lt;"&amp;'Calc base'!G$19,'Calc base'!$C$14:$N$14,1))))</f>
        <v>0</v>
      </c>
      <c r="AM160">
        <f>IF('Calc base'!H$14=0,0,MIN(AA160,MAX(0,$E160-SUMIFS($V160:$AG160,'Calc base'!$C$19:$N$19,"&lt;"&amp;'Calc base'!H$19,'Calc base'!$C$14:$N$14,1))))</f>
        <v>0</v>
      </c>
      <c r="AN160">
        <f>IF('Calc base'!I$14=0,0,MIN(AB160,MAX(0,$E160-SUMIFS($V160:$AG160,'Calc base'!$C$19:$N$19,"&lt;"&amp;'Calc base'!I$19,'Calc base'!$C$14:$N$14,1))))</f>
        <v>0</v>
      </c>
      <c r="AO160">
        <f>IF('Calc base'!J$14=0,0,MIN(AC160,MAX(0,$E160-SUMIFS($V160:$AG160,'Calc base'!$C$19:$N$19,"&lt;"&amp;'Calc base'!J$19,'Calc base'!$C$14:$N$14,1))))</f>
        <v>0</v>
      </c>
      <c r="AP160">
        <f>IF('Calc base'!K$14=0,0,MIN(AD160,MAX(0,$E160-SUMIFS($V160:$AG160,'Calc base'!$C$19:$N$19,"&lt;"&amp;'Calc base'!K$19,'Calc base'!$C$14:$N$14,1))))</f>
        <v>0</v>
      </c>
      <c r="AQ160">
        <f>IF('Calc base'!L$14=0,0,MIN(AE160,MAX(0,$E160-SUMIFS($V160:$AG160,'Calc base'!$C$19:$N$19,"&lt;"&amp;'Calc base'!L$19,'Calc base'!$C$14:$N$14,1))))</f>
        <v>0</v>
      </c>
      <c r="AR160">
        <f>IF('Calc base'!M$14=0,0,MIN(AF160,MAX(0,$E160-SUMIFS($V160:$AG160,'Calc base'!$C$19:$N$19,"&lt;"&amp;'Calc base'!M$19,'Calc base'!$C$14:$N$14,1))))</f>
        <v>0</v>
      </c>
      <c r="AS160">
        <f>IF('Calc base'!N$14=0,0,MIN(AG160,MAX(0,$E160-SUMIFS($V160:$AG160,'Calc base'!$C$19:$N$19,"&lt;"&amp;'Calc base'!N$19,'Calc base'!$C$14:$N$14,1))))</f>
        <v>0</v>
      </c>
      <c r="AT160">
        <f>V160-AH160</f>
        <v>0</v>
      </c>
      <c r="AU160">
        <f>W160-AI160</f>
        <v>0</v>
      </c>
      <c r="AV160">
        <f>X160-AJ160</f>
        <v>0</v>
      </c>
      <c r="AW160">
        <f>Y160-AK160</f>
        <v>0</v>
      </c>
      <c r="AX160">
        <f>Z160-AL160</f>
        <v>0</v>
      </c>
      <c r="AY160">
        <f>AA160-AM160</f>
        <v>0</v>
      </c>
      <c r="AZ160">
        <f>AB160-AN160</f>
        <v>0</v>
      </c>
      <c r="BA160">
        <f>AC160-AO160</f>
        <v>0</v>
      </c>
      <c r="BB160">
        <f>AD160-AP160</f>
        <v>0</v>
      </c>
      <c r="BC160">
        <f>AE160-AQ160</f>
        <v>0</v>
      </c>
      <c r="BD160">
        <f>AF160-AR160</f>
        <v>0</v>
      </c>
      <c r="BE160">
        <f>AG160-AS160</f>
        <v>0</v>
      </c>
    </row>
    <row r="161">
      <c r="A161" t="n">
        <v>131</v>
      </c>
      <c r="B161">
        <f>SUMPRODUCT(ROUND($AT160:$BE160*(1+'Calc base'!$H161:$S161),2))</f>
        <v>0</v>
      </c>
      <c r="C161">
        <f>SUM(J161:U161)</f>
        <v>0</v>
      </c>
      <c r="D161">
        <f>SUM(V161:AG161)</f>
        <v>0</v>
      </c>
      <c r="E161">
        <f>MAX(0,IF(Impostazioni!$B$7="No",'Calc base'!$C161-$C$31,'Calc base'!$C161-C161)+'Calc base'!$G161+'Calc base'!$F161-(B161-C161-D161))</f>
        <v>900</v>
      </c>
      <c r="F161">
        <f>SUM(AH161:AS161)</f>
        <v>0</v>
      </c>
      <c r="G161">
        <f>SUM(AT161:BE161)</f>
        <v>0</v>
      </c>
      <c r="H161">
        <f>B161-G160</f>
        <v>0</v>
      </c>
      <c r="I161">
        <f>B161-G161</f>
        <v>0</v>
      </c>
      <c r="J161">
        <f>IF(AT160&lt;=0,0,IF(ROUND(AT160*(1+'Calc base'!H161),2)-MAX('Calc base'!C$12,ROUND('Calc base'!C$13*AT160,2))&lt;1,ROUND(AT160*(1+'Calc base'!H161),2),MAX('Calc base'!C$12,ROUND('Calc base'!C$13*AT160,2))))</f>
        <v>0</v>
      </c>
      <c r="K161">
        <f>IF(AU160&lt;=0,0,IF(ROUND(AU160*(1+'Calc base'!I161),2)-MAX('Calc base'!D$12,ROUND('Calc base'!D$13*AU160,2))&lt;1,ROUND(AU160*(1+'Calc base'!I161),2),MAX('Calc base'!D$12,ROUND('Calc base'!D$13*AU160,2))))</f>
        <v>0</v>
      </c>
      <c r="L161">
        <f>IF(AV160&lt;=0,0,IF(ROUND(AV160*(1+'Calc base'!J161),2)-MAX('Calc base'!E$12,ROUND('Calc base'!E$13*AV160,2))&lt;1,ROUND(AV160*(1+'Calc base'!J161),2),MAX('Calc base'!E$12,ROUND('Calc base'!E$13*AV160,2))))</f>
        <v>0</v>
      </c>
      <c r="M161">
        <f>IF(AW160&lt;=0,0,IF(ROUND(AW160*(1+'Calc base'!K161),2)-MAX('Calc base'!F$12,ROUND('Calc base'!F$13*AW160,2))&lt;1,ROUND(AW160*(1+'Calc base'!K161),2),MAX('Calc base'!F$12,ROUND('Calc base'!F$13*AW160,2))))</f>
        <v>0</v>
      </c>
      <c r="N161">
        <f>IF(AX160&lt;=0,0,IF(ROUND(AX160*(1+'Calc base'!L161),2)-MAX('Calc base'!G$12,ROUND('Calc base'!G$13*AX160,2))&lt;1,ROUND(AX160*(1+'Calc base'!L161),2),MAX('Calc base'!G$12,ROUND('Calc base'!G$13*AX160,2))))</f>
        <v>0</v>
      </c>
      <c r="O161">
        <f>IF(AY160&lt;=0,0,IF(ROUND(AY160*(1+'Calc base'!M161),2)-MAX('Calc base'!H$12,ROUND('Calc base'!H$13*AY160,2))&lt;1,ROUND(AY160*(1+'Calc base'!M161),2),MAX('Calc base'!H$12,ROUND('Calc base'!H$13*AY160,2))))</f>
        <v>0</v>
      </c>
      <c r="P161">
        <f>IF(AZ160&lt;=0,0,IF(ROUND(AZ160*(1+'Calc base'!N161),2)-MAX('Calc base'!I$12,ROUND('Calc base'!I$13*AZ160,2))&lt;1,ROUND(AZ160*(1+'Calc base'!N161),2),MAX('Calc base'!I$12,ROUND('Calc base'!I$13*AZ160,2))))</f>
        <v>0</v>
      </c>
      <c r="Q161">
        <f>IF(BA160&lt;=0,0,IF(ROUND(BA160*(1+'Calc base'!O161),2)-MAX('Calc base'!J$12,ROUND('Calc base'!J$13*BA160,2))&lt;1,ROUND(BA160*(1+'Calc base'!O161),2),MAX('Calc base'!J$12,ROUND('Calc base'!J$13*BA160,2))))</f>
        <v>0</v>
      </c>
      <c r="R161">
        <f>IF(BB160&lt;=0,0,IF(ROUND(BB160*(1+'Calc base'!P161),2)-MAX('Calc base'!K$12,ROUND('Calc base'!K$13*BB160,2))&lt;1,ROUND(BB160*(1+'Calc base'!P161),2),MAX('Calc base'!K$12,ROUND('Calc base'!K$13*BB160,2))))</f>
        <v>0</v>
      </c>
      <c r="S161">
        <f>IF(BC160&lt;=0,0,IF(ROUND(BC160*(1+'Calc base'!Q161),2)-MAX('Calc base'!L$12,ROUND('Calc base'!L$13*BC160,2))&lt;1,ROUND(BC160*(1+'Calc base'!Q161),2),MAX('Calc base'!L$12,ROUND('Calc base'!L$13*BC160,2))))</f>
        <v>0</v>
      </c>
      <c r="T161">
        <f>IF(BD160&lt;=0,0,IF(ROUND(BD160*(1+'Calc base'!R161),2)-MAX('Calc base'!M$12,ROUND('Calc base'!M$13*BD160,2))&lt;1,ROUND(BD160*(1+'Calc base'!R161),2),MAX('Calc base'!M$12,ROUND('Calc base'!M$13*BD160,2))))</f>
        <v>0</v>
      </c>
      <c r="U161">
        <f>IF(BE160&lt;=0,0,IF(ROUND(BE160*(1+'Calc base'!S161),2)-MAX('Calc base'!N$12,ROUND('Calc base'!N$13*BE160,2))&lt;1,ROUND(BE160*(1+'Calc base'!S161),2),MAX('Calc base'!N$12,ROUND('Calc base'!N$13*BE160,2))))</f>
        <v>0</v>
      </c>
      <c r="V161">
        <f>MAX(0,ROUND(AT160*(1+'Calc base'!H161),2)-J161-'Calc base'!T161)</f>
        <v>0</v>
      </c>
      <c r="W161">
        <f>MAX(0,ROUND(AU160*(1+'Calc base'!I161),2)-K161-'Calc base'!U161)</f>
        <v>0</v>
      </c>
      <c r="X161">
        <f>MAX(0,ROUND(AV160*(1+'Calc base'!J161),2)-L161-'Calc base'!V161)</f>
        <v>0</v>
      </c>
      <c r="Y161">
        <f>MAX(0,ROUND(AW160*(1+'Calc base'!K161),2)-M161-'Calc base'!W161)</f>
        <v>0</v>
      </c>
      <c r="Z161">
        <f>MAX(0,ROUND(AX160*(1+'Calc base'!L161),2)-N161-'Calc base'!X161)</f>
        <v>0</v>
      </c>
      <c r="AA161">
        <f>MAX(0,ROUND(AY160*(1+'Calc base'!M161),2)-O161-'Calc base'!Y161)</f>
        <v>0</v>
      </c>
      <c r="AB161">
        <f>MAX(0,ROUND(AZ160*(1+'Calc base'!N161),2)-P161-'Calc base'!Z161)</f>
        <v>0</v>
      </c>
      <c r="AC161">
        <f>MAX(0,ROUND(BA160*(1+'Calc base'!O161),2)-Q161-'Calc base'!AA161)</f>
        <v>0</v>
      </c>
      <c r="AD161">
        <f>MAX(0,ROUND(BB160*(1+'Calc base'!P161),2)-R161-'Calc base'!AB161)</f>
        <v>0</v>
      </c>
      <c r="AE161">
        <f>MAX(0,ROUND(BC160*(1+'Calc base'!Q161),2)-S161-'Calc base'!AC161)</f>
        <v>0</v>
      </c>
      <c r="AF161">
        <f>MAX(0,ROUND(BD160*(1+'Calc base'!R161),2)-T161-'Calc base'!AD161)</f>
        <v>0</v>
      </c>
      <c r="AG161">
        <f>MAX(0,ROUND(BE160*(1+'Calc base'!S161),2)-U161-'Calc base'!AE161)</f>
        <v>0</v>
      </c>
      <c r="AH161">
        <f>IF('Calc base'!C$14=0,0,MIN(V161,MAX(0,$E161-SUMIFS($V161:$AG161,'Calc base'!$C$19:$N$19,"&lt;"&amp;'Calc base'!C$19,'Calc base'!$C$14:$N$14,1))))</f>
        <v>0</v>
      </c>
      <c r="AI161">
        <f>IF('Calc base'!D$14=0,0,MIN(W161,MAX(0,$E161-SUMIFS($V161:$AG161,'Calc base'!$C$19:$N$19,"&lt;"&amp;'Calc base'!D$19,'Calc base'!$C$14:$N$14,1))))</f>
        <v>0</v>
      </c>
      <c r="AJ161">
        <f>IF('Calc base'!E$14=0,0,MIN(X161,MAX(0,$E161-SUMIFS($V161:$AG161,'Calc base'!$C$19:$N$19,"&lt;"&amp;'Calc base'!E$19,'Calc base'!$C$14:$N$14,1))))</f>
        <v>0</v>
      </c>
      <c r="AK161">
        <f>IF('Calc base'!F$14=0,0,MIN(Y161,MAX(0,$E161-SUMIFS($V161:$AG161,'Calc base'!$C$19:$N$19,"&lt;"&amp;'Calc base'!F$19,'Calc base'!$C$14:$N$14,1))))</f>
        <v>0</v>
      </c>
      <c r="AL161">
        <f>IF('Calc base'!G$14=0,0,MIN(Z161,MAX(0,$E161-SUMIFS($V161:$AG161,'Calc base'!$C$19:$N$19,"&lt;"&amp;'Calc base'!G$19,'Calc base'!$C$14:$N$14,1))))</f>
        <v>0</v>
      </c>
      <c r="AM161">
        <f>IF('Calc base'!H$14=0,0,MIN(AA161,MAX(0,$E161-SUMIFS($V161:$AG161,'Calc base'!$C$19:$N$19,"&lt;"&amp;'Calc base'!H$19,'Calc base'!$C$14:$N$14,1))))</f>
        <v>0</v>
      </c>
      <c r="AN161">
        <f>IF('Calc base'!I$14=0,0,MIN(AB161,MAX(0,$E161-SUMIFS($V161:$AG161,'Calc base'!$C$19:$N$19,"&lt;"&amp;'Calc base'!I$19,'Calc base'!$C$14:$N$14,1))))</f>
        <v>0</v>
      </c>
      <c r="AO161">
        <f>IF('Calc base'!J$14=0,0,MIN(AC161,MAX(0,$E161-SUMIFS($V161:$AG161,'Calc base'!$C$19:$N$19,"&lt;"&amp;'Calc base'!J$19,'Calc base'!$C$14:$N$14,1))))</f>
        <v>0</v>
      </c>
      <c r="AP161">
        <f>IF('Calc base'!K$14=0,0,MIN(AD161,MAX(0,$E161-SUMIFS($V161:$AG161,'Calc base'!$C$19:$N$19,"&lt;"&amp;'Calc base'!K$19,'Calc base'!$C$14:$N$14,1))))</f>
        <v>0</v>
      </c>
      <c r="AQ161">
        <f>IF('Calc base'!L$14=0,0,MIN(AE161,MAX(0,$E161-SUMIFS($V161:$AG161,'Calc base'!$C$19:$N$19,"&lt;"&amp;'Calc base'!L$19,'Calc base'!$C$14:$N$14,1))))</f>
        <v>0</v>
      </c>
      <c r="AR161">
        <f>IF('Calc base'!M$14=0,0,MIN(AF161,MAX(0,$E161-SUMIFS($V161:$AG161,'Calc base'!$C$19:$N$19,"&lt;"&amp;'Calc base'!M$19,'Calc base'!$C$14:$N$14,1))))</f>
        <v>0</v>
      </c>
      <c r="AS161">
        <f>IF('Calc base'!N$14=0,0,MIN(AG161,MAX(0,$E161-SUMIFS($V161:$AG161,'Calc base'!$C$19:$N$19,"&lt;"&amp;'Calc base'!N$19,'Calc base'!$C$14:$N$14,1))))</f>
        <v>0</v>
      </c>
      <c r="AT161">
        <f>V161-AH161</f>
        <v>0</v>
      </c>
      <c r="AU161">
        <f>W161-AI161</f>
        <v>0</v>
      </c>
      <c r="AV161">
        <f>X161-AJ161</f>
        <v>0</v>
      </c>
      <c r="AW161">
        <f>Y161-AK161</f>
        <v>0</v>
      </c>
      <c r="AX161">
        <f>Z161-AL161</f>
        <v>0</v>
      </c>
      <c r="AY161">
        <f>AA161-AM161</f>
        <v>0</v>
      </c>
      <c r="AZ161">
        <f>AB161-AN161</f>
        <v>0</v>
      </c>
      <c r="BA161">
        <f>AC161-AO161</f>
        <v>0</v>
      </c>
      <c r="BB161">
        <f>AD161-AP161</f>
        <v>0</v>
      </c>
      <c r="BC161">
        <f>AE161-AQ161</f>
        <v>0</v>
      </c>
      <c r="BD161">
        <f>AF161-AR161</f>
        <v>0</v>
      </c>
      <c r="BE161">
        <f>AG161-AS161</f>
        <v>0</v>
      </c>
    </row>
    <row r="162">
      <c r="A162" t="n">
        <v>132</v>
      </c>
      <c r="B162">
        <f>SUMPRODUCT(ROUND($AT161:$BE161*(1+'Calc base'!$H162:$S162),2))</f>
        <v>0</v>
      </c>
      <c r="C162">
        <f>SUM(J162:U162)</f>
        <v>0</v>
      </c>
      <c r="D162">
        <f>SUM(V162:AG162)</f>
        <v>0</v>
      </c>
      <c r="E162">
        <f>MAX(0,IF(Impostazioni!$B$7="No",'Calc base'!$C162-$C$31,'Calc base'!$C162-C162)+'Calc base'!$G162+'Calc base'!$F162-(B162-C162-D162))</f>
        <v>900</v>
      </c>
      <c r="F162">
        <f>SUM(AH162:AS162)</f>
        <v>0</v>
      </c>
      <c r="G162">
        <f>SUM(AT162:BE162)</f>
        <v>0</v>
      </c>
      <c r="H162">
        <f>B162-G161</f>
        <v>0</v>
      </c>
      <c r="I162">
        <f>B162-G162</f>
        <v>0</v>
      </c>
      <c r="J162">
        <f>IF(AT161&lt;=0,0,IF(ROUND(AT161*(1+'Calc base'!H162),2)-MAX('Calc base'!C$12,ROUND('Calc base'!C$13*AT161,2))&lt;1,ROUND(AT161*(1+'Calc base'!H162),2),MAX('Calc base'!C$12,ROUND('Calc base'!C$13*AT161,2))))</f>
        <v>0</v>
      </c>
      <c r="K162">
        <f>IF(AU161&lt;=0,0,IF(ROUND(AU161*(1+'Calc base'!I162),2)-MAX('Calc base'!D$12,ROUND('Calc base'!D$13*AU161,2))&lt;1,ROUND(AU161*(1+'Calc base'!I162),2),MAX('Calc base'!D$12,ROUND('Calc base'!D$13*AU161,2))))</f>
        <v>0</v>
      </c>
      <c r="L162">
        <f>IF(AV161&lt;=0,0,IF(ROUND(AV161*(1+'Calc base'!J162),2)-MAX('Calc base'!E$12,ROUND('Calc base'!E$13*AV161,2))&lt;1,ROUND(AV161*(1+'Calc base'!J162),2),MAX('Calc base'!E$12,ROUND('Calc base'!E$13*AV161,2))))</f>
        <v>0</v>
      </c>
      <c r="M162">
        <f>IF(AW161&lt;=0,0,IF(ROUND(AW161*(1+'Calc base'!K162),2)-MAX('Calc base'!F$12,ROUND('Calc base'!F$13*AW161,2))&lt;1,ROUND(AW161*(1+'Calc base'!K162),2),MAX('Calc base'!F$12,ROUND('Calc base'!F$13*AW161,2))))</f>
        <v>0</v>
      </c>
      <c r="N162">
        <f>IF(AX161&lt;=0,0,IF(ROUND(AX161*(1+'Calc base'!L162),2)-MAX('Calc base'!G$12,ROUND('Calc base'!G$13*AX161,2))&lt;1,ROUND(AX161*(1+'Calc base'!L162),2),MAX('Calc base'!G$12,ROUND('Calc base'!G$13*AX161,2))))</f>
        <v>0</v>
      </c>
      <c r="O162">
        <f>IF(AY161&lt;=0,0,IF(ROUND(AY161*(1+'Calc base'!M162),2)-MAX('Calc base'!H$12,ROUND('Calc base'!H$13*AY161,2))&lt;1,ROUND(AY161*(1+'Calc base'!M162),2),MAX('Calc base'!H$12,ROUND('Calc base'!H$13*AY161,2))))</f>
        <v>0</v>
      </c>
      <c r="P162">
        <f>IF(AZ161&lt;=0,0,IF(ROUND(AZ161*(1+'Calc base'!N162),2)-MAX('Calc base'!I$12,ROUND('Calc base'!I$13*AZ161,2))&lt;1,ROUND(AZ161*(1+'Calc base'!N162),2),MAX('Calc base'!I$12,ROUND('Calc base'!I$13*AZ161,2))))</f>
        <v>0</v>
      </c>
      <c r="Q162">
        <f>IF(BA161&lt;=0,0,IF(ROUND(BA161*(1+'Calc base'!O162),2)-MAX('Calc base'!J$12,ROUND('Calc base'!J$13*BA161,2))&lt;1,ROUND(BA161*(1+'Calc base'!O162),2),MAX('Calc base'!J$12,ROUND('Calc base'!J$13*BA161,2))))</f>
        <v>0</v>
      </c>
      <c r="R162">
        <f>IF(BB161&lt;=0,0,IF(ROUND(BB161*(1+'Calc base'!P162),2)-MAX('Calc base'!K$12,ROUND('Calc base'!K$13*BB161,2))&lt;1,ROUND(BB161*(1+'Calc base'!P162),2),MAX('Calc base'!K$12,ROUND('Calc base'!K$13*BB161,2))))</f>
        <v>0</v>
      </c>
      <c r="S162">
        <f>IF(BC161&lt;=0,0,IF(ROUND(BC161*(1+'Calc base'!Q162),2)-MAX('Calc base'!L$12,ROUND('Calc base'!L$13*BC161,2))&lt;1,ROUND(BC161*(1+'Calc base'!Q162),2),MAX('Calc base'!L$12,ROUND('Calc base'!L$13*BC161,2))))</f>
        <v>0</v>
      </c>
      <c r="T162">
        <f>IF(BD161&lt;=0,0,IF(ROUND(BD161*(1+'Calc base'!R162),2)-MAX('Calc base'!M$12,ROUND('Calc base'!M$13*BD161,2))&lt;1,ROUND(BD161*(1+'Calc base'!R162),2),MAX('Calc base'!M$12,ROUND('Calc base'!M$13*BD161,2))))</f>
        <v>0</v>
      </c>
      <c r="U162">
        <f>IF(BE161&lt;=0,0,IF(ROUND(BE161*(1+'Calc base'!S162),2)-MAX('Calc base'!N$12,ROUND('Calc base'!N$13*BE161,2))&lt;1,ROUND(BE161*(1+'Calc base'!S162),2),MAX('Calc base'!N$12,ROUND('Calc base'!N$13*BE161,2))))</f>
        <v>0</v>
      </c>
      <c r="V162">
        <f>MAX(0,ROUND(AT161*(1+'Calc base'!H162),2)-J162-'Calc base'!T162)</f>
        <v>0</v>
      </c>
      <c r="W162">
        <f>MAX(0,ROUND(AU161*(1+'Calc base'!I162),2)-K162-'Calc base'!U162)</f>
        <v>0</v>
      </c>
      <c r="X162">
        <f>MAX(0,ROUND(AV161*(1+'Calc base'!J162),2)-L162-'Calc base'!V162)</f>
        <v>0</v>
      </c>
      <c r="Y162">
        <f>MAX(0,ROUND(AW161*(1+'Calc base'!K162),2)-M162-'Calc base'!W162)</f>
        <v>0</v>
      </c>
      <c r="Z162">
        <f>MAX(0,ROUND(AX161*(1+'Calc base'!L162),2)-N162-'Calc base'!X162)</f>
        <v>0</v>
      </c>
      <c r="AA162">
        <f>MAX(0,ROUND(AY161*(1+'Calc base'!M162),2)-O162-'Calc base'!Y162)</f>
        <v>0</v>
      </c>
      <c r="AB162">
        <f>MAX(0,ROUND(AZ161*(1+'Calc base'!N162),2)-P162-'Calc base'!Z162)</f>
        <v>0</v>
      </c>
      <c r="AC162">
        <f>MAX(0,ROUND(BA161*(1+'Calc base'!O162),2)-Q162-'Calc base'!AA162)</f>
        <v>0</v>
      </c>
      <c r="AD162">
        <f>MAX(0,ROUND(BB161*(1+'Calc base'!P162),2)-R162-'Calc base'!AB162)</f>
        <v>0</v>
      </c>
      <c r="AE162">
        <f>MAX(0,ROUND(BC161*(1+'Calc base'!Q162),2)-S162-'Calc base'!AC162)</f>
        <v>0</v>
      </c>
      <c r="AF162">
        <f>MAX(0,ROUND(BD161*(1+'Calc base'!R162),2)-T162-'Calc base'!AD162)</f>
        <v>0</v>
      </c>
      <c r="AG162">
        <f>MAX(0,ROUND(BE161*(1+'Calc base'!S162),2)-U162-'Calc base'!AE162)</f>
        <v>0</v>
      </c>
      <c r="AH162">
        <f>IF('Calc base'!C$14=0,0,MIN(V162,MAX(0,$E162-SUMIFS($V162:$AG162,'Calc base'!$C$19:$N$19,"&lt;"&amp;'Calc base'!C$19,'Calc base'!$C$14:$N$14,1))))</f>
        <v>0</v>
      </c>
      <c r="AI162">
        <f>IF('Calc base'!D$14=0,0,MIN(W162,MAX(0,$E162-SUMIFS($V162:$AG162,'Calc base'!$C$19:$N$19,"&lt;"&amp;'Calc base'!D$19,'Calc base'!$C$14:$N$14,1))))</f>
        <v>0</v>
      </c>
      <c r="AJ162">
        <f>IF('Calc base'!E$14=0,0,MIN(X162,MAX(0,$E162-SUMIFS($V162:$AG162,'Calc base'!$C$19:$N$19,"&lt;"&amp;'Calc base'!E$19,'Calc base'!$C$14:$N$14,1))))</f>
        <v>0</v>
      </c>
      <c r="AK162">
        <f>IF('Calc base'!F$14=0,0,MIN(Y162,MAX(0,$E162-SUMIFS($V162:$AG162,'Calc base'!$C$19:$N$19,"&lt;"&amp;'Calc base'!F$19,'Calc base'!$C$14:$N$14,1))))</f>
        <v>0</v>
      </c>
      <c r="AL162">
        <f>IF('Calc base'!G$14=0,0,MIN(Z162,MAX(0,$E162-SUMIFS($V162:$AG162,'Calc base'!$C$19:$N$19,"&lt;"&amp;'Calc base'!G$19,'Calc base'!$C$14:$N$14,1))))</f>
        <v>0</v>
      </c>
      <c r="AM162">
        <f>IF('Calc base'!H$14=0,0,MIN(AA162,MAX(0,$E162-SUMIFS($V162:$AG162,'Calc base'!$C$19:$N$19,"&lt;"&amp;'Calc base'!H$19,'Calc base'!$C$14:$N$14,1))))</f>
        <v>0</v>
      </c>
      <c r="AN162">
        <f>IF('Calc base'!I$14=0,0,MIN(AB162,MAX(0,$E162-SUMIFS($V162:$AG162,'Calc base'!$C$19:$N$19,"&lt;"&amp;'Calc base'!I$19,'Calc base'!$C$14:$N$14,1))))</f>
        <v>0</v>
      </c>
      <c r="AO162">
        <f>IF('Calc base'!J$14=0,0,MIN(AC162,MAX(0,$E162-SUMIFS($V162:$AG162,'Calc base'!$C$19:$N$19,"&lt;"&amp;'Calc base'!J$19,'Calc base'!$C$14:$N$14,1))))</f>
        <v>0</v>
      </c>
      <c r="AP162">
        <f>IF('Calc base'!K$14=0,0,MIN(AD162,MAX(0,$E162-SUMIFS($V162:$AG162,'Calc base'!$C$19:$N$19,"&lt;"&amp;'Calc base'!K$19,'Calc base'!$C$14:$N$14,1))))</f>
        <v>0</v>
      </c>
      <c r="AQ162">
        <f>IF('Calc base'!L$14=0,0,MIN(AE162,MAX(0,$E162-SUMIFS($V162:$AG162,'Calc base'!$C$19:$N$19,"&lt;"&amp;'Calc base'!L$19,'Calc base'!$C$14:$N$14,1))))</f>
        <v>0</v>
      </c>
      <c r="AR162">
        <f>IF('Calc base'!M$14=0,0,MIN(AF162,MAX(0,$E162-SUMIFS($V162:$AG162,'Calc base'!$C$19:$N$19,"&lt;"&amp;'Calc base'!M$19,'Calc base'!$C$14:$N$14,1))))</f>
        <v>0</v>
      </c>
      <c r="AS162">
        <f>IF('Calc base'!N$14=0,0,MIN(AG162,MAX(0,$E162-SUMIFS($V162:$AG162,'Calc base'!$C$19:$N$19,"&lt;"&amp;'Calc base'!N$19,'Calc base'!$C$14:$N$14,1))))</f>
        <v>0</v>
      </c>
      <c r="AT162">
        <f>V162-AH162</f>
        <v>0</v>
      </c>
      <c r="AU162">
        <f>W162-AI162</f>
        <v>0</v>
      </c>
      <c r="AV162">
        <f>X162-AJ162</f>
        <v>0</v>
      </c>
      <c r="AW162">
        <f>Y162-AK162</f>
        <v>0</v>
      </c>
      <c r="AX162">
        <f>Z162-AL162</f>
        <v>0</v>
      </c>
      <c r="AY162">
        <f>AA162-AM162</f>
        <v>0</v>
      </c>
      <c r="AZ162">
        <f>AB162-AN162</f>
        <v>0</v>
      </c>
      <c r="BA162">
        <f>AC162-AO162</f>
        <v>0</v>
      </c>
      <c r="BB162">
        <f>AD162-AP162</f>
        <v>0</v>
      </c>
      <c r="BC162">
        <f>AE162-AQ162</f>
        <v>0</v>
      </c>
      <c r="BD162">
        <f>AF162-AR162</f>
        <v>0</v>
      </c>
      <c r="BE162">
        <f>AG162-AS162</f>
        <v>0</v>
      </c>
    </row>
    <row r="163">
      <c r="A163" t="n">
        <v>133</v>
      </c>
      <c r="B163">
        <f>SUMPRODUCT(ROUND($AT162:$BE162*(1+'Calc base'!$H163:$S163),2))</f>
        <v>0</v>
      </c>
      <c r="C163">
        <f>SUM(J163:U163)</f>
        <v>0</v>
      </c>
      <c r="D163">
        <f>SUM(V163:AG163)</f>
        <v>0</v>
      </c>
      <c r="E163">
        <f>MAX(0,IF(Impostazioni!$B$7="No",'Calc base'!$C163-$C$31,'Calc base'!$C163-C163)+'Calc base'!$G163+'Calc base'!$F163-(B163-C163-D163))</f>
        <v>900</v>
      </c>
      <c r="F163">
        <f>SUM(AH163:AS163)</f>
        <v>0</v>
      </c>
      <c r="G163">
        <f>SUM(AT163:BE163)</f>
        <v>0</v>
      </c>
      <c r="H163">
        <f>B163-G162</f>
        <v>0</v>
      </c>
      <c r="I163">
        <f>B163-G163</f>
        <v>0</v>
      </c>
      <c r="J163">
        <f>IF(AT162&lt;=0,0,IF(ROUND(AT162*(1+'Calc base'!H163),2)-MAX('Calc base'!C$12,ROUND('Calc base'!C$13*AT162,2))&lt;1,ROUND(AT162*(1+'Calc base'!H163),2),MAX('Calc base'!C$12,ROUND('Calc base'!C$13*AT162,2))))</f>
        <v>0</v>
      </c>
      <c r="K163">
        <f>IF(AU162&lt;=0,0,IF(ROUND(AU162*(1+'Calc base'!I163),2)-MAX('Calc base'!D$12,ROUND('Calc base'!D$13*AU162,2))&lt;1,ROUND(AU162*(1+'Calc base'!I163),2),MAX('Calc base'!D$12,ROUND('Calc base'!D$13*AU162,2))))</f>
        <v>0</v>
      </c>
      <c r="L163">
        <f>IF(AV162&lt;=0,0,IF(ROUND(AV162*(1+'Calc base'!J163),2)-MAX('Calc base'!E$12,ROUND('Calc base'!E$13*AV162,2))&lt;1,ROUND(AV162*(1+'Calc base'!J163),2),MAX('Calc base'!E$12,ROUND('Calc base'!E$13*AV162,2))))</f>
        <v>0</v>
      </c>
      <c r="M163">
        <f>IF(AW162&lt;=0,0,IF(ROUND(AW162*(1+'Calc base'!K163),2)-MAX('Calc base'!F$12,ROUND('Calc base'!F$13*AW162,2))&lt;1,ROUND(AW162*(1+'Calc base'!K163),2),MAX('Calc base'!F$12,ROUND('Calc base'!F$13*AW162,2))))</f>
        <v>0</v>
      </c>
      <c r="N163">
        <f>IF(AX162&lt;=0,0,IF(ROUND(AX162*(1+'Calc base'!L163),2)-MAX('Calc base'!G$12,ROUND('Calc base'!G$13*AX162,2))&lt;1,ROUND(AX162*(1+'Calc base'!L163),2),MAX('Calc base'!G$12,ROUND('Calc base'!G$13*AX162,2))))</f>
        <v>0</v>
      </c>
      <c r="O163">
        <f>IF(AY162&lt;=0,0,IF(ROUND(AY162*(1+'Calc base'!M163),2)-MAX('Calc base'!H$12,ROUND('Calc base'!H$13*AY162,2))&lt;1,ROUND(AY162*(1+'Calc base'!M163),2),MAX('Calc base'!H$12,ROUND('Calc base'!H$13*AY162,2))))</f>
        <v>0</v>
      </c>
      <c r="P163">
        <f>IF(AZ162&lt;=0,0,IF(ROUND(AZ162*(1+'Calc base'!N163),2)-MAX('Calc base'!I$12,ROUND('Calc base'!I$13*AZ162,2))&lt;1,ROUND(AZ162*(1+'Calc base'!N163),2),MAX('Calc base'!I$12,ROUND('Calc base'!I$13*AZ162,2))))</f>
        <v>0</v>
      </c>
      <c r="Q163">
        <f>IF(BA162&lt;=0,0,IF(ROUND(BA162*(1+'Calc base'!O163),2)-MAX('Calc base'!J$12,ROUND('Calc base'!J$13*BA162,2))&lt;1,ROUND(BA162*(1+'Calc base'!O163),2),MAX('Calc base'!J$12,ROUND('Calc base'!J$13*BA162,2))))</f>
        <v>0</v>
      </c>
      <c r="R163">
        <f>IF(BB162&lt;=0,0,IF(ROUND(BB162*(1+'Calc base'!P163),2)-MAX('Calc base'!K$12,ROUND('Calc base'!K$13*BB162,2))&lt;1,ROUND(BB162*(1+'Calc base'!P163),2),MAX('Calc base'!K$12,ROUND('Calc base'!K$13*BB162,2))))</f>
        <v>0</v>
      </c>
      <c r="S163">
        <f>IF(BC162&lt;=0,0,IF(ROUND(BC162*(1+'Calc base'!Q163),2)-MAX('Calc base'!L$12,ROUND('Calc base'!L$13*BC162,2))&lt;1,ROUND(BC162*(1+'Calc base'!Q163),2),MAX('Calc base'!L$12,ROUND('Calc base'!L$13*BC162,2))))</f>
        <v>0</v>
      </c>
      <c r="T163">
        <f>IF(BD162&lt;=0,0,IF(ROUND(BD162*(1+'Calc base'!R163),2)-MAX('Calc base'!M$12,ROUND('Calc base'!M$13*BD162,2))&lt;1,ROUND(BD162*(1+'Calc base'!R163),2),MAX('Calc base'!M$12,ROUND('Calc base'!M$13*BD162,2))))</f>
        <v>0</v>
      </c>
      <c r="U163">
        <f>IF(BE162&lt;=0,0,IF(ROUND(BE162*(1+'Calc base'!S163),2)-MAX('Calc base'!N$12,ROUND('Calc base'!N$13*BE162,2))&lt;1,ROUND(BE162*(1+'Calc base'!S163),2),MAX('Calc base'!N$12,ROUND('Calc base'!N$13*BE162,2))))</f>
        <v>0</v>
      </c>
      <c r="V163">
        <f>MAX(0,ROUND(AT162*(1+'Calc base'!H163),2)-J163-'Calc base'!T163)</f>
        <v>0</v>
      </c>
      <c r="W163">
        <f>MAX(0,ROUND(AU162*(1+'Calc base'!I163),2)-K163-'Calc base'!U163)</f>
        <v>0</v>
      </c>
      <c r="X163">
        <f>MAX(0,ROUND(AV162*(1+'Calc base'!J163),2)-L163-'Calc base'!V163)</f>
        <v>0</v>
      </c>
      <c r="Y163">
        <f>MAX(0,ROUND(AW162*(1+'Calc base'!K163),2)-M163-'Calc base'!W163)</f>
        <v>0</v>
      </c>
      <c r="Z163">
        <f>MAX(0,ROUND(AX162*(1+'Calc base'!L163),2)-N163-'Calc base'!X163)</f>
        <v>0</v>
      </c>
      <c r="AA163">
        <f>MAX(0,ROUND(AY162*(1+'Calc base'!M163),2)-O163-'Calc base'!Y163)</f>
        <v>0</v>
      </c>
      <c r="AB163">
        <f>MAX(0,ROUND(AZ162*(1+'Calc base'!N163),2)-P163-'Calc base'!Z163)</f>
        <v>0</v>
      </c>
      <c r="AC163">
        <f>MAX(0,ROUND(BA162*(1+'Calc base'!O163),2)-Q163-'Calc base'!AA163)</f>
        <v>0</v>
      </c>
      <c r="AD163">
        <f>MAX(0,ROUND(BB162*(1+'Calc base'!P163),2)-R163-'Calc base'!AB163)</f>
        <v>0</v>
      </c>
      <c r="AE163">
        <f>MAX(0,ROUND(BC162*(1+'Calc base'!Q163),2)-S163-'Calc base'!AC163)</f>
        <v>0</v>
      </c>
      <c r="AF163">
        <f>MAX(0,ROUND(BD162*(1+'Calc base'!R163),2)-T163-'Calc base'!AD163)</f>
        <v>0</v>
      </c>
      <c r="AG163">
        <f>MAX(0,ROUND(BE162*(1+'Calc base'!S163),2)-U163-'Calc base'!AE163)</f>
        <v>0</v>
      </c>
      <c r="AH163">
        <f>IF('Calc base'!C$14=0,0,MIN(V163,MAX(0,$E163-SUMIFS($V163:$AG163,'Calc base'!$C$19:$N$19,"&lt;"&amp;'Calc base'!C$19,'Calc base'!$C$14:$N$14,1))))</f>
        <v>0</v>
      </c>
      <c r="AI163">
        <f>IF('Calc base'!D$14=0,0,MIN(W163,MAX(0,$E163-SUMIFS($V163:$AG163,'Calc base'!$C$19:$N$19,"&lt;"&amp;'Calc base'!D$19,'Calc base'!$C$14:$N$14,1))))</f>
        <v>0</v>
      </c>
      <c r="AJ163">
        <f>IF('Calc base'!E$14=0,0,MIN(X163,MAX(0,$E163-SUMIFS($V163:$AG163,'Calc base'!$C$19:$N$19,"&lt;"&amp;'Calc base'!E$19,'Calc base'!$C$14:$N$14,1))))</f>
        <v>0</v>
      </c>
      <c r="AK163">
        <f>IF('Calc base'!F$14=0,0,MIN(Y163,MAX(0,$E163-SUMIFS($V163:$AG163,'Calc base'!$C$19:$N$19,"&lt;"&amp;'Calc base'!F$19,'Calc base'!$C$14:$N$14,1))))</f>
        <v>0</v>
      </c>
      <c r="AL163">
        <f>IF('Calc base'!G$14=0,0,MIN(Z163,MAX(0,$E163-SUMIFS($V163:$AG163,'Calc base'!$C$19:$N$19,"&lt;"&amp;'Calc base'!G$19,'Calc base'!$C$14:$N$14,1))))</f>
        <v>0</v>
      </c>
      <c r="AM163">
        <f>IF('Calc base'!H$14=0,0,MIN(AA163,MAX(0,$E163-SUMIFS($V163:$AG163,'Calc base'!$C$19:$N$19,"&lt;"&amp;'Calc base'!H$19,'Calc base'!$C$14:$N$14,1))))</f>
        <v>0</v>
      </c>
      <c r="AN163">
        <f>IF('Calc base'!I$14=0,0,MIN(AB163,MAX(0,$E163-SUMIFS($V163:$AG163,'Calc base'!$C$19:$N$19,"&lt;"&amp;'Calc base'!I$19,'Calc base'!$C$14:$N$14,1))))</f>
        <v>0</v>
      </c>
      <c r="AO163">
        <f>IF('Calc base'!J$14=0,0,MIN(AC163,MAX(0,$E163-SUMIFS($V163:$AG163,'Calc base'!$C$19:$N$19,"&lt;"&amp;'Calc base'!J$19,'Calc base'!$C$14:$N$14,1))))</f>
        <v>0</v>
      </c>
      <c r="AP163">
        <f>IF('Calc base'!K$14=0,0,MIN(AD163,MAX(0,$E163-SUMIFS($V163:$AG163,'Calc base'!$C$19:$N$19,"&lt;"&amp;'Calc base'!K$19,'Calc base'!$C$14:$N$14,1))))</f>
        <v>0</v>
      </c>
      <c r="AQ163">
        <f>IF('Calc base'!L$14=0,0,MIN(AE163,MAX(0,$E163-SUMIFS($V163:$AG163,'Calc base'!$C$19:$N$19,"&lt;"&amp;'Calc base'!L$19,'Calc base'!$C$14:$N$14,1))))</f>
        <v>0</v>
      </c>
      <c r="AR163">
        <f>IF('Calc base'!M$14=0,0,MIN(AF163,MAX(0,$E163-SUMIFS($V163:$AG163,'Calc base'!$C$19:$N$19,"&lt;"&amp;'Calc base'!M$19,'Calc base'!$C$14:$N$14,1))))</f>
        <v>0</v>
      </c>
      <c r="AS163">
        <f>IF('Calc base'!N$14=0,0,MIN(AG163,MAX(0,$E163-SUMIFS($V163:$AG163,'Calc base'!$C$19:$N$19,"&lt;"&amp;'Calc base'!N$19,'Calc base'!$C$14:$N$14,1))))</f>
        <v>0</v>
      </c>
      <c r="AT163">
        <f>V163-AH163</f>
        <v>0</v>
      </c>
      <c r="AU163">
        <f>W163-AI163</f>
        <v>0</v>
      </c>
      <c r="AV163">
        <f>X163-AJ163</f>
        <v>0</v>
      </c>
      <c r="AW163">
        <f>Y163-AK163</f>
        <v>0</v>
      </c>
      <c r="AX163">
        <f>Z163-AL163</f>
        <v>0</v>
      </c>
      <c r="AY163">
        <f>AA163-AM163</f>
        <v>0</v>
      </c>
      <c r="AZ163">
        <f>AB163-AN163</f>
        <v>0</v>
      </c>
      <c r="BA163">
        <f>AC163-AO163</f>
        <v>0</v>
      </c>
      <c r="BB163">
        <f>AD163-AP163</f>
        <v>0</v>
      </c>
      <c r="BC163">
        <f>AE163-AQ163</f>
        <v>0</v>
      </c>
      <c r="BD163">
        <f>AF163-AR163</f>
        <v>0</v>
      </c>
      <c r="BE163">
        <f>AG163-AS163</f>
        <v>0</v>
      </c>
    </row>
    <row r="164">
      <c r="A164" t="n">
        <v>134</v>
      </c>
      <c r="B164">
        <f>SUMPRODUCT(ROUND($AT163:$BE163*(1+'Calc base'!$H164:$S164),2))</f>
        <v>0</v>
      </c>
      <c r="C164">
        <f>SUM(J164:U164)</f>
        <v>0</v>
      </c>
      <c r="D164">
        <f>SUM(V164:AG164)</f>
        <v>0</v>
      </c>
      <c r="E164">
        <f>MAX(0,IF(Impostazioni!$B$7="No",'Calc base'!$C164-$C$31,'Calc base'!$C164-C164)+'Calc base'!$G164+'Calc base'!$F164-(B164-C164-D164))</f>
        <v>900</v>
      </c>
      <c r="F164">
        <f>SUM(AH164:AS164)</f>
        <v>0</v>
      </c>
      <c r="G164">
        <f>SUM(AT164:BE164)</f>
        <v>0</v>
      </c>
      <c r="H164">
        <f>B164-G163</f>
        <v>0</v>
      </c>
      <c r="I164">
        <f>B164-G164</f>
        <v>0</v>
      </c>
      <c r="J164">
        <f>IF(AT163&lt;=0,0,IF(ROUND(AT163*(1+'Calc base'!H164),2)-MAX('Calc base'!C$12,ROUND('Calc base'!C$13*AT163,2))&lt;1,ROUND(AT163*(1+'Calc base'!H164),2),MAX('Calc base'!C$12,ROUND('Calc base'!C$13*AT163,2))))</f>
        <v>0</v>
      </c>
      <c r="K164">
        <f>IF(AU163&lt;=0,0,IF(ROUND(AU163*(1+'Calc base'!I164),2)-MAX('Calc base'!D$12,ROUND('Calc base'!D$13*AU163,2))&lt;1,ROUND(AU163*(1+'Calc base'!I164),2),MAX('Calc base'!D$12,ROUND('Calc base'!D$13*AU163,2))))</f>
        <v>0</v>
      </c>
      <c r="L164">
        <f>IF(AV163&lt;=0,0,IF(ROUND(AV163*(1+'Calc base'!J164),2)-MAX('Calc base'!E$12,ROUND('Calc base'!E$13*AV163,2))&lt;1,ROUND(AV163*(1+'Calc base'!J164),2),MAX('Calc base'!E$12,ROUND('Calc base'!E$13*AV163,2))))</f>
        <v>0</v>
      </c>
      <c r="M164">
        <f>IF(AW163&lt;=0,0,IF(ROUND(AW163*(1+'Calc base'!K164),2)-MAX('Calc base'!F$12,ROUND('Calc base'!F$13*AW163,2))&lt;1,ROUND(AW163*(1+'Calc base'!K164),2),MAX('Calc base'!F$12,ROUND('Calc base'!F$13*AW163,2))))</f>
        <v>0</v>
      </c>
      <c r="N164">
        <f>IF(AX163&lt;=0,0,IF(ROUND(AX163*(1+'Calc base'!L164),2)-MAX('Calc base'!G$12,ROUND('Calc base'!G$13*AX163,2))&lt;1,ROUND(AX163*(1+'Calc base'!L164),2),MAX('Calc base'!G$12,ROUND('Calc base'!G$13*AX163,2))))</f>
        <v>0</v>
      </c>
      <c r="O164">
        <f>IF(AY163&lt;=0,0,IF(ROUND(AY163*(1+'Calc base'!M164),2)-MAX('Calc base'!H$12,ROUND('Calc base'!H$13*AY163,2))&lt;1,ROUND(AY163*(1+'Calc base'!M164),2),MAX('Calc base'!H$12,ROUND('Calc base'!H$13*AY163,2))))</f>
        <v>0</v>
      </c>
      <c r="P164">
        <f>IF(AZ163&lt;=0,0,IF(ROUND(AZ163*(1+'Calc base'!N164),2)-MAX('Calc base'!I$12,ROUND('Calc base'!I$13*AZ163,2))&lt;1,ROUND(AZ163*(1+'Calc base'!N164),2),MAX('Calc base'!I$12,ROUND('Calc base'!I$13*AZ163,2))))</f>
        <v>0</v>
      </c>
      <c r="Q164">
        <f>IF(BA163&lt;=0,0,IF(ROUND(BA163*(1+'Calc base'!O164),2)-MAX('Calc base'!J$12,ROUND('Calc base'!J$13*BA163,2))&lt;1,ROUND(BA163*(1+'Calc base'!O164),2),MAX('Calc base'!J$12,ROUND('Calc base'!J$13*BA163,2))))</f>
        <v>0</v>
      </c>
      <c r="R164">
        <f>IF(BB163&lt;=0,0,IF(ROUND(BB163*(1+'Calc base'!P164),2)-MAX('Calc base'!K$12,ROUND('Calc base'!K$13*BB163,2))&lt;1,ROUND(BB163*(1+'Calc base'!P164),2),MAX('Calc base'!K$12,ROUND('Calc base'!K$13*BB163,2))))</f>
        <v>0</v>
      </c>
      <c r="S164">
        <f>IF(BC163&lt;=0,0,IF(ROUND(BC163*(1+'Calc base'!Q164),2)-MAX('Calc base'!L$12,ROUND('Calc base'!L$13*BC163,2))&lt;1,ROUND(BC163*(1+'Calc base'!Q164),2),MAX('Calc base'!L$12,ROUND('Calc base'!L$13*BC163,2))))</f>
        <v>0</v>
      </c>
      <c r="T164">
        <f>IF(BD163&lt;=0,0,IF(ROUND(BD163*(1+'Calc base'!R164),2)-MAX('Calc base'!M$12,ROUND('Calc base'!M$13*BD163,2))&lt;1,ROUND(BD163*(1+'Calc base'!R164),2),MAX('Calc base'!M$12,ROUND('Calc base'!M$13*BD163,2))))</f>
        <v>0</v>
      </c>
      <c r="U164">
        <f>IF(BE163&lt;=0,0,IF(ROUND(BE163*(1+'Calc base'!S164),2)-MAX('Calc base'!N$12,ROUND('Calc base'!N$13*BE163,2))&lt;1,ROUND(BE163*(1+'Calc base'!S164),2),MAX('Calc base'!N$12,ROUND('Calc base'!N$13*BE163,2))))</f>
        <v>0</v>
      </c>
      <c r="V164">
        <f>MAX(0,ROUND(AT163*(1+'Calc base'!H164),2)-J164-'Calc base'!T164)</f>
        <v>0</v>
      </c>
      <c r="W164">
        <f>MAX(0,ROUND(AU163*(1+'Calc base'!I164),2)-K164-'Calc base'!U164)</f>
        <v>0</v>
      </c>
      <c r="X164">
        <f>MAX(0,ROUND(AV163*(1+'Calc base'!J164),2)-L164-'Calc base'!V164)</f>
        <v>0</v>
      </c>
      <c r="Y164">
        <f>MAX(0,ROUND(AW163*(1+'Calc base'!K164),2)-M164-'Calc base'!W164)</f>
        <v>0</v>
      </c>
      <c r="Z164">
        <f>MAX(0,ROUND(AX163*(1+'Calc base'!L164),2)-N164-'Calc base'!X164)</f>
        <v>0</v>
      </c>
      <c r="AA164">
        <f>MAX(0,ROUND(AY163*(1+'Calc base'!M164),2)-O164-'Calc base'!Y164)</f>
        <v>0</v>
      </c>
      <c r="AB164">
        <f>MAX(0,ROUND(AZ163*(1+'Calc base'!N164),2)-P164-'Calc base'!Z164)</f>
        <v>0</v>
      </c>
      <c r="AC164">
        <f>MAX(0,ROUND(BA163*(1+'Calc base'!O164),2)-Q164-'Calc base'!AA164)</f>
        <v>0</v>
      </c>
      <c r="AD164">
        <f>MAX(0,ROUND(BB163*(1+'Calc base'!P164),2)-R164-'Calc base'!AB164)</f>
        <v>0</v>
      </c>
      <c r="AE164">
        <f>MAX(0,ROUND(BC163*(1+'Calc base'!Q164),2)-S164-'Calc base'!AC164)</f>
        <v>0</v>
      </c>
      <c r="AF164">
        <f>MAX(0,ROUND(BD163*(1+'Calc base'!R164),2)-T164-'Calc base'!AD164)</f>
        <v>0</v>
      </c>
      <c r="AG164">
        <f>MAX(0,ROUND(BE163*(1+'Calc base'!S164),2)-U164-'Calc base'!AE164)</f>
        <v>0</v>
      </c>
      <c r="AH164">
        <f>IF('Calc base'!C$14=0,0,MIN(V164,MAX(0,$E164-SUMIFS($V164:$AG164,'Calc base'!$C$19:$N$19,"&lt;"&amp;'Calc base'!C$19,'Calc base'!$C$14:$N$14,1))))</f>
        <v>0</v>
      </c>
      <c r="AI164">
        <f>IF('Calc base'!D$14=0,0,MIN(W164,MAX(0,$E164-SUMIFS($V164:$AG164,'Calc base'!$C$19:$N$19,"&lt;"&amp;'Calc base'!D$19,'Calc base'!$C$14:$N$14,1))))</f>
        <v>0</v>
      </c>
      <c r="AJ164">
        <f>IF('Calc base'!E$14=0,0,MIN(X164,MAX(0,$E164-SUMIFS($V164:$AG164,'Calc base'!$C$19:$N$19,"&lt;"&amp;'Calc base'!E$19,'Calc base'!$C$14:$N$14,1))))</f>
        <v>0</v>
      </c>
      <c r="AK164">
        <f>IF('Calc base'!F$14=0,0,MIN(Y164,MAX(0,$E164-SUMIFS($V164:$AG164,'Calc base'!$C$19:$N$19,"&lt;"&amp;'Calc base'!F$19,'Calc base'!$C$14:$N$14,1))))</f>
        <v>0</v>
      </c>
      <c r="AL164">
        <f>IF('Calc base'!G$14=0,0,MIN(Z164,MAX(0,$E164-SUMIFS($V164:$AG164,'Calc base'!$C$19:$N$19,"&lt;"&amp;'Calc base'!G$19,'Calc base'!$C$14:$N$14,1))))</f>
        <v>0</v>
      </c>
      <c r="AM164">
        <f>IF('Calc base'!H$14=0,0,MIN(AA164,MAX(0,$E164-SUMIFS($V164:$AG164,'Calc base'!$C$19:$N$19,"&lt;"&amp;'Calc base'!H$19,'Calc base'!$C$14:$N$14,1))))</f>
        <v>0</v>
      </c>
      <c r="AN164">
        <f>IF('Calc base'!I$14=0,0,MIN(AB164,MAX(0,$E164-SUMIFS($V164:$AG164,'Calc base'!$C$19:$N$19,"&lt;"&amp;'Calc base'!I$19,'Calc base'!$C$14:$N$14,1))))</f>
        <v>0</v>
      </c>
      <c r="AO164">
        <f>IF('Calc base'!J$14=0,0,MIN(AC164,MAX(0,$E164-SUMIFS($V164:$AG164,'Calc base'!$C$19:$N$19,"&lt;"&amp;'Calc base'!J$19,'Calc base'!$C$14:$N$14,1))))</f>
        <v>0</v>
      </c>
      <c r="AP164">
        <f>IF('Calc base'!K$14=0,0,MIN(AD164,MAX(0,$E164-SUMIFS($V164:$AG164,'Calc base'!$C$19:$N$19,"&lt;"&amp;'Calc base'!K$19,'Calc base'!$C$14:$N$14,1))))</f>
        <v>0</v>
      </c>
      <c r="AQ164">
        <f>IF('Calc base'!L$14=0,0,MIN(AE164,MAX(0,$E164-SUMIFS($V164:$AG164,'Calc base'!$C$19:$N$19,"&lt;"&amp;'Calc base'!L$19,'Calc base'!$C$14:$N$14,1))))</f>
        <v>0</v>
      </c>
      <c r="AR164">
        <f>IF('Calc base'!M$14=0,0,MIN(AF164,MAX(0,$E164-SUMIFS($V164:$AG164,'Calc base'!$C$19:$N$19,"&lt;"&amp;'Calc base'!M$19,'Calc base'!$C$14:$N$14,1))))</f>
        <v>0</v>
      </c>
      <c r="AS164">
        <f>IF('Calc base'!N$14=0,0,MIN(AG164,MAX(0,$E164-SUMIFS($V164:$AG164,'Calc base'!$C$19:$N$19,"&lt;"&amp;'Calc base'!N$19,'Calc base'!$C$14:$N$14,1))))</f>
        <v>0</v>
      </c>
      <c r="AT164">
        <f>V164-AH164</f>
        <v>0</v>
      </c>
      <c r="AU164">
        <f>W164-AI164</f>
        <v>0</v>
      </c>
      <c r="AV164">
        <f>X164-AJ164</f>
        <v>0</v>
      </c>
      <c r="AW164">
        <f>Y164-AK164</f>
        <v>0</v>
      </c>
      <c r="AX164">
        <f>Z164-AL164</f>
        <v>0</v>
      </c>
      <c r="AY164">
        <f>AA164-AM164</f>
        <v>0</v>
      </c>
      <c r="AZ164">
        <f>AB164-AN164</f>
        <v>0</v>
      </c>
      <c r="BA164">
        <f>AC164-AO164</f>
        <v>0</v>
      </c>
      <c r="BB164">
        <f>AD164-AP164</f>
        <v>0</v>
      </c>
      <c r="BC164">
        <f>AE164-AQ164</f>
        <v>0</v>
      </c>
      <c r="BD164">
        <f>AF164-AR164</f>
        <v>0</v>
      </c>
      <c r="BE164">
        <f>AG164-AS164</f>
        <v>0</v>
      </c>
    </row>
    <row r="165">
      <c r="A165" t="n">
        <v>135</v>
      </c>
      <c r="B165">
        <f>SUMPRODUCT(ROUND($AT164:$BE164*(1+'Calc base'!$H165:$S165),2))</f>
        <v>0</v>
      </c>
      <c r="C165">
        <f>SUM(J165:U165)</f>
        <v>0</v>
      </c>
      <c r="D165">
        <f>SUM(V165:AG165)</f>
        <v>0</v>
      </c>
      <c r="E165">
        <f>MAX(0,IF(Impostazioni!$B$7="No",'Calc base'!$C165-$C$31,'Calc base'!$C165-C165)+'Calc base'!$G165+'Calc base'!$F165-(B165-C165-D165))</f>
        <v>900</v>
      </c>
      <c r="F165">
        <f>SUM(AH165:AS165)</f>
        <v>0</v>
      </c>
      <c r="G165">
        <f>SUM(AT165:BE165)</f>
        <v>0</v>
      </c>
      <c r="H165">
        <f>B165-G164</f>
        <v>0</v>
      </c>
      <c r="I165">
        <f>B165-G165</f>
        <v>0</v>
      </c>
      <c r="J165">
        <f>IF(AT164&lt;=0,0,IF(ROUND(AT164*(1+'Calc base'!H165),2)-MAX('Calc base'!C$12,ROUND('Calc base'!C$13*AT164,2))&lt;1,ROUND(AT164*(1+'Calc base'!H165),2),MAX('Calc base'!C$12,ROUND('Calc base'!C$13*AT164,2))))</f>
        <v>0</v>
      </c>
      <c r="K165">
        <f>IF(AU164&lt;=0,0,IF(ROUND(AU164*(1+'Calc base'!I165),2)-MAX('Calc base'!D$12,ROUND('Calc base'!D$13*AU164,2))&lt;1,ROUND(AU164*(1+'Calc base'!I165),2),MAX('Calc base'!D$12,ROUND('Calc base'!D$13*AU164,2))))</f>
        <v>0</v>
      </c>
      <c r="L165">
        <f>IF(AV164&lt;=0,0,IF(ROUND(AV164*(1+'Calc base'!J165),2)-MAX('Calc base'!E$12,ROUND('Calc base'!E$13*AV164,2))&lt;1,ROUND(AV164*(1+'Calc base'!J165),2),MAX('Calc base'!E$12,ROUND('Calc base'!E$13*AV164,2))))</f>
        <v>0</v>
      </c>
      <c r="M165">
        <f>IF(AW164&lt;=0,0,IF(ROUND(AW164*(1+'Calc base'!K165),2)-MAX('Calc base'!F$12,ROUND('Calc base'!F$13*AW164,2))&lt;1,ROUND(AW164*(1+'Calc base'!K165),2),MAX('Calc base'!F$12,ROUND('Calc base'!F$13*AW164,2))))</f>
        <v>0</v>
      </c>
      <c r="N165">
        <f>IF(AX164&lt;=0,0,IF(ROUND(AX164*(1+'Calc base'!L165),2)-MAX('Calc base'!G$12,ROUND('Calc base'!G$13*AX164,2))&lt;1,ROUND(AX164*(1+'Calc base'!L165),2),MAX('Calc base'!G$12,ROUND('Calc base'!G$13*AX164,2))))</f>
        <v>0</v>
      </c>
      <c r="O165">
        <f>IF(AY164&lt;=0,0,IF(ROUND(AY164*(1+'Calc base'!M165),2)-MAX('Calc base'!H$12,ROUND('Calc base'!H$13*AY164,2))&lt;1,ROUND(AY164*(1+'Calc base'!M165),2),MAX('Calc base'!H$12,ROUND('Calc base'!H$13*AY164,2))))</f>
        <v>0</v>
      </c>
      <c r="P165">
        <f>IF(AZ164&lt;=0,0,IF(ROUND(AZ164*(1+'Calc base'!N165),2)-MAX('Calc base'!I$12,ROUND('Calc base'!I$13*AZ164,2))&lt;1,ROUND(AZ164*(1+'Calc base'!N165),2),MAX('Calc base'!I$12,ROUND('Calc base'!I$13*AZ164,2))))</f>
        <v>0</v>
      </c>
      <c r="Q165">
        <f>IF(BA164&lt;=0,0,IF(ROUND(BA164*(1+'Calc base'!O165),2)-MAX('Calc base'!J$12,ROUND('Calc base'!J$13*BA164,2))&lt;1,ROUND(BA164*(1+'Calc base'!O165),2),MAX('Calc base'!J$12,ROUND('Calc base'!J$13*BA164,2))))</f>
        <v>0</v>
      </c>
      <c r="R165">
        <f>IF(BB164&lt;=0,0,IF(ROUND(BB164*(1+'Calc base'!P165),2)-MAX('Calc base'!K$12,ROUND('Calc base'!K$13*BB164,2))&lt;1,ROUND(BB164*(1+'Calc base'!P165),2),MAX('Calc base'!K$12,ROUND('Calc base'!K$13*BB164,2))))</f>
        <v>0</v>
      </c>
      <c r="S165">
        <f>IF(BC164&lt;=0,0,IF(ROUND(BC164*(1+'Calc base'!Q165),2)-MAX('Calc base'!L$12,ROUND('Calc base'!L$13*BC164,2))&lt;1,ROUND(BC164*(1+'Calc base'!Q165),2),MAX('Calc base'!L$12,ROUND('Calc base'!L$13*BC164,2))))</f>
        <v>0</v>
      </c>
      <c r="T165">
        <f>IF(BD164&lt;=0,0,IF(ROUND(BD164*(1+'Calc base'!R165),2)-MAX('Calc base'!M$12,ROUND('Calc base'!M$13*BD164,2))&lt;1,ROUND(BD164*(1+'Calc base'!R165),2),MAX('Calc base'!M$12,ROUND('Calc base'!M$13*BD164,2))))</f>
        <v>0</v>
      </c>
      <c r="U165">
        <f>IF(BE164&lt;=0,0,IF(ROUND(BE164*(1+'Calc base'!S165),2)-MAX('Calc base'!N$12,ROUND('Calc base'!N$13*BE164,2))&lt;1,ROUND(BE164*(1+'Calc base'!S165),2),MAX('Calc base'!N$12,ROUND('Calc base'!N$13*BE164,2))))</f>
        <v>0</v>
      </c>
      <c r="V165">
        <f>MAX(0,ROUND(AT164*(1+'Calc base'!H165),2)-J165-'Calc base'!T165)</f>
        <v>0</v>
      </c>
      <c r="W165">
        <f>MAX(0,ROUND(AU164*(1+'Calc base'!I165),2)-K165-'Calc base'!U165)</f>
        <v>0</v>
      </c>
      <c r="X165">
        <f>MAX(0,ROUND(AV164*(1+'Calc base'!J165),2)-L165-'Calc base'!V165)</f>
        <v>0</v>
      </c>
      <c r="Y165">
        <f>MAX(0,ROUND(AW164*(1+'Calc base'!K165),2)-M165-'Calc base'!W165)</f>
        <v>0</v>
      </c>
      <c r="Z165">
        <f>MAX(0,ROUND(AX164*(1+'Calc base'!L165),2)-N165-'Calc base'!X165)</f>
        <v>0</v>
      </c>
      <c r="AA165">
        <f>MAX(0,ROUND(AY164*(1+'Calc base'!M165),2)-O165-'Calc base'!Y165)</f>
        <v>0</v>
      </c>
      <c r="AB165">
        <f>MAX(0,ROUND(AZ164*(1+'Calc base'!N165),2)-P165-'Calc base'!Z165)</f>
        <v>0</v>
      </c>
      <c r="AC165">
        <f>MAX(0,ROUND(BA164*(1+'Calc base'!O165),2)-Q165-'Calc base'!AA165)</f>
        <v>0</v>
      </c>
      <c r="AD165">
        <f>MAX(0,ROUND(BB164*(1+'Calc base'!P165),2)-R165-'Calc base'!AB165)</f>
        <v>0</v>
      </c>
      <c r="AE165">
        <f>MAX(0,ROUND(BC164*(1+'Calc base'!Q165),2)-S165-'Calc base'!AC165)</f>
        <v>0</v>
      </c>
      <c r="AF165">
        <f>MAX(0,ROUND(BD164*(1+'Calc base'!R165),2)-T165-'Calc base'!AD165)</f>
        <v>0</v>
      </c>
      <c r="AG165">
        <f>MAX(0,ROUND(BE164*(1+'Calc base'!S165),2)-U165-'Calc base'!AE165)</f>
        <v>0</v>
      </c>
      <c r="AH165">
        <f>IF('Calc base'!C$14=0,0,MIN(V165,MAX(0,$E165-SUMIFS($V165:$AG165,'Calc base'!$C$19:$N$19,"&lt;"&amp;'Calc base'!C$19,'Calc base'!$C$14:$N$14,1))))</f>
        <v>0</v>
      </c>
      <c r="AI165">
        <f>IF('Calc base'!D$14=0,0,MIN(W165,MAX(0,$E165-SUMIFS($V165:$AG165,'Calc base'!$C$19:$N$19,"&lt;"&amp;'Calc base'!D$19,'Calc base'!$C$14:$N$14,1))))</f>
        <v>0</v>
      </c>
      <c r="AJ165">
        <f>IF('Calc base'!E$14=0,0,MIN(X165,MAX(0,$E165-SUMIFS($V165:$AG165,'Calc base'!$C$19:$N$19,"&lt;"&amp;'Calc base'!E$19,'Calc base'!$C$14:$N$14,1))))</f>
        <v>0</v>
      </c>
      <c r="AK165">
        <f>IF('Calc base'!F$14=0,0,MIN(Y165,MAX(0,$E165-SUMIFS($V165:$AG165,'Calc base'!$C$19:$N$19,"&lt;"&amp;'Calc base'!F$19,'Calc base'!$C$14:$N$14,1))))</f>
        <v>0</v>
      </c>
      <c r="AL165">
        <f>IF('Calc base'!G$14=0,0,MIN(Z165,MAX(0,$E165-SUMIFS($V165:$AG165,'Calc base'!$C$19:$N$19,"&lt;"&amp;'Calc base'!G$19,'Calc base'!$C$14:$N$14,1))))</f>
        <v>0</v>
      </c>
      <c r="AM165">
        <f>IF('Calc base'!H$14=0,0,MIN(AA165,MAX(0,$E165-SUMIFS($V165:$AG165,'Calc base'!$C$19:$N$19,"&lt;"&amp;'Calc base'!H$19,'Calc base'!$C$14:$N$14,1))))</f>
        <v>0</v>
      </c>
      <c r="AN165">
        <f>IF('Calc base'!I$14=0,0,MIN(AB165,MAX(0,$E165-SUMIFS($V165:$AG165,'Calc base'!$C$19:$N$19,"&lt;"&amp;'Calc base'!I$19,'Calc base'!$C$14:$N$14,1))))</f>
        <v>0</v>
      </c>
      <c r="AO165">
        <f>IF('Calc base'!J$14=0,0,MIN(AC165,MAX(0,$E165-SUMIFS($V165:$AG165,'Calc base'!$C$19:$N$19,"&lt;"&amp;'Calc base'!J$19,'Calc base'!$C$14:$N$14,1))))</f>
        <v>0</v>
      </c>
      <c r="AP165">
        <f>IF('Calc base'!K$14=0,0,MIN(AD165,MAX(0,$E165-SUMIFS($V165:$AG165,'Calc base'!$C$19:$N$19,"&lt;"&amp;'Calc base'!K$19,'Calc base'!$C$14:$N$14,1))))</f>
        <v>0</v>
      </c>
      <c r="AQ165">
        <f>IF('Calc base'!L$14=0,0,MIN(AE165,MAX(0,$E165-SUMIFS($V165:$AG165,'Calc base'!$C$19:$N$19,"&lt;"&amp;'Calc base'!L$19,'Calc base'!$C$14:$N$14,1))))</f>
        <v>0</v>
      </c>
      <c r="AR165">
        <f>IF('Calc base'!M$14=0,0,MIN(AF165,MAX(0,$E165-SUMIFS($V165:$AG165,'Calc base'!$C$19:$N$19,"&lt;"&amp;'Calc base'!M$19,'Calc base'!$C$14:$N$14,1))))</f>
        <v>0</v>
      </c>
      <c r="AS165">
        <f>IF('Calc base'!N$14=0,0,MIN(AG165,MAX(0,$E165-SUMIFS($V165:$AG165,'Calc base'!$C$19:$N$19,"&lt;"&amp;'Calc base'!N$19,'Calc base'!$C$14:$N$14,1))))</f>
        <v>0</v>
      </c>
      <c r="AT165">
        <f>V165-AH165</f>
        <v>0</v>
      </c>
      <c r="AU165">
        <f>W165-AI165</f>
        <v>0</v>
      </c>
      <c r="AV165">
        <f>X165-AJ165</f>
        <v>0</v>
      </c>
      <c r="AW165">
        <f>Y165-AK165</f>
        <v>0</v>
      </c>
      <c r="AX165">
        <f>Z165-AL165</f>
        <v>0</v>
      </c>
      <c r="AY165">
        <f>AA165-AM165</f>
        <v>0</v>
      </c>
      <c r="AZ165">
        <f>AB165-AN165</f>
        <v>0</v>
      </c>
      <c r="BA165">
        <f>AC165-AO165</f>
        <v>0</v>
      </c>
      <c r="BB165">
        <f>AD165-AP165</f>
        <v>0</v>
      </c>
      <c r="BC165">
        <f>AE165-AQ165</f>
        <v>0</v>
      </c>
      <c r="BD165">
        <f>AF165-AR165</f>
        <v>0</v>
      </c>
      <c r="BE165">
        <f>AG165-AS165</f>
        <v>0</v>
      </c>
    </row>
    <row r="166">
      <c r="A166" t="n">
        <v>136</v>
      </c>
      <c r="B166">
        <f>SUMPRODUCT(ROUND($AT165:$BE165*(1+'Calc base'!$H166:$S166),2))</f>
        <v>0</v>
      </c>
      <c r="C166">
        <f>SUM(J166:U166)</f>
        <v>0</v>
      </c>
      <c r="D166">
        <f>SUM(V166:AG166)</f>
        <v>0</v>
      </c>
      <c r="E166">
        <f>MAX(0,IF(Impostazioni!$B$7="No",'Calc base'!$C166-$C$31,'Calc base'!$C166-C166)+'Calc base'!$G166+'Calc base'!$F166-(B166-C166-D166))</f>
        <v>900</v>
      </c>
      <c r="F166">
        <f>SUM(AH166:AS166)</f>
        <v>0</v>
      </c>
      <c r="G166">
        <f>SUM(AT166:BE166)</f>
        <v>0</v>
      </c>
      <c r="H166">
        <f>B166-G165</f>
        <v>0</v>
      </c>
      <c r="I166">
        <f>B166-G166</f>
        <v>0</v>
      </c>
      <c r="J166">
        <f>IF(AT165&lt;=0,0,IF(ROUND(AT165*(1+'Calc base'!H166),2)-MAX('Calc base'!C$12,ROUND('Calc base'!C$13*AT165,2))&lt;1,ROUND(AT165*(1+'Calc base'!H166),2),MAX('Calc base'!C$12,ROUND('Calc base'!C$13*AT165,2))))</f>
        <v>0</v>
      </c>
      <c r="K166">
        <f>IF(AU165&lt;=0,0,IF(ROUND(AU165*(1+'Calc base'!I166),2)-MAX('Calc base'!D$12,ROUND('Calc base'!D$13*AU165,2))&lt;1,ROUND(AU165*(1+'Calc base'!I166),2),MAX('Calc base'!D$12,ROUND('Calc base'!D$13*AU165,2))))</f>
        <v>0</v>
      </c>
      <c r="L166">
        <f>IF(AV165&lt;=0,0,IF(ROUND(AV165*(1+'Calc base'!J166),2)-MAX('Calc base'!E$12,ROUND('Calc base'!E$13*AV165,2))&lt;1,ROUND(AV165*(1+'Calc base'!J166),2),MAX('Calc base'!E$12,ROUND('Calc base'!E$13*AV165,2))))</f>
        <v>0</v>
      </c>
      <c r="M166">
        <f>IF(AW165&lt;=0,0,IF(ROUND(AW165*(1+'Calc base'!K166),2)-MAX('Calc base'!F$12,ROUND('Calc base'!F$13*AW165,2))&lt;1,ROUND(AW165*(1+'Calc base'!K166),2),MAX('Calc base'!F$12,ROUND('Calc base'!F$13*AW165,2))))</f>
        <v>0</v>
      </c>
      <c r="N166">
        <f>IF(AX165&lt;=0,0,IF(ROUND(AX165*(1+'Calc base'!L166),2)-MAX('Calc base'!G$12,ROUND('Calc base'!G$13*AX165,2))&lt;1,ROUND(AX165*(1+'Calc base'!L166),2),MAX('Calc base'!G$12,ROUND('Calc base'!G$13*AX165,2))))</f>
        <v>0</v>
      </c>
      <c r="O166">
        <f>IF(AY165&lt;=0,0,IF(ROUND(AY165*(1+'Calc base'!M166),2)-MAX('Calc base'!H$12,ROUND('Calc base'!H$13*AY165,2))&lt;1,ROUND(AY165*(1+'Calc base'!M166),2),MAX('Calc base'!H$12,ROUND('Calc base'!H$13*AY165,2))))</f>
        <v>0</v>
      </c>
      <c r="P166">
        <f>IF(AZ165&lt;=0,0,IF(ROUND(AZ165*(1+'Calc base'!N166),2)-MAX('Calc base'!I$12,ROUND('Calc base'!I$13*AZ165,2))&lt;1,ROUND(AZ165*(1+'Calc base'!N166),2),MAX('Calc base'!I$12,ROUND('Calc base'!I$13*AZ165,2))))</f>
        <v>0</v>
      </c>
      <c r="Q166">
        <f>IF(BA165&lt;=0,0,IF(ROUND(BA165*(1+'Calc base'!O166),2)-MAX('Calc base'!J$12,ROUND('Calc base'!J$13*BA165,2))&lt;1,ROUND(BA165*(1+'Calc base'!O166),2),MAX('Calc base'!J$12,ROUND('Calc base'!J$13*BA165,2))))</f>
        <v>0</v>
      </c>
      <c r="R166">
        <f>IF(BB165&lt;=0,0,IF(ROUND(BB165*(1+'Calc base'!P166),2)-MAX('Calc base'!K$12,ROUND('Calc base'!K$13*BB165,2))&lt;1,ROUND(BB165*(1+'Calc base'!P166),2),MAX('Calc base'!K$12,ROUND('Calc base'!K$13*BB165,2))))</f>
        <v>0</v>
      </c>
      <c r="S166">
        <f>IF(BC165&lt;=0,0,IF(ROUND(BC165*(1+'Calc base'!Q166),2)-MAX('Calc base'!L$12,ROUND('Calc base'!L$13*BC165,2))&lt;1,ROUND(BC165*(1+'Calc base'!Q166),2),MAX('Calc base'!L$12,ROUND('Calc base'!L$13*BC165,2))))</f>
        <v>0</v>
      </c>
      <c r="T166">
        <f>IF(BD165&lt;=0,0,IF(ROUND(BD165*(1+'Calc base'!R166),2)-MAX('Calc base'!M$12,ROUND('Calc base'!M$13*BD165,2))&lt;1,ROUND(BD165*(1+'Calc base'!R166),2),MAX('Calc base'!M$12,ROUND('Calc base'!M$13*BD165,2))))</f>
        <v>0</v>
      </c>
      <c r="U166">
        <f>IF(BE165&lt;=0,0,IF(ROUND(BE165*(1+'Calc base'!S166),2)-MAX('Calc base'!N$12,ROUND('Calc base'!N$13*BE165,2))&lt;1,ROUND(BE165*(1+'Calc base'!S166),2),MAX('Calc base'!N$12,ROUND('Calc base'!N$13*BE165,2))))</f>
        <v>0</v>
      </c>
      <c r="V166">
        <f>MAX(0,ROUND(AT165*(1+'Calc base'!H166),2)-J166-'Calc base'!T166)</f>
        <v>0</v>
      </c>
      <c r="W166">
        <f>MAX(0,ROUND(AU165*(1+'Calc base'!I166),2)-K166-'Calc base'!U166)</f>
        <v>0</v>
      </c>
      <c r="X166">
        <f>MAX(0,ROUND(AV165*(1+'Calc base'!J166),2)-L166-'Calc base'!V166)</f>
        <v>0</v>
      </c>
      <c r="Y166">
        <f>MAX(0,ROUND(AW165*(1+'Calc base'!K166),2)-M166-'Calc base'!W166)</f>
        <v>0</v>
      </c>
      <c r="Z166">
        <f>MAX(0,ROUND(AX165*(1+'Calc base'!L166),2)-N166-'Calc base'!X166)</f>
        <v>0</v>
      </c>
      <c r="AA166">
        <f>MAX(0,ROUND(AY165*(1+'Calc base'!M166),2)-O166-'Calc base'!Y166)</f>
        <v>0</v>
      </c>
      <c r="AB166">
        <f>MAX(0,ROUND(AZ165*(1+'Calc base'!N166),2)-P166-'Calc base'!Z166)</f>
        <v>0</v>
      </c>
      <c r="AC166">
        <f>MAX(0,ROUND(BA165*(1+'Calc base'!O166),2)-Q166-'Calc base'!AA166)</f>
        <v>0</v>
      </c>
      <c r="AD166">
        <f>MAX(0,ROUND(BB165*(1+'Calc base'!P166),2)-R166-'Calc base'!AB166)</f>
        <v>0</v>
      </c>
      <c r="AE166">
        <f>MAX(0,ROUND(BC165*(1+'Calc base'!Q166),2)-S166-'Calc base'!AC166)</f>
        <v>0</v>
      </c>
      <c r="AF166">
        <f>MAX(0,ROUND(BD165*(1+'Calc base'!R166),2)-T166-'Calc base'!AD166)</f>
        <v>0</v>
      </c>
      <c r="AG166">
        <f>MAX(0,ROUND(BE165*(1+'Calc base'!S166),2)-U166-'Calc base'!AE166)</f>
        <v>0</v>
      </c>
      <c r="AH166">
        <f>IF('Calc base'!C$14=0,0,MIN(V166,MAX(0,$E166-SUMIFS($V166:$AG166,'Calc base'!$C$19:$N$19,"&lt;"&amp;'Calc base'!C$19,'Calc base'!$C$14:$N$14,1))))</f>
        <v>0</v>
      </c>
      <c r="AI166">
        <f>IF('Calc base'!D$14=0,0,MIN(W166,MAX(0,$E166-SUMIFS($V166:$AG166,'Calc base'!$C$19:$N$19,"&lt;"&amp;'Calc base'!D$19,'Calc base'!$C$14:$N$14,1))))</f>
        <v>0</v>
      </c>
      <c r="AJ166">
        <f>IF('Calc base'!E$14=0,0,MIN(X166,MAX(0,$E166-SUMIFS($V166:$AG166,'Calc base'!$C$19:$N$19,"&lt;"&amp;'Calc base'!E$19,'Calc base'!$C$14:$N$14,1))))</f>
        <v>0</v>
      </c>
      <c r="AK166">
        <f>IF('Calc base'!F$14=0,0,MIN(Y166,MAX(0,$E166-SUMIFS($V166:$AG166,'Calc base'!$C$19:$N$19,"&lt;"&amp;'Calc base'!F$19,'Calc base'!$C$14:$N$14,1))))</f>
        <v>0</v>
      </c>
      <c r="AL166">
        <f>IF('Calc base'!G$14=0,0,MIN(Z166,MAX(0,$E166-SUMIFS($V166:$AG166,'Calc base'!$C$19:$N$19,"&lt;"&amp;'Calc base'!G$19,'Calc base'!$C$14:$N$14,1))))</f>
        <v>0</v>
      </c>
      <c r="AM166">
        <f>IF('Calc base'!H$14=0,0,MIN(AA166,MAX(0,$E166-SUMIFS($V166:$AG166,'Calc base'!$C$19:$N$19,"&lt;"&amp;'Calc base'!H$19,'Calc base'!$C$14:$N$14,1))))</f>
        <v>0</v>
      </c>
      <c r="AN166">
        <f>IF('Calc base'!I$14=0,0,MIN(AB166,MAX(0,$E166-SUMIFS($V166:$AG166,'Calc base'!$C$19:$N$19,"&lt;"&amp;'Calc base'!I$19,'Calc base'!$C$14:$N$14,1))))</f>
        <v>0</v>
      </c>
      <c r="AO166">
        <f>IF('Calc base'!J$14=0,0,MIN(AC166,MAX(0,$E166-SUMIFS($V166:$AG166,'Calc base'!$C$19:$N$19,"&lt;"&amp;'Calc base'!J$19,'Calc base'!$C$14:$N$14,1))))</f>
        <v>0</v>
      </c>
      <c r="AP166">
        <f>IF('Calc base'!K$14=0,0,MIN(AD166,MAX(0,$E166-SUMIFS($V166:$AG166,'Calc base'!$C$19:$N$19,"&lt;"&amp;'Calc base'!K$19,'Calc base'!$C$14:$N$14,1))))</f>
        <v>0</v>
      </c>
      <c r="AQ166">
        <f>IF('Calc base'!L$14=0,0,MIN(AE166,MAX(0,$E166-SUMIFS($V166:$AG166,'Calc base'!$C$19:$N$19,"&lt;"&amp;'Calc base'!L$19,'Calc base'!$C$14:$N$14,1))))</f>
        <v>0</v>
      </c>
      <c r="AR166">
        <f>IF('Calc base'!M$14=0,0,MIN(AF166,MAX(0,$E166-SUMIFS($V166:$AG166,'Calc base'!$C$19:$N$19,"&lt;"&amp;'Calc base'!M$19,'Calc base'!$C$14:$N$14,1))))</f>
        <v>0</v>
      </c>
      <c r="AS166">
        <f>IF('Calc base'!N$14=0,0,MIN(AG166,MAX(0,$E166-SUMIFS($V166:$AG166,'Calc base'!$C$19:$N$19,"&lt;"&amp;'Calc base'!N$19,'Calc base'!$C$14:$N$14,1))))</f>
        <v>0</v>
      </c>
      <c r="AT166">
        <f>V166-AH166</f>
        <v>0</v>
      </c>
      <c r="AU166">
        <f>W166-AI166</f>
        <v>0</v>
      </c>
      <c r="AV166">
        <f>X166-AJ166</f>
        <v>0</v>
      </c>
      <c r="AW166">
        <f>Y166-AK166</f>
        <v>0</v>
      </c>
      <c r="AX166">
        <f>Z166-AL166</f>
        <v>0</v>
      </c>
      <c r="AY166">
        <f>AA166-AM166</f>
        <v>0</v>
      </c>
      <c r="AZ166">
        <f>AB166-AN166</f>
        <v>0</v>
      </c>
      <c r="BA166">
        <f>AC166-AO166</f>
        <v>0</v>
      </c>
      <c r="BB166">
        <f>AD166-AP166</f>
        <v>0</v>
      </c>
      <c r="BC166">
        <f>AE166-AQ166</f>
        <v>0</v>
      </c>
      <c r="BD166">
        <f>AF166-AR166</f>
        <v>0</v>
      </c>
      <c r="BE166">
        <f>AG166-AS166</f>
        <v>0</v>
      </c>
    </row>
    <row r="167">
      <c r="A167" t="n">
        <v>137</v>
      </c>
      <c r="B167">
        <f>SUMPRODUCT(ROUND($AT166:$BE166*(1+'Calc base'!$H167:$S167),2))</f>
        <v>0</v>
      </c>
      <c r="C167">
        <f>SUM(J167:U167)</f>
        <v>0</v>
      </c>
      <c r="D167">
        <f>SUM(V167:AG167)</f>
        <v>0</v>
      </c>
      <c r="E167">
        <f>MAX(0,IF(Impostazioni!$B$7="No",'Calc base'!$C167-$C$31,'Calc base'!$C167-C167)+'Calc base'!$G167+'Calc base'!$F167-(B167-C167-D167))</f>
        <v>900</v>
      </c>
      <c r="F167">
        <f>SUM(AH167:AS167)</f>
        <v>0</v>
      </c>
      <c r="G167">
        <f>SUM(AT167:BE167)</f>
        <v>0</v>
      </c>
      <c r="H167">
        <f>B167-G166</f>
        <v>0</v>
      </c>
      <c r="I167">
        <f>B167-G167</f>
        <v>0</v>
      </c>
      <c r="J167">
        <f>IF(AT166&lt;=0,0,IF(ROUND(AT166*(1+'Calc base'!H167),2)-MAX('Calc base'!C$12,ROUND('Calc base'!C$13*AT166,2))&lt;1,ROUND(AT166*(1+'Calc base'!H167),2),MAX('Calc base'!C$12,ROUND('Calc base'!C$13*AT166,2))))</f>
        <v>0</v>
      </c>
      <c r="K167">
        <f>IF(AU166&lt;=0,0,IF(ROUND(AU166*(1+'Calc base'!I167),2)-MAX('Calc base'!D$12,ROUND('Calc base'!D$13*AU166,2))&lt;1,ROUND(AU166*(1+'Calc base'!I167),2),MAX('Calc base'!D$12,ROUND('Calc base'!D$13*AU166,2))))</f>
        <v>0</v>
      </c>
      <c r="L167">
        <f>IF(AV166&lt;=0,0,IF(ROUND(AV166*(1+'Calc base'!J167),2)-MAX('Calc base'!E$12,ROUND('Calc base'!E$13*AV166,2))&lt;1,ROUND(AV166*(1+'Calc base'!J167),2),MAX('Calc base'!E$12,ROUND('Calc base'!E$13*AV166,2))))</f>
        <v>0</v>
      </c>
      <c r="M167">
        <f>IF(AW166&lt;=0,0,IF(ROUND(AW166*(1+'Calc base'!K167),2)-MAX('Calc base'!F$12,ROUND('Calc base'!F$13*AW166,2))&lt;1,ROUND(AW166*(1+'Calc base'!K167),2),MAX('Calc base'!F$12,ROUND('Calc base'!F$13*AW166,2))))</f>
        <v>0</v>
      </c>
      <c r="N167">
        <f>IF(AX166&lt;=0,0,IF(ROUND(AX166*(1+'Calc base'!L167),2)-MAX('Calc base'!G$12,ROUND('Calc base'!G$13*AX166,2))&lt;1,ROUND(AX166*(1+'Calc base'!L167),2),MAX('Calc base'!G$12,ROUND('Calc base'!G$13*AX166,2))))</f>
        <v>0</v>
      </c>
      <c r="O167">
        <f>IF(AY166&lt;=0,0,IF(ROUND(AY166*(1+'Calc base'!M167),2)-MAX('Calc base'!H$12,ROUND('Calc base'!H$13*AY166,2))&lt;1,ROUND(AY166*(1+'Calc base'!M167),2),MAX('Calc base'!H$12,ROUND('Calc base'!H$13*AY166,2))))</f>
        <v>0</v>
      </c>
      <c r="P167">
        <f>IF(AZ166&lt;=0,0,IF(ROUND(AZ166*(1+'Calc base'!N167),2)-MAX('Calc base'!I$12,ROUND('Calc base'!I$13*AZ166,2))&lt;1,ROUND(AZ166*(1+'Calc base'!N167),2),MAX('Calc base'!I$12,ROUND('Calc base'!I$13*AZ166,2))))</f>
        <v>0</v>
      </c>
      <c r="Q167">
        <f>IF(BA166&lt;=0,0,IF(ROUND(BA166*(1+'Calc base'!O167),2)-MAX('Calc base'!J$12,ROUND('Calc base'!J$13*BA166,2))&lt;1,ROUND(BA166*(1+'Calc base'!O167),2),MAX('Calc base'!J$12,ROUND('Calc base'!J$13*BA166,2))))</f>
        <v>0</v>
      </c>
      <c r="R167">
        <f>IF(BB166&lt;=0,0,IF(ROUND(BB166*(1+'Calc base'!P167),2)-MAX('Calc base'!K$12,ROUND('Calc base'!K$13*BB166,2))&lt;1,ROUND(BB166*(1+'Calc base'!P167),2),MAX('Calc base'!K$12,ROUND('Calc base'!K$13*BB166,2))))</f>
        <v>0</v>
      </c>
      <c r="S167">
        <f>IF(BC166&lt;=0,0,IF(ROUND(BC166*(1+'Calc base'!Q167),2)-MAX('Calc base'!L$12,ROUND('Calc base'!L$13*BC166,2))&lt;1,ROUND(BC166*(1+'Calc base'!Q167),2),MAX('Calc base'!L$12,ROUND('Calc base'!L$13*BC166,2))))</f>
        <v>0</v>
      </c>
      <c r="T167">
        <f>IF(BD166&lt;=0,0,IF(ROUND(BD166*(1+'Calc base'!R167),2)-MAX('Calc base'!M$12,ROUND('Calc base'!M$13*BD166,2))&lt;1,ROUND(BD166*(1+'Calc base'!R167),2),MAX('Calc base'!M$12,ROUND('Calc base'!M$13*BD166,2))))</f>
        <v>0</v>
      </c>
      <c r="U167">
        <f>IF(BE166&lt;=0,0,IF(ROUND(BE166*(1+'Calc base'!S167),2)-MAX('Calc base'!N$12,ROUND('Calc base'!N$13*BE166,2))&lt;1,ROUND(BE166*(1+'Calc base'!S167),2),MAX('Calc base'!N$12,ROUND('Calc base'!N$13*BE166,2))))</f>
        <v>0</v>
      </c>
      <c r="V167">
        <f>MAX(0,ROUND(AT166*(1+'Calc base'!H167),2)-J167-'Calc base'!T167)</f>
        <v>0</v>
      </c>
      <c r="W167">
        <f>MAX(0,ROUND(AU166*(1+'Calc base'!I167),2)-K167-'Calc base'!U167)</f>
        <v>0</v>
      </c>
      <c r="X167">
        <f>MAX(0,ROUND(AV166*(1+'Calc base'!J167),2)-L167-'Calc base'!V167)</f>
        <v>0</v>
      </c>
      <c r="Y167">
        <f>MAX(0,ROUND(AW166*(1+'Calc base'!K167),2)-M167-'Calc base'!W167)</f>
        <v>0</v>
      </c>
      <c r="Z167">
        <f>MAX(0,ROUND(AX166*(1+'Calc base'!L167),2)-N167-'Calc base'!X167)</f>
        <v>0</v>
      </c>
      <c r="AA167">
        <f>MAX(0,ROUND(AY166*(1+'Calc base'!M167),2)-O167-'Calc base'!Y167)</f>
        <v>0</v>
      </c>
      <c r="AB167">
        <f>MAX(0,ROUND(AZ166*(1+'Calc base'!N167),2)-P167-'Calc base'!Z167)</f>
        <v>0</v>
      </c>
      <c r="AC167">
        <f>MAX(0,ROUND(BA166*(1+'Calc base'!O167),2)-Q167-'Calc base'!AA167)</f>
        <v>0</v>
      </c>
      <c r="AD167">
        <f>MAX(0,ROUND(BB166*(1+'Calc base'!P167),2)-R167-'Calc base'!AB167)</f>
        <v>0</v>
      </c>
      <c r="AE167">
        <f>MAX(0,ROUND(BC166*(1+'Calc base'!Q167),2)-S167-'Calc base'!AC167)</f>
        <v>0</v>
      </c>
      <c r="AF167">
        <f>MAX(0,ROUND(BD166*(1+'Calc base'!R167),2)-T167-'Calc base'!AD167)</f>
        <v>0</v>
      </c>
      <c r="AG167">
        <f>MAX(0,ROUND(BE166*(1+'Calc base'!S167),2)-U167-'Calc base'!AE167)</f>
        <v>0</v>
      </c>
      <c r="AH167">
        <f>IF('Calc base'!C$14=0,0,MIN(V167,MAX(0,$E167-SUMIFS($V167:$AG167,'Calc base'!$C$19:$N$19,"&lt;"&amp;'Calc base'!C$19,'Calc base'!$C$14:$N$14,1))))</f>
        <v>0</v>
      </c>
      <c r="AI167">
        <f>IF('Calc base'!D$14=0,0,MIN(W167,MAX(0,$E167-SUMIFS($V167:$AG167,'Calc base'!$C$19:$N$19,"&lt;"&amp;'Calc base'!D$19,'Calc base'!$C$14:$N$14,1))))</f>
        <v>0</v>
      </c>
      <c r="AJ167">
        <f>IF('Calc base'!E$14=0,0,MIN(X167,MAX(0,$E167-SUMIFS($V167:$AG167,'Calc base'!$C$19:$N$19,"&lt;"&amp;'Calc base'!E$19,'Calc base'!$C$14:$N$14,1))))</f>
        <v>0</v>
      </c>
      <c r="AK167">
        <f>IF('Calc base'!F$14=0,0,MIN(Y167,MAX(0,$E167-SUMIFS($V167:$AG167,'Calc base'!$C$19:$N$19,"&lt;"&amp;'Calc base'!F$19,'Calc base'!$C$14:$N$14,1))))</f>
        <v>0</v>
      </c>
      <c r="AL167">
        <f>IF('Calc base'!G$14=0,0,MIN(Z167,MAX(0,$E167-SUMIFS($V167:$AG167,'Calc base'!$C$19:$N$19,"&lt;"&amp;'Calc base'!G$19,'Calc base'!$C$14:$N$14,1))))</f>
        <v>0</v>
      </c>
      <c r="AM167">
        <f>IF('Calc base'!H$14=0,0,MIN(AA167,MAX(0,$E167-SUMIFS($V167:$AG167,'Calc base'!$C$19:$N$19,"&lt;"&amp;'Calc base'!H$19,'Calc base'!$C$14:$N$14,1))))</f>
        <v>0</v>
      </c>
      <c r="AN167">
        <f>IF('Calc base'!I$14=0,0,MIN(AB167,MAX(0,$E167-SUMIFS($V167:$AG167,'Calc base'!$C$19:$N$19,"&lt;"&amp;'Calc base'!I$19,'Calc base'!$C$14:$N$14,1))))</f>
        <v>0</v>
      </c>
      <c r="AO167">
        <f>IF('Calc base'!J$14=0,0,MIN(AC167,MAX(0,$E167-SUMIFS($V167:$AG167,'Calc base'!$C$19:$N$19,"&lt;"&amp;'Calc base'!J$19,'Calc base'!$C$14:$N$14,1))))</f>
        <v>0</v>
      </c>
      <c r="AP167">
        <f>IF('Calc base'!K$14=0,0,MIN(AD167,MAX(0,$E167-SUMIFS($V167:$AG167,'Calc base'!$C$19:$N$19,"&lt;"&amp;'Calc base'!K$19,'Calc base'!$C$14:$N$14,1))))</f>
        <v>0</v>
      </c>
      <c r="AQ167">
        <f>IF('Calc base'!L$14=0,0,MIN(AE167,MAX(0,$E167-SUMIFS($V167:$AG167,'Calc base'!$C$19:$N$19,"&lt;"&amp;'Calc base'!L$19,'Calc base'!$C$14:$N$14,1))))</f>
        <v>0</v>
      </c>
      <c r="AR167">
        <f>IF('Calc base'!M$14=0,0,MIN(AF167,MAX(0,$E167-SUMIFS($V167:$AG167,'Calc base'!$C$19:$N$19,"&lt;"&amp;'Calc base'!M$19,'Calc base'!$C$14:$N$14,1))))</f>
        <v>0</v>
      </c>
      <c r="AS167">
        <f>IF('Calc base'!N$14=0,0,MIN(AG167,MAX(0,$E167-SUMIFS($V167:$AG167,'Calc base'!$C$19:$N$19,"&lt;"&amp;'Calc base'!N$19,'Calc base'!$C$14:$N$14,1))))</f>
        <v>0</v>
      </c>
      <c r="AT167">
        <f>V167-AH167</f>
        <v>0</v>
      </c>
      <c r="AU167">
        <f>W167-AI167</f>
        <v>0</v>
      </c>
      <c r="AV167">
        <f>X167-AJ167</f>
        <v>0</v>
      </c>
      <c r="AW167">
        <f>Y167-AK167</f>
        <v>0</v>
      </c>
      <c r="AX167">
        <f>Z167-AL167</f>
        <v>0</v>
      </c>
      <c r="AY167">
        <f>AA167-AM167</f>
        <v>0</v>
      </c>
      <c r="AZ167">
        <f>AB167-AN167</f>
        <v>0</v>
      </c>
      <c r="BA167">
        <f>AC167-AO167</f>
        <v>0</v>
      </c>
      <c r="BB167">
        <f>AD167-AP167</f>
        <v>0</v>
      </c>
      <c r="BC167">
        <f>AE167-AQ167</f>
        <v>0</v>
      </c>
      <c r="BD167">
        <f>AF167-AR167</f>
        <v>0</v>
      </c>
      <c r="BE167">
        <f>AG167-AS167</f>
        <v>0</v>
      </c>
    </row>
    <row r="168">
      <c r="A168" t="n">
        <v>138</v>
      </c>
      <c r="B168">
        <f>SUMPRODUCT(ROUND($AT167:$BE167*(1+'Calc base'!$H168:$S168),2))</f>
        <v>0</v>
      </c>
      <c r="C168">
        <f>SUM(J168:U168)</f>
        <v>0</v>
      </c>
      <c r="D168">
        <f>SUM(V168:AG168)</f>
        <v>0</v>
      </c>
      <c r="E168">
        <f>MAX(0,IF(Impostazioni!$B$7="No",'Calc base'!$C168-$C$31,'Calc base'!$C168-C168)+'Calc base'!$G168+'Calc base'!$F168-(B168-C168-D168))</f>
        <v>900</v>
      </c>
      <c r="F168">
        <f>SUM(AH168:AS168)</f>
        <v>0</v>
      </c>
      <c r="G168">
        <f>SUM(AT168:BE168)</f>
        <v>0</v>
      </c>
      <c r="H168">
        <f>B168-G167</f>
        <v>0</v>
      </c>
      <c r="I168">
        <f>B168-G168</f>
        <v>0</v>
      </c>
      <c r="J168">
        <f>IF(AT167&lt;=0,0,IF(ROUND(AT167*(1+'Calc base'!H168),2)-MAX('Calc base'!C$12,ROUND('Calc base'!C$13*AT167,2))&lt;1,ROUND(AT167*(1+'Calc base'!H168),2),MAX('Calc base'!C$12,ROUND('Calc base'!C$13*AT167,2))))</f>
        <v>0</v>
      </c>
      <c r="K168">
        <f>IF(AU167&lt;=0,0,IF(ROUND(AU167*(1+'Calc base'!I168),2)-MAX('Calc base'!D$12,ROUND('Calc base'!D$13*AU167,2))&lt;1,ROUND(AU167*(1+'Calc base'!I168),2),MAX('Calc base'!D$12,ROUND('Calc base'!D$13*AU167,2))))</f>
        <v>0</v>
      </c>
      <c r="L168">
        <f>IF(AV167&lt;=0,0,IF(ROUND(AV167*(1+'Calc base'!J168),2)-MAX('Calc base'!E$12,ROUND('Calc base'!E$13*AV167,2))&lt;1,ROUND(AV167*(1+'Calc base'!J168),2),MAX('Calc base'!E$12,ROUND('Calc base'!E$13*AV167,2))))</f>
        <v>0</v>
      </c>
      <c r="M168">
        <f>IF(AW167&lt;=0,0,IF(ROUND(AW167*(1+'Calc base'!K168),2)-MAX('Calc base'!F$12,ROUND('Calc base'!F$13*AW167,2))&lt;1,ROUND(AW167*(1+'Calc base'!K168),2),MAX('Calc base'!F$12,ROUND('Calc base'!F$13*AW167,2))))</f>
        <v>0</v>
      </c>
      <c r="N168">
        <f>IF(AX167&lt;=0,0,IF(ROUND(AX167*(1+'Calc base'!L168),2)-MAX('Calc base'!G$12,ROUND('Calc base'!G$13*AX167,2))&lt;1,ROUND(AX167*(1+'Calc base'!L168),2),MAX('Calc base'!G$12,ROUND('Calc base'!G$13*AX167,2))))</f>
        <v>0</v>
      </c>
      <c r="O168">
        <f>IF(AY167&lt;=0,0,IF(ROUND(AY167*(1+'Calc base'!M168),2)-MAX('Calc base'!H$12,ROUND('Calc base'!H$13*AY167,2))&lt;1,ROUND(AY167*(1+'Calc base'!M168),2),MAX('Calc base'!H$12,ROUND('Calc base'!H$13*AY167,2))))</f>
        <v>0</v>
      </c>
      <c r="P168">
        <f>IF(AZ167&lt;=0,0,IF(ROUND(AZ167*(1+'Calc base'!N168),2)-MAX('Calc base'!I$12,ROUND('Calc base'!I$13*AZ167,2))&lt;1,ROUND(AZ167*(1+'Calc base'!N168),2),MAX('Calc base'!I$12,ROUND('Calc base'!I$13*AZ167,2))))</f>
        <v>0</v>
      </c>
      <c r="Q168">
        <f>IF(BA167&lt;=0,0,IF(ROUND(BA167*(1+'Calc base'!O168),2)-MAX('Calc base'!J$12,ROUND('Calc base'!J$13*BA167,2))&lt;1,ROUND(BA167*(1+'Calc base'!O168),2),MAX('Calc base'!J$12,ROUND('Calc base'!J$13*BA167,2))))</f>
        <v>0</v>
      </c>
      <c r="R168">
        <f>IF(BB167&lt;=0,0,IF(ROUND(BB167*(1+'Calc base'!P168),2)-MAX('Calc base'!K$12,ROUND('Calc base'!K$13*BB167,2))&lt;1,ROUND(BB167*(1+'Calc base'!P168),2),MAX('Calc base'!K$12,ROUND('Calc base'!K$13*BB167,2))))</f>
        <v>0</v>
      </c>
      <c r="S168">
        <f>IF(BC167&lt;=0,0,IF(ROUND(BC167*(1+'Calc base'!Q168),2)-MAX('Calc base'!L$12,ROUND('Calc base'!L$13*BC167,2))&lt;1,ROUND(BC167*(1+'Calc base'!Q168),2),MAX('Calc base'!L$12,ROUND('Calc base'!L$13*BC167,2))))</f>
        <v>0</v>
      </c>
      <c r="T168">
        <f>IF(BD167&lt;=0,0,IF(ROUND(BD167*(1+'Calc base'!R168),2)-MAX('Calc base'!M$12,ROUND('Calc base'!M$13*BD167,2))&lt;1,ROUND(BD167*(1+'Calc base'!R168),2),MAX('Calc base'!M$12,ROUND('Calc base'!M$13*BD167,2))))</f>
        <v>0</v>
      </c>
      <c r="U168">
        <f>IF(BE167&lt;=0,0,IF(ROUND(BE167*(1+'Calc base'!S168),2)-MAX('Calc base'!N$12,ROUND('Calc base'!N$13*BE167,2))&lt;1,ROUND(BE167*(1+'Calc base'!S168),2),MAX('Calc base'!N$12,ROUND('Calc base'!N$13*BE167,2))))</f>
        <v>0</v>
      </c>
      <c r="V168">
        <f>MAX(0,ROUND(AT167*(1+'Calc base'!H168),2)-J168-'Calc base'!T168)</f>
        <v>0</v>
      </c>
      <c r="W168">
        <f>MAX(0,ROUND(AU167*(1+'Calc base'!I168),2)-K168-'Calc base'!U168)</f>
        <v>0</v>
      </c>
      <c r="X168">
        <f>MAX(0,ROUND(AV167*(1+'Calc base'!J168),2)-L168-'Calc base'!V168)</f>
        <v>0</v>
      </c>
      <c r="Y168">
        <f>MAX(0,ROUND(AW167*(1+'Calc base'!K168),2)-M168-'Calc base'!W168)</f>
        <v>0</v>
      </c>
      <c r="Z168">
        <f>MAX(0,ROUND(AX167*(1+'Calc base'!L168),2)-N168-'Calc base'!X168)</f>
        <v>0</v>
      </c>
      <c r="AA168">
        <f>MAX(0,ROUND(AY167*(1+'Calc base'!M168),2)-O168-'Calc base'!Y168)</f>
        <v>0</v>
      </c>
      <c r="AB168">
        <f>MAX(0,ROUND(AZ167*(1+'Calc base'!N168),2)-P168-'Calc base'!Z168)</f>
        <v>0</v>
      </c>
      <c r="AC168">
        <f>MAX(0,ROUND(BA167*(1+'Calc base'!O168),2)-Q168-'Calc base'!AA168)</f>
        <v>0</v>
      </c>
      <c r="AD168">
        <f>MAX(0,ROUND(BB167*(1+'Calc base'!P168),2)-R168-'Calc base'!AB168)</f>
        <v>0</v>
      </c>
      <c r="AE168">
        <f>MAX(0,ROUND(BC167*(1+'Calc base'!Q168),2)-S168-'Calc base'!AC168)</f>
        <v>0</v>
      </c>
      <c r="AF168">
        <f>MAX(0,ROUND(BD167*(1+'Calc base'!R168),2)-T168-'Calc base'!AD168)</f>
        <v>0</v>
      </c>
      <c r="AG168">
        <f>MAX(0,ROUND(BE167*(1+'Calc base'!S168),2)-U168-'Calc base'!AE168)</f>
        <v>0</v>
      </c>
      <c r="AH168">
        <f>IF('Calc base'!C$14=0,0,MIN(V168,MAX(0,$E168-SUMIFS($V168:$AG168,'Calc base'!$C$19:$N$19,"&lt;"&amp;'Calc base'!C$19,'Calc base'!$C$14:$N$14,1))))</f>
        <v>0</v>
      </c>
      <c r="AI168">
        <f>IF('Calc base'!D$14=0,0,MIN(W168,MAX(0,$E168-SUMIFS($V168:$AG168,'Calc base'!$C$19:$N$19,"&lt;"&amp;'Calc base'!D$19,'Calc base'!$C$14:$N$14,1))))</f>
        <v>0</v>
      </c>
      <c r="AJ168">
        <f>IF('Calc base'!E$14=0,0,MIN(X168,MAX(0,$E168-SUMIFS($V168:$AG168,'Calc base'!$C$19:$N$19,"&lt;"&amp;'Calc base'!E$19,'Calc base'!$C$14:$N$14,1))))</f>
        <v>0</v>
      </c>
      <c r="AK168">
        <f>IF('Calc base'!F$14=0,0,MIN(Y168,MAX(0,$E168-SUMIFS($V168:$AG168,'Calc base'!$C$19:$N$19,"&lt;"&amp;'Calc base'!F$19,'Calc base'!$C$14:$N$14,1))))</f>
        <v>0</v>
      </c>
      <c r="AL168">
        <f>IF('Calc base'!G$14=0,0,MIN(Z168,MAX(0,$E168-SUMIFS($V168:$AG168,'Calc base'!$C$19:$N$19,"&lt;"&amp;'Calc base'!G$19,'Calc base'!$C$14:$N$14,1))))</f>
        <v>0</v>
      </c>
      <c r="AM168">
        <f>IF('Calc base'!H$14=0,0,MIN(AA168,MAX(0,$E168-SUMIFS($V168:$AG168,'Calc base'!$C$19:$N$19,"&lt;"&amp;'Calc base'!H$19,'Calc base'!$C$14:$N$14,1))))</f>
        <v>0</v>
      </c>
      <c r="AN168">
        <f>IF('Calc base'!I$14=0,0,MIN(AB168,MAX(0,$E168-SUMIFS($V168:$AG168,'Calc base'!$C$19:$N$19,"&lt;"&amp;'Calc base'!I$19,'Calc base'!$C$14:$N$14,1))))</f>
        <v>0</v>
      </c>
      <c r="AO168">
        <f>IF('Calc base'!J$14=0,0,MIN(AC168,MAX(0,$E168-SUMIFS($V168:$AG168,'Calc base'!$C$19:$N$19,"&lt;"&amp;'Calc base'!J$19,'Calc base'!$C$14:$N$14,1))))</f>
        <v>0</v>
      </c>
      <c r="AP168">
        <f>IF('Calc base'!K$14=0,0,MIN(AD168,MAX(0,$E168-SUMIFS($V168:$AG168,'Calc base'!$C$19:$N$19,"&lt;"&amp;'Calc base'!K$19,'Calc base'!$C$14:$N$14,1))))</f>
        <v>0</v>
      </c>
      <c r="AQ168">
        <f>IF('Calc base'!L$14=0,0,MIN(AE168,MAX(0,$E168-SUMIFS($V168:$AG168,'Calc base'!$C$19:$N$19,"&lt;"&amp;'Calc base'!L$19,'Calc base'!$C$14:$N$14,1))))</f>
        <v>0</v>
      </c>
      <c r="AR168">
        <f>IF('Calc base'!M$14=0,0,MIN(AF168,MAX(0,$E168-SUMIFS($V168:$AG168,'Calc base'!$C$19:$N$19,"&lt;"&amp;'Calc base'!M$19,'Calc base'!$C$14:$N$14,1))))</f>
        <v>0</v>
      </c>
      <c r="AS168">
        <f>IF('Calc base'!N$14=0,0,MIN(AG168,MAX(0,$E168-SUMIFS($V168:$AG168,'Calc base'!$C$19:$N$19,"&lt;"&amp;'Calc base'!N$19,'Calc base'!$C$14:$N$14,1))))</f>
        <v>0</v>
      </c>
      <c r="AT168">
        <f>V168-AH168</f>
        <v>0</v>
      </c>
      <c r="AU168">
        <f>W168-AI168</f>
        <v>0</v>
      </c>
      <c r="AV168">
        <f>X168-AJ168</f>
        <v>0</v>
      </c>
      <c r="AW168">
        <f>Y168-AK168</f>
        <v>0</v>
      </c>
      <c r="AX168">
        <f>Z168-AL168</f>
        <v>0</v>
      </c>
      <c r="AY168">
        <f>AA168-AM168</f>
        <v>0</v>
      </c>
      <c r="AZ168">
        <f>AB168-AN168</f>
        <v>0</v>
      </c>
      <c r="BA168">
        <f>AC168-AO168</f>
        <v>0</v>
      </c>
      <c r="BB168">
        <f>AD168-AP168</f>
        <v>0</v>
      </c>
      <c r="BC168">
        <f>AE168-AQ168</f>
        <v>0</v>
      </c>
      <c r="BD168">
        <f>AF168-AR168</f>
        <v>0</v>
      </c>
      <c r="BE168">
        <f>AG168-AS168</f>
        <v>0</v>
      </c>
    </row>
    <row r="169">
      <c r="A169" t="n">
        <v>139</v>
      </c>
      <c r="B169">
        <f>SUMPRODUCT(ROUND($AT168:$BE168*(1+'Calc base'!$H169:$S169),2))</f>
        <v>0</v>
      </c>
      <c r="C169">
        <f>SUM(J169:U169)</f>
        <v>0</v>
      </c>
      <c r="D169">
        <f>SUM(V169:AG169)</f>
        <v>0</v>
      </c>
      <c r="E169">
        <f>MAX(0,IF(Impostazioni!$B$7="No",'Calc base'!$C169-$C$31,'Calc base'!$C169-C169)+'Calc base'!$G169+'Calc base'!$F169-(B169-C169-D169))</f>
        <v>900</v>
      </c>
      <c r="F169">
        <f>SUM(AH169:AS169)</f>
        <v>0</v>
      </c>
      <c r="G169">
        <f>SUM(AT169:BE169)</f>
        <v>0</v>
      </c>
      <c r="H169">
        <f>B169-G168</f>
        <v>0</v>
      </c>
      <c r="I169">
        <f>B169-G169</f>
        <v>0</v>
      </c>
      <c r="J169">
        <f>IF(AT168&lt;=0,0,IF(ROUND(AT168*(1+'Calc base'!H169),2)-MAX('Calc base'!C$12,ROUND('Calc base'!C$13*AT168,2))&lt;1,ROUND(AT168*(1+'Calc base'!H169),2),MAX('Calc base'!C$12,ROUND('Calc base'!C$13*AT168,2))))</f>
        <v>0</v>
      </c>
      <c r="K169">
        <f>IF(AU168&lt;=0,0,IF(ROUND(AU168*(1+'Calc base'!I169),2)-MAX('Calc base'!D$12,ROUND('Calc base'!D$13*AU168,2))&lt;1,ROUND(AU168*(1+'Calc base'!I169),2),MAX('Calc base'!D$12,ROUND('Calc base'!D$13*AU168,2))))</f>
        <v>0</v>
      </c>
      <c r="L169">
        <f>IF(AV168&lt;=0,0,IF(ROUND(AV168*(1+'Calc base'!J169),2)-MAX('Calc base'!E$12,ROUND('Calc base'!E$13*AV168,2))&lt;1,ROUND(AV168*(1+'Calc base'!J169),2),MAX('Calc base'!E$12,ROUND('Calc base'!E$13*AV168,2))))</f>
        <v>0</v>
      </c>
      <c r="M169">
        <f>IF(AW168&lt;=0,0,IF(ROUND(AW168*(1+'Calc base'!K169),2)-MAX('Calc base'!F$12,ROUND('Calc base'!F$13*AW168,2))&lt;1,ROUND(AW168*(1+'Calc base'!K169),2),MAX('Calc base'!F$12,ROUND('Calc base'!F$13*AW168,2))))</f>
        <v>0</v>
      </c>
      <c r="N169">
        <f>IF(AX168&lt;=0,0,IF(ROUND(AX168*(1+'Calc base'!L169),2)-MAX('Calc base'!G$12,ROUND('Calc base'!G$13*AX168,2))&lt;1,ROUND(AX168*(1+'Calc base'!L169),2),MAX('Calc base'!G$12,ROUND('Calc base'!G$13*AX168,2))))</f>
        <v>0</v>
      </c>
      <c r="O169">
        <f>IF(AY168&lt;=0,0,IF(ROUND(AY168*(1+'Calc base'!M169),2)-MAX('Calc base'!H$12,ROUND('Calc base'!H$13*AY168,2))&lt;1,ROUND(AY168*(1+'Calc base'!M169),2),MAX('Calc base'!H$12,ROUND('Calc base'!H$13*AY168,2))))</f>
        <v>0</v>
      </c>
      <c r="P169">
        <f>IF(AZ168&lt;=0,0,IF(ROUND(AZ168*(1+'Calc base'!N169),2)-MAX('Calc base'!I$12,ROUND('Calc base'!I$13*AZ168,2))&lt;1,ROUND(AZ168*(1+'Calc base'!N169),2),MAX('Calc base'!I$12,ROUND('Calc base'!I$13*AZ168,2))))</f>
        <v>0</v>
      </c>
      <c r="Q169">
        <f>IF(BA168&lt;=0,0,IF(ROUND(BA168*(1+'Calc base'!O169),2)-MAX('Calc base'!J$12,ROUND('Calc base'!J$13*BA168,2))&lt;1,ROUND(BA168*(1+'Calc base'!O169),2),MAX('Calc base'!J$12,ROUND('Calc base'!J$13*BA168,2))))</f>
        <v>0</v>
      </c>
      <c r="R169">
        <f>IF(BB168&lt;=0,0,IF(ROUND(BB168*(1+'Calc base'!P169),2)-MAX('Calc base'!K$12,ROUND('Calc base'!K$13*BB168,2))&lt;1,ROUND(BB168*(1+'Calc base'!P169),2),MAX('Calc base'!K$12,ROUND('Calc base'!K$13*BB168,2))))</f>
        <v>0</v>
      </c>
      <c r="S169">
        <f>IF(BC168&lt;=0,0,IF(ROUND(BC168*(1+'Calc base'!Q169),2)-MAX('Calc base'!L$12,ROUND('Calc base'!L$13*BC168,2))&lt;1,ROUND(BC168*(1+'Calc base'!Q169),2),MAX('Calc base'!L$12,ROUND('Calc base'!L$13*BC168,2))))</f>
        <v>0</v>
      </c>
      <c r="T169">
        <f>IF(BD168&lt;=0,0,IF(ROUND(BD168*(1+'Calc base'!R169),2)-MAX('Calc base'!M$12,ROUND('Calc base'!M$13*BD168,2))&lt;1,ROUND(BD168*(1+'Calc base'!R169),2),MAX('Calc base'!M$12,ROUND('Calc base'!M$13*BD168,2))))</f>
        <v>0</v>
      </c>
      <c r="U169">
        <f>IF(BE168&lt;=0,0,IF(ROUND(BE168*(1+'Calc base'!S169),2)-MAX('Calc base'!N$12,ROUND('Calc base'!N$13*BE168,2))&lt;1,ROUND(BE168*(1+'Calc base'!S169),2),MAX('Calc base'!N$12,ROUND('Calc base'!N$13*BE168,2))))</f>
        <v>0</v>
      </c>
      <c r="V169">
        <f>MAX(0,ROUND(AT168*(1+'Calc base'!H169),2)-J169-'Calc base'!T169)</f>
        <v>0</v>
      </c>
      <c r="W169">
        <f>MAX(0,ROUND(AU168*(1+'Calc base'!I169),2)-K169-'Calc base'!U169)</f>
        <v>0</v>
      </c>
      <c r="X169">
        <f>MAX(0,ROUND(AV168*(1+'Calc base'!J169),2)-L169-'Calc base'!V169)</f>
        <v>0</v>
      </c>
      <c r="Y169">
        <f>MAX(0,ROUND(AW168*(1+'Calc base'!K169),2)-M169-'Calc base'!W169)</f>
        <v>0</v>
      </c>
      <c r="Z169">
        <f>MAX(0,ROUND(AX168*(1+'Calc base'!L169),2)-N169-'Calc base'!X169)</f>
        <v>0</v>
      </c>
      <c r="AA169">
        <f>MAX(0,ROUND(AY168*(1+'Calc base'!M169),2)-O169-'Calc base'!Y169)</f>
        <v>0</v>
      </c>
      <c r="AB169">
        <f>MAX(0,ROUND(AZ168*(1+'Calc base'!N169),2)-P169-'Calc base'!Z169)</f>
        <v>0</v>
      </c>
      <c r="AC169">
        <f>MAX(0,ROUND(BA168*(1+'Calc base'!O169),2)-Q169-'Calc base'!AA169)</f>
        <v>0</v>
      </c>
      <c r="AD169">
        <f>MAX(0,ROUND(BB168*(1+'Calc base'!P169),2)-R169-'Calc base'!AB169)</f>
        <v>0</v>
      </c>
      <c r="AE169">
        <f>MAX(0,ROUND(BC168*(1+'Calc base'!Q169),2)-S169-'Calc base'!AC169)</f>
        <v>0</v>
      </c>
      <c r="AF169">
        <f>MAX(0,ROUND(BD168*(1+'Calc base'!R169),2)-T169-'Calc base'!AD169)</f>
        <v>0</v>
      </c>
      <c r="AG169">
        <f>MAX(0,ROUND(BE168*(1+'Calc base'!S169),2)-U169-'Calc base'!AE169)</f>
        <v>0</v>
      </c>
      <c r="AH169">
        <f>IF('Calc base'!C$14=0,0,MIN(V169,MAX(0,$E169-SUMIFS($V169:$AG169,'Calc base'!$C$19:$N$19,"&lt;"&amp;'Calc base'!C$19,'Calc base'!$C$14:$N$14,1))))</f>
        <v>0</v>
      </c>
      <c r="AI169">
        <f>IF('Calc base'!D$14=0,0,MIN(W169,MAX(0,$E169-SUMIFS($V169:$AG169,'Calc base'!$C$19:$N$19,"&lt;"&amp;'Calc base'!D$19,'Calc base'!$C$14:$N$14,1))))</f>
        <v>0</v>
      </c>
      <c r="AJ169">
        <f>IF('Calc base'!E$14=0,0,MIN(X169,MAX(0,$E169-SUMIFS($V169:$AG169,'Calc base'!$C$19:$N$19,"&lt;"&amp;'Calc base'!E$19,'Calc base'!$C$14:$N$14,1))))</f>
        <v>0</v>
      </c>
      <c r="AK169">
        <f>IF('Calc base'!F$14=0,0,MIN(Y169,MAX(0,$E169-SUMIFS($V169:$AG169,'Calc base'!$C$19:$N$19,"&lt;"&amp;'Calc base'!F$19,'Calc base'!$C$14:$N$14,1))))</f>
        <v>0</v>
      </c>
      <c r="AL169">
        <f>IF('Calc base'!G$14=0,0,MIN(Z169,MAX(0,$E169-SUMIFS($V169:$AG169,'Calc base'!$C$19:$N$19,"&lt;"&amp;'Calc base'!G$19,'Calc base'!$C$14:$N$14,1))))</f>
        <v>0</v>
      </c>
      <c r="AM169">
        <f>IF('Calc base'!H$14=0,0,MIN(AA169,MAX(0,$E169-SUMIFS($V169:$AG169,'Calc base'!$C$19:$N$19,"&lt;"&amp;'Calc base'!H$19,'Calc base'!$C$14:$N$14,1))))</f>
        <v>0</v>
      </c>
      <c r="AN169">
        <f>IF('Calc base'!I$14=0,0,MIN(AB169,MAX(0,$E169-SUMIFS($V169:$AG169,'Calc base'!$C$19:$N$19,"&lt;"&amp;'Calc base'!I$19,'Calc base'!$C$14:$N$14,1))))</f>
        <v>0</v>
      </c>
      <c r="AO169">
        <f>IF('Calc base'!J$14=0,0,MIN(AC169,MAX(0,$E169-SUMIFS($V169:$AG169,'Calc base'!$C$19:$N$19,"&lt;"&amp;'Calc base'!J$19,'Calc base'!$C$14:$N$14,1))))</f>
        <v>0</v>
      </c>
      <c r="AP169">
        <f>IF('Calc base'!K$14=0,0,MIN(AD169,MAX(0,$E169-SUMIFS($V169:$AG169,'Calc base'!$C$19:$N$19,"&lt;"&amp;'Calc base'!K$19,'Calc base'!$C$14:$N$14,1))))</f>
        <v>0</v>
      </c>
      <c r="AQ169">
        <f>IF('Calc base'!L$14=0,0,MIN(AE169,MAX(0,$E169-SUMIFS($V169:$AG169,'Calc base'!$C$19:$N$19,"&lt;"&amp;'Calc base'!L$19,'Calc base'!$C$14:$N$14,1))))</f>
        <v>0</v>
      </c>
      <c r="AR169">
        <f>IF('Calc base'!M$14=0,0,MIN(AF169,MAX(0,$E169-SUMIFS($V169:$AG169,'Calc base'!$C$19:$N$19,"&lt;"&amp;'Calc base'!M$19,'Calc base'!$C$14:$N$14,1))))</f>
        <v>0</v>
      </c>
      <c r="AS169">
        <f>IF('Calc base'!N$14=0,0,MIN(AG169,MAX(0,$E169-SUMIFS($V169:$AG169,'Calc base'!$C$19:$N$19,"&lt;"&amp;'Calc base'!N$19,'Calc base'!$C$14:$N$14,1))))</f>
        <v>0</v>
      </c>
      <c r="AT169">
        <f>V169-AH169</f>
        <v>0</v>
      </c>
      <c r="AU169">
        <f>W169-AI169</f>
        <v>0</v>
      </c>
      <c r="AV169">
        <f>X169-AJ169</f>
        <v>0</v>
      </c>
      <c r="AW169">
        <f>Y169-AK169</f>
        <v>0</v>
      </c>
      <c r="AX169">
        <f>Z169-AL169</f>
        <v>0</v>
      </c>
      <c r="AY169">
        <f>AA169-AM169</f>
        <v>0</v>
      </c>
      <c r="AZ169">
        <f>AB169-AN169</f>
        <v>0</v>
      </c>
      <c r="BA169">
        <f>AC169-AO169</f>
        <v>0</v>
      </c>
      <c r="BB169">
        <f>AD169-AP169</f>
        <v>0</v>
      </c>
      <c r="BC169">
        <f>AE169-AQ169</f>
        <v>0</v>
      </c>
      <c r="BD169">
        <f>AF169-AR169</f>
        <v>0</v>
      </c>
      <c r="BE169">
        <f>AG169-AS169</f>
        <v>0</v>
      </c>
    </row>
    <row r="170">
      <c r="A170" t="n">
        <v>140</v>
      </c>
      <c r="B170">
        <f>SUMPRODUCT(ROUND($AT169:$BE169*(1+'Calc base'!$H170:$S170),2))</f>
        <v>0</v>
      </c>
      <c r="C170">
        <f>SUM(J170:U170)</f>
        <v>0</v>
      </c>
      <c r="D170">
        <f>SUM(V170:AG170)</f>
        <v>0</v>
      </c>
      <c r="E170">
        <f>MAX(0,IF(Impostazioni!$B$7="No",'Calc base'!$C170-$C$31,'Calc base'!$C170-C170)+'Calc base'!$G170+'Calc base'!$F170-(B170-C170-D170))</f>
        <v>900</v>
      </c>
      <c r="F170">
        <f>SUM(AH170:AS170)</f>
        <v>0</v>
      </c>
      <c r="G170">
        <f>SUM(AT170:BE170)</f>
        <v>0</v>
      </c>
      <c r="H170">
        <f>B170-G169</f>
        <v>0</v>
      </c>
      <c r="I170">
        <f>B170-G170</f>
        <v>0</v>
      </c>
      <c r="J170">
        <f>IF(AT169&lt;=0,0,IF(ROUND(AT169*(1+'Calc base'!H170),2)-MAX('Calc base'!C$12,ROUND('Calc base'!C$13*AT169,2))&lt;1,ROUND(AT169*(1+'Calc base'!H170),2),MAX('Calc base'!C$12,ROUND('Calc base'!C$13*AT169,2))))</f>
        <v>0</v>
      </c>
      <c r="K170">
        <f>IF(AU169&lt;=0,0,IF(ROUND(AU169*(1+'Calc base'!I170),2)-MAX('Calc base'!D$12,ROUND('Calc base'!D$13*AU169,2))&lt;1,ROUND(AU169*(1+'Calc base'!I170),2),MAX('Calc base'!D$12,ROUND('Calc base'!D$13*AU169,2))))</f>
        <v>0</v>
      </c>
      <c r="L170">
        <f>IF(AV169&lt;=0,0,IF(ROUND(AV169*(1+'Calc base'!J170),2)-MAX('Calc base'!E$12,ROUND('Calc base'!E$13*AV169,2))&lt;1,ROUND(AV169*(1+'Calc base'!J170),2),MAX('Calc base'!E$12,ROUND('Calc base'!E$13*AV169,2))))</f>
        <v>0</v>
      </c>
      <c r="M170">
        <f>IF(AW169&lt;=0,0,IF(ROUND(AW169*(1+'Calc base'!K170),2)-MAX('Calc base'!F$12,ROUND('Calc base'!F$13*AW169,2))&lt;1,ROUND(AW169*(1+'Calc base'!K170),2),MAX('Calc base'!F$12,ROUND('Calc base'!F$13*AW169,2))))</f>
        <v>0</v>
      </c>
      <c r="N170">
        <f>IF(AX169&lt;=0,0,IF(ROUND(AX169*(1+'Calc base'!L170),2)-MAX('Calc base'!G$12,ROUND('Calc base'!G$13*AX169,2))&lt;1,ROUND(AX169*(1+'Calc base'!L170),2),MAX('Calc base'!G$12,ROUND('Calc base'!G$13*AX169,2))))</f>
        <v>0</v>
      </c>
      <c r="O170">
        <f>IF(AY169&lt;=0,0,IF(ROUND(AY169*(1+'Calc base'!M170),2)-MAX('Calc base'!H$12,ROUND('Calc base'!H$13*AY169,2))&lt;1,ROUND(AY169*(1+'Calc base'!M170),2),MAX('Calc base'!H$12,ROUND('Calc base'!H$13*AY169,2))))</f>
        <v>0</v>
      </c>
      <c r="P170">
        <f>IF(AZ169&lt;=0,0,IF(ROUND(AZ169*(1+'Calc base'!N170),2)-MAX('Calc base'!I$12,ROUND('Calc base'!I$13*AZ169,2))&lt;1,ROUND(AZ169*(1+'Calc base'!N170),2),MAX('Calc base'!I$12,ROUND('Calc base'!I$13*AZ169,2))))</f>
        <v>0</v>
      </c>
      <c r="Q170">
        <f>IF(BA169&lt;=0,0,IF(ROUND(BA169*(1+'Calc base'!O170),2)-MAX('Calc base'!J$12,ROUND('Calc base'!J$13*BA169,2))&lt;1,ROUND(BA169*(1+'Calc base'!O170),2),MAX('Calc base'!J$12,ROUND('Calc base'!J$13*BA169,2))))</f>
        <v>0</v>
      </c>
      <c r="R170">
        <f>IF(BB169&lt;=0,0,IF(ROUND(BB169*(1+'Calc base'!P170),2)-MAX('Calc base'!K$12,ROUND('Calc base'!K$13*BB169,2))&lt;1,ROUND(BB169*(1+'Calc base'!P170),2),MAX('Calc base'!K$12,ROUND('Calc base'!K$13*BB169,2))))</f>
        <v>0</v>
      </c>
      <c r="S170">
        <f>IF(BC169&lt;=0,0,IF(ROUND(BC169*(1+'Calc base'!Q170),2)-MAX('Calc base'!L$12,ROUND('Calc base'!L$13*BC169,2))&lt;1,ROUND(BC169*(1+'Calc base'!Q170),2),MAX('Calc base'!L$12,ROUND('Calc base'!L$13*BC169,2))))</f>
        <v>0</v>
      </c>
      <c r="T170">
        <f>IF(BD169&lt;=0,0,IF(ROUND(BD169*(1+'Calc base'!R170),2)-MAX('Calc base'!M$12,ROUND('Calc base'!M$13*BD169,2))&lt;1,ROUND(BD169*(1+'Calc base'!R170),2),MAX('Calc base'!M$12,ROUND('Calc base'!M$13*BD169,2))))</f>
        <v>0</v>
      </c>
      <c r="U170">
        <f>IF(BE169&lt;=0,0,IF(ROUND(BE169*(1+'Calc base'!S170),2)-MAX('Calc base'!N$12,ROUND('Calc base'!N$13*BE169,2))&lt;1,ROUND(BE169*(1+'Calc base'!S170),2),MAX('Calc base'!N$12,ROUND('Calc base'!N$13*BE169,2))))</f>
        <v>0</v>
      </c>
      <c r="V170">
        <f>MAX(0,ROUND(AT169*(1+'Calc base'!H170),2)-J170-'Calc base'!T170)</f>
        <v>0</v>
      </c>
      <c r="W170">
        <f>MAX(0,ROUND(AU169*(1+'Calc base'!I170),2)-K170-'Calc base'!U170)</f>
        <v>0</v>
      </c>
      <c r="X170">
        <f>MAX(0,ROUND(AV169*(1+'Calc base'!J170),2)-L170-'Calc base'!V170)</f>
        <v>0</v>
      </c>
      <c r="Y170">
        <f>MAX(0,ROUND(AW169*(1+'Calc base'!K170),2)-M170-'Calc base'!W170)</f>
        <v>0</v>
      </c>
      <c r="Z170">
        <f>MAX(0,ROUND(AX169*(1+'Calc base'!L170),2)-N170-'Calc base'!X170)</f>
        <v>0</v>
      </c>
      <c r="AA170">
        <f>MAX(0,ROUND(AY169*(1+'Calc base'!M170),2)-O170-'Calc base'!Y170)</f>
        <v>0</v>
      </c>
      <c r="AB170">
        <f>MAX(0,ROUND(AZ169*(1+'Calc base'!N170),2)-P170-'Calc base'!Z170)</f>
        <v>0</v>
      </c>
      <c r="AC170">
        <f>MAX(0,ROUND(BA169*(1+'Calc base'!O170),2)-Q170-'Calc base'!AA170)</f>
        <v>0</v>
      </c>
      <c r="AD170">
        <f>MAX(0,ROUND(BB169*(1+'Calc base'!P170),2)-R170-'Calc base'!AB170)</f>
        <v>0</v>
      </c>
      <c r="AE170">
        <f>MAX(0,ROUND(BC169*(1+'Calc base'!Q170),2)-S170-'Calc base'!AC170)</f>
        <v>0</v>
      </c>
      <c r="AF170">
        <f>MAX(0,ROUND(BD169*(1+'Calc base'!R170),2)-T170-'Calc base'!AD170)</f>
        <v>0</v>
      </c>
      <c r="AG170">
        <f>MAX(0,ROUND(BE169*(1+'Calc base'!S170),2)-U170-'Calc base'!AE170)</f>
        <v>0</v>
      </c>
      <c r="AH170">
        <f>IF('Calc base'!C$14=0,0,MIN(V170,MAX(0,$E170-SUMIFS($V170:$AG170,'Calc base'!$C$19:$N$19,"&lt;"&amp;'Calc base'!C$19,'Calc base'!$C$14:$N$14,1))))</f>
        <v>0</v>
      </c>
      <c r="AI170">
        <f>IF('Calc base'!D$14=0,0,MIN(W170,MAX(0,$E170-SUMIFS($V170:$AG170,'Calc base'!$C$19:$N$19,"&lt;"&amp;'Calc base'!D$19,'Calc base'!$C$14:$N$14,1))))</f>
        <v>0</v>
      </c>
      <c r="AJ170">
        <f>IF('Calc base'!E$14=0,0,MIN(X170,MAX(0,$E170-SUMIFS($V170:$AG170,'Calc base'!$C$19:$N$19,"&lt;"&amp;'Calc base'!E$19,'Calc base'!$C$14:$N$14,1))))</f>
        <v>0</v>
      </c>
      <c r="AK170">
        <f>IF('Calc base'!F$14=0,0,MIN(Y170,MAX(0,$E170-SUMIFS($V170:$AG170,'Calc base'!$C$19:$N$19,"&lt;"&amp;'Calc base'!F$19,'Calc base'!$C$14:$N$14,1))))</f>
        <v>0</v>
      </c>
      <c r="AL170">
        <f>IF('Calc base'!G$14=0,0,MIN(Z170,MAX(0,$E170-SUMIFS($V170:$AG170,'Calc base'!$C$19:$N$19,"&lt;"&amp;'Calc base'!G$19,'Calc base'!$C$14:$N$14,1))))</f>
        <v>0</v>
      </c>
      <c r="AM170">
        <f>IF('Calc base'!H$14=0,0,MIN(AA170,MAX(0,$E170-SUMIFS($V170:$AG170,'Calc base'!$C$19:$N$19,"&lt;"&amp;'Calc base'!H$19,'Calc base'!$C$14:$N$14,1))))</f>
        <v>0</v>
      </c>
      <c r="AN170">
        <f>IF('Calc base'!I$14=0,0,MIN(AB170,MAX(0,$E170-SUMIFS($V170:$AG170,'Calc base'!$C$19:$N$19,"&lt;"&amp;'Calc base'!I$19,'Calc base'!$C$14:$N$14,1))))</f>
        <v>0</v>
      </c>
      <c r="AO170">
        <f>IF('Calc base'!J$14=0,0,MIN(AC170,MAX(0,$E170-SUMIFS($V170:$AG170,'Calc base'!$C$19:$N$19,"&lt;"&amp;'Calc base'!J$19,'Calc base'!$C$14:$N$14,1))))</f>
        <v>0</v>
      </c>
      <c r="AP170">
        <f>IF('Calc base'!K$14=0,0,MIN(AD170,MAX(0,$E170-SUMIFS($V170:$AG170,'Calc base'!$C$19:$N$19,"&lt;"&amp;'Calc base'!K$19,'Calc base'!$C$14:$N$14,1))))</f>
        <v>0</v>
      </c>
      <c r="AQ170">
        <f>IF('Calc base'!L$14=0,0,MIN(AE170,MAX(0,$E170-SUMIFS($V170:$AG170,'Calc base'!$C$19:$N$19,"&lt;"&amp;'Calc base'!L$19,'Calc base'!$C$14:$N$14,1))))</f>
        <v>0</v>
      </c>
      <c r="AR170">
        <f>IF('Calc base'!M$14=0,0,MIN(AF170,MAX(0,$E170-SUMIFS($V170:$AG170,'Calc base'!$C$19:$N$19,"&lt;"&amp;'Calc base'!M$19,'Calc base'!$C$14:$N$14,1))))</f>
        <v>0</v>
      </c>
      <c r="AS170">
        <f>IF('Calc base'!N$14=0,0,MIN(AG170,MAX(0,$E170-SUMIFS($V170:$AG170,'Calc base'!$C$19:$N$19,"&lt;"&amp;'Calc base'!N$19,'Calc base'!$C$14:$N$14,1))))</f>
        <v>0</v>
      </c>
      <c r="AT170">
        <f>V170-AH170</f>
        <v>0</v>
      </c>
      <c r="AU170">
        <f>W170-AI170</f>
        <v>0</v>
      </c>
      <c r="AV170">
        <f>X170-AJ170</f>
        <v>0</v>
      </c>
      <c r="AW170">
        <f>Y170-AK170</f>
        <v>0</v>
      </c>
      <c r="AX170">
        <f>Z170-AL170</f>
        <v>0</v>
      </c>
      <c r="AY170">
        <f>AA170-AM170</f>
        <v>0</v>
      </c>
      <c r="AZ170">
        <f>AB170-AN170</f>
        <v>0</v>
      </c>
      <c r="BA170">
        <f>AC170-AO170</f>
        <v>0</v>
      </c>
      <c r="BB170">
        <f>AD170-AP170</f>
        <v>0</v>
      </c>
      <c r="BC170">
        <f>AE170-AQ170</f>
        <v>0</v>
      </c>
      <c r="BD170">
        <f>AF170-AR170</f>
        <v>0</v>
      </c>
      <c r="BE170">
        <f>AG170-AS170</f>
        <v>0</v>
      </c>
    </row>
    <row r="171">
      <c r="A171" t="n">
        <v>141</v>
      </c>
      <c r="B171">
        <f>SUMPRODUCT(ROUND($AT170:$BE170*(1+'Calc base'!$H171:$S171),2))</f>
        <v>0</v>
      </c>
      <c r="C171">
        <f>SUM(J171:U171)</f>
        <v>0</v>
      </c>
      <c r="D171">
        <f>SUM(V171:AG171)</f>
        <v>0</v>
      </c>
      <c r="E171">
        <f>MAX(0,IF(Impostazioni!$B$7="No",'Calc base'!$C171-$C$31,'Calc base'!$C171-C171)+'Calc base'!$G171+'Calc base'!$F171-(B171-C171-D171))</f>
        <v>900</v>
      </c>
      <c r="F171">
        <f>SUM(AH171:AS171)</f>
        <v>0</v>
      </c>
      <c r="G171">
        <f>SUM(AT171:BE171)</f>
        <v>0</v>
      </c>
      <c r="H171">
        <f>B171-G170</f>
        <v>0</v>
      </c>
      <c r="I171">
        <f>B171-G171</f>
        <v>0</v>
      </c>
      <c r="J171">
        <f>IF(AT170&lt;=0,0,IF(ROUND(AT170*(1+'Calc base'!H171),2)-MAX('Calc base'!C$12,ROUND('Calc base'!C$13*AT170,2))&lt;1,ROUND(AT170*(1+'Calc base'!H171),2),MAX('Calc base'!C$12,ROUND('Calc base'!C$13*AT170,2))))</f>
        <v>0</v>
      </c>
      <c r="K171">
        <f>IF(AU170&lt;=0,0,IF(ROUND(AU170*(1+'Calc base'!I171),2)-MAX('Calc base'!D$12,ROUND('Calc base'!D$13*AU170,2))&lt;1,ROUND(AU170*(1+'Calc base'!I171),2),MAX('Calc base'!D$12,ROUND('Calc base'!D$13*AU170,2))))</f>
        <v>0</v>
      </c>
      <c r="L171">
        <f>IF(AV170&lt;=0,0,IF(ROUND(AV170*(1+'Calc base'!J171),2)-MAX('Calc base'!E$12,ROUND('Calc base'!E$13*AV170,2))&lt;1,ROUND(AV170*(1+'Calc base'!J171),2),MAX('Calc base'!E$12,ROUND('Calc base'!E$13*AV170,2))))</f>
        <v>0</v>
      </c>
      <c r="M171">
        <f>IF(AW170&lt;=0,0,IF(ROUND(AW170*(1+'Calc base'!K171),2)-MAX('Calc base'!F$12,ROUND('Calc base'!F$13*AW170,2))&lt;1,ROUND(AW170*(1+'Calc base'!K171),2),MAX('Calc base'!F$12,ROUND('Calc base'!F$13*AW170,2))))</f>
        <v>0</v>
      </c>
      <c r="N171">
        <f>IF(AX170&lt;=0,0,IF(ROUND(AX170*(1+'Calc base'!L171),2)-MAX('Calc base'!G$12,ROUND('Calc base'!G$13*AX170,2))&lt;1,ROUND(AX170*(1+'Calc base'!L171),2),MAX('Calc base'!G$12,ROUND('Calc base'!G$13*AX170,2))))</f>
        <v>0</v>
      </c>
      <c r="O171">
        <f>IF(AY170&lt;=0,0,IF(ROUND(AY170*(1+'Calc base'!M171),2)-MAX('Calc base'!H$12,ROUND('Calc base'!H$13*AY170,2))&lt;1,ROUND(AY170*(1+'Calc base'!M171),2),MAX('Calc base'!H$12,ROUND('Calc base'!H$13*AY170,2))))</f>
        <v>0</v>
      </c>
      <c r="P171">
        <f>IF(AZ170&lt;=0,0,IF(ROUND(AZ170*(1+'Calc base'!N171),2)-MAX('Calc base'!I$12,ROUND('Calc base'!I$13*AZ170,2))&lt;1,ROUND(AZ170*(1+'Calc base'!N171),2),MAX('Calc base'!I$12,ROUND('Calc base'!I$13*AZ170,2))))</f>
        <v>0</v>
      </c>
      <c r="Q171">
        <f>IF(BA170&lt;=0,0,IF(ROUND(BA170*(1+'Calc base'!O171),2)-MAX('Calc base'!J$12,ROUND('Calc base'!J$13*BA170,2))&lt;1,ROUND(BA170*(1+'Calc base'!O171),2),MAX('Calc base'!J$12,ROUND('Calc base'!J$13*BA170,2))))</f>
        <v>0</v>
      </c>
      <c r="R171">
        <f>IF(BB170&lt;=0,0,IF(ROUND(BB170*(1+'Calc base'!P171),2)-MAX('Calc base'!K$12,ROUND('Calc base'!K$13*BB170,2))&lt;1,ROUND(BB170*(1+'Calc base'!P171),2),MAX('Calc base'!K$12,ROUND('Calc base'!K$13*BB170,2))))</f>
        <v>0</v>
      </c>
      <c r="S171">
        <f>IF(BC170&lt;=0,0,IF(ROUND(BC170*(1+'Calc base'!Q171),2)-MAX('Calc base'!L$12,ROUND('Calc base'!L$13*BC170,2))&lt;1,ROUND(BC170*(1+'Calc base'!Q171),2),MAX('Calc base'!L$12,ROUND('Calc base'!L$13*BC170,2))))</f>
        <v>0</v>
      </c>
      <c r="T171">
        <f>IF(BD170&lt;=0,0,IF(ROUND(BD170*(1+'Calc base'!R171),2)-MAX('Calc base'!M$12,ROUND('Calc base'!M$13*BD170,2))&lt;1,ROUND(BD170*(1+'Calc base'!R171),2),MAX('Calc base'!M$12,ROUND('Calc base'!M$13*BD170,2))))</f>
        <v>0</v>
      </c>
      <c r="U171">
        <f>IF(BE170&lt;=0,0,IF(ROUND(BE170*(1+'Calc base'!S171),2)-MAX('Calc base'!N$12,ROUND('Calc base'!N$13*BE170,2))&lt;1,ROUND(BE170*(1+'Calc base'!S171),2),MAX('Calc base'!N$12,ROUND('Calc base'!N$13*BE170,2))))</f>
        <v>0</v>
      </c>
      <c r="V171">
        <f>MAX(0,ROUND(AT170*(1+'Calc base'!H171),2)-J171-'Calc base'!T171)</f>
        <v>0</v>
      </c>
      <c r="W171">
        <f>MAX(0,ROUND(AU170*(1+'Calc base'!I171),2)-K171-'Calc base'!U171)</f>
        <v>0</v>
      </c>
      <c r="X171">
        <f>MAX(0,ROUND(AV170*(1+'Calc base'!J171),2)-L171-'Calc base'!V171)</f>
        <v>0</v>
      </c>
      <c r="Y171">
        <f>MAX(0,ROUND(AW170*(1+'Calc base'!K171),2)-M171-'Calc base'!W171)</f>
        <v>0</v>
      </c>
      <c r="Z171">
        <f>MAX(0,ROUND(AX170*(1+'Calc base'!L171),2)-N171-'Calc base'!X171)</f>
        <v>0</v>
      </c>
      <c r="AA171">
        <f>MAX(0,ROUND(AY170*(1+'Calc base'!M171),2)-O171-'Calc base'!Y171)</f>
        <v>0</v>
      </c>
      <c r="AB171">
        <f>MAX(0,ROUND(AZ170*(1+'Calc base'!N171),2)-P171-'Calc base'!Z171)</f>
        <v>0</v>
      </c>
      <c r="AC171">
        <f>MAX(0,ROUND(BA170*(1+'Calc base'!O171),2)-Q171-'Calc base'!AA171)</f>
        <v>0</v>
      </c>
      <c r="AD171">
        <f>MAX(0,ROUND(BB170*(1+'Calc base'!P171),2)-R171-'Calc base'!AB171)</f>
        <v>0</v>
      </c>
      <c r="AE171">
        <f>MAX(0,ROUND(BC170*(1+'Calc base'!Q171),2)-S171-'Calc base'!AC171)</f>
        <v>0</v>
      </c>
      <c r="AF171">
        <f>MAX(0,ROUND(BD170*(1+'Calc base'!R171),2)-T171-'Calc base'!AD171)</f>
        <v>0</v>
      </c>
      <c r="AG171">
        <f>MAX(0,ROUND(BE170*(1+'Calc base'!S171),2)-U171-'Calc base'!AE171)</f>
        <v>0</v>
      </c>
      <c r="AH171">
        <f>IF('Calc base'!C$14=0,0,MIN(V171,MAX(0,$E171-SUMIFS($V171:$AG171,'Calc base'!$C$19:$N$19,"&lt;"&amp;'Calc base'!C$19,'Calc base'!$C$14:$N$14,1))))</f>
        <v>0</v>
      </c>
      <c r="AI171">
        <f>IF('Calc base'!D$14=0,0,MIN(W171,MAX(0,$E171-SUMIFS($V171:$AG171,'Calc base'!$C$19:$N$19,"&lt;"&amp;'Calc base'!D$19,'Calc base'!$C$14:$N$14,1))))</f>
        <v>0</v>
      </c>
      <c r="AJ171">
        <f>IF('Calc base'!E$14=0,0,MIN(X171,MAX(0,$E171-SUMIFS($V171:$AG171,'Calc base'!$C$19:$N$19,"&lt;"&amp;'Calc base'!E$19,'Calc base'!$C$14:$N$14,1))))</f>
        <v>0</v>
      </c>
      <c r="AK171">
        <f>IF('Calc base'!F$14=0,0,MIN(Y171,MAX(0,$E171-SUMIFS($V171:$AG171,'Calc base'!$C$19:$N$19,"&lt;"&amp;'Calc base'!F$19,'Calc base'!$C$14:$N$14,1))))</f>
        <v>0</v>
      </c>
      <c r="AL171">
        <f>IF('Calc base'!G$14=0,0,MIN(Z171,MAX(0,$E171-SUMIFS($V171:$AG171,'Calc base'!$C$19:$N$19,"&lt;"&amp;'Calc base'!G$19,'Calc base'!$C$14:$N$14,1))))</f>
        <v>0</v>
      </c>
      <c r="AM171">
        <f>IF('Calc base'!H$14=0,0,MIN(AA171,MAX(0,$E171-SUMIFS($V171:$AG171,'Calc base'!$C$19:$N$19,"&lt;"&amp;'Calc base'!H$19,'Calc base'!$C$14:$N$14,1))))</f>
        <v>0</v>
      </c>
      <c r="AN171">
        <f>IF('Calc base'!I$14=0,0,MIN(AB171,MAX(0,$E171-SUMIFS($V171:$AG171,'Calc base'!$C$19:$N$19,"&lt;"&amp;'Calc base'!I$19,'Calc base'!$C$14:$N$14,1))))</f>
        <v>0</v>
      </c>
      <c r="AO171">
        <f>IF('Calc base'!J$14=0,0,MIN(AC171,MAX(0,$E171-SUMIFS($V171:$AG171,'Calc base'!$C$19:$N$19,"&lt;"&amp;'Calc base'!J$19,'Calc base'!$C$14:$N$14,1))))</f>
        <v>0</v>
      </c>
      <c r="AP171">
        <f>IF('Calc base'!K$14=0,0,MIN(AD171,MAX(0,$E171-SUMIFS($V171:$AG171,'Calc base'!$C$19:$N$19,"&lt;"&amp;'Calc base'!K$19,'Calc base'!$C$14:$N$14,1))))</f>
        <v>0</v>
      </c>
      <c r="AQ171">
        <f>IF('Calc base'!L$14=0,0,MIN(AE171,MAX(0,$E171-SUMIFS($V171:$AG171,'Calc base'!$C$19:$N$19,"&lt;"&amp;'Calc base'!L$19,'Calc base'!$C$14:$N$14,1))))</f>
        <v>0</v>
      </c>
      <c r="AR171">
        <f>IF('Calc base'!M$14=0,0,MIN(AF171,MAX(0,$E171-SUMIFS($V171:$AG171,'Calc base'!$C$19:$N$19,"&lt;"&amp;'Calc base'!M$19,'Calc base'!$C$14:$N$14,1))))</f>
        <v>0</v>
      </c>
      <c r="AS171">
        <f>IF('Calc base'!N$14=0,0,MIN(AG171,MAX(0,$E171-SUMIFS($V171:$AG171,'Calc base'!$C$19:$N$19,"&lt;"&amp;'Calc base'!N$19,'Calc base'!$C$14:$N$14,1))))</f>
        <v>0</v>
      </c>
      <c r="AT171">
        <f>V171-AH171</f>
        <v>0</v>
      </c>
      <c r="AU171">
        <f>W171-AI171</f>
        <v>0</v>
      </c>
      <c r="AV171">
        <f>X171-AJ171</f>
        <v>0</v>
      </c>
      <c r="AW171">
        <f>Y171-AK171</f>
        <v>0</v>
      </c>
      <c r="AX171">
        <f>Z171-AL171</f>
        <v>0</v>
      </c>
      <c r="AY171">
        <f>AA171-AM171</f>
        <v>0</v>
      </c>
      <c r="AZ171">
        <f>AB171-AN171</f>
        <v>0</v>
      </c>
      <c r="BA171">
        <f>AC171-AO171</f>
        <v>0</v>
      </c>
      <c r="BB171">
        <f>AD171-AP171</f>
        <v>0</v>
      </c>
      <c r="BC171">
        <f>AE171-AQ171</f>
        <v>0</v>
      </c>
      <c r="BD171">
        <f>AF171-AR171</f>
        <v>0</v>
      </c>
      <c r="BE171">
        <f>AG171-AS171</f>
        <v>0</v>
      </c>
    </row>
    <row r="172">
      <c r="A172" t="n">
        <v>142</v>
      </c>
      <c r="B172">
        <f>SUMPRODUCT(ROUND($AT171:$BE171*(1+'Calc base'!$H172:$S172),2))</f>
        <v>0</v>
      </c>
      <c r="C172">
        <f>SUM(J172:U172)</f>
        <v>0</v>
      </c>
      <c r="D172">
        <f>SUM(V172:AG172)</f>
        <v>0</v>
      </c>
      <c r="E172">
        <f>MAX(0,IF(Impostazioni!$B$7="No",'Calc base'!$C172-$C$31,'Calc base'!$C172-C172)+'Calc base'!$G172+'Calc base'!$F172-(B172-C172-D172))</f>
        <v>900</v>
      </c>
      <c r="F172">
        <f>SUM(AH172:AS172)</f>
        <v>0</v>
      </c>
      <c r="G172">
        <f>SUM(AT172:BE172)</f>
        <v>0</v>
      </c>
      <c r="H172">
        <f>B172-G171</f>
        <v>0</v>
      </c>
      <c r="I172">
        <f>B172-G172</f>
        <v>0</v>
      </c>
      <c r="J172">
        <f>IF(AT171&lt;=0,0,IF(ROUND(AT171*(1+'Calc base'!H172),2)-MAX('Calc base'!C$12,ROUND('Calc base'!C$13*AT171,2))&lt;1,ROUND(AT171*(1+'Calc base'!H172),2),MAX('Calc base'!C$12,ROUND('Calc base'!C$13*AT171,2))))</f>
        <v>0</v>
      </c>
      <c r="K172">
        <f>IF(AU171&lt;=0,0,IF(ROUND(AU171*(1+'Calc base'!I172),2)-MAX('Calc base'!D$12,ROUND('Calc base'!D$13*AU171,2))&lt;1,ROUND(AU171*(1+'Calc base'!I172),2),MAX('Calc base'!D$12,ROUND('Calc base'!D$13*AU171,2))))</f>
        <v>0</v>
      </c>
      <c r="L172">
        <f>IF(AV171&lt;=0,0,IF(ROUND(AV171*(1+'Calc base'!J172),2)-MAX('Calc base'!E$12,ROUND('Calc base'!E$13*AV171,2))&lt;1,ROUND(AV171*(1+'Calc base'!J172),2),MAX('Calc base'!E$12,ROUND('Calc base'!E$13*AV171,2))))</f>
        <v>0</v>
      </c>
      <c r="M172">
        <f>IF(AW171&lt;=0,0,IF(ROUND(AW171*(1+'Calc base'!K172),2)-MAX('Calc base'!F$12,ROUND('Calc base'!F$13*AW171,2))&lt;1,ROUND(AW171*(1+'Calc base'!K172),2),MAX('Calc base'!F$12,ROUND('Calc base'!F$13*AW171,2))))</f>
        <v>0</v>
      </c>
      <c r="N172">
        <f>IF(AX171&lt;=0,0,IF(ROUND(AX171*(1+'Calc base'!L172),2)-MAX('Calc base'!G$12,ROUND('Calc base'!G$13*AX171,2))&lt;1,ROUND(AX171*(1+'Calc base'!L172),2),MAX('Calc base'!G$12,ROUND('Calc base'!G$13*AX171,2))))</f>
        <v>0</v>
      </c>
      <c r="O172">
        <f>IF(AY171&lt;=0,0,IF(ROUND(AY171*(1+'Calc base'!M172),2)-MAX('Calc base'!H$12,ROUND('Calc base'!H$13*AY171,2))&lt;1,ROUND(AY171*(1+'Calc base'!M172),2),MAX('Calc base'!H$12,ROUND('Calc base'!H$13*AY171,2))))</f>
        <v>0</v>
      </c>
      <c r="P172">
        <f>IF(AZ171&lt;=0,0,IF(ROUND(AZ171*(1+'Calc base'!N172),2)-MAX('Calc base'!I$12,ROUND('Calc base'!I$13*AZ171,2))&lt;1,ROUND(AZ171*(1+'Calc base'!N172),2),MAX('Calc base'!I$12,ROUND('Calc base'!I$13*AZ171,2))))</f>
        <v>0</v>
      </c>
      <c r="Q172">
        <f>IF(BA171&lt;=0,0,IF(ROUND(BA171*(1+'Calc base'!O172),2)-MAX('Calc base'!J$12,ROUND('Calc base'!J$13*BA171,2))&lt;1,ROUND(BA171*(1+'Calc base'!O172),2),MAX('Calc base'!J$12,ROUND('Calc base'!J$13*BA171,2))))</f>
        <v>0</v>
      </c>
      <c r="R172">
        <f>IF(BB171&lt;=0,0,IF(ROUND(BB171*(1+'Calc base'!P172),2)-MAX('Calc base'!K$12,ROUND('Calc base'!K$13*BB171,2))&lt;1,ROUND(BB171*(1+'Calc base'!P172),2),MAX('Calc base'!K$12,ROUND('Calc base'!K$13*BB171,2))))</f>
        <v>0</v>
      </c>
      <c r="S172">
        <f>IF(BC171&lt;=0,0,IF(ROUND(BC171*(1+'Calc base'!Q172),2)-MAX('Calc base'!L$12,ROUND('Calc base'!L$13*BC171,2))&lt;1,ROUND(BC171*(1+'Calc base'!Q172),2),MAX('Calc base'!L$12,ROUND('Calc base'!L$13*BC171,2))))</f>
        <v>0</v>
      </c>
      <c r="T172">
        <f>IF(BD171&lt;=0,0,IF(ROUND(BD171*(1+'Calc base'!R172),2)-MAX('Calc base'!M$12,ROUND('Calc base'!M$13*BD171,2))&lt;1,ROUND(BD171*(1+'Calc base'!R172),2),MAX('Calc base'!M$12,ROUND('Calc base'!M$13*BD171,2))))</f>
        <v>0</v>
      </c>
      <c r="U172">
        <f>IF(BE171&lt;=0,0,IF(ROUND(BE171*(1+'Calc base'!S172),2)-MAX('Calc base'!N$12,ROUND('Calc base'!N$13*BE171,2))&lt;1,ROUND(BE171*(1+'Calc base'!S172),2),MAX('Calc base'!N$12,ROUND('Calc base'!N$13*BE171,2))))</f>
        <v>0</v>
      </c>
      <c r="V172">
        <f>MAX(0,ROUND(AT171*(1+'Calc base'!H172),2)-J172-'Calc base'!T172)</f>
        <v>0</v>
      </c>
      <c r="W172">
        <f>MAX(0,ROUND(AU171*(1+'Calc base'!I172),2)-K172-'Calc base'!U172)</f>
        <v>0</v>
      </c>
      <c r="X172">
        <f>MAX(0,ROUND(AV171*(1+'Calc base'!J172),2)-L172-'Calc base'!V172)</f>
        <v>0</v>
      </c>
      <c r="Y172">
        <f>MAX(0,ROUND(AW171*(1+'Calc base'!K172),2)-M172-'Calc base'!W172)</f>
        <v>0</v>
      </c>
      <c r="Z172">
        <f>MAX(0,ROUND(AX171*(1+'Calc base'!L172),2)-N172-'Calc base'!X172)</f>
        <v>0</v>
      </c>
      <c r="AA172">
        <f>MAX(0,ROUND(AY171*(1+'Calc base'!M172),2)-O172-'Calc base'!Y172)</f>
        <v>0</v>
      </c>
      <c r="AB172">
        <f>MAX(0,ROUND(AZ171*(1+'Calc base'!N172),2)-P172-'Calc base'!Z172)</f>
        <v>0</v>
      </c>
      <c r="AC172">
        <f>MAX(0,ROUND(BA171*(1+'Calc base'!O172),2)-Q172-'Calc base'!AA172)</f>
        <v>0</v>
      </c>
      <c r="AD172">
        <f>MAX(0,ROUND(BB171*(1+'Calc base'!P172),2)-R172-'Calc base'!AB172)</f>
        <v>0</v>
      </c>
      <c r="AE172">
        <f>MAX(0,ROUND(BC171*(1+'Calc base'!Q172),2)-S172-'Calc base'!AC172)</f>
        <v>0</v>
      </c>
      <c r="AF172">
        <f>MAX(0,ROUND(BD171*(1+'Calc base'!R172),2)-T172-'Calc base'!AD172)</f>
        <v>0</v>
      </c>
      <c r="AG172">
        <f>MAX(0,ROUND(BE171*(1+'Calc base'!S172),2)-U172-'Calc base'!AE172)</f>
        <v>0</v>
      </c>
      <c r="AH172">
        <f>IF('Calc base'!C$14=0,0,MIN(V172,MAX(0,$E172-SUMIFS($V172:$AG172,'Calc base'!$C$19:$N$19,"&lt;"&amp;'Calc base'!C$19,'Calc base'!$C$14:$N$14,1))))</f>
        <v>0</v>
      </c>
      <c r="AI172">
        <f>IF('Calc base'!D$14=0,0,MIN(W172,MAX(0,$E172-SUMIFS($V172:$AG172,'Calc base'!$C$19:$N$19,"&lt;"&amp;'Calc base'!D$19,'Calc base'!$C$14:$N$14,1))))</f>
        <v>0</v>
      </c>
      <c r="AJ172">
        <f>IF('Calc base'!E$14=0,0,MIN(X172,MAX(0,$E172-SUMIFS($V172:$AG172,'Calc base'!$C$19:$N$19,"&lt;"&amp;'Calc base'!E$19,'Calc base'!$C$14:$N$14,1))))</f>
        <v>0</v>
      </c>
      <c r="AK172">
        <f>IF('Calc base'!F$14=0,0,MIN(Y172,MAX(0,$E172-SUMIFS($V172:$AG172,'Calc base'!$C$19:$N$19,"&lt;"&amp;'Calc base'!F$19,'Calc base'!$C$14:$N$14,1))))</f>
        <v>0</v>
      </c>
      <c r="AL172">
        <f>IF('Calc base'!G$14=0,0,MIN(Z172,MAX(0,$E172-SUMIFS($V172:$AG172,'Calc base'!$C$19:$N$19,"&lt;"&amp;'Calc base'!G$19,'Calc base'!$C$14:$N$14,1))))</f>
        <v>0</v>
      </c>
      <c r="AM172">
        <f>IF('Calc base'!H$14=0,0,MIN(AA172,MAX(0,$E172-SUMIFS($V172:$AG172,'Calc base'!$C$19:$N$19,"&lt;"&amp;'Calc base'!H$19,'Calc base'!$C$14:$N$14,1))))</f>
        <v>0</v>
      </c>
      <c r="AN172">
        <f>IF('Calc base'!I$14=0,0,MIN(AB172,MAX(0,$E172-SUMIFS($V172:$AG172,'Calc base'!$C$19:$N$19,"&lt;"&amp;'Calc base'!I$19,'Calc base'!$C$14:$N$14,1))))</f>
        <v>0</v>
      </c>
      <c r="AO172">
        <f>IF('Calc base'!J$14=0,0,MIN(AC172,MAX(0,$E172-SUMIFS($V172:$AG172,'Calc base'!$C$19:$N$19,"&lt;"&amp;'Calc base'!J$19,'Calc base'!$C$14:$N$14,1))))</f>
        <v>0</v>
      </c>
      <c r="AP172">
        <f>IF('Calc base'!K$14=0,0,MIN(AD172,MAX(0,$E172-SUMIFS($V172:$AG172,'Calc base'!$C$19:$N$19,"&lt;"&amp;'Calc base'!K$19,'Calc base'!$C$14:$N$14,1))))</f>
        <v>0</v>
      </c>
      <c r="AQ172">
        <f>IF('Calc base'!L$14=0,0,MIN(AE172,MAX(0,$E172-SUMIFS($V172:$AG172,'Calc base'!$C$19:$N$19,"&lt;"&amp;'Calc base'!L$19,'Calc base'!$C$14:$N$14,1))))</f>
        <v>0</v>
      </c>
      <c r="AR172">
        <f>IF('Calc base'!M$14=0,0,MIN(AF172,MAX(0,$E172-SUMIFS($V172:$AG172,'Calc base'!$C$19:$N$19,"&lt;"&amp;'Calc base'!M$19,'Calc base'!$C$14:$N$14,1))))</f>
        <v>0</v>
      </c>
      <c r="AS172">
        <f>IF('Calc base'!N$14=0,0,MIN(AG172,MAX(0,$E172-SUMIFS($V172:$AG172,'Calc base'!$C$19:$N$19,"&lt;"&amp;'Calc base'!N$19,'Calc base'!$C$14:$N$14,1))))</f>
        <v>0</v>
      </c>
      <c r="AT172">
        <f>V172-AH172</f>
        <v>0</v>
      </c>
      <c r="AU172">
        <f>W172-AI172</f>
        <v>0</v>
      </c>
      <c r="AV172">
        <f>X172-AJ172</f>
        <v>0</v>
      </c>
      <c r="AW172">
        <f>Y172-AK172</f>
        <v>0</v>
      </c>
      <c r="AX172">
        <f>Z172-AL172</f>
        <v>0</v>
      </c>
      <c r="AY172">
        <f>AA172-AM172</f>
        <v>0</v>
      </c>
      <c r="AZ172">
        <f>AB172-AN172</f>
        <v>0</v>
      </c>
      <c r="BA172">
        <f>AC172-AO172</f>
        <v>0</v>
      </c>
      <c r="BB172">
        <f>AD172-AP172</f>
        <v>0</v>
      </c>
      <c r="BC172">
        <f>AE172-AQ172</f>
        <v>0</v>
      </c>
      <c r="BD172">
        <f>AF172-AR172</f>
        <v>0</v>
      </c>
      <c r="BE172">
        <f>AG172-AS172</f>
        <v>0</v>
      </c>
    </row>
    <row r="173">
      <c r="A173" t="n">
        <v>143</v>
      </c>
      <c r="B173">
        <f>SUMPRODUCT(ROUND($AT172:$BE172*(1+'Calc base'!$H173:$S173),2))</f>
        <v>0</v>
      </c>
      <c r="C173">
        <f>SUM(J173:U173)</f>
        <v>0</v>
      </c>
      <c r="D173">
        <f>SUM(V173:AG173)</f>
        <v>0</v>
      </c>
      <c r="E173">
        <f>MAX(0,IF(Impostazioni!$B$7="No",'Calc base'!$C173-$C$31,'Calc base'!$C173-C173)+'Calc base'!$G173+'Calc base'!$F173-(B173-C173-D173))</f>
        <v>900</v>
      </c>
      <c r="F173">
        <f>SUM(AH173:AS173)</f>
        <v>0</v>
      </c>
      <c r="G173">
        <f>SUM(AT173:BE173)</f>
        <v>0</v>
      </c>
      <c r="H173">
        <f>B173-G172</f>
        <v>0</v>
      </c>
      <c r="I173">
        <f>B173-G173</f>
        <v>0</v>
      </c>
      <c r="J173">
        <f>IF(AT172&lt;=0,0,IF(ROUND(AT172*(1+'Calc base'!H173),2)-MAX('Calc base'!C$12,ROUND('Calc base'!C$13*AT172,2))&lt;1,ROUND(AT172*(1+'Calc base'!H173),2),MAX('Calc base'!C$12,ROUND('Calc base'!C$13*AT172,2))))</f>
        <v>0</v>
      </c>
      <c r="K173">
        <f>IF(AU172&lt;=0,0,IF(ROUND(AU172*(1+'Calc base'!I173),2)-MAX('Calc base'!D$12,ROUND('Calc base'!D$13*AU172,2))&lt;1,ROUND(AU172*(1+'Calc base'!I173),2),MAX('Calc base'!D$12,ROUND('Calc base'!D$13*AU172,2))))</f>
        <v>0</v>
      </c>
      <c r="L173">
        <f>IF(AV172&lt;=0,0,IF(ROUND(AV172*(1+'Calc base'!J173),2)-MAX('Calc base'!E$12,ROUND('Calc base'!E$13*AV172,2))&lt;1,ROUND(AV172*(1+'Calc base'!J173),2),MAX('Calc base'!E$12,ROUND('Calc base'!E$13*AV172,2))))</f>
        <v>0</v>
      </c>
      <c r="M173">
        <f>IF(AW172&lt;=0,0,IF(ROUND(AW172*(1+'Calc base'!K173),2)-MAX('Calc base'!F$12,ROUND('Calc base'!F$13*AW172,2))&lt;1,ROUND(AW172*(1+'Calc base'!K173),2),MAX('Calc base'!F$12,ROUND('Calc base'!F$13*AW172,2))))</f>
        <v>0</v>
      </c>
      <c r="N173">
        <f>IF(AX172&lt;=0,0,IF(ROUND(AX172*(1+'Calc base'!L173),2)-MAX('Calc base'!G$12,ROUND('Calc base'!G$13*AX172,2))&lt;1,ROUND(AX172*(1+'Calc base'!L173),2),MAX('Calc base'!G$12,ROUND('Calc base'!G$13*AX172,2))))</f>
        <v>0</v>
      </c>
      <c r="O173">
        <f>IF(AY172&lt;=0,0,IF(ROUND(AY172*(1+'Calc base'!M173),2)-MAX('Calc base'!H$12,ROUND('Calc base'!H$13*AY172,2))&lt;1,ROUND(AY172*(1+'Calc base'!M173),2),MAX('Calc base'!H$12,ROUND('Calc base'!H$13*AY172,2))))</f>
        <v>0</v>
      </c>
      <c r="P173">
        <f>IF(AZ172&lt;=0,0,IF(ROUND(AZ172*(1+'Calc base'!N173),2)-MAX('Calc base'!I$12,ROUND('Calc base'!I$13*AZ172,2))&lt;1,ROUND(AZ172*(1+'Calc base'!N173),2),MAX('Calc base'!I$12,ROUND('Calc base'!I$13*AZ172,2))))</f>
        <v>0</v>
      </c>
      <c r="Q173">
        <f>IF(BA172&lt;=0,0,IF(ROUND(BA172*(1+'Calc base'!O173),2)-MAX('Calc base'!J$12,ROUND('Calc base'!J$13*BA172,2))&lt;1,ROUND(BA172*(1+'Calc base'!O173),2),MAX('Calc base'!J$12,ROUND('Calc base'!J$13*BA172,2))))</f>
        <v>0</v>
      </c>
      <c r="R173">
        <f>IF(BB172&lt;=0,0,IF(ROUND(BB172*(1+'Calc base'!P173),2)-MAX('Calc base'!K$12,ROUND('Calc base'!K$13*BB172,2))&lt;1,ROUND(BB172*(1+'Calc base'!P173),2),MAX('Calc base'!K$12,ROUND('Calc base'!K$13*BB172,2))))</f>
        <v>0</v>
      </c>
      <c r="S173">
        <f>IF(BC172&lt;=0,0,IF(ROUND(BC172*(1+'Calc base'!Q173),2)-MAX('Calc base'!L$12,ROUND('Calc base'!L$13*BC172,2))&lt;1,ROUND(BC172*(1+'Calc base'!Q173),2),MAX('Calc base'!L$12,ROUND('Calc base'!L$13*BC172,2))))</f>
        <v>0</v>
      </c>
      <c r="T173">
        <f>IF(BD172&lt;=0,0,IF(ROUND(BD172*(1+'Calc base'!R173),2)-MAX('Calc base'!M$12,ROUND('Calc base'!M$13*BD172,2))&lt;1,ROUND(BD172*(1+'Calc base'!R173),2),MAX('Calc base'!M$12,ROUND('Calc base'!M$13*BD172,2))))</f>
        <v>0</v>
      </c>
      <c r="U173">
        <f>IF(BE172&lt;=0,0,IF(ROUND(BE172*(1+'Calc base'!S173),2)-MAX('Calc base'!N$12,ROUND('Calc base'!N$13*BE172,2))&lt;1,ROUND(BE172*(1+'Calc base'!S173),2),MAX('Calc base'!N$12,ROUND('Calc base'!N$13*BE172,2))))</f>
        <v>0</v>
      </c>
      <c r="V173">
        <f>MAX(0,ROUND(AT172*(1+'Calc base'!H173),2)-J173-'Calc base'!T173)</f>
        <v>0</v>
      </c>
      <c r="W173">
        <f>MAX(0,ROUND(AU172*(1+'Calc base'!I173),2)-K173-'Calc base'!U173)</f>
        <v>0</v>
      </c>
      <c r="X173">
        <f>MAX(0,ROUND(AV172*(1+'Calc base'!J173),2)-L173-'Calc base'!V173)</f>
        <v>0</v>
      </c>
      <c r="Y173">
        <f>MAX(0,ROUND(AW172*(1+'Calc base'!K173),2)-M173-'Calc base'!W173)</f>
        <v>0</v>
      </c>
      <c r="Z173">
        <f>MAX(0,ROUND(AX172*(1+'Calc base'!L173),2)-N173-'Calc base'!X173)</f>
        <v>0</v>
      </c>
      <c r="AA173">
        <f>MAX(0,ROUND(AY172*(1+'Calc base'!M173),2)-O173-'Calc base'!Y173)</f>
        <v>0</v>
      </c>
      <c r="AB173">
        <f>MAX(0,ROUND(AZ172*(1+'Calc base'!N173),2)-P173-'Calc base'!Z173)</f>
        <v>0</v>
      </c>
      <c r="AC173">
        <f>MAX(0,ROUND(BA172*(1+'Calc base'!O173),2)-Q173-'Calc base'!AA173)</f>
        <v>0</v>
      </c>
      <c r="AD173">
        <f>MAX(0,ROUND(BB172*(1+'Calc base'!P173),2)-R173-'Calc base'!AB173)</f>
        <v>0</v>
      </c>
      <c r="AE173">
        <f>MAX(0,ROUND(BC172*(1+'Calc base'!Q173),2)-S173-'Calc base'!AC173)</f>
        <v>0</v>
      </c>
      <c r="AF173">
        <f>MAX(0,ROUND(BD172*(1+'Calc base'!R173),2)-T173-'Calc base'!AD173)</f>
        <v>0</v>
      </c>
      <c r="AG173">
        <f>MAX(0,ROUND(BE172*(1+'Calc base'!S173),2)-U173-'Calc base'!AE173)</f>
        <v>0</v>
      </c>
      <c r="AH173">
        <f>IF('Calc base'!C$14=0,0,MIN(V173,MAX(0,$E173-SUMIFS($V173:$AG173,'Calc base'!$C$19:$N$19,"&lt;"&amp;'Calc base'!C$19,'Calc base'!$C$14:$N$14,1))))</f>
        <v>0</v>
      </c>
      <c r="AI173">
        <f>IF('Calc base'!D$14=0,0,MIN(W173,MAX(0,$E173-SUMIFS($V173:$AG173,'Calc base'!$C$19:$N$19,"&lt;"&amp;'Calc base'!D$19,'Calc base'!$C$14:$N$14,1))))</f>
        <v>0</v>
      </c>
      <c r="AJ173">
        <f>IF('Calc base'!E$14=0,0,MIN(X173,MAX(0,$E173-SUMIFS($V173:$AG173,'Calc base'!$C$19:$N$19,"&lt;"&amp;'Calc base'!E$19,'Calc base'!$C$14:$N$14,1))))</f>
        <v>0</v>
      </c>
      <c r="AK173">
        <f>IF('Calc base'!F$14=0,0,MIN(Y173,MAX(0,$E173-SUMIFS($V173:$AG173,'Calc base'!$C$19:$N$19,"&lt;"&amp;'Calc base'!F$19,'Calc base'!$C$14:$N$14,1))))</f>
        <v>0</v>
      </c>
      <c r="AL173">
        <f>IF('Calc base'!G$14=0,0,MIN(Z173,MAX(0,$E173-SUMIFS($V173:$AG173,'Calc base'!$C$19:$N$19,"&lt;"&amp;'Calc base'!G$19,'Calc base'!$C$14:$N$14,1))))</f>
        <v>0</v>
      </c>
      <c r="AM173">
        <f>IF('Calc base'!H$14=0,0,MIN(AA173,MAX(0,$E173-SUMIFS($V173:$AG173,'Calc base'!$C$19:$N$19,"&lt;"&amp;'Calc base'!H$19,'Calc base'!$C$14:$N$14,1))))</f>
        <v>0</v>
      </c>
      <c r="AN173">
        <f>IF('Calc base'!I$14=0,0,MIN(AB173,MAX(0,$E173-SUMIFS($V173:$AG173,'Calc base'!$C$19:$N$19,"&lt;"&amp;'Calc base'!I$19,'Calc base'!$C$14:$N$14,1))))</f>
        <v>0</v>
      </c>
      <c r="AO173">
        <f>IF('Calc base'!J$14=0,0,MIN(AC173,MAX(0,$E173-SUMIFS($V173:$AG173,'Calc base'!$C$19:$N$19,"&lt;"&amp;'Calc base'!J$19,'Calc base'!$C$14:$N$14,1))))</f>
        <v>0</v>
      </c>
      <c r="AP173">
        <f>IF('Calc base'!K$14=0,0,MIN(AD173,MAX(0,$E173-SUMIFS($V173:$AG173,'Calc base'!$C$19:$N$19,"&lt;"&amp;'Calc base'!K$19,'Calc base'!$C$14:$N$14,1))))</f>
        <v>0</v>
      </c>
      <c r="AQ173">
        <f>IF('Calc base'!L$14=0,0,MIN(AE173,MAX(0,$E173-SUMIFS($V173:$AG173,'Calc base'!$C$19:$N$19,"&lt;"&amp;'Calc base'!L$19,'Calc base'!$C$14:$N$14,1))))</f>
        <v>0</v>
      </c>
      <c r="AR173">
        <f>IF('Calc base'!M$14=0,0,MIN(AF173,MAX(0,$E173-SUMIFS($V173:$AG173,'Calc base'!$C$19:$N$19,"&lt;"&amp;'Calc base'!M$19,'Calc base'!$C$14:$N$14,1))))</f>
        <v>0</v>
      </c>
      <c r="AS173">
        <f>IF('Calc base'!N$14=0,0,MIN(AG173,MAX(0,$E173-SUMIFS($V173:$AG173,'Calc base'!$C$19:$N$19,"&lt;"&amp;'Calc base'!N$19,'Calc base'!$C$14:$N$14,1))))</f>
        <v>0</v>
      </c>
      <c r="AT173">
        <f>V173-AH173</f>
        <v>0</v>
      </c>
      <c r="AU173">
        <f>W173-AI173</f>
        <v>0</v>
      </c>
      <c r="AV173">
        <f>X173-AJ173</f>
        <v>0</v>
      </c>
      <c r="AW173">
        <f>Y173-AK173</f>
        <v>0</v>
      </c>
      <c r="AX173">
        <f>Z173-AL173</f>
        <v>0</v>
      </c>
      <c r="AY173">
        <f>AA173-AM173</f>
        <v>0</v>
      </c>
      <c r="AZ173">
        <f>AB173-AN173</f>
        <v>0</v>
      </c>
      <c r="BA173">
        <f>AC173-AO173</f>
        <v>0</v>
      </c>
      <c r="BB173">
        <f>AD173-AP173</f>
        <v>0</v>
      </c>
      <c r="BC173">
        <f>AE173-AQ173</f>
        <v>0</v>
      </c>
      <c r="BD173">
        <f>AF173-AR173</f>
        <v>0</v>
      </c>
      <c r="BE173">
        <f>AG173-AS173</f>
        <v>0</v>
      </c>
    </row>
    <row r="174">
      <c r="A174" t="n">
        <v>144</v>
      </c>
      <c r="B174">
        <f>SUMPRODUCT(ROUND($AT173:$BE173*(1+'Calc base'!$H174:$S174),2))</f>
        <v>0</v>
      </c>
      <c r="C174">
        <f>SUM(J174:U174)</f>
        <v>0</v>
      </c>
      <c r="D174">
        <f>SUM(V174:AG174)</f>
        <v>0</v>
      </c>
      <c r="E174">
        <f>MAX(0,IF(Impostazioni!$B$7="No",'Calc base'!$C174-$C$31,'Calc base'!$C174-C174)+'Calc base'!$G174+'Calc base'!$F174-(B174-C174-D174))</f>
        <v>900</v>
      </c>
      <c r="F174">
        <f>SUM(AH174:AS174)</f>
        <v>0</v>
      </c>
      <c r="G174">
        <f>SUM(AT174:BE174)</f>
        <v>0</v>
      </c>
      <c r="H174">
        <f>B174-G173</f>
        <v>0</v>
      </c>
      <c r="I174">
        <f>B174-G174</f>
        <v>0</v>
      </c>
      <c r="J174">
        <f>IF(AT173&lt;=0,0,IF(ROUND(AT173*(1+'Calc base'!H174),2)-MAX('Calc base'!C$12,ROUND('Calc base'!C$13*AT173,2))&lt;1,ROUND(AT173*(1+'Calc base'!H174),2),MAX('Calc base'!C$12,ROUND('Calc base'!C$13*AT173,2))))</f>
        <v>0</v>
      </c>
      <c r="K174">
        <f>IF(AU173&lt;=0,0,IF(ROUND(AU173*(1+'Calc base'!I174),2)-MAX('Calc base'!D$12,ROUND('Calc base'!D$13*AU173,2))&lt;1,ROUND(AU173*(1+'Calc base'!I174),2),MAX('Calc base'!D$12,ROUND('Calc base'!D$13*AU173,2))))</f>
        <v>0</v>
      </c>
      <c r="L174">
        <f>IF(AV173&lt;=0,0,IF(ROUND(AV173*(1+'Calc base'!J174),2)-MAX('Calc base'!E$12,ROUND('Calc base'!E$13*AV173,2))&lt;1,ROUND(AV173*(1+'Calc base'!J174),2),MAX('Calc base'!E$12,ROUND('Calc base'!E$13*AV173,2))))</f>
        <v>0</v>
      </c>
      <c r="M174">
        <f>IF(AW173&lt;=0,0,IF(ROUND(AW173*(1+'Calc base'!K174),2)-MAX('Calc base'!F$12,ROUND('Calc base'!F$13*AW173,2))&lt;1,ROUND(AW173*(1+'Calc base'!K174),2),MAX('Calc base'!F$12,ROUND('Calc base'!F$13*AW173,2))))</f>
        <v>0</v>
      </c>
      <c r="N174">
        <f>IF(AX173&lt;=0,0,IF(ROUND(AX173*(1+'Calc base'!L174),2)-MAX('Calc base'!G$12,ROUND('Calc base'!G$13*AX173,2))&lt;1,ROUND(AX173*(1+'Calc base'!L174),2),MAX('Calc base'!G$12,ROUND('Calc base'!G$13*AX173,2))))</f>
        <v>0</v>
      </c>
      <c r="O174">
        <f>IF(AY173&lt;=0,0,IF(ROUND(AY173*(1+'Calc base'!M174),2)-MAX('Calc base'!H$12,ROUND('Calc base'!H$13*AY173,2))&lt;1,ROUND(AY173*(1+'Calc base'!M174),2),MAX('Calc base'!H$12,ROUND('Calc base'!H$13*AY173,2))))</f>
        <v>0</v>
      </c>
      <c r="P174">
        <f>IF(AZ173&lt;=0,0,IF(ROUND(AZ173*(1+'Calc base'!N174),2)-MAX('Calc base'!I$12,ROUND('Calc base'!I$13*AZ173,2))&lt;1,ROUND(AZ173*(1+'Calc base'!N174),2),MAX('Calc base'!I$12,ROUND('Calc base'!I$13*AZ173,2))))</f>
        <v>0</v>
      </c>
      <c r="Q174">
        <f>IF(BA173&lt;=0,0,IF(ROUND(BA173*(1+'Calc base'!O174),2)-MAX('Calc base'!J$12,ROUND('Calc base'!J$13*BA173,2))&lt;1,ROUND(BA173*(1+'Calc base'!O174),2),MAX('Calc base'!J$12,ROUND('Calc base'!J$13*BA173,2))))</f>
        <v>0</v>
      </c>
      <c r="R174">
        <f>IF(BB173&lt;=0,0,IF(ROUND(BB173*(1+'Calc base'!P174),2)-MAX('Calc base'!K$12,ROUND('Calc base'!K$13*BB173,2))&lt;1,ROUND(BB173*(1+'Calc base'!P174),2),MAX('Calc base'!K$12,ROUND('Calc base'!K$13*BB173,2))))</f>
        <v>0</v>
      </c>
      <c r="S174">
        <f>IF(BC173&lt;=0,0,IF(ROUND(BC173*(1+'Calc base'!Q174),2)-MAX('Calc base'!L$12,ROUND('Calc base'!L$13*BC173,2))&lt;1,ROUND(BC173*(1+'Calc base'!Q174),2),MAX('Calc base'!L$12,ROUND('Calc base'!L$13*BC173,2))))</f>
        <v>0</v>
      </c>
      <c r="T174">
        <f>IF(BD173&lt;=0,0,IF(ROUND(BD173*(1+'Calc base'!R174),2)-MAX('Calc base'!M$12,ROUND('Calc base'!M$13*BD173,2))&lt;1,ROUND(BD173*(1+'Calc base'!R174),2),MAX('Calc base'!M$12,ROUND('Calc base'!M$13*BD173,2))))</f>
        <v>0</v>
      </c>
      <c r="U174">
        <f>IF(BE173&lt;=0,0,IF(ROUND(BE173*(1+'Calc base'!S174),2)-MAX('Calc base'!N$12,ROUND('Calc base'!N$13*BE173,2))&lt;1,ROUND(BE173*(1+'Calc base'!S174),2),MAX('Calc base'!N$12,ROUND('Calc base'!N$13*BE173,2))))</f>
        <v>0</v>
      </c>
      <c r="V174">
        <f>MAX(0,ROUND(AT173*(1+'Calc base'!H174),2)-J174-'Calc base'!T174)</f>
        <v>0</v>
      </c>
      <c r="W174">
        <f>MAX(0,ROUND(AU173*(1+'Calc base'!I174),2)-K174-'Calc base'!U174)</f>
        <v>0</v>
      </c>
      <c r="X174">
        <f>MAX(0,ROUND(AV173*(1+'Calc base'!J174),2)-L174-'Calc base'!V174)</f>
        <v>0</v>
      </c>
      <c r="Y174">
        <f>MAX(0,ROUND(AW173*(1+'Calc base'!K174),2)-M174-'Calc base'!W174)</f>
        <v>0</v>
      </c>
      <c r="Z174">
        <f>MAX(0,ROUND(AX173*(1+'Calc base'!L174),2)-N174-'Calc base'!X174)</f>
        <v>0</v>
      </c>
      <c r="AA174">
        <f>MAX(0,ROUND(AY173*(1+'Calc base'!M174),2)-O174-'Calc base'!Y174)</f>
        <v>0</v>
      </c>
      <c r="AB174">
        <f>MAX(0,ROUND(AZ173*(1+'Calc base'!N174),2)-P174-'Calc base'!Z174)</f>
        <v>0</v>
      </c>
      <c r="AC174">
        <f>MAX(0,ROUND(BA173*(1+'Calc base'!O174),2)-Q174-'Calc base'!AA174)</f>
        <v>0</v>
      </c>
      <c r="AD174">
        <f>MAX(0,ROUND(BB173*(1+'Calc base'!P174),2)-R174-'Calc base'!AB174)</f>
        <v>0</v>
      </c>
      <c r="AE174">
        <f>MAX(0,ROUND(BC173*(1+'Calc base'!Q174),2)-S174-'Calc base'!AC174)</f>
        <v>0</v>
      </c>
      <c r="AF174">
        <f>MAX(0,ROUND(BD173*(1+'Calc base'!R174),2)-T174-'Calc base'!AD174)</f>
        <v>0</v>
      </c>
      <c r="AG174">
        <f>MAX(0,ROUND(BE173*(1+'Calc base'!S174),2)-U174-'Calc base'!AE174)</f>
        <v>0</v>
      </c>
      <c r="AH174">
        <f>IF('Calc base'!C$14=0,0,MIN(V174,MAX(0,$E174-SUMIFS($V174:$AG174,'Calc base'!$C$19:$N$19,"&lt;"&amp;'Calc base'!C$19,'Calc base'!$C$14:$N$14,1))))</f>
        <v>0</v>
      </c>
      <c r="AI174">
        <f>IF('Calc base'!D$14=0,0,MIN(W174,MAX(0,$E174-SUMIFS($V174:$AG174,'Calc base'!$C$19:$N$19,"&lt;"&amp;'Calc base'!D$19,'Calc base'!$C$14:$N$14,1))))</f>
        <v>0</v>
      </c>
      <c r="AJ174">
        <f>IF('Calc base'!E$14=0,0,MIN(X174,MAX(0,$E174-SUMIFS($V174:$AG174,'Calc base'!$C$19:$N$19,"&lt;"&amp;'Calc base'!E$19,'Calc base'!$C$14:$N$14,1))))</f>
        <v>0</v>
      </c>
      <c r="AK174">
        <f>IF('Calc base'!F$14=0,0,MIN(Y174,MAX(0,$E174-SUMIFS($V174:$AG174,'Calc base'!$C$19:$N$19,"&lt;"&amp;'Calc base'!F$19,'Calc base'!$C$14:$N$14,1))))</f>
        <v>0</v>
      </c>
      <c r="AL174">
        <f>IF('Calc base'!G$14=0,0,MIN(Z174,MAX(0,$E174-SUMIFS($V174:$AG174,'Calc base'!$C$19:$N$19,"&lt;"&amp;'Calc base'!G$19,'Calc base'!$C$14:$N$14,1))))</f>
        <v>0</v>
      </c>
      <c r="AM174">
        <f>IF('Calc base'!H$14=0,0,MIN(AA174,MAX(0,$E174-SUMIFS($V174:$AG174,'Calc base'!$C$19:$N$19,"&lt;"&amp;'Calc base'!H$19,'Calc base'!$C$14:$N$14,1))))</f>
        <v>0</v>
      </c>
      <c r="AN174">
        <f>IF('Calc base'!I$14=0,0,MIN(AB174,MAX(0,$E174-SUMIFS($V174:$AG174,'Calc base'!$C$19:$N$19,"&lt;"&amp;'Calc base'!I$19,'Calc base'!$C$14:$N$14,1))))</f>
        <v>0</v>
      </c>
      <c r="AO174">
        <f>IF('Calc base'!J$14=0,0,MIN(AC174,MAX(0,$E174-SUMIFS($V174:$AG174,'Calc base'!$C$19:$N$19,"&lt;"&amp;'Calc base'!J$19,'Calc base'!$C$14:$N$14,1))))</f>
        <v>0</v>
      </c>
      <c r="AP174">
        <f>IF('Calc base'!K$14=0,0,MIN(AD174,MAX(0,$E174-SUMIFS($V174:$AG174,'Calc base'!$C$19:$N$19,"&lt;"&amp;'Calc base'!K$19,'Calc base'!$C$14:$N$14,1))))</f>
        <v>0</v>
      </c>
      <c r="AQ174">
        <f>IF('Calc base'!L$14=0,0,MIN(AE174,MAX(0,$E174-SUMIFS($V174:$AG174,'Calc base'!$C$19:$N$19,"&lt;"&amp;'Calc base'!L$19,'Calc base'!$C$14:$N$14,1))))</f>
        <v>0</v>
      </c>
      <c r="AR174">
        <f>IF('Calc base'!M$14=0,0,MIN(AF174,MAX(0,$E174-SUMIFS($V174:$AG174,'Calc base'!$C$19:$N$19,"&lt;"&amp;'Calc base'!M$19,'Calc base'!$C$14:$N$14,1))))</f>
        <v>0</v>
      </c>
      <c r="AS174">
        <f>IF('Calc base'!N$14=0,0,MIN(AG174,MAX(0,$E174-SUMIFS($V174:$AG174,'Calc base'!$C$19:$N$19,"&lt;"&amp;'Calc base'!N$19,'Calc base'!$C$14:$N$14,1))))</f>
        <v>0</v>
      </c>
      <c r="AT174">
        <f>V174-AH174</f>
        <v>0</v>
      </c>
      <c r="AU174">
        <f>W174-AI174</f>
        <v>0</v>
      </c>
      <c r="AV174">
        <f>X174-AJ174</f>
        <v>0</v>
      </c>
      <c r="AW174">
        <f>Y174-AK174</f>
        <v>0</v>
      </c>
      <c r="AX174">
        <f>Z174-AL174</f>
        <v>0</v>
      </c>
      <c r="AY174">
        <f>AA174-AM174</f>
        <v>0</v>
      </c>
      <c r="AZ174">
        <f>AB174-AN174</f>
        <v>0</v>
      </c>
      <c r="BA174">
        <f>AC174-AO174</f>
        <v>0</v>
      </c>
      <c r="BB174">
        <f>AD174-AP174</f>
        <v>0</v>
      </c>
      <c r="BC174">
        <f>AE174-AQ174</f>
        <v>0</v>
      </c>
      <c r="BD174">
        <f>AF174-AR174</f>
        <v>0</v>
      </c>
      <c r="BE174">
        <f>AG174-AS174</f>
        <v>0</v>
      </c>
    </row>
    <row r="175">
      <c r="A175" t="n">
        <v>145</v>
      </c>
      <c r="B175">
        <f>SUMPRODUCT(ROUND($AT174:$BE174*(1+'Calc base'!$H175:$S175),2))</f>
        <v>0</v>
      </c>
      <c r="C175">
        <f>SUM(J175:U175)</f>
        <v>0</v>
      </c>
      <c r="D175">
        <f>SUM(V175:AG175)</f>
        <v>0</v>
      </c>
      <c r="E175">
        <f>MAX(0,IF(Impostazioni!$B$7="No",'Calc base'!$C175-$C$31,'Calc base'!$C175-C175)+'Calc base'!$G175+'Calc base'!$F175-(B175-C175-D175))</f>
        <v>900</v>
      </c>
      <c r="F175">
        <f>SUM(AH175:AS175)</f>
        <v>0</v>
      </c>
      <c r="G175">
        <f>SUM(AT175:BE175)</f>
        <v>0</v>
      </c>
      <c r="H175">
        <f>B175-G174</f>
        <v>0</v>
      </c>
      <c r="I175">
        <f>B175-G175</f>
        <v>0</v>
      </c>
      <c r="J175">
        <f>IF(AT174&lt;=0,0,IF(ROUND(AT174*(1+'Calc base'!H175),2)-MAX('Calc base'!C$12,ROUND('Calc base'!C$13*AT174,2))&lt;1,ROUND(AT174*(1+'Calc base'!H175),2),MAX('Calc base'!C$12,ROUND('Calc base'!C$13*AT174,2))))</f>
        <v>0</v>
      </c>
      <c r="K175">
        <f>IF(AU174&lt;=0,0,IF(ROUND(AU174*(1+'Calc base'!I175),2)-MAX('Calc base'!D$12,ROUND('Calc base'!D$13*AU174,2))&lt;1,ROUND(AU174*(1+'Calc base'!I175),2),MAX('Calc base'!D$12,ROUND('Calc base'!D$13*AU174,2))))</f>
        <v>0</v>
      </c>
      <c r="L175">
        <f>IF(AV174&lt;=0,0,IF(ROUND(AV174*(1+'Calc base'!J175),2)-MAX('Calc base'!E$12,ROUND('Calc base'!E$13*AV174,2))&lt;1,ROUND(AV174*(1+'Calc base'!J175),2),MAX('Calc base'!E$12,ROUND('Calc base'!E$13*AV174,2))))</f>
        <v>0</v>
      </c>
      <c r="M175">
        <f>IF(AW174&lt;=0,0,IF(ROUND(AW174*(1+'Calc base'!K175),2)-MAX('Calc base'!F$12,ROUND('Calc base'!F$13*AW174,2))&lt;1,ROUND(AW174*(1+'Calc base'!K175),2),MAX('Calc base'!F$12,ROUND('Calc base'!F$13*AW174,2))))</f>
        <v>0</v>
      </c>
      <c r="N175">
        <f>IF(AX174&lt;=0,0,IF(ROUND(AX174*(1+'Calc base'!L175),2)-MAX('Calc base'!G$12,ROUND('Calc base'!G$13*AX174,2))&lt;1,ROUND(AX174*(1+'Calc base'!L175),2),MAX('Calc base'!G$12,ROUND('Calc base'!G$13*AX174,2))))</f>
        <v>0</v>
      </c>
      <c r="O175">
        <f>IF(AY174&lt;=0,0,IF(ROUND(AY174*(1+'Calc base'!M175),2)-MAX('Calc base'!H$12,ROUND('Calc base'!H$13*AY174,2))&lt;1,ROUND(AY174*(1+'Calc base'!M175),2),MAX('Calc base'!H$12,ROUND('Calc base'!H$13*AY174,2))))</f>
        <v>0</v>
      </c>
      <c r="P175">
        <f>IF(AZ174&lt;=0,0,IF(ROUND(AZ174*(1+'Calc base'!N175),2)-MAX('Calc base'!I$12,ROUND('Calc base'!I$13*AZ174,2))&lt;1,ROUND(AZ174*(1+'Calc base'!N175),2),MAX('Calc base'!I$12,ROUND('Calc base'!I$13*AZ174,2))))</f>
        <v>0</v>
      </c>
      <c r="Q175">
        <f>IF(BA174&lt;=0,0,IF(ROUND(BA174*(1+'Calc base'!O175),2)-MAX('Calc base'!J$12,ROUND('Calc base'!J$13*BA174,2))&lt;1,ROUND(BA174*(1+'Calc base'!O175),2),MAX('Calc base'!J$12,ROUND('Calc base'!J$13*BA174,2))))</f>
        <v>0</v>
      </c>
      <c r="R175">
        <f>IF(BB174&lt;=0,0,IF(ROUND(BB174*(1+'Calc base'!P175),2)-MAX('Calc base'!K$12,ROUND('Calc base'!K$13*BB174,2))&lt;1,ROUND(BB174*(1+'Calc base'!P175),2),MAX('Calc base'!K$12,ROUND('Calc base'!K$13*BB174,2))))</f>
        <v>0</v>
      </c>
      <c r="S175">
        <f>IF(BC174&lt;=0,0,IF(ROUND(BC174*(1+'Calc base'!Q175),2)-MAX('Calc base'!L$12,ROUND('Calc base'!L$13*BC174,2))&lt;1,ROUND(BC174*(1+'Calc base'!Q175),2),MAX('Calc base'!L$12,ROUND('Calc base'!L$13*BC174,2))))</f>
        <v>0</v>
      </c>
      <c r="T175">
        <f>IF(BD174&lt;=0,0,IF(ROUND(BD174*(1+'Calc base'!R175),2)-MAX('Calc base'!M$12,ROUND('Calc base'!M$13*BD174,2))&lt;1,ROUND(BD174*(1+'Calc base'!R175),2),MAX('Calc base'!M$12,ROUND('Calc base'!M$13*BD174,2))))</f>
        <v>0</v>
      </c>
      <c r="U175">
        <f>IF(BE174&lt;=0,0,IF(ROUND(BE174*(1+'Calc base'!S175),2)-MAX('Calc base'!N$12,ROUND('Calc base'!N$13*BE174,2))&lt;1,ROUND(BE174*(1+'Calc base'!S175),2),MAX('Calc base'!N$12,ROUND('Calc base'!N$13*BE174,2))))</f>
        <v>0</v>
      </c>
      <c r="V175">
        <f>MAX(0,ROUND(AT174*(1+'Calc base'!H175),2)-J175-'Calc base'!T175)</f>
        <v>0</v>
      </c>
      <c r="W175">
        <f>MAX(0,ROUND(AU174*(1+'Calc base'!I175),2)-K175-'Calc base'!U175)</f>
        <v>0</v>
      </c>
      <c r="X175">
        <f>MAX(0,ROUND(AV174*(1+'Calc base'!J175),2)-L175-'Calc base'!V175)</f>
        <v>0</v>
      </c>
      <c r="Y175">
        <f>MAX(0,ROUND(AW174*(1+'Calc base'!K175),2)-M175-'Calc base'!W175)</f>
        <v>0</v>
      </c>
      <c r="Z175">
        <f>MAX(0,ROUND(AX174*(1+'Calc base'!L175),2)-N175-'Calc base'!X175)</f>
        <v>0</v>
      </c>
      <c r="AA175">
        <f>MAX(0,ROUND(AY174*(1+'Calc base'!M175),2)-O175-'Calc base'!Y175)</f>
        <v>0</v>
      </c>
      <c r="AB175">
        <f>MAX(0,ROUND(AZ174*(1+'Calc base'!N175),2)-P175-'Calc base'!Z175)</f>
        <v>0</v>
      </c>
      <c r="AC175">
        <f>MAX(0,ROUND(BA174*(1+'Calc base'!O175),2)-Q175-'Calc base'!AA175)</f>
        <v>0</v>
      </c>
      <c r="AD175">
        <f>MAX(0,ROUND(BB174*(1+'Calc base'!P175),2)-R175-'Calc base'!AB175)</f>
        <v>0</v>
      </c>
      <c r="AE175">
        <f>MAX(0,ROUND(BC174*(1+'Calc base'!Q175),2)-S175-'Calc base'!AC175)</f>
        <v>0</v>
      </c>
      <c r="AF175">
        <f>MAX(0,ROUND(BD174*(1+'Calc base'!R175),2)-T175-'Calc base'!AD175)</f>
        <v>0</v>
      </c>
      <c r="AG175">
        <f>MAX(0,ROUND(BE174*(1+'Calc base'!S175),2)-U175-'Calc base'!AE175)</f>
        <v>0</v>
      </c>
      <c r="AH175">
        <f>IF('Calc base'!C$14=0,0,MIN(V175,MAX(0,$E175-SUMIFS($V175:$AG175,'Calc base'!$C$19:$N$19,"&lt;"&amp;'Calc base'!C$19,'Calc base'!$C$14:$N$14,1))))</f>
        <v>0</v>
      </c>
      <c r="AI175">
        <f>IF('Calc base'!D$14=0,0,MIN(W175,MAX(0,$E175-SUMIFS($V175:$AG175,'Calc base'!$C$19:$N$19,"&lt;"&amp;'Calc base'!D$19,'Calc base'!$C$14:$N$14,1))))</f>
        <v>0</v>
      </c>
      <c r="AJ175">
        <f>IF('Calc base'!E$14=0,0,MIN(X175,MAX(0,$E175-SUMIFS($V175:$AG175,'Calc base'!$C$19:$N$19,"&lt;"&amp;'Calc base'!E$19,'Calc base'!$C$14:$N$14,1))))</f>
        <v>0</v>
      </c>
      <c r="AK175">
        <f>IF('Calc base'!F$14=0,0,MIN(Y175,MAX(0,$E175-SUMIFS($V175:$AG175,'Calc base'!$C$19:$N$19,"&lt;"&amp;'Calc base'!F$19,'Calc base'!$C$14:$N$14,1))))</f>
        <v>0</v>
      </c>
      <c r="AL175">
        <f>IF('Calc base'!G$14=0,0,MIN(Z175,MAX(0,$E175-SUMIFS($V175:$AG175,'Calc base'!$C$19:$N$19,"&lt;"&amp;'Calc base'!G$19,'Calc base'!$C$14:$N$14,1))))</f>
        <v>0</v>
      </c>
      <c r="AM175">
        <f>IF('Calc base'!H$14=0,0,MIN(AA175,MAX(0,$E175-SUMIFS($V175:$AG175,'Calc base'!$C$19:$N$19,"&lt;"&amp;'Calc base'!H$19,'Calc base'!$C$14:$N$14,1))))</f>
        <v>0</v>
      </c>
      <c r="AN175">
        <f>IF('Calc base'!I$14=0,0,MIN(AB175,MAX(0,$E175-SUMIFS($V175:$AG175,'Calc base'!$C$19:$N$19,"&lt;"&amp;'Calc base'!I$19,'Calc base'!$C$14:$N$14,1))))</f>
        <v>0</v>
      </c>
      <c r="AO175">
        <f>IF('Calc base'!J$14=0,0,MIN(AC175,MAX(0,$E175-SUMIFS($V175:$AG175,'Calc base'!$C$19:$N$19,"&lt;"&amp;'Calc base'!J$19,'Calc base'!$C$14:$N$14,1))))</f>
        <v>0</v>
      </c>
      <c r="AP175">
        <f>IF('Calc base'!K$14=0,0,MIN(AD175,MAX(0,$E175-SUMIFS($V175:$AG175,'Calc base'!$C$19:$N$19,"&lt;"&amp;'Calc base'!K$19,'Calc base'!$C$14:$N$14,1))))</f>
        <v>0</v>
      </c>
      <c r="AQ175">
        <f>IF('Calc base'!L$14=0,0,MIN(AE175,MAX(0,$E175-SUMIFS($V175:$AG175,'Calc base'!$C$19:$N$19,"&lt;"&amp;'Calc base'!L$19,'Calc base'!$C$14:$N$14,1))))</f>
        <v>0</v>
      </c>
      <c r="AR175">
        <f>IF('Calc base'!M$14=0,0,MIN(AF175,MAX(0,$E175-SUMIFS($V175:$AG175,'Calc base'!$C$19:$N$19,"&lt;"&amp;'Calc base'!M$19,'Calc base'!$C$14:$N$14,1))))</f>
        <v>0</v>
      </c>
      <c r="AS175">
        <f>IF('Calc base'!N$14=0,0,MIN(AG175,MAX(0,$E175-SUMIFS($V175:$AG175,'Calc base'!$C$19:$N$19,"&lt;"&amp;'Calc base'!N$19,'Calc base'!$C$14:$N$14,1))))</f>
        <v>0</v>
      </c>
      <c r="AT175">
        <f>V175-AH175</f>
        <v>0</v>
      </c>
      <c r="AU175">
        <f>W175-AI175</f>
        <v>0</v>
      </c>
      <c r="AV175">
        <f>X175-AJ175</f>
        <v>0</v>
      </c>
      <c r="AW175">
        <f>Y175-AK175</f>
        <v>0</v>
      </c>
      <c r="AX175">
        <f>Z175-AL175</f>
        <v>0</v>
      </c>
      <c r="AY175">
        <f>AA175-AM175</f>
        <v>0</v>
      </c>
      <c r="AZ175">
        <f>AB175-AN175</f>
        <v>0</v>
      </c>
      <c r="BA175">
        <f>AC175-AO175</f>
        <v>0</v>
      </c>
      <c r="BB175">
        <f>AD175-AP175</f>
        <v>0</v>
      </c>
      <c r="BC175">
        <f>AE175-AQ175</f>
        <v>0</v>
      </c>
      <c r="BD175">
        <f>AF175-AR175</f>
        <v>0</v>
      </c>
      <c r="BE175">
        <f>AG175-AS175</f>
        <v>0</v>
      </c>
    </row>
    <row r="176">
      <c r="A176" t="n">
        <v>146</v>
      </c>
      <c r="B176">
        <f>SUMPRODUCT(ROUND($AT175:$BE175*(1+'Calc base'!$H176:$S176),2))</f>
        <v>0</v>
      </c>
      <c r="C176">
        <f>SUM(J176:U176)</f>
        <v>0</v>
      </c>
      <c r="D176">
        <f>SUM(V176:AG176)</f>
        <v>0</v>
      </c>
      <c r="E176">
        <f>MAX(0,IF(Impostazioni!$B$7="No",'Calc base'!$C176-$C$31,'Calc base'!$C176-C176)+'Calc base'!$G176+'Calc base'!$F176-(B176-C176-D176))</f>
        <v>900</v>
      </c>
      <c r="F176">
        <f>SUM(AH176:AS176)</f>
        <v>0</v>
      </c>
      <c r="G176">
        <f>SUM(AT176:BE176)</f>
        <v>0</v>
      </c>
      <c r="H176">
        <f>B176-G175</f>
        <v>0</v>
      </c>
      <c r="I176">
        <f>B176-G176</f>
        <v>0</v>
      </c>
      <c r="J176">
        <f>IF(AT175&lt;=0,0,IF(ROUND(AT175*(1+'Calc base'!H176),2)-MAX('Calc base'!C$12,ROUND('Calc base'!C$13*AT175,2))&lt;1,ROUND(AT175*(1+'Calc base'!H176),2),MAX('Calc base'!C$12,ROUND('Calc base'!C$13*AT175,2))))</f>
        <v>0</v>
      </c>
      <c r="K176">
        <f>IF(AU175&lt;=0,0,IF(ROUND(AU175*(1+'Calc base'!I176),2)-MAX('Calc base'!D$12,ROUND('Calc base'!D$13*AU175,2))&lt;1,ROUND(AU175*(1+'Calc base'!I176),2),MAX('Calc base'!D$12,ROUND('Calc base'!D$13*AU175,2))))</f>
        <v>0</v>
      </c>
      <c r="L176">
        <f>IF(AV175&lt;=0,0,IF(ROUND(AV175*(1+'Calc base'!J176),2)-MAX('Calc base'!E$12,ROUND('Calc base'!E$13*AV175,2))&lt;1,ROUND(AV175*(1+'Calc base'!J176),2),MAX('Calc base'!E$12,ROUND('Calc base'!E$13*AV175,2))))</f>
        <v>0</v>
      </c>
      <c r="M176">
        <f>IF(AW175&lt;=0,0,IF(ROUND(AW175*(1+'Calc base'!K176),2)-MAX('Calc base'!F$12,ROUND('Calc base'!F$13*AW175,2))&lt;1,ROUND(AW175*(1+'Calc base'!K176),2),MAX('Calc base'!F$12,ROUND('Calc base'!F$13*AW175,2))))</f>
        <v>0</v>
      </c>
      <c r="N176">
        <f>IF(AX175&lt;=0,0,IF(ROUND(AX175*(1+'Calc base'!L176),2)-MAX('Calc base'!G$12,ROUND('Calc base'!G$13*AX175,2))&lt;1,ROUND(AX175*(1+'Calc base'!L176),2),MAX('Calc base'!G$12,ROUND('Calc base'!G$13*AX175,2))))</f>
        <v>0</v>
      </c>
      <c r="O176">
        <f>IF(AY175&lt;=0,0,IF(ROUND(AY175*(1+'Calc base'!M176),2)-MAX('Calc base'!H$12,ROUND('Calc base'!H$13*AY175,2))&lt;1,ROUND(AY175*(1+'Calc base'!M176),2),MAX('Calc base'!H$12,ROUND('Calc base'!H$13*AY175,2))))</f>
        <v>0</v>
      </c>
      <c r="P176">
        <f>IF(AZ175&lt;=0,0,IF(ROUND(AZ175*(1+'Calc base'!N176),2)-MAX('Calc base'!I$12,ROUND('Calc base'!I$13*AZ175,2))&lt;1,ROUND(AZ175*(1+'Calc base'!N176),2),MAX('Calc base'!I$12,ROUND('Calc base'!I$13*AZ175,2))))</f>
        <v>0</v>
      </c>
      <c r="Q176">
        <f>IF(BA175&lt;=0,0,IF(ROUND(BA175*(1+'Calc base'!O176),2)-MAX('Calc base'!J$12,ROUND('Calc base'!J$13*BA175,2))&lt;1,ROUND(BA175*(1+'Calc base'!O176),2),MAX('Calc base'!J$12,ROUND('Calc base'!J$13*BA175,2))))</f>
        <v>0</v>
      </c>
      <c r="R176">
        <f>IF(BB175&lt;=0,0,IF(ROUND(BB175*(1+'Calc base'!P176),2)-MAX('Calc base'!K$12,ROUND('Calc base'!K$13*BB175,2))&lt;1,ROUND(BB175*(1+'Calc base'!P176),2),MAX('Calc base'!K$12,ROUND('Calc base'!K$13*BB175,2))))</f>
        <v>0</v>
      </c>
      <c r="S176">
        <f>IF(BC175&lt;=0,0,IF(ROUND(BC175*(1+'Calc base'!Q176),2)-MAX('Calc base'!L$12,ROUND('Calc base'!L$13*BC175,2))&lt;1,ROUND(BC175*(1+'Calc base'!Q176),2),MAX('Calc base'!L$12,ROUND('Calc base'!L$13*BC175,2))))</f>
        <v>0</v>
      </c>
      <c r="T176">
        <f>IF(BD175&lt;=0,0,IF(ROUND(BD175*(1+'Calc base'!R176),2)-MAX('Calc base'!M$12,ROUND('Calc base'!M$13*BD175,2))&lt;1,ROUND(BD175*(1+'Calc base'!R176),2),MAX('Calc base'!M$12,ROUND('Calc base'!M$13*BD175,2))))</f>
        <v>0</v>
      </c>
      <c r="U176">
        <f>IF(BE175&lt;=0,0,IF(ROUND(BE175*(1+'Calc base'!S176),2)-MAX('Calc base'!N$12,ROUND('Calc base'!N$13*BE175,2))&lt;1,ROUND(BE175*(1+'Calc base'!S176),2),MAX('Calc base'!N$12,ROUND('Calc base'!N$13*BE175,2))))</f>
        <v>0</v>
      </c>
      <c r="V176">
        <f>MAX(0,ROUND(AT175*(1+'Calc base'!H176),2)-J176-'Calc base'!T176)</f>
        <v>0</v>
      </c>
      <c r="W176">
        <f>MAX(0,ROUND(AU175*(1+'Calc base'!I176),2)-K176-'Calc base'!U176)</f>
        <v>0</v>
      </c>
      <c r="X176">
        <f>MAX(0,ROUND(AV175*(1+'Calc base'!J176),2)-L176-'Calc base'!V176)</f>
        <v>0</v>
      </c>
      <c r="Y176">
        <f>MAX(0,ROUND(AW175*(1+'Calc base'!K176),2)-M176-'Calc base'!W176)</f>
        <v>0</v>
      </c>
      <c r="Z176">
        <f>MAX(0,ROUND(AX175*(1+'Calc base'!L176),2)-N176-'Calc base'!X176)</f>
        <v>0</v>
      </c>
      <c r="AA176">
        <f>MAX(0,ROUND(AY175*(1+'Calc base'!M176),2)-O176-'Calc base'!Y176)</f>
        <v>0</v>
      </c>
      <c r="AB176">
        <f>MAX(0,ROUND(AZ175*(1+'Calc base'!N176),2)-P176-'Calc base'!Z176)</f>
        <v>0</v>
      </c>
      <c r="AC176">
        <f>MAX(0,ROUND(BA175*(1+'Calc base'!O176),2)-Q176-'Calc base'!AA176)</f>
        <v>0</v>
      </c>
      <c r="AD176">
        <f>MAX(0,ROUND(BB175*(1+'Calc base'!P176),2)-R176-'Calc base'!AB176)</f>
        <v>0</v>
      </c>
      <c r="AE176">
        <f>MAX(0,ROUND(BC175*(1+'Calc base'!Q176),2)-S176-'Calc base'!AC176)</f>
        <v>0</v>
      </c>
      <c r="AF176">
        <f>MAX(0,ROUND(BD175*(1+'Calc base'!R176),2)-T176-'Calc base'!AD176)</f>
        <v>0</v>
      </c>
      <c r="AG176">
        <f>MAX(0,ROUND(BE175*(1+'Calc base'!S176),2)-U176-'Calc base'!AE176)</f>
        <v>0</v>
      </c>
      <c r="AH176">
        <f>IF('Calc base'!C$14=0,0,MIN(V176,MAX(0,$E176-SUMIFS($V176:$AG176,'Calc base'!$C$19:$N$19,"&lt;"&amp;'Calc base'!C$19,'Calc base'!$C$14:$N$14,1))))</f>
        <v>0</v>
      </c>
      <c r="AI176">
        <f>IF('Calc base'!D$14=0,0,MIN(W176,MAX(0,$E176-SUMIFS($V176:$AG176,'Calc base'!$C$19:$N$19,"&lt;"&amp;'Calc base'!D$19,'Calc base'!$C$14:$N$14,1))))</f>
        <v>0</v>
      </c>
      <c r="AJ176">
        <f>IF('Calc base'!E$14=0,0,MIN(X176,MAX(0,$E176-SUMIFS($V176:$AG176,'Calc base'!$C$19:$N$19,"&lt;"&amp;'Calc base'!E$19,'Calc base'!$C$14:$N$14,1))))</f>
        <v>0</v>
      </c>
      <c r="AK176">
        <f>IF('Calc base'!F$14=0,0,MIN(Y176,MAX(0,$E176-SUMIFS($V176:$AG176,'Calc base'!$C$19:$N$19,"&lt;"&amp;'Calc base'!F$19,'Calc base'!$C$14:$N$14,1))))</f>
        <v>0</v>
      </c>
      <c r="AL176">
        <f>IF('Calc base'!G$14=0,0,MIN(Z176,MAX(0,$E176-SUMIFS($V176:$AG176,'Calc base'!$C$19:$N$19,"&lt;"&amp;'Calc base'!G$19,'Calc base'!$C$14:$N$14,1))))</f>
        <v>0</v>
      </c>
      <c r="AM176">
        <f>IF('Calc base'!H$14=0,0,MIN(AA176,MAX(0,$E176-SUMIFS($V176:$AG176,'Calc base'!$C$19:$N$19,"&lt;"&amp;'Calc base'!H$19,'Calc base'!$C$14:$N$14,1))))</f>
        <v>0</v>
      </c>
      <c r="AN176">
        <f>IF('Calc base'!I$14=0,0,MIN(AB176,MAX(0,$E176-SUMIFS($V176:$AG176,'Calc base'!$C$19:$N$19,"&lt;"&amp;'Calc base'!I$19,'Calc base'!$C$14:$N$14,1))))</f>
        <v>0</v>
      </c>
      <c r="AO176">
        <f>IF('Calc base'!J$14=0,0,MIN(AC176,MAX(0,$E176-SUMIFS($V176:$AG176,'Calc base'!$C$19:$N$19,"&lt;"&amp;'Calc base'!J$19,'Calc base'!$C$14:$N$14,1))))</f>
        <v>0</v>
      </c>
      <c r="AP176">
        <f>IF('Calc base'!K$14=0,0,MIN(AD176,MAX(0,$E176-SUMIFS($V176:$AG176,'Calc base'!$C$19:$N$19,"&lt;"&amp;'Calc base'!K$19,'Calc base'!$C$14:$N$14,1))))</f>
        <v>0</v>
      </c>
      <c r="AQ176">
        <f>IF('Calc base'!L$14=0,0,MIN(AE176,MAX(0,$E176-SUMIFS($V176:$AG176,'Calc base'!$C$19:$N$19,"&lt;"&amp;'Calc base'!L$19,'Calc base'!$C$14:$N$14,1))))</f>
        <v>0</v>
      </c>
      <c r="AR176">
        <f>IF('Calc base'!M$14=0,0,MIN(AF176,MAX(0,$E176-SUMIFS($V176:$AG176,'Calc base'!$C$19:$N$19,"&lt;"&amp;'Calc base'!M$19,'Calc base'!$C$14:$N$14,1))))</f>
        <v>0</v>
      </c>
      <c r="AS176">
        <f>IF('Calc base'!N$14=0,0,MIN(AG176,MAX(0,$E176-SUMIFS($V176:$AG176,'Calc base'!$C$19:$N$19,"&lt;"&amp;'Calc base'!N$19,'Calc base'!$C$14:$N$14,1))))</f>
        <v>0</v>
      </c>
      <c r="AT176">
        <f>V176-AH176</f>
        <v>0</v>
      </c>
      <c r="AU176">
        <f>W176-AI176</f>
        <v>0</v>
      </c>
      <c r="AV176">
        <f>X176-AJ176</f>
        <v>0</v>
      </c>
      <c r="AW176">
        <f>Y176-AK176</f>
        <v>0</v>
      </c>
      <c r="AX176">
        <f>Z176-AL176</f>
        <v>0</v>
      </c>
      <c r="AY176">
        <f>AA176-AM176</f>
        <v>0</v>
      </c>
      <c r="AZ176">
        <f>AB176-AN176</f>
        <v>0</v>
      </c>
      <c r="BA176">
        <f>AC176-AO176</f>
        <v>0</v>
      </c>
      <c r="BB176">
        <f>AD176-AP176</f>
        <v>0</v>
      </c>
      <c r="BC176">
        <f>AE176-AQ176</f>
        <v>0</v>
      </c>
      <c r="BD176">
        <f>AF176-AR176</f>
        <v>0</v>
      </c>
      <c r="BE176">
        <f>AG176-AS176</f>
        <v>0</v>
      </c>
    </row>
    <row r="177">
      <c r="A177" t="n">
        <v>147</v>
      </c>
      <c r="B177">
        <f>SUMPRODUCT(ROUND($AT176:$BE176*(1+'Calc base'!$H177:$S177),2))</f>
        <v>0</v>
      </c>
      <c r="C177">
        <f>SUM(J177:U177)</f>
        <v>0</v>
      </c>
      <c r="D177">
        <f>SUM(V177:AG177)</f>
        <v>0</v>
      </c>
      <c r="E177">
        <f>MAX(0,IF(Impostazioni!$B$7="No",'Calc base'!$C177-$C$31,'Calc base'!$C177-C177)+'Calc base'!$G177+'Calc base'!$F177-(B177-C177-D177))</f>
        <v>900</v>
      </c>
      <c r="F177">
        <f>SUM(AH177:AS177)</f>
        <v>0</v>
      </c>
      <c r="G177">
        <f>SUM(AT177:BE177)</f>
        <v>0</v>
      </c>
      <c r="H177">
        <f>B177-G176</f>
        <v>0</v>
      </c>
      <c r="I177">
        <f>B177-G177</f>
        <v>0</v>
      </c>
      <c r="J177">
        <f>IF(AT176&lt;=0,0,IF(ROUND(AT176*(1+'Calc base'!H177),2)-MAX('Calc base'!C$12,ROUND('Calc base'!C$13*AT176,2))&lt;1,ROUND(AT176*(1+'Calc base'!H177),2),MAX('Calc base'!C$12,ROUND('Calc base'!C$13*AT176,2))))</f>
        <v>0</v>
      </c>
      <c r="K177">
        <f>IF(AU176&lt;=0,0,IF(ROUND(AU176*(1+'Calc base'!I177),2)-MAX('Calc base'!D$12,ROUND('Calc base'!D$13*AU176,2))&lt;1,ROUND(AU176*(1+'Calc base'!I177),2),MAX('Calc base'!D$12,ROUND('Calc base'!D$13*AU176,2))))</f>
        <v>0</v>
      </c>
      <c r="L177">
        <f>IF(AV176&lt;=0,0,IF(ROUND(AV176*(1+'Calc base'!J177),2)-MAX('Calc base'!E$12,ROUND('Calc base'!E$13*AV176,2))&lt;1,ROUND(AV176*(1+'Calc base'!J177),2),MAX('Calc base'!E$12,ROUND('Calc base'!E$13*AV176,2))))</f>
        <v>0</v>
      </c>
      <c r="M177">
        <f>IF(AW176&lt;=0,0,IF(ROUND(AW176*(1+'Calc base'!K177),2)-MAX('Calc base'!F$12,ROUND('Calc base'!F$13*AW176,2))&lt;1,ROUND(AW176*(1+'Calc base'!K177),2),MAX('Calc base'!F$12,ROUND('Calc base'!F$13*AW176,2))))</f>
        <v>0</v>
      </c>
      <c r="N177">
        <f>IF(AX176&lt;=0,0,IF(ROUND(AX176*(1+'Calc base'!L177),2)-MAX('Calc base'!G$12,ROUND('Calc base'!G$13*AX176,2))&lt;1,ROUND(AX176*(1+'Calc base'!L177),2),MAX('Calc base'!G$12,ROUND('Calc base'!G$13*AX176,2))))</f>
        <v>0</v>
      </c>
      <c r="O177">
        <f>IF(AY176&lt;=0,0,IF(ROUND(AY176*(1+'Calc base'!M177),2)-MAX('Calc base'!H$12,ROUND('Calc base'!H$13*AY176,2))&lt;1,ROUND(AY176*(1+'Calc base'!M177),2),MAX('Calc base'!H$12,ROUND('Calc base'!H$13*AY176,2))))</f>
        <v>0</v>
      </c>
      <c r="P177">
        <f>IF(AZ176&lt;=0,0,IF(ROUND(AZ176*(1+'Calc base'!N177),2)-MAX('Calc base'!I$12,ROUND('Calc base'!I$13*AZ176,2))&lt;1,ROUND(AZ176*(1+'Calc base'!N177),2),MAX('Calc base'!I$12,ROUND('Calc base'!I$13*AZ176,2))))</f>
        <v>0</v>
      </c>
      <c r="Q177">
        <f>IF(BA176&lt;=0,0,IF(ROUND(BA176*(1+'Calc base'!O177),2)-MAX('Calc base'!J$12,ROUND('Calc base'!J$13*BA176,2))&lt;1,ROUND(BA176*(1+'Calc base'!O177),2),MAX('Calc base'!J$12,ROUND('Calc base'!J$13*BA176,2))))</f>
        <v>0</v>
      </c>
      <c r="R177">
        <f>IF(BB176&lt;=0,0,IF(ROUND(BB176*(1+'Calc base'!P177),2)-MAX('Calc base'!K$12,ROUND('Calc base'!K$13*BB176,2))&lt;1,ROUND(BB176*(1+'Calc base'!P177),2),MAX('Calc base'!K$12,ROUND('Calc base'!K$13*BB176,2))))</f>
        <v>0</v>
      </c>
      <c r="S177">
        <f>IF(BC176&lt;=0,0,IF(ROUND(BC176*(1+'Calc base'!Q177),2)-MAX('Calc base'!L$12,ROUND('Calc base'!L$13*BC176,2))&lt;1,ROUND(BC176*(1+'Calc base'!Q177),2),MAX('Calc base'!L$12,ROUND('Calc base'!L$13*BC176,2))))</f>
        <v>0</v>
      </c>
      <c r="T177">
        <f>IF(BD176&lt;=0,0,IF(ROUND(BD176*(1+'Calc base'!R177),2)-MAX('Calc base'!M$12,ROUND('Calc base'!M$13*BD176,2))&lt;1,ROUND(BD176*(1+'Calc base'!R177),2),MAX('Calc base'!M$12,ROUND('Calc base'!M$13*BD176,2))))</f>
        <v>0</v>
      </c>
      <c r="U177">
        <f>IF(BE176&lt;=0,0,IF(ROUND(BE176*(1+'Calc base'!S177),2)-MAX('Calc base'!N$12,ROUND('Calc base'!N$13*BE176,2))&lt;1,ROUND(BE176*(1+'Calc base'!S177),2),MAX('Calc base'!N$12,ROUND('Calc base'!N$13*BE176,2))))</f>
        <v>0</v>
      </c>
      <c r="V177">
        <f>MAX(0,ROUND(AT176*(1+'Calc base'!H177),2)-J177-'Calc base'!T177)</f>
        <v>0</v>
      </c>
      <c r="W177">
        <f>MAX(0,ROUND(AU176*(1+'Calc base'!I177),2)-K177-'Calc base'!U177)</f>
        <v>0</v>
      </c>
      <c r="X177">
        <f>MAX(0,ROUND(AV176*(1+'Calc base'!J177),2)-L177-'Calc base'!V177)</f>
        <v>0</v>
      </c>
      <c r="Y177">
        <f>MAX(0,ROUND(AW176*(1+'Calc base'!K177),2)-M177-'Calc base'!W177)</f>
        <v>0</v>
      </c>
      <c r="Z177">
        <f>MAX(0,ROUND(AX176*(1+'Calc base'!L177),2)-N177-'Calc base'!X177)</f>
        <v>0</v>
      </c>
      <c r="AA177">
        <f>MAX(0,ROUND(AY176*(1+'Calc base'!M177),2)-O177-'Calc base'!Y177)</f>
        <v>0</v>
      </c>
      <c r="AB177">
        <f>MAX(0,ROUND(AZ176*(1+'Calc base'!N177),2)-P177-'Calc base'!Z177)</f>
        <v>0</v>
      </c>
      <c r="AC177">
        <f>MAX(0,ROUND(BA176*(1+'Calc base'!O177),2)-Q177-'Calc base'!AA177)</f>
        <v>0</v>
      </c>
      <c r="AD177">
        <f>MAX(0,ROUND(BB176*(1+'Calc base'!P177),2)-R177-'Calc base'!AB177)</f>
        <v>0</v>
      </c>
      <c r="AE177">
        <f>MAX(0,ROUND(BC176*(1+'Calc base'!Q177),2)-S177-'Calc base'!AC177)</f>
        <v>0</v>
      </c>
      <c r="AF177">
        <f>MAX(0,ROUND(BD176*(1+'Calc base'!R177),2)-T177-'Calc base'!AD177)</f>
        <v>0</v>
      </c>
      <c r="AG177">
        <f>MAX(0,ROUND(BE176*(1+'Calc base'!S177),2)-U177-'Calc base'!AE177)</f>
        <v>0</v>
      </c>
      <c r="AH177">
        <f>IF('Calc base'!C$14=0,0,MIN(V177,MAX(0,$E177-SUMIFS($V177:$AG177,'Calc base'!$C$19:$N$19,"&lt;"&amp;'Calc base'!C$19,'Calc base'!$C$14:$N$14,1))))</f>
        <v>0</v>
      </c>
      <c r="AI177">
        <f>IF('Calc base'!D$14=0,0,MIN(W177,MAX(0,$E177-SUMIFS($V177:$AG177,'Calc base'!$C$19:$N$19,"&lt;"&amp;'Calc base'!D$19,'Calc base'!$C$14:$N$14,1))))</f>
        <v>0</v>
      </c>
      <c r="AJ177">
        <f>IF('Calc base'!E$14=0,0,MIN(X177,MAX(0,$E177-SUMIFS($V177:$AG177,'Calc base'!$C$19:$N$19,"&lt;"&amp;'Calc base'!E$19,'Calc base'!$C$14:$N$14,1))))</f>
        <v>0</v>
      </c>
      <c r="AK177">
        <f>IF('Calc base'!F$14=0,0,MIN(Y177,MAX(0,$E177-SUMIFS($V177:$AG177,'Calc base'!$C$19:$N$19,"&lt;"&amp;'Calc base'!F$19,'Calc base'!$C$14:$N$14,1))))</f>
        <v>0</v>
      </c>
      <c r="AL177">
        <f>IF('Calc base'!G$14=0,0,MIN(Z177,MAX(0,$E177-SUMIFS($V177:$AG177,'Calc base'!$C$19:$N$19,"&lt;"&amp;'Calc base'!G$19,'Calc base'!$C$14:$N$14,1))))</f>
        <v>0</v>
      </c>
      <c r="AM177">
        <f>IF('Calc base'!H$14=0,0,MIN(AA177,MAX(0,$E177-SUMIFS($V177:$AG177,'Calc base'!$C$19:$N$19,"&lt;"&amp;'Calc base'!H$19,'Calc base'!$C$14:$N$14,1))))</f>
        <v>0</v>
      </c>
      <c r="AN177">
        <f>IF('Calc base'!I$14=0,0,MIN(AB177,MAX(0,$E177-SUMIFS($V177:$AG177,'Calc base'!$C$19:$N$19,"&lt;"&amp;'Calc base'!I$19,'Calc base'!$C$14:$N$14,1))))</f>
        <v>0</v>
      </c>
      <c r="AO177">
        <f>IF('Calc base'!J$14=0,0,MIN(AC177,MAX(0,$E177-SUMIFS($V177:$AG177,'Calc base'!$C$19:$N$19,"&lt;"&amp;'Calc base'!J$19,'Calc base'!$C$14:$N$14,1))))</f>
        <v>0</v>
      </c>
      <c r="AP177">
        <f>IF('Calc base'!K$14=0,0,MIN(AD177,MAX(0,$E177-SUMIFS($V177:$AG177,'Calc base'!$C$19:$N$19,"&lt;"&amp;'Calc base'!K$19,'Calc base'!$C$14:$N$14,1))))</f>
        <v>0</v>
      </c>
      <c r="AQ177">
        <f>IF('Calc base'!L$14=0,0,MIN(AE177,MAX(0,$E177-SUMIFS($V177:$AG177,'Calc base'!$C$19:$N$19,"&lt;"&amp;'Calc base'!L$19,'Calc base'!$C$14:$N$14,1))))</f>
        <v>0</v>
      </c>
      <c r="AR177">
        <f>IF('Calc base'!M$14=0,0,MIN(AF177,MAX(0,$E177-SUMIFS($V177:$AG177,'Calc base'!$C$19:$N$19,"&lt;"&amp;'Calc base'!M$19,'Calc base'!$C$14:$N$14,1))))</f>
        <v>0</v>
      </c>
      <c r="AS177">
        <f>IF('Calc base'!N$14=0,0,MIN(AG177,MAX(0,$E177-SUMIFS($V177:$AG177,'Calc base'!$C$19:$N$19,"&lt;"&amp;'Calc base'!N$19,'Calc base'!$C$14:$N$14,1))))</f>
        <v>0</v>
      </c>
      <c r="AT177">
        <f>V177-AH177</f>
        <v>0</v>
      </c>
      <c r="AU177">
        <f>W177-AI177</f>
        <v>0</v>
      </c>
      <c r="AV177">
        <f>X177-AJ177</f>
        <v>0</v>
      </c>
      <c r="AW177">
        <f>Y177-AK177</f>
        <v>0</v>
      </c>
      <c r="AX177">
        <f>Z177-AL177</f>
        <v>0</v>
      </c>
      <c r="AY177">
        <f>AA177-AM177</f>
        <v>0</v>
      </c>
      <c r="AZ177">
        <f>AB177-AN177</f>
        <v>0</v>
      </c>
      <c r="BA177">
        <f>AC177-AO177</f>
        <v>0</v>
      </c>
      <c r="BB177">
        <f>AD177-AP177</f>
        <v>0</v>
      </c>
      <c r="BC177">
        <f>AE177-AQ177</f>
        <v>0</v>
      </c>
      <c r="BD177">
        <f>AF177-AR177</f>
        <v>0</v>
      </c>
      <c r="BE177">
        <f>AG177-AS177</f>
        <v>0</v>
      </c>
    </row>
    <row r="178">
      <c r="A178" t="n">
        <v>148</v>
      </c>
      <c r="B178">
        <f>SUMPRODUCT(ROUND($AT177:$BE177*(1+'Calc base'!$H178:$S178),2))</f>
        <v>0</v>
      </c>
      <c r="C178">
        <f>SUM(J178:U178)</f>
        <v>0</v>
      </c>
      <c r="D178">
        <f>SUM(V178:AG178)</f>
        <v>0</v>
      </c>
      <c r="E178">
        <f>MAX(0,IF(Impostazioni!$B$7="No",'Calc base'!$C178-$C$31,'Calc base'!$C178-C178)+'Calc base'!$G178+'Calc base'!$F178-(B178-C178-D178))</f>
        <v>900</v>
      </c>
      <c r="F178">
        <f>SUM(AH178:AS178)</f>
        <v>0</v>
      </c>
      <c r="G178">
        <f>SUM(AT178:BE178)</f>
        <v>0</v>
      </c>
      <c r="H178">
        <f>B178-G177</f>
        <v>0</v>
      </c>
      <c r="I178">
        <f>B178-G178</f>
        <v>0</v>
      </c>
      <c r="J178">
        <f>IF(AT177&lt;=0,0,IF(ROUND(AT177*(1+'Calc base'!H178),2)-MAX('Calc base'!C$12,ROUND('Calc base'!C$13*AT177,2))&lt;1,ROUND(AT177*(1+'Calc base'!H178),2),MAX('Calc base'!C$12,ROUND('Calc base'!C$13*AT177,2))))</f>
        <v>0</v>
      </c>
      <c r="K178">
        <f>IF(AU177&lt;=0,0,IF(ROUND(AU177*(1+'Calc base'!I178),2)-MAX('Calc base'!D$12,ROUND('Calc base'!D$13*AU177,2))&lt;1,ROUND(AU177*(1+'Calc base'!I178),2),MAX('Calc base'!D$12,ROUND('Calc base'!D$13*AU177,2))))</f>
        <v>0</v>
      </c>
      <c r="L178">
        <f>IF(AV177&lt;=0,0,IF(ROUND(AV177*(1+'Calc base'!J178),2)-MAX('Calc base'!E$12,ROUND('Calc base'!E$13*AV177,2))&lt;1,ROUND(AV177*(1+'Calc base'!J178),2),MAX('Calc base'!E$12,ROUND('Calc base'!E$13*AV177,2))))</f>
        <v>0</v>
      </c>
      <c r="M178">
        <f>IF(AW177&lt;=0,0,IF(ROUND(AW177*(1+'Calc base'!K178),2)-MAX('Calc base'!F$12,ROUND('Calc base'!F$13*AW177,2))&lt;1,ROUND(AW177*(1+'Calc base'!K178),2),MAX('Calc base'!F$12,ROUND('Calc base'!F$13*AW177,2))))</f>
        <v>0</v>
      </c>
      <c r="N178">
        <f>IF(AX177&lt;=0,0,IF(ROUND(AX177*(1+'Calc base'!L178),2)-MAX('Calc base'!G$12,ROUND('Calc base'!G$13*AX177,2))&lt;1,ROUND(AX177*(1+'Calc base'!L178),2),MAX('Calc base'!G$12,ROUND('Calc base'!G$13*AX177,2))))</f>
        <v>0</v>
      </c>
      <c r="O178">
        <f>IF(AY177&lt;=0,0,IF(ROUND(AY177*(1+'Calc base'!M178),2)-MAX('Calc base'!H$12,ROUND('Calc base'!H$13*AY177,2))&lt;1,ROUND(AY177*(1+'Calc base'!M178),2),MAX('Calc base'!H$12,ROUND('Calc base'!H$13*AY177,2))))</f>
        <v>0</v>
      </c>
      <c r="P178">
        <f>IF(AZ177&lt;=0,0,IF(ROUND(AZ177*(1+'Calc base'!N178),2)-MAX('Calc base'!I$12,ROUND('Calc base'!I$13*AZ177,2))&lt;1,ROUND(AZ177*(1+'Calc base'!N178),2),MAX('Calc base'!I$12,ROUND('Calc base'!I$13*AZ177,2))))</f>
        <v>0</v>
      </c>
      <c r="Q178">
        <f>IF(BA177&lt;=0,0,IF(ROUND(BA177*(1+'Calc base'!O178),2)-MAX('Calc base'!J$12,ROUND('Calc base'!J$13*BA177,2))&lt;1,ROUND(BA177*(1+'Calc base'!O178),2),MAX('Calc base'!J$12,ROUND('Calc base'!J$13*BA177,2))))</f>
        <v>0</v>
      </c>
      <c r="R178">
        <f>IF(BB177&lt;=0,0,IF(ROUND(BB177*(1+'Calc base'!P178),2)-MAX('Calc base'!K$12,ROUND('Calc base'!K$13*BB177,2))&lt;1,ROUND(BB177*(1+'Calc base'!P178),2),MAX('Calc base'!K$12,ROUND('Calc base'!K$13*BB177,2))))</f>
        <v>0</v>
      </c>
      <c r="S178">
        <f>IF(BC177&lt;=0,0,IF(ROUND(BC177*(1+'Calc base'!Q178),2)-MAX('Calc base'!L$12,ROUND('Calc base'!L$13*BC177,2))&lt;1,ROUND(BC177*(1+'Calc base'!Q178),2),MAX('Calc base'!L$12,ROUND('Calc base'!L$13*BC177,2))))</f>
        <v>0</v>
      </c>
      <c r="T178">
        <f>IF(BD177&lt;=0,0,IF(ROUND(BD177*(1+'Calc base'!R178),2)-MAX('Calc base'!M$12,ROUND('Calc base'!M$13*BD177,2))&lt;1,ROUND(BD177*(1+'Calc base'!R178),2),MAX('Calc base'!M$12,ROUND('Calc base'!M$13*BD177,2))))</f>
        <v>0</v>
      </c>
      <c r="U178">
        <f>IF(BE177&lt;=0,0,IF(ROUND(BE177*(1+'Calc base'!S178),2)-MAX('Calc base'!N$12,ROUND('Calc base'!N$13*BE177,2))&lt;1,ROUND(BE177*(1+'Calc base'!S178),2),MAX('Calc base'!N$12,ROUND('Calc base'!N$13*BE177,2))))</f>
        <v>0</v>
      </c>
      <c r="V178">
        <f>MAX(0,ROUND(AT177*(1+'Calc base'!H178),2)-J178-'Calc base'!T178)</f>
        <v>0</v>
      </c>
      <c r="W178">
        <f>MAX(0,ROUND(AU177*(1+'Calc base'!I178),2)-K178-'Calc base'!U178)</f>
        <v>0</v>
      </c>
      <c r="X178">
        <f>MAX(0,ROUND(AV177*(1+'Calc base'!J178),2)-L178-'Calc base'!V178)</f>
        <v>0</v>
      </c>
      <c r="Y178">
        <f>MAX(0,ROUND(AW177*(1+'Calc base'!K178),2)-M178-'Calc base'!W178)</f>
        <v>0</v>
      </c>
      <c r="Z178">
        <f>MAX(0,ROUND(AX177*(1+'Calc base'!L178),2)-N178-'Calc base'!X178)</f>
        <v>0</v>
      </c>
      <c r="AA178">
        <f>MAX(0,ROUND(AY177*(1+'Calc base'!M178),2)-O178-'Calc base'!Y178)</f>
        <v>0</v>
      </c>
      <c r="AB178">
        <f>MAX(0,ROUND(AZ177*(1+'Calc base'!N178),2)-P178-'Calc base'!Z178)</f>
        <v>0</v>
      </c>
      <c r="AC178">
        <f>MAX(0,ROUND(BA177*(1+'Calc base'!O178),2)-Q178-'Calc base'!AA178)</f>
        <v>0</v>
      </c>
      <c r="AD178">
        <f>MAX(0,ROUND(BB177*(1+'Calc base'!P178),2)-R178-'Calc base'!AB178)</f>
        <v>0</v>
      </c>
      <c r="AE178">
        <f>MAX(0,ROUND(BC177*(1+'Calc base'!Q178),2)-S178-'Calc base'!AC178)</f>
        <v>0</v>
      </c>
      <c r="AF178">
        <f>MAX(0,ROUND(BD177*(1+'Calc base'!R178),2)-T178-'Calc base'!AD178)</f>
        <v>0</v>
      </c>
      <c r="AG178">
        <f>MAX(0,ROUND(BE177*(1+'Calc base'!S178),2)-U178-'Calc base'!AE178)</f>
        <v>0</v>
      </c>
      <c r="AH178">
        <f>IF('Calc base'!C$14=0,0,MIN(V178,MAX(0,$E178-SUMIFS($V178:$AG178,'Calc base'!$C$19:$N$19,"&lt;"&amp;'Calc base'!C$19,'Calc base'!$C$14:$N$14,1))))</f>
        <v>0</v>
      </c>
      <c r="AI178">
        <f>IF('Calc base'!D$14=0,0,MIN(W178,MAX(0,$E178-SUMIFS($V178:$AG178,'Calc base'!$C$19:$N$19,"&lt;"&amp;'Calc base'!D$19,'Calc base'!$C$14:$N$14,1))))</f>
        <v>0</v>
      </c>
      <c r="AJ178">
        <f>IF('Calc base'!E$14=0,0,MIN(X178,MAX(0,$E178-SUMIFS($V178:$AG178,'Calc base'!$C$19:$N$19,"&lt;"&amp;'Calc base'!E$19,'Calc base'!$C$14:$N$14,1))))</f>
        <v>0</v>
      </c>
      <c r="AK178">
        <f>IF('Calc base'!F$14=0,0,MIN(Y178,MAX(0,$E178-SUMIFS($V178:$AG178,'Calc base'!$C$19:$N$19,"&lt;"&amp;'Calc base'!F$19,'Calc base'!$C$14:$N$14,1))))</f>
        <v>0</v>
      </c>
      <c r="AL178">
        <f>IF('Calc base'!G$14=0,0,MIN(Z178,MAX(0,$E178-SUMIFS($V178:$AG178,'Calc base'!$C$19:$N$19,"&lt;"&amp;'Calc base'!G$19,'Calc base'!$C$14:$N$14,1))))</f>
        <v>0</v>
      </c>
      <c r="AM178">
        <f>IF('Calc base'!H$14=0,0,MIN(AA178,MAX(0,$E178-SUMIFS($V178:$AG178,'Calc base'!$C$19:$N$19,"&lt;"&amp;'Calc base'!H$19,'Calc base'!$C$14:$N$14,1))))</f>
        <v>0</v>
      </c>
      <c r="AN178">
        <f>IF('Calc base'!I$14=0,0,MIN(AB178,MAX(0,$E178-SUMIFS($V178:$AG178,'Calc base'!$C$19:$N$19,"&lt;"&amp;'Calc base'!I$19,'Calc base'!$C$14:$N$14,1))))</f>
        <v>0</v>
      </c>
      <c r="AO178">
        <f>IF('Calc base'!J$14=0,0,MIN(AC178,MAX(0,$E178-SUMIFS($V178:$AG178,'Calc base'!$C$19:$N$19,"&lt;"&amp;'Calc base'!J$19,'Calc base'!$C$14:$N$14,1))))</f>
        <v>0</v>
      </c>
      <c r="AP178">
        <f>IF('Calc base'!K$14=0,0,MIN(AD178,MAX(0,$E178-SUMIFS($V178:$AG178,'Calc base'!$C$19:$N$19,"&lt;"&amp;'Calc base'!K$19,'Calc base'!$C$14:$N$14,1))))</f>
        <v>0</v>
      </c>
      <c r="AQ178">
        <f>IF('Calc base'!L$14=0,0,MIN(AE178,MAX(0,$E178-SUMIFS($V178:$AG178,'Calc base'!$C$19:$N$19,"&lt;"&amp;'Calc base'!L$19,'Calc base'!$C$14:$N$14,1))))</f>
        <v>0</v>
      </c>
      <c r="AR178">
        <f>IF('Calc base'!M$14=0,0,MIN(AF178,MAX(0,$E178-SUMIFS($V178:$AG178,'Calc base'!$C$19:$N$19,"&lt;"&amp;'Calc base'!M$19,'Calc base'!$C$14:$N$14,1))))</f>
        <v>0</v>
      </c>
      <c r="AS178">
        <f>IF('Calc base'!N$14=0,0,MIN(AG178,MAX(0,$E178-SUMIFS($V178:$AG178,'Calc base'!$C$19:$N$19,"&lt;"&amp;'Calc base'!N$19,'Calc base'!$C$14:$N$14,1))))</f>
        <v>0</v>
      </c>
      <c r="AT178">
        <f>V178-AH178</f>
        <v>0</v>
      </c>
      <c r="AU178">
        <f>W178-AI178</f>
        <v>0</v>
      </c>
      <c r="AV178">
        <f>X178-AJ178</f>
        <v>0</v>
      </c>
      <c r="AW178">
        <f>Y178-AK178</f>
        <v>0</v>
      </c>
      <c r="AX178">
        <f>Z178-AL178</f>
        <v>0</v>
      </c>
      <c r="AY178">
        <f>AA178-AM178</f>
        <v>0</v>
      </c>
      <c r="AZ178">
        <f>AB178-AN178</f>
        <v>0</v>
      </c>
      <c r="BA178">
        <f>AC178-AO178</f>
        <v>0</v>
      </c>
      <c r="BB178">
        <f>AD178-AP178</f>
        <v>0</v>
      </c>
      <c r="BC178">
        <f>AE178-AQ178</f>
        <v>0</v>
      </c>
      <c r="BD178">
        <f>AF178-AR178</f>
        <v>0</v>
      </c>
      <c r="BE178">
        <f>AG178-AS178</f>
        <v>0</v>
      </c>
    </row>
    <row r="179">
      <c r="A179" t="n">
        <v>149</v>
      </c>
      <c r="B179">
        <f>SUMPRODUCT(ROUND($AT178:$BE178*(1+'Calc base'!$H179:$S179),2))</f>
        <v>0</v>
      </c>
      <c r="C179">
        <f>SUM(J179:U179)</f>
        <v>0</v>
      </c>
      <c r="D179">
        <f>SUM(V179:AG179)</f>
        <v>0</v>
      </c>
      <c r="E179">
        <f>MAX(0,IF(Impostazioni!$B$7="No",'Calc base'!$C179-$C$31,'Calc base'!$C179-C179)+'Calc base'!$G179+'Calc base'!$F179-(B179-C179-D179))</f>
        <v>900</v>
      </c>
      <c r="F179">
        <f>SUM(AH179:AS179)</f>
        <v>0</v>
      </c>
      <c r="G179">
        <f>SUM(AT179:BE179)</f>
        <v>0</v>
      </c>
      <c r="H179">
        <f>B179-G178</f>
        <v>0</v>
      </c>
      <c r="I179">
        <f>B179-G179</f>
        <v>0</v>
      </c>
      <c r="J179">
        <f>IF(AT178&lt;=0,0,IF(ROUND(AT178*(1+'Calc base'!H179),2)-MAX('Calc base'!C$12,ROUND('Calc base'!C$13*AT178,2))&lt;1,ROUND(AT178*(1+'Calc base'!H179),2),MAX('Calc base'!C$12,ROUND('Calc base'!C$13*AT178,2))))</f>
        <v>0</v>
      </c>
      <c r="K179">
        <f>IF(AU178&lt;=0,0,IF(ROUND(AU178*(1+'Calc base'!I179),2)-MAX('Calc base'!D$12,ROUND('Calc base'!D$13*AU178,2))&lt;1,ROUND(AU178*(1+'Calc base'!I179),2),MAX('Calc base'!D$12,ROUND('Calc base'!D$13*AU178,2))))</f>
        <v>0</v>
      </c>
      <c r="L179">
        <f>IF(AV178&lt;=0,0,IF(ROUND(AV178*(1+'Calc base'!J179),2)-MAX('Calc base'!E$12,ROUND('Calc base'!E$13*AV178,2))&lt;1,ROUND(AV178*(1+'Calc base'!J179),2),MAX('Calc base'!E$12,ROUND('Calc base'!E$13*AV178,2))))</f>
        <v>0</v>
      </c>
      <c r="M179">
        <f>IF(AW178&lt;=0,0,IF(ROUND(AW178*(1+'Calc base'!K179),2)-MAX('Calc base'!F$12,ROUND('Calc base'!F$13*AW178,2))&lt;1,ROUND(AW178*(1+'Calc base'!K179),2),MAX('Calc base'!F$12,ROUND('Calc base'!F$13*AW178,2))))</f>
        <v>0</v>
      </c>
      <c r="N179">
        <f>IF(AX178&lt;=0,0,IF(ROUND(AX178*(1+'Calc base'!L179),2)-MAX('Calc base'!G$12,ROUND('Calc base'!G$13*AX178,2))&lt;1,ROUND(AX178*(1+'Calc base'!L179),2),MAX('Calc base'!G$12,ROUND('Calc base'!G$13*AX178,2))))</f>
        <v>0</v>
      </c>
      <c r="O179">
        <f>IF(AY178&lt;=0,0,IF(ROUND(AY178*(1+'Calc base'!M179),2)-MAX('Calc base'!H$12,ROUND('Calc base'!H$13*AY178,2))&lt;1,ROUND(AY178*(1+'Calc base'!M179),2),MAX('Calc base'!H$12,ROUND('Calc base'!H$13*AY178,2))))</f>
        <v>0</v>
      </c>
      <c r="P179">
        <f>IF(AZ178&lt;=0,0,IF(ROUND(AZ178*(1+'Calc base'!N179),2)-MAX('Calc base'!I$12,ROUND('Calc base'!I$13*AZ178,2))&lt;1,ROUND(AZ178*(1+'Calc base'!N179),2),MAX('Calc base'!I$12,ROUND('Calc base'!I$13*AZ178,2))))</f>
        <v>0</v>
      </c>
      <c r="Q179">
        <f>IF(BA178&lt;=0,0,IF(ROUND(BA178*(1+'Calc base'!O179),2)-MAX('Calc base'!J$12,ROUND('Calc base'!J$13*BA178,2))&lt;1,ROUND(BA178*(1+'Calc base'!O179),2),MAX('Calc base'!J$12,ROUND('Calc base'!J$13*BA178,2))))</f>
        <v>0</v>
      </c>
      <c r="R179">
        <f>IF(BB178&lt;=0,0,IF(ROUND(BB178*(1+'Calc base'!P179),2)-MAX('Calc base'!K$12,ROUND('Calc base'!K$13*BB178,2))&lt;1,ROUND(BB178*(1+'Calc base'!P179),2),MAX('Calc base'!K$12,ROUND('Calc base'!K$13*BB178,2))))</f>
        <v>0</v>
      </c>
      <c r="S179">
        <f>IF(BC178&lt;=0,0,IF(ROUND(BC178*(1+'Calc base'!Q179),2)-MAX('Calc base'!L$12,ROUND('Calc base'!L$13*BC178,2))&lt;1,ROUND(BC178*(1+'Calc base'!Q179),2),MAX('Calc base'!L$12,ROUND('Calc base'!L$13*BC178,2))))</f>
        <v>0</v>
      </c>
      <c r="T179">
        <f>IF(BD178&lt;=0,0,IF(ROUND(BD178*(1+'Calc base'!R179),2)-MAX('Calc base'!M$12,ROUND('Calc base'!M$13*BD178,2))&lt;1,ROUND(BD178*(1+'Calc base'!R179),2),MAX('Calc base'!M$12,ROUND('Calc base'!M$13*BD178,2))))</f>
        <v>0</v>
      </c>
      <c r="U179">
        <f>IF(BE178&lt;=0,0,IF(ROUND(BE178*(1+'Calc base'!S179),2)-MAX('Calc base'!N$12,ROUND('Calc base'!N$13*BE178,2))&lt;1,ROUND(BE178*(1+'Calc base'!S179),2),MAX('Calc base'!N$12,ROUND('Calc base'!N$13*BE178,2))))</f>
        <v>0</v>
      </c>
      <c r="V179">
        <f>MAX(0,ROUND(AT178*(1+'Calc base'!H179),2)-J179-'Calc base'!T179)</f>
        <v>0</v>
      </c>
      <c r="W179">
        <f>MAX(0,ROUND(AU178*(1+'Calc base'!I179),2)-K179-'Calc base'!U179)</f>
        <v>0</v>
      </c>
      <c r="X179">
        <f>MAX(0,ROUND(AV178*(1+'Calc base'!J179),2)-L179-'Calc base'!V179)</f>
        <v>0</v>
      </c>
      <c r="Y179">
        <f>MAX(0,ROUND(AW178*(1+'Calc base'!K179),2)-M179-'Calc base'!W179)</f>
        <v>0</v>
      </c>
      <c r="Z179">
        <f>MAX(0,ROUND(AX178*(1+'Calc base'!L179),2)-N179-'Calc base'!X179)</f>
        <v>0</v>
      </c>
      <c r="AA179">
        <f>MAX(0,ROUND(AY178*(1+'Calc base'!M179),2)-O179-'Calc base'!Y179)</f>
        <v>0</v>
      </c>
      <c r="AB179">
        <f>MAX(0,ROUND(AZ178*(1+'Calc base'!N179),2)-P179-'Calc base'!Z179)</f>
        <v>0</v>
      </c>
      <c r="AC179">
        <f>MAX(0,ROUND(BA178*(1+'Calc base'!O179),2)-Q179-'Calc base'!AA179)</f>
        <v>0</v>
      </c>
      <c r="AD179">
        <f>MAX(0,ROUND(BB178*(1+'Calc base'!P179),2)-R179-'Calc base'!AB179)</f>
        <v>0</v>
      </c>
      <c r="AE179">
        <f>MAX(0,ROUND(BC178*(1+'Calc base'!Q179),2)-S179-'Calc base'!AC179)</f>
        <v>0</v>
      </c>
      <c r="AF179">
        <f>MAX(0,ROUND(BD178*(1+'Calc base'!R179),2)-T179-'Calc base'!AD179)</f>
        <v>0</v>
      </c>
      <c r="AG179">
        <f>MAX(0,ROUND(BE178*(1+'Calc base'!S179),2)-U179-'Calc base'!AE179)</f>
        <v>0</v>
      </c>
      <c r="AH179">
        <f>IF('Calc base'!C$14=0,0,MIN(V179,MAX(0,$E179-SUMIFS($V179:$AG179,'Calc base'!$C$19:$N$19,"&lt;"&amp;'Calc base'!C$19,'Calc base'!$C$14:$N$14,1))))</f>
        <v>0</v>
      </c>
      <c r="AI179">
        <f>IF('Calc base'!D$14=0,0,MIN(W179,MAX(0,$E179-SUMIFS($V179:$AG179,'Calc base'!$C$19:$N$19,"&lt;"&amp;'Calc base'!D$19,'Calc base'!$C$14:$N$14,1))))</f>
        <v>0</v>
      </c>
      <c r="AJ179">
        <f>IF('Calc base'!E$14=0,0,MIN(X179,MAX(0,$E179-SUMIFS($V179:$AG179,'Calc base'!$C$19:$N$19,"&lt;"&amp;'Calc base'!E$19,'Calc base'!$C$14:$N$14,1))))</f>
        <v>0</v>
      </c>
      <c r="AK179">
        <f>IF('Calc base'!F$14=0,0,MIN(Y179,MAX(0,$E179-SUMIFS($V179:$AG179,'Calc base'!$C$19:$N$19,"&lt;"&amp;'Calc base'!F$19,'Calc base'!$C$14:$N$14,1))))</f>
        <v>0</v>
      </c>
      <c r="AL179">
        <f>IF('Calc base'!G$14=0,0,MIN(Z179,MAX(0,$E179-SUMIFS($V179:$AG179,'Calc base'!$C$19:$N$19,"&lt;"&amp;'Calc base'!G$19,'Calc base'!$C$14:$N$14,1))))</f>
        <v>0</v>
      </c>
      <c r="AM179">
        <f>IF('Calc base'!H$14=0,0,MIN(AA179,MAX(0,$E179-SUMIFS($V179:$AG179,'Calc base'!$C$19:$N$19,"&lt;"&amp;'Calc base'!H$19,'Calc base'!$C$14:$N$14,1))))</f>
        <v>0</v>
      </c>
      <c r="AN179">
        <f>IF('Calc base'!I$14=0,0,MIN(AB179,MAX(0,$E179-SUMIFS($V179:$AG179,'Calc base'!$C$19:$N$19,"&lt;"&amp;'Calc base'!I$19,'Calc base'!$C$14:$N$14,1))))</f>
        <v>0</v>
      </c>
      <c r="AO179">
        <f>IF('Calc base'!J$14=0,0,MIN(AC179,MAX(0,$E179-SUMIFS($V179:$AG179,'Calc base'!$C$19:$N$19,"&lt;"&amp;'Calc base'!J$19,'Calc base'!$C$14:$N$14,1))))</f>
        <v>0</v>
      </c>
      <c r="AP179">
        <f>IF('Calc base'!K$14=0,0,MIN(AD179,MAX(0,$E179-SUMIFS($V179:$AG179,'Calc base'!$C$19:$N$19,"&lt;"&amp;'Calc base'!K$19,'Calc base'!$C$14:$N$14,1))))</f>
        <v>0</v>
      </c>
      <c r="AQ179">
        <f>IF('Calc base'!L$14=0,0,MIN(AE179,MAX(0,$E179-SUMIFS($V179:$AG179,'Calc base'!$C$19:$N$19,"&lt;"&amp;'Calc base'!L$19,'Calc base'!$C$14:$N$14,1))))</f>
        <v>0</v>
      </c>
      <c r="AR179">
        <f>IF('Calc base'!M$14=0,0,MIN(AF179,MAX(0,$E179-SUMIFS($V179:$AG179,'Calc base'!$C$19:$N$19,"&lt;"&amp;'Calc base'!M$19,'Calc base'!$C$14:$N$14,1))))</f>
        <v>0</v>
      </c>
      <c r="AS179">
        <f>IF('Calc base'!N$14=0,0,MIN(AG179,MAX(0,$E179-SUMIFS($V179:$AG179,'Calc base'!$C$19:$N$19,"&lt;"&amp;'Calc base'!N$19,'Calc base'!$C$14:$N$14,1))))</f>
        <v>0</v>
      </c>
      <c r="AT179">
        <f>V179-AH179</f>
        <v>0</v>
      </c>
      <c r="AU179">
        <f>W179-AI179</f>
        <v>0</v>
      </c>
      <c r="AV179">
        <f>X179-AJ179</f>
        <v>0</v>
      </c>
      <c r="AW179">
        <f>Y179-AK179</f>
        <v>0</v>
      </c>
      <c r="AX179">
        <f>Z179-AL179</f>
        <v>0</v>
      </c>
      <c r="AY179">
        <f>AA179-AM179</f>
        <v>0</v>
      </c>
      <c r="AZ179">
        <f>AB179-AN179</f>
        <v>0</v>
      </c>
      <c r="BA179">
        <f>AC179-AO179</f>
        <v>0</v>
      </c>
      <c r="BB179">
        <f>AD179-AP179</f>
        <v>0</v>
      </c>
      <c r="BC179">
        <f>AE179-AQ179</f>
        <v>0</v>
      </c>
      <c r="BD179">
        <f>AF179-AR179</f>
        <v>0</v>
      </c>
      <c r="BE179">
        <f>AG179-AS179</f>
        <v>0</v>
      </c>
    </row>
    <row r="180">
      <c r="A180" t="n">
        <v>150</v>
      </c>
      <c r="B180">
        <f>SUMPRODUCT(ROUND($AT179:$BE179*(1+'Calc base'!$H180:$S180),2))</f>
        <v>0</v>
      </c>
      <c r="C180">
        <f>SUM(J180:U180)</f>
        <v>0</v>
      </c>
      <c r="D180">
        <f>SUM(V180:AG180)</f>
        <v>0</v>
      </c>
      <c r="E180">
        <f>MAX(0,IF(Impostazioni!$B$7="No",'Calc base'!$C180-$C$31,'Calc base'!$C180-C180)+'Calc base'!$G180+'Calc base'!$F180-(B180-C180-D180))</f>
        <v>900</v>
      </c>
      <c r="F180">
        <f>SUM(AH180:AS180)</f>
        <v>0</v>
      </c>
      <c r="G180">
        <f>SUM(AT180:BE180)</f>
        <v>0</v>
      </c>
      <c r="H180">
        <f>B180-G179</f>
        <v>0</v>
      </c>
      <c r="I180">
        <f>B180-G180</f>
        <v>0</v>
      </c>
      <c r="J180">
        <f>IF(AT179&lt;=0,0,IF(ROUND(AT179*(1+'Calc base'!H180),2)-MAX('Calc base'!C$12,ROUND('Calc base'!C$13*AT179,2))&lt;1,ROUND(AT179*(1+'Calc base'!H180),2),MAX('Calc base'!C$12,ROUND('Calc base'!C$13*AT179,2))))</f>
        <v>0</v>
      </c>
      <c r="K180">
        <f>IF(AU179&lt;=0,0,IF(ROUND(AU179*(1+'Calc base'!I180),2)-MAX('Calc base'!D$12,ROUND('Calc base'!D$13*AU179,2))&lt;1,ROUND(AU179*(1+'Calc base'!I180),2),MAX('Calc base'!D$12,ROUND('Calc base'!D$13*AU179,2))))</f>
        <v>0</v>
      </c>
      <c r="L180">
        <f>IF(AV179&lt;=0,0,IF(ROUND(AV179*(1+'Calc base'!J180),2)-MAX('Calc base'!E$12,ROUND('Calc base'!E$13*AV179,2))&lt;1,ROUND(AV179*(1+'Calc base'!J180),2),MAX('Calc base'!E$12,ROUND('Calc base'!E$13*AV179,2))))</f>
        <v>0</v>
      </c>
      <c r="M180">
        <f>IF(AW179&lt;=0,0,IF(ROUND(AW179*(1+'Calc base'!K180),2)-MAX('Calc base'!F$12,ROUND('Calc base'!F$13*AW179,2))&lt;1,ROUND(AW179*(1+'Calc base'!K180),2),MAX('Calc base'!F$12,ROUND('Calc base'!F$13*AW179,2))))</f>
        <v>0</v>
      </c>
      <c r="N180">
        <f>IF(AX179&lt;=0,0,IF(ROUND(AX179*(1+'Calc base'!L180),2)-MAX('Calc base'!G$12,ROUND('Calc base'!G$13*AX179,2))&lt;1,ROUND(AX179*(1+'Calc base'!L180),2),MAX('Calc base'!G$12,ROUND('Calc base'!G$13*AX179,2))))</f>
        <v>0</v>
      </c>
      <c r="O180">
        <f>IF(AY179&lt;=0,0,IF(ROUND(AY179*(1+'Calc base'!M180),2)-MAX('Calc base'!H$12,ROUND('Calc base'!H$13*AY179,2))&lt;1,ROUND(AY179*(1+'Calc base'!M180),2),MAX('Calc base'!H$12,ROUND('Calc base'!H$13*AY179,2))))</f>
        <v>0</v>
      </c>
      <c r="P180">
        <f>IF(AZ179&lt;=0,0,IF(ROUND(AZ179*(1+'Calc base'!N180),2)-MAX('Calc base'!I$12,ROUND('Calc base'!I$13*AZ179,2))&lt;1,ROUND(AZ179*(1+'Calc base'!N180),2),MAX('Calc base'!I$12,ROUND('Calc base'!I$13*AZ179,2))))</f>
        <v>0</v>
      </c>
      <c r="Q180">
        <f>IF(BA179&lt;=0,0,IF(ROUND(BA179*(1+'Calc base'!O180),2)-MAX('Calc base'!J$12,ROUND('Calc base'!J$13*BA179,2))&lt;1,ROUND(BA179*(1+'Calc base'!O180),2),MAX('Calc base'!J$12,ROUND('Calc base'!J$13*BA179,2))))</f>
        <v>0</v>
      </c>
      <c r="R180">
        <f>IF(BB179&lt;=0,0,IF(ROUND(BB179*(1+'Calc base'!P180),2)-MAX('Calc base'!K$12,ROUND('Calc base'!K$13*BB179,2))&lt;1,ROUND(BB179*(1+'Calc base'!P180),2),MAX('Calc base'!K$12,ROUND('Calc base'!K$13*BB179,2))))</f>
        <v>0</v>
      </c>
      <c r="S180">
        <f>IF(BC179&lt;=0,0,IF(ROUND(BC179*(1+'Calc base'!Q180),2)-MAX('Calc base'!L$12,ROUND('Calc base'!L$13*BC179,2))&lt;1,ROUND(BC179*(1+'Calc base'!Q180),2),MAX('Calc base'!L$12,ROUND('Calc base'!L$13*BC179,2))))</f>
        <v>0</v>
      </c>
      <c r="T180">
        <f>IF(BD179&lt;=0,0,IF(ROUND(BD179*(1+'Calc base'!R180),2)-MAX('Calc base'!M$12,ROUND('Calc base'!M$13*BD179,2))&lt;1,ROUND(BD179*(1+'Calc base'!R180),2),MAX('Calc base'!M$12,ROUND('Calc base'!M$13*BD179,2))))</f>
        <v>0</v>
      </c>
      <c r="U180">
        <f>IF(BE179&lt;=0,0,IF(ROUND(BE179*(1+'Calc base'!S180),2)-MAX('Calc base'!N$12,ROUND('Calc base'!N$13*BE179,2))&lt;1,ROUND(BE179*(1+'Calc base'!S180),2),MAX('Calc base'!N$12,ROUND('Calc base'!N$13*BE179,2))))</f>
        <v>0</v>
      </c>
      <c r="V180">
        <f>MAX(0,ROUND(AT179*(1+'Calc base'!H180),2)-J180-'Calc base'!T180)</f>
        <v>0</v>
      </c>
      <c r="W180">
        <f>MAX(0,ROUND(AU179*(1+'Calc base'!I180),2)-K180-'Calc base'!U180)</f>
        <v>0</v>
      </c>
      <c r="X180">
        <f>MAX(0,ROUND(AV179*(1+'Calc base'!J180),2)-L180-'Calc base'!V180)</f>
        <v>0</v>
      </c>
      <c r="Y180">
        <f>MAX(0,ROUND(AW179*(1+'Calc base'!K180),2)-M180-'Calc base'!W180)</f>
        <v>0</v>
      </c>
      <c r="Z180">
        <f>MAX(0,ROUND(AX179*(1+'Calc base'!L180),2)-N180-'Calc base'!X180)</f>
        <v>0</v>
      </c>
      <c r="AA180">
        <f>MAX(0,ROUND(AY179*(1+'Calc base'!M180),2)-O180-'Calc base'!Y180)</f>
        <v>0</v>
      </c>
      <c r="AB180">
        <f>MAX(0,ROUND(AZ179*(1+'Calc base'!N180),2)-P180-'Calc base'!Z180)</f>
        <v>0</v>
      </c>
      <c r="AC180">
        <f>MAX(0,ROUND(BA179*(1+'Calc base'!O180),2)-Q180-'Calc base'!AA180)</f>
        <v>0</v>
      </c>
      <c r="AD180">
        <f>MAX(0,ROUND(BB179*(1+'Calc base'!P180),2)-R180-'Calc base'!AB180)</f>
        <v>0</v>
      </c>
      <c r="AE180">
        <f>MAX(0,ROUND(BC179*(1+'Calc base'!Q180),2)-S180-'Calc base'!AC180)</f>
        <v>0</v>
      </c>
      <c r="AF180">
        <f>MAX(0,ROUND(BD179*(1+'Calc base'!R180),2)-T180-'Calc base'!AD180)</f>
        <v>0</v>
      </c>
      <c r="AG180">
        <f>MAX(0,ROUND(BE179*(1+'Calc base'!S180),2)-U180-'Calc base'!AE180)</f>
        <v>0</v>
      </c>
      <c r="AH180">
        <f>IF('Calc base'!C$14=0,0,MIN(V180,MAX(0,$E180-SUMIFS($V180:$AG180,'Calc base'!$C$19:$N$19,"&lt;"&amp;'Calc base'!C$19,'Calc base'!$C$14:$N$14,1))))</f>
        <v>0</v>
      </c>
      <c r="AI180">
        <f>IF('Calc base'!D$14=0,0,MIN(W180,MAX(0,$E180-SUMIFS($V180:$AG180,'Calc base'!$C$19:$N$19,"&lt;"&amp;'Calc base'!D$19,'Calc base'!$C$14:$N$14,1))))</f>
        <v>0</v>
      </c>
      <c r="AJ180">
        <f>IF('Calc base'!E$14=0,0,MIN(X180,MAX(0,$E180-SUMIFS($V180:$AG180,'Calc base'!$C$19:$N$19,"&lt;"&amp;'Calc base'!E$19,'Calc base'!$C$14:$N$14,1))))</f>
        <v>0</v>
      </c>
      <c r="AK180">
        <f>IF('Calc base'!F$14=0,0,MIN(Y180,MAX(0,$E180-SUMIFS($V180:$AG180,'Calc base'!$C$19:$N$19,"&lt;"&amp;'Calc base'!F$19,'Calc base'!$C$14:$N$14,1))))</f>
        <v>0</v>
      </c>
      <c r="AL180">
        <f>IF('Calc base'!G$14=0,0,MIN(Z180,MAX(0,$E180-SUMIFS($V180:$AG180,'Calc base'!$C$19:$N$19,"&lt;"&amp;'Calc base'!G$19,'Calc base'!$C$14:$N$14,1))))</f>
        <v>0</v>
      </c>
      <c r="AM180">
        <f>IF('Calc base'!H$14=0,0,MIN(AA180,MAX(0,$E180-SUMIFS($V180:$AG180,'Calc base'!$C$19:$N$19,"&lt;"&amp;'Calc base'!H$19,'Calc base'!$C$14:$N$14,1))))</f>
        <v>0</v>
      </c>
      <c r="AN180">
        <f>IF('Calc base'!I$14=0,0,MIN(AB180,MAX(0,$E180-SUMIFS($V180:$AG180,'Calc base'!$C$19:$N$19,"&lt;"&amp;'Calc base'!I$19,'Calc base'!$C$14:$N$14,1))))</f>
        <v>0</v>
      </c>
      <c r="AO180">
        <f>IF('Calc base'!J$14=0,0,MIN(AC180,MAX(0,$E180-SUMIFS($V180:$AG180,'Calc base'!$C$19:$N$19,"&lt;"&amp;'Calc base'!J$19,'Calc base'!$C$14:$N$14,1))))</f>
        <v>0</v>
      </c>
      <c r="AP180">
        <f>IF('Calc base'!K$14=0,0,MIN(AD180,MAX(0,$E180-SUMIFS($V180:$AG180,'Calc base'!$C$19:$N$19,"&lt;"&amp;'Calc base'!K$19,'Calc base'!$C$14:$N$14,1))))</f>
        <v>0</v>
      </c>
      <c r="AQ180">
        <f>IF('Calc base'!L$14=0,0,MIN(AE180,MAX(0,$E180-SUMIFS($V180:$AG180,'Calc base'!$C$19:$N$19,"&lt;"&amp;'Calc base'!L$19,'Calc base'!$C$14:$N$14,1))))</f>
        <v>0</v>
      </c>
      <c r="AR180">
        <f>IF('Calc base'!M$14=0,0,MIN(AF180,MAX(0,$E180-SUMIFS($V180:$AG180,'Calc base'!$C$19:$N$19,"&lt;"&amp;'Calc base'!M$19,'Calc base'!$C$14:$N$14,1))))</f>
        <v>0</v>
      </c>
      <c r="AS180">
        <f>IF('Calc base'!N$14=0,0,MIN(AG180,MAX(0,$E180-SUMIFS($V180:$AG180,'Calc base'!$C$19:$N$19,"&lt;"&amp;'Calc base'!N$19,'Calc base'!$C$14:$N$14,1))))</f>
        <v>0</v>
      </c>
      <c r="AT180">
        <f>V180-AH180</f>
        <v>0</v>
      </c>
      <c r="AU180">
        <f>W180-AI180</f>
        <v>0</v>
      </c>
      <c r="AV180">
        <f>X180-AJ180</f>
        <v>0</v>
      </c>
      <c r="AW180">
        <f>Y180-AK180</f>
        <v>0</v>
      </c>
      <c r="AX180">
        <f>Z180-AL180</f>
        <v>0</v>
      </c>
      <c r="AY180">
        <f>AA180-AM180</f>
        <v>0</v>
      </c>
      <c r="AZ180">
        <f>AB180-AN180</f>
        <v>0</v>
      </c>
      <c r="BA180">
        <f>AC180-AO180</f>
        <v>0</v>
      </c>
      <c r="BB180">
        <f>AD180-AP180</f>
        <v>0</v>
      </c>
      <c r="BC180">
        <f>AE180-AQ180</f>
        <v>0</v>
      </c>
      <c r="BD180">
        <f>AF180-AR180</f>
        <v>0</v>
      </c>
      <c r="BE180">
        <f>AG180-AS180</f>
        <v>0</v>
      </c>
    </row>
    <row r="181">
      <c r="A181" t="n">
        <v>151</v>
      </c>
      <c r="B181">
        <f>SUMPRODUCT(ROUND($AT180:$BE180*(1+'Calc base'!$H181:$S181),2))</f>
        <v>0</v>
      </c>
      <c r="C181">
        <f>SUM(J181:U181)</f>
        <v>0</v>
      </c>
      <c r="D181">
        <f>SUM(V181:AG181)</f>
        <v>0</v>
      </c>
      <c r="E181">
        <f>MAX(0,IF(Impostazioni!$B$7="No",'Calc base'!$C181-$C$31,'Calc base'!$C181-C181)+'Calc base'!$G181+'Calc base'!$F181-(B181-C181-D181))</f>
        <v>900</v>
      </c>
      <c r="F181">
        <f>SUM(AH181:AS181)</f>
        <v>0</v>
      </c>
      <c r="G181">
        <f>SUM(AT181:BE181)</f>
        <v>0</v>
      </c>
      <c r="H181">
        <f>B181-G180</f>
        <v>0</v>
      </c>
      <c r="I181">
        <f>B181-G181</f>
        <v>0</v>
      </c>
      <c r="J181">
        <f>IF(AT180&lt;=0,0,IF(ROUND(AT180*(1+'Calc base'!H181),2)-MAX('Calc base'!C$12,ROUND('Calc base'!C$13*AT180,2))&lt;1,ROUND(AT180*(1+'Calc base'!H181),2),MAX('Calc base'!C$12,ROUND('Calc base'!C$13*AT180,2))))</f>
        <v>0</v>
      </c>
      <c r="K181">
        <f>IF(AU180&lt;=0,0,IF(ROUND(AU180*(1+'Calc base'!I181),2)-MAX('Calc base'!D$12,ROUND('Calc base'!D$13*AU180,2))&lt;1,ROUND(AU180*(1+'Calc base'!I181),2),MAX('Calc base'!D$12,ROUND('Calc base'!D$13*AU180,2))))</f>
        <v>0</v>
      </c>
      <c r="L181">
        <f>IF(AV180&lt;=0,0,IF(ROUND(AV180*(1+'Calc base'!J181),2)-MAX('Calc base'!E$12,ROUND('Calc base'!E$13*AV180,2))&lt;1,ROUND(AV180*(1+'Calc base'!J181),2),MAX('Calc base'!E$12,ROUND('Calc base'!E$13*AV180,2))))</f>
        <v>0</v>
      </c>
      <c r="M181">
        <f>IF(AW180&lt;=0,0,IF(ROUND(AW180*(1+'Calc base'!K181),2)-MAX('Calc base'!F$12,ROUND('Calc base'!F$13*AW180,2))&lt;1,ROUND(AW180*(1+'Calc base'!K181),2),MAX('Calc base'!F$12,ROUND('Calc base'!F$13*AW180,2))))</f>
        <v>0</v>
      </c>
      <c r="N181">
        <f>IF(AX180&lt;=0,0,IF(ROUND(AX180*(1+'Calc base'!L181),2)-MAX('Calc base'!G$12,ROUND('Calc base'!G$13*AX180,2))&lt;1,ROUND(AX180*(1+'Calc base'!L181),2),MAX('Calc base'!G$12,ROUND('Calc base'!G$13*AX180,2))))</f>
        <v>0</v>
      </c>
      <c r="O181">
        <f>IF(AY180&lt;=0,0,IF(ROUND(AY180*(1+'Calc base'!M181),2)-MAX('Calc base'!H$12,ROUND('Calc base'!H$13*AY180,2))&lt;1,ROUND(AY180*(1+'Calc base'!M181),2),MAX('Calc base'!H$12,ROUND('Calc base'!H$13*AY180,2))))</f>
        <v>0</v>
      </c>
      <c r="P181">
        <f>IF(AZ180&lt;=0,0,IF(ROUND(AZ180*(1+'Calc base'!N181),2)-MAX('Calc base'!I$12,ROUND('Calc base'!I$13*AZ180,2))&lt;1,ROUND(AZ180*(1+'Calc base'!N181),2),MAX('Calc base'!I$12,ROUND('Calc base'!I$13*AZ180,2))))</f>
        <v>0</v>
      </c>
      <c r="Q181">
        <f>IF(BA180&lt;=0,0,IF(ROUND(BA180*(1+'Calc base'!O181),2)-MAX('Calc base'!J$12,ROUND('Calc base'!J$13*BA180,2))&lt;1,ROUND(BA180*(1+'Calc base'!O181),2),MAX('Calc base'!J$12,ROUND('Calc base'!J$13*BA180,2))))</f>
        <v>0</v>
      </c>
      <c r="R181">
        <f>IF(BB180&lt;=0,0,IF(ROUND(BB180*(1+'Calc base'!P181),2)-MAX('Calc base'!K$12,ROUND('Calc base'!K$13*BB180,2))&lt;1,ROUND(BB180*(1+'Calc base'!P181),2),MAX('Calc base'!K$12,ROUND('Calc base'!K$13*BB180,2))))</f>
        <v>0</v>
      </c>
      <c r="S181">
        <f>IF(BC180&lt;=0,0,IF(ROUND(BC180*(1+'Calc base'!Q181),2)-MAX('Calc base'!L$12,ROUND('Calc base'!L$13*BC180,2))&lt;1,ROUND(BC180*(1+'Calc base'!Q181),2),MAX('Calc base'!L$12,ROUND('Calc base'!L$13*BC180,2))))</f>
        <v>0</v>
      </c>
      <c r="T181">
        <f>IF(BD180&lt;=0,0,IF(ROUND(BD180*(1+'Calc base'!R181),2)-MAX('Calc base'!M$12,ROUND('Calc base'!M$13*BD180,2))&lt;1,ROUND(BD180*(1+'Calc base'!R181),2),MAX('Calc base'!M$12,ROUND('Calc base'!M$13*BD180,2))))</f>
        <v>0</v>
      </c>
      <c r="U181">
        <f>IF(BE180&lt;=0,0,IF(ROUND(BE180*(1+'Calc base'!S181),2)-MAX('Calc base'!N$12,ROUND('Calc base'!N$13*BE180,2))&lt;1,ROUND(BE180*(1+'Calc base'!S181),2),MAX('Calc base'!N$12,ROUND('Calc base'!N$13*BE180,2))))</f>
        <v>0</v>
      </c>
      <c r="V181">
        <f>MAX(0,ROUND(AT180*(1+'Calc base'!H181),2)-J181-'Calc base'!T181)</f>
        <v>0</v>
      </c>
      <c r="W181">
        <f>MAX(0,ROUND(AU180*(1+'Calc base'!I181),2)-K181-'Calc base'!U181)</f>
        <v>0</v>
      </c>
      <c r="X181">
        <f>MAX(0,ROUND(AV180*(1+'Calc base'!J181),2)-L181-'Calc base'!V181)</f>
        <v>0</v>
      </c>
      <c r="Y181">
        <f>MAX(0,ROUND(AW180*(1+'Calc base'!K181),2)-M181-'Calc base'!W181)</f>
        <v>0</v>
      </c>
      <c r="Z181">
        <f>MAX(0,ROUND(AX180*(1+'Calc base'!L181),2)-N181-'Calc base'!X181)</f>
        <v>0</v>
      </c>
      <c r="AA181">
        <f>MAX(0,ROUND(AY180*(1+'Calc base'!M181),2)-O181-'Calc base'!Y181)</f>
        <v>0</v>
      </c>
      <c r="AB181">
        <f>MAX(0,ROUND(AZ180*(1+'Calc base'!N181),2)-P181-'Calc base'!Z181)</f>
        <v>0</v>
      </c>
      <c r="AC181">
        <f>MAX(0,ROUND(BA180*(1+'Calc base'!O181),2)-Q181-'Calc base'!AA181)</f>
        <v>0</v>
      </c>
      <c r="AD181">
        <f>MAX(0,ROUND(BB180*(1+'Calc base'!P181),2)-R181-'Calc base'!AB181)</f>
        <v>0</v>
      </c>
      <c r="AE181">
        <f>MAX(0,ROUND(BC180*(1+'Calc base'!Q181),2)-S181-'Calc base'!AC181)</f>
        <v>0</v>
      </c>
      <c r="AF181">
        <f>MAX(0,ROUND(BD180*(1+'Calc base'!R181),2)-T181-'Calc base'!AD181)</f>
        <v>0</v>
      </c>
      <c r="AG181">
        <f>MAX(0,ROUND(BE180*(1+'Calc base'!S181),2)-U181-'Calc base'!AE181)</f>
        <v>0</v>
      </c>
      <c r="AH181">
        <f>IF('Calc base'!C$14=0,0,MIN(V181,MAX(0,$E181-SUMIFS($V181:$AG181,'Calc base'!$C$19:$N$19,"&lt;"&amp;'Calc base'!C$19,'Calc base'!$C$14:$N$14,1))))</f>
        <v>0</v>
      </c>
      <c r="AI181">
        <f>IF('Calc base'!D$14=0,0,MIN(W181,MAX(0,$E181-SUMIFS($V181:$AG181,'Calc base'!$C$19:$N$19,"&lt;"&amp;'Calc base'!D$19,'Calc base'!$C$14:$N$14,1))))</f>
        <v>0</v>
      </c>
      <c r="AJ181">
        <f>IF('Calc base'!E$14=0,0,MIN(X181,MAX(0,$E181-SUMIFS($V181:$AG181,'Calc base'!$C$19:$N$19,"&lt;"&amp;'Calc base'!E$19,'Calc base'!$C$14:$N$14,1))))</f>
        <v>0</v>
      </c>
      <c r="AK181">
        <f>IF('Calc base'!F$14=0,0,MIN(Y181,MAX(0,$E181-SUMIFS($V181:$AG181,'Calc base'!$C$19:$N$19,"&lt;"&amp;'Calc base'!F$19,'Calc base'!$C$14:$N$14,1))))</f>
        <v>0</v>
      </c>
      <c r="AL181">
        <f>IF('Calc base'!G$14=0,0,MIN(Z181,MAX(0,$E181-SUMIFS($V181:$AG181,'Calc base'!$C$19:$N$19,"&lt;"&amp;'Calc base'!G$19,'Calc base'!$C$14:$N$14,1))))</f>
        <v>0</v>
      </c>
      <c r="AM181">
        <f>IF('Calc base'!H$14=0,0,MIN(AA181,MAX(0,$E181-SUMIFS($V181:$AG181,'Calc base'!$C$19:$N$19,"&lt;"&amp;'Calc base'!H$19,'Calc base'!$C$14:$N$14,1))))</f>
        <v>0</v>
      </c>
      <c r="AN181">
        <f>IF('Calc base'!I$14=0,0,MIN(AB181,MAX(0,$E181-SUMIFS($V181:$AG181,'Calc base'!$C$19:$N$19,"&lt;"&amp;'Calc base'!I$19,'Calc base'!$C$14:$N$14,1))))</f>
        <v>0</v>
      </c>
      <c r="AO181">
        <f>IF('Calc base'!J$14=0,0,MIN(AC181,MAX(0,$E181-SUMIFS($V181:$AG181,'Calc base'!$C$19:$N$19,"&lt;"&amp;'Calc base'!J$19,'Calc base'!$C$14:$N$14,1))))</f>
        <v>0</v>
      </c>
      <c r="AP181">
        <f>IF('Calc base'!K$14=0,0,MIN(AD181,MAX(0,$E181-SUMIFS($V181:$AG181,'Calc base'!$C$19:$N$19,"&lt;"&amp;'Calc base'!K$19,'Calc base'!$C$14:$N$14,1))))</f>
        <v>0</v>
      </c>
      <c r="AQ181">
        <f>IF('Calc base'!L$14=0,0,MIN(AE181,MAX(0,$E181-SUMIFS($V181:$AG181,'Calc base'!$C$19:$N$19,"&lt;"&amp;'Calc base'!L$19,'Calc base'!$C$14:$N$14,1))))</f>
        <v>0</v>
      </c>
      <c r="AR181">
        <f>IF('Calc base'!M$14=0,0,MIN(AF181,MAX(0,$E181-SUMIFS($V181:$AG181,'Calc base'!$C$19:$N$19,"&lt;"&amp;'Calc base'!M$19,'Calc base'!$C$14:$N$14,1))))</f>
        <v>0</v>
      </c>
      <c r="AS181">
        <f>IF('Calc base'!N$14=0,0,MIN(AG181,MAX(0,$E181-SUMIFS($V181:$AG181,'Calc base'!$C$19:$N$19,"&lt;"&amp;'Calc base'!N$19,'Calc base'!$C$14:$N$14,1))))</f>
        <v>0</v>
      </c>
      <c r="AT181">
        <f>V181-AH181</f>
        <v>0</v>
      </c>
      <c r="AU181">
        <f>W181-AI181</f>
        <v>0</v>
      </c>
      <c r="AV181">
        <f>X181-AJ181</f>
        <v>0</v>
      </c>
      <c r="AW181">
        <f>Y181-AK181</f>
        <v>0</v>
      </c>
      <c r="AX181">
        <f>Z181-AL181</f>
        <v>0</v>
      </c>
      <c r="AY181">
        <f>AA181-AM181</f>
        <v>0</v>
      </c>
      <c r="AZ181">
        <f>AB181-AN181</f>
        <v>0</v>
      </c>
      <c r="BA181">
        <f>AC181-AO181</f>
        <v>0</v>
      </c>
      <c r="BB181">
        <f>AD181-AP181</f>
        <v>0</v>
      </c>
      <c r="BC181">
        <f>AE181-AQ181</f>
        <v>0</v>
      </c>
      <c r="BD181">
        <f>AF181-AR181</f>
        <v>0</v>
      </c>
      <c r="BE181">
        <f>AG181-AS181</f>
        <v>0</v>
      </c>
    </row>
    <row r="182">
      <c r="A182" t="n">
        <v>152</v>
      </c>
      <c r="B182">
        <f>SUMPRODUCT(ROUND($AT181:$BE181*(1+'Calc base'!$H182:$S182),2))</f>
        <v>0</v>
      </c>
      <c r="C182">
        <f>SUM(J182:U182)</f>
        <v>0</v>
      </c>
      <c r="D182">
        <f>SUM(V182:AG182)</f>
        <v>0</v>
      </c>
      <c r="E182">
        <f>MAX(0,IF(Impostazioni!$B$7="No",'Calc base'!$C182-$C$31,'Calc base'!$C182-C182)+'Calc base'!$G182+'Calc base'!$F182-(B182-C182-D182))</f>
        <v>900</v>
      </c>
      <c r="F182">
        <f>SUM(AH182:AS182)</f>
        <v>0</v>
      </c>
      <c r="G182">
        <f>SUM(AT182:BE182)</f>
        <v>0</v>
      </c>
      <c r="H182">
        <f>B182-G181</f>
        <v>0</v>
      </c>
      <c r="I182">
        <f>B182-G182</f>
        <v>0</v>
      </c>
      <c r="J182">
        <f>IF(AT181&lt;=0,0,IF(ROUND(AT181*(1+'Calc base'!H182),2)-MAX('Calc base'!C$12,ROUND('Calc base'!C$13*AT181,2))&lt;1,ROUND(AT181*(1+'Calc base'!H182),2),MAX('Calc base'!C$12,ROUND('Calc base'!C$13*AT181,2))))</f>
        <v>0</v>
      </c>
      <c r="K182">
        <f>IF(AU181&lt;=0,0,IF(ROUND(AU181*(1+'Calc base'!I182),2)-MAX('Calc base'!D$12,ROUND('Calc base'!D$13*AU181,2))&lt;1,ROUND(AU181*(1+'Calc base'!I182),2),MAX('Calc base'!D$12,ROUND('Calc base'!D$13*AU181,2))))</f>
        <v>0</v>
      </c>
      <c r="L182">
        <f>IF(AV181&lt;=0,0,IF(ROUND(AV181*(1+'Calc base'!J182),2)-MAX('Calc base'!E$12,ROUND('Calc base'!E$13*AV181,2))&lt;1,ROUND(AV181*(1+'Calc base'!J182),2),MAX('Calc base'!E$12,ROUND('Calc base'!E$13*AV181,2))))</f>
        <v>0</v>
      </c>
      <c r="M182">
        <f>IF(AW181&lt;=0,0,IF(ROUND(AW181*(1+'Calc base'!K182),2)-MAX('Calc base'!F$12,ROUND('Calc base'!F$13*AW181,2))&lt;1,ROUND(AW181*(1+'Calc base'!K182),2),MAX('Calc base'!F$12,ROUND('Calc base'!F$13*AW181,2))))</f>
        <v>0</v>
      </c>
      <c r="N182">
        <f>IF(AX181&lt;=0,0,IF(ROUND(AX181*(1+'Calc base'!L182),2)-MAX('Calc base'!G$12,ROUND('Calc base'!G$13*AX181,2))&lt;1,ROUND(AX181*(1+'Calc base'!L182),2),MAX('Calc base'!G$12,ROUND('Calc base'!G$13*AX181,2))))</f>
        <v>0</v>
      </c>
      <c r="O182">
        <f>IF(AY181&lt;=0,0,IF(ROUND(AY181*(1+'Calc base'!M182),2)-MAX('Calc base'!H$12,ROUND('Calc base'!H$13*AY181,2))&lt;1,ROUND(AY181*(1+'Calc base'!M182),2),MAX('Calc base'!H$12,ROUND('Calc base'!H$13*AY181,2))))</f>
        <v>0</v>
      </c>
      <c r="P182">
        <f>IF(AZ181&lt;=0,0,IF(ROUND(AZ181*(1+'Calc base'!N182),2)-MAX('Calc base'!I$12,ROUND('Calc base'!I$13*AZ181,2))&lt;1,ROUND(AZ181*(1+'Calc base'!N182),2),MAX('Calc base'!I$12,ROUND('Calc base'!I$13*AZ181,2))))</f>
        <v>0</v>
      </c>
      <c r="Q182">
        <f>IF(BA181&lt;=0,0,IF(ROUND(BA181*(1+'Calc base'!O182),2)-MAX('Calc base'!J$12,ROUND('Calc base'!J$13*BA181,2))&lt;1,ROUND(BA181*(1+'Calc base'!O182),2),MAX('Calc base'!J$12,ROUND('Calc base'!J$13*BA181,2))))</f>
        <v>0</v>
      </c>
      <c r="R182">
        <f>IF(BB181&lt;=0,0,IF(ROUND(BB181*(1+'Calc base'!P182),2)-MAX('Calc base'!K$12,ROUND('Calc base'!K$13*BB181,2))&lt;1,ROUND(BB181*(1+'Calc base'!P182),2),MAX('Calc base'!K$12,ROUND('Calc base'!K$13*BB181,2))))</f>
        <v>0</v>
      </c>
      <c r="S182">
        <f>IF(BC181&lt;=0,0,IF(ROUND(BC181*(1+'Calc base'!Q182),2)-MAX('Calc base'!L$12,ROUND('Calc base'!L$13*BC181,2))&lt;1,ROUND(BC181*(1+'Calc base'!Q182),2),MAX('Calc base'!L$12,ROUND('Calc base'!L$13*BC181,2))))</f>
        <v>0</v>
      </c>
      <c r="T182">
        <f>IF(BD181&lt;=0,0,IF(ROUND(BD181*(1+'Calc base'!R182),2)-MAX('Calc base'!M$12,ROUND('Calc base'!M$13*BD181,2))&lt;1,ROUND(BD181*(1+'Calc base'!R182),2),MAX('Calc base'!M$12,ROUND('Calc base'!M$13*BD181,2))))</f>
        <v>0</v>
      </c>
      <c r="U182">
        <f>IF(BE181&lt;=0,0,IF(ROUND(BE181*(1+'Calc base'!S182),2)-MAX('Calc base'!N$12,ROUND('Calc base'!N$13*BE181,2))&lt;1,ROUND(BE181*(1+'Calc base'!S182),2),MAX('Calc base'!N$12,ROUND('Calc base'!N$13*BE181,2))))</f>
        <v>0</v>
      </c>
      <c r="V182">
        <f>MAX(0,ROUND(AT181*(1+'Calc base'!H182),2)-J182-'Calc base'!T182)</f>
        <v>0</v>
      </c>
      <c r="W182">
        <f>MAX(0,ROUND(AU181*(1+'Calc base'!I182),2)-K182-'Calc base'!U182)</f>
        <v>0</v>
      </c>
      <c r="X182">
        <f>MAX(0,ROUND(AV181*(1+'Calc base'!J182),2)-L182-'Calc base'!V182)</f>
        <v>0</v>
      </c>
      <c r="Y182">
        <f>MAX(0,ROUND(AW181*(1+'Calc base'!K182),2)-M182-'Calc base'!W182)</f>
        <v>0</v>
      </c>
      <c r="Z182">
        <f>MAX(0,ROUND(AX181*(1+'Calc base'!L182),2)-N182-'Calc base'!X182)</f>
        <v>0</v>
      </c>
      <c r="AA182">
        <f>MAX(0,ROUND(AY181*(1+'Calc base'!M182),2)-O182-'Calc base'!Y182)</f>
        <v>0</v>
      </c>
      <c r="AB182">
        <f>MAX(0,ROUND(AZ181*(1+'Calc base'!N182),2)-P182-'Calc base'!Z182)</f>
        <v>0</v>
      </c>
      <c r="AC182">
        <f>MAX(0,ROUND(BA181*(1+'Calc base'!O182),2)-Q182-'Calc base'!AA182)</f>
        <v>0</v>
      </c>
      <c r="AD182">
        <f>MAX(0,ROUND(BB181*(1+'Calc base'!P182),2)-R182-'Calc base'!AB182)</f>
        <v>0</v>
      </c>
      <c r="AE182">
        <f>MAX(0,ROUND(BC181*(1+'Calc base'!Q182),2)-S182-'Calc base'!AC182)</f>
        <v>0</v>
      </c>
      <c r="AF182">
        <f>MAX(0,ROUND(BD181*(1+'Calc base'!R182),2)-T182-'Calc base'!AD182)</f>
        <v>0</v>
      </c>
      <c r="AG182">
        <f>MAX(0,ROUND(BE181*(1+'Calc base'!S182),2)-U182-'Calc base'!AE182)</f>
        <v>0</v>
      </c>
      <c r="AH182">
        <f>IF('Calc base'!C$14=0,0,MIN(V182,MAX(0,$E182-SUMIFS($V182:$AG182,'Calc base'!$C$19:$N$19,"&lt;"&amp;'Calc base'!C$19,'Calc base'!$C$14:$N$14,1))))</f>
        <v>0</v>
      </c>
      <c r="AI182">
        <f>IF('Calc base'!D$14=0,0,MIN(W182,MAX(0,$E182-SUMIFS($V182:$AG182,'Calc base'!$C$19:$N$19,"&lt;"&amp;'Calc base'!D$19,'Calc base'!$C$14:$N$14,1))))</f>
        <v>0</v>
      </c>
      <c r="AJ182">
        <f>IF('Calc base'!E$14=0,0,MIN(X182,MAX(0,$E182-SUMIFS($V182:$AG182,'Calc base'!$C$19:$N$19,"&lt;"&amp;'Calc base'!E$19,'Calc base'!$C$14:$N$14,1))))</f>
        <v>0</v>
      </c>
      <c r="AK182">
        <f>IF('Calc base'!F$14=0,0,MIN(Y182,MAX(0,$E182-SUMIFS($V182:$AG182,'Calc base'!$C$19:$N$19,"&lt;"&amp;'Calc base'!F$19,'Calc base'!$C$14:$N$14,1))))</f>
        <v>0</v>
      </c>
      <c r="AL182">
        <f>IF('Calc base'!G$14=0,0,MIN(Z182,MAX(0,$E182-SUMIFS($V182:$AG182,'Calc base'!$C$19:$N$19,"&lt;"&amp;'Calc base'!G$19,'Calc base'!$C$14:$N$14,1))))</f>
        <v>0</v>
      </c>
      <c r="AM182">
        <f>IF('Calc base'!H$14=0,0,MIN(AA182,MAX(0,$E182-SUMIFS($V182:$AG182,'Calc base'!$C$19:$N$19,"&lt;"&amp;'Calc base'!H$19,'Calc base'!$C$14:$N$14,1))))</f>
        <v>0</v>
      </c>
      <c r="AN182">
        <f>IF('Calc base'!I$14=0,0,MIN(AB182,MAX(0,$E182-SUMIFS($V182:$AG182,'Calc base'!$C$19:$N$19,"&lt;"&amp;'Calc base'!I$19,'Calc base'!$C$14:$N$14,1))))</f>
        <v>0</v>
      </c>
      <c r="AO182">
        <f>IF('Calc base'!J$14=0,0,MIN(AC182,MAX(0,$E182-SUMIFS($V182:$AG182,'Calc base'!$C$19:$N$19,"&lt;"&amp;'Calc base'!J$19,'Calc base'!$C$14:$N$14,1))))</f>
        <v>0</v>
      </c>
      <c r="AP182">
        <f>IF('Calc base'!K$14=0,0,MIN(AD182,MAX(0,$E182-SUMIFS($V182:$AG182,'Calc base'!$C$19:$N$19,"&lt;"&amp;'Calc base'!K$19,'Calc base'!$C$14:$N$14,1))))</f>
        <v>0</v>
      </c>
      <c r="AQ182">
        <f>IF('Calc base'!L$14=0,0,MIN(AE182,MAX(0,$E182-SUMIFS($V182:$AG182,'Calc base'!$C$19:$N$19,"&lt;"&amp;'Calc base'!L$19,'Calc base'!$C$14:$N$14,1))))</f>
        <v>0</v>
      </c>
      <c r="AR182">
        <f>IF('Calc base'!M$14=0,0,MIN(AF182,MAX(0,$E182-SUMIFS($V182:$AG182,'Calc base'!$C$19:$N$19,"&lt;"&amp;'Calc base'!M$19,'Calc base'!$C$14:$N$14,1))))</f>
        <v>0</v>
      </c>
      <c r="AS182">
        <f>IF('Calc base'!N$14=0,0,MIN(AG182,MAX(0,$E182-SUMIFS($V182:$AG182,'Calc base'!$C$19:$N$19,"&lt;"&amp;'Calc base'!N$19,'Calc base'!$C$14:$N$14,1))))</f>
        <v>0</v>
      </c>
      <c r="AT182">
        <f>V182-AH182</f>
        <v>0</v>
      </c>
      <c r="AU182">
        <f>W182-AI182</f>
        <v>0</v>
      </c>
      <c r="AV182">
        <f>X182-AJ182</f>
        <v>0</v>
      </c>
      <c r="AW182">
        <f>Y182-AK182</f>
        <v>0</v>
      </c>
      <c r="AX182">
        <f>Z182-AL182</f>
        <v>0</v>
      </c>
      <c r="AY182">
        <f>AA182-AM182</f>
        <v>0</v>
      </c>
      <c r="AZ182">
        <f>AB182-AN182</f>
        <v>0</v>
      </c>
      <c r="BA182">
        <f>AC182-AO182</f>
        <v>0</v>
      </c>
      <c r="BB182">
        <f>AD182-AP182</f>
        <v>0</v>
      </c>
      <c r="BC182">
        <f>AE182-AQ182</f>
        <v>0</v>
      </c>
      <c r="BD182">
        <f>AF182-AR182</f>
        <v>0</v>
      </c>
      <c r="BE182">
        <f>AG182-AS182</f>
        <v>0</v>
      </c>
    </row>
    <row r="183">
      <c r="A183" t="n">
        <v>153</v>
      </c>
      <c r="B183">
        <f>SUMPRODUCT(ROUND($AT182:$BE182*(1+'Calc base'!$H183:$S183),2))</f>
        <v>0</v>
      </c>
      <c r="C183">
        <f>SUM(J183:U183)</f>
        <v>0</v>
      </c>
      <c r="D183">
        <f>SUM(V183:AG183)</f>
        <v>0</v>
      </c>
      <c r="E183">
        <f>MAX(0,IF(Impostazioni!$B$7="No",'Calc base'!$C183-$C$31,'Calc base'!$C183-C183)+'Calc base'!$G183+'Calc base'!$F183-(B183-C183-D183))</f>
        <v>900</v>
      </c>
      <c r="F183">
        <f>SUM(AH183:AS183)</f>
        <v>0</v>
      </c>
      <c r="G183">
        <f>SUM(AT183:BE183)</f>
        <v>0</v>
      </c>
      <c r="H183">
        <f>B183-G182</f>
        <v>0</v>
      </c>
      <c r="I183">
        <f>B183-G183</f>
        <v>0</v>
      </c>
      <c r="J183">
        <f>IF(AT182&lt;=0,0,IF(ROUND(AT182*(1+'Calc base'!H183),2)-MAX('Calc base'!C$12,ROUND('Calc base'!C$13*AT182,2))&lt;1,ROUND(AT182*(1+'Calc base'!H183),2),MAX('Calc base'!C$12,ROUND('Calc base'!C$13*AT182,2))))</f>
        <v>0</v>
      </c>
      <c r="K183">
        <f>IF(AU182&lt;=0,0,IF(ROUND(AU182*(1+'Calc base'!I183),2)-MAX('Calc base'!D$12,ROUND('Calc base'!D$13*AU182,2))&lt;1,ROUND(AU182*(1+'Calc base'!I183),2),MAX('Calc base'!D$12,ROUND('Calc base'!D$13*AU182,2))))</f>
        <v>0</v>
      </c>
      <c r="L183">
        <f>IF(AV182&lt;=0,0,IF(ROUND(AV182*(1+'Calc base'!J183),2)-MAX('Calc base'!E$12,ROUND('Calc base'!E$13*AV182,2))&lt;1,ROUND(AV182*(1+'Calc base'!J183),2),MAX('Calc base'!E$12,ROUND('Calc base'!E$13*AV182,2))))</f>
        <v>0</v>
      </c>
      <c r="M183">
        <f>IF(AW182&lt;=0,0,IF(ROUND(AW182*(1+'Calc base'!K183),2)-MAX('Calc base'!F$12,ROUND('Calc base'!F$13*AW182,2))&lt;1,ROUND(AW182*(1+'Calc base'!K183),2),MAX('Calc base'!F$12,ROUND('Calc base'!F$13*AW182,2))))</f>
        <v>0</v>
      </c>
      <c r="N183">
        <f>IF(AX182&lt;=0,0,IF(ROUND(AX182*(1+'Calc base'!L183),2)-MAX('Calc base'!G$12,ROUND('Calc base'!G$13*AX182,2))&lt;1,ROUND(AX182*(1+'Calc base'!L183),2),MAX('Calc base'!G$12,ROUND('Calc base'!G$13*AX182,2))))</f>
        <v>0</v>
      </c>
      <c r="O183">
        <f>IF(AY182&lt;=0,0,IF(ROUND(AY182*(1+'Calc base'!M183),2)-MAX('Calc base'!H$12,ROUND('Calc base'!H$13*AY182,2))&lt;1,ROUND(AY182*(1+'Calc base'!M183),2),MAX('Calc base'!H$12,ROUND('Calc base'!H$13*AY182,2))))</f>
        <v>0</v>
      </c>
      <c r="P183">
        <f>IF(AZ182&lt;=0,0,IF(ROUND(AZ182*(1+'Calc base'!N183),2)-MAX('Calc base'!I$12,ROUND('Calc base'!I$13*AZ182,2))&lt;1,ROUND(AZ182*(1+'Calc base'!N183),2),MAX('Calc base'!I$12,ROUND('Calc base'!I$13*AZ182,2))))</f>
        <v>0</v>
      </c>
      <c r="Q183">
        <f>IF(BA182&lt;=0,0,IF(ROUND(BA182*(1+'Calc base'!O183),2)-MAX('Calc base'!J$12,ROUND('Calc base'!J$13*BA182,2))&lt;1,ROUND(BA182*(1+'Calc base'!O183),2),MAX('Calc base'!J$12,ROUND('Calc base'!J$13*BA182,2))))</f>
        <v>0</v>
      </c>
      <c r="R183">
        <f>IF(BB182&lt;=0,0,IF(ROUND(BB182*(1+'Calc base'!P183),2)-MAX('Calc base'!K$12,ROUND('Calc base'!K$13*BB182,2))&lt;1,ROUND(BB182*(1+'Calc base'!P183),2),MAX('Calc base'!K$12,ROUND('Calc base'!K$13*BB182,2))))</f>
        <v>0</v>
      </c>
      <c r="S183">
        <f>IF(BC182&lt;=0,0,IF(ROUND(BC182*(1+'Calc base'!Q183),2)-MAX('Calc base'!L$12,ROUND('Calc base'!L$13*BC182,2))&lt;1,ROUND(BC182*(1+'Calc base'!Q183),2),MAX('Calc base'!L$12,ROUND('Calc base'!L$13*BC182,2))))</f>
        <v>0</v>
      </c>
      <c r="T183">
        <f>IF(BD182&lt;=0,0,IF(ROUND(BD182*(1+'Calc base'!R183),2)-MAX('Calc base'!M$12,ROUND('Calc base'!M$13*BD182,2))&lt;1,ROUND(BD182*(1+'Calc base'!R183),2),MAX('Calc base'!M$12,ROUND('Calc base'!M$13*BD182,2))))</f>
        <v>0</v>
      </c>
      <c r="U183">
        <f>IF(BE182&lt;=0,0,IF(ROUND(BE182*(1+'Calc base'!S183),2)-MAX('Calc base'!N$12,ROUND('Calc base'!N$13*BE182,2))&lt;1,ROUND(BE182*(1+'Calc base'!S183),2),MAX('Calc base'!N$12,ROUND('Calc base'!N$13*BE182,2))))</f>
        <v>0</v>
      </c>
      <c r="V183">
        <f>MAX(0,ROUND(AT182*(1+'Calc base'!H183),2)-J183-'Calc base'!T183)</f>
        <v>0</v>
      </c>
      <c r="W183">
        <f>MAX(0,ROUND(AU182*(1+'Calc base'!I183),2)-K183-'Calc base'!U183)</f>
        <v>0</v>
      </c>
      <c r="X183">
        <f>MAX(0,ROUND(AV182*(1+'Calc base'!J183),2)-L183-'Calc base'!V183)</f>
        <v>0</v>
      </c>
      <c r="Y183">
        <f>MAX(0,ROUND(AW182*(1+'Calc base'!K183),2)-M183-'Calc base'!W183)</f>
        <v>0</v>
      </c>
      <c r="Z183">
        <f>MAX(0,ROUND(AX182*(1+'Calc base'!L183),2)-N183-'Calc base'!X183)</f>
        <v>0</v>
      </c>
      <c r="AA183">
        <f>MAX(0,ROUND(AY182*(1+'Calc base'!M183),2)-O183-'Calc base'!Y183)</f>
        <v>0</v>
      </c>
      <c r="AB183">
        <f>MAX(0,ROUND(AZ182*(1+'Calc base'!N183),2)-P183-'Calc base'!Z183)</f>
        <v>0</v>
      </c>
      <c r="AC183">
        <f>MAX(0,ROUND(BA182*(1+'Calc base'!O183),2)-Q183-'Calc base'!AA183)</f>
        <v>0</v>
      </c>
      <c r="AD183">
        <f>MAX(0,ROUND(BB182*(1+'Calc base'!P183),2)-R183-'Calc base'!AB183)</f>
        <v>0</v>
      </c>
      <c r="AE183">
        <f>MAX(0,ROUND(BC182*(1+'Calc base'!Q183),2)-S183-'Calc base'!AC183)</f>
        <v>0</v>
      </c>
      <c r="AF183">
        <f>MAX(0,ROUND(BD182*(1+'Calc base'!R183),2)-T183-'Calc base'!AD183)</f>
        <v>0</v>
      </c>
      <c r="AG183">
        <f>MAX(0,ROUND(BE182*(1+'Calc base'!S183),2)-U183-'Calc base'!AE183)</f>
        <v>0</v>
      </c>
      <c r="AH183">
        <f>IF('Calc base'!C$14=0,0,MIN(V183,MAX(0,$E183-SUMIFS($V183:$AG183,'Calc base'!$C$19:$N$19,"&lt;"&amp;'Calc base'!C$19,'Calc base'!$C$14:$N$14,1))))</f>
        <v>0</v>
      </c>
      <c r="AI183">
        <f>IF('Calc base'!D$14=0,0,MIN(W183,MAX(0,$E183-SUMIFS($V183:$AG183,'Calc base'!$C$19:$N$19,"&lt;"&amp;'Calc base'!D$19,'Calc base'!$C$14:$N$14,1))))</f>
        <v>0</v>
      </c>
      <c r="AJ183">
        <f>IF('Calc base'!E$14=0,0,MIN(X183,MAX(0,$E183-SUMIFS($V183:$AG183,'Calc base'!$C$19:$N$19,"&lt;"&amp;'Calc base'!E$19,'Calc base'!$C$14:$N$14,1))))</f>
        <v>0</v>
      </c>
      <c r="AK183">
        <f>IF('Calc base'!F$14=0,0,MIN(Y183,MAX(0,$E183-SUMIFS($V183:$AG183,'Calc base'!$C$19:$N$19,"&lt;"&amp;'Calc base'!F$19,'Calc base'!$C$14:$N$14,1))))</f>
        <v>0</v>
      </c>
      <c r="AL183">
        <f>IF('Calc base'!G$14=0,0,MIN(Z183,MAX(0,$E183-SUMIFS($V183:$AG183,'Calc base'!$C$19:$N$19,"&lt;"&amp;'Calc base'!G$19,'Calc base'!$C$14:$N$14,1))))</f>
        <v>0</v>
      </c>
      <c r="AM183">
        <f>IF('Calc base'!H$14=0,0,MIN(AA183,MAX(0,$E183-SUMIFS($V183:$AG183,'Calc base'!$C$19:$N$19,"&lt;"&amp;'Calc base'!H$19,'Calc base'!$C$14:$N$14,1))))</f>
        <v>0</v>
      </c>
      <c r="AN183">
        <f>IF('Calc base'!I$14=0,0,MIN(AB183,MAX(0,$E183-SUMIFS($V183:$AG183,'Calc base'!$C$19:$N$19,"&lt;"&amp;'Calc base'!I$19,'Calc base'!$C$14:$N$14,1))))</f>
        <v>0</v>
      </c>
      <c r="AO183">
        <f>IF('Calc base'!J$14=0,0,MIN(AC183,MAX(0,$E183-SUMIFS($V183:$AG183,'Calc base'!$C$19:$N$19,"&lt;"&amp;'Calc base'!J$19,'Calc base'!$C$14:$N$14,1))))</f>
        <v>0</v>
      </c>
      <c r="AP183">
        <f>IF('Calc base'!K$14=0,0,MIN(AD183,MAX(0,$E183-SUMIFS($V183:$AG183,'Calc base'!$C$19:$N$19,"&lt;"&amp;'Calc base'!K$19,'Calc base'!$C$14:$N$14,1))))</f>
        <v>0</v>
      </c>
      <c r="AQ183">
        <f>IF('Calc base'!L$14=0,0,MIN(AE183,MAX(0,$E183-SUMIFS($V183:$AG183,'Calc base'!$C$19:$N$19,"&lt;"&amp;'Calc base'!L$19,'Calc base'!$C$14:$N$14,1))))</f>
        <v>0</v>
      </c>
      <c r="AR183">
        <f>IF('Calc base'!M$14=0,0,MIN(AF183,MAX(0,$E183-SUMIFS($V183:$AG183,'Calc base'!$C$19:$N$19,"&lt;"&amp;'Calc base'!M$19,'Calc base'!$C$14:$N$14,1))))</f>
        <v>0</v>
      </c>
      <c r="AS183">
        <f>IF('Calc base'!N$14=0,0,MIN(AG183,MAX(0,$E183-SUMIFS($V183:$AG183,'Calc base'!$C$19:$N$19,"&lt;"&amp;'Calc base'!N$19,'Calc base'!$C$14:$N$14,1))))</f>
        <v>0</v>
      </c>
      <c r="AT183">
        <f>V183-AH183</f>
        <v>0</v>
      </c>
      <c r="AU183">
        <f>W183-AI183</f>
        <v>0</v>
      </c>
      <c r="AV183">
        <f>X183-AJ183</f>
        <v>0</v>
      </c>
      <c r="AW183">
        <f>Y183-AK183</f>
        <v>0</v>
      </c>
      <c r="AX183">
        <f>Z183-AL183</f>
        <v>0</v>
      </c>
      <c r="AY183">
        <f>AA183-AM183</f>
        <v>0</v>
      </c>
      <c r="AZ183">
        <f>AB183-AN183</f>
        <v>0</v>
      </c>
      <c r="BA183">
        <f>AC183-AO183</f>
        <v>0</v>
      </c>
      <c r="BB183">
        <f>AD183-AP183</f>
        <v>0</v>
      </c>
      <c r="BC183">
        <f>AE183-AQ183</f>
        <v>0</v>
      </c>
      <c r="BD183">
        <f>AF183-AR183</f>
        <v>0</v>
      </c>
      <c r="BE183">
        <f>AG183-AS183</f>
        <v>0</v>
      </c>
    </row>
    <row r="184">
      <c r="A184" t="n">
        <v>154</v>
      </c>
      <c r="B184">
        <f>SUMPRODUCT(ROUND($AT183:$BE183*(1+'Calc base'!$H184:$S184),2))</f>
        <v>0</v>
      </c>
      <c r="C184">
        <f>SUM(J184:U184)</f>
        <v>0</v>
      </c>
      <c r="D184">
        <f>SUM(V184:AG184)</f>
        <v>0</v>
      </c>
      <c r="E184">
        <f>MAX(0,IF(Impostazioni!$B$7="No",'Calc base'!$C184-$C$31,'Calc base'!$C184-C184)+'Calc base'!$G184+'Calc base'!$F184-(B184-C184-D184))</f>
        <v>900</v>
      </c>
      <c r="F184">
        <f>SUM(AH184:AS184)</f>
        <v>0</v>
      </c>
      <c r="G184">
        <f>SUM(AT184:BE184)</f>
        <v>0</v>
      </c>
      <c r="H184">
        <f>B184-G183</f>
        <v>0</v>
      </c>
      <c r="I184">
        <f>B184-G184</f>
        <v>0</v>
      </c>
      <c r="J184">
        <f>IF(AT183&lt;=0,0,IF(ROUND(AT183*(1+'Calc base'!H184),2)-MAX('Calc base'!C$12,ROUND('Calc base'!C$13*AT183,2))&lt;1,ROUND(AT183*(1+'Calc base'!H184),2),MAX('Calc base'!C$12,ROUND('Calc base'!C$13*AT183,2))))</f>
        <v>0</v>
      </c>
      <c r="K184">
        <f>IF(AU183&lt;=0,0,IF(ROUND(AU183*(1+'Calc base'!I184),2)-MAX('Calc base'!D$12,ROUND('Calc base'!D$13*AU183,2))&lt;1,ROUND(AU183*(1+'Calc base'!I184),2),MAX('Calc base'!D$12,ROUND('Calc base'!D$13*AU183,2))))</f>
        <v>0</v>
      </c>
      <c r="L184">
        <f>IF(AV183&lt;=0,0,IF(ROUND(AV183*(1+'Calc base'!J184),2)-MAX('Calc base'!E$12,ROUND('Calc base'!E$13*AV183,2))&lt;1,ROUND(AV183*(1+'Calc base'!J184),2),MAX('Calc base'!E$12,ROUND('Calc base'!E$13*AV183,2))))</f>
        <v>0</v>
      </c>
      <c r="M184">
        <f>IF(AW183&lt;=0,0,IF(ROUND(AW183*(1+'Calc base'!K184),2)-MAX('Calc base'!F$12,ROUND('Calc base'!F$13*AW183,2))&lt;1,ROUND(AW183*(1+'Calc base'!K184),2),MAX('Calc base'!F$12,ROUND('Calc base'!F$13*AW183,2))))</f>
        <v>0</v>
      </c>
      <c r="N184">
        <f>IF(AX183&lt;=0,0,IF(ROUND(AX183*(1+'Calc base'!L184),2)-MAX('Calc base'!G$12,ROUND('Calc base'!G$13*AX183,2))&lt;1,ROUND(AX183*(1+'Calc base'!L184),2),MAX('Calc base'!G$12,ROUND('Calc base'!G$13*AX183,2))))</f>
        <v>0</v>
      </c>
      <c r="O184">
        <f>IF(AY183&lt;=0,0,IF(ROUND(AY183*(1+'Calc base'!M184),2)-MAX('Calc base'!H$12,ROUND('Calc base'!H$13*AY183,2))&lt;1,ROUND(AY183*(1+'Calc base'!M184),2),MAX('Calc base'!H$12,ROUND('Calc base'!H$13*AY183,2))))</f>
        <v>0</v>
      </c>
      <c r="P184">
        <f>IF(AZ183&lt;=0,0,IF(ROUND(AZ183*(1+'Calc base'!N184),2)-MAX('Calc base'!I$12,ROUND('Calc base'!I$13*AZ183,2))&lt;1,ROUND(AZ183*(1+'Calc base'!N184),2),MAX('Calc base'!I$12,ROUND('Calc base'!I$13*AZ183,2))))</f>
        <v>0</v>
      </c>
      <c r="Q184">
        <f>IF(BA183&lt;=0,0,IF(ROUND(BA183*(1+'Calc base'!O184),2)-MAX('Calc base'!J$12,ROUND('Calc base'!J$13*BA183,2))&lt;1,ROUND(BA183*(1+'Calc base'!O184),2),MAX('Calc base'!J$12,ROUND('Calc base'!J$13*BA183,2))))</f>
        <v>0</v>
      </c>
      <c r="R184">
        <f>IF(BB183&lt;=0,0,IF(ROUND(BB183*(1+'Calc base'!P184),2)-MAX('Calc base'!K$12,ROUND('Calc base'!K$13*BB183,2))&lt;1,ROUND(BB183*(1+'Calc base'!P184),2),MAX('Calc base'!K$12,ROUND('Calc base'!K$13*BB183,2))))</f>
        <v>0</v>
      </c>
      <c r="S184">
        <f>IF(BC183&lt;=0,0,IF(ROUND(BC183*(1+'Calc base'!Q184),2)-MAX('Calc base'!L$12,ROUND('Calc base'!L$13*BC183,2))&lt;1,ROUND(BC183*(1+'Calc base'!Q184),2),MAX('Calc base'!L$12,ROUND('Calc base'!L$13*BC183,2))))</f>
        <v>0</v>
      </c>
      <c r="T184">
        <f>IF(BD183&lt;=0,0,IF(ROUND(BD183*(1+'Calc base'!R184),2)-MAX('Calc base'!M$12,ROUND('Calc base'!M$13*BD183,2))&lt;1,ROUND(BD183*(1+'Calc base'!R184),2),MAX('Calc base'!M$12,ROUND('Calc base'!M$13*BD183,2))))</f>
        <v>0</v>
      </c>
      <c r="U184">
        <f>IF(BE183&lt;=0,0,IF(ROUND(BE183*(1+'Calc base'!S184),2)-MAX('Calc base'!N$12,ROUND('Calc base'!N$13*BE183,2))&lt;1,ROUND(BE183*(1+'Calc base'!S184),2),MAX('Calc base'!N$12,ROUND('Calc base'!N$13*BE183,2))))</f>
        <v>0</v>
      </c>
      <c r="V184">
        <f>MAX(0,ROUND(AT183*(1+'Calc base'!H184),2)-J184-'Calc base'!T184)</f>
        <v>0</v>
      </c>
      <c r="W184">
        <f>MAX(0,ROUND(AU183*(1+'Calc base'!I184),2)-K184-'Calc base'!U184)</f>
        <v>0</v>
      </c>
      <c r="X184">
        <f>MAX(0,ROUND(AV183*(1+'Calc base'!J184),2)-L184-'Calc base'!V184)</f>
        <v>0</v>
      </c>
      <c r="Y184">
        <f>MAX(0,ROUND(AW183*(1+'Calc base'!K184),2)-M184-'Calc base'!W184)</f>
        <v>0</v>
      </c>
      <c r="Z184">
        <f>MAX(0,ROUND(AX183*(1+'Calc base'!L184),2)-N184-'Calc base'!X184)</f>
        <v>0</v>
      </c>
      <c r="AA184">
        <f>MAX(0,ROUND(AY183*(1+'Calc base'!M184),2)-O184-'Calc base'!Y184)</f>
        <v>0</v>
      </c>
      <c r="AB184">
        <f>MAX(0,ROUND(AZ183*(1+'Calc base'!N184),2)-P184-'Calc base'!Z184)</f>
        <v>0</v>
      </c>
      <c r="AC184">
        <f>MAX(0,ROUND(BA183*(1+'Calc base'!O184),2)-Q184-'Calc base'!AA184)</f>
        <v>0</v>
      </c>
      <c r="AD184">
        <f>MAX(0,ROUND(BB183*(1+'Calc base'!P184),2)-R184-'Calc base'!AB184)</f>
        <v>0</v>
      </c>
      <c r="AE184">
        <f>MAX(0,ROUND(BC183*(1+'Calc base'!Q184),2)-S184-'Calc base'!AC184)</f>
        <v>0</v>
      </c>
      <c r="AF184">
        <f>MAX(0,ROUND(BD183*(1+'Calc base'!R184),2)-T184-'Calc base'!AD184)</f>
        <v>0</v>
      </c>
      <c r="AG184">
        <f>MAX(0,ROUND(BE183*(1+'Calc base'!S184),2)-U184-'Calc base'!AE184)</f>
        <v>0</v>
      </c>
      <c r="AH184">
        <f>IF('Calc base'!C$14=0,0,MIN(V184,MAX(0,$E184-SUMIFS($V184:$AG184,'Calc base'!$C$19:$N$19,"&lt;"&amp;'Calc base'!C$19,'Calc base'!$C$14:$N$14,1))))</f>
        <v>0</v>
      </c>
      <c r="AI184">
        <f>IF('Calc base'!D$14=0,0,MIN(W184,MAX(0,$E184-SUMIFS($V184:$AG184,'Calc base'!$C$19:$N$19,"&lt;"&amp;'Calc base'!D$19,'Calc base'!$C$14:$N$14,1))))</f>
        <v>0</v>
      </c>
      <c r="AJ184">
        <f>IF('Calc base'!E$14=0,0,MIN(X184,MAX(0,$E184-SUMIFS($V184:$AG184,'Calc base'!$C$19:$N$19,"&lt;"&amp;'Calc base'!E$19,'Calc base'!$C$14:$N$14,1))))</f>
        <v>0</v>
      </c>
      <c r="AK184">
        <f>IF('Calc base'!F$14=0,0,MIN(Y184,MAX(0,$E184-SUMIFS($V184:$AG184,'Calc base'!$C$19:$N$19,"&lt;"&amp;'Calc base'!F$19,'Calc base'!$C$14:$N$14,1))))</f>
        <v>0</v>
      </c>
      <c r="AL184">
        <f>IF('Calc base'!G$14=0,0,MIN(Z184,MAX(0,$E184-SUMIFS($V184:$AG184,'Calc base'!$C$19:$N$19,"&lt;"&amp;'Calc base'!G$19,'Calc base'!$C$14:$N$14,1))))</f>
        <v>0</v>
      </c>
      <c r="AM184">
        <f>IF('Calc base'!H$14=0,0,MIN(AA184,MAX(0,$E184-SUMIFS($V184:$AG184,'Calc base'!$C$19:$N$19,"&lt;"&amp;'Calc base'!H$19,'Calc base'!$C$14:$N$14,1))))</f>
        <v>0</v>
      </c>
      <c r="AN184">
        <f>IF('Calc base'!I$14=0,0,MIN(AB184,MAX(0,$E184-SUMIFS($V184:$AG184,'Calc base'!$C$19:$N$19,"&lt;"&amp;'Calc base'!I$19,'Calc base'!$C$14:$N$14,1))))</f>
        <v>0</v>
      </c>
      <c r="AO184">
        <f>IF('Calc base'!J$14=0,0,MIN(AC184,MAX(0,$E184-SUMIFS($V184:$AG184,'Calc base'!$C$19:$N$19,"&lt;"&amp;'Calc base'!J$19,'Calc base'!$C$14:$N$14,1))))</f>
        <v>0</v>
      </c>
      <c r="AP184">
        <f>IF('Calc base'!K$14=0,0,MIN(AD184,MAX(0,$E184-SUMIFS($V184:$AG184,'Calc base'!$C$19:$N$19,"&lt;"&amp;'Calc base'!K$19,'Calc base'!$C$14:$N$14,1))))</f>
        <v>0</v>
      </c>
      <c r="AQ184">
        <f>IF('Calc base'!L$14=0,0,MIN(AE184,MAX(0,$E184-SUMIFS($V184:$AG184,'Calc base'!$C$19:$N$19,"&lt;"&amp;'Calc base'!L$19,'Calc base'!$C$14:$N$14,1))))</f>
        <v>0</v>
      </c>
      <c r="AR184">
        <f>IF('Calc base'!M$14=0,0,MIN(AF184,MAX(0,$E184-SUMIFS($V184:$AG184,'Calc base'!$C$19:$N$19,"&lt;"&amp;'Calc base'!M$19,'Calc base'!$C$14:$N$14,1))))</f>
        <v>0</v>
      </c>
      <c r="AS184">
        <f>IF('Calc base'!N$14=0,0,MIN(AG184,MAX(0,$E184-SUMIFS($V184:$AG184,'Calc base'!$C$19:$N$19,"&lt;"&amp;'Calc base'!N$19,'Calc base'!$C$14:$N$14,1))))</f>
        <v>0</v>
      </c>
      <c r="AT184">
        <f>V184-AH184</f>
        <v>0</v>
      </c>
      <c r="AU184">
        <f>W184-AI184</f>
        <v>0</v>
      </c>
      <c r="AV184">
        <f>X184-AJ184</f>
        <v>0</v>
      </c>
      <c r="AW184">
        <f>Y184-AK184</f>
        <v>0</v>
      </c>
      <c r="AX184">
        <f>Z184-AL184</f>
        <v>0</v>
      </c>
      <c r="AY184">
        <f>AA184-AM184</f>
        <v>0</v>
      </c>
      <c r="AZ184">
        <f>AB184-AN184</f>
        <v>0</v>
      </c>
      <c r="BA184">
        <f>AC184-AO184</f>
        <v>0</v>
      </c>
      <c r="BB184">
        <f>AD184-AP184</f>
        <v>0</v>
      </c>
      <c r="BC184">
        <f>AE184-AQ184</f>
        <v>0</v>
      </c>
      <c r="BD184">
        <f>AF184-AR184</f>
        <v>0</v>
      </c>
      <c r="BE184">
        <f>AG184-AS184</f>
        <v>0</v>
      </c>
    </row>
    <row r="185">
      <c r="A185" t="n">
        <v>155</v>
      </c>
      <c r="B185">
        <f>SUMPRODUCT(ROUND($AT184:$BE184*(1+'Calc base'!$H185:$S185),2))</f>
        <v>0</v>
      </c>
      <c r="C185">
        <f>SUM(J185:U185)</f>
        <v>0</v>
      </c>
      <c r="D185">
        <f>SUM(V185:AG185)</f>
        <v>0</v>
      </c>
      <c r="E185">
        <f>MAX(0,IF(Impostazioni!$B$7="No",'Calc base'!$C185-$C$31,'Calc base'!$C185-C185)+'Calc base'!$G185+'Calc base'!$F185-(B185-C185-D185))</f>
        <v>900</v>
      </c>
      <c r="F185">
        <f>SUM(AH185:AS185)</f>
        <v>0</v>
      </c>
      <c r="G185">
        <f>SUM(AT185:BE185)</f>
        <v>0</v>
      </c>
      <c r="H185">
        <f>B185-G184</f>
        <v>0</v>
      </c>
      <c r="I185">
        <f>B185-G185</f>
        <v>0</v>
      </c>
      <c r="J185">
        <f>IF(AT184&lt;=0,0,IF(ROUND(AT184*(1+'Calc base'!H185),2)-MAX('Calc base'!C$12,ROUND('Calc base'!C$13*AT184,2))&lt;1,ROUND(AT184*(1+'Calc base'!H185),2),MAX('Calc base'!C$12,ROUND('Calc base'!C$13*AT184,2))))</f>
        <v>0</v>
      </c>
      <c r="K185">
        <f>IF(AU184&lt;=0,0,IF(ROUND(AU184*(1+'Calc base'!I185),2)-MAX('Calc base'!D$12,ROUND('Calc base'!D$13*AU184,2))&lt;1,ROUND(AU184*(1+'Calc base'!I185),2),MAX('Calc base'!D$12,ROUND('Calc base'!D$13*AU184,2))))</f>
        <v>0</v>
      </c>
      <c r="L185">
        <f>IF(AV184&lt;=0,0,IF(ROUND(AV184*(1+'Calc base'!J185),2)-MAX('Calc base'!E$12,ROUND('Calc base'!E$13*AV184,2))&lt;1,ROUND(AV184*(1+'Calc base'!J185),2),MAX('Calc base'!E$12,ROUND('Calc base'!E$13*AV184,2))))</f>
        <v>0</v>
      </c>
      <c r="M185">
        <f>IF(AW184&lt;=0,0,IF(ROUND(AW184*(1+'Calc base'!K185),2)-MAX('Calc base'!F$12,ROUND('Calc base'!F$13*AW184,2))&lt;1,ROUND(AW184*(1+'Calc base'!K185),2),MAX('Calc base'!F$12,ROUND('Calc base'!F$13*AW184,2))))</f>
        <v>0</v>
      </c>
      <c r="N185">
        <f>IF(AX184&lt;=0,0,IF(ROUND(AX184*(1+'Calc base'!L185),2)-MAX('Calc base'!G$12,ROUND('Calc base'!G$13*AX184,2))&lt;1,ROUND(AX184*(1+'Calc base'!L185),2),MAX('Calc base'!G$12,ROUND('Calc base'!G$13*AX184,2))))</f>
        <v>0</v>
      </c>
      <c r="O185">
        <f>IF(AY184&lt;=0,0,IF(ROUND(AY184*(1+'Calc base'!M185),2)-MAX('Calc base'!H$12,ROUND('Calc base'!H$13*AY184,2))&lt;1,ROUND(AY184*(1+'Calc base'!M185),2),MAX('Calc base'!H$12,ROUND('Calc base'!H$13*AY184,2))))</f>
        <v>0</v>
      </c>
      <c r="P185">
        <f>IF(AZ184&lt;=0,0,IF(ROUND(AZ184*(1+'Calc base'!N185),2)-MAX('Calc base'!I$12,ROUND('Calc base'!I$13*AZ184,2))&lt;1,ROUND(AZ184*(1+'Calc base'!N185),2),MAX('Calc base'!I$12,ROUND('Calc base'!I$13*AZ184,2))))</f>
        <v>0</v>
      </c>
      <c r="Q185">
        <f>IF(BA184&lt;=0,0,IF(ROUND(BA184*(1+'Calc base'!O185),2)-MAX('Calc base'!J$12,ROUND('Calc base'!J$13*BA184,2))&lt;1,ROUND(BA184*(1+'Calc base'!O185),2),MAX('Calc base'!J$12,ROUND('Calc base'!J$13*BA184,2))))</f>
        <v>0</v>
      </c>
      <c r="R185">
        <f>IF(BB184&lt;=0,0,IF(ROUND(BB184*(1+'Calc base'!P185),2)-MAX('Calc base'!K$12,ROUND('Calc base'!K$13*BB184,2))&lt;1,ROUND(BB184*(1+'Calc base'!P185),2),MAX('Calc base'!K$12,ROUND('Calc base'!K$13*BB184,2))))</f>
        <v>0</v>
      </c>
      <c r="S185">
        <f>IF(BC184&lt;=0,0,IF(ROUND(BC184*(1+'Calc base'!Q185),2)-MAX('Calc base'!L$12,ROUND('Calc base'!L$13*BC184,2))&lt;1,ROUND(BC184*(1+'Calc base'!Q185),2),MAX('Calc base'!L$12,ROUND('Calc base'!L$13*BC184,2))))</f>
        <v>0</v>
      </c>
      <c r="T185">
        <f>IF(BD184&lt;=0,0,IF(ROUND(BD184*(1+'Calc base'!R185),2)-MAX('Calc base'!M$12,ROUND('Calc base'!M$13*BD184,2))&lt;1,ROUND(BD184*(1+'Calc base'!R185),2),MAX('Calc base'!M$12,ROUND('Calc base'!M$13*BD184,2))))</f>
        <v>0</v>
      </c>
      <c r="U185">
        <f>IF(BE184&lt;=0,0,IF(ROUND(BE184*(1+'Calc base'!S185),2)-MAX('Calc base'!N$12,ROUND('Calc base'!N$13*BE184,2))&lt;1,ROUND(BE184*(1+'Calc base'!S185),2),MAX('Calc base'!N$12,ROUND('Calc base'!N$13*BE184,2))))</f>
        <v>0</v>
      </c>
      <c r="V185">
        <f>MAX(0,ROUND(AT184*(1+'Calc base'!H185),2)-J185-'Calc base'!T185)</f>
        <v>0</v>
      </c>
      <c r="W185">
        <f>MAX(0,ROUND(AU184*(1+'Calc base'!I185),2)-K185-'Calc base'!U185)</f>
        <v>0</v>
      </c>
      <c r="X185">
        <f>MAX(0,ROUND(AV184*(1+'Calc base'!J185),2)-L185-'Calc base'!V185)</f>
        <v>0</v>
      </c>
      <c r="Y185">
        <f>MAX(0,ROUND(AW184*(1+'Calc base'!K185),2)-M185-'Calc base'!W185)</f>
        <v>0</v>
      </c>
      <c r="Z185">
        <f>MAX(0,ROUND(AX184*(1+'Calc base'!L185),2)-N185-'Calc base'!X185)</f>
        <v>0</v>
      </c>
      <c r="AA185">
        <f>MAX(0,ROUND(AY184*(1+'Calc base'!M185),2)-O185-'Calc base'!Y185)</f>
        <v>0</v>
      </c>
      <c r="AB185">
        <f>MAX(0,ROUND(AZ184*(1+'Calc base'!N185),2)-P185-'Calc base'!Z185)</f>
        <v>0</v>
      </c>
      <c r="AC185">
        <f>MAX(0,ROUND(BA184*(1+'Calc base'!O185),2)-Q185-'Calc base'!AA185)</f>
        <v>0</v>
      </c>
      <c r="AD185">
        <f>MAX(0,ROUND(BB184*(1+'Calc base'!P185),2)-R185-'Calc base'!AB185)</f>
        <v>0</v>
      </c>
      <c r="AE185">
        <f>MAX(0,ROUND(BC184*(1+'Calc base'!Q185),2)-S185-'Calc base'!AC185)</f>
        <v>0</v>
      </c>
      <c r="AF185">
        <f>MAX(0,ROUND(BD184*(1+'Calc base'!R185),2)-T185-'Calc base'!AD185)</f>
        <v>0</v>
      </c>
      <c r="AG185">
        <f>MAX(0,ROUND(BE184*(1+'Calc base'!S185),2)-U185-'Calc base'!AE185)</f>
        <v>0</v>
      </c>
      <c r="AH185">
        <f>IF('Calc base'!C$14=0,0,MIN(V185,MAX(0,$E185-SUMIFS($V185:$AG185,'Calc base'!$C$19:$N$19,"&lt;"&amp;'Calc base'!C$19,'Calc base'!$C$14:$N$14,1))))</f>
        <v>0</v>
      </c>
      <c r="AI185">
        <f>IF('Calc base'!D$14=0,0,MIN(W185,MAX(0,$E185-SUMIFS($V185:$AG185,'Calc base'!$C$19:$N$19,"&lt;"&amp;'Calc base'!D$19,'Calc base'!$C$14:$N$14,1))))</f>
        <v>0</v>
      </c>
      <c r="AJ185">
        <f>IF('Calc base'!E$14=0,0,MIN(X185,MAX(0,$E185-SUMIFS($V185:$AG185,'Calc base'!$C$19:$N$19,"&lt;"&amp;'Calc base'!E$19,'Calc base'!$C$14:$N$14,1))))</f>
        <v>0</v>
      </c>
      <c r="AK185">
        <f>IF('Calc base'!F$14=0,0,MIN(Y185,MAX(0,$E185-SUMIFS($V185:$AG185,'Calc base'!$C$19:$N$19,"&lt;"&amp;'Calc base'!F$19,'Calc base'!$C$14:$N$14,1))))</f>
        <v>0</v>
      </c>
      <c r="AL185">
        <f>IF('Calc base'!G$14=0,0,MIN(Z185,MAX(0,$E185-SUMIFS($V185:$AG185,'Calc base'!$C$19:$N$19,"&lt;"&amp;'Calc base'!G$19,'Calc base'!$C$14:$N$14,1))))</f>
        <v>0</v>
      </c>
      <c r="AM185">
        <f>IF('Calc base'!H$14=0,0,MIN(AA185,MAX(0,$E185-SUMIFS($V185:$AG185,'Calc base'!$C$19:$N$19,"&lt;"&amp;'Calc base'!H$19,'Calc base'!$C$14:$N$14,1))))</f>
        <v>0</v>
      </c>
      <c r="AN185">
        <f>IF('Calc base'!I$14=0,0,MIN(AB185,MAX(0,$E185-SUMIFS($V185:$AG185,'Calc base'!$C$19:$N$19,"&lt;"&amp;'Calc base'!I$19,'Calc base'!$C$14:$N$14,1))))</f>
        <v>0</v>
      </c>
      <c r="AO185">
        <f>IF('Calc base'!J$14=0,0,MIN(AC185,MAX(0,$E185-SUMIFS($V185:$AG185,'Calc base'!$C$19:$N$19,"&lt;"&amp;'Calc base'!J$19,'Calc base'!$C$14:$N$14,1))))</f>
        <v>0</v>
      </c>
      <c r="AP185">
        <f>IF('Calc base'!K$14=0,0,MIN(AD185,MAX(0,$E185-SUMIFS($V185:$AG185,'Calc base'!$C$19:$N$19,"&lt;"&amp;'Calc base'!K$19,'Calc base'!$C$14:$N$14,1))))</f>
        <v>0</v>
      </c>
      <c r="AQ185">
        <f>IF('Calc base'!L$14=0,0,MIN(AE185,MAX(0,$E185-SUMIFS($V185:$AG185,'Calc base'!$C$19:$N$19,"&lt;"&amp;'Calc base'!L$19,'Calc base'!$C$14:$N$14,1))))</f>
        <v>0</v>
      </c>
      <c r="AR185">
        <f>IF('Calc base'!M$14=0,0,MIN(AF185,MAX(0,$E185-SUMIFS($V185:$AG185,'Calc base'!$C$19:$N$19,"&lt;"&amp;'Calc base'!M$19,'Calc base'!$C$14:$N$14,1))))</f>
        <v>0</v>
      </c>
      <c r="AS185">
        <f>IF('Calc base'!N$14=0,0,MIN(AG185,MAX(0,$E185-SUMIFS($V185:$AG185,'Calc base'!$C$19:$N$19,"&lt;"&amp;'Calc base'!N$19,'Calc base'!$C$14:$N$14,1))))</f>
        <v>0</v>
      </c>
      <c r="AT185">
        <f>V185-AH185</f>
        <v>0</v>
      </c>
      <c r="AU185">
        <f>W185-AI185</f>
        <v>0</v>
      </c>
      <c r="AV185">
        <f>X185-AJ185</f>
        <v>0</v>
      </c>
      <c r="AW185">
        <f>Y185-AK185</f>
        <v>0</v>
      </c>
      <c r="AX185">
        <f>Z185-AL185</f>
        <v>0</v>
      </c>
      <c r="AY185">
        <f>AA185-AM185</f>
        <v>0</v>
      </c>
      <c r="AZ185">
        <f>AB185-AN185</f>
        <v>0</v>
      </c>
      <c r="BA185">
        <f>AC185-AO185</f>
        <v>0</v>
      </c>
      <c r="BB185">
        <f>AD185-AP185</f>
        <v>0</v>
      </c>
      <c r="BC185">
        <f>AE185-AQ185</f>
        <v>0</v>
      </c>
      <c r="BD185">
        <f>AF185-AR185</f>
        <v>0</v>
      </c>
      <c r="BE185">
        <f>AG185-AS185</f>
        <v>0</v>
      </c>
    </row>
    <row r="186">
      <c r="A186" t="n">
        <v>156</v>
      </c>
      <c r="B186">
        <f>SUMPRODUCT(ROUND($AT185:$BE185*(1+'Calc base'!$H186:$S186),2))</f>
        <v>0</v>
      </c>
      <c r="C186">
        <f>SUM(J186:U186)</f>
        <v>0</v>
      </c>
      <c r="D186">
        <f>SUM(V186:AG186)</f>
        <v>0</v>
      </c>
      <c r="E186">
        <f>MAX(0,IF(Impostazioni!$B$7="No",'Calc base'!$C186-$C$31,'Calc base'!$C186-C186)+'Calc base'!$G186+'Calc base'!$F186-(B186-C186-D186))</f>
        <v>900</v>
      </c>
      <c r="F186">
        <f>SUM(AH186:AS186)</f>
        <v>0</v>
      </c>
      <c r="G186">
        <f>SUM(AT186:BE186)</f>
        <v>0</v>
      </c>
      <c r="H186">
        <f>B186-G185</f>
        <v>0</v>
      </c>
      <c r="I186">
        <f>B186-G186</f>
        <v>0</v>
      </c>
      <c r="J186">
        <f>IF(AT185&lt;=0,0,IF(ROUND(AT185*(1+'Calc base'!H186),2)-MAX('Calc base'!C$12,ROUND('Calc base'!C$13*AT185,2))&lt;1,ROUND(AT185*(1+'Calc base'!H186),2),MAX('Calc base'!C$12,ROUND('Calc base'!C$13*AT185,2))))</f>
        <v>0</v>
      </c>
      <c r="K186">
        <f>IF(AU185&lt;=0,0,IF(ROUND(AU185*(1+'Calc base'!I186),2)-MAX('Calc base'!D$12,ROUND('Calc base'!D$13*AU185,2))&lt;1,ROUND(AU185*(1+'Calc base'!I186),2),MAX('Calc base'!D$12,ROUND('Calc base'!D$13*AU185,2))))</f>
        <v>0</v>
      </c>
      <c r="L186">
        <f>IF(AV185&lt;=0,0,IF(ROUND(AV185*(1+'Calc base'!J186),2)-MAX('Calc base'!E$12,ROUND('Calc base'!E$13*AV185,2))&lt;1,ROUND(AV185*(1+'Calc base'!J186),2),MAX('Calc base'!E$12,ROUND('Calc base'!E$13*AV185,2))))</f>
        <v>0</v>
      </c>
      <c r="M186">
        <f>IF(AW185&lt;=0,0,IF(ROUND(AW185*(1+'Calc base'!K186),2)-MAX('Calc base'!F$12,ROUND('Calc base'!F$13*AW185,2))&lt;1,ROUND(AW185*(1+'Calc base'!K186),2),MAX('Calc base'!F$12,ROUND('Calc base'!F$13*AW185,2))))</f>
        <v>0</v>
      </c>
      <c r="N186">
        <f>IF(AX185&lt;=0,0,IF(ROUND(AX185*(1+'Calc base'!L186),2)-MAX('Calc base'!G$12,ROUND('Calc base'!G$13*AX185,2))&lt;1,ROUND(AX185*(1+'Calc base'!L186),2),MAX('Calc base'!G$12,ROUND('Calc base'!G$13*AX185,2))))</f>
        <v>0</v>
      </c>
      <c r="O186">
        <f>IF(AY185&lt;=0,0,IF(ROUND(AY185*(1+'Calc base'!M186),2)-MAX('Calc base'!H$12,ROUND('Calc base'!H$13*AY185,2))&lt;1,ROUND(AY185*(1+'Calc base'!M186),2),MAX('Calc base'!H$12,ROUND('Calc base'!H$13*AY185,2))))</f>
        <v>0</v>
      </c>
      <c r="P186">
        <f>IF(AZ185&lt;=0,0,IF(ROUND(AZ185*(1+'Calc base'!N186),2)-MAX('Calc base'!I$12,ROUND('Calc base'!I$13*AZ185,2))&lt;1,ROUND(AZ185*(1+'Calc base'!N186),2),MAX('Calc base'!I$12,ROUND('Calc base'!I$13*AZ185,2))))</f>
        <v>0</v>
      </c>
      <c r="Q186">
        <f>IF(BA185&lt;=0,0,IF(ROUND(BA185*(1+'Calc base'!O186),2)-MAX('Calc base'!J$12,ROUND('Calc base'!J$13*BA185,2))&lt;1,ROUND(BA185*(1+'Calc base'!O186),2),MAX('Calc base'!J$12,ROUND('Calc base'!J$13*BA185,2))))</f>
        <v>0</v>
      </c>
      <c r="R186">
        <f>IF(BB185&lt;=0,0,IF(ROUND(BB185*(1+'Calc base'!P186),2)-MAX('Calc base'!K$12,ROUND('Calc base'!K$13*BB185,2))&lt;1,ROUND(BB185*(1+'Calc base'!P186),2),MAX('Calc base'!K$12,ROUND('Calc base'!K$13*BB185,2))))</f>
        <v>0</v>
      </c>
      <c r="S186">
        <f>IF(BC185&lt;=0,0,IF(ROUND(BC185*(1+'Calc base'!Q186),2)-MAX('Calc base'!L$12,ROUND('Calc base'!L$13*BC185,2))&lt;1,ROUND(BC185*(1+'Calc base'!Q186),2),MAX('Calc base'!L$12,ROUND('Calc base'!L$13*BC185,2))))</f>
        <v>0</v>
      </c>
      <c r="T186">
        <f>IF(BD185&lt;=0,0,IF(ROUND(BD185*(1+'Calc base'!R186),2)-MAX('Calc base'!M$12,ROUND('Calc base'!M$13*BD185,2))&lt;1,ROUND(BD185*(1+'Calc base'!R186),2),MAX('Calc base'!M$12,ROUND('Calc base'!M$13*BD185,2))))</f>
        <v>0</v>
      </c>
      <c r="U186">
        <f>IF(BE185&lt;=0,0,IF(ROUND(BE185*(1+'Calc base'!S186),2)-MAX('Calc base'!N$12,ROUND('Calc base'!N$13*BE185,2))&lt;1,ROUND(BE185*(1+'Calc base'!S186),2),MAX('Calc base'!N$12,ROUND('Calc base'!N$13*BE185,2))))</f>
        <v>0</v>
      </c>
      <c r="V186">
        <f>MAX(0,ROUND(AT185*(1+'Calc base'!H186),2)-J186-'Calc base'!T186)</f>
        <v>0</v>
      </c>
      <c r="W186">
        <f>MAX(0,ROUND(AU185*(1+'Calc base'!I186),2)-K186-'Calc base'!U186)</f>
        <v>0</v>
      </c>
      <c r="X186">
        <f>MAX(0,ROUND(AV185*(1+'Calc base'!J186),2)-L186-'Calc base'!V186)</f>
        <v>0</v>
      </c>
      <c r="Y186">
        <f>MAX(0,ROUND(AW185*(1+'Calc base'!K186),2)-M186-'Calc base'!W186)</f>
        <v>0</v>
      </c>
      <c r="Z186">
        <f>MAX(0,ROUND(AX185*(1+'Calc base'!L186),2)-N186-'Calc base'!X186)</f>
        <v>0</v>
      </c>
      <c r="AA186">
        <f>MAX(0,ROUND(AY185*(1+'Calc base'!M186),2)-O186-'Calc base'!Y186)</f>
        <v>0</v>
      </c>
      <c r="AB186">
        <f>MAX(0,ROUND(AZ185*(1+'Calc base'!N186),2)-P186-'Calc base'!Z186)</f>
        <v>0</v>
      </c>
      <c r="AC186">
        <f>MAX(0,ROUND(BA185*(1+'Calc base'!O186),2)-Q186-'Calc base'!AA186)</f>
        <v>0</v>
      </c>
      <c r="AD186">
        <f>MAX(0,ROUND(BB185*(1+'Calc base'!P186),2)-R186-'Calc base'!AB186)</f>
        <v>0</v>
      </c>
      <c r="AE186">
        <f>MAX(0,ROUND(BC185*(1+'Calc base'!Q186),2)-S186-'Calc base'!AC186)</f>
        <v>0</v>
      </c>
      <c r="AF186">
        <f>MAX(0,ROUND(BD185*(1+'Calc base'!R186),2)-T186-'Calc base'!AD186)</f>
        <v>0</v>
      </c>
      <c r="AG186">
        <f>MAX(0,ROUND(BE185*(1+'Calc base'!S186),2)-U186-'Calc base'!AE186)</f>
        <v>0</v>
      </c>
      <c r="AH186">
        <f>IF('Calc base'!C$14=0,0,MIN(V186,MAX(0,$E186-SUMIFS($V186:$AG186,'Calc base'!$C$19:$N$19,"&lt;"&amp;'Calc base'!C$19,'Calc base'!$C$14:$N$14,1))))</f>
        <v>0</v>
      </c>
      <c r="AI186">
        <f>IF('Calc base'!D$14=0,0,MIN(W186,MAX(0,$E186-SUMIFS($V186:$AG186,'Calc base'!$C$19:$N$19,"&lt;"&amp;'Calc base'!D$19,'Calc base'!$C$14:$N$14,1))))</f>
        <v>0</v>
      </c>
      <c r="AJ186">
        <f>IF('Calc base'!E$14=0,0,MIN(X186,MAX(0,$E186-SUMIFS($V186:$AG186,'Calc base'!$C$19:$N$19,"&lt;"&amp;'Calc base'!E$19,'Calc base'!$C$14:$N$14,1))))</f>
        <v>0</v>
      </c>
      <c r="AK186">
        <f>IF('Calc base'!F$14=0,0,MIN(Y186,MAX(0,$E186-SUMIFS($V186:$AG186,'Calc base'!$C$19:$N$19,"&lt;"&amp;'Calc base'!F$19,'Calc base'!$C$14:$N$14,1))))</f>
        <v>0</v>
      </c>
      <c r="AL186">
        <f>IF('Calc base'!G$14=0,0,MIN(Z186,MAX(0,$E186-SUMIFS($V186:$AG186,'Calc base'!$C$19:$N$19,"&lt;"&amp;'Calc base'!G$19,'Calc base'!$C$14:$N$14,1))))</f>
        <v>0</v>
      </c>
      <c r="AM186">
        <f>IF('Calc base'!H$14=0,0,MIN(AA186,MAX(0,$E186-SUMIFS($V186:$AG186,'Calc base'!$C$19:$N$19,"&lt;"&amp;'Calc base'!H$19,'Calc base'!$C$14:$N$14,1))))</f>
        <v>0</v>
      </c>
      <c r="AN186">
        <f>IF('Calc base'!I$14=0,0,MIN(AB186,MAX(0,$E186-SUMIFS($V186:$AG186,'Calc base'!$C$19:$N$19,"&lt;"&amp;'Calc base'!I$19,'Calc base'!$C$14:$N$14,1))))</f>
        <v>0</v>
      </c>
      <c r="AO186">
        <f>IF('Calc base'!J$14=0,0,MIN(AC186,MAX(0,$E186-SUMIFS($V186:$AG186,'Calc base'!$C$19:$N$19,"&lt;"&amp;'Calc base'!J$19,'Calc base'!$C$14:$N$14,1))))</f>
        <v>0</v>
      </c>
      <c r="AP186">
        <f>IF('Calc base'!K$14=0,0,MIN(AD186,MAX(0,$E186-SUMIFS($V186:$AG186,'Calc base'!$C$19:$N$19,"&lt;"&amp;'Calc base'!K$19,'Calc base'!$C$14:$N$14,1))))</f>
        <v>0</v>
      </c>
      <c r="AQ186">
        <f>IF('Calc base'!L$14=0,0,MIN(AE186,MAX(0,$E186-SUMIFS($V186:$AG186,'Calc base'!$C$19:$N$19,"&lt;"&amp;'Calc base'!L$19,'Calc base'!$C$14:$N$14,1))))</f>
        <v>0</v>
      </c>
      <c r="AR186">
        <f>IF('Calc base'!M$14=0,0,MIN(AF186,MAX(0,$E186-SUMIFS($V186:$AG186,'Calc base'!$C$19:$N$19,"&lt;"&amp;'Calc base'!M$19,'Calc base'!$C$14:$N$14,1))))</f>
        <v>0</v>
      </c>
      <c r="AS186">
        <f>IF('Calc base'!N$14=0,0,MIN(AG186,MAX(0,$E186-SUMIFS($V186:$AG186,'Calc base'!$C$19:$N$19,"&lt;"&amp;'Calc base'!N$19,'Calc base'!$C$14:$N$14,1))))</f>
        <v>0</v>
      </c>
      <c r="AT186">
        <f>V186-AH186</f>
        <v>0</v>
      </c>
      <c r="AU186">
        <f>W186-AI186</f>
        <v>0</v>
      </c>
      <c r="AV186">
        <f>X186-AJ186</f>
        <v>0</v>
      </c>
      <c r="AW186">
        <f>Y186-AK186</f>
        <v>0</v>
      </c>
      <c r="AX186">
        <f>Z186-AL186</f>
        <v>0</v>
      </c>
      <c r="AY186">
        <f>AA186-AM186</f>
        <v>0</v>
      </c>
      <c r="AZ186">
        <f>AB186-AN186</f>
        <v>0</v>
      </c>
      <c r="BA186">
        <f>AC186-AO186</f>
        <v>0</v>
      </c>
      <c r="BB186">
        <f>AD186-AP186</f>
        <v>0</v>
      </c>
      <c r="BC186">
        <f>AE186-AQ186</f>
        <v>0</v>
      </c>
      <c r="BD186">
        <f>AF186-AR186</f>
        <v>0</v>
      </c>
      <c r="BE186">
        <f>AG186-AS186</f>
        <v>0</v>
      </c>
    </row>
    <row r="187">
      <c r="A187" t="n">
        <v>157</v>
      </c>
      <c r="B187">
        <f>SUMPRODUCT(ROUND($AT186:$BE186*(1+'Calc base'!$H187:$S187),2))</f>
        <v>0</v>
      </c>
      <c r="C187">
        <f>SUM(J187:U187)</f>
        <v>0</v>
      </c>
      <c r="D187">
        <f>SUM(V187:AG187)</f>
        <v>0</v>
      </c>
      <c r="E187">
        <f>MAX(0,IF(Impostazioni!$B$7="No",'Calc base'!$C187-$C$31,'Calc base'!$C187-C187)+'Calc base'!$G187+'Calc base'!$F187-(B187-C187-D187))</f>
        <v>900</v>
      </c>
      <c r="F187">
        <f>SUM(AH187:AS187)</f>
        <v>0</v>
      </c>
      <c r="G187">
        <f>SUM(AT187:BE187)</f>
        <v>0</v>
      </c>
      <c r="H187">
        <f>B187-G186</f>
        <v>0</v>
      </c>
      <c r="I187">
        <f>B187-G187</f>
        <v>0</v>
      </c>
      <c r="J187">
        <f>IF(AT186&lt;=0,0,IF(ROUND(AT186*(1+'Calc base'!H187),2)-MAX('Calc base'!C$12,ROUND('Calc base'!C$13*AT186,2))&lt;1,ROUND(AT186*(1+'Calc base'!H187),2),MAX('Calc base'!C$12,ROUND('Calc base'!C$13*AT186,2))))</f>
        <v>0</v>
      </c>
      <c r="K187">
        <f>IF(AU186&lt;=0,0,IF(ROUND(AU186*(1+'Calc base'!I187),2)-MAX('Calc base'!D$12,ROUND('Calc base'!D$13*AU186,2))&lt;1,ROUND(AU186*(1+'Calc base'!I187),2),MAX('Calc base'!D$12,ROUND('Calc base'!D$13*AU186,2))))</f>
        <v>0</v>
      </c>
      <c r="L187">
        <f>IF(AV186&lt;=0,0,IF(ROUND(AV186*(1+'Calc base'!J187),2)-MAX('Calc base'!E$12,ROUND('Calc base'!E$13*AV186,2))&lt;1,ROUND(AV186*(1+'Calc base'!J187),2),MAX('Calc base'!E$12,ROUND('Calc base'!E$13*AV186,2))))</f>
        <v>0</v>
      </c>
      <c r="M187">
        <f>IF(AW186&lt;=0,0,IF(ROUND(AW186*(1+'Calc base'!K187),2)-MAX('Calc base'!F$12,ROUND('Calc base'!F$13*AW186,2))&lt;1,ROUND(AW186*(1+'Calc base'!K187),2),MAX('Calc base'!F$12,ROUND('Calc base'!F$13*AW186,2))))</f>
        <v>0</v>
      </c>
      <c r="N187">
        <f>IF(AX186&lt;=0,0,IF(ROUND(AX186*(1+'Calc base'!L187),2)-MAX('Calc base'!G$12,ROUND('Calc base'!G$13*AX186,2))&lt;1,ROUND(AX186*(1+'Calc base'!L187),2),MAX('Calc base'!G$12,ROUND('Calc base'!G$13*AX186,2))))</f>
        <v>0</v>
      </c>
      <c r="O187">
        <f>IF(AY186&lt;=0,0,IF(ROUND(AY186*(1+'Calc base'!M187),2)-MAX('Calc base'!H$12,ROUND('Calc base'!H$13*AY186,2))&lt;1,ROUND(AY186*(1+'Calc base'!M187),2),MAX('Calc base'!H$12,ROUND('Calc base'!H$13*AY186,2))))</f>
        <v>0</v>
      </c>
      <c r="P187">
        <f>IF(AZ186&lt;=0,0,IF(ROUND(AZ186*(1+'Calc base'!N187),2)-MAX('Calc base'!I$12,ROUND('Calc base'!I$13*AZ186,2))&lt;1,ROUND(AZ186*(1+'Calc base'!N187),2),MAX('Calc base'!I$12,ROUND('Calc base'!I$13*AZ186,2))))</f>
        <v>0</v>
      </c>
      <c r="Q187">
        <f>IF(BA186&lt;=0,0,IF(ROUND(BA186*(1+'Calc base'!O187),2)-MAX('Calc base'!J$12,ROUND('Calc base'!J$13*BA186,2))&lt;1,ROUND(BA186*(1+'Calc base'!O187),2),MAX('Calc base'!J$12,ROUND('Calc base'!J$13*BA186,2))))</f>
        <v>0</v>
      </c>
      <c r="R187">
        <f>IF(BB186&lt;=0,0,IF(ROUND(BB186*(1+'Calc base'!P187),2)-MAX('Calc base'!K$12,ROUND('Calc base'!K$13*BB186,2))&lt;1,ROUND(BB186*(1+'Calc base'!P187),2),MAX('Calc base'!K$12,ROUND('Calc base'!K$13*BB186,2))))</f>
        <v>0</v>
      </c>
      <c r="S187">
        <f>IF(BC186&lt;=0,0,IF(ROUND(BC186*(1+'Calc base'!Q187),2)-MAX('Calc base'!L$12,ROUND('Calc base'!L$13*BC186,2))&lt;1,ROUND(BC186*(1+'Calc base'!Q187),2),MAX('Calc base'!L$12,ROUND('Calc base'!L$13*BC186,2))))</f>
        <v>0</v>
      </c>
      <c r="T187">
        <f>IF(BD186&lt;=0,0,IF(ROUND(BD186*(1+'Calc base'!R187),2)-MAX('Calc base'!M$12,ROUND('Calc base'!M$13*BD186,2))&lt;1,ROUND(BD186*(1+'Calc base'!R187),2),MAX('Calc base'!M$12,ROUND('Calc base'!M$13*BD186,2))))</f>
        <v>0</v>
      </c>
      <c r="U187">
        <f>IF(BE186&lt;=0,0,IF(ROUND(BE186*(1+'Calc base'!S187),2)-MAX('Calc base'!N$12,ROUND('Calc base'!N$13*BE186,2))&lt;1,ROUND(BE186*(1+'Calc base'!S187),2),MAX('Calc base'!N$12,ROUND('Calc base'!N$13*BE186,2))))</f>
        <v>0</v>
      </c>
      <c r="V187">
        <f>MAX(0,ROUND(AT186*(1+'Calc base'!H187),2)-J187-'Calc base'!T187)</f>
        <v>0</v>
      </c>
      <c r="W187">
        <f>MAX(0,ROUND(AU186*(1+'Calc base'!I187),2)-K187-'Calc base'!U187)</f>
        <v>0</v>
      </c>
      <c r="X187">
        <f>MAX(0,ROUND(AV186*(1+'Calc base'!J187),2)-L187-'Calc base'!V187)</f>
        <v>0</v>
      </c>
      <c r="Y187">
        <f>MAX(0,ROUND(AW186*(1+'Calc base'!K187),2)-M187-'Calc base'!W187)</f>
        <v>0</v>
      </c>
      <c r="Z187">
        <f>MAX(0,ROUND(AX186*(1+'Calc base'!L187),2)-N187-'Calc base'!X187)</f>
        <v>0</v>
      </c>
      <c r="AA187">
        <f>MAX(0,ROUND(AY186*(1+'Calc base'!M187),2)-O187-'Calc base'!Y187)</f>
        <v>0</v>
      </c>
      <c r="AB187">
        <f>MAX(0,ROUND(AZ186*(1+'Calc base'!N187),2)-P187-'Calc base'!Z187)</f>
        <v>0</v>
      </c>
      <c r="AC187">
        <f>MAX(0,ROUND(BA186*(1+'Calc base'!O187),2)-Q187-'Calc base'!AA187)</f>
        <v>0</v>
      </c>
      <c r="AD187">
        <f>MAX(0,ROUND(BB186*(1+'Calc base'!P187),2)-R187-'Calc base'!AB187)</f>
        <v>0</v>
      </c>
      <c r="AE187">
        <f>MAX(0,ROUND(BC186*(1+'Calc base'!Q187),2)-S187-'Calc base'!AC187)</f>
        <v>0</v>
      </c>
      <c r="AF187">
        <f>MAX(0,ROUND(BD186*(1+'Calc base'!R187),2)-T187-'Calc base'!AD187)</f>
        <v>0</v>
      </c>
      <c r="AG187">
        <f>MAX(0,ROUND(BE186*(1+'Calc base'!S187),2)-U187-'Calc base'!AE187)</f>
        <v>0</v>
      </c>
      <c r="AH187">
        <f>IF('Calc base'!C$14=0,0,MIN(V187,MAX(0,$E187-SUMIFS($V187:$AG187,'Calc base'!$C$19:$N$19,"&lt;"&amp;'Calc base'!C$19,'Calc base'!$C$14:$N$14,1))))</f>
        <v>0</v>
      </c>
      <c r="AI187">
        <f>IF('Calc base'!D$14=0,0,MIN(W187,MAX(0,$E187-SUMIFS($V187:$AG187,'Calc base'!$C$19:$N$19,"&lt;"&amp;'Calc base'!D$19,'Calc base'!$C$14:$N$14,1))))</f>
        <v>0</v>
      </c>
      <c r="AJ187">
        <f>IF('Calc base'!E$14=0,0,MIN(X187,MAX(0,$E187-SUMIFS($V187:$AG187,'Calc base'!$C$19:$N$19,"&lt;"&amp;'Calc base'!E$19,'Calc base'!$C$14:$N$14,1))))</f>
        <v>0</v>
      </c>
      <c r="AK187">
        <f>IF('Calc base'!F$14=0,0,MIN(Y187,MAX(0,$E187-SUMIFS($V187:$AG187,'Calc base'!$C$19:$N$19,"&lt;"&amp;'Calc base'!F$19,'Calc base'!$C$14:$N$14,1))))</f>
        <v>0</v>
      </c>
      <c r="AL187">
        <f>IF('Calc base'!G$14=0,0,MIN(Z187,MAX(0,$E187-SUMIFS($V187:$AG187,'Calc base'!$C$19:$N$19,"&lt;"&amp;'Calc base'!G$19,'Calc base'!$C$14:$N$14,1))))</f>
        <v>0</v>
      </c>
      <c r="AM187">
        <f>IF('Calc base'!H$14=0,0,MIN(AA187,MAX(0,$E187-SUMIFS($V187:$AG187,'Calc base'!$C$19:$N$19,"&lt;"&amp;'Calc base'!H$19,'Calc base'!$C$14:$N$14,1))))</f>
        <v>0</v>
      </c>
      <c r="AN187">
        <f>IF('Calc base'!I$14=0,0,MIN(AB187,MAX(0,$E187-SUMIFS($V187:$AG187,'Calc base'!$C$19:$N$19,"&lt;"&amp;'Calc base'!I$19,'Calc base'!$C$14:$N$14,1))))</f>
        <v>0</v>
      </c>
      <c r="AO187">
        <f>IF('Calc base'!J$14=0,0,MIN(AC187,MAX(0,$E187-SUMIFS($V187:$AG187,'Calc base'!$C$19:$N$19,"&lt;"&amp;'Calc base'!J$19,'Calc base'!$C$14:$N$14,1))))</f>
        <v>0</v>
      </c>
      <c r="AP187">
        <f>IF('Calc base'!K$14=0,0,MIN(AD187,MAX(0,$E187-SUMIFS($V187:$AG187,'Calc base'!$C$19:$N$19,"&lt;"&amp;'Calc base'!K$19,'Calc base'!$C$14:$N$14,1))))</f>
        <v>0</v>
      </c>
      <c r="AQ187">
        <f>IF('Calc base'!L$14=0,0,MIN(AE187,MAX(0,$E187-SUMIFS($V187:$AG187,'Calc base'!$C$19:$N$19,"&lt;"&amp;'Calc base'!L$19,'Calc base'!$C$14:$N$14,1))))</f>
        <v>0</v>
      </c>
      <c r="AR187">
        <f>IF('Calc base'!M$14=0,0,MIN(AF187,MAX(0,$E187-SUMIFS($V187:$AG187,'Calc base'!$C$19:$N$19,"&lt;"&amp;'Calc base'!M$19,'Calc base'!$C$14:$N$14,1))))</f>
        <v>0</v>
      </c>
      <c r="AS187">
        <f>IF('Calc base'!N$14=0,0,MIN(AG187,MAX(0,$E187-SUMIFS($V187:$AG187,'Calc base'!$C$19:$N$19,"&lt;"&amp;'Calc base'!N$19,'Calc base'!$C$14:$N$14,1))))</f>
        <v>0</v>
      </c>
      <c r="AT187">
        <f>V187-AH187</f>
        <v>0</v>
      </c>
      <c r="AU187">
        <f>W187-AI187</f>
        <v>0</v>
      </c>
      <c r="AV187">
        <f>X187-AJ187</f>
        <v>0</v>
      </c>
      <c r="AW187">
        <f>Y187-AK187</f>
        <v>0</v>
      </c>
      <c r="AX187">
        <f>Z187-AL187</f>
        <v>0</v>
      </c>
      <c r="AY187">
        <f>AA187-AM187</f>
        <v>0</v>
      </c>
      <c r="AZ187">
        <f>AB187-AN187</f>
        <v>0</v>
      </c>
      <c r="BA187">
        <f>AC187-AO187</f>
        <v>0</v>
      </c>
      <c r="BB187">
        <f>AD187-AP187</f>
        <v>0</v>
      </c>
      <c r="BC187">
        <f>AE187-AQ187</f>
        <v>0</v>
      </c>
      <c r="BD187">
        <f>AF187-AR187</f>
        <v>0</v>
      </c>
      <c r="BE187">
        <f>AG187-AS187</f>
        <v>0</v>
      </c>
    </row>
    <row r="188">
      <c r="A188" t="n">
        <v>158</v>
      </c>
      <c r="B188">
        <f>SUMPRODUCT(ROUND($AT187:$BE187*(1+'Calc base'!$H188:$S188),2))</f>
        <v>0</v>
      </c>
      <c r="C188">
        <f>SUM(J188:U188)</f>
        <v>0</v>
      </c>
      <c r="D188">
        <f>SUM(V188:AG188)</f>
        <v>0</v>
      </c>
      <c r="E188">
        <f>MAX(0,IF(Impostazioni!$B$7="No",'Calc base'!$C188-$C$31,'Calc base'!$C188-C188)+'Calc base'!$G188+'Calc base'!$F188-(B188-C188-D188))</f>
        <v>900</v>
      </c>
      <c r="F188">
        <f>SUM(AH188:AS188)</f>
        <v>0</v>
      </c>
      <c r="G188">
        <f>SUM(AT188:BE188)</f>
        <v>0</v>
      </c>
      <c r="H188">
        <f>B188-G187</f>
        <v>0</v>
      </c>
      <c r="I188">
        <f>B188-G188</f>
        <v>0</v>
      </c>
      <c r="J188">
        <f>IF(AT187&lt;=0,0,IF(ROUND(AT187*(1+'Calc base'!H188),2)-MAX('Calc base'!C$12,ROUND('Calc base'!C$13*AT187,2))&lt;1,ROUND(AT187*(1+'Calc base'!H188),2),MAX('Calc base'!C$12,ROUND('Calc base'!C$13*AT187,2))))</f>
        <v>0</v>
      </c>
      <c r="K188">
        <f>IF(AU187&lt;=0,0,IF(ROUND(AU187*(1+'Calc base'!I188),2)-MAX('Calc base'!D$12,ROUND('Calc base'!D$13*AU187,2))&lt;1,ROUND(AU187*(1+'Calc base'!I188),2),MAX('Calc base'!D$12,ROUND('Calc base'!D$13*AU187,2))))</f>
        <v>0</v>
      </c>
      <c r="L188">
        <f>IF(AV187&lt;=0,0,IF(ROUND(AV187*(1+'Calc base'!J188),2)-MAX('Calc base'!E$12,ROUND('Calc base'!E$13*AV187,2))&lt;1,ROUND(AV187*(1+'Calc base'!J188),2),MAX('Calc base'!E$12,ROUND('Calc base'!E$13*AV187,2))))</f>
        <v>0</v>
      </c>
      <c r="M188">
        <f>IF(AW187&lt;=0,0,IF(ROUND(AW187*(1+'Calc base'!K188),2)-MAX('Calc base'!F$12,ROUND('Calc base'!F$13*AW187,2))&lt;1,ROUND(AW187*(1+'Calc base'!K188),2),MAX('Calc base'!F$12,ROUND('Calc base'!F$13*AW187,2))))</f>
        <v>0</v>
      </c>
      <c r="N188">
        <f>IF(AX187&lt;=0,0,IF(ROUND(AX187*(1+'Calc base'!L188),2)-MAX('Calc base'!G$12,ROUND('Calc base'!G$13*AX187,2))&lt;1,ROUND(AX187*(1+'Calc base'!L188),2),MAX('Calc base'!G$12,ROUND('Calc base'!G$13*AX187,2))))</f>
        <v>0</v>
      </c>
      <c r="O188">
        <f>IF(AY187&lt;=0,0,IF(ROUND(AY187*(1+'Calc base'!M188),2)-MAX('Calc base'!H$12,ROUND('Calc base'!H$13*AY187,2))&lt;1,ROUND(AY187*(1+'Calc base'!M188),2),MAX('Calc base'!H$12,ROUND('Calc base'!H$13*AY187,2))))</f>
        <v>0</v>
      </c>
      <c r="P188">
        <f>IF(AZ187&lt;=0,0,IF(ROUND(AZ187*(1+'Calc base'!N188),2)-MAX('Calc base'!I$12,ROUND('Calc base'!I$13*AZ187,2))&lt;1,ROUND(AZ187*(1+'Calc base'!N188),2),MAX('Calc base'!I$12,ROUND('Calc base'!I$13*AZ187,2))))</f>
        <v>0</v>
      </c>
      <c r="Q188">
        <f>IF(BA187&lt;=0,0,IF(ROUND(BA187*(1+'Calc base'!O188),2)-MAX('Calc base'!J$12,ROUND('Calc base'!J$13*BA187,2))&lt;1,ROUND(BA187*(1+'Calc base'!O188),2),MAX('Calc base'!J$12,ROUND('Calc base'!J$13*BA187,2))))</f>
        <v>0</v>
      </c>
      <c r="R188">
        <f>IF(BB187&lt;=0,0,IF(ROUND(BB187*(1+'Calc base'!P188),2)-MAX('Calc base'!K$12,ROUND('Calc base'!K$13*BB187,2))&lt;1,ROUND(BB187*(1+'Calc base'!P188),2),MAX('Calc base'!K$12,ROUND('Calc base'!K$13*BB187,2))))</f>
        <v>0</v>
      </c>
      <c r="S188">
        <f>IF(BC187&lt;=0,0,IF(ROUND(BC187*(1+'Calc base'!Q188),2)-MAX('Calc base'!L$12,ROUND('Calc base'!L$13*BC187,2))&lt;1,ROUND(BC187*(1+'Calc base'!Q188),2),MAX('Calc base'!L$12,ROUND('Calc base'!L$13*BC187,2))))</f>
        <v>0</v>
      </c>
      <c r="T188">
        <f>IF(BD187&lt;=0,0,IF(ROUND(BD187*(1+'Calc base'!R188),2)-MAX('Calc base'!M$12,ROUND('Calc base'!M$13*BD187,2))&lt;1,ROUND(BD187*(1+'Calc base'!R188),2),MAX('Calc base'!M$12,ROUND('Calc base'!M$13*BD187,2))))</f>
        <v>0</v>
      </c>
      <c r="U188">
        <f>IF(BE187&lt;=0,0,IF(ROUND(BE187*(1+'Calc base'!S188),2)-MAX('Calc base'!N$12,ROUND('Calc base'!N$13*BE187,2))&lt;1,ROUND(BE187*(1+'Calc base'!S188),2),MAX('Calc base'!N$12,ROUND('Calc base'!N$13*BE187,2))))</f>
        <v>0</v>
      </c>
      <c r="V188">
        <f>MAX(0,ROUND(AT187*(1+'Calc base'!H188),2)-J188-'Calc base'!T188)</f>
        <v>0</v>
      </c>
      <c r="W188">
        <f>MAX(0,ROUND(AU187*(1+'Calc base'!I188),2)-K188-'Calc base'!U188)</f>
        <v>0</v>
      </c>
      <c r="X188">
        <f>MAX(0,ROUND(AV187*(1+'Calc base'!J188),2)-L188-'Calc base'!V188)</f>
        <v>0</v>
      </c>
      <c r="Y188">
        <f>MAX(0,ROUND(AW187*(1+'Calc base'!K188),2)-M188-'Calc base'!W188)</f>
        <v>0</v>
      </c>
      <c r="Z188">
        <f>MAX(0,ROUND(AX187*(1+'Calc base'!L188),2)-N188-'Calc base'!X188)</f>
        <v>0</v>
      </c>
      <c r="AA188">
        <f>MAX(0,ROUND(AY187*(1+'Calc base'!M188),2)-O188-'Calc base'!Y188)</f>
        <v>0</v>
      </c>
      <c r="AB188">
        <f>MAX(0,ROUND(AZ187*(1+'Calc base'!N188),2)-P188-'Calc base'!Z188)</f>
        <v>0</v>
      </c>
      <c r="AC188">
        <f>MAX(0,ROUND(BA187*(1+'Calc base'!O188),2)-Q188-'Calc base'!AA188)</f>
        <v>0</v>
      </c>
      <c r="AD188">
        <f>MAX(0,ROUND(BB187*(1+'Calc base'!P188),2)-R188-'Calc base'!AB188)</f>
        <v>0</v>
      </c>
      <c r="AE188">
        <f>MAX(0,ROUND(BC187*(1+'Calc base'!Q188),2)-S188-'Calc base'!AC188)</f>
        <v>0</v>
      </c>
      <c r="AF188">
        <f>MAX(0,ROUND(BD187*(1+'Calc base'!R188),2)-T188-'Calc base'!AD188)</f>
        <v>0</v>
      </c>
      <c r="AG188">
        <f>MAX(0,ROUND(BE187*(1+'Calc base'!S188),2)-U188-'Calc base'!AE188)</f>
        <v>0</v>
      </c>
      <c r="AH188">
        <f>IF('Calc base'!C$14=0,0,MIN(V188,MAX(0,$E188-SUMIFS($V188:$AG188,'Calc base'!$C$19:$N$19,"&lt;"&amp;'Calc base'!C$19,'Calc base'!$C$14:$N$14,1))))</f>
        <v>0</v>
      </c>
      <c r="AI188">
        <f>IF('Calc base'!D$14=0,0,MIN(W188,MAX(0,$E188-SUMIFS($V188:$AG188,'Calc base'!$C$19:$N$19,"&lt;"&amp;'Calc base'!D$19,'Calc base'!$C$14:$N$14,1))))</f>
        <v>0</v>
      </c>
      <c r="AJ188">
        <f>IF('Calc base'!E$14=0,0,MIN(X188,MAX(0,$E188-SUMIFS($V188:$AG188,'Calc base'!$C$19:$N$19,"&lt;"&amp;'Calc base'!E$19,'Calc base'!$C$14:$N$14,1))))</f>
        <v>0</v>
      </c>
      <c r="AK188">
        <f>IF('Calc base'!F$14=0,0,MIN(Y188,MAX(0,$E188-SUMIFS($V188:$AG188,'Calc base'!$C$19:$N$19,"&lt;"&amp;'Calc base'!F$19,'Calc base'!$C$14:$N$14,1))))</f>
        <v>0</v>
      </c>
      <c r="AL188">
        <f>IF('Calc base'!G$14=0,0,MIN(Z188,MAX(0,$E188-SUMIFS($V188:$AG188,'Calc base'!$C$19:$N$19,"&lt;"&amp;'Calc base'!G$19,'Calc base'!$C$14:$N$14,1))))</f>
        <v>0</v>
      </c>
      <c r="AM188">
        <f>IF('Calc base'!H$14=0,0,MIN(AA188,MAX(0,$E188-SUMIFS($V188:$AG188,'Calc base'!$C$19:$N$19,"&lt;"&amp;'Calc base'!H$19,'Calc base'!$C$14:$N$14,1))))</f>
        <v>0</v>
      </c>
      <c r="AN188">
        <f>IF('Calc base'!I$14=0,0,MIN(AB188,MAX(0,$E188-SUMIFS($V188:$AG188,'Calc base'!$C$19:$N$19,"&lt;"&amp;'Calc base'!I$19,'Calc base'!$C$14:$N$14,1))))</f>
        <v>0</v>
      </c>
      <c r="AO188">
        <f>IF('Calc base'!J$14=0,0,MIN(AC188,MAX(0,$E188-SUMIFS($V188:$AG188,'Calc base'!$C$19:$N$19,"&lt;"&amp;'Calc base'!J$19,'Calc base'!$C$14:$N$14,1))))</f>
        <v>0</v>
      </c>
      <c r="AP188">
        <f>IF('Calc base'!K$14=0,0,MIN(AD188,MAX(0,$E188-SUMIFS($V188:$AG188,'Calc base'!$C$19:$N$19,"&lt;"&amp;'Calc base'!K$19,'Calc base'!$C$14:$N$14,1))))</f>
        <v>0</v>
      </c>
      <c r="AQ188">
        <f>IF('Calc base'!L$14=0,0,MIN(AE188,MAX(0,$E188-SUMIFS($V188:$AG188,'Calc base'!$C$19:$N$19,"&lt;"&amp;'Calc base'!L$19,'Calc base'!$C$14:$N$14,1))))</f>
        <v>0</v>
      </c>
      <c r="AR188">
        <f>IF('Calc base'!M$14=0,0,MIN(AF188,MAX(0,$E188-SUMIFS($V188:$AG188,'Calc base'!$C$19:$N$19,"&lt;"&amp;'Calc base'!M$19,'Calc base'!$C$14:$N$14,1))))</f>
        <v>0</v>
      </c>
      <c r="AS188">
        <f>IF('Calc base'!N$14=0,0,MIN(AG188,MAX(0,$E188-SUMIFS($V188:$AG188,'Calc base'!$C$19:$N$19,"&lt;"&amp;'Calc base'!N$19,'Calc base'!$C$14:$N$14,1))))</f>
        <v>0</v>
      </c>
      <c r="AT188">
        <f>V188-AH188</f>
        <v>0</v>
      </c>
      <c r="AU188">
        <f>W188-AI188</f>
        <v>0</v>
      </c>
      <c r="AV188">
        <f>X188-AJ188</f>
        <v>0</v>
      </c>
      <c r="AW188">
        <f>Y188-AK188</f>
        <v>0</v>
      </c>
      <c r="AX188">
        <f>Z188-AL188</f>
        <v>0</v>
      </c>
      <c r="AY188">
        <f>AA188-AM188</f>
        <v>0</v>
      </c>
      <c r="AZ188">
        <f>AB188-AN188</f>
        <v>0</v>
      </c>
      <c r="BA188">
        <f>AC188-AO188</f>
        <v>0</v>
      </c>
      <c r="BB188">
        <f>AD188-AP188</f>
        <v>0</v>
      </c>
      <c r="BC188">
        <f>AE188-AQ188</f>
        <v>0</v>
      </c>
      <c r="BD188">
        <f>AF188-AR188</f>
        <v>0</v>
      </c>
      <c r="BE188">
        <f>AG188-AS188</f>
        <v>0</v>
      </c>
    </row>
    <row r="189">
      <c r="A189" t="n">
        <v>159</v>
      </c>
      <c r="B189">
        <f>SUMPRODUCT(ROUND($AT188:$BE188*(1+'Calc base'!$H189:$S189),2))</f>
        <v>0</v>
      </c>
      <c r="C189">
        <f>SUM(J189:U189)</f>
        <v>0</v>
      </c>
      <c r="D189">
        <f>SUM(V189:AG189)</f>
        <v>0</v>
      </c>
      <c r="E189">
        <f>MAX(0,IF(Impostazioni!$B$7="No",'Calc base'!$C189-$C$31,'Calc base'!$C189-C189)+'Calc base'!$G189+'Calc base'!$F189-(B189-C189-D189))</f>
        <v>900</v>
      </c>
      <c r="F189">
        <f>SUM(AH189:AS189)</f>
        <v>0</v>
      </c>
      <c r="G189">
        <f>SUM(AT189:BE189)</f>
        <v>0</v>
      </c>
      <c r="H189">
        <f>B189-G188</f>
        <v>0</v>
      </c>
      <c r="I189">
        <f>B189-G189</f>
        <v>0</v>
      </c>
      <c r="J189">
        <f>IF(AT188&lt;=0,0,IF(ROUND(AT188*(1+'Calc base'!H189),2)-MAX('Calc base'!C$12,ROUND('Calc base'!C$13*AT188,2))&lt;1,ROUND(AT188*(1+'Calc base'!H189),2),MAX('Calc base'!C$12,ROUND('Calc base'!C$13*AT188,2))))</f>
        <v>0</v>
      </c>
      <c r="K189">
        <f>IF(AU188&lt;=0,0,IF(ROUND(AU188*(1+'Calc base'!I189),2)-MAX('Calc base'!D$12,ROUND('Calc base'!D$13*AU188,2))&lt;1,ROUND(AU188*(1+'Calc base'!I189),2),MAX('Calc base'!D$12,ROUND('Calc base'!D$13*AU188,2))))</f>
        <v>0</v>
      </c>
      <c r="L189">
        <f>IF(AV188&lt;=0,0,IF(ROUND(AV188*(1+'Calc base'!J189),2)-MAX('Calc base'!E$12,ROUND('Calc base'!E$13*AV188,2))&lt;1,ROUND(AV188*(1+'Calc base'!J189),2),MAX('Calc base'!E$12,ROUND('Calc base'!E$13*AV188,2))))</f>
        <v>0</v>
      </c>
      <c r="M189">
        <f>IF(AW188&lt;=0,0,IF(ROUND(AW188*(1+'Calc base'!K189),2)-MAX('Calc base'!F$12,ROUND('Calc base'!F$13*AW188,2))&lt;1,ROUND(AW188*(1+'Calc base'!K189),2),MAX('Calc base'!F$12,ROUND('Calc base'!F$13*AW188,2))))</f>
        <v>0</v>
      </c>
      <c r="N189">
        <f>IF(AX188&lt;=0,0,IF(ROUND(AX188*(1+'Calc base'!L189),2)-MAX('Calc base'!G$12,ROUND('Calc base'!G$13*AX188,2))&lt;1,ROUND(AX188*(1+'Calc base'!L189),2),MAX('Calc base'!G$12,ROUND('Calc base'!G$13*AX188,2))))</f>
        <v>0</v>
      </c>
      <c r="O189">
        <f>IF(AY188&lt;=0,0,IF(ROUND(AY188*(1+'Calc base'!M189),2)-MAX('Calc base'!H$12,ROUND('Calc base'!H$13*AY188,2))&lt;1,ROUND(AY188*(1+'Calc base'!M189),2),MAX('Calc base'!H$12,ROUND('Calc base'!H$13*AY188,2))))</f>
        <v>0</v>
      </c>
      <c r="P189">
        <f>IF(AZ188&lt;=0,0,IF(ROUND(AZ188*(1+'Calc base'!N189),2)-MAX('Calc base'!I$12,ROUND('Calc base'!I$13*AZ188,2))&lt;1,ROUND(AZ188*(1+'Calc base'!N189),2),MAX('Calc base'!I$12,ROUND('Calc base'!I$13*AZ188,2))))</f>
        <v>0</v>
      </c>
      <c r="Q189">
        <f>IF(BA188&lt;=0,0,IF(ROUND(BA188*(1+'Calc base'!O189),2)-MAX('Calc base'!J$12,ROUND('Calc base'!J$13*BA188,2))&lt;1,ROUND(BA188*(1+'Calc base'!O189),2),MAX('Calc base'!J$12,ROUND('Calc base'!J$13*BA188,2))))</f>
        <v>0</v>
      </c>
      <c r="R189">
        <f>IF(BB188&lt;=0,0,IF(ROUND(BB188*(1+'Calc base'!P189),2)-MAX('Calc base'!K$12,ROUND('Calc base'!K$13*BB188,2))&lt;1,ROUND(BB188*(1+'Calc base'!P189),2),MAX('Calc base'!K$12,ROUND('Calc base'!K$13*BB188,2))))</f>
        <v>0</v>
      </c>
      <c r="S189">
        <f>IF(BC188&lt;=0,0,IF(ROUND(BC188*(1+'Calc base'!Q189),2)-MAX('Calc base'!L$12,ROUND('Calc base'!L$13*BC188,2))&lt;1,ROUND(BC188*(1+'Calc base'!Q189),2),MAX('Calc base'!L$12,ROUND('Calc base'!L$13*BC188,2))))</f>
        <v>0</v>
      </c>
      <c r="T189">
        <f>IF(BD188&lt;=0,0,IF(ROUND(BD188*(1+'Calc base'!R189),2)-MAX('Calc base'!M$12,ROUND('Calc base'!M$13*BD188,2))&lt;1,ROUND(BD188*(1+'Calc base'!R189),2),MAX('Calc base'!M$12,ROUND('Calc base'!M$13*BD188,2))))</f>
        <v>0</v>
      </c>
      <c r="U189">
        <f>IF(BE188&lt;=0,0,IF(ROUND(BE188*(1+'Calc base'!S189),2)-MAX('Calc base'!N$12,ROUND('Calc base'!N$13*BE188,2))&lt;1,ROUND(BE188*(1+'Calc base'!S189),2),MAX('Calc base'!N$12,ROUND('Calc base'!N$13*BE188,2))))</f>
        <v>0</v>
      </c>
      <c r="V189">
        <f>MAX(0,ROUND(AT188*(1+'Calc base'!H189),2)-J189-'Calc base'!T189)</f>
        <v>0</v>
      </c>
      <c r="W189">
        <f>MAX(0,ROUND(AU188*(1+'Calc base'!I189),2)-K189-'Calc base'!U189)</f>
        <v>0</v>
      </c>
      <c r="X189">
        <f>MAX(0,ROUND(AV188*(1+'Calc base'!J189),2)-L189-'Calc base'!V189)</f>
        <v>0</v>
      </c>
      <c r="Y189">
        <f>MAX(0,ROUND(AW188*(1+'Calc base'!K189),2)-M189-'Calc base'!W189)</f>
        <v>0</v>
      </c>
      <c r="Z189">
        <f>MAX(0,ROUND(AX188*(1+'Calc base'!L189),2)-N189-'Calc base'!X189)</f>
        <v>0</v>
      </c>
      <c r="AA189">
        <f>MAX(0,ROUND(AY188*(1+'Calc base'!M189),2)-O189-'Calc base'!Y189)</f>
        <v>0</v>
      </c>
      <c r="AB189">
        <f>MAX(0,ROUND(AZ188*(1+'Calc base'!N189),2)-P189-'Calc base'!Z189)</f>
        <v>0</v>
      </c>
      <c r="AC189">
        <f>MAX(0,ROUND(BA188*(1+'Calc base'!O189),2)-Q189-'Calc base'!AA189)</f>
        <v>0</v>
      </c>
      <c r="AD189">
        <f>MAX(0,ROUND(BB188*(1+'Calc base'!P189),2)-R189-'Calc base'!AB189)</f>
        <v>0</v>
      </c>
      <c r="AE189">
        <f>MAX(0,ROUND(BC188*(1+'Calc base'!Q189),2)-S189-'Calc base'!AC189)</f>
        <v>0</v>
      </c>
      <c r="AF189">
        <f>MAX(0,ROUND(BD188*(1+'Calc base'!R189),2)-T189-'Calc base'!AD189)</f>
        <v>0</v>
      </c>
      <c r="AG189">
        <f>MAX(0,ROUND(BE188*(1+'Calc base'!S189),2)-U189-'Calc base'!AE189)</f>
        <v>0</v>
      </c>
      <c r="AH189">
        <f>IF('Calc base'!C$14=0,0,MIN(V189,MAX(0,$E189-SUMIFS($V189:$AG189,'Calc base'!$C$19:$N$19,"&lt;"&amp;'Calc base'!C$19,'Calc base'!$C$14:$N$14,1))))</f>
        <v>0</v>
      </c>
      <c r="AI189">
        <f>IF('Calc base'!D$14=0,0,MIN(W189,MAX(0,$E189-SUMIFS($V189:$AG189,'Calc base'!$C$19:$N$19,"&lt;"&amp;'Calc base'!D$19,'Calc base'!$C$14:$N$14,1))))</f>
        <v>0</v>
      </c>
      <c r="AJ189">
        <f>IF('Calc base'!E$14=0,0,MIN(X189,MAX(0,$E189-SUMIFS($V189:$AG189,'Calc base'!$C$19:$N$19,"&lt;"&amp;'Calc base'!E$19,'Calc base'!$C$14:$N$14,1))))</f>
        <v>0</v>
      </c>
      <c r="AK189">
        <f>IF('Calc base'!F$14=0,0,MIN(Y189,MAX(0,$E189-SUMIFS($V189:$AG189,'Calc base'!$C$19:$N$19,"&lt;"&amp;'Calc base'!F$19,'Calc base'!$C$14:$N$14,1))))</f>
        <v>0</v>
      </c>
      <c r="AL189">
        <f>IF('Calc base'!G$14=0,0,MIN(Z189,MAX(0,$E189-SUMIFS($V189:$AG189,'Calc base'!$C$19:$N$19,"&lt;"&amp;'Calc base'!G$19,'Calc base'!$C$14:$N$14,1))))</f>
        <v>0</v>
      </c>
      <c r="AM189">
        <f>IF('Calc base'!H$14=0,0,MIN(AA189,MAX(0,$E189-SUMIFS($V189:$AG189,'Calc base'!$C$19:$N$19,"&lt;"&amp;'Calc base'!H$19,'Calc base'!$C$14:$N$14,1))))</f>
        <v>0</v>
      </c>
      <c r="AN189">
        <f>IF('Calc base'!I$14=0,0,MIN(AB189,MAX(0,$E189-SUMIFS($V189:$AG189,'Calc base'!$C$19:$N$19,"&lt;"&amp;'Calc base'!I$19,'Calc base'!$C$14:$N$14,1))))</f>
        <v>0</v>
      </c>
      <c r="AO189">
        <f>IF('Calc base'!J$14=0,0,MIN(AC189,MAX(0,$E189-SUMIFS($V189:$AG189,'Calc base'!$C$19:$N$19,"&lt;"&amp;'Calc base'!J$19,'Calc base'!$C$14:$N$14,1))))</f>
        <v>0</v>
      </c>
      <c r="AP189">
        <f>IF('Calc base'!K$14=0,0,MIN(AD189,MAX(0,$E189-SUMIFS($V189:$AG189,'Calc base'!$C$19:$N$19,"&lt;"&amp;'Calc base'!K$19,'Calc base'!$C$14:$N$14,1))))</f>
        <v>0</v>
      </c>
      <c r="AQ189">
        <f>IF('Calc base'!L$14=0,0,MIN(AE189,MAX(0,$E189-SUMIFS($V189:$AG189,'Calc base'!$C$19:$N$19,"&lt;"&amp;'Calc base'!L$19,'Calc base'!$C$14:$N$14,1))))</f>
        <v>0</v>
      </c>
      <c r="AR189">
        <f>IF('Calc base'!M$14=0,0,MIN(AF189,MAX(0,$E189-SUMIFS($V189:$AG189,'Calc base'!$C$19:$N$19,"&lt;"&amp;'Calc base'!M$19,'Calc base'!$C$14:$N$14,1))))</f>
        <v>0</v>
      </c>
      <c r="AS189">
        <f>IF('Calc base'!N$14=0,0,MIN(AG189,MAX(0,$E189-SUMIFS($V189:$AG189,'Calc base'!$C$19:$N$19,"&lt;"&amp;'Calc base'!N$19,'Calc base'!$C$14:$N$14,1))))</f>
        <v>0</v>
      </c>
      <c r="AT189">
        <f>V189-AH189</f>
        <v>0</v>
      </c>
      <c r="AU189">
        <f>W189-AI189</f>
        <v>0</v>
      </c>
      <c r="AV189">
        <f>X189-AJ189</f>
        <v>0</v>
      </c>
      <c r="AW189">
        <f>Y189-AK189</f>
        <v>0</v>
      </c>
      <c r="AX189">
        <f>Z189-AL189</f>
        <v>0</v>
      </c>
      <c r="AY189">
        <f>AA189-AM189</f>
        <v>0</v>
      </c>
      <c r="AZ189">
        <f>AB189-AN189</f>
        <v>0</v>
      </c>
      <c r="BA189">
        <f>AC189-AO189</f>
        <v>0</v>
      </c>
      <c r="BB189">
        <f>AD189-AP189</f>
        <v>0</v>
      </c>
      <c r="BC189">
        <f>AE189-AQ189</f>
        <v>0</v>
      </c>
      <c r="BD189">
        <f>AF189-AR189</f>
        <v>0</v>
      </c>
      <c r="BE189">
        <f>AG189-AS189</f>
        <v>0</v>
      </c>
    </row>
    <row r="190">
      <c r="A190" t="n">
        <v>160</v>
      </c>
      <c r="B190">
        <f>SUMPRODUCT(ROUND($AT189:$BE189*(1+'Calc base'!$H190:$S190),2))</f>
        <v>0</v>
      </c>
      <c r="C190">
        <f>SUM(J190:U190)</f>
        <v>0</v>
      </c>
      <c r="D190">
        <f>SUM(V190:AG190)</f>
        <v>0</v>
      </c>
      <c r="E190">
        <f>MAX(0,IF(Impostazioni!$B$7="No",'Calc base'!$C190-$C$31,'Calc base'!$C190-C190)+'Calc base'!$G190+'Calc base'!$F190-(B190-C190-D190))</f>
        <v>900</v>
      </c>
      <c r="F190">
        <f>SUM(AH190:AS190)</f>
        <v>0</v>
      </c>
      <c r="G190">
        <f>SUM(AT190:BE190)</f>
        <v>0</v>
      </c>
      <c r="H190">
        <f>B190-G189</f>
        <v>0</v>
      </c>
      <c r="I190">
        <f>B190-G190</f>
        <v>0</v>
      </c>
      <c r="J190">
        <f>IF(AT189&lt;=0,0,IF(ROUND(AT189*(1+'Calc base'!H190),2)-MAX('Calc base'!C$12,ROUND('Calc base'!C$13*AT189,2))&lt;1,ROUND(AT189*(1+'Calc base'!H190),2),MAX('Calc base'!C$12,ROUND('Calc base'!C$13*AT189,2))))</f>
        <v>0</v>
      </c>
      <c r="K190">
        <f>IF(AU189&lt;=0,0,IF(ROUND(AU189*(1+'Calc base'!I190),2)-MAX('Calc base'!D$12,ROUND('Calc base'!D$13*AU189,2))&lt;1,ROUND(AU189*(1+'Calc base'!I190),2),MAX('Calc base'!D$12,ROUND('Calc base'!D$13*AU189,2))))</f>
        <v>0</v>
      </c>
      <c r="L190">
        <f>IF(AV189&lt;=0,0,IF(ROUND(AV189*(1+'Calc base'!J190),2)-MAX('Calc base'!E$12,ROUND('Calc base'!E$13*AV189,2))&lt;1,ROUND(AV189*(1+'Calc base'!J190),2),MAX('Calc base'!E$12,ROUND('Calc base'!E$13*AV189,2))))</f>
        <v>0</v>
      </c>
      <c r="M190">
        <f>IF(AW189&lt;=0,0,IF(ROUND(AW189*(1+'Calc base'!K190),2)-MAX('Calc base'!F$12,ROUND('Calc base'!F$13*AW189,2))&lt;1,ROUND(AW189*(1+'Calc base'!K190),2),MAX('Calc base'!F$12,ROUND('Calc base'!F$13*AW189,2))))</f>
        <v>0</v>
      </c>
      <c r="N190">
        <f>IF(AX189&lt;=0,0,IF(ROUND(AX189*(1+'Calc base'!L190),2)-MAX('Calc base'!G$12,ROUND('Calc base'!G$13*AX189,2))&lt;1,ROUND(AX189*(1+'Calc base'!L190),2),MAX('Calc base'!G$12,ROUND('Calc base'!G$13*AX189,2))))</f>
        <v>0</v>
      </c>
      <c r="O190">
        <f>IF(AY189&lt;=0,0,IF(ROUND(AY189*(1+'Calc base'!M190),2)-MAX('Calc base'!H$12,ROUND('Calc base'!H$13*AY189,2))&lt;1,ROUND(AY189*(1+'Calc base'!M190),2),MAX('Calc base'!H$12,ROUND('Calc base'!H$13*AY189,2))))</f>
        <v>0</v>
      </c>
      <c r="P190">
        <f>IF(AZ189&lt;=0,0,IF(ROUND(AZ189*(1+'Calc base'!N190),2)-MAX('Calc base'!I$12,ROUND('Calc base'!I$13*AZ189,2))&lt;1,ROUND(AZ189*(1+'Calc base'!N190),2),MAX('Calc base'!I$12,ROUND('Calc base'!I$13*AZ189,2))))</f>
        <v>0</v>
      </c>
      <c r="Q190">
        <f>IF(BA189&lt;=0,0,IF(ROUND(BA189*(1+'Calc base'!O190),2)-MAX('Calc base'!J$12,ROUND('Calc base'!J$13*BA189,2))&lt;1,ROUND(BA189*(1+'Calc base'!O190),2),MAX('Calc base'!J$12,ROUND('Calc base'!J$13*BA189,2))))</f>
        <v>0</v>
      </c>
      <c r="R190">
        <f>IF(BB189&lt;=0,0,IF(ROUND(BB189*(1+'Calc base'!P190),2)-MAX('Calc base'!K$12,ROUND('Calc base'!K$13*BB189,2))&lt;1,ROUND(BB189*(1+'Calc base'!P190),2),MAX('Calc base'!K$12,ROUND('Calc base'!K$13*BB189,2))))</f>
        <v>0</v>
      </c>
      <c r="S190">
        <f>IF(BC189&lt;=0,0,IF(ROUND(BC189*(1+'Calc base'!Q190),2)-MAX('Calc base'!L$12,ROUND('Calc base'!L$13*BC189,2))&lt;1,ROUND(BC189*(1+'Calc base'!Q190),2),MAX('Calc base'!L$12,ROUND('Calc base'!L$13*BC189,2))))</f>
        <v>0</v>
      </c>
      <c r="T190">
        <f>IF(BD189&lt;=0,0,IF(ROUND(BD189*(1+'Calc base'!R190),2)-MAX('Calc base'!M$12,ROUND('Calc base'!M$13*BD189,2))&lt;1,ROUND(BD189*(1+'Calc base'!R190),2),MAX('Calc base'!M$12,ROUND('Calc base'!M$13*BD189,2))))</f>
        <v>0</v>
      </c>
      <c r="U190">
        <f>IF(BE189&lt;=0,0,IF(ROUND(BE189*(1+'Calc base'!S190),2)-MAX('Calc base'!N$12,ROUND('Calc base'!N$13*BE189,2))&lt;1,ROUND(BE189*(1+'Calc base'!S190),2),MAX('Calc base'!N$12,ROUND('Calc base'!N$13*BE189,2))))</f>
        <v>0</v>
      </c>
      <c r="V190">
        <f>MAX(0,ROUND(AT189*(1+'Calc base'!H190),2)-J190-'Calc base'!T190)</f>
        <v>0</v>
      </c>
      <c r="W190">
        <f>MAX(0,ROUND(AU189*(1+'Calc base'!I190),2)-K190-'Calc base'!U190)</f>
        <v>0</v>
      </c>
      <c r="X190">
        <f>MAX(0,ROUND(AV189*(1+'Calc base'!J190),2)-L190-'Calc base'!V190)</f>
        <v>0</v>
      </c>
      <c r="Y190">
        <f>MAX(0,ROUND(AW189*(1+'Calc base'!K190),2)-M190-'Calc base'!W190)</f>
        <v>0</v>
      </c>
      <c r="Z190">
        <f>MAX(0,ROUND(AX189*(1+'Calc base'!L190),2)-N190-'Calc base'!X190)</f>
        <v>0</v>
      </c>
      <c r="AA190">
        <f>MAX(0,ROUND(AY189*(1+'Calc base'!M190),2)-O190-'Calc base'!Y190)</f>
        <v>0</v>
      </c>
      <c r="AB190">
        <f>MAX(0,ROUND(AZ189*(1+'Calc base'!N190),2)-P190-'Calc base'!Z190)</f>
        <v>0</v>
      </c>
      <c r="AC190">
        <f>MAX(0,ROUND(BA189*(1+'Calc base'!O190),2)-Q190-'Calc base'!AA190)</f>
        <v>0</v>
      </c>
      <c r="AD190">
        <f>MAX(0,ROUND(BB189*(1+'Calc base'!P190),2)-R190-'Calc base'!AB190)</f>
        <v>0</v>
      </c>
      <c r="AE190">
        <f>MAX(0,ROUND(BC189*(1+'Calc base'!Q190),2)-S190-'Calc base'!AC190)</f>
        <v>0</v>
      </c>
      <c r="AF190">
        <f>MAX(0,ROUND(BD189*(1+'Calc base'!R190),2)-T190-'Calc base'!AD190)</f>
        <v>0</v>
      </c>
      <c r="AG190">
        <f>MAX(0,ROUND(BE189*(1+'Calc base'!S190),2)-U190-'Calc base'!AE190)</f>
        <v>0</v>
      </c>
      <c r="AH190">
        <f>IF('Calc base'!C$14=0,0,MIN(V190,MAX(0,$E190-SUMIFS($V190:$AG190,'Calc base'!$C$19:$N$19,"&lt;"&amp;'Calc base'!C$19,'Calc base'!$C$14:$N$14,1))))</f>
        <v>0</v>
      </c>
      <c r="AI190">
        <f>IF('Calc base'!D$14=0,0,MIN(W190,MAX(0,$E190-SUMIFS($V190:$AG190,'Calc base'!$C$19:$N$19,"&lt;"&amp;'Calc base'!D$19,'Calc base'!$C$14:$N$14,1))))</f>
        <v>0</v>
      </c>
      <c r="AJ190">
        <f>IF('Calc base'!E$14=0,0,MIN(X190,MAX(0,$E190-SUMIFS($V190:$AG190,'Calc base'!$C$19:$N$19,"&lt;"&amp;'Calc base'!E$19,'Calc base'!$C$14:$N$14,1))))</f>
        <v>0</v>
      </c>
      <c r="AK190">
        <f>IF('Calc base'!F$14=0,0,MIN(Y190,MAX(0,$E190-SUMIFS($V190:$AG190,'Calc base'!$C$19:$N$19,"&lt;"&amp;'Calc base'!F$19,'Calc base'!$C$14:$N$14,1))))</f>
        <v>0</v>
      </c>
      <c r="AL190">
        <f>IF('Calc base'!G$14=0,0,MIN(Z190,MAX(0,$E190-SUMIFS($V190:$AG190,'Calc base'!$C$19:$N$19,"&lt;"&amp;'Calc base'!G$19,'Calc base'!$C$14:$N$14,1))))</f>
        <v>0</v>
      </c>
      <c r="AM190">
        <f>IF('Calc base'!H$14=0,0,MIN(AA190,MAX(0,$E190-SUMIFS($V190:$AG190,'Calc base'!$C$19:$N$19,"&lt;"&amp;'Calc base'!H$19,'Calc base'!$C$14:$N$14,1))))</f>
        <v>0</v>
      </c>
      <c r="AN190">
        <f>IF('Calc base'!I$14=0,0,MIN(AB190,MAX(0,$E190-SUMIFS($V190:$AG190,'Calc base'!$C$19:$N$19,"&lt;"&amp;'Calc base'!I$19,'Calc base'!$C$14:$N$14,1))))</f>
        <v>0</v>
      </c>
      <c r="AO190">
        <f>IF('Calc base'!J$14=0,0,MIN(AC190,MAX(0,$E190-SUMIFS($V190:$AG190,'Calc base'!$C$19:$N$19,"&lt;"&amp;'Calc base'!J$19,'Calc base'!$C$14:$N$14,1))))</f>
        <v>0</v>
      </c>
      <c r="AP190">
        <f>IF('Calc base'!K$14=0,0,MIN(AD190,MAX(0,$E190-SUMIFS($V190:$AG190,'Calc base'!$C$19:$N$19,"&lt;"&amp;'Calc base'!K$19,'Calc base'!$C$14:$N$14,1))))</f>
        <v>0</v>
      </c>
      <c r="AQ190">
        <f>IF('Calc base'!L$14=0,0,MIN(AE190,MAX(0,$E190-SUMIFS($V190:$AG190,'Calc base'!$C$19:$N$19,"&lt;"&amp;'Calc base'!L$19,'Calc base'!$C$14:$N$14,1))))</f>
        <v>0</v>
      </c>
      <c r="AR190">
        <f>IF('Calc base'!M$14=0,0,MIN(AF190,MAX(0,$E190-SUMIFS($V190:$AG190,'Calc base'!$C$19:$N$19,"&lt;"&amp;'Calc base'!M$19,'Calc base'!$C$14:$N$14,1))))</f>
        <v>0</v>
      </c>
      <c r="AS190">
        <f>IF('Calc base'!N$14=0,0,MIN(AG190,MAX(0,$E190-SUMIFS($V190:$AG190,'Calc base'!$C$19:$N$19,"&lt;"&amp;'Calc base'!N$19,'Calc base'!$C$14:$N$14,1))))</f>
        <v>0</v>
      </c>
      <c r="AT190">
        <f>V190-AH190</f>
        <v>0</v>
      </c>
      <c r="AU190">
        <f>W190-AI190</f>
        <v>0</v>
      </c>
      <c r="AV190">
        <f>X190-AJ190</f>
        <v>0</v>
      </c>
      <c r="AW190">
        <f>Y190-AK190</f>
        <v>0</v>
      </c>
      <c r="AX190">
        <f>Z190-AL190</f>
        <v>0</v>
      </c>
      <c r="AY190">
        <f>AA190-AM190</f>
        <v>0</v>
      </c>
      <c r="AZ190">
        <f>AB190-AN190</f>
        <v>0</v>
      </c>
      <c r="BA190">
        <f>AC190-AO190</f>
        <v>0</v>
      </c>
      <c r="BB190">
        <f>AD190-AP190</f>
        <v>0</v>
      </c>
      <c r="BC190">
        <f>AE190-AQ190</f>
        <v>0</v>
      </c>
      <c r="BD190">
        <f>AF190-AR190</f>
        <v>0</v>
      </c>
      <c r="BE190">
        <f>AG190-AS190</f>
        <v>0</v>
      </c>
    </row>
    <row r="191">
      <c r="A191" t="n">
        <v>161</v>
      </c>
      <c r="B191">
        <f>SUMPRODUCT(ROUND($AT190:$BE190*(1+'Calc base'!$H191:$S191),2))</f>
        <v>0</v>
      </c>
      <c r="C191">
        <f>SUM(J191:U191)</f>
        <v>0</v>
      </c>
      <c r="D191">
        <f>SUM(V191:AG191)</f>
        <v>0</v>
      </c>
      <c r="E191">
        <f>MAX(0,IF(Impostazioni!$B$7="No",'Calc base'!$C191-$C$31,'Calc base'!$C191-C191)+'Calc base'!$G191+'Calc base'!$F191-(B191-C191-D191))</f>
        <v>900</v>
      </c>
      <c r="F191">
        <f>SUM(AH191:AS191)</f>
        <v>0</v>
      </c>
      <c r="G191">
        <f>SUM(AT191:BE191)</f>
        <v>0</v>
      </c>
      <c r="H191">
        <f>B191-G190</f>
        <v>0</v>
      </c>
      <c r="I191">
        <f>B191-G191</f>
        <v>0</v>
      </c>
      <c r="J191">
        <f>IF(AT190&lt;=0,0,IF(ROUND(AT190*(1+'Calc base'!H191),2)-MAX('Calc base'!C$12,ROUND('Calc base'!C$13*AT190,2))&lt;1,ROUND(AT190*(1+'Calc base'!H191),2),MAX('Calc base'!C$12,ROUND('Calc base'!C$13*AT190,2))))</f>
        <v>0</v>
      </c>
      <c r="K191">
        <f>IF(AU190&lt;=0,0,IF(ROUND(AU190*(1+'Calc base'!I191),2)-MAX('Calc base'!D$12,ROUND('Calc base'!D$13*AU190,2))&lt;1,ROUND(AU190*(1+'Calc base'!I191),2),MAX('Calc base'!D$12,ROUND('Calc base'!D$13*AU190,2))))</f>
        <v>0</v>
      </c>
      <c r="L191">
        <f>IF(AV190&lt;=0,0,IF(ROUND(AV190*(1+'Calc base'!J191),2)-MAX('Calc base'!E$12,ROUND('Calc base'!E$13*AV190,2))&lt;1,ROUND(AV190*(1+'Calc base'!J191),2),MAX('Calc base'!E$12,ROUND('Calc base'!E$13*AV190,2))))</f>
        <v>0</v>
      </c>
      <c r="M191">
        <f>IF(AW190&lt;=0,0,IF(ROUND(AW190*(1+'Calc base'!K191),2)-MAX('Calc base'!F$12,ROUND('Calc base'!F$13*AW190,2))&lt;1,ROUND(AW190*(1+'Calc base'!K191),2),MAX('Calc base'!F$12,ROUND('Calc base'!F$13*AW190,2))))</f>
        <v>0</v>
      </c>
      <c r="N191">
        <f>IF(AX190&lt;=0,0,IF(ROUND(AX190*(1+'Calc base'!L191),2)-MAX('Calc base'!G$12,ROUND('Calc base'!G$13*AX190,2))&lt;1,ROUND(AX190*(1+'Calc base'!L191),2),MAX('Calc base'!G$12,ROUND('Calc base'!G$13*AX190,2))))</f>
        <v>0</v>
      </c>
      <c r="O191">
        <f>IF(AY190&lt;=0,0,IF(ROUND(AY190*(1+'Calc base'!M191),2)-MAX('Calc base'!H$12,ROUND('Calc base'!H$13*AY190,2))&lt;1,ROUND(AY190*(1+'Calc base'!M191),2),MAX('Calc base'!H$12,ROUND('Calc base'!H$13*AY190,2))))</f>
        <v>0</v>
      </c>
      <c r="P191">
        <f>IF(AZ190&lt;=0,0,IF(ROUND(AZ190*(1+'Calc base'!N191),2)-MAX('Calc base'!I$12,ROUND('Calc base'!I$13*AZ190,2))&lt;1,ROUND(AZ190*(1+'Calc base'!N191),2),MAX('Calc base'!I$12,ROUND('Calc base'!I$13*AZ190,2))))</f>
        <v>0</v>
      </c>
      <c r="Q191">
        <f>IF(BA190&lt;=0,0,IF(ROUND(BA190*(1+'Calc base'!O191),2)-MAX('Calc base'!J$12,ROUND('Calc base'!J$13*BA190,2))&lt;1,ROUND(BA190*(1+'Calc base'!O191),2),MAX('Calc base'!J$12,ROUND('Calc base'!J$13*BA190,2))))</f>
        <v>0</v>
      </c>
      <c r="R191">
        <f>IF(BB190&lt;=0,0,IF(ROUND(BB190*(1+'Calc base'!P191),2)-MAX('Calc base'!K$12,ROUND('Calc base'!K$13*BB190,2))&lt;1,ROUND(BB190*(1+'Calc base'!P191),2),MAX('Calc base'!K$12,ROUND('Calc base'!K$13*BB190,2))))</f>
        <v>0</v>
      </c>
      <c r="S191">
        <f>IF(BC190&lt;=0,0,IF(ROUND(BC190*(1+'Calc base'!Q191),2)-MAX('Calc base'!L$12,ROUND('Calc base'!L$13*BC190,2))&lt;1,ROUND(BC190*(1+'Calc base'!Q191),2),MAX('Calc base'!L$12,ROUND('Calc base'!L$13*BC190,2))))</f>
        <v>0</v>
      </c>
      <c r="T191">
        <f>IF(BD190&lt;=0,0,IF(ROUND(BD190*(1+'Calc base'!R191),2)-MAX('Calc base'!M$12,ROUND('Calc base'!M$13*BD190,2))&lt;1,ROUND(BD190*(1+'Calc base'!R191),2),MAX('Calc base'!M$12,ROUND('Calc base'!M$13*BD190,2))))</f>
        <v>0</v>
      </c>
      <c r="U191">
        <f>IF(BE190&lt;=0,0,IF(ROUND(BE190*(1+'Calc base'!S191),2)-MAX('Calc base'!N$12,ROUND('Calc base'!N$13*BE190,2))&lt;1,ROUND(BE190*(1+'Calc base'!S191),2),MAX('Calc base'!N$12,ROUND('Calc base'!N$13*BE190,2))))</f>
        <v>0</v>
      </c>
      <c r="V191">
        <f>MAX(0,ROUND(AT190*(1+'Calc base'!H191),2)-J191-'Calc base'!T191)</f>
        <v>0</v>
      </c>
      <c r="W191">
        <f>MAX(0,ROUND(AU190*(1+'Calc base'!I191),2)-K191-'Calc base'!U191)</f>
        <v>0</v>
      </c>
      <c r="X191">
        <f>MAX(0,ROUND(AV190*(1+'Calc base'!J191),2)-L191-'Calc base'!V191)</f>
        <v>0</v>
      </c>
      <c r="Y191">
        <f>MAX(0,ROUND(AW190*(1+'Calc base'!K191),2)-M191-'Calc base'!W191)</f>
        <v>0</v>
      </c>
      <c r="Z191">
        <f>MAX(0,ROUND(AX190*(1+'Calc base'!L191),2)-N191-'Calc base'!X191)</f>
        <v>0</v>
      </c>
      <c r="AA191">
        <f>MAX(0,ROUND(AY190*(1+'Calc base'!M191),2)-O191-'Calc base'!Y191)</f>
        <v>0</v>
      </c>
      <c r="AB191">
        <f>MAX(0,ROUND(AZ190*(1+'Calc base'!N191),2)-P191-'Calc base'!Z191)</f>
        <v>0</v>
      </c>
      <c r="AC191">
        <f>MAX(0,ROUND(BA190*(1+'Calc base'!O191),2)-Q191-'Calc base'!AA191)</f>
        <v>0</v>
      </c>
      <c r="AD191">
        <f>MAX(0,ROUND(BB190*(1+'Calc base'!P191),2)-R191-'Calc base'!AB191)</f>
        <v>0</v>
      </c>
      <c r="AE191">
        <f>MAX(0,ROUND(BC190*(1+'Calc base'!Q191),2)-S191-'Calc base'!AC191)</f>
        <v>0</v>
      </c>
      <c r="AF191">
        <f>MAX(0,ROUND(BD190*(1+'Calc base'!R191),2)-T191-'Calc base'!AD191)</f>
        <v>0</v>
      </c>
      <c r="AG191">
        <f>MAX(0,ROUND(BE190*(1+'Calc base'!S191),2)-U191-'Calc base'!AE191)</f>
        <v>0</v>
      </c>
      <c r="AH191">
        <f>IF('Calc base'!C$14=0,0,MIN(V191,MAX(0,$E191-SUMIFS($V191:$AG191,'Calc base'!$C$19:$N$19,"&lt;"&amp;'Calc base'!C$19,'Calc base'!$C$14:$N$14,1))))</f>
        <v>0</v>
      </c>
      <c r="AI191">
        <f>IF('Calc base'!D$14=0,0,MIN(W191,MAX(0,$E191-SUMIFS($V191:$AG191,'Calc base'!$C$19:$N$19,"&lt;"&amp;'Calc base'!D$19,'Calc base'!$C$14:$N$14,1))))</f>
        <v>0</v>
      </c>
      <c r="AJ191">
        <f>IF('Calc base'!E$14=0,0,MIN(X191,MAX(0,$E191-SUMIFS($V191:$AG191,'Calc base'!$C$19:$N$19,"&lt;"&amp;'Calc base'!E$19,'Calc base'!$C$14:$N$14,1))))</f>
        <v>0</v>
      </c>
      <c r="AK191">
        <f>IF('Calc base'!F$14=0,0,MIN(Y191,MAX(0,$E191-SUMIFS($V191:$AG191,'Calc base'!$C$19:$N$19,"&lt;"&amp;'Calc base'!F$19,'Calc base'!$C$14:$N$14,1))))</f>
        <v>0</v>
      </c>
      <c r="AL191">
        <f>IF('Calc base'!G$14=0,0,MIN(Z191,MAX(0,$E191-SUMIFS($V191:$AG191,'Calc base'!$C$19:$N$19,"&lt;"&amp;'Calc base'!G$19,'Calc base'!$C$14:$N$14,1))))</f>
        <v>0</v>
      </c>
      <c r="AM191">
        <f>IF('Calc base'!H$14=0,0,MIN(AA191,MAX(0,$E191-SUMIFS($V191:$AG191,'Calc base'!$C$19:$N$19,"&lt;"&amp;'Calc base'!H$19,'Calc base'!$C$14:$N$14,1))))</f>
        <v>0</v>
      </c>
      <c r="AN191">
        <f>IF('Calc base'!I$14=0,0,MIN(AB191,MAX(0,$E191-SUMIFS($V191:$AG191,'Calc base'!$C$19:$N$19,"&lt;"&amp;'Calc base'!I$19,'Calc base'!$C$14:$N$14,1))))</f>
        <v>0</v>
      </c>
      <c r="AO191">
        <f>IF('Calc base'!J$14=0,0,MIN(AC191,MAX(0,$E191-SUMIFS($V191:$AG191,'Calc base'!$C$19:$N$19,"&lt;"&amp;'Calc base'!J$19,'Calc base'!$C$14:$N$14,1))))</f>
        <v>0</v>
      </c>
      <c r="AP191">
        <f>IF('Calc base'!K$14=0,0,MIN(AD191,MAX(0,$E191-SUMIFS($V191:$AG191,'Calc base'!$C$19:$N$19,"&lt;"&amp;'Calc base'!K$19,'Calc base'!$C$14:$N$14,1))))</f>
        <v>0</v>
      </c>
      <c r="AQ191">
        <f>IF('Calc base'!L$14=0,0,MIN(AE191,MAX(0,$E191-SUMIFS($V191:$AG191,'Calc base'!$C$19:$N$19,"&lt;"&amp;'Calc base'!L$19,'Calc base'!$C$14:$N$14,1))))</f>
        <v>0</v>
      </c>
      <c r="AR191">
        <f>IF('Calc base'!M$14=0,0,MIN(AF191,MAX(0,$E191-SUMIFS($V191:$AG191,'Calc base'!$C$19:$N$19,"&lt;"&amp;'Calc base'!M$19,'Calc base'!$C$14:$N$14,1))))</f>
        <v>0</v>
      </c>
      <c r="AS191">
        <f>IF('Calc base'!N$14=0,0,MIN(AG191,MAX(0,$E191-SUMIFS($V191:$AG191,'Calc base'!$C$19:$N$19,"&lt;"&amp;'Calc base'!N$19,'Calc base'!$C$14:$N$14,1))))</f>
        <v>0</v>
      </c>
      <c r="AT191">
        <f>V191-AH191</f>
        <v>0</v>
      </c>
      <c r="AU191">
        <f>W191-AI191</f>
        <v>0</v>
      </c>
      <c r="AV191">
        <f>X191-AJ191</f>
        <v>0</v>
      </c>
      <c r="AW191">
        <f>Y191-AK191</f>
        <v>0</v>
      </c>
      <c r="AX191">
        <f>Z191-AL191</f>
        <v>0</v>
      </c>
      <c r="AY191">
        <f>AA191-AM191</f>
        <v>0</v>
      </c>
      <c r="AZ191">
        <f>AB191-AN191</f>
        <v>0</v>
      </c>
      <c r="BA191">
        <f>AC191-AO191</f>
        <v>0</v>
      </c>
      <c r="BB191">
        <f>AD191-AP191</f>
        <v>0</v>
      </c>
      <c r="BC191">
        <f>AE191-AQ191</f>
        <v>0</v>
      </c>
      <c r="BD191">
        <f>AF191-AR191</f>
        <v>0</v>
      </c>
      <c r="BE191">
        <f>AG191-AS191</f>
        <v>0</v>
      </c>
    </row>
    <row r="192">
      <c r="A192" t="n">
        <v>162</v>
      </c>
      <c r="B192">
        <f>SUMPRODUCT(ROUND($AT191:$BE191*(1+'Calc base'!$H192:$S192),2))</f>
        <v>0</v>
      </c>
      <c r="C192">
        <f>SUM(J192:U192)</f>
        <v>0</v>
      </c>
      <c r="D192">
        <f>SUM(V192:AG192)</f>
        <v>0</v>
      </c>
      <c r="E192">
        <f>MAX(0,IF(Impostazioni!$B$7="No",'Calc base'!$C192-$C$31,'Calc base'!$C192-C192)+'Calc base'!$G192+'Calc base'!$F192-(B192-C192-D192))</f>
        <v>900</v>
      </c>
      <c r="F192">
        <f>SUM(AH192:AS192)</f>
        <v>0</v>
      </c>
      <c r="G192">
        <f>SUM(AT192:BE192)</f>
        <v>0</v>
      </c>
      <c r="H192">
        <f>B192-G191</f>
        <v>0</v>
      </c>
      <c r="I192">
        <f>B192-G192</f>
        <v>0</v>
      </c>
      <c r="J192">
        <f>IF(AT191&lt;=0,0,IF(ROUND(AT191*(1+'Calc base'!H192),2)-MAX('Calc base'!C$12,ROUND('Calc base'!C$13*AT191,2))&lt;1,ROUND(AT191*(1+'Calc base'!H192),2),MAX('Calc base'!C$12,ROUND('Calc base'!C$13*AT191,2))))</f>
        <v>0</v>
      </c>
      <c r="K192">
        <f>IF(AU191&lt;=0,0,IF(ROUND(AU191*(1+'Calc base'!I192),2)-MAX('Calc base'!D$12,ROUND('Calc base'!D$13*AU191,2))&lt;1,ROUND(AU191*(1+'Calc base'!I192),2),MAX('Calc base'!D$12,ROUND('Calc base'!D$13*AU191,2))))</f>
        <v>0</v>
      </c>
      <c r="L192">
        <f>IF(AV191&lt;=0,0,IF(ROUND(AV191*(1+'Calc base'!J192),2)-MAX('Calc base'!E$12,ROUND('Calc base'!E$13*AV191,2))&lt;1,ROUND(AV191*(1+'Calc base'!J192),2),MAX('Calc base'!E$12,ROUND('Calc base'!E$13*AV191,2))))</f>
        <v>0</v>
      </c>
      <c r="M192">
        <f>IF(AW191&lt;=0,0,IF(ROUND(AW191*(1+'Calc base'!K192),2)-MAX('Calc base'!F$12,ROUND('Calc base'!F$13*AW191,2))&lt;1,ROUND(AW191*(1+'Calc base'!K192),2),MAX('Calc base'!F$12,ROUND('Calc base'!F$13*AW191,2))))</f>
        <v>0</v>
      </c>
      <c r="N192">
        <f>IF(AX191&lt;=0,0,IF(ROUND(AX191*(1+'Calc base'!L192),2)-MAX('Calc base'!G$12,ROUND('Calc base'!G$13*AX191,2))&lt;1,ROUND(AX191*(1+'Calc base'!L192),2),MAX('Calc base'!G$12,ROUND('Calc base'!G$13*AX191,2))))</f>
        <v>0</v>
      </c>
      <c r="O192">
        <f>IF(AY191&lt;=0,0,IF(ROUND(AY191*(1+'Calc base'!M192),2)-MAX('Calc base'!H$12,ROUND('Calc base'!H$13*AY191,2))&lt;1,ROUND(AY191*(1+'Calc base'!M192),2),MAX('Calc base'!H$12,ROUND('Calc base'!H$13*AY191,2))))</f>
        <v>0</v>
      </c>
      <c r="P192">
        <f>IF(AZ191&lt;=0,0,IF(ROUND(AZ191*(1+'Calc base'!N192),2)-MAX('Calc base'!I$12,ROUND('Calc base'!I$13*AZ191,2))&lt;1,ROUND(AZ191*(1+'Calc base'!N192),2),MAX('Calc base'!I$12,ROUND('Calc base'!I$13*AZ191,2))))</f>
        <v>0</v>
      </c>
      <c r="Q192">
        <f>IF(BA191&lt;=0,0,IF(ROUND(BA191*(1+'Calc base'!O192),2)-MAX('Calc base'!J$12,ROUND('Calc base'!J$13*BA191,2))&lt;1,ROUND(BA191*(1+'Calc base'!O192),2),MAX('Calc base'!J$12,ROUND('Calc base'!J$13*BA191,2))))</f>
        <v>0</v>
      </c>
      <c r="R192">
        <f>IF(BB191&lt;=0,0,IF(ROUND(BB191*(1+'Calc base'!P192),2)-MAX('Calc base'!K$12,ROUND('Calc base'!K$13*BB191,2))&lt;1,ROUND(BB191*(1+'Calc base'!P192),2),MAX('Calc base'!K$12,ROUND('Calc base'!K$13*BB191,2))))</f>
        <v>0</v>
      </c>
      <c r="S192">
        <f>IF(BC191&lt;=0,0,IF(ROUND(BC191*(1+'Calc base'!Q192),2)-MAX('Calc base'!L$12,ROUND('Calc base'!L$13*BC191,2))&lt;1,ROUND(BC191*(1+'Calc base'!Q192),2),MAX('Calc base'!L$12,ROUND('Calc base'!L$13*BC191,2))))</f>
        <v>0</v>
      </c>
      <c r="T192">
        <f>IF(BD191&lt;=0,0,IF(ROUND(BD191*(1+'Calc base'!R192),2)-MAX('Calc base'!M$12,ROUND('Calc base'!M$13*BD191,2))&lt;1,ROUND(BD191*(1+'Calc base'!R192),2),MAX('Calc base'!M$12,ROUND('Calc base'!M$13*BD191,2))))</f>
        <v>0</v>
      </c>
      <c r="U192">
        <f>IF(BE191&lt;=0,0,IF(ROUND(BE191*(1+'Calc base'!S192),2)-MAX('Calc base'!N$12,ROUND('Calc base'!N$13*BE191,2))&lt;1,ROUND(BE191*(1+'Calc base'!S192),2),MAX('Calc base'!N$12,ROUND('Calc base'!N$13*BE191,2))))</f>
        <v>0</v>
      </c>
      <c r="V192">
        <f>MAX(0,ROUND(AT191*(1+'Calc base'!H192),2)-J192-'Calc base'!T192)</f>
        <v>0</v>
      </c>
      <c r="W192">
        <f>MAX(0,ROUND(AU191*(1+'Calc base'!I192),2)-K192-'Calc base'!U192)</f>
        <v>0</v>
      </c>
      <c r="X192">
        <f>MAX(0,ROUND(AV191*(1+'Calc base'!J192),2)-L192-'Calc base'!V192)</f>
        <v>0</v>
      </c>
      <c r="Y192">
        <f>MAX(0,ROUND(AW191*(1+'Calc base'!K192),2)-M192-'Calc base'!W192)</f>
        <v>0</v>
      </c>
      <c r="Z192">
        <f>MAX(0,ROUND(AX191*(1+'Calc base'!L192),2)-N192-'Calc base'!X192)</f>
        <v>0</v>
      </c>
      <c r="AA192">
        <f>MAX(0,ROUND(AY191*(1+'Calc base'!M192),2)-O192-'Calc base'!Y192)</f>
        <v>0</v>
      </c>
      <c r="AB192">
        <f>MAX(0,ROUND(AZ191*(1+'Calc base'!N192),2)-P192-'Calc base'!Z192)</f>
        <v>0</v>
      </c>
      <c r="AC192">
        <f>MAX(0,ROUND(BA191*(1+'Calc base'!O192),2)-Q192-'Calc base'!AA192)</f>
        <v>0</v>
      </c>
      <c r="AD192">
        <f>MAX(0,ROUND(BB191*(1+'Calc base'!P192),2)-R192-'Calc base'!AB192)</f>
        <v>0</v>
      </c>
      <c r="AE192">
        <f>MAX(0,ROUND(BC191*(1+'Calc base'!Q192),2)-S192-'Calc base'!AC192)</f>
        <v>0</v>
      </c>
      <c r="AF192">
        <f>MAX(0,ROUND(BD191*(1+'Calc base'!R192),2)-T192-'Calc base'!AD192)</f>
        <v>0</v>
      </c>
      <c r="AG192">
        <f>MAX(0,ROUND(BE191*(1+'Calc base'!S192),2)-U192-'Calc base'!AE192)</f>
        <v>0</v>
      </c>
      <c r="AH192">
        <f>IF('Calc base'!C$14=0,0,MIN(V192,MAX(0,$E192-SUMIFS($V192:$AG192,'Calc base'!$C$19:$N$19,"&lt;"&amp;'Calc base'!C$19,'Calc base'!$C$14:$N$14,1))))</f>
        <v>0</v>
      </c>
      <c r="AI192">
        <f>IF('Calc base'!D$14=0,0,MIN(W192,MAX(0,$E192-SUMIFS($V192:$AG192,'Calc base'!$C$19:$N$19,"&lt;"&amp;'Calc base'!D$19,'Calc base'!$C$14:$N$14,1))))</f>
        <v>0</v>
      </c>
      <c r="AJ192">
        <f>IF('Calc base'!E$14=0,0,MIN(X192,MAX(0,$E192-SUMIFS($V192:$AG192,'Calc base'!$C$19:$N$19,"&lt;"&amp;'Calc base'!E$19,'Calc base'!$C$14:$N$14,1))))</f>
        <v>0</v>
      </c>
      <c r="AK192">
        <f>IF('Calc base'!F$14=0,0,MIN(Y192,MAX(0,$E192-SUMIFS($V192:$AG192,'Calc base'!$C$19:$N$19,"&lt;"&amp;'Calc base'!F$19,'Calc base'!$C$14:$N$14,1))))</f>
        <v>0</v>
      </c>
      <c r="AL192">
        <f>IF('Calc base'!G$14=0,0,MIN(Z192,MAX(0,$E192-SUMIFS($V192:$AG192,'Calc base'!$C$19:$N$19,"&lt;"&amp;'Calc base'!G$19,'Calc base'!$C$14:$N$14,1))))</f>
        <v>0</v>
      </c>
      <c r="AM192">
        <f>IF('Calc base'!H$14=0,0,MIN(AA192,MAX(0,$E192-SUMIFS($V192:$AG192,'Calc base'!$C$19:$N$19,"&lt;"&amp;'Calc base'!H$19,'Calc base'!$C$14:$N$14,1))))</f>
        <v>0</v>
      </c>
      <c r="AN192">
        <f>IF('Calc base'!I$14=0,0,MIN(AB192,MAX(0,$E192-SUMIFS($V192:$AG192,'Calc base'!$C$19:$N$19,"&lt;"&amp;'Calc base'!I$19,'Calc base'!$C$14:$N$14,1))))</f>
        <v>0</v>
      </c>
      <c r="AO192">
        <f>IF('Calc base'!J$14=0,0,MIN(AC192,MAX(0,$E192-SUMIFS($V192:$AG192,'Calc base'!$C$19:$N$19,"&lt;"&amp;'Calc base'!J$19,'Calc base'!$C$14:$N$14,1))))</f>
        <v>0</v>
      </c>
      <c r="AP192">
        <f>IF('Calc base'!K$14=0,0,MIN(AD192,MAX(0,$E192-SUMIFS($V192:$AG192,'Calc base'!$C$19:$N$19,"&lt;"&amp;'Calc base'!K$19,'Calc base'!$C$14:$N$14,1))))</f>
        <v>0</v>
      </c>
      <c r="AQ192">
        <f>IF('Calc base'!L$14=0,0,MIN(AE192,MAX(0,$E192-SUMIFS($V192:$AG192,'Calc base'!$C$19:$N$19,"&lt;"&amp;'Calc base'!L$19,'Calc base'!$C$14:$N$14,1))))</f>
        <v>0</v>
      </c>
      <c r="AR192">
        <f>IF('Calc base'!M$14=0,0,MIN(AF192,MAX(0,$E192-SUMIFS($V192:$AG192,'Calc base'!$C$19:$N$19,"&lt;"&amp;'Calc base'!M$19,'Calc base'!$C$14:$N$14,1))))</f>
        <v>0</v>
      </c>
      <c r="AS192">
        <f>IF('Calc base'!N$14=0,0,MIN(AG192,MAX(0,$E192-SUMIFS($V192:$AG192,'Calc base'!$C$19:$N$19,"&lt;"&amp;'Calc base'!N$19,'Calc base'!$C$14:$N$14,1))))</f>
        <v>0</v>
      </c>
      <c r="AT192">
        <f>V192-AH192</f>
        <v>0</v>
      </c>
      <c r="AU192">
        <f>W192-AI192</f>
        <v>0</v>
      </c>
      <c r="AV192">
        <f>X192-AJ192</f>
        <v>0</v>
      </c>
      <c r="AW192">
        <f>Y192-AK192</f>
        <v>0</v>
      </c>
      <c r="AX192">
        <f>Z192-AL192</f>
        <v>0</v>
      </c>
      <c r="AY192">
        <f>AA192-AM192</f>
        <v>0</v>
      </c>
      <c r="AZ192">
        <f>AB192-AN192</f>
        <v>0</v>
      </c>
      <c r="BA192">
        <f>AC192-AO192</f>
        <v>0</v>
      </c>
      <c r="BB192">
        <f>AD192-AP192</f>
        <v>0</v>
      </c>
      <c r="BC192">
        <f>AE192-AQ192</f>
        <v>0</v>
      </c>
      <c r="BD192">
        <f>AF192-AR192</f>
        <v>0</v>
      </c>
      <c r="BE192">
        <f>AG192-AS192</f>
        <v>0</v>
      </c>
    </row>
    <row r="193">
      <c r="A193" t="n">
        <v>163</v>
      </c>
      <c r="B193">
        <f>SUMPRODUCT(ROUND($AT192:$BE192*(1+'Calc base'!$H193:$S193),2))</f>
        <v>0</v>
      </c>
      <c r="C193">
        <f>SUM(J193:U193)</f>
        <v>0</v>
      </c>
      <c r="D193">
        <f>SUM(V193:AG193)</f>
        <v>0</v>
      </c>
      <c r="E193">
        <f>MAX(0,IF(Impostazioni!$B$7="No",'Calc base'!$C193-$C$31,'Calc base'!$C193-C193)+'Calc base'!$G193+'Calc base'!$F193-(B193-C193-D193))</f>
        <v>900</v>
      </c>
      <c r="F193">
        <f>SUM(AH193:AS193)</f>
        <v>0</v>
      </c>
      <c r="G193">
        <f>SUM(AT193:BE193)</f>
        <v>0</v>
      </c>
      <c r="H193">
        <f>B193-G192</f>
        <v>0</v>
      </c>
      <c r="I193">
        <f>B193-G193</f>
        <v>0</v>
      </c>
      <c r="J193">
        <f>IF(AT192&lt;=0,0,IF(ROUND(AT192*(1+'Calc base'!H193),2)-MAX('Calc base'!C$12,ROUND('Calc base'!C$13*AT192,2))&lt;1,ROUND(AT192*(1+'Calc base'!H193),2),MAX('Calc base'!C$12,ROUND('Calc base'!C$13*AT192,2))))</f>
        <v>0</v>
      </c>
      <c r="K193">
        <f>IF(AU192&lt;=0,0,IF(ROUND(AU192*(1+'Calc base'!I193),2)-MAX('Calc base'!D$12,ROUND('Calc base'!D$13*AU192,2))&lt;1,ROUND(AU192*(1+'Calc base'!I193),2),MAX('Calc base'!D$12,ROUND('Calc base'!D$13*AU192,2))))</f>
        <v>0</v>
      </c>
      <c r="L193">
        <f>IF(AV192&lt;=0,0,IF(ROUND(AV192*(1+'Calc base'!J193),2)-MAX('Calc base'!E$12,ROUND('Calc base'!E$13*AV192,2))&lt;1,ROUND(AV192*(1+'Calc base'!J193),2),MAX('Calc base'!E$12,ROUND('Calc base'!E$13*AV192,2))))</f>
        <v>0</v>
      </c>
      <c r="M193">
        <f>IF(AW192&lt;=0,0,IF(ROUND(AW192*(1+'Calc base'!K193),2)-MAX('Calc base'!F$12,ROUND('Calc base'!F$13*AW192,2))&lt;1,ROUND(AW192*(1+'Calc base'!K193),2),MAX('Calc base'!F$12,ROUND('Calc base'!F$13*AW192,2))))</f>
        <v>0</v>
      </c>
      <c r="N193">
        <f>IF(AX192&lt;=0,0,IF(ROUND(AX192*(1+'Calc base'!L193),2)-MAX('Calc base'!G$12,ROUND('Calc base'!G$13*AX192,2))&lt;1,ROUND(AX192*(1+'Calc base'!L193),2),MAX('Calc base'!G$12,ROUND('Calc base'!G$13*AX192,2))))</f>
        <v>0</v>
      </c>
      <c r="O193">
        <f>IF(AY192&lt;=0,0,IF(ROUND(AY192*(1+'Calc base'!M193),2)-MAX('Calc base'!H$12,ROUND('Calc base'!H$13*AY192,2))&lt;1,ROUND(AY192*(1+'Calc base'!M193),2),MAX('Calc base'!H$12,ROUND('Calc base'!H$13*AY192,2))))</f>
        <v>0</v>
      </c>
      <c r="P193">
        <f>IF(AZ192&lt;=0,0,IF(ROUND(AZ192*(1+'Calc base'!N193),2)-MAX('Calc base'!I$12,ROUND('Calc base'!I$13*AZ192,2))&lt;1,ROUND(AZ192*(1+'Calc base'!N193),2),MAX('Calc base'!I$12,ROUND('Calc base'!I$13*AZ192,2))))</f>
        <v>0</v>
      </c>
      <c r="Q193">
        <f>IF(BA192&lt;=0,0,IF(ROUND(BA192*(1+'Calc base'!O193),2)-MAX('Calc base'!J$12,ROUND('Calc base'!J$13*BA192,2))&lt;1,ROUND(BA192*(1+'Calc base'!O193),2),MAX('Calc base'!J$12,ROUND('Calc base'!J$13*BA192,2))))</f>
        <v>0</v>
      </c>
      <c r="R193">
        <f>IF(BB192&lt;=0,0,IF(ROUND(BB192*(1+'Calc base'!P193),2)-MAX('Calc base'!K$12,ROUND('Calc base'!K$13*BB192,2))&lt;1,ROUND(BB192*(1+'Calc base'!P193),2),MAX('Calc base'!K$12,ROUND('Calc base'!K$13*BB192,2))))</f>
        <v>0</v>
      </c>
      <c r="S193">
        <f>IF(BC192&lt;=0,0,IF(ROUND(BC192*(1+'Calc base'!Q193),2)-MAX('Calc base'!L$12,ROUND('Calc base'!L$13*BC192,2))&lt;1,ROUND(BC192*(1+'Calc base'!Q193),2),MAX('Calc base'!L$12,ROUND('Calc base'!L$13*BC192,2))))</f>
        <v>0</v>
      </c>
      <c r="T193">
        <f>IF(BD192&lt;=0,0,IF(ROUND(BD192*(1+'Calc base'!R193),2)-MAX('Calc base'!M$12,ROUND('Calc base'!M$13*BD192,2))&lt;1,ROUND(BD192*(1+'Calc base'!R193),2),MAX('Calc base'!M$12,ROUND('Calc base'!M$13*BD192,2))))</f>
        <v>0</v>
      </c>
      <c r="U193">
        <f>IF(BE192&lt;=0,0,IF(ROUND(BE192*(1+'Calc base'!S193),2)-MAX('Calc base'!N$12,ROUND('Calc base'!N$13*BE192,2))&lt;1,ROUND(BE192*(1+'Calc base'!S193),2),MAX('Calc base'!N$12,ROUND('Calc base'!N$13*BE192,2))))</f>
        <v>0</v>
      </c>
      <c r="V193">
        <f>MAX(0,ROUND(AT192*(1+'Calc base'!H193),2)-J193-'Calc base'!T193)</f>
        <v>0</v>
      </c>
      <c r="W193">
        <f>MAX(0,ROUND(AU192*(1+'Calc base'!I193),2)-K193-'Calc base'!U193)</f>
        <v>0</v>
      </c>
      <c r="X193">
        <f>MAX(0,ROUND(AV192*(1+'Calc base'!J193),2)-L193-'Calc base'!V193)</f>
        <v>0</v>
      </c>
      <c r="Y193">
        <f>MAX(0,ROUND(AW192*(1+'Calc base'!K193),2)-M193-'Calc base'!W193)</f>
        <v>0</v>
      </c>
      <c r="Z193">
        <f>MAX(0,ROUND(AX192*(1+'Calc base'!L193),2)-N193-'Calc base'!X193)</f>
        <v>0</v>
      </c>
      <c r="AA193">
        <f>MAX(0,ROUND(AY192*(1+'Calc base'!M193),2)-O193-'Calc base'!Y193)</f>
        <v>0</v>
      </c>
      <c r="AB193">
        <f>MAX(0,ROUND(AZ192*(1+'Calc base'!N193),2)-P193-'Calc base'!Z193)</f>
        <v>0</v>
      </c>
      <c r="AC193">
        <f>MAX(0,ROUND(BA192*(1+'Calc base'!O193),2)-Q193-'Calc base'!AA193)</f>
        <v>0</v>
      </c>
      <c r="AD193">
        <f>MAX(0,ROUND(BB192*(1+'Calc base'!P193),2)-R193-'Calc base'!AB193)</f>
        <v>0</v>
      </c>
      <c r="AE193">
        <f>MAX(0,ROUND(BC192*(1+'Calc base'!Q193),2)-S193-'Calc base'!AC193)</f>
        <v>0</v>
      </c>
      <c r="AF193">
        <f>MAX(0,ROUND(BD192*(1+'Calc base'!R193),2)-T193-'Calc base'!AD193)</f>
        <v>0</v>
      </c>
      <c r="AG193">
        <f>MAX(0,ROUND(BE192*(1+'Calc base'!S193),2)-U193-'Calc base'!AE193)</f>
        <v>0</v>
      </c>
      <c r="AH193">
        <f>IF('Calc base'!C$14=0,0,MIN(V193,MAX(0,$E193-SUMIFS($V193:$AG193,'Calc base'!$C$19:$N$19,"&lt;"&amp;'Calc base'!C$19,'Calc base'!$C$14:$N$14,1))))</f>
        <v>0</v>
      </c>
      <c r="AI193">
        <f>IF('Calc base'!D$14=0,0,MIN(W193,MAX(0,$E193-SUMIFS($V193:$AG193,'Calc base'!$C$19:$N$19,"&lt;"&amp;'Calc base'!D$19,'Calc base'!$C$14:$N$14,1))))</f>
        <v>0</v>
      </c>
      <c r="AJ193">
        <f>IF('Calc base'!E$14=0,0,MIN(X193,MAX(0,$E193-SUMIFS($V193:$AG193,'Calc base'!$C$19:$N$19,"&lt;"&amp;'Calc base'!E$19,'Calc base'!$C$14:$N$14,1))))</f>
        <v>0</v>
      </c>
      <c r="AK193">
        <f>IF('Calc base'!F$14=0,0,MIN(Y193,MAX(0,$E193-SUMIFS($V193:$AG193,'Calc base'!$C$19:$N$19,"&lt;"&amp;'Calc base'!F$19,'Calc base'!$C$14:$N$14,1))))</f>
        <v>0</v>
      </c>
      <c r="AL193">
        <f>IF('Calc base'!G$14=0,0,MIN(Z193,MAX(0,$E193-SUMIFS($V193:$AG193,'Calc base'!$C$19:$N$19,"&lt;"&amp;'Calc base'!G$19,'Calc base'!$C$14:$N$14,1))))</f>
        <v>0</v>
      </c>
      <c r="AM193">
        <f>IF('Calc base'!H$14=0,0,MIN(AA193,MAX(0,$E193-SUMIFS($V193:$AG193,'Calc base'!$C$19:$N$19,"&lt;"&amp;'Calc base'!H$19,'Calc base'!$C$14:$N$14,1))))</f>
        <v>0</v>
      </c>
      <c r="AN193">
        <f>IF('Calc base'!I$14=0,0,MIN(AB193,MAX(0,$E193-SUMIFS($V193:$AG193,'Calc base'!$C$19:$N$19,"&lt;"&amp;'Calc base'!I$19,'Calc base'!$C$14:$N$14,1))))</f>
        <v>0</v>
      </c>
      <c r="AO193">
        <f>IF('Calc base'!J$14=0,0,MIN(AC193,MAX(0,$E193-SUMIFS($V193:$AG193,'Calc base'!$C$19:$N$19,"&lt;"&amp;'Calc base'!J$19,'Calc base'!$C$14:$N$14,1))))</f>
        <v>0</v>
      </c>
      <c r="AP193">
        <f>IF('Calc base'!K$14=0,0,MIN(AD193,MAX(0,$E193-SUMIFS($V193:$AG193,'Calc base'!$C$19:$N$19,"&lt;"&amp;'Calc base'!K$19,'Calc base'!$C$14:$N$14,1))))</f>
        <v>0</v>
      </c>
      <c r="AQ193">
        <f>IF('Calc base'!L$14=0,0,MIN(AE193,MAX(0,$E193-SUMIFS($V193:$AG193,'Calc base'!$C$19:$N$19,"&lt;"&amp;'Calc base'!L$19,'Calc base'!$C$14:$N$14,1))))</f>
        <v>0</v>
      </c>
      <c r="AR193">
        <f>IF('Calc base'!M$14=0,0,MIN(AF193,MAX(0,$E193-SUMIFS($V193:$AG193,'Calc base'!$C$19:$N$19,"&lt;"&amp;'Calc base'!M$19,'Calc base'!$C$14:$N$14,1))))</f>
        <v>0</v>
      </c>
      <c r="AS193">
        <f>IF('Calc base'!N$14=0,0,MIN(AG193,MAX(0,$E193-SUMIFS($V193:$AG193,'Calc base'!$C$19:$N$19,"&lt;"&amp;'Calc base'!N$19,'Calc base'!$C$14:$N$14,1))))</f>
        <v>0</v>
      </c>
      <c r="AT193">
        <f>V193-AH193</f>
        <v>0</v>
      </c>
      <c r="AU193">
        <f>W193-AI193</f>
        <v>0</v>
      </c>
      <c r="AV193">
        <f>X193-AJ193</f>
        <v>0</v>
      </c>
      <c r="AW193">
        <f>Y193-AK193</f>
        <v>0</v>
      </c>
      <c r="AX193">
        <f>Z193-AL193</f>
        <v>0</v>
      </c>
      <c r="AY193">
        <f>AA193-AM193</f>
        <v>0</v>
      </c>
      <c r="AZ193">
        <f>AB193-AN193</f>
        <v>0</v>
      </c>
      <c r="BA193">
        <f>AC193-AO193</f>
        <v>0</v>
      </c>
      <c r="BB193">
        <f>AD193-AP193</f>
        <v>0</v>
      </c>
      <c r="BC193">
        <f>AE193-AQ193</f>
        <v>0</v>
      </c>
      <c r="BD193">
        <f>AF193-AR193</f>
        <v>0</v>
      </c>
      <c r="BE193">
        <f>AG193-AS193</f>
        <v>0</v>
      </c>
    </row>
    <row r="194">
      <c r="A194" t="n">
        <v>164</v>
      </c>
      <c r="B194">
        <f>SUMPRODUCT(ROUND($AT193:$BE193*(1+'Calc base'!$H194:$S194),2))</f>
        <v>0</v>
      </c>
      <c r="C194">
        <f>SUM(J194:U194)</f>
        <v>0</v>
      </c>
      <c r="D194">
        <f>SUM(V194:AG194)</f>
        <v>0</v>
      </c>
      <c r="E194">
        <f>MAX(0,IF(Impostazioni!$B$7="No",'Calc base'!$C194-$C$31,'Calc base'!$C194-C194)+'Calc base'!$G194+'Calc base'!$F194-(B194-C194-D194))</f>
        <v>900</v>
      </c>
      <c r="F194">
        <f>SUM(AH194:AS194)</f>
        <v>0</v>
      </c>
      <c r="G194">
        <f>SUM(AT194:BE194)</f>
        <v>0</v>
      </c>
      <c r="H194">
        <f>B194-G193</f>
        <v>0</v>
      </c>
      <c r="I194">
        <f>B194-G194</f>
        <v>0</v>
      </c>
      <c r="J194">
        <f>IF(AT193&lt;=0,0,IF(ROUND(AT193*(1+'Calc base'!H194),2)-MAX('Calc base'!C$12,ROUND('Calc base'!C$13*AT193,2))&lt;1,ROUND(AT193*(1+'Calc base'!H194),2),MAX('Calc base'!C$12,ROUND('Calc base'!C$13*AT193,2))))</f>
        <v>0</v>
      </c>
      <c r="K194">
        <f>IF(AU193&lt;=0,0,IF(ROUND(AU193*(1+'Calc base'!I194),2)-MAX('Calc base'!D$12,ROUND('Calc base'!D$13*AU193,2))&lt;1,ROUND(AU193*(1+'Calc base'!I194),2),MAX('Calc base'!D$12,ROUND('Calc base'!D$13*AU193,2))))</f>
        <v>0</v>
      </c>
      <c r="L194">
        <f>IF(AV193&lt;=0,0,IF(ROUND(AV193*(1+'Calc base'!J194),2)-MAX('Calc base'!E$12,ROUND('Calc base'!E$13*AV193,2))&lt;1,ROUND(AV193*(1+'Calc base'!J194),2),MAX('Calc base'!E$12,ROUND('Calc base'!E$13*AV193,2))))</f>
        <v>0</v>
      </c>
      <c r="M194">
        <f>IF(AW193&lt;=0,0,IF(ROUND(AW193*(1+'Calc base'!K194),2)-MAX('Calc base'!F$12,ROUND('Calc base'!F$13*AW193,2))&lt;1,ROUND(AW193*(1+'Calc base'!K194),2),MAX('Calc base'!F$12,ROUND('Calc base'!F$13*AW193,2))))</f>
        <v>0</v>
      </c>
      <c r="N194">
        <f>IF(AX193&lt;=0,0,IF(ROUND(AX193*(1+'Calc base'!L194),2)-MAX('Calc base'!G$12,ROUND('Calc base'!G$13*AX193,2))&lt;1,ROUND(AX193*(1+'Calc base'!L194),2),MAX('Calc base'!G$12,ROUND('Calc base'!G$13*AX193,2))))</f>
        <v>0</v>
      </c>
      <c r="O194">
        <f>IF(AY193&lt;=0,0,IF(ROUND(AY193*(1+'Calc base'!M194),2)-MAX('Calc base'!H$12,ROUND('Calc base'!H$13*AY193,2))&lt;1,ROUND(AY193*(1+'Calc base'!M194),2),MAX('Calc base'!H$12,ROUND('Calc base'!H$13*AY193,2))))</f>
        <v>0</v>
      </c>
      <c r="P194">
        <f>IF(AZ193&lt;=0,0,IF(ROUND(AZ193*(1+'Calc base'!N194),2)-MAX('Calc base'!I$12,ROUND('Calc base'!I$13*AZ193,2))&lt;1,ROUND(AZ193*(1+'Calc base'!N194),2),MAX('Calc base'!I$12,ROUND('Calc base'!I$13*AZ193,2))))</f>
        <v>0</v>
      </c>
      <c r="Q194">
        <f>IF(BA193&lt;=0,0,IF(ROUND(BA193*(1+'Calc base'!O194),2)-MAX('Calc base'!J$12,ROUND('Calc base'!J$13*BA193,2))&lt;1,ROUND(BA193*(1+'Calc base'!O194),2),MAX('Calc base'!J$12,ROUND('Calc base'!J$13*BA193,2))))</f>
        <v>0</v>
      </c>
      <c r="R194">
        <f>IF(BB193&lt;=0,0,IF(ROUND(BB193*(1+'Calc base'!P194),2)-MAX('Calc base'!K$12,ROUND('Calc base'!K$13*BB193,2))&lt;1,ROUND(BB193*(1+'Calc base'!P194),2),MAX('Calc base'!K$12,ROUND('Calc base'!K$13*BB193,2))))</f>
        <v>0</v>
      </c>
      <c r="S194">
        <f>IF(BC193&lt;=0,0,IF(ROUND(BC193*(1+'Calc base'!Q194),2)-MAX('Calc base'!L$12,ROUND('Calc base'!L$13*BC193,2))&lt;1,ROUND(BC193*(1+'Calc base'!Q194),2),MAX('Calc base'!L$12,ROUND('Calc base'!L$13*BC193,2))))</f>
        <v>0</v>
      </c>
      <c r="T194">
        <f>IF(BD193&lt;=0,0,IF(ROUND(BD193*(1+'Calc base'!R194),2)-MAX('Calc base'!M$12,ROUND('Calc base'!M$13*BD193,2))&lt;1,ROUND(BD193*(1+'Calc base'!R194),2),MAX('Calc base'!M$12,ROUND('Calc base'!M$13*BD193,2))))</f>
        <v>0</v>
      </c>
      <c r="U194">
        <f>IF(BE193&lt;=0,0,IF(ROUND(BE193*(1+'Calc base'!S194),2)-MAX('Calc base'!N$12,ROUND('Calc base'!N$13*BE193,2))&lt;1,ROUND(BE193*(1+'Calc base'!S194),2),MAX('Calc base'!N$12,ROUND('Calc base'!N$13*BE193,2))))</f>
        <v>0</v>
      </c>
      <c r="V194">
        <f>MAX(0,ROUND(AT193*(1+'Calc base'!H194),2)-J194-'Calc base'!T194)</f>
        <v>0</v>
      </c>
      <c r="W194">
        <f>MAX(0,ROUND(AU193*(1+'Calc base'!I194),2)-K194-'Calc base'!U194)</f>
        <v>0</v>
      </c>
      <c r="X194">
        <f>MAX(0,ROUND(AV193*(1+'Calc base'!J194),2)-L194-'Calc base'!V194)</f>
        <v>0</v>
      </c>
      <c r="Y194">
        <f>MAX(0,ROUND(AW193*(1+'Calc base'!K194),2)-M194-'Calc base'!W194)</f>
        <v>0</v>
      </c>
      <c r="Z194">
        <f>MAX(0,ROUND(AX193*(1+'Calc base'!L194),2)-N194-'Calc base'!X194)</f>
        <v>0</v>
      </c>
      <c r="AA194">
        <f>MAX(0,ROUND(AY193*(1+'Calc base'!M194),2)-O194-'Calc base'!Y194)</f>
        <v>0</v>
      </c>
      <c r="AB194">
        <f>MAX(0,ROUND(AZ193*(1+'Calc base'!N194),2)-P194-'Calc base'!Z194)</f>
        <v>0</v>
      </c>
      <c r="AC194">
        <f>MAX(0,ROUND(BA193*(1+'Calc base'!O194),2)-Q194-'Calc base'!AA194)</f>
        <v>0</v>
      </c>
      <c r="AD194">
        <f>MAX(0,ROUND(BB193*(1+'Calc base'!P194),2)-R194-'Calc base'!AB194)</f>
        <v>0</v>
      </c>
      <c r="AE194">
        <f>MAX(0,ROUND(BC193*(1+'Calc base'!Q194),2)-S194-'Calc base'!AC194)</f>
        <v>0</v>
      </c>
      <c r="AF194">
        <f>MAX(0,ROUND(BD193*(1+'Calc base'!R194),2)-T194-'Calc base'!AD194)</f>
        <v>0</v>
      </c>
      <c r="AG194">
        <f>MAX(0,ROUND(BE193*(1+'Calc base'!S194),2)-U194-'Calc base'!AE194)</f>
        <v>0</v>
      </c>
      <c r="AH194">
        <f>IF('Calc base'!C$14=0,0,MIN(V194,MAX(0,$E194-SUMIFS($V194:$AG194,'Calc base'!$C$19:$N$19,"&lt;"&amp;'Calc base'!C$19,'Calc base'!$C$14:$N$14,1))))</f>
        <v>0</v>
      </c>
      <c r="AI194">
        <f>IF('Calc base'!D$14=0,0,MIN(W194,MAX(0,$E194-SUMIFS($V194:$AG194,'Calc base'!$C$19:$N$19,"&lt;"&amp;'Calc base'!D$19,'Calc base'!$C$14:$N$14,1))))</f>
        <v>0</v>
      </c>
      <c r="AJ194">
        <f>IF('Calc base'!E$14=0,0,MIN(X194,MAX(0,$E194-SUMIFS($V194:$AG194,'Calc base'!$C$19:$N$19,"&lt;"&amp;'Calc base'!E$19,'Calc base'!$C$14:$N$14,1))))</f>
        <v>0</v>
      </c>
      <c r="AK194">
        <f>IF('Calc base'!F$14=0,0,MIN(Y194,MAX(0,$E194-SUMIFS($V194:$AG194,'Calc base'!$C$19:$N$19,"&lt;"&amp;'Calc base'!F$19,'Calc base'!$C$14:$N$14,1))))</f>
        <v>0</v>
      </c>
      <c r="AL194">
        <f>IF('Calc base'!G$14=0,0,MIN(Z194,MAX(0,$E194-SUMIFS($V194:$AG194,'Calc base'!$C$19:$N$19,"&lt;"&amp;'Calc base'!G$19,'Calc base'!$C$14:$N$14,1))))</f>
        <v>0</v>
      </c>
      <c r="AM194">
        <f>IF('Calc base'!H$14=0,0,MIN(AA194,MAX(0,$E194-SUMIFS($V194:$AG194,'Calc base'!$C$19:$N$19,"&lt;"&amp;'Calc base'!H$19,'Calc base'!$C$14:$N$14,1))))</f>
        <v>0</v>
      </c>
      <c r="AN194">
        <f>IF('Calc base'!I$14=0,0,MIN(AB194,MAX(0,$E194-SUMIFS($V194:$AG194,'Calc base'!$C$19:$N$19,"&lt;"&amp;'Calc base'!I$19,'Calc base'!$C$14:$N$14,1))))</f>
        <v>0</v>
      </c>
      <c r="AO194">
        <f>IF('Calc base'!J$14=0,0,MIN(AC194,MAX(0,$E194-SUMIFS($V194:$AG194,'Calc base'!$C$19:$N$19,"&lt;"&amp;'Calc base'!J$19,'Calc base'!$C$14:$N$14,1))))</f>
        <v>0</v>
      </c>
      <c r="AP194">
        <f>IF('Calc base'!K$14=0,0,MIN(AD194,MAX(0,$E194-SUMIFS($V194:$AG194,'Calc base'!$C$19:$N$19,"&lt;"&amp;'Calc base'!K$19,'Calc base'!$C$14:$N$14,1))))</f>
        <v>0</v>
      </c>
      <c r="AQ194">
        <f>IF('Calc base'!L$14=0,0,MIN(AE194,MAX(0,$E194-SUMIFS($V194:$AG194,'Calc base'!$C$19:$N$19,"&lt;"&amp;'Calc base'!L$19,'Calc base'!$C$14:$N$14,1))))</f>
        <v>0</v>
      </c>
      <c r="AR194">
        <f>IF('Calc base'!M$14=0,0,MIN(AF194,MAX(0,$E194-SUMIFS($V194:$AG194,'Calc base'!$C$19:$N$19,"&lt;"&amp;'Calc base'!M$19,'Calc base'!$C$14:$N$14,1))))</f>
        <v>0</v>
      </c>
      <c r="AS194">
        <f>IF('Calc base'!N$14=0,0,MIN(AG194,MAX(0,$E194-SUMIFS($V194:$AG194,'Calc base'!$C$19:$N$19,"&lt;"&amp;'Calc base'!N$19,'Calc base'!$C$14:$N$14,1))))</f>
        <v>0</v>
      </c>
      <c r="AT194">
        <f>V194-AH194</f>
        <v>0</v>
      </c>
      <c r="AU194">
        <f>W194-AI194</f>
        <v>0</v>
      </c>
      <c r="AV194">
        <f>X194-AJ194</f>
        <v>0</v>
      </c>
      <c r="AW194">
        <f>Y194-AK194</f>
        <v>0</v>
      </c>
      <c r="AX194">
        <f>Z194-AL194</f>
        <v>0</v>
      </c>
      <c r="AY194">
        <f>AA194-AM194</f>
        <v>0</v>
      </c>
      <c r="AZ194">
        <f>AB194-AN194</f>
        <v>0</v>
      </c>
      <c r="BA194">
        <f>AC194-AO194</f>
        <v>0</v>
      </c>
      <c r="BB194">
        <f>AD194-AP194</f>
        <v>0</v>
      </c>
      <c r="BC194">
        <f>AE194-AQ194</f>
        <v>0</v>
      </c>
      <c r="BD194">
        <f>AF194-AR194</f>
        <v>0</v>
      </c>
      <c r="BE194">
        <f>AG194-AS194</f>
        <v>0</v>
      </c>
    </row>
    <row r="195">
      <c r="A195" t="n">
        <v>165</v>
      </c>
      <c r="B195">
        <f>SUMPRODUCT(ROUND($AT194:$BE194*(1+'Calc base'!$H195:$S195),2))</f>
        <v>0</v>
      </c>
      <c r="C195">
        <f>SUM(J195:U195)</f>
        <v>0</v>
      </c>
      <c r="D195">
        <f>SUM(V195:AG195)</f>
        <v>0</v>
      </c>
      <c r="E195">
        <f>MAX(0,IF(Impostazioni!$B$7="No",'Calc base'!$C195-$C$31,'Calc base'!$C195-C195)+'Calc base'!$G195+'Calc base'!$F195-(B195-C195-D195))</f>
        <v>900</v>
      </c>
      <c r="F195">
        <f>SUM(AH195:AS195)</f>
        <v>0</v>
      </c>
      <c r="G195">
        <f>SUM(AT195:BE195)</f>
        <v>0</v>
      </c>
      <c r="H195">
        <f>B195-G194</f>
        <v>0</v>
      </c>
      <c r="I195">
        <f>B195-G195</f>
        <v>0</v>
      </c>
      <c r="J195">
        <f>IF(AT194&lt;=0,0,IF(ROUND(AT194*(1+'Calc base'!H195),2)-MAX('Calc base'!C$12,ROUND('Calc base'!C$13*AT194,2))&lt;1,ROUND(AT194*(1+'Calc base'!H195),2),MAX('Calc base'!C$12,ROUND('Calc base'!C$13*AT194,2))))</f>
        <v>0</v>
      </c>
      <c r="K195">
        <f>IF(AU194&lt;=0,0,IF(ROUND(AU194*(1+'Calc base'!I195),2)-MAX('Calc base'!D$12,ROUND('Calc base'!D$13*AU194,2))&lt;1,ROUND(AU194*(1+'Calc base'!I195),2),MAX('Calc base'!D$12,ROUND('Calc base'!D$13*AU194,2))))</f>
        <v>0</v>
      </c>
      <c r="L195">
        <f>IF(AV194&lt;=0,0,IF(ROUND(AV194*(1+'Calc base'!J195),2)-MAX('Calc base'!E$12,ROUND('Calc base'!E$13*AV194,2))&lt;1,ROUND(AV194*(1+'Calc base'!J195),2),MAX('Calc base'!E$12,ROUND('Calc base'!E$13*AV194,2))))</f>
        <v>0</v>
      </c>
      <c r="M195">
        <f>IF(AW194&lt;=0,0,IF(ROUND(AW194*(1+'Calc base'!K195),2)-MAX('Calc base'!F$12,ROUND('Calc base'!F$13*AW194,2))&lt;1,ROUND(AW194*(1+'Calc base'!K195),2),MAX('Calc base'!F$12,ROUND('Calc base'!F$13*AW194,2))))</f>
        <v>0</v>
      </c>
      <c r="N195">
        <f>IF(AX194&lt;=0,0,IF(ROUND(AX194*(1+'Calc base'!L195),2)-MAX('Calc base'!G$12,ROUND('Calc base'!G$13*AX194,2))&lt;1,ROUND(AX194*(1+'Calc base'!L195),2),MAX('Calc base'!G$12,ROUND('Calc base'!G$13*AX194,2))))</f>
        <v>0</v>
      </c>
      <c r="O195">
        <f>IF(AY194&lt;=0,0,IF(ROUND(AY194*(1+'Calc base'!M195),2)-MAX('Calc base'!H$12,ROUND('Calc base'!H$13*AY194,2))&lt;1,ROUND(AY194*(1+'Calc base'!M195),2),MAX('Calc base'!H$12,ROUND('Calc base'!H$13*AY194,2))))</f>
        <v>0</v>
      </c>
      <c r="P195">
        <f>IF(AZ194&lt;=0,0,IF(ROUND(AZ194*(1+'Calc base'!N195),2)-MAX('Calc base'!I$12,ROUND('Calc base'!I$13*AZ194,2))&lt;1,ROUND(AZ194*(1+'Calc base'!N195),2),MAX('Calc base'!I$12,ROUND('Calc base'!I$13*AZ194,2))))</f>
        <v>0</v>
      </c>
      <c r="Q195">
        <f>IF(BA194&lt;=0,0,IF(ROUND(BA194*(1+'Calc base'!O195),2)-MAX('Calc base'!J$12,ROUND('Calc base'!J$13*BA194,2))&lt;1,ROUND(BA194*(1+'Calc base'!O195),2),MAX('Calc base'!J$12,ROUND('Calc base'!J$13*BA194,2))))</f>
        <v>0</v>
      </c>
      <c r="R195">
        <f>IF(BB194&lt;=0,0,IF(ROUND(BB194*(1+'Calc base'!P195),2)-MAX('Calc base'!K$12,ROUND('Calc base'!K$13*BB194,2))&lt;1,ROUND(BB194*(1+'Calc base'!P195),2),MAX('Calc base'!K$12,ROUND('Calc base'!K$13*BB194,2))))</f>
        <v>0</v>
      </c>
      <c r="S195">
        <f>IF(BC194&lt;=0,0,IF(ROUND(BC194*(1+'Calc base'!Q195),2)-MAX('Calc base'!L$12,ROUND('Calc base'!L$13*BC194,2))&lt;1,ROUND(BC194*(1+'Calc base'!Q195),2),MAX('Calc base'!L$12,ROUND('Calc base'!L$13*BC194,2))))</f>
        <v>0</v>
      </c>
      <c r="T195">
        <f>IF(BD194&lt;=0,0,IF(ROUND(BD194*(1+'Calc base'!R195),2)-MAX('Calc base'!M$12,ROUND('Calc base'!M$13*BD194,2))&lt;1,ROUND(BD194*(1+'Calc base'!R195),2),MAX('Calc base'!M$12,ROUND('Calc base'!M$13*BD194,2))))</f>
        <v>0</v>
      </c>
      <c r="U195">
        <f>IF(BE194&lt;=0,0,IF(ROUND(BE194*(1+'Calc base'!S195),2)-MAX('Calc base'!N$12,ROUND('Calc base'!N$13*BE194,2))&lt;1,ROUND(BE194*(1+'Calc base'!S195),2),MAX('Calc base'!N$12,ROUND('Calc base'!N$13*BE194,2))))</f>
        <v>0</v>
      </c>
      <c r="V195">
        <f>MAX(0,ROUND(AT194*(1+'Calc base'!H195),2)-J195-'Calc base'!T195)</f>
        <v>0</v>
      </c>
      <c r="W195">
        <f>MAX(0,ROUND(AU194*(1+'Calc base'!I195),2)-K195-'Calc base'!U195)</f>
        <v>0</v>
      </c>
      <c r="X195">
        <f>MAX(0,ROUND(AV194*(1+'Calc base'!J195),2)-L195-'Calc base'!V195)</f>
        <v>0</v>
      </c>
      <c r="Y195">
        <f>MAX(0,ROUND(AW194*(1+'Calc base'!K195),2)-M195-'Calc base'!W195)</f>
        <v>0</v>
      </c>
      <c r="Z195">
        <f>MAX(0,ROUND(AX194*(1+'Calc base'!L195),2)-N195-'Calc base'!X195)</f>
        <v>0</v>
      </c>
      <c r="AA195">
        <f>MAX(0,ROUND(AY194*(1+'Calc base'!M195),2)-O195-'Calc base'!Y195)</f>
        <v>0</v>
      </c>
      <c r="AB195">
        <f>MAX(0,ROUND(AZ194*(1+'Calc base'!N195),2)-P195-'Calc base'!Z195)</f>
        <v>0</v>
      </c>
      <c r="AC195">
        <f>MAX(0,ROUND(BA194*(1+'Calc base'!O195),2)-Q195-'Calc base'!AA195)</f>
        <v>0</v>
      </c>
      <c r="AD195">
        <f>MAX(0,ROUND(BB194*(1+'Calc base'!P195),2)-R195-'Calc base'!AB195)</f>
        <v>0</v>
      </c>
      <c r="AE195">
        <f>MAX(0,ROUND(BC194*(1+'Calc base'!Q195),2)-S195-'Calc base'!AC195)</f>
        <v>0</v>
      </c>
      <c r="AF195">
        <f>MAX(0,ROUND(BD194*(1+'Calc base'!R195),2)-T195-'Calc base'!AD195)</f>
        <v>0</v>
      </c>
      <c r="AG195">
        <f>MAX(0,ROUND(BE194*(1+'Calc base'!S195),2)-U195-'Calc base'!AE195)</f>
        <v>0</v>
      </c>
      <c r="AH195">
        <f>IF('Calc base'!C$14=0,0,MIN(V195,MAX(0,$E195-SUMIFS($V195:$AG195,'Calc base'!$C$19:$N$19,"&lt;"&amp;'Calc base'!C$19,'Calc base'!$C$14:$N$14,1))))</f>
        <v>0</v>
      </c>
      <c r="AI195">
        <f>IF('Calc base'!D$14=0,0,MIN(W195,MAX(0,$E195-SUMIFS($V195:$AG195,'Calc base'!$C$19:$N$19,"&lt;"&amp;'Calc base'!D$19,'Calc base'!$C$14:$N$14,1))))</f>
        <v>0</v>
      </c>
      <c r="AJ195">
        <f>IF('Calc base'!E$14=0,0,MIN(X195,MAX(0,$E195-SUMIFS($V195:$AG195,'Calc base'!$C$19:$N$19,"&lt;"&amp;'Calc base'!E$19,'Calc base'!$C$14:$N$14,1))))</f>
        <v>0</v>
      </c>
      <c r="AK195">
        <f>IF('Calc base'!F$14=0,0,MIN(Y195,MAX(0,$E195-SUMIFS($V195:$AG195,'Calc base'!$C$19:$N$19,"&lt;"&amp;'Calc base'!F$19,'Calc base'!$C$14:$N$14,1))))</f>
        <v>0</v>
      </c>
      <c r="AL195">
        <f>IF('Calc base'!G$14=0,0,MIN(Z195,MAX(0,$E195-SUMIFS($V195:$AG195,'Calc base'!$C$19:$N$19,"&lt;"&amp;'Calc base'!G$19,'Calc base'!$C$14:$N$14,1))))</f>
        <v>0</v>
      </c>
      <c r="AM195">
        <f>IF('Calc base'!H$14=0,0,MIN(AA195,MAX(0,$E195-SUMIFS($V195:$AG195,'Calc base'!$C$19:$N$19,"&lt;"&amp;'Calc base'!H$19,'Calc base'!$C$14:$N$14,1))))</f>
        <v>0</v>
      </c>
      <c r="AN195">
        <f>IF('Calc base'!I$14=0,0,MIN(AB195,MAX(0,$E195-SUMIFS($V195:$AG195,'Calc base'!$C$19:$N$19,"&lt;"&amp;'Calc base'!I$19,'Calc base'!$C$14:$N$14,1))))</f>
        <v>0</v>
      </c>
      <c r="AO195">
        <f>IF('Calc base'!J$14=0,0,MIN(AC195,MAX(0,$E195-SUMIFS($V195:$AG195,'Calc base'!$C$19:$N$19,"&lt;"&amp;'Calc base'!J$19,'Calc base'!$C$14:$N$14,1))))</f>
        <v>0</v>
      </c>
      <c r="AP195">
        <f>IF('Calc base'!K$14=0,0,MIN(AD195,MAX(0,$E195-SUMIFS($V195:$AG195,'Calc base'!$C$19:$N$19,"&lt;"&amp;'Calc base'!K$19,'Calc base'!$C$14:$N$14,1))))</f>
        <v>0</v>
      </c>
      <c r="AQ195">
        <f>IF('Calc base'!L$14=0,0,MIN(AE195,MAX(0,$E195-SUMIFS($V195:$AG195,'Calc base'!$C$19:$N$19,"&lt;"&amp;'Calc base'!L$19,'Calc base'!$C$14:$N$14,1))))</f>
        <v>0</v>
      </c>
      <c r="AR195">
        <f>IF('Calc base'!M$14=0,0,MIN(AF195,MAX(0,$E195-SUMIFS($V195:$AG195,'Calc base'!$C$19:$N$19,"&lt;"&amp;'Calc base'!M$19,'Calc base'!$C$14:$N$14,1))))</f>
        <v>0</v>
      </c>
      <c r="AS195">
        <f>IF('Calc base'!N$14=0,0,MIN(AG195,MAX(0,$E195-SUMIFS($V195:$AG195,'Calc base'!$C$19:$N$19,"&lt;"&amp;'Calc base'!N$19,'Calc base'!$C$14:$N$14,1))))</f>
        <v>0</v>
      </c>
      <c r="AT195">
        <f>V195-AH195</f>
        <v>0</v>
      </c>
      <c r="AU195">
        <f>W195-AI195</f>
        <v>0</v>
      </c>
      <c r="AV195">
        <f>X195-AJ195</f>
        <v>0</v>
      </c>
      <c r="AW195">
        <f>Y195-AK195</f>
        <v>0</v>
      </c>
      <c r="AX195">
        <f>Z195-AL195</f>
        <v>0</v>
      </c>
      <c r="AY195">
        <f>AA195-AM195</f>
        <v>0</v>
      </c>
      <c r="AZ195">
        <f>AB195-AN195</f>
        <v>0</v>
      </c>
      <c r="BA195">
        <f>AC195-AO195</f>
        <v>0</v>
      </c>
      <c r="BB195">
        <f>AD195-AP195</f>
        <v>0</v>
      </c>
      <c r="BC195">
        <f>AE195-AQ195</f>
        <v>0</v>
      </c>
      <c r="BD195">
        <f>AF195-AR195</f>
        <v>0</v>
      </c>
      <c r="BE195">
        <f>AG195-AS195</f>
        <v>0</v>
      </c>
    </row>
    <row r="196">
      <c r="A196" t="n">
        <v>166</v>
      </c>
      <c r="B196">
        <f>SUMPRODUCT(ROUND($AT195:$BE195*(1+'Calc base'!$H196:$S196),2))</f>
        <v>0</v>
      </c>
      <c r="C196">
        <f>SUM(J196:U196)</f>
        <v>0</v>
      </c>
      <c r="D196">
        <f>SUM(V196:AG196)</f>
        <v>0</v>
      </c>
      <c r="E196">
        <f>MAX(0,IF(Impostazioni!$B$7="No",'Calc base'!$C196-$C$31,'Calc base'!$C196-C196)+'Calc base'!$G196+'Calc base'!$F196-(B196-C196-D196))</f>
        <v>900</v>
      </c>
      <c r="F196">
        <f>SUM(AH196:AS196)</f>
        <v>0</v>
      </c>
      <c r="G196">
        <f>SUM(AT196:BE196)</f>
        <v>0</v>
      </c>
      <c r="H196">
        <f>B196-G195</f>
        <v>0</v>
      </c>
      <c r="I196">
        <f>B196-G196</f>
        <v>0</v>
      </c>
      <c r="J196">
        <f>IF(AT195&lt;=0,0,IF(ROUND(AT195*(1+'Calc base'!H196),2)-MAX('Calc base'!C$12,ROUND('Calc base'!C$13*AT195,2))&lt;1,ROUND(AT195*(1+'Calc base'!H196),2),MAX('Calc base'!C$12,ROUND('Calc base'!C$13*AT195,2))))</f>
        <v>0</v>
      </c>
      <c r="K196">
        <f>IF(AU195&lt;=0,0,IF(ROUND(AU195*(1+'Calc base'!I196),2)-MAX('Calc base'!D$12,ROUND('Calc base'!D$13*AU195,2))&lt;1,ROUND(AU195*(1+'Calc base'!I196),2),MAX('Calc base'!D$12,ROUND('Calc base'!D$13*AU195,2))))</f>
        <v>0</v>
      </c>
      <c r="L196">
        <f>IF(AV195&lt;=0,0,IF(ROUND(AV195*(1+'Calc base'!J196),2)-MAX('Calc base'!E$12,ROUND('Calc base'!E$13*AV195,2))&lt;1,ROUND(AV195*(1+'Calc base'!J196),2),MAX('Calc base'!E$12,ROUND('Calc base'!E$13*AV195,2))))</f>
        <v>0</v>
      </c>
      <c r="M196">
        <f>IF(AW195&lt;=0,0,IF(ROUND(AW195*(1+'Calc base'!K196),2)-MAX('Calc base'!F$12,ROUND('Calc base'!F$13*AW195,2))&lt;1,ROUND(AW195*(1+'Calc base'!K196),2),MAX('Calc base'!F$12,ROUND('Calc base'!F$13*AW195,2))))</f>
        <v>0</v>
      </c>
      <c r="N196">
        <f>IF(AX195&lt;=0,0,IF(ROUND(AX195*(1+'Calc base'!L196),2)-MAX('Calc base'!G$12,ROUND('Calc base'!G$13*AX195,2))&lt;1,ROUND(AX195*(1+'Calc base'!L196),2),MAX('Calc base'!G$12,ROUND('Calc base'!G$13*AX195,2))))</f>
        <v>0</v>
      </c>
      <c r="O196">
        <f>IF(AY195&lt;=0,0,IF(ROUND(AY195*(1+'Calc base'!M196),2)-MAX('Calc base'!H$12,ROUND('Calc base'!H$13*AY195,2))&lt;1,ROUND(AY195*(1+'Calc base'!M196),2),MAX('Calc base'!H$12,ROUND('Calc base'!H$13*AY195,2))))</f>
        <v>0</v>
      </c>
      <c r="P196">
        <f>IF(AZ195&lt;=0,0,IF(ROUND(AZ195*(1+'Calc base'!N196),2)-MAX('Calc base'!I$12,ROUND('Calc base'!I$13*AZ195,2))&lt;1,ROUND(AZ195*(1+'Calc base'!N196),2),MAX('Calc base'!I$12,ROUND('Calc base'!I$13*AZ195,2))))</f>
        <v>0</v>
      </c>
      <c r="Q196">
        <f>IF(BA195&lt;=0,0,IF(ROUND(BA195*(1+'Calc base'!O196),2)-MAX('Calc base'!J$12,ROUND('Calc base'!J$13*BA195,2))&lt;1,ROUND(BA195*(1+'Calc base'!O196),2),MAX('Calc base'!J$12,ROUND('Calc base'!J$13*BA195,2))))</f>
        <v>0</v>
      </c>
      <c r="R196">
        <f>IF(BB195&lt;=0,0,IF(ROUND(BB195*(1+'Calc base'!P196),2)-MAX('Calc base'!K$12,ROUND('Calc base'!K$13*BB195,2))&lt;1,ROUND(BB195*(1+'Calc base'!P196),2),MAX('Calc base'!K$12,ROUND('Calc base'!K$13*BB195,2))))</f>
        <v>0</v>
      </c>
      <c r="S196">
        <f>IF(BC195&lt;=0,0,IF(ROUND(BC195*(1+'Calc base'!Q196),2)-MAX('Calc base'!L$12,ROUND('Calc base'!L$13*BC195,2))&lt;1,ROUND(BC195*(1+'Calc base'!Q196),2),MAX('Calc base'!L$12,ROUND('Calc base'!L$13*BC195,2))))</f>
        <v>0</v>
      </c>
      <c r="T196">
        <f>IF(BD195&lt;=0,0,IF(ROUND(BD195*(1+'Calc base'!R196),2)-MAX('Calc base'!M$12,ROUND('Calc base'!M$13*BD195,2))&lt;1,ROUND(BD195*(1+'Calc base'!R196),2),MAX('Calc base'!M$12,ROUND('Calc base'!M$13*BD195,2))))</f>
        <v>0</v>
      </c>
      <c r="U196">
        <f>IF(BE195&lt;=0,0,IF(ROUND(BE195*(1+'Calc base'!S196),2)-MAX('Calc base'!N$12,ROUND('Calc base'!N$13*BE195,2))&lt;1,ROUND(BE195*(1+'Calc base'!S196),2),MAX('Calc base'!N$12,ROUND('Calc base'!N$13*BE195,2))))</f>
        <v>0</v>
      </c>
      <c r="V196">
        <f>MAX(0,ROUND(AT195*(1+'Calc base'!H196),2)-J196-'Calc base'!T196)</f>
        <v>0</v>
      </c>
      <c r="W196">
        <f>MAX(0,ROUND(AU195*(1+'Calc base'!I196),2)-K196-'Calc base'!U196)</f>
        <v>0</v>
      </c>
      <c r="X196">
        <f>MAX(0,ROUND(AV195*(1+'Calc base'!J196),2)-L196-'Calc base'!V196)</f>
        <v>0</v>
      </c>
      <c r="Y196">
        <f>MAX(0,ROUND(AW195*(1+'Calc base'!K196),2)-M196-'Calc base'!W196)</f>
        <v>0</v>
      </c>
      <c r="Z196">
        <f>MAX(0,ROUND(AX195*(1+'Calc base'!L196),2)-N196-'Calc base'!X196)</f>
        <v>0</v>
      </c>
      <c r="AA196">
        <f>MAX(0,ROUND(AY195*(1+'Calc base'!M196),2)-O196-'Calc base'!Y196)</f>
        <v>0</v>
      </c>
      <c r="AB196">
        <f>MAX(0,ROUND(AZ195*(1+'Calc base'!N196),2)-P196-'Calc base'!Z196)</f>
        <v>0</v>
      </c>
      <c r="AC196">
        <f>MAX(0,ROUND(BA195*(1+'Calc base'!O196),2)-Q196-'Calc base'!AA196)</f>
        <v>0</v>
      </c>
      <c r="AD196">
        <f>MAX(0,ROUND(BB195*(1+'Calc base'!P196),2)-R196-'Calc base'!AB196)</f>
        <v>0</v>
      </c>
      <c r="AE196">
        <f>MAX(0,ROUND(BC195*(1+'Calc base'!Q196),2)-S196-'Calc base'!AC196)</f>
        <v>0</v>
      </c>
      <c r="AF196">
        <f>MAX(0,ROUND(BD195*(1+'Calc base'!R196),2)-T196-'Calc base'!AD196)</f>
        <v>0</v>
      </c>
      <c r="AG196">
        <f>MAX(0,ROUND(BE195*(1+'Calc base'!S196),2)-U196-'Calc base'!AE196)</f>
        <v>0</v>
      </c>
      <c r="AH196">
        <f>IF('Calc base'!C$14=0,0,MIN(V196,MAX(0,$E196-SUMIFS($V196:$AG196,'Calc base'!$C$19:$N$19,"&lt;"&amp;'Calc base'!C$19,'Calc base'!$C$14:$N$14,1))))</f>
        <v>0</v>
      </c>
      <c r="AI196">
        <f>IF('Calc base'!D$14=0,0,MIN(W196,MAX(0,$E196-SUMIFS($V196:$AG196,'Calc base'!$C$19:$N$19,"&lt;"&amp;'Calc base'!D$19,'Calc base'!$C$14:$N$14,1))))</f>
        <v>0</v>
      </c>
      <c r="AJ196">
        <f>IF('Calc base'!E$14=0,0,MIN(X196,MAX(0,$E196-SUMIFS($V196:$AG196,'Calc base'!$C$19:$N$19,"&lt;"&amp;'Calc base'!E$19,'Calc base'!$C$14:$N$14,1))))</f>
        <v>0</v>
      </c>
      <c r="AK196">
        <f>IF('Calc base'!F$14=0,0,MIN(Y196,MAX(0,$E196-SUMIFS($V196:$AG196,'Calc base'!$C$19:$N$19,"&lt;"&amp;'Calc base'!F$19,'Calc base'!$C$14:$N$14,1))))</f>
        <v>0</v>
      </c>
      <c r="AL196">
        <f>IF('Calc base'!G$14=0,0,MIN(Z196,MAX(0,$E196-SUMIFS($V196:$AG196,'Calc base'!$C$19:$N$19,"&lt;"&amp;'Calc base'!G$19,'Calc base'!$C$14:$N$14,1))))</f>
        <v>0</v>
      </c>
      <c r="AM196">
        <f>IF('Calc base'!H$14=0,0,MIN(AA196,MAX(0,$E196-SUMIFS($V196:$AG196,'Calc base'!$C$19:$N$19,"&lt;"&amp;'Calc base'!H$19,'Calc base'!$C$14:$N$14,1))))</f>
        <v>0</v>
      </c>
      <c r="AN196">
        <f>IF('Calc base'!I$14=0,0,MIN(AB196,MAX(0,$E196-SUMIFS($V196:$AG196,'Calc base'!$C$19:$N$19,"&lt;"&amp;'Calc base'!I$19,'Calc base'!$C$14:$N$14,1))))</f>
        <v>0</v>
      </c>
      <c r="AO196">
        <f>IF('Calc base'!J$14=0,0,MIN(AC196,MAX(0,$E196-SUMIFS($V196:$AG196,'Calc base'!$C$19:$N$19,"&lt;"&amp;'Calc base'!J$19,'Calc base'!$C$14:$N$14,1))))</f>
        <v>0</v>
      </c>
      <c r="AP196">
        <f>IF('Calc base'!K$14=0,0,MIN(AD196,MAX(0,$E196-SUMIFS($V196:$AG196,'Calc base'!$C$19:$N$19,"&lt;"&amp;'Calc base'!K$19,'Calc base'!$C$14:$N$14,1))))</f>
        <v>0</v>
      </c>
      <c r="AQ196">
        <f>IF('Calc base'!L$14=0,0,MIN(AE196,MAX(0,$E196-SUMIFS($V196:$AG196,'Calc base'!$C$19:$N$19,"&lt;"&amp;'Calc base'!L$19,'Calc base'!$C$14:$N$14,1))))</f>
        <v>0</v>
      </c>
      <c r="AR196">
        <f>IF('Calc base'!M$14=0,0,MIN(AF196,MAX(0,$E196-SUMIFS($V196:$AG196,'Calc base'!$C$19:$N$19,"&lt;"&amp;'Calc base'!M$19,'Calc base'!$C$14:$N$14,1))))</f>
        <v>0</v>
      </c>
      <c r="AS196">
        <f>IF('Calc base'!N$14=0,0,MIN(AG196,MAX(0,$E196-SUMIFS($V196:$AG196,'Calc base'!$C$19:$N$19,"&lt;"&amp;'Calc base'!N$19,'Calc base'!$C$14:$N$14,1))))</f>
        <v>0</v>
      </c>
      <c r="AT196">
        <f>V196-AH196</f>
        <v>0</v>
      </c>
      <c r="AU196">
        <f>W196-AI196</f>
        <v>0</v>
      </c>
      <c r="AV196">
        <f>X196-AJ196</f>
        <v>0</v>
      </c>
      <c r="AW196">
        <f>Y196-AK196</f>
        <v>0</v>
      </c>
      <c r="AX196">
        <f>Z196-AL196</f>
        <v>0</v>
      </c>
      <c r="AY196">
        <f>AA196-AM196</f>
        <v>0</v>
      </c>
      <c r="AZ196">
        <f>AB196-AN196</f>
        <v>0</v>
      </c>
      <c r="BA196">
        <f>AC196-AO196</f>
        <v>0</v>
      </c>
      <c r="BB196">
        <f>AD196-AP196</f>
        <v>0</v>
      </c>
      <c r="BC196">
        <f>AE196-AQ196</f>
        <v>0</v>
      </c>
      <c r="BD196">
        <f>AF196-AR196</f>
        <v>0</v>
      </c>
      <c r="BE196">
        <f>AG196-AS196</f>
        <v>0</v>
      </c>
    </row>
    <row r="197">
      <c r="A197" t="n">
        <v>167</v>
      </c>
      <c r="B197">
        <f>SUMPRODUCT(ROUND($AT196:$BE196*(1+'Calc base'!$H197:$S197),2))</f>
        <v>0</v>
      </c>
      <c r="C197">
        <f>SUM(J197:U197)</f>
        <v>0</v>
      </c>
      <c r="D197">
        <f>SUM(V197:AG197)</f>
        <v>0</v>
      </c>
      <c r="E197">
        <f>MAX(0,IF(Impostazioni!$B$7="No",'Calc base'!$C197-$C$31,'Calc base'!$C197-C197)+'Calc base'!$G197+'Calc base'!$F197-(B197-C197-D197))</f>
        <v>900</v>
      </c>
      <c r="F197">
        <f>SUM(AH197:AS197)</f>
        <v>0</v>
      </c>
      <c r="G197">
        <f>SUM(AT197:BE197)</f>
        <v>0</v>
      </c>
      <c r="H197">
        <f>B197-G196</f>
        <v>0</v>
      </c>
      <c r="I197">
        <f>B197-G197</f>
        <v>0</v>
      </c>
      <c r="J197">
        <f>IF(AT196&lt;=0,0,IF(ROUND(AT196*(1+'Calc base'!H197),2)-MAX('Calc base'!C$12,ROUND('Calc base'!C$13*AT196,2))&lt;1,ROUND(AT196*(1+'Calc base'!H197),2),MAX('Calc base'!C$12,ROUND('Calc base'!C$13*AT196,2))))</f>
        <v>0</v>
      </c>
      <c r="K197">
        <f>IF(AU196&lt;=0,0,IF(ROUND(AU196*(1+'Calc base'!I197),2)-MAX('Calc base'!D$12,ROUND('Calc base'!D$13*AU196,2))&lt;1,ROUND(AU196*(1+'Calc base'!I197),2),MAX('Calc base'!D$12,ROUND('Calc base'!D$13*AU196,2))))</f>
        <v>0</v>
      </c>
      <c r="L197">
        <f>IF(AV196&lt;=0,0,IF(ROUND(AV196*(1+'Calc base'!J197),2)-MAX('Calc base'!E$12,ROUND('Calc base'!E$13*AV196,2))&lt;1,ROUND(AV196*(1+'Calc base'!J197),2),MAX('Calc base'!E$12,ROUND('Calc base'!E$13*AV196,2))))</f>
        <v>0</v>
      </c>
      <c r="M197">
        <f>IF(AW196&lt;=0,0,IF(ROUND(AW196*(1+'Calc base'!K197),2)-MAX('Calc base'!F$12,ROUND('Calc base'!F$13*AW196,2))&lt;1,ROUND(AW196*(1+'Calc base'!K197),2),MAX('Calc base'!F$12,ROUND('Calc base'!F$13*AW196,2))))</f>
        <v>0</v>
      </c>
      <c r="N197">
        <f>IF(AX196&lt;=0,0,IF(ROUND(AX196*(1+'Calc base'!L197),2)-MAX('Calc base'!G$12,ROUND('Calc base'!G$13*AX196,2))&lt;1,ROUND(AX196*(1+'Calc base'!L197),2),MAX('Calc base'!G$12,ROUND('Calc base'!G$13*AX196,2))))</f>
        <v>0</v>
      </c>
      <c r="O197">
        <f>IF(AY196&lt;=0,0,IF(ROUND(AY196*(1+'Calc base'!M197),2)-MAX('Calc base'!H$12,ROUND('Calc base'!H$13*AY196,2))&lt;1,ROUND(AY196*(1+'Calc base'!M197),2),MAX('Calc base'!H$12,ROUND('Calc base'!H$13*AY196,2))))</f>
        <v>0</v>
      </c>
      <c r="P197">
        <f>IF(AZ196&lt;=0,0,IF(ROUND(AZ196*(1+'Calc base'!N197),2)-MAX('Calc base'!I$12,ROUND('Calc base'!I$13*AZ196,2))&lt;1,ROUND(AZ196*(1+'Calc base'!N197),2),MAX('Calc base'!I$12,ROUND('Calc base'!I$13*AZ196,2))))</f>
        <v>0</v>
      </c>
      <c r="Q197">
        <f>IF(BA196&lt;=0,0,IF(ROUND(BA196*(1+'Calc base'!O197),2)-MAX('Calc base'!J$12,ROUND('Calc base'!J$13*BA196,2))&lt;1,ROUND(BA196*(1+'Calc base'!O197),2),MAX('Calc base'!J$12,ROUND('Calc base'!J$13*BA196,2))))</f>
        <v>0</v>
      </c>
      <c r="R197">
        <f>IF(BB196&lt;=0,0,IF(ROUND(BB196*(1+'Calc base'!P197),2)-MAX('Calc base'!K$12,ROUND('Calc base'!K$13*BB196,2))&lt;1,ROUND(BB196*(1+'Calc base'!P197),2),MAX('Calc base'!K$12,ROUND('Calc base'!K$13*BB196,2))))</f>
        <v>0</v>
      </c>
      <c r="S197">
        <f>IF(BC196&lt;=0,0,IF(ROUND(BC196*(1+'Calc base'!Q197),2)-MAX('Calc base'!L$12,ROUND('Calc base'!L$13*BC196,2))&lt;1,ROUND(BC196*(1+'Calc base'!Q197),2),MAX('Calc base'!L$12,ROUND('Calc base'!L$13*BC196,2))))</f>
        <v>0</v>
      </c>
      <c r="T197">
        <f>IF(BD196&lt;=0,0,IF(ROUND(BD196*(1+'Calc base'!R197),2)-MAX('Calc base'!M$12,ROUND('Calc base'!M$13*BD196,2))&lt;1,ROUND(BD196*(1+'Calc base'!R197),2),MAX('Calc base'!M$12,ROUND('Calc base'!M$13*BD196,2))))</f>
        <v>0</v>
      </c>
      <c r="U197">
        <f>IF(BE196&lt;=0,0,IF(ROUND(BE196*(1+'Calc base'!S197),2)-MAX('Calc base'!N$12,ROUND('Calc base'!N$13*BE196,2))&lt;1,ROUND(BE196*(1+'Calc base'!S197),2),MAX('Calc base'!N$12,ROUND('Calc base'!N$13*BE196,2))))</f>
        <v>0</v>
      </c>
      <c r="V197">
        <f>MAX(0,ROUND(AT196*(1+'Calc base'!H197),2)-J197-'Calc base'!T197)</f>
        <v>0</v>
      </c>
      <c r="W197">
        <f>MAX(0,ROUND(AU196*(1+'Calc base'!I197),2)-K197-'Calc base'!U197)</f>
        <v>0</v>
      </c>
      <c r="X197">
        <f>MAX(0,ROUND(AV196*(1+'Calc base'!J197),2)-L197-'Calc base'!V197)</f>
        <v>0</v>
      </c>
      <c r="Y197">
        <f>MAX(0,ROUND(AW196*(1+'Calc base'!K197),2)-M197-'Calc base'!W197)</f>
        <v>0</v>
      </c>
      <c r="Z197">
        <f>MAX(0,ROUND(AX196*(1+'Calc base'!L197),2)-N197-'Calc base'!X197)</f>
        <v>0</v>
      </c>
      <c r="AA197">
        <f>MAX(0,ROUND(AY196*(1+'Calc base'!M197),2)-O197-'Calc base'!Y197)</f>
        <v>0</v>
      </c>
      <c r="AB197">
        <f>MAX(0,ROUND(AZ196*(1+'Calc base'!N197),2)-P197-'Calc base'!Z197)</f>
        <v>0</v>
      </c>
      <c r="AC197">
        <f>MAX(0,ROUND(BA196*(1+'Calc base'!O197),2)-Q197-'Calc base'!AA197)</f>
        <v>0</v>
      </c>
      <c r="AD197">
        <f>MAX(0,ROUND(BB196*(1+'Calc base'!P197),2)-R197-'Calc base'!AB197)</f>
        <v>0</v>
      </c>
      <c r="AE197">
        <f>MAX(0,ROUND(BC196*(1+'Calc base'!Q197),2)-S197-'Calc base'!AC197)</f>
        <v>0</v>
      </c>
      <c r="AF197">
        <f>MAX(0,ROUND(BD196*(1+'Calc base'!R197),2)-T197-'Calc base'!AD197)</f>
        <v>0</v>
      </c>
      <c r="AG197">
        <f>MAX(0,ROUND(BE196*(1+'Calc base'!S197),2)-U197-'Calc base'!AE197)</f>
        <v>0</v>
      </c>
      <c r="AH197">
        <f>IF('Calc base'!C$14=0,0,MIN(V197,MAX(0,$E197-SUMIFS($V197:$AG197,'Calc base'!$C$19:$N$19,"&lt;"&amp;'Calc base'!C$19,'Calc base'!$C$14:$N$14,1))))</f>
        <v>0</v>
      </c>
      <c r="AI197">
        <f>IF('Calc base'!D$14=0,0,MIN(W197,MAX(0,$E197-SUMIFS($V197:$AG197,'Calc base'!$C$19:$N$19,"&lt;"&amp;'Calc base'!D$19,'Calc base'!$C$14:$N$14,1))))</f>
        <v>0</v>
      </c>
      <c r="AJ197">
        <f>IF('Calc base'!E$14=0,0,MIN(X197,MAX(0,$E197-SUMIFS($V197:$AG197,'Calc base'!$C$19:$N$19,"&lt;"&amp;'Calc base'!E$19,'Calc base'!$C$14:$N$14,1))))</f>
        <v>0</v>
      </c>
      <c r="AK197">
        <f>IF('Calc base'!F$14=0,0,MIN(Y197,MAX(0,$E197-SUMIFS($V197:$AG197,'Calc base'!$C$19:$N$19,"&lt;"&amp;'Calc base'!F$19,'Calc base'!$C$14:$N$14,1))))</f>
        <v>0</v>
      </c>
      <c r="AL197">
        <f>IF('Calc base'!G$14=0,0,MIN(Z197,MAX(0,$E197-SUMIFS($V197:$AG197,'Calc base'!$C$19:$N$19,"&lt;"&amp;'Calc base'!G$19,'Calc base'!$C$14:$N$14,1))))</f>
        <v>0</v>
      </c>
      <c r="AM197">
        <f>IF('Calc base'!H$14=0,0,MIN(AA197,MAX(0,$E197-SUMIFS($V197:$AG197,'Calc base'!$C$19:$N$19,"&lt;"&amp;'Calc base'!H$19,'Calc base'!$C$14:$N$14,1))))</f>
        <v>0</v>
      </c>
      <c r="AN197">
        <f>IF('Calc base'!I$14=0,0,MIN(AB197,MAX(0,$E197-SUMIFS($V197:$AG197,'Calc base'!$C$19:$N$19,"&lt;"&amp;'Calc base'!I$19,'Calc base'!$C$14:$N$14,1))))</f>
        <v>0</v>
      </c>
      <c r="AO197">
        <f>IF('Calc base'!J$14=0,0,MIN(AC197,MAX(0,$E197-SUMIFS($V197:$AG197,'Calc base'!$C$19:$N$19,"&lt;"&amp;'Calc base'!J$19,'Calc base'!$C$14:$N$14,1))))</f>
        <v>0</v>
      </c>
      <c r="AP197">
        <f>IF('Calc base'!K$14=0,0,MIN(AD197,MAX(0,$E197-SUMIFS($V197:$AG197,'Calc base'!$C$19:$N$19,"&lt;"&amp;'Calc base'!K$19,'Calc base'!$C$14:$N$14,1))))</f>
        <v>0</v>
      </c>
      <c r="AQ197">
        <f>IF('Calc base'!L$14=0,0,MIN(AE197,MAX(0,$E197-SUMIFS($V197:$AG197,'Calc base'!$C$19:$N$19,"&lt;"&amp;'Calc base'!L$19,'Calc base'!$C$14:$N$14,1))))</f>
        <v>0</v>
      </c>
      <c r="AR197">
        <f>IF('Calc base'!M$14=0,0,MIN(AF197,MAX(0,$E197-SUMIFS($V197:$AG197,'Calc base'!$C$19:$N$19,"&lt;"&amp;'Calc base'!M$19,'Calc base'!$C$14:$N$14,1))))</f>
        <v>0</v>
      </c>
      <c r="AS197">
        <f>IF('Calc base'!N$14=0,0,MIN(AG197,MAX(0,$E197-SUMIFS($V197:$AG197,'Calc base'!$C$19:$N$19,"&lt;"&amp;'Calc base'!N$19,'Calc base'!$C$14:$N$14,1))))</f>
        <v>0</v>
      </c>
      <c r="AT197">
        <f>V197-AH197</f>
        <v>0</v>
      </c>
      <c r="AU197">
        <f>W197-AI197</f>
        <v>0</v>
      </c>
      <c r="AV197">
        <f>X197-AJ197</f>
        <v>0</v>
      </c>
      <c r="AW197">
        <f>Y197-AK197</f>
        <v>0</v>
      </c>
      <c r="AX197">
        <f>Z197-AL197</f>
        <v>0</v>
      </c>
      <c r="AY197">
        <f>AA197-AM197</f>
        <v>0</v>
      </c>
      <c r="AZ197">
        <f>AB197-AN197</f>
        <v>0</v>
      </c>
      <c r="BA197">
        <f>AC197-AO197</f>
        <v>0</v>
      </c>
      <c r="BB197">
        <f>AD197-AP197</f>
        <v>0</v>
      </c>
      <c r="BC197">
        <f>AE197-AQ197</f>
        <v>0</v>
      </c>
      <c r="BD197">
        <f>AF197-AR197</f>
        <v>0</v>
      </c>
      <c r="BE197">
        <f>AG197-AS197</f>
        <v>0</v>
      </c>
    </row>
    <row r="198">
      <c r="A198" t="n">
        <v>168</v>
      </c>
      <c r="B198">
        <f>SUMPRODUCT(ROUND($AT197:$BE197*(1+'Calc base'!$H198:$S198),2))</f>
        <v>0</v>
      </c>
      <c r="C198">
        <f>SUM(J198:U198)</f>
        <v>0</v>
      </c>
      <c r="D198">
        <f>SUM(V198:AG198)</f>
        <v>0</v>
      </c>
      <c r="E198">
        <f>MAX(0,IF(Impostazioni!$B$7="No",'Calc base'!$C198-$C$31,'Calc base'!$C198-C198)+'Calc base'!$G198+'Calc base'!$F198-(B198-C198-D198))</f>
        <v>900</v>
      </c>
      <c r="F198">
        <f>SUM(AH198:AS198)</f>
        <v>0</v>
      </c>
      <c r="G198">
        <f>SUM(AT198:BE198)</f>
        <v>0</v>
      </c>
      <c r="H198">
        <f>B198-G197</f>
        <v>0</v>
      </c>
      <c r="I198">
        <f>B198-G198</f>
        <v>0</v>
      </c>
      <c r="J198">
        <f>IF(AT197&lt;=0,0,IF(ROUND(AT197*(1+'Calc base'!H198),2)-MAX('Calc base'!C$12,ROUND('Calc base'!C$13*AT197,2))&lt;1,ROUND(AT197*(1+'Calc base'!H198),2),MAX('Calc base'!C$12,ROUND('Calc base'!C$13*AT197,2))))</f>
        <v>0</v>
      </c>
      <c r="K198">
        <f>IF(AU197&lt;=0,0,IF(ROUND(AU197*(1+'Calc base'!I198),2)-MAX('Calc base'!D$12,ROUND('Calc base'!D$13*AU197,2))&lt;1,ROUND(AU197*(1+'Calc base'!I198),2),MAX('Calc base'!D$12,ROUND('Calc base'!D$13*AU197,2))))</f>
        <v>0</v>
      </c>
      <c r="L198">
        <f>IF(AV197&lt;=0,0,IF(ROUND(AV197*(1+'Calc base'!J198),2)-MAX('Calc base'!E$12,ROUND('Calc base'!E$13*AV197,2))&lt;1,ROUND(AV197*(1+'Calc base'!J198),2),MAX('Calc base'!E$12,ROUND('Calc base'!E$13*AV197,2))))</f>
        <v>0</v>
      </c>
      <c r="M198">
        <f>IF(AW197&lt;=0,0,IF(ROUND(AW197*(1+'Calc base'!K198),2)-MAX('Calc base'!F$12,ROUND('Calc base'!F$13*AW197,2))&lt;1,ROUND(AW197*(1+'Calc base'!K198),2),MAX('Calc base'!F$12,ROUND('Calc base'!F$13*AW197,2))))</f>
        <v>0</v>
      </c>
      <c r="N198">
        <f>IF(AX197&lt;=0,0,IF(ROUND(AX197*(1+'Calc base'!L198),2)-MAX('Calc base'!G$12,ROUND('Calc base'!G$13*AX197,2))&lt;1,ROUND(AX197*(1+'Calc base'!L198),2),MAX('Calc base'!G$12,ROUND('Calc base'!G$13*AX197,2))))</f>
        <v>0</v>
      </c>
      <c r="O198">
        <f>IF(AY197&lt;=0,0,IF(ROUND(AY197*(1+'Calc base'!M198),2)-MAX('Calc base'!H$12,ROUND('Calc base'!H$13*AY197,2))&lt;1,ROUND(AY197*(1+'Calc base'!M198),2),MAX('Calc base'!H$12,ROUND('Calc base'!H$13*AY197,2))))</f>
        <v>0</v>
      </c>
      <c r="P198">
        <f>IF(AZ197&lt;=0,0,IF(ROUND(AZ197*(1+'Calc base'!N198),2)-MAX('Calc base'!I$12,ROUND('Calc base'!I$13*AZ197,2))&lt;1,ROUND(AZ197*(1+'Calc base'!N198),2),MAX('Calc base'!I$12,ROUND('Calc base'!I$13*AZ197,2))))</f>
        <v>0</v>
      </c>
      <c r="Q198">
        <f>IF(BA197&lt;=0,0,IF(ROUND(BA197*(1+'Calc base'!O198),2)-MAX('Calc base'!J$12,ROUND('Calc base'!J$13*BA197,2))&lt;1,ROUND(BA197*(1+'Calc base'!O198),2),MAX('Calc base'!J$12,ROUND('Calc base'!J$13*BA197,2))))</f>
        <v>0</v>
      </c>
      <c r="R198">
        <f>IF(BB197&lt;=0,0,IF(ROUND(BB197*(1+'Calc base'!P198),2)-MAX('Calc base'!K$12,ROUND('Calc base'!K$13*BB197,2))&lt;1,ROUND(BB197*(1+'Calc base'!P198),2),MAX('Calc base'!K$12,ROUND('Calc base'!K$13*BB197,2))))</f>
        <v>0</v>
      </c>
      <c r="S198">
        <f>IF(BC197&lt;=0,0,IF(ROUND(BC197*(1+'Calc base'!Q198),2)-MAX('Calc base'!L$12,ROUND('Calc base'!L$13*BC197,2))&lt;1,ROUND(BC197*(1+'Calc base'!Q198),2),MAX('Calc base'!L$12,ROUND('Calc base'!L$13*BC197,2))))</f>
        <v>0</v>
      </c>
      <c r="T198">
        <f>IF(BD197&lt;=0,0,IF(ROUND(BD197*(1+'Calc base'!R198),2)-MAX('Calc base'!M$12,ROUND('Calc base'!M$13*BD197,2))&lt;1,ROUND(BD197*(1+'Calc base'!R198),2),MAX('Calc base'!M$12,ROUND('Calc base'!M$13*BD197,2))))</f>
        <v>0</v>
      </c>
      <c r="U198">
        <f>IF(BE197&lt;=0,0,IF(ROUND(BE197*(1+'Calc base'!S198),2)-MAX('Calc base'!N$12,ROUND('Calc base'!N$13*BE197,2))&lt;1,ROUND(BE197*(1+'Calc base'!S198),2),MAX('Calc base'!N$12,ROUND('Calc base'!N$13*BE197,2))))</f>
        <v>0</v>
      </c>
      <c r="V198">
        <f>MAX(0,ROUND(AT197*(1+'Calc base'!H198),2)-J198-'Calc base'!T198)</f>
        <v>0</v>
      </c>
      <c r="W198">
        <f>MAX(0,ROUND(AU197*(1+'Calc base'!I198),2)-K198-'Calc base'!U198)</f>
        <v>0</v>
      </c>
      <c r="X198">
        <f>MAX(0,ROUND(AV197*(1+'Calc base'!J198),2)-L198-'Calc base'!V198)</f>
        <v>0</v>
      </c>
      <c r="Y198">
        <f>MAX(0,ROUND(AW197*(1+'Calc base'!K198),2)-M198-'Calc base'!W198)</f>
        <v>0</v>
      </c>
      <c r="Z198">
        <f>MAX(0,ROUND(AX197*(1+'Calc base'!L198),2)-N198-'Calc base'!X198)</f>
        <v>0</v>
      </c>
      <c r="AA198">
        <f>MAX(0,ROUND(AY197*(1+'Calc base'!M198),2)-O198-'Calc base'!Y198)</f>
        <v>0</v>
      </c>
      <c r="AB198">
        <f>MAX(0,ROUND(AZ197*(1+'Calc base'!N198),2)-P198-'Calc base'!Z198)</f>
        <v>0</v>
      </c>
      <c r="AC198">
        <f>MAX(0,ROUND(BA197*(1+'Calc base'!O198),2)-Q198-'Calc base'!AA198)</f>
        <v>0</v>
      </c>
      <c r="AD198">
        <f>MAX(0,ROUND(BB197*(1+'Calc base'!P198),2)-R198-'Calc base'!AB198)</f>
        <v>0</v>
      </c>
      <c r="AE198">
        <f>MAX(0,ROUND(BC197*(1+'Calc base'!Q198),2)-S198-'Calc base'!AC198)</f>
        <v>0</v>
      </c>
      <c r="AF198">
        <f>MAX(0,ROUND(BD197*(1+'Calc base'!R198),2)-T198-'Calc base'!AD198)</f>
        <v>0</v>
      </c>
      <c r="AG198">
        <f>MAX(0,ROUND(BE197*(1+'Calc base'!S198),2)-U198-'Calc base'!AE198)</f>
        <v>0</v>
      </c>
      <c r="AH198">
        <f>IF('Calc base'!C$14=0,0,MIN(V198,MAX(0,$E198-SUMIFS($V198:$AG198,'Calc base'!$C$19:$N$19,"&lt;"&amp;'Calc base'!C$19,'Calc base'!$C$14:$N$14,1))))</f>
        <v>0</v>
      </c>
      <c r="AI198">
        <f>IF('Calc base'!D$14=0,0,MIN(W198,MAX(0,$E198-SUMIFS($V198:$AG198,'Calc base'!$C$19:$N$19,"&lt;"&amp;'Calc base'!D$19,'Calc base'!$C$14:$N$14,1))))</f>
        <v>0</v>
      </c>
      <c r="AJ198">
        <f>IF('Calc base'!E$14=0,0,MIN(X198,MAX(0,$E198-SUMIFS($V198:$AG198,'Calc base'!$C$19:$N$19,"&lt;"&amp;'Calc base'!E$19,'Calc base'!$C$14:$N$14,1))))</f>
        <v>0</v>
      </c>
      <c r="AK198">
        <f>IF('Calc base'!F$14=0,0,MIN(Y198,MAX(0,$E198-SUMIFS($V198:$AG198,'Calc base'!$C$19:$N$19,"&lt;"&amp;'Calc base'!F$19,'Calc base'!$C$14:$N$14,1))))</f>
        <v>0</v>
      </c>
      <c r="AL198">
        <f>IF('Calc base'!G$14=0,0,MIN(Z198,MAX(0,$E198-SUMIFS($V198:$AG198,'Calc base'!$C$19:$N$19,"&lt;"&amp;'Calc base'!G$19,'Calc base'!$C$14:$N$14,1))))</f>
        <v>0</v>
      </c>
      <c r="AM198">
        <f>IF('Calc base'!H$14=0,0,MIN(AA198,MAX(0,$E198-SUMIFS($V198:$AG198,'Calc base'!$C$19:$N$19,"&lt;"&amp;'Calc base'!H$19,'Calc base'!$C$14:$N$14,1))))</f>
        <v>0</v>
      </c>
      <c r="AN198">
        <f>IF('Calc base'!I$14=0,0,MIN(AB198,MAX(0,$E198-SUMIFS($V198:$AG198,'Calc base'!$C$19:$N$19,"&lt;"&amp;'Calc base'!I$19,'Calc base'!$C$14:$N$14,1))))</f>
        <v>0</v>
      </c>
      <c r="AO198">
        <f>IF('Calc base'!J$14=0,0,MIN(AC198,MAX(0,$E198-SUMIFS($V198:$AG198,'Calc base'!$C$19:$N$19,"&lt;"&amp;'Calc base'!J$19,'Calc base'!$C$14:$N$14,1))))</f>
        <v>0</v>
      </c>
      <c r="AP198">
        <f>IF('Calc base'!K$14=0,0,MIN(AD198,MAX(0,$E198-SUMIFS($V198:$AG198,'Calc base'!$C$19:$N$19,"&lt;"&amp;'Calc base'!K$19,'Calc base'!$C$14:$N$14,1))))</f>
        <v>0</v>
      </c>
      <c r="AQ198">
        <f>IF('Calc base'!L$14=0,0,MIN(AE198,MAX(0,$E198-SUMIFS($V198:$AG198,'Calc base'!$C$19:$N$19,"&lt;"&amp;'Calc base'!L$19,'Calc base'!$C$14:$N$14,1))))</f>
        <v>0</v>
      </c>
      <c r="AR198">
        <f>IF('Calc base'!M$14=0,0,MIN(AF198,MAX(0,$E198-SUMIFS($V198:$AG198,'Calc base'!$C$19:$N$19,"&lt;"&amp;'Calc base'!M$19,'Calc base'!$C$14:$N$14,1))))</f>
        <v>0</v>
      </c>
      <c r="AS198">
        <f>IF('Calc base'!N$14=0,0,MIN(AG198,MAX(0,$E198-SUMIFS($V198:$AG198,'Calc base'!$C$19:$N$19,"&lt;"&amp;'Calc base'!N$19,'Calc base'!$C$14:$N$14,1))))</f>
        <v>0</v>
      </c>
      <c r="AT198">
        <f>V198-AH198</f>
        <v>0</v>
      </c>
      <c r="AU198">
        <f>W198-AI198</f>
        <v>0</v>
      </c>
      <c r="AV198">
        <f>X198-AJ198</f>
        <v>0</v>
      </c>
      <c r="AW198">
        <f>Y198-AK198</f>
        <v>0</v>
      </c>
      <c r="AX198">
        <f>Z198-AL198</f>
        <v>0</v>
      </c>
      <c r="AY198">
        <f>AA198-AM198</f>
        <v>0</v>
      </c>
      <c r="AZ198">
        <f>AB198-AN198</f>
        <v>0</v>
      </c>
      <c r="BA198">
        <f>AC198-AO198</f>
        <v>0</v>
      </c>
      <c r="BB198">
        <f>AD198-AP198</f>
        <v>0</v>
      </c>
      <c r="BC198">
        <f>AE198-AQ198</f>
        <v>0</v>
      </c>
      <c r="BD198">
        <f>AF198-AR198</f>
        <v>0</v>
      </c>
      <c r="BE198">
        <f>AG198-AS198</f>
        <v>0</v>
      </c>
    </row>
    <row r="199">
      <c r="A199" t="n">
        <v>169</v>
      </c>
      <c r="B199">
        <f>SUMPRODUCT(ROUND($AT198:$BE198*(1+'Calc base'!$H199:$S199),2))</f>
        <v>0</v>
      </c>
      <c r="C199">
        <f>SUM(J199:U199)</f>
        <v>0</v>
      </c>
      <c r="D199">
        <f>SUM(V199:AG199)</f>
        <v>0</v>
      </c>
      <c r="E199">
        <f>MAX(0,IF(Impostazioni!$B$7="No",'Calc base'!$C199-$C$31,'Calc base'!$C199-C199)+'Calc base'!$G199+'Calc base'!$F199-(B199-C199-D199))</f>
        <v>900</v>
      </c>
      <c r="F199">
        <f>SUM(AH199:AS199)</f>
        <v>0</v>
      </c>
      <c r="G199">
        <f>SUM(AT199:BE199)</f>
        <v>0</v>
      </c>
      <c r="H199">
        <f>B199-G198</f>
        <v>0</v>
      </c>
      <c r="I199">
        <f>B199-G199</f>
        <v>0</v>
      </c>
      <c r="J199">
        <f>IF(AT198&lt;=0,0,IF(ROUND(AT198*(1+'Calc base'!H199),2)-MAX('Calc base'!C$12,ROUND('Calc base'!C$13*AT198,2))&lt;1,ROUND(AT198*(1+'Calc base'!H199),2),MAX('Calc base'!C$12,ROUND('Calc base'!C$13*AT198,2))))</f>
        <v>0</v>
      </c>
      <c r="K199">
        <f>IF(AU198&lt;=0,0,IF(ROUND(AU198*(1+'Calc base'!I199),2)-MAX('Calc base'!D$12,ROUND('Calc base'!D$13*AU198,2))&lt;1,ROUND(AU198*(1+'Calc base'!I199),2),MAX('Calc base'!D$12,ROUND('Calc base'!D$13*AU198,2))))</f>
        <v>0</v>
      </c>
      <c r="L199">
        <f>IF(AV198&lt;=0,0,IF(ROUND(AV198*(1+'Calc base'!J199),2)-MAX('Calc base'!E$12,ROUND('Calc base'!E$13*AV198,2))&lt;1,ROUND(AV198*(1+'Calc base'!J199),2),MAX('Calc base'!E$12,ROUND('Calc base'!E$13*AV198,2))))</f>
        <v>0</v>
      </c>
      <c r="M199">
        <f>IF(AW198&lt;=0,0,IF(ROUND(AW198*(1+'Calc base'!K199),2)-MAX('Calc base'!F$12,ROUND('Calc base'!F$13*AW198,2))&lt;1,ROUND(AW198*(1+'Calc base'!K199),2),MAX('Calc base'!F$12,ROUND('Calc base'!F$13*AW198,2))))</f>
        <v>0</v>
      </c>
      <c r="N199">
        <f>IF(AX198&lt;=0,0,IF(ROUND(AX198*(1+'Calc base'!L199),2)-MAX('Calc base'!G$12,ROUND('Calc base'!G$13*AX198,2))&lt;1,ROUND(AX198*(1+'Calc base'!L199),2),MAX('Calc base'!G$12,ROUND('Calc base'!G$13*AX198,2))))</f>
        <v>0</v>
      </c>
      <c r="O199">
        <f>IF(AY198&lt;=0,0,IF(ROUND(AY198*(1+'Calc base'!M199),2)-MAX('Calc base'!H$12,ROUND('Calc base'!H$13*AY198,2))&lt;1,ROUND(AY198*(1+'Calc base'!M199),2),MAX('Calc base'!H$12,ROUND('Calc base'!H$13*AY198,2))))</f>
        <v>0</v>
      </c>
      <c r="P199">
        <f>IF(AZ198&lt;=0,0,IF(ROUND(AZ198*(1+'Calc base'!N199),2)-MAX('Calc base'!I$12,ROUND('Calc base'!I$13*AZ198,2))&lt;1,ROUND(AZ198*(1+'Calc base'!N199),2),MAX('Calc base'!I$12,ROUND('Calc base'!I$13*AZ198,2))))</f>
        <v>0</v>
      </c>
      <c r="Q199">
        <f>IF(BA198&lt;=0,0,IF(ROUND(BA198*(1+'Calc base'!O199),2)-MAX('Calc base'!J$12,ROUND('Calc base'!J$13*BA198,2))&lt;1,ROUND(BA198*(1+'Calc base'!O199),2),MAX('Calc base'!J$12,ROUND('Calc base'!J$13*BA198,2))))</f>
        <v>0</v>
      </c>
      <c r="R199">
        <f>IF(BB198&lt;=0,0,IF(ROUND(BB198*(1+'Calc base'!P199),2)-MAX('Calc base'!K$12,ROUND('Calc base'!K$13*BB198,2))&lt;1,ROUND(BB198*(1+'Calc base'!P199),2),MAX('Calc base'!K$12,ROUND('Calc base'!K$13*BB198,2))))</f>
        <v>0</v>
      </c>
      <c r="S199">
        <f>IF(BC198&lt;=0,0,IF(ROUND(BC198*(1+'Calc base'!Q199),2)-MAX('Calc base'!L$12,ROUND('Calc base'!L$13*BC198,2))&lt;1,ROUND(BC198*(1+'Calc base'!Q199),2),MAX('Calc base'!L$12,ROUND('Calc base'!L$13*BC198,2))))</f>
        <v>0</v>
      </c>
      <c r="T199">
        <f>IF(BD198&lt;=0,0,IF(ROUND(BD198*(1+'Calc base'!R199),2)-MAX('Calc base'!M$12,ROUND('Calc base'!M$13*BD198,2))&lt;1,ROUND(BD198*(1+'Calc base'!R199),2),MAX('Calc base'!M$12,ROUND('Calc base'!M$13*BD198,2))))</f>
        <v>0</v>
      </c>
      <c r="U199">
        <f>IF(BE198&lt;=0,0,IF(ROUND(BE198*(1+'Calc base'!S199),2)-MAX('Calc base'!N$12,ROUND('Calc base'!N$13*BE198,2))&lt;1,ROUND(BE198*(1+'Calc base'!S199),2),MAX('Calc base'!N$12,ROUND('Calc base'!N$13*BE198,2))))</f>
        <v>0</v>
      </c>
      <c r="V199">
        <f>MAX(0,ROUND(AT198*(1+'Calc base'!H199),2)-J199-'Calc base'!T199)</f>
        <v>0</v>
      </c>
      <c r="W199">
        <f>MAX(0,ROUND(AU198*(1+'Calc base'!I199),2)-K199-'Calc base'!U199)</f>
        <v>0</v>
      </c>
      <c r="X199">
        <f>MAX(0,ROUND(AV198*(1+'Calc base'!J199),2)-L199-'Calc base'!V199)</f>
        <v>0</v>
      </c>
      <c r="Y199">
        <f>MAX(0,ROUND(AW198*(1+'Calc base'!K199),2)-M199-'Calc base'!W199)</f>
        <v>0</v>
      </c>
      <c r="Z199">
        <f>MAX(0,ROUND(AX198*(1+'Calc base'!L199),2)-N199-'Calc base'!X199)</f>
        <v>0</v>
      </c>
      <c r="AA199">
        <f>MAX(0,ROUND(AY198*(1+'Calc base'!M199),2)-O199-'Calc base'!Y199)</f>
        <v>0</v>
      </c>
      <c r="AB199">
        <f>MAX(0,ROUND(AZ198*(1+'Calc base'!N199),2)-P199-'Calc base'!Z199)</f>
        <v>0</v>
      </c>
      <c r="AC199">
        <f>MAX(0,ROUND(BA198*(1+'Calc base'!O199),2)-Q199-'Calc base'!AA199)</f>
        <v>0</v>
      </c>
      <c r="AD199">
        <f>MAX(0,ROUND(BB198*(1+'Calc base'!P199),2)-R199-'Calc base'!AB199)</f>
        <v>0</v>
      </c>
      <c r="AE199">
        <f>MAX(0,ROUND(BC198*(1+'Calc base'!Q199),2)-S199-'Calc base'!AC199)</f>
        <v>0</v>
      </c>
      <c r="AF199">
        <f>MAX(0,ROUND(BD198*(1+'Calc base'!R199),2)-T199-'Calc base'!AD199)</f>
        <v>0</v>
      </c>
      <c r="AG199">
        <f>MAX(0,ROUND(BE198*(1+'Calc base'!S199),2)-U199-'Calc base'!AE199)</f>
        <v>0</v>
      </c>
      <c r="AH199">
        <f>IF('Calc base'!C$14=0,0,MIN(V199,MAX(0,$E199-SUMIFS($V199:$AG199,'Calc base'!$C$19:$N$19,"&lt;"&amp;'Calc base'!C$19,'Calc base'!$C$14:$N$14,1))))</f>
        <v>0</v>
      </c>
      <c r="AI199">
        <f>IF('Calc base'!D$14=0,0,MIN(W199,MAX(0,$E199-SUMIFS($V199:$AG199,'Calc base'!$C$19:$N$19,"&lt;"&amp;'Calc base'!D$19,'Calc base'!$C$14:$N$14,1))))</f>
        <v>0</v>
      </c>
      <c r="AJ199">
        <f>IF('Calc base'!E$14=0,0,MIN(X199,MAX(0,$E199-SUMIFS($V199:$AG199,'Calc base'!$C$19:$N$19,"&lt;"&amp;'Calc base'!E$19,'Calc base'!$C$14:$N$14,1))))</f>
        <v>0</v>
      </c>
      <c r="AK199">
        <f>IF('Calc base'!F$14=0,0,MIN(Y199,MAX(0,$E199-SUMIFS($V199:$AG199,'Calc base'!$C$19:$N$19,"&lt;"&amp;'Calc base'!F$19,'Calc base'!$C$14:$N$14,1))))</f>
        <v>0</v>
      </c>
      <c r="AL199">
        <f>IF('Calc base'!G$14=0,0,MIN(Z199,MAX(0,$E199-SUMIFS($V199:$AG199,'Calc base'!$C$19:$N$19,"&lt;"&amp;'Calc base'!G$19,'Calc base'!$C$14:$N$14,1))))</f>
        <v>0</v>
      </c>
      <c r="AM199">
        <f>IF('Calc base'!H$14=0,0,MIN(AA199,MAX(0,$E199-SUMIFS($V199:$AG199,'Calc base'!$C$19:$N$19,"&lt;"&amp;'Calc base'!H$19,'Calc base'!$C$14:$N$14,1))))</f>
        <v>0</v>
      </c>
      <c r="AN199">
        <f>IF('Calc base'!I$14=0,0,MIN(AB199,MAX(0,$E199-SUMIFS($V199:$AG199,'Calc base'!$C$19:$N$19,"&lt;"&amp;'Calc base'!I$19,'Calc base'!$C$14:$N$14,1))))</f>
        <v>0</v>
      </c>
      <c r="AO199">
        <f>IF('Calc base'!J$14=0,0,MIN(AC199,MAX(0,$E199-SUMIFS($V199:$AG199,'Calc base'!$C$19:$N$19,"&lt;"&amp;'Calc base'!J$19,'Calc base'!$C$14:$N$14,1))))</f>
        <v>0</v>
      </c>
      <c r="AP199">
        <f>IF('Calc base'!K$14=0,0,MIN(AD199,MAX(0,$E199-SUMIFS($V199:$AG199,'Calc base'!$C$19:$N$19,"&lt;"&amp;'Calc base'!K$19,'Calc base'!$C$14:$N$14,1))))</f>
        <v>0</v>
      </c>
      <c r="AQ199">
        <f>IF('Calc base'!L$14=0,0,MIN(AE199,MAX(0,$E199-SUMIFS($V199:$AG199,'Calc base'!$C$19:$N$19,"&lt;"&amp;'Calc base'!L$19,'Calc base'!$C$14:$N$14,1))))</f>
        <v>0</v>
      </c>
      <c r="AR199">
        <f>IF('Calc base'!M$14=0,0,MIN(AF199,MAX(0,$E199-SUMIFS($V199:$AG199,'Calc base'!$C$19:$N$19,"&lt;"&amp;'Calc base'!M$19,'Calc base'!$C$14:$N$14,1))))</f>
        <v>0</v>
      </c>
      <c r="AS199">
        <f>IF('Calc base'!N$14=0,0,MIN(AG199,MAX(0,$E199-SUMIFS($V199:$AG199,'Calc base'!$C$19:$N$19,"&lt;"&amp;'Calc base'!N$19,'Calc base'!$C$14:$N$14,1))))</f>
        <v>0</v>
      </c>
      <c r="AT199">
        <f>V199-AH199</f>
        <v>0</v>
      </c>
      <c r="AU199">
        <f>W199-AI199</f>
        <v>0</v>
      </c>
      <c r="AV199">
        <f>X199-AJ199</f>
        <v>0</v>
      </c>
      <c r="AW199">
        <f>Y199-AK199</f>
        <v>0</v>
      </c>
      <c r="AX199">
        <f>Z199-AL199</f>
        <v>0</v>
      </c>
      <c r="AY199">
        <f>AA199-AM199</f>
        <v>0</v>
      </c>
      <c r="AZ199">
        <f>AB199-AN199</f>
        <v>0</v>
      </c>
      <c r="BA199">
        <f>AC199-AO199</f>
        <v>0</v>
      </c>
      <c r="BB199">
        <f>AD199-AP199</f>
        <v>0</v>
      </c>
      <c r="BC199">
        <f>AE199-AQ199</f>
        <v>0</v>
      </c>
      <c r="BD199">
        <f>AF199-AR199</f>
        <v>0</v>
      </c>
      <c r="BE199">
        <f>AG199-AS199</f>
        <v>0</v>
      </c>
    </row>
    <row r="200">
      <c r="A200" t="n">
        <v>170</v>
      </c>
      <c r="B200">
        <f>SUMPRODUCT(ROUND($AT199:$BE199*(1+'Calc base'!$H200:$S200),2))</f>
        <v>0</v>
      </c>
      <c r="C200">
        <f>SUM(J200:U200)</f>
        <v>0</v>
      </c>
      <c r="D200">
        <f>SUM(V200:AG200)</f>
        <v>0</v>
      </c>
      <c r="E200">
        <f>MAX(0,IF(Impostazioni!$B$7="No",'Calc base'!$C200-$C$31,'Calc base'!$C200-C200)+'Calc base'!$G200+'Calc base'!$F200-(B200-C200-D200))</f>
        <v>900</v>
      </c>
      <c r="F200">
        <f>SUM(AH200:AS200)</f>
        <v>0</v>
      </c>
      <c r="G200">
        <f>SUM(AT200:BE200)</f>
        <v>0</v>
      </c>
      <c r="H200">
        <f>B200-G199</f>
        <v>0</v>
      </c>
      <c r="I200">
        <f>B200-G200</f>
        <v>0</v>
      </c>
      <c r="J200">
        <f>IF(AT199&lt;=0,0,IF(ROUND(AT199*(1+'Calc base'!H200),2)-MAX('Calc base'!C$12,ROUND('Calc base'!C$13*AT199,2))&lt;1,ROUND(AT199*(1+'Calc base'!H200),2),MAX('Calc base'!C$12,ROUND('Calc base'!C$13*AT199,2))))</f>
        <v>0</v>
      </c>
      <c r="K200">
        <f>IF(AU199&lt;=0,0,IF(ROUND(AU199*(1+'Calc base'!I200),2)-MAX('Calc base'!D$12,ROUND('Calc base'!D$13*AU199,2))&lt;1,ROUND(AU199*(1+'Calc base'!I200),2),MAX('Calc base'!D$12,ROUND('Calc base'!D$13*AU199,2))))</f>
        <v>0</v>
      </c>
      <c r="L200">
        <f>IF(AV199&lt;=0,0,IF(ROUND(AV199*(1+'Calc base'!J200),2)-MAX('Calc base'!E$12,ROUND('Calc base'!E$13*AV199,2))&lt;1,ROUND(AV199*(1+'Calc base'!J200),2),MAX('Calc base'!E$12,ROUND('Calc base'!E$13*AV199,2))))</f>
        <v>0</v>
      </c>
      <c r="M200">
        <f>IF(AW199&lt;=0,0,IF(ROUND(AW199*(1+'Calc base'!K200),2)-MAX('Calc base'!F$12,ROUND('Calc base'!F$13*AW199,2))&lt;1,ROUND(AW199*(1+'Calc base'!K200),2),MAX('Calc base'!F$12,ROUND('Calc base'!F$13*AW199,2))))</f>
        <v>0</v>
      </c>
      <c r="N200">
        <f>IF(AX199&lt;=0,0,IF(ROUND(AX199*(1+'Calc base'!L200),2)-MAX('Calc base'!G$12,ROUND('Calc base'!G$13*AX199,2))&lt;1,ROUND(AX199*(1+'Calc base'!L200),2),MAX('Calc base'!G$12,ROUND('Calc base'!G$13*AX199,2))))</f>
        <v>0</v>
      </c>
      <c r="O200">
        <f>IF(AY199&lt;=0,0,IF(ROUND(AY199*(1+'Calc base'!M200),2)-MAX('Calc base'!H$12,ROUND('Calc base'!H$13*AY199,2))&lt;1,ROUND(AY199*(1+'Calc base'!M200),2),MAX('Calc base'!H$12,ROUND('Calc base'!H$13*AY199,2))))</f>
        <v>0</v>
      </c>
      <c r="P200">
        <f>IF(AZ199&lt;=0,0,IF(ROUND(AZ199*(1+'Calc base'!N200),2)-MAX('Calc base'!I$12,ROUND('Calc base'!I$13*AZ199,2))&lt;1,ROUND(AZ199*(1+'Calc base'!N200),2),MAX('Calc base'!I$12,ROUND('Calc base'!I$13*AZ199,2))))</f>
        <v>0</v>
      </c>
      <c r="Q200">
        <f>IF(BA199&lt;=0,0,IF(ROUND(BA199*(1+'Calc base'!O200),2)-MAX('Calc base'!J$12,ROUND('Calc base'!J$13*BA199,2))&lt;1,ROUND(BA199*(1+'Calc base'!O200),2),MAX('Calc base'!J$12,ROUND('Calc base'!J$13*BA199,2))))</f>
        <v>0</v>
      </c>
      <c r="R200">
        <f>IF(BB199&lt;=0,0,IF(ROUND(BB199*(1+'Calc base'!P200),2)-MAX('Calc base'!K$12,ROUND('Calc base'!K$13*BB199,2))&lt;1,ROUND(BB199*(1+'Calc base'!P200),2),MAX('Calc base'!K$12,ROUND('Calc base'!K$13*BB199,2))))</f>
        <v>0</v>
      </c>
      <c r="S200">
        <f>IF(BC199&lt;=0,0,IF(ROUND(BC199*(1+'Calc base'!Q200),2)-MAX('Calc base'!L$12,ROUND('Calc base'!L$13*BC199,2))&lt;1,ROUND(BC199*(1+'Calc base'!Q200),2),MAX('Calc base'!L$12,ROUND('Calc base'!L$13*BC199,2))))</f>
        <v>0</v>
      </c>
      <c r="T200">
        <f>IF(BD199&lt;=0,0,IF(ROUND(BD199*(1+'Calc base'!R200),2)-MAX('Calc base'!M$12,ROUND('Calc base'!M$13*BD199,2))&lt;1,ROUND(BD199*(1+'Calc base'!R200),2),MAX('Calc base'!M$12,ROUND('Calc base'!M$13*BD199,2))))</f>
        <v>0</v>
      </c>
      <c r="U200">
        <f>IF(BE199&lt;=0,0,IF(ROUND(BE199*(1+'Calc base'!S200),2)-MAX('Calc base'!N$12,ROUND('Calc base'!N$13*BE199,2))&lt;1,ROUND(BE199*(1+'Calc base'!S200),2),MAX('Calc base'!N$12,ROUND('Calc base'!N$13*BE199,2))))</f>
        <v>0</v>
      </c>
      <c r="V200">
        <f>MAX(0,ROUND(AT199*(1+'Calc base'!H200),2)-J200-'Calc base'!T200)</f>
        <v>0</v>
      </c>
      <c r="W200">
        <f>MAX(0,ROUND(AU199*(1+'Calc base'!I200),2)-K200-'Calc base'!U200)</f>
        <v>0</v>
      </c>
      <c r="X200">
        <f>MAX(0,ROUND(AV199*(1+'Calc base'!J200),2)-L200-'Calc base'!V200)</f>
        <v>0</v>
      </c>
      <c r="Y200">
        <f>MAX(0,ROUND(AW199*(1+'Calc base'!K200),2)-M200-'Calc base'!W200)</f>
        <v>0</v>
      </c>
      <c r="Z200">
        <f>MAX(0,ROUND(AX199*(1+'Calc base'!L200),2)-N200-'Calc base'!X200)</f>
        <v>0</v>
      </c>
      <c r="AA200">
        <f>MAX(0,ROUND(AY199*(1+'Calc base'!M200),2)-O200-'Calc base'!Y200)</f>
        <v>0</v>
      </c>
      <c r="AB200">
        <f>MAX(0,ROUND(AZ199*(1+'Calc base'!N200),2)-P200-'Calc base'!Z200)</f>
        <v>0</v>
      </c>
      <c r="AC200">
        <f>MAX(0,ROUND(BA199*(1+'Calc base'!O200),2)-Q200-'Calc base'!AA200)</f>
        <v>0</v>
      </c>
      <c r="AD200">
        <f>MAX(0,ROUND(BB199*(1+'Calc base'!P200),2)-R200-'Calc base'!AB200)</f>
        <v>0</v>
      </c>
      <c r="AE200">
        <f>MAX(0,ROUND(BC199*(1+'Calc base'!Q200),2)-S200-'Calc base'!AC200)</f>
        <v>0</v>
      </c>
      <c r="AF200">
        <f>MAX(0,ROUND(BD199*(1+'Calc base'!R200),2)-T200-'Calc base'!AD200)</f>
        <v>0</v>
      </c>
      <c r="AG200">
        <f>MAX(0,ROUND(BE199*(1+'Calc base'!S200),2)-U200-'Calc base'!AE200)</f>
        <v>0</v>
      </c>
      <c r="AH200">
        <f>IF('Calc base'!C$14=0,0,MIN(V200,MAX(0,$E200-SUMIFS($V200:$AG200,'Calc base'!$C$19:$N$19,"&lt;"&amp;'Calc base'!C$19,'Calc base'!$C$14:$N$14,1))))</f>
        <v>0</v>
      </c>
      <c r="AI200">
        <f>IF('Calc base'!D$14=0,0,MIN(W200,MAX(0,$E200-SUMIFS($V200:$AG200,'Calc base'!$C$19:$N$19,"&lt;"&amp;'Calc base'!D$19,'Calc base'!$C$14:$N$14,1))))</f>
        <v>0</v>
      </c>
      <c r="AJ200">
        <f>IF('Calc base'!E$14=0,0,MIN(X200,MAX(0,$E200-SUMIFS($V200:$AG200,'Calc base'!$C$19:$N$19,"&lt;"&amp;'Calc base'!E$19,'Calc base'!$C$14:$N$14,1))))</f>
        <v>0</v>
      </c>
      <c r="AK200">
        <f>IF('Calc base'!F$14=0,0,MIN(Y200,MAX(0,$E200-SUMIFS($V200:$AG200,'Calc base'!$C$19:$N$19,"&lt;"&amp;'Calc base'!F$19,'Calc base'!$C$14:$N$14,1))))</f>
        <v>0</v>
      </c>
      <c r="AL200">
        <f>IF('Calc base'!G$14=0,0,MIN(Z200,MAX(0,$E200-SUMIFS($V200:$AG200,'Calc base'!$C$19:$N$19,"&lt;"&amp;'Calc base'!G$19,'Calc base'!$C$14:$N$14,1))))</f>
        <v>0</v>
      </c>
      <c r="AM200">
        <f>IF('Calc base'!H$14=0,0,MIN(AA200,MAX(0,$E200-SUMIFS($V200:$AG200,'Calc base'!$C$19:$N$19,"&lt;"&amp;'Calc base'!H$19,'Calc base'!$C$14:$N$14,1))))</f>
        <v>0</v>
      </c>
      <c r="AN200">
        <f>IF('Calc base'!I$14=0,0,MIN(AB200,MAX(0,$E200-SUMIFS($V200:$AG200,'Calc base'!$C$19:$N$19,"&lt;"&amp;'Calc base'!I$19,'Calc base'!$C$14:$N$14,1))))</f>
        <v>0</v>
      </c>
      <c r="AO200">
        <f>IF('Calc base'!J$14=0,0,MIN(AC200,MAX(0,$E200-SUMIFS($V200:$AG200,'Calc base'!$C$19:$N$19,"&lt;"&amp;'Calc base'!J$19,'Calc base'!$C$14:$N$14,1))))</f>
        <v>0</v>
      </c>
      <c r="AP200">
        <f>IF('Calc base'!K$14=0,0,MIN(AD200,MAX(0,$E200-SUMIFS($V200:$AG200,'Calc base'!$C$19:$N$19,"&lt;"&amp;'Calc base'!K$19,'Calc base'!$C$14:$N$14,1))))</f>
        <v>0</v>
      </c>
      <c r="AQ200">
        <f>IF('Calc base'!L$14=0,0,MIN(AE200,MAX(0,$E200-SUMIFS($V200:$AG200,'Calc base'!$C$19:$N$19,"&lt;"&amp;'Calc base'!L$19,'Calc base'!$C$14:$N$14,1))))</f>
        <v>0</v>
      </c>
      <c r="AR200">
        <f>IF('Calc base'!M$14=0,0,MIN(AF200,MAX(0,$E200-SUMIFS($V200:$AG200,'Calc base'!$C$19:$N$19,"&lt;"&amp;'Calc base'!M$19,'Calc base'!$C$14:$N$14,1))))</f>
        <v>0</v>
      </c>
      <c r="AS200">
        <f>IF('Calc base'!N$14=0,0,MIN(AG200,MAX(0,$E200-SUMIFS($V200:$AG200,'Calc base'!$C$19:$N$19,"&lt;"&amp;'Calc base'!N$19,'Calc base'!$C$14:$N$14,1))))</f>
        <v>0</v>
      </c>
      <c r="AT200">
        <f>V200-AH200</f>
        <v>0</v>
      </c>
      <c r="AU200">
        <f>W200-AI200</f>
        <v>0</v>
      </c>
      <c r="AV200">
        <f>X200-AJ200</f>
        <v>0</v>
      </c>
      <c r="AW200">
        <f>Y200-AK200</f>
        <v>0</v>
      </c>
      <c r="AX200">
        <f>Z200-AL200</f>
        <v>0</v>
      </c>
      <c r="AY200">
        <f>AA200-AM200</f>
        <v>0</v>
      </c>
      <c r="AZ200">
        <f>AB200-AN200</f>
        <v>0</v>
      </c>
      <c r="BA200">
        <f>AC200-AO200</f>
        <v>0</v>
      </c>
      <c r="BB200">
        <f>AD200-AP200</f>
        <v>0</v>
      </c>
      <c r="BC200">
        <f>AE200-AQ200</f>
        <v>0</v>
      </c>
      <c r="BD200">
        <f>AF200-AR200</f>
        <v>0</v>
      </c>
      <c r="BE200">
        <f>AG200-AS200</f>
        <v>0</v>
      </c>
    </row>
    <row r="201">
      <c r="A201" t="n">
        <v>171</v>
      </c>
      <c r="B201">
        <f>SUMPRODUCT(ROUND($AT200:$BE200*(1+'Calc base'!$H201:$S201),2))</f>
        <v>0</v>
      </c>
      <c r="C201">
        <f>SUM(J201:U201)</f>
        <v>0</v>
      </c>
      <c r="D201">
        <f>SUM(V201:AG201)</f>
        <v>0</v>
      </c>
      <c r="E201">
        <f>MAX(0,IF(Impostazioni!$B$7="No",'Calc base'!$C201-$C$31,'Calc base'!$C201-C201)+'Calc base'!$G201+'Calc base'!$F201-(B201-C201-D201))</f>
        <v>900</v>
      </c>
      <c r="F201">
        <f>SUM(AH201:AS201)</f>
        <v>0</v>
      </c>
      <c r="G201">
        <f>SUM(AT201:BE201)</f>
        <v>0</v>
      </c>
      <c r="H201">
        <f>B201-G200</f>
        <v>0</v>
      </c>
      <c r="I201">
        <f>B201-G201</f>
        <v>0</v>
      </c>
      <c r="J201">
        <f>IF(AT200&lt;=0,0,IF(ROUND(AT200*(1+'Calc base'!H201),2)-MAX('Calc base'!C$12,ROUND('Calc base'!C$13*AT200,2))&lt;1,ROUND(AT200*(1+'Calc base'!H201),2),MAX('Calc base'!C$12,ROUND('Calc base'!C$13*AT200,2))))</f>
        <v>0</v>
      </c>
      <c r="K201">
        <f>IF(AU200&lt;=0,0,IF(ROUND(AU200*(1+'Calc base'!I201),2)-MAX('Calc base'!D$12,ROUND('Calc base'!D$13*AU200,2))&lt;1,ROUND(AU200*(1+'Calc base'!I201),2),MAX('Calc base'!D$12,ROUND('Calc base'!D$13*AU200,2))))</f>
        <v>0</v>
      </c>
      <c r="L201">
        <f>IF(AV200&lt;=0,0,IF(ROUND(AV200*(1+'Calc base'!J201),2)-MAX('Calc base'!E$12,ROUND('Calc base'!E$13*AV200,2))&lt;1,ROUND(AV200*(1+'Calc base'!J201),2),MAX('Calc base'!E$12,ROUND('Calc base'!E$13*AV200,2))))</f>
        <v>0</v>
      </c>
      <c r="M201">
        <f>IF(AW200&lt;=0,0,IF(ROUND(AW200*(1+'Calc base'!K201),2)-MAX('Calc base'!F$12,ROUND('Calc base'!F$13*AW200,2))&lt;1,ROUND(AW200*(1+'Calc base'!K201),2),MAX('Calc base'!F$12,ROUND('Calc base'!F$13*AW200,2))))</f>
        <v>0</v>
      </c>
      <c r="N201">
        <f>IF(AX200&lt;=0,0,IF(ROUND(AX200*(1+'Calc base'!L201),2)-MAX('Calc base'!G$12,ROUND('Calc base'!G$13*AX200,2))&lt;1,ROUND(AX200*(1+'Calc base'!L201),2),MAX('Calc base'!G$12,ROUND('Calc base'!G$13*AX200,2))))</f>
        <v>0</v>
      </c>
      <c r="O201">
        <f>IF(AY200&lt;=0,0,IF(ROUND(AY200*(1+'Calc base'!M201),2)-MAX('Calc base'!H$12,ROUND('Calc base'!H$13*AY200,2))&lt;1,ROUND(AY200*(1+'Calc base'!M201),2),MAX('Calc base'!H$12,ROUND('Calc base'!H$13*AY200,2))))</f>
        <v>0</v>
      </c>
      <c r="P201">
        <f>IF(AZ200&lt;=0,0,IF(ROUND(AZ200*(1+'Calc base'!N201),2)-MAX('Calc base'!I$12,ROUND('Calc base'!I$13*AZ200,2))&lt;1,ROUND(AZ200*(1+'Calc base'!N201),2),MAX('Calc base'!I$12,ROUND('Calc base'!I$13*AZ200,2))))</f>
        <v>0</v>
      </c>
      <c r="Q201">
        <f>IF(BA200&lt;=0,0,IF(ROUND(BA200*(1+'Calc base'!O201),2)-MAX('Calc base'!J$12,ROUND('Calc base'!J$13*BA200,2))&lt;1,ROUND(BA200*(1+'Calc base'!O201),2),MAX('Calc base'!J$12,ROUND('Calc base'!J$13*BA200,2))))</f>
        <v>0</v>
      </c>
      <c r="R201">
        <f>IF(BB200&lt;=0,0,IF(ROUND(BB200*(1+'Calc base'!P201),2)-MAX('Calc base'!K$12,ROUND('Calc base'!K$13*BB200,2))&lt;1,ROUND(BB200*(1+'Calc base'!P201),2),MAX('Calc base'!K$12,ROUND('Calc base'!K$13*BB200,2))))</f>
        <v>0</v>
      </c>
      <c r="S201">
        <f>IF(BC200&lt;=0,0,IF(ROUND(BC200*(1+'Calc base'!Q201),2)-MAX('Calc base'!L$12,ROUND('Calc base'!L$13*BC200,2))&lt;1,ROUND(BC200*(1+'Calc base'!Q201),2),MAX('Calc base'!L$12,ROUND('Calc base'!L$13*BC200,2))))</f>
        <v>0</v>
      </c>
      <c r="T201">
        <f>IF(BD200&lt;=0,0,IF(ROUND(BD200*(1+'Calc base'!R201),2)-MAX('Calc base'!M$12,ROUND('Calc base'!M$13*BD200,2))&lt;1,ROUND(BD200*(1+'Calc base'!R201),2),MAX('Calc base'!M$12,ROUND('Calc base'!M$13*BD200,2))))</f>
        <v>0</v>
      </c>
      <c r="U201">
        <f>IF(BE200&lt;=0,0,IF(ROUND(BE200*(1+'Calc base'!S201),2)-MAX('Calc base'!N$12,ROUND('Calc base'!N$13*BE200,2))&lt;1,ROUND(BE200*(1+'Calc base'!S201),2),MAX('Calc base'!N$12,ROUND('Calc base'!N$13*BE200,2))))</f>
        <v>0</v>
      </c>
      <c r="V201">
        <f>MAX(0,ROUND(AT200*(1+'Calc base'!H201),2)-J201-'Calc base'!T201)</f>
        <v>0</v>
      </c>
      <c r="W201">
        <f>MAX(0,ROUND(AU200*(1+'Calc base'!I201),2)-K201-'Calc base'!U201)</f>
        <v>0</v>
      </c>
      <c r="X201">
        <f>MAX(0,ROUND(AV200*(1+'Calc base'!J201),2)-L201-'Calc base'!V201)</f>
        <v>0</v>
      </c>
      <c r="Y201">
        <f>MAX(0,ROUND(AW200*(1+'Calc base'!K201),2)-M201-'Calc base'!W201)</f>
        <v>0</v>
      </c>
      <c r="Z201">
        <f>MAX(0,ROUND(AX200*(1+'Calc base'!L201),2)-N201-'Calc base'!X201)</f>
        <v>0</v>
      </c>
      <c r="AA201">
        <f>MAX(0,ROUND(AY200*(1+'Calc base'!M201),2)-O201-'Calc base'!Y201)</f>
        <v>0</v>
      </c>
      <c r="AB201">
        <f>MAX(0,ROUND(AZ200*(1+'Calc base'!N201),2)-P201-'Calc base'!Z201)</f>
        <v>0</v>
      </c>
      <c r="AC201">
        <f>MAX(0,ROUND(BA200*(1+'Calc base'!O201),2)-Q201-'Calc base'!AA201)</f>
        <v>0</v>
      </c>
      <c r="AD201">
        <f>MAX(0,ROUND(BB200*(1+'Calc base'!P201),2)-R201-'Calc base'!AB201)</f>
        <v>0</v>
      </c>
      <c r="AE201">
        <f>MAX(0,ROUND(BC200*(1+'Calc base'!Q201),2)-S201-'Calc base'!AC201)</f>
        <v>0</v>
      </c>
      <c r="AF201">
        <f>MAX(0,ROUND(BD200*(1+'Calc base'!R201),2)-T201-'Calc base'!AD201)</f>
        <v>0</v>
      </c>
      <c r="AG201">
        <f>MAX(0,ROUND(BE200*(1+'Calc base'!S201),2)-U201-'Calc base'!AE201)</f>
        <v>0</v>
      </c>
      <c r="AH201">
        <f>IF('Calc base'!C$14=0,0,MIN(V201,MAX(0,$E201-SUMIFS($V201:$AG201,'Calc base'!$C$19:$N$19,"&lt;"&amp;'Calc base'!C$19,'Calc base'!$C$14:$N$14,1))))</f>
        <v>0</v>
      </c>
      <c r="AI201">
        <f>IF('Calc base'!D$14=0,0,MIN(W201,MAX(0,$E201-SUMIFS($V201:$AG201,'Calc base'!$C$19:$N$19,"&lt;"&amp;'Calc base'!D$19,'Calc base'!$C$14:$N$14,1))))</f>
        <v>0</v>
      </c>
      <c r="AJ201">
        <f>IF('Calc base'!E$14=0,0,MIN(X201,MAX(0,$E201-SUMIFS($V201:$AG201,'Calc base'!$C$19:$N$19,"&lt;"&amp;'Calc base'!E$19,'Calc base'!$C$14:$N$14,1))))</f>
        <v>0</v>
      </c>
      <c r="AK201">
        <f>IF('Calc base'!F$14=0,0,MIN(Y201,MAX(0,$E201-SUMIFS($V201:$AG201,'Calc base'!$C$19:$N$19,"&lt;"&amp;'Calc base'!F$19,'Calc base'!$C$14:$N$14,1))))</f>
        <v>0</v>
      </c>
      <c r="AL201">
        <f>IF('Calc base'!G$14=0,0,MIN(Z201,MAX(0,$E201-SUMIFS($V201:$AG201,'Calc base'!$C$19:$N$19,"&lt;"&amp;'Calc base'!G$19,'Calc base'!$C$14:$N$14,1))))</f>
        <v>0</v>
      </c>
      <c r="AM201">
        <f>IF('Calc base'!H$14=0,0,MIN(AA201,MAX(0,$E201-SUMIFS($V201:$AG201,'Calc base'!$C$19:$N$19,"&lt;"&amp;'Calc base'!H$19,'Calc base'!$C$14:$N$14,1))))</f>
        <v>0</v>
      </c>
      <c r="AN201">
        <f>IF('Calc base'!I$14=0,0,MIN(AB201,MAX(0,$E201-SUMIFS($V201:$AG201,'Calc base'!$C$19:$N$19,"&lt;"&amp;'Calc base'!I$19,'Calc base'!$C$14:$N$14,1))))</f>
        <v>0</v>
      </c>
      <c r="AO201">
        <f>IF('Calc base'!J$14=0,0,MIN(AC201,MAX(0,$E201-SUMIFS($V201:$AG201,'Calc base'!$C$19:$N$19,"&lt;"&amp;'Calc base'!J$19,'Calc base'!$C$14:$N$14,1))))</f>
        <v>0</v>
      </c>
      <c r="AP201">
        <f>IF('Calc base'!K$14=0,0,MIN(AD201,MAX(0,$E201-SUMIFS($V201:$AG201,'Calc base'!$C$19:$N$19,"&lt;"&amp;'Calc base'!K$19,'Calc base'!$C$14:$N$14,1))))</f>
        <v>0</v>
      </c>
      <c r="AQ201">
        <f>IF('Calc base'!L$14=0,0,MIN(AE201,MAX(0,$E201-SUMIFS($V201:$AG201,'Calc base'!$C$19:$N$19,"&lt;"&amp;'Calc base'!L$19,'Calc base'!$C$14:$N$14,1))))</f>
        <v>0</v>
      </c>
      <c r="AR201">
        <f>IF('Calc base'!M$14=0,0,MIN(AF201,MAX(0,$E201-SUMIFS($V201:$AG201,'Calc base'!$C$19:$N$19,"&lt;"&amp;'Calc base'!M$19,'Calc base'!$C$14:$N$14,1))))</f>
        <v>0</v>
      </c>
      <c r="AS201">
        <f>IF('Calc base'!N$14=0,0,MIN(AG201,MAX(0,$E201-SUMIFS($V201:$AG201,'Calc base'!$C$19:$N$19,"&lt;"&amp;'Calc base'!N$19,'Calc base'!$C$14:$N$14,1))))</f>
        <v>0</v>
      </c>
      <c r="AT201">
        <f>V201-AH201</f>
        <v>0</v>
      </c>
      <c r="AU201">
        <f>W201-AI201</f>
        <v>0</v>
      </c>
      <c r="AV201">
        <f>X201-AJ201</f>
        <v>0</v>
      </c>
      <c r="AW201">
        <f>Y201-AK201</f>
        <v>0</v>
      </c>
      <c r="AX201">
        <f>Z201-AL201</f>
        <v>0</v>
      </c>
      <c r="AY201">
        <f>AA201-AM201</f>
        <v>0</v>
      </c>
      <c r="AZ201">
        <f>AB201-AN201</f>
        <v>0</v>
      </c>
      <c r="BA201">
        <f>AC201-AO201</f>
        <v>0</v>
      </c>
      <c r="BB201">
        <f>AD201-AP201</f>
        <v>0</v>
      </c>
      <c r="BC201">
        <f>AE201-AQ201</f>
        <v>0</v>
      </c>
      <c r="BD201">
        <f>AF201-AR201</f>
        <v>0</v>
      </c>
      <c r="BE201">
        <f>AG201-AS201</f>
        <v>0</v>
      </c>
    </row>
    <row r="202">
      <c r="A202" t="n">
        <v>172</v>
      </c>
      <c r="B202">
        <f>SUMPRODUCT(ROUND($AT201:$BE201*(1+'Calc base'!$H202:$S202),2))</f>
        <v>0</v>
      </c>
      <c r="C202">
        <f>SUM(J202:U202)</f>
        <v>0</v>
      </c>
      <c r="D202">
        <f>SUM(V202:AG202)</f>
        <v>0</v>
      </c>
      <c r="E202">
        <f>MAX(0,IF(Impostazioni!$B$7="No",'Calc base'!$C202-$C$31,'Calc base'!$C202-C202)+'Calc base'!$G202+'Calc base'!$F202-(B202-C202-D202))</f>
        <v>900</v>
      </c>
      <c r="F202">
        <f>SUM(AH202:AS202)</f>
        <v>0</v>
      </c>
      <c r="G202">
        <f>SUM(AT202:BE202)</f>
        <v>0</v>
      </c>
      <c r="H202">
        <f>B202-G201</f>
        <v>0</v>
      </c>
      <c r="I202">
        <f>B202-G202</f>
        <v>0</v>
      </c>
      <c r="J202">
        <f>IF(AT201&lt;=0,0,IF(ROUND(AT201*(1+'Calc base'!H202),2)-MAX('Calc base'!C$12,ROUND('Calc base'!C$13*AT201,2))&lt;1,ROUND(AT201*(1+'Calc base'!H202),2),MAX('Calc base'!C$12,ROUND('Calc base'!C$13*AT201,2))))</f>
        <v>0</v>
      </c>
      <c r="K202">
        <f>IF(AU201&lt;=0,0,IF(ROUND(AU201*(1+'Calc base'!I202),2)-MAX('Calc base'!D$12,ROUND('Calc base'!D$13*AU201,2))&lt;1,ROUND(AU201*(1+'Calc base'!I202),2),MAX('Calc base'!D$12,ROUND('Calc base'!D$13*AU201,2))))</f>
        <v>0</v>
      </c>
      <c r="L202">
        <f>IF(AV201&lt;=0,0,IF(ROUND(AV201*(1+'Calc base'!J202),2)-MAX('Calc base'!E$12,ROUND('Calc base'!E$13*AV201,2))&lt;1,ROUND(AV201*(1+'Calc base'!J202),2),MAX('Calc base'!E$12,ROUND('Calc base'!E$13*AV201,2))))</f>
        <v>0</v>
      </c>
      <c r="M202">
        <f>IF(AW201&lt;=0,0,IF(ROUND(AW201*(1+'Calc base'!K202),2)-MAX('Calc base'!F$12,ROUND('Calc base'!F$13*AW201,2))&lt;1,ROUND(AW201*(1+'Calc base'!K202),2),MAX('Calc base'!F$12,ROUND('Calc base'!F$13*AW201,2))))</f>
        <v>0</v>
      </c>
      <c r="N202">
        <f>IF(AX201&lt;=0,0,IF(ROUND(AX201*(1+'Calc base'!L202),2)-MAX('Calc base'!G$12,ROUND('Calc base'!G$13*AX201,2))&lt;1,ROUND(AX201*(1+'Calc base'!L202),2),MAX('Calc base'!G$12,ROUND('Calc base'!G$13*AX201,2))))</f>
        <v>0</v>
      </c>
      <c r="O202">
        <f>IF(AY201&lt;=0,0,IF(ROUND(AY201*(1+'Calc base'!M202),2)-MAX('Calc base'!H$12,ROUND('Calc base'!H$13*AY201,2))&lt;1,ROUND(AY201*(1+'Calc base'!M202),2),MAX('Calc base'!H$12,ROUND('Calc base'!H$13*AY201,2))))</f>
        <v>0</v>
      </c>
      <c r="P202">
        <f>IF(AZ201&lt;=0,0,IF(ROUND(AZ201*(1+'Calc base'!N202),2)-MAX('Calc base'!I$12,ROUND('Calc base'!I$13*AZ201,2))&lt;1,ROUND(AZ201*(1+'Calc base'!N202),2),MAX('Calc base'!I$12,ROUND('Calc base'!I$13*AZ201,2))))</f>
        <v>0</v>
      </c>
      <c r="Q202">
        <f>IF(BA201&lt;=0,0,IF(ROUND(BA201*(1+'Calc base'!O202),2)-MAX('Calc base'!J$12,ROUND('Calc base'!J$13*BA201,2))&lt;1,ROUND(BA201*(1+'Calc base'!O202),2),MAX('Calc base'!J$12,ROUND('Calc base'!J$13*BA201,2))))</f>
        <v>0</v>
      </c>
      <c r="R202">
        <f>IF(BB201&lt;=0,0,IF(ROUND(BB201*(1+'Calc base'!P202),2)-MAX('Calc base'!K$12,ROUND('Calc base'!K$13*BB201,2))&lt;1,ROUND(BB201*(1+'Calc base'!P202),2),MAX('Calc base'!K$12,ROUND('Calc base'!K$13*BB201,2))))</f>
        <v>0</v>
      </c>
      <c r="S202">
        <f>IF(BC201&lt;=0,0,IF(ROUND(BC201*(1+'Calc base'!Q202),2)-MAX('Calc base'!L$12,ROUND('Calc base'!L$13*BC201,2))&lt;1,ROUND(BC201*(1+'Calc base'!Q202),2),MAX('Calc base'!L$12,ROUND('Calc base'!L$13*BC201,2))))</f>
        <v>0</v>
      </c>
      <c r="T202">
        <f>IF(BD201&lt;=0,0,IF(ROUND(BD201*(1+'Calc base'!R202),2)-MAX('Calc base'!M$12,ROUND('Calc base'!M$13*BD201,2))&lt;1,ROUND(BD201*(1+'Calc base'!R202),2),MAX('Calc base'!M$12,ROUND('Calc base'!M$13*BD201,2))))</f>
        <v>0</v>
      </c>
      <c r="U202">
        <f>IF(BE201&lt;=0,0,IF(ROUND(BE201*(1+'Calc base'!S202),2)-MAX('Calc base'!N$12,ROUND('Calc base'!N$13*BE201,2))&lt;1,ROUND(BE201*(1+'Calc base'!S202),2),MAX('Calc base'!N$12,ROUND('Calc base'!N$13*BE201,2))))</f>
        <v>0</v>
      </c>
      <c r="V202">
        <f>MAX(0,ROUND(AT201*(1+'Calc base'!H202),2)-J202-'Calc base'!T202)</f>
        <v>0</v>
      </c>
      <c r="W202">
        <f>MAX(0,ROUND(AU201*(1+'Calc base'!I202),2)-K202-'Calc base'!U202)</f>
        <v>0</v>
      </c>
      <c r="X202">
        <f>MAX(0,ROUND(AV201*(1+'Calc base'!J202),2)-L202-'Calc base'!V202)</f>
        <v>0</v>
      </c>
      <c r="Y202">
        <f>MAX(0,ROUND(AW201*(1+'Calc base'!K202),2)-M202-'Calc base'!W202)</f>
        <v>0</v>
      </c>
      <c r="Z202">
        <f>MAX(0,ROUND(AX201*(1+'Calc base'!L202),2)-N202-'Calc base'!X202)</f>
        <v>0</v>
      </c>
      <c r="AA202">
        <f>MAX(0,ROUND(AY201*(1+'Calc base'!M202),2)-O202-'Calc base'!Y202)</f>
        <v>0</v>
      </c>
      <c r="AB202">
        <f>MAX(0,ROUND(AZ201*(1+'Calc base'!N202),2)-P202-'Calc base'!Z202)</f>
        <v>0</v>
      </c>
      <c r="AC202">
        <f>MAX(0,ROUND(BA201*(1+'Calc base'!O202),2)-Q202-'Calc base'!AA202)</f>
        <v>0</v>
      </c>
      <c r="AD202">
        <f>MAX(0,ROUND(BB201*(1+'Calc base'!P202),2)-R202-'Calc base'!AB202)</f>
        <v>0</v>
      </c>
      <c r="AE202">
        <f>MAX(0,ROUND(BC201*(1+'Calc base'!Q202),2)-S202-'Calc base'!AC202)</f>
        <v>0</v>
      </c>
      <c r="AF202">
        <f>MAX(0,ROUND(BD201*(1+'Calc base'!R202),2)-T202-'Calc base'!AD202)</f>
        <v>0</v>
      </c>
      <c r="AG202">
        <f>MAX(0,ROUND(BE201*(1+'Calc base'!S202),2)-U202-'Calc base'!AE202)</f>
        <v>0</v>
      </c>
      <c r="AH202">
        <f>IF('Calc base'!C$14=0,0,MIN(V202,MAX(0,$E202-SUMIFS($V202:$AG202,'Calc base'!$C$19:$N$19,"&lt;"&amp;'Calc base'!C$19,'Calc base'!$C$14:$N$14,1))))</f>
        <v>0</v>
      </c>
      <c r="AI202">
        <f>IF('Calc base'!D$14=0,0,MIN(W202,MAX(0,$E202-SUMIFS($V202:$AG202,'Calc base'!$C$19:$N$19,"&lt;"&amp;'Calc base'!D$19,'Calc base'!$C$14:$N$14,1))))</f>
        <v>0</v>
      </c>
      <c r="AJ202">
        <f>IF('Calc base'!E$14=0,0,MIN(X202,MAX(0,$E202-SUMIFS($V202:$AG202,'Calc base'!$C$19:$N$19,"&lt;"&amp;'Calc base'!E$19,'Calc base'!$C$14:$N$14,1))))</f>
        <v>0</v>
      </c>
      <c r="AK202">
        <f>IF('Calc base'!F$14=0,0,MIN(Y202,MAX(0,$E202-SUMIFS($V202:$AG202,'Calc base'!$C$19:$N$19,"&lt;"&amp;'Calc base'!F$19,'Calc base'!$C$14:$N$14,1))))</f>
        <v>0</v>
      </c>
      <c r="AL202">
        <f>IF('Calc base'!G$14=0,0,MIN(Z202,MAX(0,$E202-SUMIFS($V202:$AG202,'Calc base'!$C$19:$N$19,"&lt;"&amp;'Calc base'!G$19,'Calc base'!$C$14:$N$14,1))))</f>
        <v>0</v>
      </c>
      <c r="AM202">
        <f>IF('Calc base'!H$14=0,0,MIN(AA202,MAX(0,$E202-SUMIFS($V202:$AG202,'Calc base'!$C$19:$N$19,"&lt;"&amp;'Calc base'!H$19,'Calc base'!$C$14:$N$14,1))))</f>
        <v>0</v>
      </c>
      <c r="AN202">
        <f>IF('Calc base'!I$14=0,0,MIN(AB202,MAX(0,$E202-SUMIFS($V202:$AG202,'Calc base'!$C$19:$N$19,"&lt;"&amp;'Calc base'!I$19,'Calc base'!$C$14:$N$14,1))))</f>
        <v>0</v>
      </c>
      <c r="AO202">
        <f>IF('Calc base'!J$14=0,0,MIN(AC202,MAX(0,$E202-SUMIFS($V202:$AG202,'Calc base'!$C$19:$N$19,"&lt;"&amp;'Calc base'!J$19,'Calc base'!$C$14:$N$14,1))))</f>
        <v>0</v>
      </c>
      <c r="AP202">
        <f>IF('Calc base'!K$14=0,0,MIN(AD202,MAX(0,$E202-SUMIFS($V202:$AG202,'Calc base'!$C$19:$N$19,"&lt;"&amp;'Calc base'!K$19,'Calc base'!$C$14:$N$14,1))))</f>
        <v>0</v>
      </c>
      <c r="AQ202">
        <f>IF('Calc base'!L$14=0,0,MIN(AE202,MAX(0,$E202-SUMIFS($V202:$AG202,'Calc base'!$C$19:$N$19,"&lt;"&amp;'Calc base'!L$19,'Calc base'!$C$14:$N$14,1))))</f>
        <v>0</v>
      </c>
      <c r="AR202">
        <f>IF('Calc base'!M$14=0,0,MIN(AF202,MAX(0,$E202-SUMIFS($V202:$AG202,'Calc base'!$C$19:$N$19,"&lt;"&amp;'Calc base'!M$19,'Calc base'!$C$14:$N$14,1))))</f>
        <v>0</v>
      </c>
      <c r="AS202">
        <f>IF('Calc base'!N$14=0,0,MIN(AG202,MAX(0,$E202-SUMIFS($V202:$AG202,'Calc base'!$C$19:$N$19,"&lt;"&amp;'Calc base'!N$19,'Calc base'!$C$14:$N$14,1))))</f>
        <v>0</v>
      </c>
      <c r="AT202">
        <f>V202-AH202</f>
        <v>0</v>
      </c>
      <c r="AU202">
        <f>W202-AI202</f>
        <v>0</v>
      </c>
      <c r="AV202">
        <f>X202-AJ202</f>
        <v>0</v>
      </c>
      <c r="AW202">
        <f>Y202-AK202</f>
        <v>0</v>
      </c>
      <c r="AX202">
        <f>Z202-AL202</f>
        <v>0</v>
      </c>
      <c r="AY202">
        <f>AA202-AM202</f>
        <v>0</v>
      </c>
      <c r="AZ202">
        <f>AB202-AN202</f>
        <v>0</v>
      </c>
      <c r="BA202">
        <f>AC202-AO202</f>
        <v>0</v>
      </c>
      <c r="BB202">
        <f>AD202-AP202</f>
        <v>0</v>
      </c>
      <c r="BC202">
        <f>AE202-AQ202</f>
        <v>0</v>
      </c>
      <c r="BD202">
        <f>AF202-AR202</f>
        <v>0</v>
      </c>
      <c r="BE202">
        <f>AG202-AS202</f>
        <v>0</v>
      </c>
    </row>
    <row r="203">
      <c r="A203" t="n">
        <v>173</v>
      </c>
      <c r="B203">
        <f>SUMPRODUCT(ROUND($AT202:$BE202*(1+'Calc base'!$H203:$S203),2))</f>
        <v>0</v>
      </c>
      <c r="C203">
        <f>SUM(J203:U203)</f>
        <v>0</v>
      </c>
      <c r="D203">
        <f>SUM(V203:AG203)</f>
        <v>0</v>
      </c>
      <c r="E203">
        <f>MAX(0,IF(Impostazioni!$B$7="No",'Calc base'!$C203-$C$31,'Calc base'!$C203-C203)+'Calc base'!$G203+'Calc base'!$F203-(B203-C203-D203))</f>
        <v>900</v>
      </c>
      <c r="F203">
        <f>SUM(AH203:AS203)</f>
        <v>0</v>
      </c>
      <c r="G203">
        <f>SUM(AT203:BE203)</f>
        <v>0</v>
      </c>
      <c r="H203">
        <f>B203-G202</f>
        <v>0</v>
      </c>
      <c r="I203">
        <f>B203-G203</f>
        <v>0</v>
      </c>
      <c r="J203">
        <f>IF(AT202&lt;=0,0,IF(ROUND(AT202*(1+'Calc base'!H203),2)-MAX('Calc base'!C$12,ROUND('Calc base'!C$13*AT202,2))&lt;1,ROUND(AT202*(1+'Calc base'!H203),2),MAX('Calc base'!C$12,ROUND('Calc base'!C$13*AT202,2))))</f>
        <v>0</v>
      </c>
      <c r="K203">
        <f>IF(AU202&lt;=0,0,IF(ROUND(AU202*(1+'Calc base'!I203),2)-MAX('Calc base'!D$12,ROUND('Calc base'!D$13*AU202,2))&lt;1,ROUND(AU202*(1+'Calc base'!I203),2),MAX('Calc base'!D$12,ROUND('Calc base'!D$13*AU202,2))))</f>
        <v>0</v>
      </c>
      <c r="L203">
        <f>IF(AV202&lt;=0,0,IF(ROUND(AV202*(1+'Calc base'!J203),2)-MAX('Calc base'!E$12,ROUND('Calc base'!E$13*AV202,2))&lt;1,ROUND(AV202*(1+'Calc base'!J203),2),MAX('Calc base'!E$12,ROUND('Calc base'!E$13*AV202,2))))</f>
        <v>0</v>
      </c>
      <c r="M203">
        <f>IF(AW202&lt;=0,0,IF(ROUND(AW202*(1+'Calc base'!K203),2)-MAX('Calc base'!F$12,ROUND('Calc base'!F$13*AW202,2))&lt;1,ROUND(AW202*(1+'Calc base'!K203),2),MAX('Calc base'!F$12,ROUND('Calc base'!F$13*AW202,2))))</f>
        <v>0</v>
      </c>
      <c r="N203">
        <f>IF(AX202&lt;=0,0,IF(ROUND(AX202*(1+'Calc base'!L203),2)-MAX('Calc base'!G$12,ROUND('Calc base'!G$13*AX202,2))&lt;1,ROUND(AX202*(1+'Calc base'!L203),2),MAX('Calc base'!G$12,ROUND('Calc base'!G$13*AX202,2))))</f>
        <v>0</v>
      </c>
      <c r="O203">
        <f>IF(AY202&lt;=0,0,IF(ROUND(AY202*(1+'Calc base'!M203),2)-MAX('Calc base'!H$12,ROUND('Calc base'!H$13*AY202,2))&lt;1,ROUND(AY202*(1+'Calc base'!M203),2),MAX('Calc base'!H$12,ROUND('Calc base'!H$13*AY202,2))))</f>
        <v>0</v>
      </c>
      <c r="P203">
        <f>IF(AZ202&lt;=0,0,IF(ROUND(AZ202*(1+'Calc base'!N203),2)-MAX('Calc base'!I$12,ROUND('Calc base'!I$13*AZ202,2))&lt;1,ROUND(AZ202*(1+'Calc base'!N203),2),MAX('Calc base'!I$12,ROUND('Calc base'!I$13*AZ202,2))))</f>
        <v>0</v>
      </c>
      <c r="Q203">
        <f>IF(BA202&lt;=0,0,IF(ROUND(BA202*(1+'Calc base'!O203),2)-MAX('Calc base'!J$12,ROUND('Calc base'!J$13*BA202,2))&lt;1,ROUND(BA202*(1+'Calc base'!O203),2),MAX('Calc base'!J$12,ROUND('Calc base'!J$13*BA202,2))))</f>
        <v>0</v>
      </c>
      <c r="R203">
        <f>IF(BB202&lt;=0,0,IF(ROUND(BB202*(1+'Calc base'!P203),2)-MAX('Calc base'!K$12,ROUND('Calc base'!K$13*BB202,2))&lt;1,ROUND(BB202*(1+'Calc base'!P203),2),MAX('Calc base'!K$12,ROUND('Calc base'!K$13*BB202,2))))</f>
        <v>0</v>
      </c>
      <c r="S203">
        <f>IF(BC202&lt;=0,0,IF(ROUND(BC202*(1+'Calc base'!Q203),2)-MAX('Calc base'!L$12,ROUND('Calc base'!L$13*BC202,2))&lt;1,ROUND(BC202*(1+'Calc base'!Q203),2),MAX('Calc base'!L$12,ROUND('Calc base'!L$13*BC202,2))))</f>
        <v>0</v>
      </c>
      <c r="T203">
        <f>IF(BD202&lt;=0,0,IF(ROUND(BD202*(1+'Calc base'!R203),2)-MAX('Calc base'!M$12,ROUND('Calc base'!M$13*BD202,2))&lt;1,ROUND(BD202*(1+'Calc base'!R203),2),MAX('Calc base'!M$12,ROUND('Calc base'!M$13*BD202,2))))</f>
        <v>0</v>
      </c>
      <c r="U203">
        <f>IF(BE202&lt;=0,0,IF(ROUND(BE202*(1+'Calc base'!S203),2)-MAX('Calc base'!N$12,ROUND('Calc base'!N$13*BE202,2))&lt;1,ROUND(BE202*(1+'Calc base'!S203),2),MAX('Calc base'!N$12,ROUND('Calc base'!N$13*BE202,2))))</f>
        <v>0</v>
      </c>
      <c r="V203">
        <f>MAX(0,ROUND(AT202*(1+'Calc base'!H203),2)-J203-'Calc base'!T203)</f>
        <v>0</v>
      </c>
      <c r="W203">
        <f>MAX(0,ROUND(AU202*(1+'Calc base'!I203),2)-K203-'Calc base'!U203)</f>
        <v>0</v>
      </c>
      <c r="X203">
        <f>MAX(0,ROUND(AV202*(1+'Calc base'!J203),2)-L203-'Calc base'!V203)</f>
        <v>0</v>
      </c>
      <c r="Y203">
        <f>MAX(0,ROUND(AW202*(1+'Calc base'!K203),2)-M203-'Calc base'!W203)</f>
        <v>0</v>
      </c>
      <c r="Z203">
        <f>MAX(0,ROUND(AX202*(1+'Calc base'!L203),2)-N203-'Calc base'!X203)</f>
        <v>0</v>
      </c>
      <c r="AA203">
        <f>MAX(0,ROUND(AY202*(1+'Calc base'!M203),2)-O203-'Calc base'!Y203)</f>
        <v>0</v>
      </c>
      <c r="AB203">
        <f>MAX(0,ROUND(AZ202*(1+'Calc base'!N203),2)-P203-'Calc base'!Z203)</f>
        <v>0</v>
      </c>
      <c r="AC203">
        <f>MAX(0,ROUND(BA202*(1+'Calc base'!O203),2)-Q203-'Calc base'!AA203)</f>
        <v>0</v>
      </c>
      <c r="AD203">
        <f>MAX(0,ROUND(BB202*(1+'Calc base'!P203),2)-R203-'Calc base'!AB203)</f>
        <v>0</v>
      </c>
      <c r="AE203">
        <f>MAX(0,ROUND(BC202*(1+'Calc base'!Q203),2)-S203-'Calc base'!AC203)</f>
        <v>0</v>
      </c>
      <c r="AF203">
        <f>MAX(0,ROUND(BD202*(1+'Calc base'!R203),2)-T203-'Calc base'!AD203)</f>
        <v>0</v>
      </c>
      <c r="AG203">
        <f>MAX(0,ROUND(BE202*(1+'Calc base'!S203),2)-U203-'Calc base'!AE203)</f>
        <v>0</v>
      </c>
      <c r="AH203">
        <f>IF('Calc base'!C$14=0,0,MIN(V203,MAX(0,$E203-SUMIFS($V203:$AG203,'Calc base'!$C$19:$N$19,"&lt;"&amp;'Calc base'!C$19,'Calc base'!$C$14:$N$14,1))))</f>
        <v>0</v>
      </c>
      <c r="AI203">
        <f>IF('Calc base'!D$14=0,0,MIN(W203,MAX(0,$E203-SUMIFS($V203:$AG203,'Calc base'!$C$19:$N$19,"&lt;"&amp;'Calc base'!D$19,'Calc base'!$C$14:$N$14,1))))</f>
        <v>0</v>
      </c>
      <c r="AJ203">
        <f>IF('Calc base'!E$14=0,0,MIN(X203,MAX(0,$E203-SUMIFS($V203:$AG203,'Calc base'!$C$19:$N$19,"&lt;"&amp;'Calc base'!E$19,'Calc base'!$C$14:$N$14,1))))</f>
        <v>0</v>
      </c>
      <c r="AK203">
        <f>IF('Calc base'!F$14=0,0,MIN(Y203,MAX(0,$E203-SUMIFS($V203:$AG203,'Calc base'!$C$19:$N$19,"&lt;"&amp;'Calc base'!F$19,'Calc base'!$C$14:$N$14,1))))</f>
        <v>0</v>
      </c>
      <c r="AL203">
        <f>IF('Calc base'!G$14=0,0,MIN(Z203,MAX(0,$E203-SUMIFS($V203:$AG203,'Calc base'!$C$19:$N$19,"&lt;"&amp;'Calc base'!G$19,'Calc base'!$C$14:$N$14,1))))</f>
        <v>0</v>
      </c>
      <c r="AM203">
        <f>IF('Calc base'!H$14=0,0,MIN(AA203,MAX(0,$E203-SUMIFS($V203:$AG203,'Calc base'!$C$19:$N$19,"&lt;"&amp;'Calc base'!H$19,'Calc base'!$C$14:$N$14,1))))</f>
        <v>0</v>
      </c>
      <c r="AN203">
        <f>IF('Calc base'!I$14=0,0,MIN(AB203,MAX(0,$E203-SUMIFS($V203:$AG203,'Calc base'!$C$19:$N$19,"&lt;"&amp;'Calc base'!I$19,'Calc base'!$C$14:$N$14,1))))</f>
        <v>0</v>
      </c>
      <c r="AO203">
        <f>IF('Calc base'!J$14=0,0,MIN(AC203,MAX(0,$E203-SUMIFS($V203:$AG203,'Calc base'!$C$19:$N$19,"&lt;"&amp;'Calc base'!J$19,'Calc base'!$C$14:$N$14,1))))</f>
        <v>0</v>
      </c>
      <c r="AP203">
        <f>IF('Calc base'!K$14=0,0,MIN(AD203,MAX(0,$E203-SUMIFS($V203:$AG203,'Calc base'!$C$19:$N$19,"&lt;"&amp;'Calc base'!K$19,'Calc base'!$C$14:$N$14,1))))</f>
        <v>0</v>
      </c>
      <c r="AQ203">
        <f>IF('Calc base'!L$14=0,0,MIN(AE203,MAX(0,$E203-SUMIFS($V203:$AG203,'Calc base'!$C$19:$N$19,"&lt;"&amp;'Calc base'!L$19,'Calc base'!$C$14:$N$14,1))))</f>
        <v>0</v>
      </c>
      <c r="AR203">
        <f>IF('Calc base'!M$14=0,0,MIN(AF203,MAX(0,$E203-SUMIFS($V203:$AG203,'Calc base'!$C$19:$N$19,"&lt;"&amp;'Calc base'!M$19,'Calc base'!$C$14:$N$14,1))))</f>
        <v>0</v>
      </c>
      <c r="AS203">
        <f>IF('Calc base'!N$14=0,0,MIN(AG203,MAX(0,$E203-SUMIFS($V203:$AG203,'Calc base'!$C$19:$N$19,"&lt;"&amp;'Calc base'!N$19,'Calc base'!$C$14:$N$14,1))))</f>
        <v>0</v>
      </c>
      <c r="AT203">
        <f>V203-AH203</f>
        <v>0</v>
      </c>
      <c r="AU203">
        <f>W203-AI203</f>
        <v>0</v>
      </c>
      <c r="AV203">
        <f>X203-AJ203</f>
        <v>0</v>
      </c>
      <c r="AW203">
        <f>Y203-AK203</f>
        <v>0</v>
      </c>
      <c r="AX203">
        <f>Z203-AL203</f>
        <v>0</v>
      </c>
      <c r="AY203">
        <f>AA203-AM203</f>
        <v>0</v>
      </c>
      <c r="AZ203">
        <f>AB203-AN203</f>
        <v>0</v>
      </c>
      <c r="BA203">
        <f>AC203-AO203</f>
        <v>0</v>
      </c>
      <c r="BB203">
        <f>AD203-AP203</f>
        <v>0</v>
      </c>
      <c r="BC203">
        <f>AE203-AQ203</f>
        <v>0</v>
      </c>
      <c r="BD203">
        <f>AF203-AR203</f>
        <v>0</v>
      </c>
      <c r="BE203">
        <f>AG203-AS203</f>
        <v>0</v>
      </c>
    </row>
    <row r="204">
      <c r="A204" t="n">
        <v>174</v>
      </c>
      <c r="B204">
        <f>SUMPRODUCT(ROUND($AT203:$BE203*(1+'Calc base'!$H204:$S204),2))</f>
        <v>0</v>
      </c>
      <c r="C204">
        <f>SUM(J204:U204)</f>
        <v>0</v>
      </c>
      <c r="D204">
        <f>SUM(V204:AG204)</f>
        <v>0</v>
      </c>
      <c r="E204">
        <f>MAX(0,IF(Impostazioni!$B$7="No",'Calc base'!$C204-$C$31,'Calc base'!$C204-C204)+'Calc base'!$G204+'Calc base'!$F204-(B204-C204-D204))</f>
        <v>900</v>
      </c>
      <c r="F204">
        <f>SUM(AH204:AS204)</f>
        <v>0</v>
      </c>
      <c r="G204">
        <f>SUM(AT204:BE204)</f>
        <v>0</v>
      </c>
      <c r="H204">
        <f>B204-G203</f>
        <v>0</v>
      </c>
      <c r="I204">
        <f>B204-G204</f>
        <v>0</v>
      </c>
      <c r="J204">
        <f>IF(AT203&lt;=0,0,IF(ROUND(AT203*(1+'Calc base'!H204),2)-MAX('Calc base'!C$12,ROUND('Calc base'!C$13*AT203,2))&lt;1,ROUND(AT203*(1+'Calc base'!H204),2),MAX('Calc base'!C$12,ROUND('Calc base'!C$13*AT203,2))))</f>
        <v>0</v>
      </c>
      <c r="K204">
        <f>IF(AU203&lt;=0,0,IF(ROUND(AU203*(1+'Calc base'!I204),2)-MAX('Calc base'!D$12,ROUND('Calc base'!D$13*AU203,2))&lt;1,ROUND(AU203*(1+'Calc base'!I204),2),MAX('Calc base'!D$12,ROUND('Calc base'!D$13*AU203,2))))</f>
        <v>0</v>
      </c>
      <c r="L204">
        <f>IF(AV203&lt;=0,0,IF(ROUND(AV203*(1+'Calc base'!J204),2)-MAX('Calc base'!E$12,ROUND('Calc base'!E$13*AV203,2))&lt;1,ROUND(AV203*(1+'Calc base'!J204),2),MAX('Calc base'!E$12,ROUND('Calc base'!E$13*AV203,2))))</f>
        <v>0</v>
      </c>
      <c r="M204">
        <f>IF(AW203&lt;=0,0,IF(ROUND(AW203*(1+'Calc base'!K204),2)-MAX('Calc base'!F$12,ROUND('Calc base'!F$13*AW203,2))&lt;1,ROUND(AW203*(1+'Calc base'!K204),2),MAX('Calc base'!F$12,ROUND('Calc base'!F$13*AW203,2))))</f>
        <v>0</v>
      </c>
      <c r="N204">
        <f>IF(AX203&lt;=0,0,IF(ROUND(AX203*(1+'Calc base'!L204),2)-MAX('Calc base'!G$12,ROUND('Calc base'!G$13*AX203,2))&lt;1,ROUND(AX203*(1+'Calc base'!L204),2),MAX('Calc base'!G$12,ROUND('Calc base'!G$13*AX203,2))))</f>
        <v>0</v>
      </c>
      <c r="O204">
        <f>IF(AY203&lt;=0,0,IF(ROUND(AY203*(1+'Calc base'!M204),2)-MAX('Calc base'!H$12,ROUND('Calc base'!H$13*AY203,2))&lt;1,ROUND(AY203*(1+'Calc base'!M204),2),MAX('Calc base'!H$12,ROUND('Calc base'!H$13*AY203,2))))</f>
        <v>0</v>
      </c>
      <c r="P204">
        <f>IF(AZ203&lt;=0,0,IF(ROUND(AZ203*(1+'Calc base'!N204),2)-MAX('Calc base'!I$12,ROUND('Calc base'!I$13*AZ203,2))&lt;1,ROUND(AZ203*(1+'Calc base'!N204),2),MAX('Calc base'!I$12,ROUND('Calc base'!I$13*AZ203,2))))</f>
        <v>0</v>
      </c>
      <c r="Q204">
        <f>IF(BA203&lt;=0,0,IF(ROUND(BA203*(1+'Calc base'!O204),2)-MAX('Calc base'!J$12,ROUND('Calc base'!J$13*BA203,2))&lt;1,ROUND(BA203*(1+'Calc base'!O204),2),MAX('Calc base'!J$12,ROUND('Calc base'!J$13*BA203,2))))</f>
        <v>0</v>
      </c>
      <c r="R204">
        <f>IF(BB203&lt;=0,0,IF(ROUND(BB203*(1+'Calc base'!P204),2)-MAX('Calc base'!K$12,ROUND('Calc base'!K$13*BB203,2))&lt;1,ROUND(BB203*(1+'Calc base'!P204),2),MAX('Calc base'!K$12,ROUND('Calc base'!K$13*BB203,2))))</f>
        <v>0</v>
      </c>
      <c r="S204">
        <f>IF(BC203&lt;=0,0,IF(ROUND(BC203*(1+'Calc base'!Q204),2)-MAX('Calc base'!L$12,ROUND('Calc base'!L$13*BC203,2))&lt;1,ROUND(BC203*(1+'Calc base'!Q204),2),MAX('Calc base'!L$12,ROUND('Calc base'!L$13*BC203,2))))</f>
        <v>0</v>
      </c>
      <c r="T204">
        <f>IF(BD203&lt;=0,0,IF(ROUND(BD203*(1+'Calc base'!R204),2)-MAX('Calc base'!M$12,ROUND('Calc base'!M$13*BD203,2))&lt;1,ROUND(BD203*(1+'Calc base'!R204),2),MAX('Calc base'!M$12,ROUND('Calc base'!M$13*BD203,2))))</f>
        <v>0</v>
      </c>
      <c r="U204">
        <f>IF(BE203&lt;=0,0,IF(ROUND(BE203*(1+'Calc base'!S204),2)-MAX('Calc base'!N$12,ROUND('Calc base'!N$13*BE203,2))&lt;1,ROUND(BE203*(1+'Calc base'!S204),2),MAX('Calc base'!N$12,ROUND('Calc base'!N$13*BE203,2))))</f>
        <v>0</v>
      </c>
      <c r="V204">
        <f>MAX(0,ROUND(AT203*(1+'Calc base'!H204),2)-J204-'Calc base'!T204)</f>
        <v>0</v>
      </c>
      <c r="W204">
        <f>MAX(0,ROUND(AU203*(1+'Calc base'!I204),2)-K204-'Calc base'!U204)</f>
        <v>0</v>
      </c>
      <c r="X204">
        <f>MAX(0,ROUND(AV203*(1+'Calc base'!J204),2)-L204-'Calc base'!V204)</f>
        <v>0</v>
      </c>
      <c r="Y204">
        <f>MAX(0,ROUND(AW203*(1+'Calc base'!K204),2)-M204-'Calc base'!W204)</f>
        <v>0</v>
      </c>
      <c r="Z204">
        <f>MAX(0,ROUND(AX203*(1+'Calc base'!L204),2)-N204-'Calc base'!X204)</f>
        <v>0</v>
      </c>
      <c r="AA204">
        <f>MAX(0,ROUND(AY203*(1+'Calc base'!M204),2)-O204-'Calc base'!Y204)</f>
        <v>0</v>
      </c>
      <c r="AB204">
        <f>MAX(0,ROUND(AZ203*(1+'Calc base'!N204),2)-P204-'Calc base'!Z204)</f>
        <v>0</v>
      </c>
      <c r="AC204">
        <f>MAX(0,ROUND(BA203*(1+'Calc base'!O204),2)-Q204-'Calc base'!AA204)</f>
        <v>0</v>
      </c>
      <c r="AD204">
        <f>MAX(0,ROUND(BB203*(1+'Calc base'!P204),2)-R204-'Calc base'!AB204)</f>
        <v>0</v>
      </c>
      <c r="AE204">
        <f>MAX(0,ROUND(BC203*(1+'Calc base'!Q204),2)-S204-'Calc base'!AC204)</f>
        <v>0</v>
      </c>
      <c r="AF204">
        <f>MAX(0,ROUND(BD203*(1+'Calc base'!R204),2)-T204-'Calc base'!AD204)</f>
        <v>0</v>
      </c>
      <c r="AG204">
        <f>MAX(0,ROUND(BE203*(1+'Calc base'!S204),2)-U204-'Calc base'!AE204)</f>
        <v>0</v>
      </c>
      <c r="AH204">
        <f>IF('Calc base'!C$14=0,0,MIN(V204,MAX(0,$E204-SUMIFS($V204:$AG204,'Calc base'!$C$19:$N$19,"&lt;"&amp;'Calc base'!C$19,'Calc base'!$C$14:$N$14,1))))</f>
        <v>0</v>
      </c>
      <c r="AI204">
        <f>IF('Calc base'!D$14=0,0,MIN(W204,MAX(0,$E204-SUMIFS($V204:$AG204,'Calc base'!$C$19:$N$19,"&lt;"&amp;'Calc base'!D$19,'Calc base'!$C$14:$N$14,1))))</f>
        <v>0</v>
      </c>
      <c r="AJ204">
        <f>IF('Calc base'!E$14=0,0,MIN(X204,MAX(0,$E204-SUMIFS($V204:$AG204,'Calc base'!$C$19:$N$19,"&lt;"&amp;'Calc base'!E$19,'Calc base'!$C$14:$N$14,1))))</f>
        <v>0</v>
      </c>
      <c r="AK204">
        <f>IF('Calc base'!F$14=0,0,MIN(Y204,MAX(0,$E204-SUMIFS($V204:$AG204,'Calc base'!$C$19:$N$19,"&lt;"&amp;'Calc base'!F$19,'Calc base'!$C$14:$N$14,1))))</f>
        <v>0</v>
      </c>
      <c r="AL204">
        <f>IF('Calc base'!G$14=0,0,MIN(Z204,MAX(0,$E204-SUMIFS($V204:$AG204,'Calc base'!$C$19:$N$19,"&lt;"&amp;'Calc base'!G$19,'Calc base'!$C$14:$N$14,1))))</f>
        <v>0</v>
      </c>
      <c r="AM204">
        <f>IF('Calc base'!H$14=0,0,MIN(AA204,MAX(0,$E204-SUMIFS($V204:$AG204,'Calc base'!$C$19:$N$19,"&lt;"&amp;'Calc base'!H$19,'Calc base'!$C$14:$N$14,1))))</f>
        <v>0</v>
      </c>
      <c r="AN204">
        <f>IF('Calc base'!I$14=0,0,MIN(AB204,MAX(0,$E204-SUMIFS($V204:$AG204,'Calc base'!$C$19:$N$19,"&lt;"&amp;'Calc base'!I$19,'Calc base'!$C$14:$N$14,1))))</f>
        <v>0</v>
      </c>
      <c r="AO204">
        <f>IF('Calc base'!J$14=0,0,MIN(AC204,MAX(0,$E204-SUMIFS($V204:$AG204,'Calc base'!$C$19:$N$19,"&lt;"&amp;'Calc base'!J$19,'Calc base'!$C$14:$N$14,1))))</f>
        <v>0</v>
      </c>
      <c r="AP204">
        <f>IF('Calc base'!K$14=0,0,MIN(AD204,MAX(0,$E204-SUMIFS($V204:$AG204,'Calc base'!$C$19:$N$19,"&lt;"&amp;'Calc base'!K$19,'Calc base'!$C$14:$N$14,1))))</f>
        <v>0</v>
      </c>
      <c r="AQ204">
        <f>IF('Calc base'!L$14=0,0,MIN(AE204,MAX(0,$E204-SUMIFS($V204:$AG204,'Calc base'!$C$19:$N$19,"&lt;"&amp;'Calc base'!L$19,'Calc base'!$C$14:$N$14,1))))</f>
        <v>0</v>
      </c>
      <c r="AR204">
        <f>IF('Calc base'!M$14=0,0,MIN(AF204,MAX(0,$E204-SUMIFS($V204:$AG204,'Calc base'!$C$19:$N$19,"&lt;"&amp;'Calc base'!M$19,'Calc base'!$C$14:$N$14,1))))</f>
        <v>0</v>
      </c>
      <c r="AS204">
        <f>IF('Calc base'!N$14=0,0,MIN(AG204,MAX(0,$E204-SUMIFS($V204:$AG204,'Calc base'!$C$19:$N$19,"&lt;"&amp;'Calc base'!N$19,'Calc base'!$C$14:$N$14,1))))</f>
        <v>0</v>
      </c>
      <c r="AT204">
        <f>V204-AH204</f>
        <v>0</v>
      </c>
      <c r="AU204">
        <f>W204-AI204</f>
        <v>0</v>
      </c>
      <c r="AV204">
        <f>X204-AJ204</f>
        <v>0</v>
      </c>
      <c r="AW204">
        <f>Y204-AK204</f>
        <v>0</v>
      </c>
      <c r="AX204">
        <f>Z204-AL204</f>
        <v>0</v>
      </c>
      <c r="AY204">
        <f>AA204-AM204</f>
        <v>0</v>
      </c>
      <c r="AZ204">
        <f>AB204-AN204</f>
        <v>0</v>
      </c>
      <c r="BA204">
        <f>AC204-AO204</f>
        <v>0</v>
      </c>
      <c r="BB204">
        <f>AD204-AP204</f>
        <v>0</v>
      </c>
      <c r="BC204">
        <f>AE204-AQ204</f>
        <v>0</v>
      </c>
      <c r="BD204">
        <f>AF204-AR204</f>
        <v>0</v>
      </c>
      <c r="BE204">
        <f>AG204-AS204</f>
        <v>0</v>
      </c>
    </row>
    <row r="205">
      <c r="A205" t="n">
        <v>175</v>
      </c>
      <c r="B205">
        <f>SUMPRODUCT(ROUND($AT204:$BE204*(1+'Calc base'!$H205:$S205),2))</f>
        <v>0</v>
      </c>
      <c r="C205">
        <f>SUM(J205:U205)</f>
        <v>0</v>
      </c>
      <c r="D205">
        <f>SUM(V205:AG205)</f>
        <v>0</v>
      </c>
      <c r="E205">
        <f>MAX(0,IF(Impostazioni!$B$7="No",'Calc base'!$C205-$C$31,'Calc base'!$C205-C205)+'Calc base'!$G205+'Calc base'!$F205-(B205-C205-D205))</f>
        <v>900</v>
      </c>
      <c r="F205">
        <f>SUM(AH205:AS205)</f>
        <v>0</v>
      </c>
      <c r="G205">
        <f>SUM(AT205:BE205)</f>
        <v>0</v>
      </c>
      <c r="H205">
        <f>B205-G204</f>
        <v>0</v>
      </c>
      <c r="I205">
        <f>B205-G205</f>
        <v>0</v>
      </c>
      <c r="J205">
        <f>IF(AT204&lt;=0,0,IF(ROUND(AT204*(1+'Calc base'!H205),2)-MAX('Calc base'!C$12,ROUND('Calc base'!C$13*AT204,2))&lt;1,ROUND(AT204*(1+'Calc base'!H205),2),MAX('Calc base'!C$12,ROUND('Calc base'!C$13*AT204,2))))</f>
        <v>0</v>
      </c>
      <c r="K205">
        <f>IF(AU204&lt;=0,0,IF(ROUND(AU204*(1+'Calc base'!I205),2)-MAX('Calc base'!D$12,ROUND('Calc base'!D$13*AU204,2))&lt;1,ROUND(AU204*(1+'Calc base'!I205),2),MAX('Calc base'!D$12,ROUND('Calc base'!D$13*AU204,2))))</f>
        <v>0</v>
      </c>
      <c r="L205">
        <f>IF(AV204&lt;=0,0,IF(ROUND(AV204*(1+'Calc base'!J205),2)-MAX('Calc base'!E$12,ROUND('Calc base'!E$13*AV204,2))&lt;1,ROUND(AV204*(1+'Calc base'!J205),2),MAX('Calc base'!E$12,ROUND('Calc base'!E$13*AV204,2))))</f>
        <v>0</v>
      </c>
      <c r="M205">
        <f>IF(AW204&lt;=0,0,IF(ROUND(AW204*(1+'Calc base'!K205),2)-MAX('Calc base'!F$12,ROUND('Calc base'!F$13*AW204,2))&lt;1,ROUND(AW204*(1+'Calc base'!K205),2),MAX('Calc base'!F$12,ROUND('Calc base'!F$13*AW204,2))))</f>
        <v>0</v>
      </c>
      <c r="N205">
        <f>IF(AX204&lt;=0,0,IF(ROUND(AX204*(1+'Calc base'!L205),2)-MAX('Calc base'!G$12,ROUND('Calc base'!G$13*AX204,2))&lt;1,ROUND(AX204*(1+'Calc base'!L205),2),MAX('Calc base'!G$12,ROUND('Calc base'!G$13*AX204,2))))</f>
        <v>0</v>
      </c>
      <c r="O205">
        <f>IF(AY204&lt;=0,0,IF(ROUND(AY204*(1+'Calc base'!M205),2)-MAX('Calc base'!H$12,ROUND('Calc base'!H$13*AY204,2))&lt;1,ROUND(AY204*(1+'Calc base'!M205),2),MAX('Calc base'!H$12,ROUND('Calc base'!H$13*AY204,2))))</f>
        <v>0</v>
      </c>
      <c r="P205">
        <f>IF(AZ204&lt;=0,0,IF(ROUND(AZ204*(1+'Calc base'!N205),2)-MAX('Calc base'!I$12,ROUND('Calc base'!I$13*AZ204,2))&lt;1,ROUND(AZ204*(1+'Calc base'!N205),2),MAX('Calc base'!I$12,ROUND('Calc base'!I$13*AZ204,2))))</f>
        <v>0</v>
      </c>
      <c r="Q205">
        <f>IF(BA204&lt;=0,0,IF(ROUND(BA204*(1+'Calc base'!O205),2)-MAX('Calc base'!J$12,ROUND('Calc base'!J$13*BA204,2))&lt;1,ROUND(BA204*(1+'Calc base'!O205),2),MAX('Calc base'!J$12,ROUND('Calc base'!J$13*BA204,2))))</f>
        <v>0</v>
      </c>
      <c r="R205">
        <f>IF(BB204&lt;=0,0,IF(ROUND(BB204*(1+'Calc base'!P205),2)-MAX('Calc base'!K$12,ROUND('Calc base'!K$13*BB204,2))&lt;1,ROUND(BB204*(1+'Calc base'!P205),2),MAX('Calc base'!K$12,ROUND('Calc base'!K$13*BB204,2))))</f>
        <v>0</v>
      </c>
      <c r="S205">
        <f>IF(BC204&lt;=0,0,IF(ROUND(BC204*(1+'Calc base'!Q205),2)-MAX('Calc base'!L$12,ROUND('Calc base'!L$13*BC204,2))&lt;1,ROUND(BC204*(1+'Calc base'!Q205),2),MAX('Calc base'!L$12,ROUND('Calc base'!L$13*BC204,2))))</f>
        <v>0</v>
      </c>
      <c r="T205">
        <f>IF(BD204&lt;=0,0,IF(ROUND(BD204*(1+'Calc base'!R205),2)-MAX('Calc base'!M$12,ROUND('Calc base'!M$13*BD204,2))&lt;1,ROUND(BD204*(1+'Calc base'!R205),2),MAX('Calc base'!M$12,ROUND('Calc base'!M$13*BD204,2))))</f>
        <v>0</v>
      </c>
      <c r="U205">
        <f>IF(BE204&lt;=0,0,IF(ROUND(BE204*(1+'Calc base'!S205),2)-MAX('Calc base'!N$12,ROUND('Calc base'!N$13*BE204,2))&lt;1,ROUND(BE204*(1+'Calc base'!S205),2),MAX('Calc base'!N$12,ROUND('Calc base'!N$13*BE204,2))))</f>
        <v>0</v>
      </c>
      <c r="V205">
        <f>MAX(0,ROUND(AT204*(1+'Calc base'!H205),2)-J205-'Calc base'!T205)</f>
        <v>0</v>
      </c>
      <c r="W205">
        <f>MAX(0,ROUND(AU204*(1+'Calc base'!I205),2)-K205-'Calc base'!U205)</f>
        <v>0</v>
      </c>
      <c r="X205">
        <f>MAX(0,ROUND(AV204*(1+'Calc base'!J205),2)-L205-'Calc base'!V205)</f>
        <v>0</v>
      </c>
      <c r="Y205">
        <f>MAX(0,ROUND(AW204*(1+'Calc base'!K205),2)-M205-'Calc base'!W205)</f>
        <v>0</v>
      </c>
      <c r="Z205">
        <f>MAX(0,ROUND(AX204*(1+'Calc base'!L205),2)-N205-'Calc base'!X205)</f>
        <v>0</v>
      </c>
      <c r="AA205">
        <f>MAX(0,ROUND(AY204*(1+'Calc base'!M205),2)-O205-'Calc base'!Y205)</f>
        <v>0</v>
      </c>
      <c r="AB205">
        <f>MAX(0,ROUND(AZ204*(1+'Calc base'!N205),2)-P205-'Calc base'!Z205)</f>
        <v>0</v>
      </c>
      <c r="AC205">
        <f>MAX(0,ROUND(BA204*(1+'Calc base'!O205),2)-Q205-'Calc base'!AA205)</f>
        <v>0</v>
      </c>
      <c r="AD205">
        <f>MAX(0,ROUND(BB204*(1+'Calc base'!P205),2)-R205-'Calc base'!AB205)</f>
        <v>0</v>
      </c>
      <c r="AE205">
        <f>MAX(0,ROUND(BC204*(1+'Calc base'!Q205),2)-S205-'Calc base'!AC205)</f>
        <v>0</v>
      </c>
      <c r="AF205">
        <f>MAX(0,ROUND(BD204*(1+'Calc base'!R205),2)-T205-'Calc base'!AD205)</f>
        <v>0</v>
      </c>
      <c r="AG205">
        <f>MAX(0,ROUND(BE204*(1+'Calc base'!S205),2)-U205-'Calc base'!AE205)</f>
        <v>0</v>
      </c>
      <c r="AH205">
        <f>IF('Calc base'!C$14=0,0,MIN(V205,MAX(0,$E205-SUMIFS($V205:$AG205,'Calc base'!$C$19:$N$19,"&lt;"&amp;'Calc base'!C$19,'Calc base'!$C$14:$N$14,1))))</f>
        <v>0</v>
      </c>
      <c r="AI205">
        <f>IF('Calc base'!D$14=0,0,MIN(W205,MAX(0,$E205-SUMIFS($V205:$AG205,'Calc base'!$C$19:$N$19,"&lt;"&amp;'Calc base'!D$19,'Calc base'!$C$14:$N$14,1))))</f>
        <v>0</v>
      </c>
      <c r="AJ205">
        <f>IF('Calc base'!E$14=0,0,MIN(X205,MAX(0,$E205-SUMIFS($V205:$AG205,'Calc base'!$C$19:$N$19,"&lt;"&amp;'Calc base'!E$19,'Calc base'!$C$14:$N$14,1))))</f>
        <v>0</v>
      </c>
      <c r="AK205">
        <f>IF('Calc base'!F$14=0,0,MIN(Y205,MAX(0,$E205-SUMIFS($V205:$AG205,'Calc base'!$C$19:$N$19,"&lt;"&amp;'Calc base'!F$19,'Calc base'!$C$14:$N$14,1))))</f>
        <v>0</v>
      </c>
      <c r="AL205">
        <f>IF('Calc base'!G$14=0,0,MIN(Z205,MAX(0,$E205-SUMIFS($V205:$AG205,'Calc base'!$C$19:$N$19,"&lt;"&amp;'Calc base'!G$19,'Calc base'!$C$14:$N$14,1))))</f>
        <v>0</v>
      </c>
      <c r="AM205">
        <f>IF('Calc base'!H$14=0,0,MIN(AA205,MAX(0,$E205-SUMIFS($V205:$AG205,'Calc base'!$C$19:$N$19,"&lt;"&amp;'Calc base'!H$19,'Calc base'!$C$14:$N$14,1))))</f>
        <v>0</v>
      </c>
      <c r="AN205">
        <f>IF('Calc base'!I$14=0,0,MIN(AB205,MAX(0,$E205-SUMIFS($V205:$AG205,'Calc base'!$C$19:$N$19,"&lt;"&amp;'Calc base'!I$19,'Calc base'!$C$14:$N$14,1))))</f>
        <v>0</v>
      </c>
      <c r="AO205">
        <f>IF('Calc base'!J$14=0,0,MIN(AC205,MAX(0,$E205-SUMIFS($V205:$AG205,'Calc base'!$C$19:$N$19,"&lt;"&amp;'Calc base'!J$19,'Calc base'!$C$14:$N$14,1))))</f>
        <v>0</v>
      </c>
      <c r="AP205">
        <f>IF('Calc base'!K$14=0,0,MIN(AD205,MAX(0,$E205-SUMIFS($V205:$AG205,'Calc base'!$C$19:$N$19,"&lt;"&amp;'Calc base'!K$19,'Calc base'!$C$14:$N$14,1))))</f>
        <v>0</v>
      </c>
      <c r="AQ205">
        <f>IF('Calc base'!L$14=0,0,MIN(AE205,MAX(0,$E205-SUMIFS($V205:$AG205,'Calc base'!$C$19:$N$19,"&lt;"&amp;'Calc base'!L$19,'Calc base'!$C$14:$N$14,1))))</f>
        <v>0</v>
      </c>
      <c r="AR205">
        <f>IF('Calc base'!M$14=0,0,MIN(AF205,MAX(0,$E205-SUMIFS($V205:$AG205,'Calc base'!$C$19:$N$19,"&lt;"&amp;'Calc base'!M$19,'Calc base'!$C$14:$N$14,1))))</f>
        <v>0</v>
      </c>
      <c r="AS205">
        <f>IF('Calc base'!N$14=0,0,MIN(AG205,MAX(0,$E205-SUMIFS($V205:$AG205,'Calc base'!$C$19:$N$19,"&lt;"&amp;'Calc base'!N$19,'Calc base'!$C$14:$N$14,1))))</f>
        <v>0</v>
      </c>
      <c r="AT205">
        <f>V205-AH205</f>
        <v>0</v>
      </c>
      <c r="AU205">
        <f>W205-AI205</f>
        <v>0</v>
      </c>
      <c r="AV205">
        <f>X205-AJ205</f>
        <v>0</v>
      </c>
      <c r="AW205">
        <f>Y205-AK205</f>
        <v>0</v>
      </c>
      <c r="AX205">
        <f>Z205-AL205</f>
        <v>0</v>
      </c>
      <c r="AY205">
        <f>AA205-AM205</f>
        <v>0</v>
      </c>
      <c r="AZ205">
        <f>AB205-AN205</f>
        <v>0</v>
      </c>
      <c r="BA205">
        <f>AC205-AO205</f>
        <v>0</v>
      </c>
      <c r="BB205">
        <f>AD205-AP205</f>
        <v>0</v>
      </c>
      <c r="BC205">
        <f>AE205-AQ205</f>
        <v>0</v>
      </c>
      <c r="BD205">
        <f>AF205-AR205</f>
        <v>0</v>
      </c>
      <c r="BE205">
        <f>AG205-AS205</f>
        <v>0</v>
      </c>
    </row>
    <row r="206">
      <c r="A206" t="n">
        <v>176</v>
      </c>
      <c r="B206">
        <f>SUMPRODUCT(ROUND($AT205:$BE205*(1+'Calc base'!$H206:$S206),2))</f>
        <v>0</v>
      </c>
      <c r="C206">
        <f>SUM(J206:U206)</f>
        <v>0</v>
      </c>
      <c r="D206">
        <f>SUM(V206:AG206)</f>
        <v>0</v>
      </c>
      <c r="E206">
        <f>MAX(0,IF(Impostazioni!$B$7="No",'Calc base'!$C206-$C$31,'Calc base'!$C206-C206)+'Calc base'!$G206+'Calc base'!$F206-(B206-C206-D206))</f>
        <v>900</v>
      </c>
      <c r="F206">
        <f>SUM(AH206:AS206)</f>
        <v>0</v>
      </c>
      <c r="G206">
        <f>SUM(AT206:BE206)</f>
        <v>0</v>
      </c>
      <c r="H206">
        <f>B206-G205</f>
        <v>0</v>
      </c>
      <c r="I206">
        <f>B206-G206</f>
        <v>0</v>
      </c>
      <c r="J206">
        <f>IF(AT205&lt;=0,0,IF(ROUND(AT205*(1+'Calc base'!H206),2)-MAX('Calc base'!C$12,ROUND('Calc base'!C$13*AT205,2))&lt;1,ROUND(AT205*(1+'Calc base'!H206),2),MAX('Calc base'!C$12,ROUND('Calc base'!C$13*AT205,2))))</f>
        <v>0</v>
      </c>
      <c r="K206">
        <f>IF(AU205&lt;=0,0,IF(ROUND(AU205*(1+'Calc base'!I206),2)-MAX('Calc base'!D$12,ROUND('Calc base'!D$13*AU205,2))&lt;1,ROUND(AU205*(1+'Calc base'!I206),2),MAX('Calc base'!D$12,ROUND('Calc base'!D$13*AU205,2))))</f>
        <v>0</v>
      </c>
      <c r="L206">
        <f>IF(AV205&lt;=0,0,IF(ROUND(AV205*(1+'Calc base'!J206),2)-MAX('Calc base'!E$12,ROUND('Calc base'!E$13*AV205,2))&lt;1,ROUND(AV205*(1+'Calc base'!J206),2),MAX('Calc base'!E$12,ROUND('Calc base'!E$13*AV205,2))))</f>
        <v>0</v>
      </c>
      <c r="M206">
        <f>IF(AW205&lt;=0,0,IF(ROUND(AW205*(1+'Calc base'!K206),2)-MAX('Calc base'!F$12,ROUND('Calc base'!F$13*AW205,2))&lt;1,ROUND(AW205*(1+'Calc base'!K206),2),MAX('Calc base'!F$12,ROUND('Calc base'!F$13*AW205,2))))</f>
        <v>0</v>
      </c>
      <c r="N206">
        <f>IF(AX205&lt;=0,0,IF(ROUND(AX205*(1+'Calc base'!L206),2)-MAX('Calc base'!G$12,ROUND('Calc base'!G$13*AX205,2))&lt;1,ROUND(AX205*(1+'Calc base'!L206),2),MAX('Calc base'!G$12,ROUND('Calc base'!G$13*AX205,2))))</f>
        <v>0</v>
      </c>
      <c r="O206">
        <f>IF(AY205&lt;=0,0,IF(ROUND(AY205*(1+'Calc base'!M206),2)-MAX('Calc base'!H$12,ROUND('Calc base'!H$13*AY205,2))&lt;1,ROUND(AY205*(1+'Calc base'!M206),2),MAX('Calc base'!H$12,ROUND('Calc base'!H$13*AY205,2))))</f>
        <v>0</v>
      </c>
      <c r="P206">
        <f>IF(AZ205&lt;=0,0,IF(ROUND(AZ205*(1+'Calc base'!N206),2)-MAX('Calc base'!I$12,ROUND('Calc base'!I$13*AZ205,2))&lt;1,ROUND(AZ205*(1+'Calc base'!N206),2),MAX('Calc base'!I$12,ROUND('Calc base'!I$13*AZ205,2))))</f>
        <v>0</v>
      </c>
      <c r="Q206">
        <f>IF(BA205&lt;=0,0,IF(ROUND(BA205*(1+'Calc base'!O206),2)-MAX('Calc base'!J$12,ROUND('Calc base'!J$13*BA205,2))&lt;1,ROUND(BA205*(1+'Calc base'!O206),2),MAX('Calc base'!J$12,ROUND('Calc base'!J$13*BA205,2))))</f>
        <v>0</v>
      </c>
      <c r="R206">
        <f>IF(BB205&lt;=0,0,IF(ROUND(BB205*(1+'Calc base'!P206),2)-MAX('Calc base'!K$12,ROUND('Calc base'!K$13*BB205,2))&lt;1,ROUND(BB205*(1+'Calc base'!P206),2),MAX('Calc base'!K$12,ROUND('Calc base'!K$13*BB205,2))))</f>
        <v>0</v>
      </c>
      <c r="S206">
        <f>IF(BC205&lt;=0,0,IF(ROUND(BC205*(1+'Calc base'!Q206),2)-MAX('Calc base'!L$12,ROUND('Calc base'!L$13*BC205,2))&lt;1,ROUND(BC205*(1+'Calc base'!Q206),2),MAX('Calc base'!L$12,ROUND('Calc base'!L$13*BC205,2))))</f>
        <v>0</v>
      </c>
      <c r="T206">
        <f>IF(BD205&lt;=0,0,IF(ROUND(BD205*(1+'Calc base'!R206),2)-MAX('Calc base'!M$12,ROUND('Calc base'!M$13*BD205,2))&lt;1,ROUND(BD205*(1+'Calc base'!R206),2),MAX('Calc base'!M$12,ROUND('Calc base'!M$13*BD205,2))))</f>
        <v>0</v>
      </c>
      <c r="U206">
        <f>IF(BE205&lt;=0,0,IF(ROUND(BE205*(1+'Calc base'!S206),2)-MAX('Calc base'!N$12,ROUND('Calc base'!N$13*BE205,2))&lt;1,ROUND(BE205*(1+'Calc base'!S206),2),MAX('Calc base'!N$12,ROUND('Calc base'!N$13*BE205,2))))</f>
        <v>0</v>
      </c>
      <c r="V206">
        <f>MAX(0,ROUND(AT205*(1+'Calc base'!H206),2)-J206-'Calc base'!T206)</f>
        <v>0</v>
      </c>
      <c r="W206">
        <f>MAX(0,ROUND(AU205*(1+'Calc base'!I206),2)-K206-'Calc base'!U206)</f>
        <v>0</v>
      </c>
      <c r="X206">
        <f>MAX(0,ROUND(AV205*(1+'Calc base'!J206),2)-L206-'Calc base'!V206)</f>
        <v>0</v>
      </c>
      <c r="Y206">
        <f>MAX(0,ROUND(AW205*(1+'Calc base'!K206),2)-M206-'Calc base'!W206)</f>
        <v>0</v>
      </c>
      <c r="Z206">
        <f>MAX(0,ROUND(AX205*(1+'Calc base'!L206),2)-N206-'Calc base'!X206)</f>
        <v>0</v>
      </c>
      <c r="AA206">
        <f>MAX(0,ROUND(AY205*(1+'Calc base'!M206),2)-O206-'Calc base'!Y206)</f>
        <v>0</v>
      </c>
      <c r="AB206">
        <f>MAX(0,ROUND(AZ205*(1+'Calc base'!N206),2)-P206-'Calc base'!Z206)</f>
        <v>0</v>
      </c>
      <c r="AC206">
        <f>MAX(0,ROUND(BA205*(1+'Calc base'!O206),2)-Q206-'Calc base'!AA206)</f>
        <v>0</v>
      </c>
      <c r="AD206">
        <f>MAX(0,ROUND(BB205*(1+'Calc base'!P206),2)-R206-'Calc base'!AB206)</f>
        <v>0</v>
      </c>
      <c r="AE206">
        <f>MAX(0,ROUND(BC205*(1+'Calc base'!Q206),2)-S206-'Calc base'!AC206)</f>
        <v>0</v>
      </c>
      <c r="AF206">
        <f>MAX(0,ROUND(BD205*(1+'Calc base'!R206),2)-T206-'Calc base'!AD206)</f>
        <v>0</v>
      </c>
      <c r="AG206">
        <f>MAX(0,ROUND(BE205*(1+'Calc base'!S206),2)-U206-'Calc base'!AE206)</f>
        <v>0</v>
      </c>
      <c r="AH206">
        <f>IF('Calc base'!C$14=0,0,MIN(V206,MAX(0,$E206-SUMIFS($V206:$AG206,'Calc base'!$C$19:$N$19,"&lt;"&amp;'Calc base'!C$19,'Calc base'!$C$14:$N$14,1))))</f>
        <v>0</v>
      </c>
      <c r="AI206">
        <f>IF('Calc base'!D$14=0,0,MIN(W206,MAX(0,$E206-SUMIFS($V206:$AG206,'Calc base'!$C$19:$N$19,"&lt;"&amp;'Calc base'!D$19,'Calc base'!$C$14:$N$14,1))))</f>
        <v>0</v>
      </c>
      <c r="AJ206">
        <f>IF('Calc base'!E$14=0,0,MIN(X206,MAX(0,$E206-SUMIFS($V206:$AG206,'Calc base'!$C$19:$N$19,"&lt;"&amp;'Calc base'!E$19,'Calc base'!$C$14:$N$14,1))))</f>
        <v>0</v>
      </c>
      <c r="AK206">
        <f>IF('Calc base'!F$14=0,0,MIN(Y206,MAX(0,$E206-SUMIFS($V206:$AG206,'Calc base'!$C$19:$N$19,"&lt;"&amp;'Calc base'!F$19,'Calc base'!$C$14:$N$14,1))))</f>
        <v>0</v>
      </c>
      <c r="AL206">
        <f>IF('Calc base'!G$14=0,0,MIN(Z206,MAX(0,$E206-SUMIFS($V206:$AG206,'Calc base'!$C$19:$N$19,"&lt;"&amp;'Calc base'!G$19,'Calc base'!$C$14:$N$14,1))))</f>
        <v>0</v>
      </c>
      <c r="AM206">
        <f>IF('Calc base'!H$14=0,0,MIN(AA206,MAX(0,$E206-SUMIFS($V206:$AG206,'Calc base'!$C$19:$N$19,"&lt;"&amp;'Calc base'!H$19,'Calc base'!$C$14:$N$14,1))))</f>
        <v>0</v>
      </c>
      <c r="AN206">
        <f>IF('Calc base'!I$14=0,0,MIN(AB206,MAX(0,$E206-SUMIFS($V206:$AG206,'Calc base'!$C$19:$N$19,"&lt;"&amp;'Calc base'!I$19,'Calc base'!$C$14:$N$14,1))))</f>
        <v>0</v>
      </c>
      <c r="AO206">
        <f>IF('Calc base'!J$14=0,0,MIN(AC206,MAX(0,$E206-SUMIFS($V206:$AG206,'Calc base'!$C$19:$N$19,"&lt;"&amp;'Calc base'!J$19,'Calc base'!$C$14:$N$14,1))))</f>
        <v>0</v>
      </c>
      <c r="AP206">
        <f>IF('Calc base'!K$14=0,0,MIN(AD206,MAX(0,$E206-SUMIFS($V206:$AG206,'Calc base'!$C$19:$N$19,"&lt;"&amp;'Calc base'!K$19,'Calc base'!$C$14:$N$14,1))))</f>
        <v>0</v>
      </c>
      <c r="AQ206">
        <f>IF('Calc base'!L$14=0,0,MIN(AE206,MAX(0,$E206-SUMIFS($V206:$AG206,'Calc base'!$C$19:$N$19,"&lt;"&amp;'Calc base'!L$19,'Calc base'!$C$14:$N$14,1))))</f>
        <v>0</v>
      </c>
      <c r="AR206">
        <f>IF('Calc base'!M$14=0,0,MIN(AF206,MAX(0,$E206-SUMIFS($V206:$AG206,'Calc base'!$C$19:$N$19,"&lt;"&amp;'Calc base'!M$19,'Calc base'!$C$14:$N$14,1))))</f>
        <v>0</v>
      </c>
      <c r="AS206">
        <f>IF('Calc base'!N$14=0,0,MIN(AG206,MAX(0,$E206-SUMIFS($V206:$AG206,'Calc base'!$C$19:$N$19,"&lt;"&amp;'Calc base'!N$19,'Calc base'!$C$14:$N$14,1))))</f>
        <v>0</v>
      </c>
      <c r="AT206">
        <f>V206-AH206</f>
        <v>0</v>
      </c>
      <c r="AU206">
        <f>W206-AI206</f>
        <v>0</v>
      </c>
      <c r="AV206">
        <f>X206-AJ206</f>
        <v>0</v>
      </c>
      <c r="AW206">
        <f>Y206-AK206</f>
        <v>0</v>
      </c>
      <c r="AX206">
        <f>Z206-AL206</f>
        <v>0</v>
      </c>
      <c r="AY206">
        <f>AA206-AM206</f>
        <v>0</v>
      </c>
      <c r="AZ206">
        <f>AB206-AN206</f>
        <v>0</v>
      </c>
      <c r="BA206">
        <f>AC206-AO206</f>
        <v>0</v>
      </c>
      <c r="BB206">
        <f>AD206-AP206</f>
        <v>0</v>
      </c>
      <c r="BC206">
        <f>AE206-AQ206</f>
        <v>0</v>
      </c>
      <c r="BD206">
        <f>AF206-AR206</f>
        <v>0</v>
      </c>
      <c r="BE206">
        <f>AG206-AS206</f>
        <v>0</v>
      </c>
    </row>
    <row r="207">
      <c r="A207" t="n">
        <v>177</v>
      </c>
      <c r="B207">
        <f>SUMPRODUCT(ROUND($AT206:$BE206*(1+'Calc base'!$H207:$S207),2))</f>
        <v>0</v>
      </c>
      <c r="C207">
        <f>SUM(J207:U207)</f>
        <v>0</v>
      </c>
      <c r="D207">
        <f>SUM(V207:AG207)</f>
        <v>0</v>
      </c>
      <c r="E207">
        <f>MAX(0,IF(Impostazioni!$B$7="No",'Calc base'!$C207-$C$31,'Calc base'!$C207-C207)+'Calc base'!$G207+'Calc base'!$F207-(B207-C207-D207))</f>
        <v>900</v>
      </c>
      <c r="F207">
        <f>SUM(AH207:AS207)</f>
        <v>0</v>
      </c>
      <c r="G207">
        <f>SUM(AT207:BE207)</f>
        <v>0</v>
      </c>
      <c r="H207">
        <f>B207-G206</f>
        <v>0</v>
      </c>
      <c r="I207">
        <f>B207-G207</f>
        <v>0</v>
      </c>
      <c r="J207">
        <f>IF(AT206&lt;=0,0,IF(ROUND(AT206*(1+'Calc base'!H207),2)-MAX('Calc base'!C$12,ROUND('Calc base'!C$13*AT206,2))&lt;1,ROUND(AT206*(1+'Calc base'!H207),2),MAX('Calc base'!C$12,ROUND('Calc base'!C$13*AT206,2))))</f>
        <v>0</v>
      </c>
      <c r="K207">
        <f>IF(AU206&lt;=0,0,IF(ROUND(AU206*(1+'Calc base'!I207),2)-MAX('Calc base'!D$12,ROUND('Calc base'!D$13*AU206,2))&lt;1,ROUND(AU206*(1+'Calc base'!I207),2),MAX('Calc base'!D$12,ROUND('Calc base'!D$13*AU206,2))))</f>
        <v>0</v>
      </c>
      <c r="L207">
        <f>IF(AV206&lt;=0,0,IF(ROUND(AV206*(1+'Calc base'!J207),2)-MAX('Calc base'!E$12,ROUND('Calc base'!E$13*AV206,2))&lt;1,ROUND(AV206*(1+'Calc base'!J207),2),MAX('Calc base'!E$12,ROUND('Calc base'!E$13*AV206,2))))</f>
        <v>0</v>
      </c>
      <c r="M207">
        <f>IF(AW206&lt;=0,0,IF(ROUND(AW206*(1+'Calc base'!K207),2)-MAX('Calc base'!F$12,ROUND('Calc base'!F$13*AW206,2))&lt;1,ROUND(AW206*(1+'Calc base'!K207),2),MAX('Calc base'!F$12,ROUND('Calc base'!F$13*AW206,2))))</f>
        <v>0</v>
      </c>
      <c r="N207">
        <f>IF(AX206&lt;=0,0,IF(ROUND(AX206*(1+'Calc base'!L207),2)-MAX('Calc base'!G$12,ROUND('Calc base'!G$13*AX206,2))&lt;1,ROUND(AX206*(1+'Calc base'!L207),2),MAX('Calc base'!G$12,ROUND('Calc base'!G$13*AX206,2))))</f>
        <v>0</v>
      </c>
      <c r="O207">
        <f>IF(AY206&lt;=0,0,IF(ROUND(AY206*(1+'Calc base'!M207),2)-MAX('Calc base'!H$12,ROUND('Calc base'!H$13*AY206,2))&lt;1,ROUND(AY206*(1+'Calc base'!M207),2),MAX('Calc base'!H$12,ROUND('Calc base'!H$13*AY206,2))))</f>
        <v>0</v>
      </c>
      <c r="P207">
        <f>IF(AZ206&lt;=0,0,IF(ROUND(AZ206*(1+'Calc base'!N207),2)-MAX('Calc base'!I$12,ROUND('Calc base'!I$13*AZ206,2))&lt;1,ROUND(AZ206*(1+'Calc base'!N207),2),MAX('Calc base'!I$12,ROUND('Calc base'!I$13*AZ206,2))))</f>
        <v>0</v>
      </c>
      <c r="Q207">
        <f>IF(BA206&lt;=0,0,IF(ROUND(BA206*(1+'Calc base'!O207),2)-MAX('Calc base'!J$12,ROUND('Calc base'!J$13*BA206,2))&lt;1,ROUND(BA206*(1+'Calc base'!O207),2),MAX('Calc base'!J$12,ROUND('Calc base'!J$13*BA206,2))))</f>
        <v>0</v>
      </c>
      <c r="R207">
        <f>IF(BB206&lt;=0,0,IF(ROUND(BB206*(1+'Calc base'!P207),2)-MAX('Calc base'!K$12,ROUND('Calc base'!K$13*BB206,2))&lt;1,ROUND(BB206*(1+'Calc base'!P207),2),MAX('Calc base'!K$12,ROUND('Calc base'!K$13*BB206,2))))</f>
        <v>0</v>
      </c>
      <c r="S207">
        <f>IF(BC206&lt;=0,0,IF(ROUND(BC206*(1+'Calc base'!Q207),2)-MAX('Calc base'!L$12,ROUND('Calc base'!L$13*BC206,2))&lt;1,ROUND(BC206*(1+'Calc base'!Q207),2),MAX('Calc base'!L$12,ROUND('Calc base'!L$13*BC206,2))))</f>
        <v>0</v>
      </c>
      <c r="T207">
        <f>IF(BD206&lt;=0,0,IF(ROUND(BD206*(1+'Calc base'!R207),2)-MAX('Calc base'!M$12,ROUND('Calc base'!M$13*BD206,2))&lt;1,ROUND(BD206*(1+'Calc base'!R207),2),MAX('Calc base'!M$12,ROUND('Calc base'!M$13*BD206,2))))</f>
        <v>0</v>
      </c>
      <c r="U207">
        <f>IF(BE206&lt;=0,0,IF(ROUND(BE206*(1+'Calc base'!S207),2)-MAX('Calc base'!N$12,ROUND('Calc base'!N$13*BE206,2))&lt;1,ROUND(BE206*(1+'Calc base'!S207),2),MAX('Calc base'!N$12,ROUND('Calc base'!N$13*BE206,2))))</f>
        <v>0</v>
      </c>
      <c r="V207">
        <f>MAX(0,ROUND(AT206*(1+'Calc base'!H207),2)-J207-'Calc base'!T207)</f>
        <v>0</v>
      </c>
      <c r="W207">
        <f>MAX(0,ROUND(AU206*(1+'Calc base'!I207),2)-K207-'Calc base'!U207)</f>
        <v>0</v>
      </c>
      <c r="X207">
        <f>MAX(0,ROUND(AV206*(1+'Calc base'!J207),2)-L207-'Calc base'!V207)</f>
        <v>0</v>
      </c>
      <c r="Y207">
        <f>MAX(0,ROUND(AW206*(1+'Calc base'!K207),2)-M207-'Calc base'!W207)</f>
        <v>0</v>
      </c>
      <c r="Z207">
        <f>MAX(0,ROUND(AX206*(1+'Calc base'!L207),2)-N207-'Calc base'!X207)</f>
        <v>0</v>
      </c>
      <c r="AA207">
        <f>MAX(0,ROUND(AY206*(1+'Calc base'!M207),2)-O207-'Calc base'!Y207)</f>
        <v>0</v>
      </c>
      <c r="AB207">
        <f>MAX(0,ROUND(AZ206*(1+'Calc base'!N207),2)-P207-'Calc base'!Z207)</f>
        <v>0</v>
      </c>
      <c r="AC207">
        <f>MAX(0,ROUND(BA206*(1+'Calc base'!O207),2)-Q207-'Calc base'!AA207)</f>
        <v>0</v>
      </c>
      <c r="AD207">
        <f>MAX(0,ROUND(BB206*(1+'Calc base'!P207),2)-R207-'Calc base'!AB207)</f>
        <v>0</v>
      </c>
      <c r="AE207">
        <f>MAX(0,ROUND(BC206*(1+'Calc base'!Q207),2)-S207-'Calc base'!AC207)</f>
        <v>0</v>
      </c>
      <c r="AF207">
        <f>MAX(0,ROUND(BD206*(1+'Calc base'!R207),2)-T207-'Calc base'!AD207)</f>
        <v>0</v>
      </c>
      <c r="AG207">
        <f>MAX(0,ROUND(BE206*(1+'Calc base'!S207),2)-U207-'Calc base'!AE207)</f>
        <v>0</v>
      </c>
      <c r="AH207">
        <f>IF('Calc base'!C$14=0,0,MIN(V207,MAX(0,$E207-SUMIFS($V207:$AG207,'Calc base'!$C$19:$N$19,"&lt;"&amp;'Calc base'!C$19,'Calc base'!$C$14:$N$14,1))))</f>
        <v>0</v>
      </c>
      <c r="AI207">
        <f>IF('Calc base'!D$14=0,0,MIN(W207,MAX(0,$E207-SUMIFS($V207:$AG207,'Calc base'!$C$19:$N$19,"&lt;"&amp;'Calc base'!D$19,'Calc base'!$C$14:$N$14,1))))</f>
        <v>0</v>
      </c>
      <c r="AJ207">
        <f>IF('Calc base'!E$14=0,0,MIN(X207,MAX(0,$E207-SUMIFS($V207:$AG207,'Calc base'!$C$19:$N$19,"&lt;"&amp;'Calc base'!E$19,'Calc base'!$C$14:$N$14,1))))</f>
        <v>0</v>
      </c>
      <c r="AK207">
        <f>IF('Calc base'!F$14=0,0,MIN(Y207,MAX(0,$E207-SUMIFS($V207:$AG207,'Calc base'!$C$19:$N$19,"&lt;"&amp;'Calc base'!F$19,'Calc base'!$C$14:$N$14,1))))</f>
        <v>0</v>
      </c>
      <c r="AL207">
        <f>IF('Calc base'!G$14=0,0,MIN(Z207,MAX(0,$E207-SUMIFS($V207:$AG207,'Calc base'!$C$19:$N$19,"&lt;"&amp;'Calc base'!G$19,'Calc base'!$C$14:$N$14,1))))</f>
        <v>0</v>
      </c>
      <c r="AM207">
        <f>IF('Calc base'!H$14=0,0,MIN(AA207,MAX(0,$E207-SUMIFS($V207:$AG207,'Calc base'!$C$19:$N$19,"&lt;"&amp;'Calc base'!H$19,'Calc base'!$C$14:$N$14,1))))</f>
        <v>0</v>
      </c>
      <c r="AN207">
        <f>IF('Calc base'!I$14=0,0,MIN(AB207,MAX(0,$E207-SUMIFS($V207:$AG207,'Calc base'!$C$19:$N$19,"&lt;"&amp;'Calc base'!I$19,'Calc base'!$C$14:$N$14,1))))</f>
        <v>0</v>
      </c>
      <c r="AO207">
        <f>IF('Calc base'!J$14=0,0,MIN(AC207,MAX(0,$E207-SUMIFS($V207:$AG207,'Calc base'!$C$19:$N$19,"&lt;"&amp;'Calc base'!J$19,'Calc base'!$C$14:$N$14,1))))</f>
        <v>0</v>
      </c>
      <c r="AP207">
        <f>IF('Calc base'!K$14=0,0,MIN(AD207,MAX(0,$E207-SUMIFS($V207:$AG207,'Calc base'!$C$19:$N$19,"&lt;"&amp;'Calc base'!K$19,'Calc base'!$C$14:$N$14,1))))</f>
        <v>0</v>
      </c>
      <c r="AQ207">
        <f>IF('Calc base'!L$14=0,0,MIN(AE207,MAX(0,$E207-SUMIFS($V207:$AG207,'Calc base'!$C$19:$N$19,"&lt;"&amp;'Calc base'!L$19,'Calc base'!$C$14:$N$14,1))))</f>
        <v>0</v>
      </c>
      <c r="AR207">
        <f>IF('Calc base'!M$14=0,0,MIN(AF207,MAX(0,$E207-SUMIFS($V207:$AG207,'Calc base'!$C$19:$N$19,"&lt;"&amp;'Calc base'!M$19,'Calc base'!$C$14:$N$14,1))))</f>
        <v>0</v>
      </c>
      <c r="AS207">
        <f>IF('Calc base'!N$14=0,0,MIN(AG207,MAX(0,$E207-SUMIFS($V207:$AG207,'Calc base'!$C$19:$N$19,"&lt;"&amp;'Calc base'!N$19,'Calc base'!$C$14:$N$14,1))))</f>
        <v>0</v>
      </c>
      <c r="AT207">
        <f>V207-AH207</f>
        <v>0</v>
      </c>
      <c r="AU207">
        <f>W207-AI207</f>
        <v>0</v>
      </c>
      <c r="AV207">
        <f>X207-AJ207</f>
        <v>0</v>
      </c>
      <c r="AW207">
        <f>Y207-AK207</f>
        <v>0</v>
      </c>
      <c r="AX207">
        <f>Z207-AL207</f>
        <v>0</v>
      </c>
      <c r="AY207">
        <f>AA207-AM207</f>
        <v>0</v>
      </c>
      <c r="AZ207">
        <f>AB207-AN207</f>
        <v>0</v>
      </c>
      <c r="BA207">
        <f>AC207-AO207</f>
        <v>0</v>
      </c>
      <c r="BB207">
        <f>AD207-AP207</f>
        <v>0</v>
      </c>
      <c r="BC207">
        <f>AE207-AQ207</f>
        <v>0</v>
      </c>
      <c r="BD207">
        <f>AF207-AR207</f>
        <v>0</v>
      </c>
      <c r="BE207">
        <f>AG207-AS207</f>
        <v>0</v>
      </c>
    </row>
    <row r="208">
      <c r="A208" t="n">
        <v>178</v>
      </c>
      <c r="B208">
        <f>SUMPRODUCT(ROUND($AT207:$BE207*(1+'Calc base'!$H208:$S208),2))</f>
        <v>0</v>
      </c>
      <c r="C208">
        <f>SUM(J208:U208)</f>
        <v>0</v>
      </c>
      <c r="D208">
        <f>SUM(V208:AG208)</f>
        <v>0</v>
      </c>
      <c r="E208">
        <f>MAX(0,IF(Impostazioni!$B$7="No",'Calc base'!$C208-$C$31,'Calc base'!$C208-C208)+'Calc base'!$G208+'Calc base'!$F208-(B208-C208-D208))</f>
        <v>900</v>
      </c>
      <c r="F208">
        <f>SUM(AH208:AS208)</f>
        <v>0</v>
      </c>
      <c r="G208">
        <f>SUM(AT208:BE208)</f>
        <v>0</v>
      </c>
      <c r="H208">
        <f>B208-G207</f>
        <v>0</v>
      </c>
      <c r="I208">
        <f>B208-G208</f>
        <v>0</v>
      </c>
      <c r="J208">
        <f>IF(AT207&lt;=0,0,IF(ROUND(AT207*(1+'Calc base'!H208),2)-MAX('Calc base'!C$12,ROUND('Calc base'!C$13*AT207,2))&lt;1,ROUND(AT207*(1+'Calc base'!H208),2),MAX('Calc base'!C$12,ROUND('Calc base'!C$13*AT207,2))))</f>
        <v>0</v>
      </c>
      <c r="K208">
        <f>IF(AU207&lt;=0,0,IF(ROUND(AU207*(1+'Calc base'!I208),2)-MAX('Calc base'!D$12,ROUND('Calc base'!D$13*AU207,2))&lt;1,ROUND(AU207*(1+'Calc base'!I208),2),MAX('Calc base'!D$12,ROUND('Calc base'!D$13*AU207,2))))</f>
        <v>0</v>
      </c>
      <c r="L208">
        <f>IF(AV207&lt;=0,0,IF(ROUND(AV207*(1+'Calc base'!J208),2)-MAX('Calc base'!E$12,ROUND('Calc base'!E$13*AV207,2))&lt;1,ROUND(AV207*(1+'Calc base'!J208),2),MAX('Calc base'!E$12,ROUND('Calc base'!E$13*AV207,2))))</f>
        <v>0</v>
      </c>
      <c r="M208">
        <f>IF(AW207&lt;=0,0,IF(ROUND(AW207*(1+'Calc base'!K208),2)-MAX('Calc base'!F$12,ROUND('Calc base'!F$13*AW207,2))&lt;1,ROUND(AW207*(1+'Calc base'!K208),2),MAX('Calc base'!F$12,ROUND('Calc base'!F$13*AW207,2))))</f>
        <v>0</v>
      </c>
      <c r="N208">
        <f>IF(AX207&lt;=0,0,IF(ROUND(AX207*(1+'Calc base'!L208),2)-MAX('Calc base'!G$12,ROUND('Calc base'!G$13*AX207,2))&lt;1,ROUND(AX207*(1+'Calc base'!L208),2),MAX('Calc base'!G$12,ROUND('Calc base'!G$13*AX207,2))))</f>
        <v>0</v>
      </c>
      <c r="O208">
        <f>IF(AY207&lt;=0,0,IF(ROUND(AY207*(1+'Calc base'!M208),2)-MAX('Calc base'!H$12,ROUND('Calc base'!H$13*AY207,2))&lt;1,ROUND(AY207*(1+'Calc base'!M208),2),MAX('Calc base'!H$12,ROUND('Calc base'!H$13*AY207,2))))</f>
        <v>0</v>
      </c>
      <c r="P208">
        <f>IF(AZ207&lt;=0,0,IF(ROUND(AZ207*(1+'Calc base'!N208),2)-MAX('Calc base'!I$12,ROUND('Calc base'!I$13*AZ207,2))&lt;1,ROUND(AZ207*(1+'Calc base'!N208),2),MAX('Calc base'!I$12,ROUND('Calc base'!I$13*AZ207,2))))</f>
        <v>0</v>
      </c>
      <c r="Q208">
        <f>IF(BA207&lt;=0,0,IF(ROUND(BA207*(1+'Calc base'!O208),2)-MAX('Calc base'!J$12,ROUND('Calc base'!J$13*BA207,2))&lt;1,ROUND(BA207*(1+'Calc base'!O208),2),MAX('Calc base'!J$12,ROUND('Calc base'!J$13*BA207,2))))</f>
        <v>0</v>
      </c>
      <c r="R208">
        <f>IF(BB207&lt;=0,0,IF(ROUND(BB207*(1+'Calc base'!P208),2)-MAX('Calc base'!K$12,ROUND('Calc base'!K$13*BB207,2))&lt;1,ROUND(BB207*(1+'Calc base'!P208),2),MAX('Calc base'!K$12,ROUND('Calc base'!K$13*BB207,2))))</f>
        <v>0</v>
      </c>
      <c r="S208">
        <f>IF(BC207&lt;=0,0,IF(ROUND(BC207*(1+'Calc base'!Q208),2)-MAX('Calc base'!L$12,ROUND('Calc base'!L$13*BC207,2))&lt;1,ROUND(BC207*(1+'Calc base'!Q208),2),MAX('Calc base'!L$12,ROUND('Calc base'!L$13*BC207,2))))</f>
        <v>0</v>
      </c>
      <c r="T208">
        <f>IF(BD207&lt;=0,0,IF(ROUND(BD207*(1+'Calc base'!R208),2)-MAX('Calc base'!M$12,ROUND('Calc base'!M$13*BD207,2))&lt;1,ROUND(BD207*(1+'Calc base'!R208),2),MAX('Calc base'!M$12,ROUND('Calc base'!M$13*BD207,2))))</f>
        <v>0</v>
      </c>
      <c r="U208">
        <f>IF(BE207&lt;=0,0,IF(ROUND(BE207*(1+'Calc base'!S208),2)-MAX('Calc base'!N$12,ROUND('Calc base'!N$13*BE207,2))&lt;1,ROUND(BE207*(1+'Calc base'!S208),2),MAX('Calc base'!N$12,ROUND('Calc base'!N$13*BE207,2))))</f>
        <v>0</v>
      </c>
      <c r="V208">
        <f>MAX(0,ROUND(AT207*(1+'Calc base'!H208),2)-J208-'Calc base'!T208)</f>
        <v>0</v>
      </c>
      <c r="W208">
        <f>MAX(0,ROUND(AU207*(1+'Calc base'!I208),2)-K208-'Calc base'!U208)</f>
        <v>0</v>
      </c>
      <c r="X208">
        <f>MAX(0,ROUND(AV207*(1+'Calc base'!J208),2)-L208-'Calc base'!V208)</f>
        <v>0</v>
      </c>
      <c r="Y208">
        <f>MAX(0,ROUND(AW207*(1+'Calc base'!K208),2)-M208-'Calc base'!W208)</f>
        <v>0</v>
      </c>
      <c r="Z208">
        <f>MAX(0,ROUND(AX207*(1+'Calc base'!L208),2)-N208-'Calc base'!X208)</f>
        <v>0</v>
      </c>
      <c r="AA208">
        <f>MAX(0,ROUND(AY207*(1+'Calc base'!M208),2)-O208-'Calc base'!Y208)</f>
        <v>0</v>
      </c>
      <c r="AB208">
        <f>MAX(0,ROUND(AZ207*(1+'Calc base'!N208),2)-P208-'Calc base'!Z208)</f>
        <v>0</v>
      </c>
      <c r="AC208">
        <f>MAX(0,ROUND(BA207*(1+'Calc base'!O208),2)-Q208-'Calc base'!AA208)</f>
        <v>0</v>
      </c>
      <c r="AD208">
        <f>MAX(0,ROUND(BB207*(1+'Calc base'!P208),2)-R208-'Calc base'!AB208)</f>
        <v>0</v>
      </c>
      <c r="AE208">
        <f>MAX(0,ROUND(BC207*(1+'Calc base'!Q208),2)-S208-'Calc base'!AC208)</f>
        <v>0</v>
      </c>
      <c r="AF208">
        <f>MAX(0,ROUND(BD207*(1+'Calc base'!R208),2)-T208-'Calc base'!AD208)</f>
        <v>0</v>
      </c>
      <c r="AG208">
        <f>MAX(0,ROUND(BE207*(1+'Calc base'!S208),2)-U208-'Calc base'!AE208)</f>
        <v>0</v>
      </c>
      <c r="AH208">
        <f>IF('Calc base'!C$14=0,0,MIN(V208,MAX(0,$E208-SUMIFS($V208:$AG208,'Calc base'!$C$19:$N$19,"&lt;"&amp;'Calc base'!C$19,'Calc base'!$C$14:$N$14,1))))</f>
        <v>0</v>
      </c>
      <c r="AI208">
        <f>IF('Calc base'!D$14=0,0,MIN(W208,MAX(0,$E208-SUMIFS($V208:$AG208,'Calc base'!$C$19:$N$19,"&lt;"&amp;'Calc base'!D$19,'Calc base'!$C$14:$N$14,1))))</f>
        <v>0</v>
      </c>
      <c r="AJ208">
        <f>IF('Calc base'!E$14=0,0,MIN(X208,MAX(0,$E208-SUMIFS($V208:$AG208,'Calc base'!$C$19:$N$19,"&lt;"&amp;'Calc base'!E$19,'Calc base'!$C$14:$N$14,1))))</f>
        <v>0</v>
      </c>
      <c r="AK208">
        <f>IF('Calc base'!F$14=0,0,MIN(Y208,MAX(0,$E208-SUMIFS($V208:$AG208,'Calc base'!$C$19:$N$19,"&lt;"&amp;'Calc base'!F$19,'Calc base'!$C$14:$N$14,1))))</f>
        <v>0</v>
      </c>
      <c r="AL208">
        <f>IF('Calc base'!G$14=0,0,MIN(Z208,MAX(0,$E208-SUMIFS($V208:$AG208,'Calc base'!$C$19:$N$19,"&lt;"&amp;'Calc base'!G$19,'Calc base'!$C$14:$N$14,1))))</f>
        <v>0</v>
      </c>
      <c r="AM208">
        <f>IF('Calc base'!H$14=0,0,MIN(AA208,MAX(0,$E208-SUMIFS($V208:$AG208,'Calc base'!$C$19:$N$19,"&lt;"&amp;'Calc base'!H$19,'Calc base'!$C$14:$N$14,1))))</f>
        <v>0</v>
      </c>
      <c r="AN208">
        <f>IF('Calc base'!I$14=0,0,MIN(AB208,MAX(0,$E208-SUMIFS($V208:$AG208,'Calc base'!$C$19:$N$19,"&lt;"&amp;'Calc base'!I$19,'Calc base'!$C$14:$N$14,1))))</f>
        <v>0</v>
      </c>
      <c r="AO208">
        <f>IF('Calc base'!J$14=0,0,MIN(AC208,MAX(0,$E208-SUMIFS($V208:$AG208,'Calc base'!$C$19:$N$19,"&lt;"&amp;'Calc base'!J$19,'Calc base'!$C$14:$N$14,1))))</f>
        <v>0</v>
      </c>
      <c r="AP208">
        <f>IF('Calc base'!K$14=0,0,MIN(AD208,MAX(0,$E208-SUMIFS($V208:$AG208,'Calc base'!$C$19:$N$19,"&lt;"&amp;'Calc base'!K$19,'Calc base'!$C$14:$N$14,1))))</f>
        <v>0</v>
      </c>
      <c r="AQ208">
        <f>IF('Calc base'!L$14=0,0,MIN(AE208,MAX(0,$E208-SUMIFS($V208:$AG208,'Calc base'!$C$19:$N$19,"&lt;"&amp;'Calc base'!L$19,'Calc base'!$C$14:$N$14,1))))</f>
        <v>0</v>
      </c>
      <c r="AR208">
        <f>IF('Calc base'!M$14=0,0,MIN(AF208,MAX(0,$E208-SUMIFS($V208:$AG208,'Calc base'!$C$19:$N$19,"&lt;"&amp;'Calc base'!M$19,'Calc base'!$C$14:$N$14,1))))</f>
        <v>0</v>
      </c>
      <c r="AS208">
        <f>IF('Calc base'!N$14=0,0,MIN(AG208,MAX(0,$E208-SUMIFS($V208:$AG208,'Calc base'!$C$19:$N$19,"&lt;"&amp;'Calc base'!N$19,'Calc base'!$C$14:$N$14,1))))</f>
        <v>0</v>
      </c>
      <c r="AT208">
        <f>V208-AH208</f>
        <v>0</v>
      </c>
      <c r="AU208">
        <f>W208-AI208</f>
        <v>0</v>
      </c>
      <c r="AV208">
        <f>X208-AJ208</f>
        <v>0</v>
      </c>
      <c r="AW208">
        <f>Y208-AK208</f>
        <v>0</v>
      </c>
      <c r="AX208">
        <f>Z208-AL208</f>
        <v>0</v>
      </c>
      <c r="AY208">
        <f>AA208-AM208</f>
        <v>0</v>
      </c>
      <c r="AZ208">
        <f>AB208-AN208</f>
        <v>0</v>
      </c>
      <c r="BA208">
        <f>AC208-AO208</f>
        <v>0</v>
      </c>
      <c r="BB208">
        <f>AD208-AP208</f>
        <v>0</v>
      </c>
      <c r="BC208">
        <f>AE208-AQ208</f>
        <v>0</v>
      </c>
      <c r="BD208">
        <f>AF208-AR208</f>
        <v>0</v>
      </c>
      <c r="BE208">
        <f>AG208-AS208</f>
        <v>0</v>
      </c>
    </row>
    <row r="209">
      <c r="A209" t="n">
        <v>179</v>
      </c>
      <c r="B209">
        <f>SUMPRODUCT(ROUND($AT208:$BE208*(1+'Calc base'!$H209:$S209),2))</f>
        <v>0</v>
      </c>
      <c r="C209">
        <f>SUM(J209:U209)</f>
        <v>0</v>
      </c>
      <c r="D209">
        <f>SUM(V209:AG209)</f>
        <v>0</v>
      </c>
      <c r="E209">
        <f>MAX(0,IF(Impostazioni!$B$7="No",'Calc base'!$C209-$C$31,'Calc base'!$C209-C209)+'Calc base'!$G209+'Calc base'!$F209-(B209-C209-D209))</f>
        <v>900</v>
      </c>
      <c r="F209">
        <f>SUM(AH209:AS209)</f>
        <v>0</v>
      </c>
      <c r="G209">
        <f>SUM(AT209:BE209)</f>
        <v>0</v>
      </c>
      <c r="H209">
        <f>B209-G208</f>
        <v>0</v>
      </c>
      <c r="I209">
        <f>B209-G209</f>
        <v>0</v>
      </c>
      <c r="J209">
        <f>IF(AT208&lt;=0,0,IF(ROUND(AT208*(1+'Calc base'!H209),2)-MAX('Calc base'!C$12,ROUND('Calc base'!C$13*AT208,2))&lt;1,ROUND(AT208*(1+'Calc base'!H209),2),MAX('Calc base'!C$12,ROUND('Calc base'!C$13*AT208,2))))</f>
        <v>0</v>
      </c>
      <c r="K209">
        <f>IF(AU208&lt;=0,0,IF(ROUND(AU208*(1+'Calc base'!I209),2)-MAX('Calc base'!D$12,ROUND('Calc base'!D$13*AU208,2))&lt;1,ROUND(AU208*(1+'Calc base'!I209),2),MAX('Calc base'!D$12,ROUND('Calc base'!D$13*AU208,2))))</f>
        <v>0</v>
      </c>
      <c r="L209">
        <f>IF(AV208&lt;=0,0,IF(ROUND(AV208*(1+'Calc base'!J209),2)-MAX('Calc base'!E$12,ROUND('Calc base'!E$13*AV208,2))&lt;1,ROUND(AV208*(1+'Calc base'!J209),2),MAX('Calc base'!E$12,ROUND('Calc base'!E$13*AV208,2))))</f>
        <v>0</v>
      </c>
      <c r="M209">
        <f>IF(AW208&lt;=0,0,IF(ROUND(AW208*(1+'Calc base'!K209),2)-MAX('Calc base'!F$12,ROUND('Calc base'!F$13*AW208,2))&lt;1,ROUND(AW208*(1+'Calc base'!K209),2),MAX('Calc base'!F$12,ROUND('Calc base'!F$13*AW208,2))))</f>
        <v>0</v>
      </c>
      <c r="N209">
        <f>IF(AX208&lt;=0,0,IF(ROUND(AX208*(1+'Calc base'!L209),2)-MAX('Calc base'!G$12,ROUND('Calc base'!G$13*AX208,2))&lt;1,ROUND(AX208*(1+'Calc base'!L209),2),MAX('Calc base'!G$12,ROUND('Calc base'!G$13*AX208,2))))</f>
        <v>0</v>
      </c>
      <c r="O209">
        <f>IF(AY208&lt;=0,0,IF(ROUND(AY208*(1+'Calc base'!M209),2)-MAX('Calc base'!H$12,ROUND('Calc base'!H$13*AY208,2))&lt;1,ROUND(AY208*(1+'Calc base'!M209),2),MAX('Calc base'!H$12,ROUND('Calc base'!H$13*AY208,2))))</f>
        <v>0</v>
      </c>
      <c r="P209">
        <f>IF(AZ208&lt;=0,0,IF(ROUND(AZ208*(1+'Calc base'!N209),2)-MAX('Calc base'!I$12,ROUND('Calc base'!I$13*AZ208,2))&lt;1,ROUND(AZ208*(1+'Calc base'!N209),2),MAX('Calc base'!I$12,ROUND('Calc base'!I$13*AZ208,2))))</f>
        <v>0</v>
      </c>
      <c r="Q209">
        <f>IF(BA208&lt;=0,0,IF(ROUND(BA208*(1+'Calc base'!O209),2)-MAX('Calc base'!J$12,ROUND('Calc base'!J$13*BA208,2))&lt;1,ROUND(BA208*(1+'Calc base'!O209),2),MAX('Calc base'!J$12,ROUND('Calc base'!J$13*BA208,2))))</f>
        <v>0</v>
      </c>
      <c r="R209">
        <f>IF(BB208&lt;=0,0,IF(ROUND(BB208*(1+'Calc base'!P209),2)-MAX('Calc base'!K$12,ROUND('Calc base'!K$13*BB208,2))&lt;1,ROUND(BB208*(1+'Calc base'!P209),2),MAX('Calc base'!K$12,ROUND('Calc base'!K$13*BB208,2))))</f>
        <v>0</v>
      </c>
      <c r="S209">
        <f>IF(BC208&lt;=0,0,IF(ROUND(BC208*(1+'Calc base'!Q209),2)-MAX('Calc base'!L$12,ROUND('Calc base'!L$13*BC208,2))&lt;1,ROUND(BC208*(1+'Calc base'!Q209),2),MAX('Calc base'!L$12,ROUND('Calc base'!L$13*BC208,2))))</f>
        <v>0</v>
      </c>
      <c r="T209">
        <f>IF(BD208&lt;=0,0,IF(ROUND(BD208*(1+'Calc base'!R209),2)-MAX('Calc base'!M$12,ROUND('Calc base'!M$13*BD208,2))&lt;1,ROUND(BD208*(1+'Calc base'!R209),2),MAX('Calc base'!M$12,ROUND('Calc base'!M$13*BD208,2))))</f>
        <v>0</v>
      </c>
      <c r="U209">
        <f>IF(BE208&lt;=0,0,IF(ROUND(BE208*(1+'Calc base'!S209),2)-MAX('Calc base'!N$12,ROUND('Calc base'!N$13*BE208,2))&lt;1,ROUND(BE208*(1+'Calc base'!S209),2),MAX('Calc base'!N$12,ROUND('Calc base'!N$13*BE208,2))))</f>
        <v>0</v>
      </c>
      <c r="V209">
        <f>MAX(0,ROUND(AT208*(1+'Calc base'!H209),2)-J209-'Calc base'!T209)</f>
        <v>0</v>
      </c>
      <c r="W209">
        <f>MAX(0,ROUND(AU208*(1+'Calc base'!I209),2)-K209-'Calc base'!U209)</f>
        <v>0</v>
      </c>
      <c r="X209">
        <f>MAX(0,ROUND(AV208*(1+'Calc base'!J209),2)-L209-'Calc base'!V209)</f>
        <v>0</v>
      </c>
      <c r="Y209">
        <f>MAX(0,ROUND(AW208*(1+'Calc base'!K209),2)-M209-'Calc base'!W209)</f>
        <v>0</v>
      </c>
      <c r="Z209">
        <f>MAX(0,ROUND(AX208*(1+'Calc base'!L209),2)-N209-'Calc base'!X209)</f>
        <v>0</v>
      </c>
      <c r="AA209">
        <f>MAX(0,ROUND(AY208*(1+'Calc base'!M209),2)-O209-'Calc base'!Y209)</f>
        <v>0</v>
      </c>
      <c r="AB209">
        <f>MAX(0,ROUND(AZ208*(1+'Calc base'!N209),2)-P209-'Calc base'!Z209)</f>
        <v>0</v>
      </c>
      <c r="AC209">
        <f>MAX(0,ROUND(BA208*(1+'Calc base'!O209),2)-Q209-'Calc base'!AA209)</f>
        <v>0</v>
      </c>
      <c r="AD209">
        <f>MAX(0,ROUND(BB208*(1+'Calc base'!P209),2)-R209-'Calc base'!AB209)</f>
        <v>0</v>
      </c>
      <c r="AE209">
        <f>MAX(0,ROUND(BC208*(1+'Calc base'!Q209),2)-S209-'Calc base'!AC209)</f>
        <v>0</v>
      </c>
      <c r="AF209">
        <f>MAX(0,ROUND(BD208*(1+'Calc base'!R209),2)-T209-'Calc base'!AD209)</f>
        <v>0</v>
      </c>
      <c r="AG209">
        <f>MAX(0,ROUND(BE208*(1+'Calc base'!S209),2)-U209-'Calc base'!AE209)</f>
        <v>0</v>
      </c>
      <c r="AH209">
        <f>IF('Calc base'!C$14=0,0,MIN(V209,MAX(0,$E209-SUMIFS($V209:$AG209,'Calc base'!$C$19:$N$19,"&lt;"&amp;'Calc base'!C$19,'Calc base'!$C$14:$N$14,1))))</f>
        <v>0</v>
      </c>
      <c r="AI209">
        <f>IF('Calc base'!D$14=0,0,MIN(W209,MAX(0,$E209-SUMIFS($V209:$AG209,'Calc base'!$C$19:$N$19,"&lt;"&amp;'Calc base'!D$19,'Calc base'!$C$14:$N$14,1))))</f>
        <v>0</v>
      </c>
      <c r="AJ209">
        <f>IF('Calc base'!E$14=0,0,MIN(X209,MAX(0,$E209-SUMIFS($V209:$AG209,'Calc base'!$C$19:$N$19,"&lt;"&amp;'Calc base'!E$19,'Calc base'!$C$14:$N$14,1))))</f>
        <v>0</v>
      </c>
      <c r="AK209">
        <f>IF('Calc base'!F$14=0,0,MIN(Y209,MAX(0,$E209-SUMIFS($V209:$AG209,'Calc base'!$C$19:$N$19,"&lt;"&amp;'Calc base'!F$19,'Calc base'!$C$14:$N$14,1))))</f>
        <v>0</v>
      </c>
      <c r="AL209">
        <f>IF('Calc base'!G$14=0,0,MIN(Z209,MAX(0,$E209-SUMIFS($V209:$AG209,'Calc base'!$C$19:$N$19,"&lt;"&amp;'Calc base'!G$19,'Calc base'!$C$14:$N$14,1))))</f>
        <v>0</v>
      </c>
      <c r="AM209">
        <f>IF('Calc base'!H$14=0,0,MIN(AA209,MAX(0,$E209-SUMIFS($V209:$AG209,'Calc base'!$C$19:$N$19,"&lt;"&amp;'Calc base'!H$19,'Calc base'!$C$14:$N$14,1))))</f>
        <v>0</v>
      </c>
      <c r="AN209">
        <f>IF('Calc base'!I$14=0,0,MIN(AB209,MAX(0,$E209-SUMIFS($V209:$AG209,'Calc base'!$C$19:$N$19,"&lt;"&amp;'Calc base'!I$19,'Calc base'!$C$14:$N$14,1))))</f>
        <v>0</v>
      </c>
      <c r="AO209">
        <f>IF('Calc base'!J$14=0,0,MIN(AC209,MAX(0,$E209-SUMIFS($V209:$AG209,'Calc base'!$C$19:$N$19,"&lt;"&amp;'Calc base'!J$19,'Calc base'!$C$14:$N$14,1))))</f>
        <v>0</v>
      </c>
      <c r="AP209">
        <f>IF('Calc base'!K$14=0,0,MIN(AD209,MAX(0,$E209-SUMIFS($V209:$AG209,'Calc base'!$C$19:$N$19,"&lt;"&amp;'Calc base'!K$19,'Calc base'!$C$14:$N$14,1))))</f>
        <v>0</v>
      </c>
      <c r="AQ209">
        <f>IF('Calc base'!L$14=0,0,MIN(AE209,MAX(0,$E209-SUMIFS($V209:$AG209,'Calc base'!$C$19:$N$19,"&lt;"&amp;'Calc base'!L$19,'Calc base'!$C$14:$N$14,1))))</f>
        <v>0</v>
      </c>
      <c r="AR209">
        <f>IF('Calc base'!M$14=0,0,MIN(AF209,MAX(0,$E209-SUMIFS($V209:$AG209,'Calc base'!$C$19:$N$19,"&lt;"&amp;'Calc base'!M$19,'Calc base'!$C$14:$N$14,1))))</f>
        <v>0</v>
      </c>
      <c r="AS209">
        <f>IF('Calc base'!N$14=0,0,MIN(AG209,MAX(0,$E209-SUMIFS($V209:$AG209,'Calc base'!$C$19:$N$19,"&lt;"&amp;'Calc base'!N$19,'Calc base'!$C$14:$N$14,1))))</f>
        <v>0</v>
      </c>
      <c r="AT209">
        <f>V209-AH209</f>
        <v>0</v>
      </c>
      <c r="AU209">
        <f>W209-AI209</f>
        <v>0</v>
      </c>
      <c r="AV209">
        <f>X209-AJ209</f>
        <v>0</v>
      </c>
      <c r="AW209">
        <f>Y209-AK209</f>
        <v>0</v>
      </c>
      <c r="AX209">
        <f>Z209-AL209</f>
        <v>0</v>
      </c>
      <c r="AY209">
        <f>AA209-AM209</f>
        <v>0</v>
      </c>
      <c r="AZ209">
        <f>AB209-AN209</f>
        <v>0</v>
      </c>
      <c r="BA209">
        <f>AC209-AO209</f>
        <v>0</v>
      </c>
      <c r="BB209">
        <f>AD209-AP209</f>
        <v>0</v>
      </c>
      <c r="BC209">
        <f>AE209-AQ209</f>
        <v>0</v>
      </c>
      <c r="BD209">
        <f>AF209-AR209</f>
        <v>0</v>
      </c>
      <c r="BE209">
        <f>AG209-AS209</f>
        <v>0</v>
      </c>
    </row>
    <row r="210">
      <c r="A210" t="n">
        <v>180</v>
      </c>
      <c r="B210">
        <f>SUMPRODUCT(ROUND($AT209:$BE209*(1+'Calc base'!$H210:$S210),2))</f>
        <v>0</v>
      </c>
      <c r="C210">
        <f>SUM(J210:U210)</f>
        <v>0</v>
      </c>
      <c r="D210">
        <f>SUM(V210:AG210)</f>
        <v>0</v>
      </c>
      <c r="E210">
        <f>MAX(0,IF(Impostazioni!$B$7="No",'Calc base'!$C210-$C$31,'Calc base'!$C210-C210)+'Calc base'!$G210+'Calc base'!$F210-(B210-C210-D210))</f>
        <v>900</v>
      </c>
      <c r="F210">
        <f>SUM(AH210:AS210)</f>
        <v>0</v>
      </c>
      <c r="G210">
        <f>SUM(AT210:BE210)</f>
        <v>0</v>
      </c>
      <c r="H210">
        <f>B210-G209</f>
        <v>0</v>
      </c>
      <c r="I210">
        <f>B210-G210</f>
        <v>0</v>
      </c>
      <c r="J210">
        <f>IF(AT209&lt;=0,0,IF(ROUND(AT209*(1+'Calc base'!H210),2)-MAX('Calc base'!C$12,ROUND('Calc base'!C$13*AT209,2))&lt;1,ROUND(AT209*(1+'Calc base'!H210),2),MAX('Calc base'!C$12,ROUND('Calc base'!C$13*AT209,2))))</f>
        <v>0</v>
      </c>
      <c r="K210">
        <f>IF(AU209&lt;=0,0,IF(ROUND(AU209*(1+'Calc base'!I210),2)-MAX('Calc base'!D$12,ROUND('Calc base'!D$13*AU209,2))&lt;1,ROUND(AU209*(1+'Calc base'!I210),2),MAX('Calc base'!D$12,ROUND('Calc base'!D$13*AU209,2))))</f>
        <v>0</v>
      </c>
      <c r="L210">
        <f>IF(AV209&lt;=0,0,IF(ROUND(AV209*(1+'Calc base'!J210),2)-MAX('Calc base'!E$12,ROUND('Calc base'!E$13*AV209,2))&lt;1,ROUND(AV209*(1+'Calc base'!J210),2),MAX('Calc base'!E$12,ROUND('Calc base'!E$13*AV209,2))))</f>
        <v>0</v>
      </c>
      <c r="M210">
        <f>IF(AW209&lt;=0,0,IF(ROUND(AW209*(1+'Calc base'!K210),2)-MAX('Calc base'!F$12,ROUND('Calc base'!F$13*AW209,2))&lt;1,ROUND(AW209*(1+'Calc base'!K210),2),MAX('Calc base'!F$12,ROUND('Calc base'!F$13*AW209,2))))</f>
        <v>0</v>
      </c>
      <c r="N210">
        <f>IF(AX209&lt;=0,0,IF(ROUND(AX209*(1+'Calc base'!L210),2)-MAX('Calc base'!G$12,ROUND('Calc base'!G$13*AX209,2))&lt;1,ROUND(AX209*(1+'Calc base'!L210),2),MAX('Calc base'!G$12,ROUND('Calc base'!G$13*AX209,2))))</f>
        <v>0</v>
      </c>
      <c r="O210">
        <f>IF(AY209&lt;=0,0,IF(ROUND(AY209*(1+'Calc base'!M210),2)-MAX('Calc base'!H$12,ROUND('Calc base'!H$13*AY209,2))&lt;1,ROUND(AY209*(1+'Calc base'!M210),2),MAX('Calc base'!H$12,ROUND('Calc base'!H$13*AY209,2))))</f>
        <v>0</v>
      </c>
      <c r="P210">
        <f>IF(AZ209&lt;=0,0,IF(ROUND(AZ209*(1+'Calc base'!N210),2)-MAX('Calc base'!I$12,ROUND('Calc base'!I$13*AZ209,2))&lt;1,ROUND(AZ209*(1+'Calc base'!N210),2),MAX('Calc base'!I$12,ROUND('Calc base'!I$13*AZ209,2))))</f>
        <v>0</v>
      </c>
      <c r="Q210">
        <f>IF(BA209&lt;=0,0,IF(ROUND(BA209*(1+'Calc base'!O210),2)-MAX('Calc base'!J$12,ROUND('Calc base'!J$13*BA209,2))&lt;1,ROUND(BA209*(1+'Calc base'!O210),2),MAX('Calc base'!J$12,ROUND('Calc base'!J$13*BA209,2))))</f>
        <v>0</v>
      </c>
      <c r="R210">
        <f>IF(BB209&lt;=0,0,IF(ROUND(BB209*(1+'Calc base'!P210),2)-MAX('Calc base'!K$12,ROUND('Calc base'!K$13*BB209,2))&lt;1,ROUND(BB209*(1+'Calc base'!P210),2),MAX('Calc base'!K$12,ROUND('Calc base'!K$13*BB209,2))))</f>
        <v>0</v>
      </c>
      <c r="S210">
        <f>IF(BC209&lt;=0,0,IF(ROUND(BC209*(1+'Calc base'!Q210),2)-MAX('Calc base'!L$12,ROUND('Calc base'!L$13*BC209,2))&lt;1,ROUND(BC209*(1+'Calc base'!Q210),2),MAX('Calc base'!L$12,ROUND('Calc base'!L$13*BC209,2))))</f>
        <v>0</v>
      </c>
      <c r="T210">
        <f>IF(BD209&lt;=0,0,IF(ROUND(BD209*(1+'Calc base'!R210),2)-MAX('Calc base'!M$12,ROUND('Calc base'!M$13*BD209,2))&lt;1,ROUND(BD209*(1+'Calc base'!R210),2),MAX('Calc base'!M$12,ROUND('Calc base'!M$13*BD209,2))))</f>
        <v>0</v>
      </c>
      <c r="U210">
        <f>IF(BE209&lt;=0,0,IF(ROUND(BE209*(1+'Calc base'!S210),2)-MAX('Calc base'!N$12,ROUND('Calc base'!N$13*BE209,2))&lt;1,ROUND(BE209*(1+'Calc base'!S210),2),MAX('Calc base'!N$12,ROUND('Calc base'!N$13*BE209,2))))</f>
        <v>0</v>
      </c>
      <c r="V210">
        <f>MAX(0,ROUND(AT209*(1+'Calc base'!H210),2)-J210-'Calc base'!T210)</f>
        <v>0</v>
      </c>
      <c r="W210">
        <f>MAX(0,ROUND(AU209*(1+'Calc base'!I210),2)-K210-'Calc base'!U210)</f>
        <v>0</v>
      </c>
      <c r="X210">
        <f>MAX(0,ROUND(AV209*(1+'Calc base'!J210),2)-L210-'Calc base'!V210)</f>
        <v>0</v>
      </c>
      <c r="Y210">
        <f>MAX(0,ROUND(AW209*(1+'Calc base'!K210),2)-M210-'Calc base'!W210)</f>
        <v>0</v>
      </c>
      <c r="Z210">
        <f>MAX(0,ROUND(AX209*(1+'Calc base'!L210),2)-N210-'Calc base'!X210)</f>
        <v>0</v>
      </c>
      <c r="AA210">
        <f>MAX(0,ROUND(AY209*(1+'Calc base'!M210),2)-O210-'Calc base'!Y210)</f>
        <v>0</v>
      </c>
      <c r="AB210">
        <f>MAX(0,ROUND(AZ209*(1+'Calc base'!N210),2)-P210-'Calc base'!Z210)</f>
        <v>0</v>
      </c>
      <c r="AC210">
        <f>MAX(0,ROUND(BA209*(1+'Calc base'!O210),2)-Q210-'Calc base'!AA210)</f>
        <v>0</v>
      </c>
      <c r="AD210">
        <f>MAX(0,ROUND(BB209*(1+'Calc base'!P210),2)-R210-'Calc base'!AB210)</f>
        <v>0</v>
      </c>
      <c r="AE210">
        <f>MAX(0,ROUND(BC209*(1+'Calc base'!Q210),2)-S210-'Calc base'!AC210)</f>
        <v>0</v>
      </c>
      <c r="AF210">
        <f>MAX(0,ROUND(BD209*(1+'Calc base'!R210),2)-T210-'Calc base'!AD210)</f>
        <v>0</v>
      </c>
      <c r="AG210">
        <f>MAX(0,ROUND(BE209*(1+'Calc base'!S210),2)-U210-'Calc base'!AE210)</f>
        <v>0</v>
      </c>
      <c r="AH210">
        <f>IF('Calc base'!C$14=0,0,MIN(V210,MAX(0,$E210-SUMIFS($V210:$AG210,'Calc base'!$C$19:$N$19,"&lt;"&amp;'Calc base'!C$19,'Calc base'!$C$14:$N$14,1))))</f>
        <v>0</v>
      </c>
      <c r="AI210">
        <f>IF('Calc base'!D$14=0,0,MIN(W210,MAX(0,$E210-SUMIFS($V210:$AG210,'Calc base'!$C$19:$N$19,"&lt;"&amp;'Calc base'!D$19,'Calc base'!$C$14:$N$14,1))))</f>
        <v>0</v>
      </c>
      <c r="AJ210">
        <f>IF('Calc base'!E$14=0,0,MIN(X210,MAX(0,$E210-SUMIFS($V210:$AG210,'Calc base'!$C$19:$N$19,"&lt;"&amp;'Calc base'!E$19,'Calc base'!$C$14:$N$14,1))))</f>
        <v>0</v>
      </c>
      <c r="AK210">
        <f>IF('Calc base'!F$14=0,0,MIN(Y210,MAX(0,$E210-SUMIFS($V210:$AG210,'Calc base'!$C$19:$N$19,"&lt;"&amp;'Calc base'!F$19,'Calc base'!$C$14:$N$14,1))))</f>
        <v>0</v>
      </c>
      <c r="AL210">
        <f>IF('Calc base'!G$14=0,0,MIN(Z210,MAX(0,$E210-SUMIFS($V210:$AG210,'Calc base'!$C$19:$N$19,"&lt;"&amp;'Calc base'!G$19,'Calc base'!$C$14:$N$14,1))))</f>
        <v>0</v>
      </c>
      <c r="AM210">
        <f>IF('Calc base'!H$14=0,0,MIN(AA210,MAX(0,$E210-SUMIFS($V210:$AG210,'Calc base'!$C$19:$N$19,"&lt;"&amp;'Calc base'!H$19,'Calc base'!$C$14:$N$14,1))))</f>
        <v>0</v>
      </c>
      <c r="AN210">
        <f>IF('Calc base'!I$14=0,0,MIN(AB210,MAX(0,$E210-SUMIFS($V210:$AG210,'Calc base'!$C$19:$N$19,"&lt;"&amp;'Calc base'!I$19,'Calc base'!$C$14:$N$14,1))))</f>
        <v>0</v>
      </c>
      <c r="AO210">
        <f>IF('Calc base'!J$14=0,0,MIN(AC210,MAX(0,$E210-SUMIFS($V210:$AG210,'Calc base'!$C$19:$N$19,"&lt;"&amp;'Calc base'!J$19,'Calc base'!$C$14:$N$14,1))))</f>
        <v>0</v>
      </c>
      <c r="AP210">
        <f>IF('Calc base'!K$14=0,0,MIN(AD210,MAX(0,$E210-SUMIFS($V210:$AG210,'Calc base'!$C$19:$N$19,"&lt;"&amp;'Calc base'!K$19,'Calc base'!$C$14:$N$14,1))))</f>
        <v>0</v>
      </c>
      <c r="AQ210">
        <f>IF('Calc base'!L$14=0,0,MIN(AE210,MAX(0,$E210-SUMIFS($V210:$AG210,'Calc base'!$C$19:$N$19,"&lt;"&amp;'Calc base'!L$19,'Calc base'!$C$14:$N$14,1))))</f>
        <v>0</v>
      </c>
      <c r="AR210">
        <f>IF('Calc base'!M$14=0,0,MIN(AF210,MAX(0,$E210-SUMIFS($V210:$AG210,'Calc base'!$C$19:$N$19,"&lt;"&amp;'Calc base'!M$19,'Calc base'!$C$14:$N$14,1))))</f>
        <v>0</v>
      </c>
      <c r="AS210">
        <f>IF('Calc base'!N$14=0,0,MIN(AG210,MAX(0,$E210-SUMIFS($V210:$AG210,'Calc base'!$C$19:$N$19,"&lt;"&amp;'Calc base'!N$19,'Calc base'!$C$14:$N$14,1))))</f>
        <v>0</v>
      </c>
      <c r="AT210">
        <f>V210-AH210</f>
        <v>0</v>
      </c>
      <c r="AU210">
        <f>W210-AI210</f>
        <v>0</v>
      </c>
      <c r="AV210">
        <f>X210-AJ210</f>
        <v>0</v>
      </c>
      <c r="AW210">
        <f>Y210-AK210</f>
        <v>0</v>
      </c>
      <c r="AX210">
        <f>Z210-AL210</f>
        <v>0</v>
      </c>
      <c r="AY210">
        <f>AA210-AM210</f>
        <v>0</v>
      </c>
      <c r="AZ210">
        <f>AB210-AN210</f>
        <v>0</v>
      </c>
      <c r="BA210">
        <f>AC210-AO210</f>
        <v>0</v>
      </c>
      <c r="BB210">
        <f>AD210-AP210</f>
        <v>0</v>
      </c>
      <c r="BC210">
        <f>AE210-AQ210</f>
        <v>0</v>
      </c>
      <c r="BD210">
        <f>AF210-AR210</f>
        <v>0</v>
      </c>
      <c r="BE210">
        <f>AG210-AS210</f>
        <v>0</v>
      </c>
    </row>
    <row r="211">
      <c r="A211" t="n">
        <v>181</v>
      </c>
      <c r="B211">
        <f>SUMPRODUCT(ROUND($AT210:$BE210*(1+'Calc base'!$H211:$S211),2))</f>
        <v>0</v>
      </c>
      <c r="C211">
        <f>SUM(J211:U211)</f>
        <v>0</v>
      </c>
      <c r="D211">
        <f>SUM(V211:AG211)</f>
        <v>0</v>
      </c>
      <c r="E211">
        <f>MAX(0,IF(Impostazioni!$B$7="No",'Calc base'!$C211-$C$31,'Calc base'!$C211-C211)+'Calc base'!$G211+'Calc base'!$F211-(B211-C211-D211))</f>
        <v>900</v>
      </c>
      <c r="F211">
        <f>SUM(AH211:AS211)</f>
        <v>0</v>
      </c>
      <c r="G211">
        <f>SUM(AT211:BE211)</f>
        <v>0</v>
      </c>
      <c r="H211">
        <f>B211-G210</f>
        <v>0</v>
      </c>
      <c r="I211">
        <f>B211-G211</f>
        <v>0</v>
      </c>
      <c r="J211">
        <f>IF(AT210&lt;=0,0,IF(ROUND(AT210*(1+'Calc base'!H211),2)-MAX('Calc base'!C$12,ROUND('Calc base'!C$13*AT210,2))&lt;1,ROUND(AT210*(1+'Calc base'!H211),2),MAX('Calc base'!C$12,ROUND('Calc base'!C$13*AT210,2))))</f>
        <v>0</v>
      </c>
      <c r="K211">
        <f>IF(AU210&lt;=0,0,IF(ROUND(AU210*(1+'Calc base'!I211),2)-MAX('Calc base'!D$12,ROUND('Calc base'!D$13*AU210,2))&lt;1,ROUND(AU210*(1+'Calc base'!I211),2),MAX('Calc base'!D$12,ROUND('Calc base'!D$13*AU210,2))))</f>
        <v>0</v>
      </c>
      <c r="L211">
        <f>IF(AV210&lt;=0,0,IF(ROUND(AV210*(1+'Calc base'!J211),2)-MAX('Calc base'!E$12,ROUND('Calc base'!E$13*AV210,2))&lt;1,ROUND(AV210*(1+'Calc base'!J211),2),MAX('Calc base'!E$12,ROUND('Calc base'!E$13*AV210,2))))</f>
        <v>0</v>
      </c>
      <c r="M211">
        <f>IF(AW210&lt;=0,0,IF(ROUND(AW210*(1+'Calc base'!K211),2)-MAX('Calc base'!F$12,ROUND('Calc base'!F$13*AW210,2))&lt;1,ROUND(AW210*(1+'Calc base'!K211),2),MAX('Calc base'!F$12,ROUND('Calc base'!F$13*AW210,2))))</f>
        <v>0</v>
      </c>
      <c r="N211">
        <f>IF(AX210&lt;=0,0,IF(ROUND(AX210*(1+'Calc base'!L211),2)-MAX('Calc base'!G$12,ROUND('Calc base'!G$13*AX210,2))&lt;1,ROUND(AX210*(1+'Calc base'!L211),2),MAX('Calc base'!G$12,ROUND('Calc base'!G$13*AX210,2))))</f>
        <v>0</v>
      </c>
      <c r="O211">
        <f>IF(AY210&lt;=0,0,IF(ROUND(AY210*(1+'Calc base'!M211),2)-MAX('Calc base'!H$12,ROUND('Calc base'!H$13*AY210,2))&lt;1,ROUND(AY210*(1+'Calc base'!M211),2),MAX('Calc base'!H$12,ROUND('Calc base'!H$13*AY210,2))))</f>
        <v>0</v>
      </c>
      <c r="P211">
        <f>IF(AZ210&lt;=0,0,IF(ROUND(AZ210*(1+'Calc base'!N211),2)-MAX('Calc base'!I$12,ROUND('Calc base'!I$13*AZ210,2))&lt;1,ROUND(AZ210*(1+'Calc base'!N211),2),MAX('Calc base'!I$12,ROUND('Calc base'!I$13*AZ210,2))))</f>
        <v>0</v>
      </c>
      <c r="Q211">
        <f>IF(BA210&lt;=0,0,IF(ROUND(BA210*(1+'Calc base'!O211),2)-MAX('Calc base'!J$12,ROUND('Calc base'!J$13*BA210,2))&lt;1,ROUND(BA210*(1+'Calc base'!O211),2),MAX('Calc base'!J$12,ROUND('Calc base'!J$13*BA210,2))))</f>
        <v>0</v>
      </c>
      <c r="R211">
        <f>IF(BB210&lt;=0,0,IF(ROUND(BB210*(1+'Calc base'!P211),2)-MAX('Calc base'!K$12,ROUND('Calc base'!K$13*BB210,2))&lt;1,ROUND(BB210*(1+'Calc base'!P211),2),MAX('Calc base'!K$12,ROUND('Calc base'!K$13*BB210,2))))</f>
        <v>0</v>
      </c>
      <c r="S211">
        <f>IF(BC210&lt;=0,0,IF(ROUND(BC210*(1+'Calc base'!Q211),2)-MAX('Calc base'!L$12,ROUND('Calc base'!L$13*BC210,2))&lt;1,ROUND(BC210*(1+'Calc base'!Q211),2),MAX('Calc base'!L$12,ROUND('Calc base'!L$13*BC210,2))))</f>
        <v>0</v>
      </c>
      <c r="T211">
        <f>IF(BD210&lt;=0,0,IF(ROUND(BD210*(1+'Calc base'!R211),2)-MAX('Calc base'!M$12,ROUND('Calc base'!M$13*BD210,2))&lt;1,ROUND(BD210*(1+'Calc base'!R211),2),MAX('Calc base'!M$12,ROUND('Calc base'!M$13*BD210,2))))</f>
        <v>0</v>
      </c>
      <c r="U211">
        <f>IF(BE210&lt;=0,0,IF(ROUND(BE210*(1+'Calc base'!S211),2)-MAX('Calc base'!N$12,ROUND('Calc base'!N$13*BE210,2))&lt;1,ROUND(BE210*(1+'Calc base'!S211),2),MAX('Calc base'!N$12,ROUND('Calc base'!N$13*BE210,2))))</f>
        <v>0</v>
      </c>
      <c r="V211">
        <f>MAX(0,ROUND(AT210*(1+'Calc base'!H211),2)-J211-'Calc base'!T211)</f>
        <v>0</v>
      </c>
      <c r="W211">
        <f>MAX(0,ROUND(AU210*(1+'Calc base'!I211),2)-K211-'Calc base'!U211)</f>
        <v>0</v>
      </c>
      <c r="X211">
        <f>MAX(0,ROUND(AV210*(1+'Calc base'!J211),2)-L211-'Calc base'!V211)</f>
        <v>0</v>
      </c>
      <c r="Y211">
        <f>MAX(0,ROUND(AW210*(1+'Calc base'!K211),2)-M211-'Calc base'!W211)</f>
        <v>0</v>
      </c>
      <c r="Z211">
        <f>MAX(0,ROUND(AX210*(1+'Calc base'!L211),2)-N211-'Calc base'!X211)</f>
        <v>0</v>
      </c>
      <c r="AA211">
        <f>MAX(0,ROUND(AY210*(1+'Calc base'!M211),2)-O211-'Calc base'!Y211)</f>
        <v>0</v>
      </c>
      <c r="AB211">
        <f>MAX(0,ROUND(AZ210*(1+'Calc base'!N211),2)-P211-'Calc base'!Z211)</f>
        <v>0</v>
      </c>
      <c r="AC211">
        <f>MAX(0,ROUND(BA210*(1+'Calc base'!O211),2)-Q211-'Calc base'!AA211)</f>
        <v>0</v>
      </c>
      <c r="AD211">
        <f>MAX(0,ROUND(BB210*(1+'Calc base'!P211),2)-R211-'Calc base'!AB211)</f>
        <v>0</v>
      </c>
      <c r="AE211">
        <f>MAX(0,ROUND(BC210*(1+'Calc base'!Q211),2)-S211-'Calc base'!AC211)</f>
        <v>0</v>
      </c>
      <c r="AF211">
        <f>MAX(0,ROUND(BD210*(1+'Calc base'!R211),2)-T211-'Calc base'!AD211)</f>
        <v>0</v>
      </c>
      <c r="AG211">
        <f>MAX(0,ROUND(BE210*(1+'Calc base'!S211),2)-U211-'Calc base'!AE211)</f>
        <v>0</v>
      </c>
      <c r="AH211">
        <f>IF('Calc base'!C$14=0,0,MIN(V211,MAX(0,$E211-SUMIFS($V211:$AG211,'Calc base'!$C$19:$N$19,"&lt;"&amp;'Calc base'!C$19,'Calc base'!$C$14:$N$14,1))))</f>
        <v>0</v>
      </c>
      <c r="AI211">
        <f>IF('Calc base'!D$14=0,0,MIN(W211,MAX(0,$E211-SUMIFS($V211:$AG211,'Calc base'!$C$19:$N$19,"&lt;"&amp;'Calc base'!D$19,'Calc base'!$C$14:$N$14,1))))</f>
        <v>0</v>
      </c>
      <c r="AJ211">
        <f>IF('Calc base'!E$14=0,0,MIN(X211,MAX(0,$E211-SUMIFS($V211:$AG211,'Calc base'!$C$19:$N$19,"&lt;"&amp;'Calc base'!E$19,'Calc base'!$C$14:$N$14,1))))</f>
        <v>0</v>
      </c>
      <c r="AK211">
        <f>IF('Calc base'!F$14=0,0,MIN(Y211,MAX(0,$E211-SUMIFS($V211:$AG211,'Calc base'!$C$19:$N$19,"&lt;"&amp;'Calc base'!F$19,'Calc base'!$C$14:$N$14,1))))</f>
        <v>0</v>
      </c>
      <c r="AL211">
        <f>IF('Calc base'!G$14=0,0,MIN(Z211,MAX(0,$E211-SUMIFS($V211:$AG211,'Calc base'!$C$19:$N$19,"&lt;"&amp;'Calc base'!G$19,'Calc base'!$C$14:$N$14,1))))</f>
        <v>0</v>
      </c>
      <c r="AM211">
        <f>IF('Calc base'!H$14=0,0,MIN(AA211,MAX(0,$E211-SUMIFS($V211:$AG211,'Calc base'!$C$19:$N$19,"&lt;"&amp;'Calc base'!H$19,'Calc base'!$C$14:$N$14,1))))</f>
        <v>0</v>
      </c>
      <c r="AN211">
        <f>IF('Calc base'!I$14=0,0,MIN(AB211,MAX(0,$E211-SUMIFS($V211:$AG211,'Calc base'!$C$19:$N$19,"&lt;"&amp;'Calc base'!I$19,'Calc base'!$C$14:$N$14,1))))</f>
        <v>0</v>
      </c>
      <c r="AO211">
        <f>IF('Calc base'!J$14=0,0,MIN(AC211,MAX(0,$E211-SUMIFS($V211:$AG211,'Calc base'!$C$19:$N$19,"&lt;"&amp;'Calc base'!J$19,'Calc base'!$C$14:$N$14,1))))</f>
        <v>0</v>
      </c>
      <c r="AP211">
        <f>IF('Calc base'!K$14=0,0,MIN(AD211,MAX(0,$E211-SUMIFS($V211:$AG211,'Calc base'!$C$19:$N$19,"&lt;"&amp;'Calc base'!K$19,'Calc base'!$C$14:$N$14,1))))</f>
        <v>0</v>
      </c>
      <c r="AQ211">
        <f>IF('Calc base'!L$14=0,0,MIN(AE211,MAX(0,$E211-SUMIFS($V211:$AG211,'Calc base'!$C$19:$N$19,"&lt;"&amp;'Calc base'!L$19,'Calc base'!$C$14:$N$14,1))))</f>
        <v>0</v>
      </c>
      <c r="AR211">
        <f>IF('Calc base'!M$14=0,0,MIN(AF211,MAX(0,$E211-SUMIFS($V211:$AG211,'Calc base'!$C$19:$N$19,"&lt;"&amp;'Calc base'!M$19,'Calc base'!$C$14:$N$14,1))))</f>
        <v>0</v>
      </c>
      <c r="AS211">
        <f>IF('Calc base'!N$14=0,0,MIN(AG211,MAX(0,$E211-SUMIFS($V211:$AG211,'Calc base'!$C$19:$N$19,"&lt;"&amp;'Calc base'!N$19,'Calc base'!$C$14:$N$14,1))))</f>
        <v>0</v>
      </c>
      <c r="AT211">
        <f>V211-AH211</f>
        <v>0</v>
      </c>
      <c r="AU211">
        <f>W211-AI211</f>
        <v>0</v>
      </c>
      <c r="AV211">
        <f>X211-AJ211</f>
        <v>0</v>
      </c>
      <c r="AW211">
        <f>Y211-AK211</f>
        <v>0</v>
      </c>
      <c r="AX211">
        <f>Z211-AL211</f>
        <v>0</v>
      </c>
      <c r="AY211">
        <f>AA211-AM211</f>
        <v>0</v>
      </c>
      <c r="AZ211">
        <f>AB211-AN211</f>
        <v>0</v>
      </c>
      <c r="BA211">
        <f>AC211-AO211</f>
        <v>0</v>
      </c>
      <c r="BB211">
        <f>AD211-AP211</f>
        <v>0</v>
      </c>
      <c r="BC211">
        <f>AE211-AQ211</f>
        <v>0</v>
      </c>
      <c r="BD211">
        <f>AF211-AR211</f>
        <v>0</v>
      </c>
      <c r="BE211">
        <f>AG211-AS211</f>
        <v>0</v>
      </c>
    </row>
    <row r="212">
      <c r="A212" t="n">
        <v>182</v>
      </c>
      <c r="B212">
        <f>SUMPRODUCT(ROUND($AT211:$BE211*(1+'Calc base'!$H212:$S212),2))</f>
        <v>0</v>
      </c>
      <c r="C212">
        <f>SUM(J212:U212)</f>
        <v>0</v>
      </c>
      <c r="D212">
        <f>SUM(V212:AG212)</f>
        <v>0</v>
      </c>
      <c r="E212">
        <f>MAX(0,IF(Impostazioni!$B$7="No",'Calc base'!$C212-$C$31,'Calc base'!$C212-C212)+'Calc base'!$G212+'Calc base'!$F212-(B212-C212-D212))</f>
        <v>900</v>
      </c>
      <c r="F212">
        <f>SUM(AH212:AS212)</f>
        <v>0</v>
      </c>
      <c r="G212">
        <f>SUM(AT212:BE212)</f>
        <v>0</v>
      </c>
      <c r="H212">
        <f>B212-G211</f>
        <v>0</v>
      </c>
      <c r="I212">
        <f>B212-G212</f>
        <v>0</v>
      </c>
      <c r="J212">
        <f>IF(AT211&lt;=0,0,IF(ROUND(AT211*(1+'Calc base'!H212),2)-MAX('Calc base'!C$12,ROUND('Calc base'!C$13*AT211,2))&lt;1,ROUND(AT211*(1+'Calc base'!H212),2),MAX('Calc base'!C$12,ROUND('Calc base'!C$13*AT211,2))))</f>
        <v>0</v>
      </c>
      <c r="K212">
        <f>IF(AU211&lt;=0,0,IF(ROUND(AU211*(1+'Calc base'!I212),2)-MAX('Calc base'!D$12,ROUND('Calc base'!D$13*AU211,2))&lt;1,ROUND(AU211*(1+'Calc base'!I212),2),MAX('Calc base'!D$12,ROUND('Calc base'!D$13*AU211,2))))</f>
        <v>0</v>
      </c>
      <c r="L212">
        <f>IF(AV211&lt;=0,0,IF(ROUND(AV211*(1+'Calc base'!J212),2)-MAX('Calc base'!E$12,ROUND('Calc base'!E$13*AV211,2))&lt;1,ROUND(AV211*(1+'Calc base'!J212),2),MAX('Calc base'!E$12,ROUND('Calc base'!E$13*AV211,2))))</f>
        <v>0</v>
      </c>
      <c r="M212">
        <f>IF(AW211&lt;=0,0,IF(ROUND(AW211*(1+'Calc base'!K212),2)-MAX('Calc base'!F$12,ROUND('Calc base'!F$13*AW211,2))&lt;1,ROUND(AW211*(1+'Calc base'!K212),2),MAX('Calc base'!F$12,ROUND('Calc base'!F$13*AW211,2))))</f>
        <v>0</v>
      </c>
      <c r="N212">
        <f>IF(AX211&lt;=0,0,IF(ROUND(AX211*(1+'Calc base'!L212),2)-MAX('Calc base'!G$12,ROUND('Calc base'!G$13*AX211,2))&lt;1,ROUND(AX211*(1+'Calc base'!L212),2),MAX('Calc base'!G$12,ROUND('Calc base'!G$13*AX211,2))))</f>
        <v>0</v>
      </c>
      <c r="O212">
        <f>IF(AY211&lt;=0,0,IF(ROUND(AY211*(1+'Calc base'!M212),2)-MAX('Calc base'!H$12,ROUND('Calc base'!H$13*AY211,2))&lt;1,ROUND(AY211*(1+'Calc base'!M212),2),MAX('Calc base'!H$12,ROUND('Calc base'!H$13*AY211,2))))</f>
        <v>0</v>
      </c>
      <c r="P212">
        <f>IF(AZ211&lt;=0,0,IF(ROUND(AZ211*(1+'Calc base'!N212),2)-MAX('Calc base'!I$12,ROUND('Calc base'!I$13*AZ211,2))&lt;1,ROUND(AZ211*(1+'Calc base'!N212),2),MAX('Calc base'!I$12,ROUND('Calc base'!I$13*AZ211,2))))</f>
        <v>0</v>
      </c>
      <c r="Q212">
        <f>IF(BA211&lt;=0,0,IF(ROUND(BA211*(1+'Calc base'!O212),2)-MAX('Calc base'!J$12,ROUND('Calc base'!J$13*BA211,2))&lt;1,ROUND(BA211*(1+'Calc base'!O212),2),MAX('Calc base'!J$12,ROUND('Calc base'!J$13*BA211,2))))</f>
        <v>0</v>
      </c>
      <c r="R212">
        <f>IF(BB211&lt;=0,0,IF(ROUND(BB211*(1+'Calc base'!P212),2)-MAX('Calc base'!K$12,ROUND('Calc base'!K$13*BB211,2))&lt;1,ROUND(BB211*(1+'Calc base'!P212),2),MAX('Calc base'!K$12,ROUND('Calc base'!K$13*BB211,2))))</f>
        <v>0</v>
      </c>
      <c r="S212">
        <f>IF(BC211&lt;=0,0,IF(ROUND(BC211*(1+'Calc base'!Q212),2)-MAX('Calc base'!L$12,ROUND('Calc base'!L$13*BC211,2))&lt;1,ROUND(BC211*(1+'Calc base'!Q212),2),MAX('Calc base'!L$12,ROUND('Calc base'!L$13*BC211,2))))</f>
        <v>0</v>
      </c>
      <c r="T212">
        <f>IF(BD211&lt;=0,0,IF(ROUND(BD211*(1+'Calc base'!R212),2)-MAX('Calc base'!M$12,ROUND('Calc base'!M$13*BD211,2))&lt;1,ROUND(BD211*(1+'Calc base'!R212),2),MAX('Calc base'!M$12,ROUND('Calc base'!M$13*BD211,2))))</f>
        <v>0</v>
      </c>
      <c r="U212">
        <f>IF(BE211&lt;=0,0,IF(ROUND(BE211*(1+'Calc base'!S212),2)-MAX('Calc base'!N$12,ROUND('Calc base'!N$13*BE211,2))&lt;1,ROUND(BE211*(1+'Calc base'!S212),2),MAX('Calc base'!N$12,ROUND('Calc base'!N$13*BE211,2))))</f>
        <v>0</v>
      </c>
      <c r="V212">
        <f>MAX(0,ROUND(AT211*(1+'Calc base'!H212),2)-J212-'Calc base'!T212)</f>
        <v>0</v>
      </c>
      <c r="W212">
        <f>MAX(0,ROUND(AU211*(1+'Calc base'!I212),2)-K212-'Calc base'!U212)</f>
        <v>0</v>
      </c>
      <c r="X212">
        <f>MAX(0,ROUND(AV211*(1+'Calc base'!J212),2)-L212-'Calc base'!V212)</f>
        <v>0</v>
      </c>
      <c r="Y212">
        <f>MAX(0,ROUND(AW211*(1+'Calc base'!K212),2)-M212-'Calc base'!W212)</f>
        <v>0</v>
      </c>
      <c r="Z212">
        <f>MAX(0,ROUND(AX211*(1+'Calc base'!L212),2)-N212-'Calc base'!X212)</f>
        <v>0</v>
      </c>
      <c r="AA212">
        <f>MAX(0,ROUND(AY211*(1+'Calc base'!M212),2)-O212-'Calc base'!Y212)</f>
        <v>0</v>
      </c>
      <c r="AB212">
        <f>MAX(0,ROUND(AZ211*(1+'Calc base'!N212),2)-P212-'Calc base'!Z212)</f>
        <v>0</v>
      </c>
      <c r="AC212">
        <f>MAX(0,ROUND(BA211*(1+'Calc base'!O212),2)-Q212-'Calc base'!AA212)</f>
        <v>0</v>
      </c>
      <c r="AD212">
        <f>MAX(0,ROUND(BB211*(1+'Calc base'!P212),2)-R212-'Calc base'!AB212)</f>
        <v>0</v>
      </c>
      <c r="AE212">
        <f>MAX(0,ROUND(BC211*(1+'Calc base'!Q212),2)-S212-'Calc base'!AC212)</f>
        <v>0</v>
      </c>
      <c r="AF212">
        <f>MAX(0,ROUND(BD211*(1+'Calc base'!R212),2)-T212-'Calc base'!AD212)</f>
        <v>0</v>
      </c>
      <c r="AG212">
        <f>MAX(0,ROUND(BE211*(1+'Calc base'!S212),2)-U212-'Calc base'!AE212)</f>
        <v>0</v>
      </c>
      <c r="AH212">
        <f>IF('Calc base'!C$14=0,0,MIN(V212,MAX(0,$E212-SUMIFS($V212:$AG212,'Calc base'!$C$19:$N$19,"&lt;"&amp;'Calc base'!C$19,'Calc base'!$C$14:$N$14,1))))</f>
        <v>0</v>
      </c>
      <c r="AI212">
        <f>IF('Calc base'!D$14=0,0,MIN(W212,MAX(0,$E212-SUMIFS($V212:$AG212,'Calc base'!$C$19:$N$19,"&lt;"&amp;'Calc base'!D$19,'Calc base'!$C$14:$N$14,1))))</f>
        <v>0</v>
      </c>
      <c r="AJ212">
        <f>IF('Calc base'!E$14=0,0,MIN(X212,MAX(0,$E212-SUMIFS($V212:$AG212,'Calc base'!$C$19:$N$19,"&lt;"&amp;'Calc base'!E$19,'Calc base'!$C$14:$N$14,1))))</f>
        <v>0</v>
      </c>
      <c r="AK212">
        <f>IF('Calc base'!F$14=0,0,MIN(Y212,MAX(0,$E212-SUMIFS($V212:$AG212,'Calc base'!$C$19:$N$19,"&lt;"&amp;'Calc base'!F$19,'Calc base'!$C$14:$N$14,1))))</f>
        <v>0</v>
      </c>
      <c r="AL212">
        <f>IF('Calc base'!G$14=0,0,MIN(Z212,MAX(0,$E212-SUMIFS($V212:$AG212,'Calc base'!$C$19:$N$19,"&lt;"&amp;'Calc base'!G$19,'Calc base'!$C$14:$N$14,1))))</f>
        <v>0</v>
      </c>
      <c r="AM212">
        <f>IF('Calc base'!H$14=0,0,MIN(AA212,MAX(0,$E212-SUMIFS($V212:$AG212,'Calc base'!$C$19:$N$19,"&lt;"&amp;'Calc base'!H$19,'Calc base'!$C$14:$N$14,1))))</f>
        <v>0</v>
      </c>
      <c r="AN212">
        <f>IF('Calc base'!I$14=0,0,MIN(AB212,MAX(0,$E212-SUMIFS($V212:$AG212,'Calc base'!$C$19:$N$19,"&lt;"&amp;'Calc base'!I$19,'Calc base'!$C$14:$N$14,1))))</f>
        <v>0</v>
      </c>
      <c r="AO212">
        <f>IF('Calc base'!J$14=0,0,MIN(AC212,MAX(0,$E212-SUMIFS($V212:$AG212,'Calc base'!$C$19:$N$19,"&lt;"&amp;'Calc base'!J$19,'Calc base'!$C$14:$N$14,1))))</f>
        <v>0</v>
      </c>
      <c r="AP212">
        <f>IF('Calc base'!K$14=0,0,MIN(AD212,MAX(0,$E212-SUMIFS($V212:$AG212,'Calc base'!$C$19:$N$19,"&lt;"&amp;'Calc base'!K$19,'Calc base'!$C$14:$N$14,1))))</f>
        <v>0</v>
      </c>
      <c r="AQ212">
        <f>IF('Calc base'!L$14=0,0,MIN(AE212,MAX(0,$E212-SUMIFS($V212:$AG212,'Calc base'!$C$19:$N$19,"&lt;"&amp;'Calc base'!L$19,'Calc base'!$C$14:$N$14,1))))</f>
        <v>0</v>
      </c>
      <c r="AR212">
        <f>IF('Calc base'!M$14=0,0,MIN(AF212,MAX(0,$E212-SUMIFS($V212:$AG212,'Calc base'!$C$19:$N$19,"&lt;"&amp;'Calc base'!M$19,'Calc base'!$C$14:$N$14,1))))</f>
        <v>0</v>
      </c>
      <c r="AS212">
        <f>IF('Calc base'!N$14=0,0,MIN(AG212,MAX(0,$E212-SUMIFS($V212:$AG212,'Calc base'!$C$19:$N$19,"&lt;"&amp;'Calc base'!N$19,'Calc base'!$C$14:$N$14,1))))</f>
        <v>0</v>
      </c>
      <c r="AT212">
        <f>V212-AH212</f>
        <v>0</v>
      </c>
      <c r="AU212">
        <f>W212-AI212</f>
        <v>0</v>
      </c>
      <c r="AV212">
        <f>X212-AJ212</f>
        <v>0</v>
      </c>
      <c r="AW212">
        <f>Y212-AK212</f>
        <v>0</v>
      </c>
      <c r="AX212">
        <f>Z212-AL212</f>
        <v>0</v>
      </c>
      <c r="AY212">
        <f>AA212-AM212</f>
        <v>0</v>
      </c>
      <c r="AZ212">
        <f>AB212-AN212</f>
        <v>0</v>
      </c>
      <c r="BA212">
        <f>AC212-AO212</f>
        <v>0</v>
      </c>
      <c r="BB212">
        <f>AD212-AP212</f>
        <v>0</v>
      </c>
      <c r="BC212">
        <f>AE212-AQ212</f>
        <v>0</v>
      </c>
      <c r="BD212">
        <f>AF212-AR212</f>
        <v>0</v>
      </c>
      <c r="BE212">
        <f>AG212-AS212</f>
        <v>0</v>
      </c>
    </row>
    <row r="213">
      <c r="A213" t="n">
        <v>183</v>
      </c>
      <c r="B213">
        <f>SUMPRODUCT(ROUND($AT212:$BE212*(1+'Calc base'!$H213:$S213),2))</f>
        <v>0</v>
      </c>
      <c r="C213">
        <f>SUM(J213:U213)</f>
        <v>0</v>
      </c>
      <c r="D213">
        <f>SUM(V213:AG213)</f>
        <v>0</v>
      </c>
      <c r="E213">
        <f>MAX(0,IF(Impostazioni!$B$7="No",'Calc base'!$C213-$C$31,'Calc base'!$C213-C213)+'Calc base'!$G213+'Calc base'!$F213-(B213-C213-D213))</f>
        <v>900</v>
      </c>
      <c r="F213">
        <f>SUM(AH213:AS213)</f>
        <v>0</v>
      </c>
      <c r="G213">
        <f>SUM(AT213:BE213)</f>
        <v>0</v>
      </c>
      <c r="H213">
        <f>B213-G212</f>
        <v>0</v>
      </c>
      <c r="I213">
        <f>B213-G213</f>
        <v>0</v>
      </c>
      <c r="J213">
        <f>IF(AT212&lt;=0,0,IF(ROUND(AT212*(1+'Calc base'!H213),2)-MAX('Calc base'!C$12,ROUND('Calc base'!C$13*AT212,2))&lt;1,ROUND(AT212*(1+'Calc base'!H213),2),MAX('Calc base'!C$12,ROUND('Calc base'!C$13*AT212,2))))</f>
        <v>0</v>
      </c>
      <c r="K213">
        <f>IF(AU212&lt;=0,0,IF(ROUND(AU212*(1+'Calc base'!I213),2)-MAX('Calc base'!D$12,ROUND('Calc base'!D$13*AU212,2))&lt;1,ROUND(AU212*(1+'Calc base'!I213),2),MAX('Calc base'!D$12,ROUND('Calc base'!D$13*AU212,2))))</f>
        <v>0</v>
      </c>
      <c r="L213">
        <f>IF(AV212&lt;=0,0,IF(ROUND(AV212*(1+'Calc base'!J213),2)-MAX('Calc base'!E$12,ROUND('Calc base'!E$13*AV212,2))&lt;1,ROUND(AV212*(1+'Calc base'!J213),2),MAX('Calc base'!E$12,ROUND('Calc base'!E$13*AV212,2))))</f>
        <v>0</v>
      </c>
      <c r="M213">
        <f>IF(AW212&lt;=0,0,IF(ROUND(AW212*(1+'Calc base'!K213),2)-MAX('Calc base'!F$12,ROUND('Calc base'!F$13*AW212,2))&lt;1,ROUND(AW212*(1+'Calc base'!K213),2),MAX('Calc base'!F$12,ROUND('Calc base'!F$13*AW212,2))))</f>
        <v>0</v>
      </c>
      <c r="N213">
        <f>IF(AX212&lt;=0,0,IF(ROUND(AX212*(1+'Calc base'!L213),2)-MAX('Calc base'!G$12,ROUND('Calc base'!G$13*AX212,2))&lt;1,ROUND(AX212*(1+'Calc base'!L213),2),MAX('Calc base'!G$12,ROUND('Calc base'!G$13*AX212,2))))</f>
        <v>0</v>
      </c>
      <c r="O213">
        <f>IF(AY212&lt;=0,0,IF(ROUND(AY212*(1+'Calc base'!M213),2)-MAX('Calc base'!H$12,ROUND('Calc base'!H$13*AY212,2))&lt;1,ROUND(AY212*(1+'Calc base'!M213),2),MAX('Calc base'!H$12,ROUND('Calc base'!H$13*AY212,2))))</f>
        <v>0</v>
      </c>
      <c r="P213">
        <f>IF(AZ212&lt;=0,0,IF(ROUND(AZ212*(1+'Calc base'!N213),2)-MAX('Calc base'!I$12,ROUND('Calc base'!I$13*AZ212,2))&lt;1,ROUND(AZ212*(1+'Calc base'!N213),2),MAX('Calc base'!I$12,ROUND('Calc base'!I$13*AZ212,2))))</f>
        <v>0</v>
      </c>
      <c r="Q213">
        <f>IF(BA212&lt;=0,0,IF(ROUND(BA212*(1+'Calc base'!O213),2)-MAX('Calc base'!J$12,ROUND('Calc base'!J$13*BA212,2))&lt;1,ROUND(BA212*(1+'Calc base'!O213),2),MAX('Calc base'!J$12,ROUND('Calc base'!J$13*BA212,2))))</f>
        <v>0</v>
      </c>
      <c r="R213">
        <f>IF(BB212&lt;=0,0,IF(ROUND(BB212*(1+'Calc base'!P213),2)-MAX('Calc base'!K$12,ROUND('Calc base'!K$13*BB212,2))&lt;1,ROUND(BB212*(1+'Calc base'!P213),2),MAX('Calc base'!K$12,ROUND('Calc base'!K$13*BB212,2))))</f>
        <v>0</v>
      </c>
      <c r="S213">
        <f>IF(BC212&lt;=0,0,IF(ROUND(BC212*(1+'Calc base'!Q213),2)-MAX('Calc base'!L$12,ROUND('Calc base'!L$13*BC212,2))&lt;1,ROUND(BC212*(1+'Calc base'!Q213),2),MAX('Calc base'!L$12,ROUND('Calc base'!L$13*BC212,2))))</f>
        <v>0</v>
      </c>
      <c r="T213">
        <f>IF(BD212&lt;=0,0,IF(ROUND(BD212*(1+'Calc base'!R213),2)-MAX('Calc base'!M$12,ROUND('Calc base'!M$13*BD212,2))&lt;1,ROUND(BD212*(1+'Calc base'!R213),2),MAX('Calc base'!M$12,ROUND('Calc base'!M$13*BD212,2))))</f>
        <v>0</v>
      </c>
      <c r="U213">
        <f>IF(BE212&lt;=0,0,IF(ROUND(BE212*(1+'Calc base'!S213),2)-MAX('Calc base'!N$12,ROUND('Calc base'!N$13*BE212,2))&lt;1,ROUND(BE212*(1+'Calc base'!S213),2),MAX('Calc base'!N$12,ROUND('Calc base'!N$13*BE212,2))))</f>
        <v>0</v>
      </c>
      <c r="V213">
        <f>MAX(0,ROUND(AT212*(1+'Calc base'!H213),2)-J213-'Calc base'!T213)</f>
        <v>0</v>
      </c>
      <c r="W213">
        <f>MAX(0,ROUND(AU212*(1+'Calc base'!I213),2)-K213-'Calc base'!U213)</f>
        <v>0</v>
      </c>
      <c r="X213">
        <f>MAX(0,ROUND(AV212*(1+'Calc base'!J213),2)-L213-'Calc base'!V213)</f>
        <v>0</v>
      </c>
      <c r="Y213">
        <f>MAX(0,ROUND(AW212*(1+'Calc base'!K213),2)-M213-'Calc base'!W213)</f>
        <v>0</v>
      </c>
      <c r="Z213">
        <f>MAX(0,ROUND(AX212*(1+'Calc base'!L213),2)-N213-'Calc base'!X213)</f>
        <v>0</v>
      </c>
      <c r="AA213">
        <f>MAX(0,ROUND(AY212*(1+'Calc base'!M213),2)-O213-'Calc base'!Y213)</f>
        <v>0</v>
      </c>
      <c r="AB213">
        <f>MAX(0,ROUND(AZ212*(1+'Calc base'!N213),2)-P213-'Calc base'!Z213)</f>
        <v>0</v>
      </c>
      <c r="AC213">
        <f>MAX(0,ROUND(BA212*(1+'Calc base'!O213),2)-Q213-'Calc base'!AA213)</f>
        <v>0</v>
      </c>
      <c r="AD213">
        <f>MAX(0,ROUND(BB212*(1+'Calc base'!P213),2)-R213-'Calc base'!AB213)</f>
        <v>0</v>
      </c>
      <c r="AE213">
        <f>MAX(0,ROUND(BC212*(1+'Calc base'!Q213),2)-S213-'Calc base'!AC213)</f>
        <v>0</v>
      </c>
      <c r="AF213">
        <f>MAX(0,ROUND(BD212*(1+'Calc base'!R213),2)-T213-'Calc base'!AD213)</f>
        <v>0</v>
      </c>
      <c r="AG213">
        <f>MAX(0,ROUND(BE212*(1+'Calc base'!S213),2)-U213-'Calc base'!AE213)</f>
        <v>0</v>
      </c>
      <c r="AH213">
        <f>IF('Calc base'!C$14=0,0,MIN(V213,MAX(0,$E213-SUMIFS($V213:$AG213,'Calc base'!$C$19:$N$19,"&lt;"&amp;'Calc base'!C$19,'Calc base'!$C$14:$N$14,1))))</f>
        <v>0</v>
      </c>
      <c r="AI213">
        <f>IF('Calc base'!D$14=0,0,MIN(W213,MAX(0,$E213-SUMIFS($V213:$AG213,'Calc base'!$C$19:$N$19,"&lt;"&amp;'Calc base'!D$19,'Calc base'!$C$14:$N$14,1))))</f>
        <v>0</v>
      </c>
      <c r="AJ213">
        <f>IF('Calc base'!E$14=0,0,MIN(X213,MAX(0,$E213-SUMIFS($V213:$AG213,'Calc base'!$C$19:$N$19,"&lt;"&amp;'Calc base'!E$19,'Calc base'!$C$14:$N$14,1))))</f>
        <v>0</v>
      </c>
      <c r="AK213">
        <f>IF('Calc base'!F$14=0,0,MIN(Y213,MAX(0,$E213-SUMIFS($V213:$AG213,'Calc base'!$C$19:$N$19,"&lt;"&amp;'Calc base'!F$19,'Calc base'!$C$14:$N$14,1))))</f>
        <v>0</v>
      </c>
      <c r="AL213">
        <f>IF('Calc base'!G$14=0,0,MIN(Z213,MAX(0,$E213-SUMIFS($V213:$AG213,'Calc base'!$C$19:$N$19,"&lt;"&amp;'Calc base'!G$19,'Calc base'!$C$14:$N$14,1))))</f>
        <v>0</v>
      </c>
      <c r="AM213">
        <f>IF('Calc base'!H$14=0,0,MIN(AA213,MAX(0,$E213-SUMIFS($V213:$AG213,'Calc base'!$C$19:$N$19,"&lt;"&amp;'Calc base'!H$19,'Calc base'!$C$14:$N$14,1))))</f>
        <v>0</v>
      </c>
      <c r="AN213">
        <f>IF('Calc base'!I$14=0,0,MIN(AB213,MAX(0,$E213-SUMIFS($V213:$AG213,'Calc base'!$C$19:$N$19,"&lt;"&amp;'Calc base'!I$19,'Calc base'!$C$14:$N$14,1))))</f>
        <v>0</v>
      </c>
      <c r="AO213">
        <f>IF('Calc base'!J$14=0,0,MIN(AC213,MAX(0,$E213-SUMIFS($V213:$AG213,'Calc base'!$C$19:$N$19,"&lt;"&amp;'Calc base'!J$19,'Calc base'!$C$14:$N$14,1))))</f>
        <v>0</v>
      </c>
      <c r="AP213">
        <f>IF('Calc base'!K$14=0,0,MIN(AD213,MAX(0,$E213-SUMIFS($V213:$AG213,'Calc base'!$C$19:$N$19,"&lt;"&amp;'Calc base'!K$19,'Calc base'!$C$14:$N$14,1))))</f>
        <v>0</v>
      </c>
      <c r="AQ213">
        <f>IF('Calc base'!L$14=0,0,MIN(AE213,MAX(0,$E213-SUMIFS($V213:$AG213,'Calc base'!$C$19:$N$19,"&lt;"&amp;'Calc base'!L$19,'Calc base'!$C$14:$N$14,1))))</f>
        <v>0</v>
      </c>
      <c r="AR213">
        <f>IF('Calc base'!M$14=0,0,MIN(AF213,MAX(0,$E213-SUMIFS($V213:$AG213,'Calc base'!$C$19:$N$19,"&lt;"&amp;'Calc base'!M$19,'Calc base'!$C$14:$N$14,1))))</f>
        <v>0</v>
      </c>
      <c r="AS213">
        <f>IF('Calc base'!N$14=0,0,MIN(AG213,MAX(0,$E213-SUMIFS($V213:$AG213,'Calc base'!$C$19:$N$19,"&lt;"&amp;'Calc base'!N$19,'Calc base'!$C$14:$N$14,1))))</f>
        <v>0</v>
      </c>
      <c r="AT213">
        <f>V213-AH213</f>
        <v>0</v>
      </c>
      <c r="AU213">
        <f>W213-AI213</f>
        <v>0</v>
      </c>
      <c r="AV213">
        <f>X213-AJ213</f>
        <v>0</v>
      </c>
      <c r="AW213">
        <f>Y213-AK213</f>
        <v>0</v>
      </c>
      <c r="AX213">
        <f>Z213-AL213</f>
        <v>0</v>
      </c>
      <c r="AY213">
        <f>AA213-AM213</f>
        <v>0</v>
      </c>
      <c r="AZ213">
        <f>AB213-AN213</f>
        <v>0</v>
      </c>
      <c r="BA213">
        <f>AC213-AO213</f>
        <v>0</v>
      </c>
      <c r="BB213">
        <f>AD213-AP213</f>
        <v>0</v>
      </c>
      <c r="BC213">
        <f>AE213-AQ213</f>
        <v>0</v>
      </c>
      <c r="BD213">
        <f>AF213-AR213</f>
        <v>0</v>
      </c>
      <c r="BE213">
        <f>AG213-AS213</f>
        <v>0</v>
      </c>
    </row>
    <row r="214">
      <c r="A214" t="n">
        <v>184</v>
      </c>
      <c r="B214">
        <f>SUMPRODUCT(ROUND($AT213:$BE213*(1+'Calc base'!$H214:$S214),2))</f>
        <v>0</v>
      </c>
      <c r="C214">
        <f>SUM(J214:U214)</f>
        <v>0</v>
      </c>
      <c r="D214">
        <f>SUM(V214:AG214)</f>
        <v>0</v>
      </c>
      <c r="E214">
        <f>MAX(0,IF(Impostazioni!$B$7="No",'Calc base'!$C214-$C$31,'Calc base'!$C214-C214)+'Calc base'!$G214+'Calc base'!$F214-(B214-C214-D214))</f>
        <v>900</v>
      </c>
      <c r="F214">
        <f>SUM(AH214:AS214)</f>
        <v>0</v>
      </c>
      <c r="G214">
        <f>SUM(AT214:BE214)</f>
        <v>0</v>
      </c>
      <c r="H214">
        <f>B214-G213</f>
        <v>0</v>
      </c>
      <c r="I214">
        <f>B214-G214</f>
        <v>0</v>
      </c>
      <c r="J214">
        <f>IF(AT213&lt;=0,0,IF(ROUND(AT213*(1+'Calc base'!H214),2)-MAX('Calc base'!C$12,ROUND('Calc base'!C$13*AT213,2))&lt;1,ROUND(AT213*(1+'Calc base'!H214),2),MAX('Calc base'!C$12,ROUND('Calc base'!C$13*AT213,2))))</f>
        <v>0</v>
      </c>
      <c r="K214">
        <f>IF(AU213&lt;=0,0,IF(ROUND(AU213*(1+'Calc base'!I214),2)-MAX('Calc base'!D$12,ROUND('Calc base'!D$13*AU213,2))&lt;1,ROUND(AU213*(1+'Calc base'!I214),2),MAX('Calc base'!D$12,ROUND('Calc base'!D$13*AU213,2))))</f>
        <v>0</v>
      </c>
      <c r="L214">
        <f>IF(AV213&lt;=0,0,IF(ROUND(AV213*(1+'Calc base'!J214),2)-MAX('Calc base'!E$12,ROUND('Calc base'!E$13*AV213,2))&lt;1,ROUND(AV213*(1+'Calc base'!J214),2),MAX('Calc base'!E$12,ROUND('Calc base'!E$13*AV213,2))))</f>
        <v>0</v>
      </c>
      <c r="M214">
        <f>IF(AW213&lt;=0,0,IF(ROUND(AW213*(1+'Calc base'!K214),2)-MAX('Calc base'!F$12,ROUND('Calc base'!F$13*AW213,2))&lt;1,ROUND(AW213*(1+'Calc base'!K214),2),MAX('Calc base'!F$12,ROUND('Calc base'!F$13*AW213,2))))</f>
        <v>0</v>
      </c>
      <c r="N214">
        <f>IF(AX213&lt;=0,0,IF(ROUND(AX213*(1+'Calc base'!L214),2)-MAX('Calc base'!G$12,ROUND('Calc base'!G$13*AX213,2))&lt;1,ROUND(AX213*(1+'Calc base'!L214),2),MAX('Calc base'!G$12,ROUND('Calc base'!G$13*AX213,2))))</f>
        <v>0</v>
      </c>
      <c r="O214">
        <f>IF(AY213&lt;=0,0,IF(ROUND(AY213*(1+'Calc base'!M214),2)-MAX('Calc base'!H$12,ROUND('Calc base'!H$13*AY213,2))&lt;1,ROUND(AY213*(1+'Calc base'!M214),2),MAX('Calc base'!H$12,ROUND('Calc base'!H$13*AY213,2))))</f>
        <v>0</v>
      </c>
      <c r="P214">
        <f>IF(AZ213&lt;=0,0,IF(ROUND(AZ213*(1+'Calc base'!N214),2)-MAX('Calc base'!I$12,ROUND('Calc base'!I$13*AZ213,2))&lt;1,ROUND(AZ213*(1+'Calc base'!N214),2),MAX('Calc base'!I$12,ROUND('Calc base'!I$13*AZ213,2))))</f>
        <v>0</v>
      </c>
      <c r="Q214">
        <f>IF(BA213&lt;=0,0,IF(ROUND(BA213*(1+'Calc base'!O214),2)-MAX('Calc base'!J$12,ROUND('Calc base'!J$13*BA213,2))&lt;1,ROUND(BA213*(1+'Calc base'!O214),2),MAX('Calc base'!J$12,ROUND('Calc base'!J$13*BA213,2))))</f>
        <v>0</v>
      </c>
      <c r="R214">
        <f>IF(BB213&lt;=0,0,IF(ROUND(BB213*(1+'Calc base'!P214),2)-MAX('Calc base'!K$12,ROUND('Calc base'!K$13*BB213,2))&lt;1,ROUND(BB213*(1+'Calc base'!P214),2),MAX('Calc base'!K$12,ROUND('Calc base'!K$13*BB213,2))))</f>
        <v>0</v>
      </c>
      <c r="S214">
        <f>IF(BC213&lt;=0,0,IF(ROUND(BC213*(1+'Calc base'!Q214),2)-MAX('Calc base'!L$12,ROUND('Calc base'!L$13*BC213,2))&lt;1,ROUND(BC213*(1+'Calc base'!Q214),2),MAX('Calc base'!L$12,ROUND('Calc base'!L$13*BC213,2))))</f>
        <v>0</v>
      </c>
      <c r="T214">
        <f>IF(BD213&lt;=0,0,IF(ROUND(BD213*(1+'Calc base'!R214),2)-MAX('Calc base'!M$12,ROUND('Calc base'!M$13*BD213,2))&lt;1,ROUND(BD213*(1+'Calc base'!R214),2),MAX('Calc base'!M$12,ROUND('Calc base'!M$13*BD213,2))))</f>
        <v>0</v>
      </c>
      <c r="U214">
        <f>IF(BE213&lt;=0,0,IF(ROUND(BE213*(1+'Calc base'!S214),2)-MAX('Calc base'!N$12,ROUND('Calc base'!N$13*BE213,2))&lt;1,ROUND(BE213*(1+'Calc base'!S214),2),MAX('Calc base'!N$12,ROUND('Calc base'!N$13*BE213,2))))</f>
        <v>0</v>
      </c>
      <c r="V214">
        <f>MAX(0,ROUND(AT213*(1+'Calc base'!H214),2)-J214-'Calc base'!T214)</f>
        <v>0</v>
      </c>
      <c r="W214">
        <f>MAX(0,ROUND(AU213*(1+'Calc base'!I214),2)-K214-'Calc base'!U214)</f>
        <v>0</v>
      </c>
      <c r="X214">
        <f>MAX(0,ROUND(AV213*(1+'Calc base'!J214),2)-L214-'Calc base'!V214)</f>
        <v>0</v>
      </c>
      <c r="Y214">
        <f>MAX(0,ROUND(AW213*(1+'Calc base'!K214),2)-M214-'Calc base'!W214)</f>
        <v>0</v>
      </c>
      <c r="Z214">
        <f>MAX(0,ROUND(AX213*(1+'Calc base'!L214),2)-N214-'Calc base'!X214)</f>
        <v>0</v>
      </c>
      <c r="AA214">
        <f>MAX(0,ROUND(AY213*(1+'Calc base'!M214),2)-O214-'Calc base'!Y214)</f>
        <v>0</v>
      </c>
      <c r="AB214">
        <f>MAX(0,ROUND(AZ213*(1+'Calc base'!N214),2)-P214-'Calc base'!Z214)</f>
        <v>0</v>
      </c>
      <c r="AC214">
        <f>MAX(0,ROUND(BA213*(1+'Calc base'!O214),2)-Q214-'Calc base'!AA214)</f>
        <v>0</v>
      </c>
      <c r="AD214">
        <f>MAX(0,ROUND(BB213*(1+'Calc base'!P214),2)-R214-'Calc base'!AB214)</f>
        <v>0</v>
      </c>
      <c r="AE214">
        <f>MAX(0,ROUND(BC213*(1+'Calc base'!Q214),2)-S214-'Calc base'!AC214)</f>
        <v>0</v>
      </c>
      <c r="AF214">
        <f>MAX(0,ROUND(BD213*(1+'Calc base'!R214),2)-T214-'Calc base'!AD214)</f>
        <v>0</v>
      </c>
      <c r="AG214">
        <f>MAX(0,ROUND(BE213*(1+'Calc base'!S214),2)-U214-'Calc base'!AE214)</f>
        <v>0</v>
      </c>
      <c r="AH214">
        <f>IF('Calc base'!C$14=0,0,MIN(V214,MAX(0,$E214-SUMIFS($V214:$AG214,'Calc base'!$C$19:$N$19,"&lt;"&amp;'Calc base'!C$19,'Calc base'!$C$14:$N$14,1))))</f>
        <v>0</v>
      </c>
      <c r="AI214">
        <f>IF('Calc base'!D$14=0,0,MIN(W214,MAX(0,$E214-SUMIFS($V214:$AG214,'Calc base'!$C$19:$N$19,"&lt;"&amp;'Calc base'!D$19,'Calc base'!$C$14:$N$14,1))))</f>
        <v>0</v>
      </c>
      <c r="AJ214">
        <f>IF('Calc base'!E$14=0,0,MIN(X214,MAX(0,$E214-SUMIFS($V214:$AG214,'Calc base'!$C$19:$N$19,"&lt;"&amp;'Calc base'!E$19,'Calc base'!$C$14:$N$14,1))))</f>
        <v>0</v>
      </c>
      <c r="AK214">
        <f>IF('Calc base'!F$14=0,0,MIN(Y214,MAX(0,$E214-SUMIFS($V214:$AG214,'Calc base'!$C$19:$N$19,"&lt;"&amp;'Calc base'!F$19,'Calc base'!$C$14:$N$14,1))))</f>
        <v>0</v>
      </c>
      <c r="AL214">
        <f>IF('Calc base'!G$14=0,0,MIN(Z214,MAX(0,$E214-SUMIFS($V214:$AG214,'Calc base'!$C$19:$N$19,"&lt;"&amp;'Calc base'!G$19,'Calc base'!$C$14:$N$14,1))))</f>
        <v>0</v>
      </c>
      <c r="AM214">
        <f>IF('Calc base'!H$14=0,0,MIN(AA214,MAX(0,$E214-SUMIFS($V214:$AG214,'Calc base'!$C$19:$N$19,"&lt;"&amp;'Calc base'!H$19,'Calc base'!$C$14:$N$14,1))))</f>
        <v>0</v>
      </c>
      <c r="AN214">
        <f>IF('Calc base'!I$14=0,0,MIN(AB214,MAX(0,$E214-SUMIFS($V214:$AG214,'Calc base'!$C$19:$N$19,"&lt;"&amp;'Calc base'!I$19,'Calc base'!$C$14:$N$14,1))))</f>
        <v>0</v>
      </c>
      <c r="AO214">
        <f>IF('Calc base'!J$14=0,0,MIN(AC214,MAX(0,$E214-SUMIFS($V214:$AG214,'Calc base'!$C$19:$N$19,"&lt;"&amp;'Calc base'!J$19,'Calc base'!$C$14:$N$14,1))))</f>
        <v>0</v>
      </c>
      <c r="AP214">
        <f>IF('Calc base'!K$14=0,0,MIN(AD214,MAX(0,$E214-SUMIFS($V214:$AG214,'Calc base'!$C$19:$N$19,"&lt;"&amp;'Calc base'!K$19,'Calc base'!$C$14:$N$14,1))))</f>
        <v>0</v>
      </c>
      <c r="AQ214">
        <f>IF('Calc base'!L$14=0,0,MIN(AE214,MAX(0,$E214-SUMIFS($V214:$AG214,'Calc base'!$C$19:$N$19,"&lt;"&amp;'Calc base'!L$19,'Calc base'!$C$14:$N$14,1))))</f>
        <v>0</v>
      </c>
      <c r="AR214">
        <f>IF('Calc base'!M$14=0,0,MIN(AF214,MAX(0,$E214-SUMIFS($V214:$AG214,'Calc base'!$C$19:$N$19,"&lt;"&amp;'Calc base'!M$19,'Calc base'!$C$14:$N$14,1))))</f>
        <v>0</v>
      </c>
      <c r="AS214">
        <f>IF('Calc base'!N$14=0,0,MIN(AG214,MAX(0,$E214-SUMIFS($V214:$AG214,'Calc base'!$C$19:$N$19,"&lt;"&amp;'Calc base'!N$19,'Calc base'!$C$14:$N$14,1))))</f>
        <v>0</v>
      </c>
      <c r="AT214">
        <f>V214-AH214</f>
        <v>0</v>
      </c>
      <c r="AU214">
        <f>W214-AI214</f>
        <v>0</v>
      </c>
      <c r="AV214">
        <f>X214-AJ214</f>
        <v>0</v>
      </c>
      <c r="AW214">
        <f>Y214-AK214</f>
        <v>0</v>
      </c>
      <c r="AX214">
        <f>Z214-AL214</f>
        <v>0</v>
      </c>
      <c r="AY214">
        <f>AA214-AM214</f>
        <v>0</v>
      </c>
      <c r="AZ214">
        <f>AB214-AN214</f>
        <v>0</v>
      </c>
      <c r="BA214">
        <f>AC214-AO214</f>
        <v>0</v>
      </c>
      <c r="BB214">
        <f>AD214-AP214</f>
        <v>0</v>
      </c>
      <c r="BC214">
        <f>AE214-AQ214</f>
        <v>0</v>
      </c>
      <c r="BD214">
        <f>AF214-AR214</f>
        <v>0</v>
      </c>
      <c r="BE214">
        <f>AG214-AS214</f>
        <v>0</v>
      </c>
    </row>
    <row r="215">
      <c r="A215" t="n">
        <v>185</v>
      </c>
      <c r="B215">
        <f>SUMPRODUCT(ROUND($AT214:$BE214*(1+'Calc base'!$H215:$S215),2))</f>
        <v>0</v>
      </c>
      <c r="C215">
        <f>SUM(J215:U215)</f>
        <v>0</v>
      </c>
      <c r="D215">
        <f>SUM(V215:AG215)</f>
        <v>0</v>
      </c>
      <c r="E215">
        <f>MAX(0,IF(Impostazioni!$B$7="No",'Calc base'!$C215-$C$31,'Calc base'!$C215-C215)+'Calc base'!$G215+'Calc base'!$F215-(B215-C215-D215))</f>
        <v>900</v>
      </c>
      <c r="F215">
        <f>SUM(AH215:AS215)</f>
        <v>0</v>
      </c>
      <c r="G215">
        <f>SUM(AT215:BE215)</f>
        <v>0</v>
      </c>
      <c r="H215">
        <f>B215-G214</f>
        <v>0</v>
      </c>
      <c r="I215">
        <f>B215-G215</f>
        <v>0</v>
      </c>
      <c r="J215">
        <f>IF(AT214&lt;=0,0,IF(ROUND(AT214*(1+'Calc base'!H215),2)-MAX('Calc base'!C$12,ROUND('Calc base'!C$13*AT214,2))&lt;1,ROUND(AT214*(1+'Calc base'!H215),2),MAX('Calc base'!C$12,ROUND('Calc base'!C$13*AT214,2))))</f>
        <v>0</v>
      </c>
      <c r="K215">
        <f>IF(AU214&lt;=0,0,IF(ROUND(AU214*(1+'Calc base'!I215),2)-MAX('Calc base'!D$12,ROUND('Calc base'!D$13*AU214,2))&lt;1,ROUND(AU214*(1+'Calc base'!I215),2),MAX('Calc base'!D$12,ROUND('Calc base'!D$13*AU214,2))))</f>
        <v>0</v>
      </c>
      <c r="L215">
        <f>IF(AV214&lt;=0,0,IF(ROUND(AV214*(1+'Calc base'!J215),2)-MAX('Calc base'!E$12,ROUND('Calc base'!E$13*AV214,2))&lt;1,ROUND(AV214*(1+'Calc base'!J215),2),MAX('Calc base'!E$12,ROUND('Calc base'!E$13*AV214,2))))</f>
        <v>0</v>
      </c>
      <c r="M215">
        <f>IF(AW214&lt;=0,0,IF(ROUND(AW214*(1+'Calc base'!K215),2)-MAX('Calc base'!F$12,ROUND('Calc base'!F$13*AW214,2))&lt;1,ROUND(AW214*(1+'Calc base'!K215),2),MAX('Calc base'!F$12,ROUND('Calc base'!F$13*AW214,2))))</f>
        <v>0</v>
      </c>
      <c r="N215">
        <f>IF(AX214&lt;=0,0,IF(ROUND(AX214*(1+'Calc base'!L215),2)-MAX('Calc base'!G$12,ROUND('Calc base'!G$13*AX214,2))&lt;1,ROUND(AX214*(1+'Calc base'!L215),2),MAX('Calc base'!G$12,ROUND('Calc base'!G$13*AX214,2))))</f>
        <v>0</v>
      </c>
      <c r="O215">
        <f>IF(AY214&lt;=0,0,IF(ROUND(AY214*(1+'Calc base'!M215),2)-MAX('Calc base'!H$12,ROUND('Calc base'!H$13*AY214,2))&lt;1,ROUND(AY214*(1+'Calc base'!M215),2),MAX('Calc base'!H$12,ROUND('Calc base'!H$13*AY214,2))))</f>
        <v>0</v>
      </c>
      <c r="P215">
        <f>IF(AZ214&lt;=0,0,IF(ROUND(AZ214*(1+'Calc base'!N215),2)-MAX('Calc base'!I$12,ROUND('Calc base'!I$13*AZ214,2))&lt;1,ROUND(AZ214*(1+'Calc base'!N215),2),MAX('Calc base'!I$12,ROUND('Calc base'!I$13*AZ214,2))))</f>
        <v>0</v>
      </c>
      <c r="Q215">
        <f>IF(BA214&lt;=0,0,IF(ROUND(BA214*(1+'Calc base'!O215),2)-MAX('Calc base'!J$12,ROUND('Calc base'!J$13*BA214,2))&lt;1,ROUND(BA214*(1+'Calc base'!O215),2),MAX('Calc base'!J$12,ROUND('Calc base'!J$13*BA214,2))))</f>
        <v>0</v>
      </c>
      <c r="R215">
        <f>IF(BB214&lt;=0,0,IF(ROUND(BB214*(1+'Calc base'!P215),2)-MAX('Calc base'!K$12,ROUND('Calc base'!K$13*BB214,2))&lt;1,ROUND(BB214*(1+'Calc base'!P215),2),MAX('Calc base'!K$12,ROUND('Calc base'!K$13*BB214,2))))</f>
        <v>0</v>
      </c>
      <c r="S215">
        <f>IF(BC214&lt;=0,0,IF(ROUND(BC214*(1+'Calc base'!Q215),2)-MAX('Calc base'!L$12,ROUND('Calc base'!L$13*BC214,2))&lt;1,ROUND(BC214*(1+'Calc base'!Q215),2),MAX('Calc base'!L$12,ROUND('Calc base'!L$13*BC214,2))))</f>
        <v>0</v>
      </c>
      <c r="T215">
        <f>IF(BD214&lt;=0,0,IF(ROUND(BD214*(1+'Calc base'!R215),2)-MAX('Calc base'!M$12,ROUND('Calc base'!M$13*BD214,2))&lt;1,ROUND(BD214*(1+'Calc base'!R215),2),MAX('Calc base'!M$12,ROUND('Calc base'!M$13*BD214,2))))</f>
        <v>0</v>
      </c>
      <c r="U215">
        <f>IF(BE214&lt;=0,0,IF(ROUND(BE214*(1+'Calc base'!S215),2)-MAX('Calc base'!N$12,ROUND('Calc base'!N$13*BE214,2))&lt;1,ROUND(BE214*(1+'Calc base'!S215),2),MAX('Calc base'!N$12,ROUND('Calc base'!N$13*BE214,2))))</f>
        <v>0</v>
      </c>
      <c r="V215">
        <f>MAX(0,ROUND(AT214*(1+'Calc base'!H215),2)-J215-'Calc base'!T215)</f>
        <v>0</v>
      </c>
      <c r="W215">
        <f>MAX(0,ROUND(AU214*(1+'Calc base'!I215),2)-K215-'Calc base'!U215)</f>
        <v>0</v>
      </c>
      <c r="X215">
        <f>MAX(0,ROUND(AV214*(1+'Calc base'!J215),2)-L215-'Calc base'!V215)</f>
        <v>0</v>
      </c>
      <c r="Y215">
        <f>MAX(0,ROUND(AW214*(1+'Calc base'!K215),2)-M215-'Calc base'!W215)</f>
        <v>0</v>
      </c>
      <c r="Z215">
        <f>MAX(0,ROUND(AX214*(1+'Calc base'!L215),2)-N215-'Calc base'!X215)</f>
        <v>0</v>
      </c>
      <c r="AA215">
        <f>MAX(0,ROUND(AY214*(1+'Calc base'!M215),2)-O215-'Calc base'!Y215)</f>
        <v>0</v>
      </c>
      <c r="AB215">
        <f>MAX(0,ROUND(AZ214*(1+'Calc base'!N215),2)-P215-'Calc base'!Z215)</f>
        <v>0</v>
      </c>
      <c r="AC215">
        <f>MAX(0,ROUND(BA214*(1+'Calc base'!O215),2)-Q215-'Calc base'!AA215)</f>
        <v>0</v>
      </c>
      <c r="AD215">
        <f>MAX(0,ROUND(BB214*(1+'Calc base'!P215),2)-R215-'Calc base'!AB215)</f>
        <v>0</v>
      </c>
      <c r="AE215">
        <f>MAX(0,ROUND(BC214*(1+'Calc base'!Q215),2)-S215-'Calc base'!AC215)</f>
        <v>0</v>
      </c>
      <c r="AF215">
        <f>MAX(0,ROUND(BD214*(1+'Calc base'!R215),2)-T215-'Calc base'!AD215)</f>
        <v>0</v>
      </c>
      <c r="AG215">
        <f>MAX(0,ROUND(BE214*(1+'Calc base'!S215),2)-U215-'Calc base'!AE215)</f>
        <v>0</v>
      </c>
      <c r="AH215">
        <f>IF('Calc base'!C$14=0,0,MIN(V215,MAX(0,$E215-SUMIFS($V215:$AG215,'Calc base'!$C$19:$N$19,"&lt;"&amp;'Calc base'!C$19,'Calc base'!$C$14:$N$14,1))))</f>
        <v>0</v>
      </c>
      <c r="AI215">
        <f>IF('Calc base'!D$14=0,0,MIN(W215,MAX(0,$E215-SUMIFS($V215:$AG215,'Calc base'!$C$19:$N$19,"&lt;"&amp;'Calc base'!D$19,'Calc base'!$C$14:$N$14,1))))</f>
        <v>0</v>
      </c>
      <c r="AJ215">
        <f>IF('Calc base'!E$14=0,0,MIN(X215,MAX(0,$E215-SUMIFS($V215:$AG215,'Calc base'!$C$19:$N$19,"&lt;"&amp;'Calc base'!E$19,'Calc base'!$C$14:$N$14,1))))</f>
        <v>0</v>
      </c>
      <c r="AK215">
        <f>IF('Calc base'!F$14=0,0,MIN(Y215,MAX(0,$E215-SUMIFS($V215:$AG215,'Calc base'!$C$19:$N$19,"&lt;"&amp;'Calc base'!F$19,'Calc base'!$C$14:$N$14,1))))</f>
        <v>0</v>
      </c>
      <c r="AL215">
        <f>IF('Calc base'!G$14=0,0,MIN(Z215,MAX(0,$E215-SUMIFS($V215:$AG215,'Calc base'!$C$19:$N$19,"&lt;"&amp;'Calc base'!G$19,'Calc base'!$C$14:$N$14,1))))</f>
        <v>0</v>
      </c>
      <c r="AM215">
        <f>IF('Calc base'!H$14=0,0,MIN(AA215,MAX(0,$E215-SUMIFS($V215:$AG215,'Calc base'!$C$19:$N$19,"&lt;"&amp;'Calc base'!H$19,'Calc base'!$C$14:$N$14,1))))</f>
        <v>0</v>
      </c>
      <c r="AN215">
        <f>IF('Calc base'!I$14=0,0,MIN(AB215,MAX(0,$E215-SUMIFS($V215:$AG215,'Calc base'!$C$19:$N$19,"&lt;"&amp;'Calc base'!I$19,'Calc base'!$C$14:$N$14,1))))</f>
        <v>0</v>
      </c>
      <c r="AO215">
        <f>IF('Calc base'!J$14=0,0,MIN(AC215,MAX(0,$E215-SUMIFS($V215:$AG215,'Calc base'!$C$19:$N$19,"&lt;"&amp;'Calc base'!J$19,'Calc base'!$C$14:$N$14,1))))</f>
        <v>0</v>
      </c>
      <c r="AP215">
        <f>IF('Calc base'!K$14=0,0,MIN(AD215,MAX(0,$E215-SUMIFS($V215:$AG215,'Calc base'!$C$19:$N$19,"&lt;"&amp;'Calc base'!K$19,'Calc base'!$C$14:$N$14,1))))</f>
        <v>0</v>
      </c>
      <c r="AQ215">
        <f>IF('Calc base'!L$14=0,0,MIN(AE215,MAX(0,$E215-SUMIFS($V215:$AG215,'Calc base'!$C$19:$N$19,"&lt;"&amp;'Calc base'!L$19,'Calc base'!$C$14:$N$14,1))))</f>
        <v>0</v>
      </c>
      <c r="AR215">
        <f>IF('Calc base'!M$14=0,0,MIN(AF215,MAX(0,$E215-SUMIFS($V215:$AG215,'Calc base'!$C$19:$N$19,"&lt;"&amp;'Calc base'!M$19,'Calc base'!$C$14:$N$14,1))))</f>
        <v>0</v>
      </c>
      <c r="AS215">
        <f>IF('Calc base'!N$14=0,0,MIN(AG215,MAX(0,$E215-SUMIFS($V215:$AG215,'Calc base'!$C$19:$N$19,"&lt;"&amp;'Calc base'!N$19,'Calc base'!$C$14:$N$14,1))))</f>
        <v>0</v>
      </c>
      <c r="AT215">
        <f>V215-AH215</f>
        <v>0</v>
      </c>
      <c r="AU215">
        <f>W215-AI215</f>
        <v>0</v>
      </c>
      <c r="AV215">
        <f>X215-AJ215</f>
        <v>0</v>
      </c>
      <c r="AW215">
        <f>Y215-AK215</f>
        <v>0</v>
      </c>
      <c r="AX215">
        <f>Z215-AL215</f>
        <v>0</v>
      </c>
      <c r="AY215">
        <f>AA215-AM215</f>
        <v>0</v>
      </c>
      <c r="AZ215">
        <f>AB215-AN215</f>
        <v>0</v>
      </c>
      <c r="BA215">
        <f>AC215-AO215</f>
        <v>0</v>
      </c>
      <c r="BB215">
        <f>AD215-AP215</f>
        <v>0</v>
      </c>
      <c r="BC215">
        <f>AE215-AQ215</f>
        <v>0</v>
      </c>
      <c r="BD215">
        <f>AF215-AR215</f>
        <v>0</v>
      </c>
      <c r="BE215">
        <f>AG215-AS215</f>
        <v>0</v>
      </c>
    </row>
    <row r="216">
      <c r="A216" t="n">
        <v>186</v>
      </c>
      <c r="B216">
        <f>SUMPRODUCT(ROUND($AT215:$BE215*(1+'Calc base'!$H216:$S216),2))</f>
        <v>0</v>
      </c>
      <c r="C216">
        <f>SUM(J216:U216)</f>
        <v>0</v>
      </c>
      <c r="D216">
        <f>SUM(V216:AG216)</f>
        <v>0</v>
      </c>
      <c r="E216">
        <f>MAX(0,IF(Impostazioni!$B$7="No",'Calc base'!$C216-$C$31,'Calc base'!$C216-C216)+'Calc base'!$G216+'Calc base'!$F216-(B216-C216-D216))</f>
        <v>900</v>
      </c>
      <c r="F216">
        <f>SUM(AH216:AS216)</f>
        <v>0</v>
      </c>
      <c r="G216">
        <f>SUM(AT216:BE216)</f>
        <v>0</v>
      </c>
      <c r="H216">
        <f>B216-G215</f>
        <v>0</v>
      </c>
      <c r="I216">
        <f>B216-G216</f>
        <v>0</v>
      </c>
      <c r="J216">
        <f>IF(AT215&lt;=0,0,IF(ROUND(AT215*(1+'Calc base'!H216),2)-MAX('Calc base'!C$12,ROUND('Calc base'!C$13*AT215,2))&lt;1,ROUND(AT215*(1+'Calc base'!H216),2),MAX('Calc base'!C$12,ROUND('Calc base'!C$13*AT215,2))))</f>
        <v>0</v>
      </c>
      <c r="K216">
        <f>IF(AU215&lt;=0,0,IF(ROUND(AU215*(1+'Calc base'!I216),2)-MAX('Calc base'!D$12,ROUND('Calc base'!D$13*AU215,2))&lt;1,ROUND(AU215*(1+'Calc base'!I216),2),MAX('Calc base'!D$12,ROUND('Calc base'!D$13*AU215,2))))</f>
        <v>0</v>
      </c>
      <c r="L216">
        <f>IF(AV215&lt;=0,0,IF(ROUND(AV215*(1+'Calc base'!J216),2)-MAX('Calc base'!E$12,ROUND('Calc base'!E$13*AV215,2))&lt;1,ROUND(AV215*(1+'Calc base'!J216),2),MAX('Calc base'!E$12,ROUND('Calc base'!E$13*AV215,2))))</f>
        <v>0</v>
      </c>
      <c r="M216">
        <f>IF(AW215&lt;=0,0,IF(ROUND(AW215*(1+'Calc base'!K216),2)-MAX('Calc base'!F$12,ROUND('Calc base'!F$13*AW215,2))&lt;1,ROUND(AW215*(1+'Calc base'!K216),2),MAX('Calc base'!F$12,ROUND('Calc base'!F$13*AW215,2))))</f>
        <v>0</v>
      </c>
      <c r="N216">
        <f>IF(AX215&lt;=0,0,IF(ROUND(AX215*(1+'Calc base'!L216),2)-MAX('Calc base'!G$12,ROUND('Calc base'!G$13*AX215,2))&lt;1,ROUND(AX215*(1+'Calc base'!L216),2),MAX('Calc base'!G$12,ROUND('Calc base'!G$13*AX215,2))))</f>
        <v>0</v>
      </c>
      <c r="O216">
        <f>IF(AY215&lt;=0,0,IF(ROUND(AY215*(1+'Calc base'!M216),2)-MAX('Calc base'!H$12,ROUND('Calc base'!H$13*AY215,2))&lt;1,ROUND(AY215*(1+'Calc base'!M216),2),MAX('Calc base'!H$12,ROUND('Calc base'!H$13*AY215,2))))</f>
        <v>0</v>
      </c>
      <c r="P216">
        <f>IF(AZ215&lt;=0,0,IF(ROUND(AZ215*(1+'Calc base'!N216),2)-MAX('Calc base'!I$12,ROUND('Calc base'!I$13*AZ215,2))&lt;1,ROUND(AZ215*(1+'Calc base'!N216),2),MAX('Calc base'!I$12,ROUND('Calc base'!I$13*AZ215,2))))</f>
        <v>0</v>
      </c>
      <c r="Q216">
        <f>IF(BA215&lt;=0,0,IF(ROUND(BA215*(1+'Calc base'!O216),2)-MAX('Calc base'!J$12,ROUND('Calc base'!J$13*BA215,2))&lt;1,ROUND(BA215*(1+'Calc base'!O216),2),MAX('Calc base'!J$12,ROUND('Calc base'!J$13*BA215,2))))</f>
        <v>0</v>
      </c>
      <c r="R216">
        <f>IF(BB215&lt;=0,0,IF(ROUND(BB215*(1+'Calc base'!P216),2)-MAX('Calc base'!K$12,ROUND('Calc base'!K$13*BB215,2))&lt;1,ROUND(BB215*(1+'Calc base'!P216),2),MAX('Calc base'!K$12,ROUND('Calc base'!K$13*BB215,2))))</f>
        <v>0</v>
      </c>
      <c r="S216">
        <f>IF(BC215&lt;=0,0,IF(ROUND(BC215*(1+'Calc base'!Q216),2)-MAX('Calc base'!L$12,ROUND('Calc base'!L$13*BC215,2))&lt;1,ROUND(BC215*(1+'Calc base'!Q216),2),MAX('Calc base'!L$12,ROUND('Calc base'!L$13*BC215,2))))</f>
        <v>0</v>
      </c>
      <c r="T216">
        <f>IF(BD215&lt;=0,0,IF(ROUND(BD215*(1+'Calc base'!R216),2)-MAX('Calc base'!M$12,ROUND('Calc base'!M$13*BD215,2))&lt;1,ROUND(BD215*(1+'Calc base'!R216),2),MAX('Calc base'!M$12,ROUND('Calc base'!M$13*BD215,2))))</f>
        <v>0</v>
      </c>
      <c r="U216">
        <f>IF(BE215&lt;=0,0,IF(ROUND(BE215*(1+'Calc base'!S216),2)-MAX('Calc base'!N$12,ROUND('Calc base'!N$13*BE215,2))&lt;1,ROUND(BE215*(1+'Calc base'!S216),2),MAX('Calc base'!N$12,ROUND('Calc base'!N$13*BE215,2))))</f>
        <v>0</v>
      </c>
      <c r="V216">
        <f>MAX(0,ROUND(AT215*(1+'Calc base'!H216),2)-J216-'Calc base'!T216)</f>
        <v>0</v>
      </c>
      <c r="W216">
        <f>MAX(0,ROUND(AU215*(1+'Calc base'!I216),2)-K216-'Calc base'!U216)</f>
        <v>0</v>
      </c>
      <c r="X216">
        <f>MAX(0,ROUND(AV215*(1+'Calc base'!J216),2)-L216-'Calc base'!V216)</f>
        <v>0</v>
      </c>
      <c r="Y216">
        <f>MAX(0,ROUND(AW215*(1+'Calc base'!K216),2)-M216-'Calc base'!W216)</f>
        <v>0</v>
      </c>
      <c r="Z216">
        <f>MAX(0,ROUND(AX215*(1+'Calc base'!L216),2)-N216-'Calc base'!X216)</f>
        <v>0</v>
      </c>
      <c r="AA216">
        <f>MAX(0,ROUND(AY215*(1+'Calc base'!M216),2)-O216-'Calc base'!Y216)</f>
        <v>0</v>
      </c>
      <c r="AB216">
        <f>MAX(0,ROUND(AZ215*(1+'Calc base'!N216),2)-P216-'Calc base'!Z216)</f>
        <v>0</v>
      </c>
      <c r="AC216">
        <f>MAX(0,ROUND(BA215*(1+'Calc base'!O216),2)-Q216-'Calc base'!AA216)</f>
        <v>0</v>
      </c>
      <c r="AD216">
        <f>MAX(0,ROUND(BB215*(1+'Calc base'!P216),2)-R216-'Calc base'!AB216)</f>
        <v>0</v>
      </c>
      <c r="AE216">
        <f>MAX(0,ROUND(BC215*(1+'Calc base'!Q216),2)-S216-'Calc base'!AC216)</f>
        <v>0</v>
      </c>
      <c r="AF216">
        <f>MAX(0,ROUND(BD215*(1+'Calc base'!R216),2)-T216-'Calc base'!AD216)</f>
        <v>0</v>
      </c>
      <c r="AG216">
        <f>MAX(0,ROUND(BE215*(1+'Calc base'!S216),2)-U216-'Calc base'!AE216)</f>
        <v>0</v>
      </c>
      <c r="AH216">
        <f>IF('Calc base'!C$14=0,0,MIN(V216,MAX(0,$E216-SUMIFS($V216:$AG216,'Calc base'!$C$19:$N$19,"&lt;"&amp;'Calc base'!C$19,'Calc base'!$C$14:$N$14,1))))</f>
        <v>0</v>
      </c>
      <c r="AI216">
        <f>IF('Calc base'!D$14=0,0,MIN(W216,MAX(0,$E216-SUMIFS($V216:$AG216,'Calc base'!$C$19:$N$19,"&lt;"&amp;'Calc base'!D$19,'Calc base'!$C$14:$N$14,1))))</f>
        <v>0</v>
      </c>
      <c r="AJ216">
        <f>IF('Calc base'!E$14=0,0,MIN(X216,MAX(0,$E216-SUMIFS($V216:$AG216,'Calc base'!$C$19:$N$19,"&lt;"&amp;'Calc base'!E$19,'Calc base'!$C$14:$N$14,1))))</f>
        <v>0</v>
      </c>
      <c r="AK216">
        <f>IF('Calc base'!F$14=0,0,MIN(Y216,MAX(0,$E216-SUMIFS($V216:$AG216,'Calc base'!$C$19:$N$19,"&lt;"&amp;'Calc base'!F$19,'Calc base'!$C$14:$N$14,1))))</f>
        <v>0</v>
      </c>
      <c r="AL216">
        <f>IF('Calc base'!G$14=0,0,MIN(Z216,MAX(0,$E216-SUMIFS($V216:$AG216,'Calc base'!$C$19:$N$19,"&lt;"&amp;'Calc base'!G$19,'Calc base'!$C$14:$N$14,1))))</f>
        <v>0</v>
      </c>
      <c r="AM216">
        <f>IF('Calc base'!H$14=0,0,MIN(AA216,MAX(0,$E216-SUMIFS($V216:$AG216,'Calc base'!$C$19:$N$19,"&lt;"&amp;'Calc base'!H$19,'Calc base'!$C$14:$N$14,1))))</f>
        <v>0</v>
      </c>
      <c r="AN216">
        <f>IF('Calc base'!I$14=0,0,MIN(AB216,MAX(0,$E216-SUMIFS($V216:$AG216,'Calc base'!$C$19:$N$19,"&lt;"&amp;'Calc base'!I$19,'Calc base'!$C$14:$N$14,1))))</f>
        <v>0</v>
      </c>
      <c r="AO216">
        <f>IF('Calc base'!J$14=0,0,MIN(AC216,MAX(0,$E216-SUMIFS($V216:$AG216,'Calc base'!$C$19:$N$19,"&lt;"&amp;'Calc base'!J$19,'Calc base'!$C$14:$N$14,1))))</f>
        <v>0</v>
      </c>
      <c r="AP216">
        <f>IF('Calc base'!K$14=0,0,MIN(AD216,MAX(0,$E216-SUMIFS($V216:$AG216,'Calc base'!$C$19:$N$19,"&lt;"&amp;'Calc base'!K$19,'Calc base'!$C$14:$N$14,1))))</f>
        <v>0</v>
      </c>
      <c r="AQ216">
        <f>IF('Calc base'!L$14=0,0,MIN(AE216,MAX(0,$E216-SUMIFS($V216:$AG216,'Calc base'!$C$19:$N$19,"&lt;"&amp;'Calc base'!L$19,'Calc base'!$C$14:$N$14,1))))</f>
        <v>0</v>
      </c>
      <c r="AR216">
        <f>IF('Calc base'!M$14=0,0,MIN(AF216,MAX(0,$E216-SUMIFS($V216:$AG216,'Calc base'!$C$19:$N$19,"&lt;"&amp;'Calc base'!M$19,'Calc base'!$C$14:$N$14,1))))</f>
        <v>0</v>
      </c>
      <c r="AS216">
        <f>IF('Calc base'!N$14=0,0,MIN(AG216,MAX(0,$E216-SUMIFS($V216:$AG216,'Calc base'!$C$19:$N$19,"&lt;"&amp;'Calc base'!N$19,'Calc base'!$C$14:$N$14,1))))</f>
        <v>0</v>
      </c>
      <c r="AT216">
        <f>V216-AH216</f>
        <v>0</v>
      </c>
      <c r="AU216">
        <f>W216-AI216</f>
        <v>0</v>
      </c>
      <c r="AV216">
        <f>X216-AJ216</f>
        <v>0</v>
      </c>
      <c r="AW216">
        <f>Y216-AK216</f>
        <v>0</v>
      </c>
      <c r="AX216">
        <f>Z216-AL216</f>
        <v>0</v>
      </c>
      <c r="AY216">
        <f>AA216-AM216</f>
        <v>0</v>
      </c>
      <c r="AZ216">
        <f>AB216-AN216</f>
        <v>0</v>
      </c>
      <c r="BA216">
        <f>AC216-AO216</f>
        <v>0</v>
      </c>
      <c r="BB216">
        <f>AD216-AP216</f>
        <v>0</v>
      </c>
      <c r="BC216">
        <f>AE216-AQ216</f>
        <v>0</v>
      </c>
      <c r="BD216">
        <f>AF216-AR216</f>
        <v>0</v>
      </c>
      <c r="BE216">
        <f>AG216-AS216</f>
        <v>0</v>
      </c>
    </row>
    <row r="217">
      <c r="A217" t="n">
        <v>187</v>
      </c>
      <c r="B217">
        <f>SUMPRODUCT(ROUND($AT216:$BE216*(1+'Calc base'!$H217:$S217),2))</f>
        <v>0</v>
      </c>
      <c r="C217">
        <f>SUM(J217:U217)</f>
        <v>0</v>
      </c>
      <c r="D217">
        <f>SUM(V217:AG217)</f>
        <v>0</v>
      </c>
      <c r="E217">
        <f>MAX(0,IF(Impostazioni!$B$7="No",'Calc base'!$C217-$C$31,'Calc base'!$C217-C217)+'Calc base'!$G217+'Calc base'!$F217-(B217-C217-D217))</f>
        <v>900</v>
      </c>
      <c r="F217">
        <f>SUM(AH217:AS217)</f>
        <v>0</v>
      </c>
      <c r="G217">
        <f>SUM(AT217:BE217)</f>
        <v>0</v>
      </c>
      <c r="H217">
        <f>B217-G216</f>
        <v>0</v>
      </c>
      <c r="I217">
        <f>B217-G217</f>
        <v>0</v>
      </c>
      <c r="J217">
        <f>IF(AT216&lt;=0,0,IF(ROUND(AT216*(1+'Calc base'!H217),2)-MAX('Calc base'!C$12,ROUND('Calc base'!C$13*AT216,2))&lt;1,ROUND(AT216*(1+'Calc base'!H217),2),MAX('Calc base'!C$12,ROUND('Calc base'!C$13*AT216,2))))</f>
        <v>0</v>
      </c>
      <c r="K217">
        <f>IF(AU216&lt;=0,0,IF(ROUND(AU216*(1+'Calc base'!I217),2)-MAX('Calc base'!D$12,ROUND('Calc base'!D$13*AU216,2))&lt;1,ROUND(AU216*(1+'Calc base'!I217),2),MAX('Calc base'!D$12,ROUND('Calc base'!D$13*AU216,2))))</f>
        <v>0</v>
      </c>
      <c r="L217">
        <f>IF(AV216&lt;=0,0,IF(ROUND(AV216*(1+'Calc base'!J217),2)-MAX('Calc base'!E$12,ROUND('Calc base'!E$13*AV216,2))&lt;1,ROUND(AV216*(1+'Calc base'!J217),2),MAX('Calc base'!E$12,ROUND('Calc base'!E$13*AV216,2))))</f>
        <v>0</v>
      </c>
      <c r="M217">
        <f>IF(AW216&lt;=0,0,IF(ROUND(AW216*(1+'Calc base'!K217),2)-MAX('Calc base'!F$12,ROUND('Calc base'!F$13*AW216,2))&lt;1,ROUND(AW216*(1+'Calc base'!K217),2),MAX('Calc base'!F$12,ROUND('Calc base'!F$13*AW216,2))))</f>
        <v>0</v>
      </c>
      <c r="N217">
        <f>IF(AX216&lt;=0,0,IF(ROUND(AX216*(1+'Calc base'!L217),2)-MAX('Calc base'!G$12,ROUND('Calc base'!G$13*AX216,2))&lt;1,ROUND(AX216*(1+'Calc base'!L217),2),MAX('Calc base'!G$12,ROUND('Calc base'!G$13*AX216,2))))</f>
        <v>0</v>
      </c>
      <c r="O217">
        <f>IF(AY216&lt;=0,0,IF(ROUND(AY216*(1+'Calc base'!M217),2)-MAX('Calc base'!H$12,ROUND('Calc base'!H$13*AY216,2))&lt;1,ROUND(AY216*(1+'Calc base'!M217),2),MAX('Calc base'!H$12,ROUND('Calc base'!H$13*AY216,2))))</f>
        <v>0</v>
      </c>
      <c r="P217">
        <f>IF(AZ216&lt;=0,0,IF(ROUND(AZ216*(1+'Calc base'!N217),2)-MAX('Calc base'!I$12,ROUND('Calc base'!I$13*AZ216,2))&lt;1,ROUND(AZ216*(1+'Calc base'!N217),2),MAX('Calc base'!I$12,ROUND('Calc base'!I$13*AZ216,2))))</f>
        <v>0</v>
      </c>
      <c r="Q217">
        <f>IF(BA216&lt;=0,0,IF(ROUND(BA216*(1+'Calc base'!O217),2)-MAX('Calc base'!J$12,ROUND('Calc base'!J$13*BA216,2))&lt;1,ROUND(BA216*(1+'Calc base'!O217),2),MAX('Calc base'!J$12,ROUND('Calc base'!J$13*BA216,2))))</f>
        <v>0</v>
      </c>
      <c r="R217">
        <f>IF(BB216&lt;=0,0,IF(ROUND(BB216*(1+'Calc base'!P217),2)-MAX('Calc base'!K$12,ROUND('Calc base'!K$13*BB216,2))&lt;1,ROUND(BB216*(1+'Calc base'!P217),2),MAX('Calc base'!K$12,ROUND('Calc base'!K$13*BB216,2))))</f>
        <v>0</v>
      </c>
      <c r="S217">
        <f>IF(BC216&lt;=0,0,IF(ROUND(BC216*(1+'Calc base'!Q217),2)-MAX('Calc base'!L$12,ROUND('Calc base'!L$13*BC216,2))&lt;1,ROUND(BC216*(1+'Calc base'!Q217),2),MAX('Calc base'!L$12,ROUND('Calc base'!L$13*BC216,2))))</f>
        <v>0</v>
      </c>
      <c r="T217">
        <f>IF(BD216&lt;=0,0,IF(ROUND(BD216*(1+'Calc base'!R217),2)-MAX('Calc base'!M$12,ROUND('Calc base'!M$13*BD216,2))&lt;1,ROUND(BD216*(1+'Calc base'!R217),2),MAX('Calc base'!M$12,ROUND('Calc base'!M$13*BD216,2))))</f>
        <v>0</v>
      </c>
      <c r="U217">
        <f>IF(BE216&lt;=0,0,IF(ROUND(BE216*(1+'Calc base'!S217),2)-MAX('Calc base'!N$12,ROUND('Calc base'!N$13*BE216,2))&lt;1,ROUND(BE216*(1+'Calc base'!S217),2),MAX('Calc base'!N$12,ROUND('Calc base'!N$13*BE216,2))))</f>
        <v>0</v>
      </c>
      <c r="V217">
        <f>MAX(0,ROUND(AT216*(1+'Calc base'!H217),2)-J217-'Calc base'!T217)</f>
        <v>0</v>
      </c>
      <c r="W217">
        <f>MAX(0,ROUND(AU216*(1+'Calc base'!I217),2)-K217-'Calc base'!U217)</f>
        <v>0</v>
      </c>
      <c r="X217">
        <f>MAX(0,ROUND(AV216*(1+'Calc base'!J217),2)-L217-'Calc base'!V217)</f>
        <v>0</v>
      </c>
      <c r="Y217">
        <f>MAX(0,ROUND(AW216*(1+'Calc base'!K217),2)-M217-'Calc base'!W217)</f>
        <v>0</v>
      </c>
      <c r="Z217">
        <f>MAX(0,ROUND(AX216*(1+'Calc base'!L217),2)-N217-'Calc base'!X217)</f>
        <v>0</v>
      </c>
      <c r="AA217">
        <f>MAX(0,ROUND(AY216*(1+'Calc base'!M217),2)-O217-'Calc base'!Y217)</f>
        <v>0</v>
      </c>
      <c r="AB217">
        <f>MAX(0,ROUND(AZ216*(1+'Calc base'!N217),2)-P217-'Calc base'!Z217)</f>
        <v>0</v>
      </c>
      <c r="AC217">
        <f>MAX(0,ROUND(BA216*(1+'Calc base'!O217),2)-Q217-'Calc base'!AA217)</f>
        <v>0</v>
      </c>
      <c r="AD217">
        <f>MAX(0,ROUND(BB216*(1+'Calc base'!P217),2)-R217-'Calc base'!AB217)</f>
        <v>0</v>
      </c>
      <c r="AE217">
        <f>MAX(0,ROUND(BC216*(1+'Calc base'!Q217),2)-S217-'Calc base'!AC217)</f>
        <v>0</v>
      </c>
      <c r="AF217">
        <f>MAX(0,ROUND(BD216*(1+'Calc base'!R217),2)-T217-'Calc base'!AD217)</f>
        <v>0</v>
      </c>
      <c r="AG217">
        <f>MAX(0,ROUND(BE216*(1+'Calc base'!S217),2)-U217-'Calc base'!AE217)</f>
        <v>0</v>
      </c>
      <c r="AH217">
        <f>IF('Calc base'!C$14=0,0,MIN(V217,MAX(0,$E217-SUMIFS($V217:$AG217,'Calc base'!$C$19:$N$19,"&lt;"&amp;'Calc base'!C$19,'Calc base'!$C$14:$N$14,1))))</f>
        <v>0</v>
      </c>
      <c r="AI217">
        <f>IF('Calc base'!D$14=0,0,MIN(W217,MAX(0,$E217-SUMIFS($V217:$AG217,'Calc base'!$C$19:$N$19,"&lt;"&amp;'Calc base'!D$19,'Calc base'!$C$14:$N$14,1))))</f>
        <v>0</v>
      </c>
      <c r="AJ217">
        <f>IF('Calc base'!E$14=0,0,MIN(X217,MAX(0,$E217-SUMIFS($V217:$AG217,'Calc base'!$C$19:$N$19,"&lt;"&amp;'Calc base'!E$19,'Calc base'!$C$14:$N$14,1))))</f>
        <v>0</v>
      </c>
      <c r="AK217">
        <f>IF('Calc base'!F$14=0,0,MIN(Y217,MAX(0,$E217-SUMIFS($V217:$AG217,'Calc base'!$C$19:$N$19,"&lt;"&amp;'Calc base'!F$19,'Calc base'!$C$14:$N$14,1))))</f>
        <v>0</v>
      </c>
      <c r="AL217">
        <f>IF('Calc base'!G$14=0,0,MIN(Z217,MAX(0,$E217-SUMIFS($V217:$AG217,'Calc base'!$C$19:$N$19,"&lt;"&amp;'Calc base'!G$19,'Calc base'!$C$14:$N$14,1))))</f>
        <v>0</v>
      </c>
      <c r="AM217">
        <f>IF('Calc base'!H$14=0,0,MIN(AA217,MAX(0,$E217-SUMIFS($V217:$AG217,'Calc base'!$C$19:$N$19,"&lt;"&amp;'Calc base'!H$19,'Calc base'!$C$14:$N$14,1))))</f>
        <v>0</v>
      </c>
      <c r="AN217">
        <f>IF('Calc base'!I$14=0,0,MIN(AB217,MAX(0,$E217-SUMIFS($V217:$AG217,'Calc base'!$C$19:$N$19,"&lt;"&amp;'Calc base'!I$19,'Calc base'!$C$14:$N$14,1))))</f>
        <v>0</v>
      </c>
      <c r="AO217">
        <f>IF('Calc base'!J$14=0,0,MIN(AC217,MAX(0,$E217-SUMIFS($V217:$AG217,'Calc base'!$C$19:$N$19,"&lt;"&amp;'Calc base'!J$19,'Calc base'!$C$14:$N$14,1))))</f>
        <v>0</v>
      </c>
      <c r="AP217">
        <f>IF('Calc base'!K$14=0,0,MIN(AD217,MAX(0,$E217-SUMIFS($V217:$AG217,'Calc base'!$C$19:$N$19,"&lt;"&amp;'Calc base'!K$19,'Calc base'!$C$14:$N$14,1))))</f>
        <v>0</v>
      </c>
      <c r="AQ217">
        <f>IF('Calc base'!L$14=0,0,MIN(AE217,MAX(0,$E217-SUMIFS($V217:$AG217,'Calc base'!$C$19:$N$19,"&lt;"&amp;'Calc base'!L$19,'Calc base'!$C$14:$N$14,1))))</f>
        <v>0</v>
      </c>
      <c r="AR217">
        <f>IF('Calc base'!M$14=0,0,MIN(AF217,MAX(0,$E217-SUMIFS($V217:$AG217,'Calc base'!$C$19:$N$19,"&lt;"&amp;'Calc base'!M$19,'Calc base'!$C$14:$N$14,1))))</f>
        <v>0</v>
      </c>
      <c r="AS217">
        <f>IF('Calc base'!N$14=0,0,MIN(AG217,MAX(0,$E217-SUMIFS($V217:$AG217,'Calc base'!$C$19:$N$19,"&lt;"&amp;'Calc base'!N$19,'Calc base'!$C$14:$N$14,1))))</f>
        <v>0</v>
      </c>
      <c r="AT217">
        <f>V217-AH217</f>
        <v>0</v>
      </c>
      <c r="AU217">
        <f>W217-AI217</f>
        <v>0</v>
      </c>
      <c r="AV217">
        <f>X217-AJ217</f>
        <v>0</v>
      </c>
      <c r="AW217">
        <f>Y217-AK217</f>
        <v>0</v>
      </c>
      <c r="AX217">
        <f>Z217-AL217</f>
        <v>0</v>
      </c>
      <c r="AY217">
        <f>AA217-AM217</f>
        <v>0</v>
      </c>
      <c r="AZ217">
        <f>AB217-AN217</f>
        <v>0</v>
      </c>
      <c r="BA217">
        <f>AC217-AO217</f>
        <v>0</v>
      </c>
      <c r="BB217">
        <f>AD217-AP217</f>
        <v>0</v>
      </c>
      <c r="BC217">
        <f>AE217-AQ217</f>
        <v>0</v>
      </c>
      <c r="BD217">
        <f>AF217-AR217</f>
        <v>0</v>
      </c>
      <c r="BE217">
        <f>AG217-AS217</f>
        <v>0</v>
      </c>
    </row>
    <row r="218">
      <c r="A218" t="n">
        <v>188</v>
      </c>
      <c r="B218">
        <f>SUMPRODUCT(ROUND($AT217:$BE217*(1+'Calc base'!$H218:$S218),2))</f>
        <v>0</v>
      </c>
      <c r="C218">
        <f>SUM(J218:U218)</f>
        <v>0</v>
      </c>
      <c r="D218">
        <f>SUM(V218:AG218)</f>
        <v>0</v>
      </c>
      <c r="E218">
        <f>MAX(0,IF(Impostazioni!$B$7="No",'Calc base'!$C218-$C$31,'Calc base'!$C218-C218)+'Calc base'!$G218+'Calc base'!$F218-(B218-C218-D218))</f>
        <v>900</v>
      </c>
      <c r="F218">
        <f>SUM(AH218:AS218)</f>
        <v>0</v>
      </c>
      <c r="G218">
        <f>SUM(AT218:BE218)</f>
        <v>0</v>
      </c>
      <c r="H218">
        <f>B218-G217</f>
        <v>0</v>
      </c>
      <c r="I218">
        <f>B218-G218</f>
        <v>0</v>
      </c>
      <c r="J218">
        <f>IF(AT217&lt;=0,0,IF(ROUND(AT217*(1+'Calc base'!H218),2)-MAX('Calc base'!C$12,ROUND('Calc base'!C$13*AT217,2))&lt;1,ROUND(AT217*(1+'Calc base'!H218),2),MAX('Calc base'!C$12,ROUND('Calc base'!C$13*AT217,2))))</f>
        <v>0</v>
      </c>
      <c r="K218">
        <f>IF(AU217&lt;=0,0,IF(ROUND(AU217*(1+'Calc base'!I218),2)-MAX('Calc base'!D$12,ROUND('Calc base'!D$13*AU217,2))&lt;1,ROUND(AU217*(1+'Calc base'!I218),2),MAX('Calc base'!D$12,ROUND('Calc base'!D$13*AU217,2))))</f>
        <v>0</v>
      </c>
      <c r="L218">
        <f>IF(AV217&lt;=0,0,IF(ROUND(AV217*(1+'Calc base'!J218),2)-MAX('Calc base'!E$12,ROUND('Calc base'!E$13*AV217,2))&lt;1,ROUND(AV217*(1+'Calc base'!J218),2),MAX('Calc base'!E$12,ROUND('Calc base'!E$13*AV217,2))))</f>
        <v>0</v>
      </c>
      <c r="M218">
        <f>IF(AW217&lt;=0,0,IF(ROUND(AW217*(1+'Calc base'!K218),2)-MAX('Calc base'!F$12,ROUND('Calc base'!F$13*AW217,2))&lt;1,ROUND(AW217*(1+'Calc base'!K218),2),MAX('Calc base'!F$12,ROUND('Calc base'!F$13*AW217,2))))</f>
        <v>0</v>
      </c>
      <c r="N218">
        <f>IF(AX217&lt;=0,0,IF(ROUND(AX217*(1+'Calc base'!L218),2)-MAX('Calc base'!G$12,ROUND('Calc base'!G$13*AX217,2))&lt;1,ROUND(AX217*(1+'Calc base'!L218),2),MAX('Calc base'!G$12,ROUND('Calc base'!G$13*AX217,2))))</f>
        <v>0</v>
      </c>
      <c r="O218">
        <f>IF(AY217&lt;=0,0,IF(ROUND(AY217*(1+'Calc base'!M218),2)-MAX('Calc base'!H$12,ROUND('Calc base'!H$13*AY217,2))&lt;1,ROUND(AY217*(1+'Calc base'!M218),2),MAX('Calc base'!H$12,ROUND('Calc base'!H$13*AY217,2))))</f>
        <v>0</v>
      </c>
      <c r="P218">
        <f>IF(AZ217&lt;=0,0,IF(ROUND(AZ217*(1+'Calc base'!N218),2)-MAX('Calc base'!I$12,ROUND('Calc base'!I$13*AZ217,2))&lt;1,ROUND(AZ217*(1+'Calc base'!N218),2),MAX('Calc base'!I$12,ROUND('Calc base'!I$13*AZ217,2))))</f>
        <v>0</v>
      </c>
      <c r="Q218">
        <f>IF(BA217&lt;=0,0,IF(ROUND(BA217*(1+'Calc base'!O218),2)-MAX('Calc base'!J$12,ROUND('Calc base'!J$13*BA217,2))&lt;1,ROUND(BA217*(1+'Calc base'!O218),2),MAX('Calc base'!J$12,ROUND('Calc base'!J$13*BA217,2))))</f>
        <v>0</v>
      </c>
      <c r="R218">
        <f>IF(BB217&lt;=0,0,IF(ROUND(BB217*(1+'Calc base'!P218),2)-MAX('Calc base'!K$12,ROUND('Calc base'!K$13*BB217,2))&lt;1,ROUND(BB217*(1+'Calc base'!P218),2),MAX('Calc base'!K$12,ROUND('Calc base'!K$13*BB217,2))))</f>
        <v>0</v>
      </c>
      <c r="S218">
        <f>IF(BC217&lt;=0,0,IF(ROUND(BC217*(1+'Calc base'!Q218),2)-MAX('Calc base'!L$12,ROUND('Calc base'!L$13*BC217,2))&lt;1,ROUND(BC217*(1+'Calc base'!Q218),2),MAX('Calc base'!L$12,ROUND('Calc base'!L$13*BC217,2))))</f>
        <v>0</v>
      </c>
      <c r="T218">
        <f>IF(BD217&lt;=0,0,IF(ROUND(BD217*(1+'Calc base'!R218),2)-MAX('Calc base'!M$12,ROUND('Calc base'!M$13*BD217,2))&lt;1,ROUND(BD217*(1+'Calc base'!R218),2),MAX('Calc base'!M$12,ROUND('Calc base'!M$13*BD217,2))))</f>
        <v>0</v>
      </c>
      <c r="U218">
        <f>IF(BE217&lt;=0,0,IF(ROUND(BE217*(1+'Calc base'!S218),2)-MAX('Calc base'!N$12,ROUND('Calc base'!N$13*BE217,2))&lt;1,ROUND(BE217*(1+'Calc base'!S218),2),MAX('Calc base'!N$12,ROUND('Calc base'!N$13*BE217,2))))</f>
        <v>0</v>
      </c>
      <c r="V218">
        <f>MAX(0,ROUND(AT217*(1+'Calc base'!H218),2)-J218-'Calc base'!T218)</f>
        <v>0</v>
      </c>
      <c r="W218">
        <f>MAX(0,ROUND(AU217*(1+'Calc base'!I218),2)-K218-'Calc base'!U218)</f>
        <v>0</v>
      </c>
      <c r="X218">
        <f>MAX(0,ROUND(AV217*(1+'Calc base'!J218),2)-L218-'Calc base'!V218)</f>
        <v>0</v>
      </c>
      <c r="Y218">
        <f>MAX(0,ROUND(AW217*(1+'Calc base'!K218),2)-M218-'Calc base'!W218)</f>
        <v>0</v>
      </c>
      <c r="Z218">
        <f>MAX(0,ROUND(AX217*(1+'Calc base'!L218),2)-N218-'Calc base'!X218)</f>
        <v>0</v>
      </c>
      <c r="AA218">
        <f>MAX(0,ROUND(AY217*(1+'Calc base'!M218),2)-O218-'Calc base'!Y218)</f>
        <v>0</v>
      </c>
      <c r="AB218">
        <f>MAX(0,ROUND(AZ217*(1+'Calc base'!N218),2)-P218-'Calc base'!Z218)</f>
        <v>0</v>
      </c>
      <c r="AC218">
        <f>MAX(0,ROUND(BA217*(1+'Calc base'!O218),2)-Q218-'Calc base'!AA218)</f>
        <v>0</v>
      </c>
      <c r="AD218">
        <f>MAX(0,ROUND(BB217*(1+'Calc base'!P218),2)-R218-'Calc base'!AB218)</f>
        <v>0</v>
      </c>
      <c r="AE218">
        <f>MAX(0,ROUND(BC217*(1+'Calc base'!Q218),2)-S218-'Calc base'!AC218)</f>
        <v>0</v>
      </c>
      <c r="AF218">
        <f>MAX(0,ROUND(BD217*(1+'Calc base'!R218),2)-T218-'Calc base'!AD218)</f>
        <v>0</v>
      </c>
      <c r="AG218">
        <f>MAX(0,ROUND(BE217*(1+'Calc base'!S218),2)-U218-'Calc base'!AE218)</f>
        <v>0</v>
      </c>
      <c r="AH218">
        <f>IF('Calc base'!C$14=0,0,MIN(V218,MAX(0,$E218-SUMIFS($V218:$AG218,'Calc base'!$C$19:$N$19,"&lt;"&amp;'Calc base'!C$19,'Calc base'!$C$14:$N$14,1))))</f>
        <v>0</v>
      </c>
      <c r="AI218">
        <f>IF('Calc base'!D$14=0,0,MIN(W218,MAX(0,$E218-SUMIFS($V218:$AG218,'Calc base'!$C$19:$N$19,"&lt;"&amp;'Calc base'!D$19,'Calc base'!$C$14:$N$14,1))))</f>
        <v>0</v>
      </c>
      <c r="AJ218">
        <f>IF('Calc base'!E$14=0,0,MIN(X218,MAX(0,$E218-SUMIFS($V218:$AG218,'Calc base'!$C$19:$N$19,"&lt;"&amp;'Calc base'!E$19,'Calc base'!$C$14:$N$14,1))))</f>
        <v>0</v>
      </c>
      <c r="AK218">
        <f>IF('Calc base'!F$14=0,0,MIN(Y218,MAX(0,$E218-SUMIFS($V218:$AG218,'Calc base'!$C$19:$N$19,"&lt;"&amp;'Calc base'!F$19,'Calc base'!$C$14:$N$14,1))))</f>
        <v>0</v>
      </c>
      <c r="AL218">
        <f>IF('Calc base'!G$14=0,0,MIN(Z218,MAX(0,$E218-SUMIFS($V218:$AG218,'Calc base'!$C$19:$N$19,"&lt;"&amp;'Calc base'!G$19,'Calc base'!$C$14:$N$14,1))))</f>
        <v>0</v>
      </c>
      <c r="AM218">
        <f>IF('Calc base'!H$14=0,0,MIN(AA218,MAX(0,$E218-SUMIFS($V218:$AG218,'Calc base'!$C$19:$N$19,"&lt;"&amp;'Calc base'!H$19,'Calc base'!$C$14:$N$14,1))))</f>
        <v>0</v>
      </c>
      <c r="AN218">
        <f>IF('Calc base'!I$14=0,0,MIN(AB218,MAX(0,$E218-SUMIFS($V218:$AG218,'Calc base'!$C$19:$N$19,"&lt;"&amp;'Calc base'!I$19,'Calc base'!$C$14:$N$14,1))))</f>
        <v>0</v>
      </c>
      <c r="AO218">
        <f>IF('Calc base'!J$14=0,0,MIN(AC218,MAX(0,$E218-SUMIFS($V218:$AG218,'Calc base'!$C$19:$N$19,"&lt;"&amp;'Calc base'!J$19,'Calc base'!$C$14:$N$14,1))))</f>
        <v>0</v>
      </c>
      <c r="AP218">
        <f>IF('Calc base'!K$14=0,0,MIN(AD218,MAX(0,$E218-SUMIFS($V218:$AG218,'Calc base'!$C$19:$N$19,"&lt;"&amp;'Calc base'!K$19,'Calc base'!$C$14:$N$14,1))))</f>
        <v>0</v>
      </c>
      <c r="AQ218">
        <f>IF('Calc base'!L$14=0,0,MIN(AE218,MAX(0,$E218-SUMIFS($V218:$AG218,'Calc base'!$C$19:$N$19,"&lt;"&amp;'Calc base'!L$19,'Calc base'!$C$14:$N$14,1))))</f>
        <v>0</v>
      </c>
      <c r="AR218">
        <f>IF('Calc base'!M$14=0,0,MIN(AF218,MAX(0,$E218-SUMIFS($V218:$AG218,'Calc base'!$C$19:$N$19,"&lt;"&amp;'Calc base'!M$19,'Calc base'!$C$14:$N$14,1))))</f>
        <v>0</v>
      </c>
      <c r="AS218">
        <f>IF('Calc base'!N$14=0,0,MIN(AG218,MAX(0,$E218-SUMIFS($V218:$AG218,'Calc base'!$C$19:$N$19,"&lt;"&amp;'Calc base'!N$19,'Calc base'!$C$14:$N$14,1))))</f>
        <v>0</v>
      </c>
      <c r="AT218">
        <f>V218-AH218</f>
        <v>0</v>
      </c>
      <c r="AU218">
        <f>W218-AI218</f>
        <v>0</v>
      </c>
      <c r="AV218">
        <f>X218-AJ218</f>
        <v>0</v>
      </c>
      <c r="AW218">
        <f>Y218-AK218</f>
        <v>0</v>
      </c>
      <c r="AX218">
        <f>Z218-AL218</f>
        <v>0</v>
      </c>
      <c r="AY218">
        <f>AA218-AM218</f>
        <v>0</v>
      </c>
      <c r="AZ218">
        <f>AB218-AN218</f>
        <v>0</v>
      </c>
      <c r="BA218">
        <f>AC218-AO218</f>
        <v>0</v>
      </c>
      <c r="BB218">
        <f>AD218-AP218</f>
        <v>0</v>
      </c>
      <c r="BC218">
        <f>AE218-AQ218</f>
        <v>0</v>
      </c>
      <c r="BD218">
        <f>AF218-AR218</f>
        <v>0</v>
      </c>
      <c r="BE218">
        <f>AG218-AS218</f>
        <v>0</v>
      </c>
    </row>
    <row r="219">
      <c r="A219" t="n">
        <v>189</v>
      </c>
      <c r="B219">
        <f>SUMPRODUCT(ROUND($AT218:$BE218*(1+'Calc base'!$H219:$S219),2))</f>
        <v>0</v>
      </c>
      <c r="C219">
        <f>SUM(J219:U219)</f>
        <v>0</v>
      </c>
      <c r="D219">
        <f>SUM(V219:AG219)</f>
        <v>0</v>
      </c>
      <c r="E219">
        <f>MAX(0,IF(Impostazioni!$B$7="No",'Calc base'!$C219-$C$31,'Calc base'!$C219-C219)+'Calc base'!$G219+'Calc base'!$F219-(B219-C219-D219))</f>
        <v>900</v>
      </c>
      <c r="F219">
        <f>SUM(AH219:AS219)</f>
        <v>0</v>
      </c>
      <c r="G219">
        <f>SUM(AT219:BE219)</f>
        <v>0</v>
      </c>
      <c r="H219">
        <f>B219-G218</f>
        <v>0</v>
      </c>
      <c r="I219">
        <f>B219-G219</f>
        <v>0</v>
      </c>
      <c r="J219">
        <f>IF(AT218&lt;=0,0,IF(ROUND(AT218*(1+'Calc base'!H219),2)-MAX('Calc base'!C$12,ROUND('Calc base'!C$13*AT218,2))&lt;1,ROUND(AT218*(1+'Calc base'!H219),2),MAX('Calc base'!C$12,ROUND('Calc base'!C$13*AT218,2))))</f>
        <v>0</v>
      </c>
      <c r="K219">
        <f>IF(AU218&lt;=0,0,IF(ROUND(AU218*(1+'Calc base'!I219),2)-MAX('Calc base'!D$12,ROUND('Calc base'!D$13*AU218,2))&lt;1,ROUND(AU218*(1+'Calc base'!I219),2),MAX('Calc base'!D$12,ROUND('Calc base'!D$13*AU218,2))))</f>
        <v>0</v>
      </c>
      <c r="L219">
        <f>IF(AV218&lt;=0,0,IF(ROUND(AV218*(1+'Calc base'!J219),2)-MAX('Calc base'!E$12,ROUND('Calc base'!E$13*AV218,2))&lt;1,ROUND(AV218*(1+'Calc base'!J219),2),MAX('Calc base'!E$12,ROUND('Calc base'!E$13*AV218,2))))</f>
        <v>0</v>
      </c>
      <c r="M219">
        <f>IF(AW218&lt;=0,0,IF(ROUND(AW218*(1+'Calc base'!K219),2)-MAX('Calc base'!F$12,ROUND('Calc base'!F$13*AW218,2))&lt;1,ROUND(AW218*(1+'Calc base'!K219),2),MAX('Calc base'!F$12,ROUND('Calc base'!F$13*AW218,2))))</f>
        <v>0</v>
      </c>
      <c r="N219">
        <f>IF(AX218&lt;=0,0,IF(ROUND(AX218*(1+'Calc base'!L219),2)-MAX('Calc base'!G$12,ROUND('Calc base'!G$13*AX218,2))&lt;1,ROUND(AX218*(1+'Calc base'!L219),2),MAX('Calc base'!G$12,ROUND('Calc base'!G$13*AX218,2))))</f>
        <v>0</v>
      </c>
      <c r="O219">
        <f>IF(AY218&lt;=0,0,IF(ROUND(AY218*(1+'Calc base'!M219),2)-MAX('Calc base'!H$12,ROUND('Calc base'!H$13*AY218,2))&lt;1,ROUND(AY218*(1+'Calc base'!M219),2),MAX('Calc base'!H$12,ROUND('Calc base'!H$13*AY218,2))))</f>
        <v>0</v>
      </c>
      <c r="P219">
        <f>IF(AZ218&lt;=0,0,IF(ROUND(AZ218*(1+'Calc base'!N219),2)-MAX('Calc base'!I$12,ROUND('Calc base'!I$13*AZ218,2))&lt;1,ROUND(AZ218*(1+'Calc base'!N219),2),MAX('Calc base'!I$12,ROUND('Calc base'!I$13*AZ218,2))))</f>
        <v>0</v>
      </c>
      <c r="Q219">
        <f>IF(BA218&lt;=0,0,IF(ROUND(BA218*(1+'Calc base'!O219),2)-MAX('Calc base'!J$12,ROUND('Calc base'!J$13*BA218,2))&lt;1,ROUND(BA218*(1+'Calc base'!O219),2),MAX('Calc base'!J$12,ROUND('Calc base'!J$13*BA218,2))))</f>
        <v>0</v>
      </c>
      <c r="R219">
        <f>IF(BB218&lt;=0,0,IF(ROUND(BB218*(1+'Calc base'!P219),2)-MAX('Calc base'!K$12,ROUND('Calc base'!K$13*BB218,2))&lt;1,ROUND(BB218*(1+'Calc base'!P219),2),MAX('Calc base'!K$12,ROUND('Calc base'!K$13*BB218,2))))</f>
        <v>0</v>
      </c>
      <c r="S219">
        <f>IF(BC218&lt;=0,0,IF(ROUND(BC218*(1+'Calc base'!Q219),2)-MAX('Calc base'!L$12,ROUND('Calc base'!L$13*BC218,2))&lt;1,ROUND(BC218*(1+'Calc base'!Q219),2),MAX('Calc base'!L$12,ROUND('Calc base'!L$13*BC218,2))))</f>
        <v>0</v>
      </c>
      <c r="T219">
        <f>IF(BD218&lt;=0,0,IF(ROUND(BD218*(1+'Calc base'!R219),2)-MAX('Calc base'!M$12,ROUND('Calc base'!M$13*BD218,2))&lt;1,ROUND(BD218*(1+'Calc base'!R219),2),MAX('Calc base'!M$12,ROUND('Calc base'!M$13*BD218,2))))</f>
        <v>0</v>
      </c>
      <c r="U219">
        <f>IF(BE218&lt;=0,0,IF(ROUND(BE218*(1+'Calc base'!S219),2)-MAX('Calc base'!N$12,ROUND('Calc base'!N$13*BE218,2))&lt;1,ROUND(BE218*(1+'Calc base'!S219),2),MAX('Calc base'!N$12,ROUND('Calc base'!N$13*BE218,2))))</f>
        <v>0</v>
      </c>
      <c r="V219">
        <f>MAX(0,ROUND(AT218*(1+'Calc base'!H219),2)-J219-'Calc base'!T219)</f>
        <v>0</v>
      </c>
      <c r="W219">
        <f>MAX(0,ROUND(AU218*(1+'Calc base'!I219),2)-K219-'Calc base'!U219)</f>
        <v>0</v>
      </c>
      <c r="X219">
        <f>MAX(0,ROUND(AV218*(1+'Calc base'!J219),2)-L219-'Calc base'!V219)</f>
        <v>0</v>
      </c>
      <c r="Y219">
        <f>MAX(0,ROUND(AW218*(1+'Calc base'!K219),2)-M219-'Calc base'!W219)</f>
        <v>0</v>
      </c>
      <c r="Z219">
        <f>MAX(0,ROUND(AX218*(1+'Calc base'!L219),2)-N219-'Calc base'!X219)</f>
        <v>0</v>
      </c>
      <c r="AA219">
        <f>MAX(0,ROUND(AY218*(1+'Calc base'!M219),2)-O219-'Calc base'!Y219)</f>
        <v>0</v>
      </c>
      <c r="AB219">
        <f>MAX(0,ROUND(AZ218*(1+'Calc base'!N219),2)-P219-'Calc base'!Z219)</f>
        <v>0</v>
      </c>
      <c r="AC219">
        <f>MAX(0,ROUND(BA218*(1+'Calc base'!O219),2)-Q219-'Calc base'!AA219)</f>
        <v>0</v>
      </c>
      <c r="AD219">
        <f>MAX(0,ROUND(BB218*(1+'Calc base'!P219),2)-R219-'Calc base'!AB219)</f>
        <v>0</v>
      </c>
      <c r="AE219">
        <f>MAX(0,ROUND(BC218*(1+'Calc base'!Q219),2)-S219-'Calc base'!AC219)</f>
        <v>0</v>
      </c>
      <c r="AF219">
        <f>MAX(0,ROUND(BD218*(1+'Calc base'!R219),2)-T219-'Calc base'!AD219)</f>
        <v>0</v>
      </c>
      <c r="AG219">
        <f>MAX(0,ROUND(BE218*(1+'Calc base'!S219),2)-U219-'Calc base'!AE219)</f>
        <v>0</v>
      </c>
      <c r="AH219">
        <f>IF('Calc base'!C$14=0,0,MIN(V219,MAX(0,$E219-SUMIFS($V219:$AG219,'Calc base'!$C$19:$N$19,"&lt;"&amp;'Calc base'!C$19,'Calc base'!$C$14:$N$14,1))))</f>
        <v>0</v>
      </c>
      <c r="AI219">
        <f>IF('Calc base'!D$14=0,0,MIN(W219,MAX(0,$E219-SUMIFS($V219:$AG219,'Calc base'!$C$19:$N$19,"&lt;"&amp;'Calc base'!D$19,'Calc base'!$C$14:$N$14,1))))</f>
        <v>0</v>
      </c>
      <c r="AJ219">
        <f>IF('Calc base'!E$14=0,0,MIN(X219,MAX(0,$E219-SUMIFS($V219:$AG219,'Calc base'!$C$19:$N$19,"&lt;"&amp;'Calc base'!E$19,'Calc base'!$C$14:$N$14,1))))</f>
        <v>0</v>
      </c>
      <c r="AK219">
        <f>IF('Calc base'!F$14=0,0,MIN(Y219,MAX(0,$E219-SUMIFS($V219:$AG219,'Calc base'!$C$19:$N$19,"&lt;"&amp;'Calc base'!F$19,'Calc base'!$C$14:$N$14,1))))</f>
        <v>0</v>
      </c>
      <c r="AL219">
        <f>IF('Calc base'!G$14=0,0,MIN(Z219,MAX(0,$E219-SUMIFS($V219:$AG219,'Calc base'!$C$19:$N$19,"&lt;"&amp;'Calc base'!G$19,'Calc base'!$C$14:$N$14,1))))</f>
        <v>0</v>
      </c>
      <c r="AM219">
        <f>IF('Calc base'!H$14=0,0,MIN(AA219,MAX(0,$E219-SUMIFS($V219:$AG219,'Calc base'!$C$19:$N$19,"&lt;"&amp;'Calc base'!H$19,'Calc base'!$C$14:$N$14,1))))</f>
        <v>0</v>
      </c>
      <c r="AN219">
        <f>IF('Calc base'!I$14=0,0,MIN(AB219,MAX(0,$E219-SUMIFS($V219:$AG219,'Calc base'!$C$19:$N$19,"&lt;"&amp;'Calc base'!I$19,'Calc base'!$C$14:$N$14,1))))</f>
        <v>0</v>
      </c>
      <c r="AO219">
        <f>IF('Calc base'!J$14=0,0,MIN(AC219,MAX(0,$E219-SUMIFS($V219:$AG219,'Calc base'!$C$19:$N$19,"&lt;"&amp;'Calc base'!J$19,'Calc base'!$C$14:$N$14,1))))</f>
        <v>0</v>
      </c>
      <c r="AP219">
        <f>IF('Calc base'!K$14=0,0,MIN(AD219,MAX(0,$E219-SUMIFS($V219:$AG219,'Calc base'!$C$19:$N$19,"&lt;"&amp;'Calc base'!K$19,'Calc base'!$C$14:$N$14,1))))</f>
        <v>0</v>
      </c>
      <c r="AQ219">
        <f>IF('Calc base'!L$14=0,0,MIN(AE219,MAX(0,$E219-SUMIFS($V219:$AG219,'Calc base'!$C$19:$N$19,"&lt;"&amp;'Calc base'!L$19,'Calc base'!$C$14:$N$14,1))))</f>
        <v>0</v>
      </c>
      <c r="AR219">
        <f>IF('Calc base'!M$14=0,0,MIN(AF219,MAX(0,$E219-SUMIFS($V219:$AG219,'Calc base'!$C$19:$N$19,"&lt;"&amp;'Calc base'!M$19,'Calc base'!$C$14:$N$14,1))))</f>
        <v>0</v>
      </c>
      <c r="AS219">
        <f>IF('Calc base'!N$14=0,0,MIN(AG219,MAX(0,$E219-SUMIFS($V219:$AG219,'Calc base'!$C$19:$N$19,"&lt;"&amp;'Calc base'!N$19,'Calc base'!$C$14:$N$14,1))))</f>
        <v>0</v>
      </c>
      <c r="AT219">
        <f>V219-AH219</f>
        <v>0</v>
      </c>
      <c r="AU219">
        <f>W219-AI219</f>
        <v>0</v>
      </c>
      <c r="AV219">
        <f>X219-AJ219</f>
        <v>0</v>
      </c>
      <c r="AW219">
        <f>Y219-AK219</f>
        <v>0</v>
      </c>
      <c r="AX219">
        <f>Z219-AL219</f>
        <v>0</v>
      </c>
      <c r="AY219">
        <f>AA219-AM219</f>
        <v>0</v>
      </c>
      <c r="AZ219">
        <f>AB219-AN219</f>
        <v>0</v>
      </c>
      <c r="BA219">
        <f>AC219-AO219</f>
        <v>0</v>
      </c>
      <c r="BB219">
        <f>AD219-AP219</f>
        <v>0</v>
      </c>
      <c r="BC219">
        <f>AE219-AQ219</f>
        <v>0</v>
      </c>
      <c r="BD219">
        <f>AF219-AR219</f>
        <v>0</v>
      </c>
      <c r="BE219">
        <f>AG219-AS219</f>
        <v>0</v>
      </c>
    </row>
    <row r="220">
      <c r="A220" t="n">
        <v>190</v>
      </c>
      <c r="B220">
        <f>SUMPRODUCT(ROUND($AT219:$BE219*(1+'Calc base'!$H220:$S220),2))</f>
        <v>0</v>
      </c>
      <c r="C220">
        <f>SUM(J220:U220)</f>
        <v>0</v>
      </c>
      <c r="D220">
        <f>SUM(V220:AG220)</f>
        <v>0</v>
      </c>
      <c r="E220">
        <f>MAX(0,IF(Impostazioni!$B$7="No",'Calc base'!$C220-$C$31,'Calc base'!$C220-C220)+'Calc base'!$G220+'Calc base'!$F220-(B220-C220-D220))</f>
        <v>900</v>
      </c>
      <c r="F220">
        <f>SUM(AH220:AS220)</f>
        <v>0</v>
      </c>
      <c r="G220">
        <f>SUM(AT220:BE220)</f>
        <v>0</v>
      </c>
      <c r="H220">
        <f>B220-G219</f>
        <v>0</v>
      </c>
      <c r="I220">
        <f>B220-G220</f>
        <v>0</v>
      </c>
      <c r="J220">
        <f>IF(AT219&lt;=0,0,IF(ROUND(AT219*(1+'Calc base'!H220),2)-MAX('Calc base'!C$12,ROUND('Calc base'!C$13*AT219,2))&lt;1,ROUND(AT219*(1+'Calc base'!H220),2),MAX('Calc base'!C$12,ROUND('Calc base'!C$13*AT219,2))))</f>
        <v>0</v>
      </c>
      <c r="K220">
        <f>IF(AU219&lt;=0,0,IF(ROUND(AU219*(1+'Calc base'!I220),2)-MAX('Calc base'!D$12,ROUND('Calc base'!D$13*AU219,2))&lt;1,ROUND(AU219*(1+'Calc base'!I220),2),MAX('Calc base'!D$12,ROUND('Calc base'!D$13*AU219,2))))</f>
        <v>0</v>
      </c>
      <c r="L220">
        <f>IF(AV219&lt;=0,0,IF(ROUND(AV219*(1+'Calc base'!J220),2)-MAX('Calc base'!E$12,ROUND('Calc base'!E$13*AV219,2))&lt;1,ROUND(AV219*(1+'Calc base'!J220),2),MAX('Calc base'!E$12,ROUND('Calc base'!E$13*AV219,2))))</f>
        <v>0</v>
      </c>
      <c r="M220">
        <f>IF(AW219&lt;=0,0,IF(ROUND(AW219*(1+'Calc base'!K220),2)-MAX('Calc base'!F$12,ROUND('Calc base'!F$13*AW219,2))&lt;1,ROUND(AW219*(1+'Calc base'!K220),2),MAX('Calc base'!F$12,ROUND('Calc base'!F$13*AW219,2))))</f>
        <v>0</v>
      </c>
      <c r="N220">
        <f>IF(AX219&lt;=0,0,IF(ROUND(AX219*(1+'Calc base'!L220),2)-MAX('Calc base'!G$12,ROUND('Calc base'!G$13*AX219,2))&lt;1,ROUND(AX219*(1+'Calc base'!L220),2),MAX('Calc base'!G$12,ROUND('Calc base'!G$13*AX219,2))))</f>
        <v>0</v>
      </c>
      <c r="O220">
        <f>IF(AY219&lt;=0,0,IF(ROUND(AY219*(1+'Calc base'!M220),2)-MAX('Calc base'!H$12,ROUND('Calc base'!H$13*AY219,2))&lt;1,ROUND(AY219*(1+'Calc base'!M220),2),MAX('Calc base'!H$12,ROUND('Calc base'!H$13*AY219,2))))</f>
        <v>0</v>
      </c>
      <c r="P220">
        <f>IF(AZ219&lt;=0,0,IF(ROUND(AZ219*(1+'Calc base'!N220),2)-MAX('Calc base'!I$12,ROUND('Calc base'!I$13*AZ219,2))&lt;1,ROUND(AZ219*(1+'Calc base'!N220),2),MAX('Calc base'!I$12,ROUND('Calc base'!I$13*AZ219,2))))</f>
        <v>0</v>
      </c>
      <c r="Q220">
        <f>IF(BA219&lt;=0,0,IF(ROUND(BA219*(1+'Calc base'!O220),2)-MAX('Calc base'!J$12,ROUND('Calc base'!J$13*BA219,2))&lt;1,ROUND(BA219*(1+'Calc base'!O220),2),MAX('Calc base'!J$12,ROUND('Calc base'!J$13*BA219,2))))</f>
        <v>0</v>
      </c>
      <c r="R220">
        <f>IF(BB219&lt;=0,0,IF(ROUND(BB219*(1+'Calc base'!P220),2)-MAX('Calc base'!K$12,ROUND('Calc base'!K$13*BB219,2))&lt;1,ROUND(BB219*(1+'Calc base'!P220),2),MAX('Calc base'!K$12,ROUND('Calc base'!K$13*BB219,2))))</f>
        <v>0</v>
      </c>
      <c r="S220">
        <f>IF(BC219&lt;=0,0,IF(ROUND(BC219*(1+'Calc base'!Q220),2)-MAX('Calc base'!L$12,ROUND('Calc base'!L$13*BC219,2))&lt;1,ROUND(BC219*(1+'Calc base'!Q220),2),MAX('Calc base'!L$12,ROUND('Calc base'!L$13*BC219,2))))</f>
        <v>0</v>
      </c>
      <c r="T220">
        <f>IF(BD219&lt;=0,0,IF(ROUND(BD219*(1+'Calc base'!R220),2)-MAX('Calc base'!M$12,ROUND('Calc base'!M$13*BD219,2))&lt;1,ROUND(BD219*(1+'Calc base'!R220),2),MAX('Calc base'!M$12,ROUND('Calc base'!M$13*BD219,2))))</f>
        <v>0</v>
      </c>
      <c r="U220">
        <f>IF(BE219&lt;=0,0,IF(ROUND(BE219*(1+'Calc base'!S220),2)-MAX('Calc base'!N$12,ROUND('Calc base'!N$13*BE219,2))&lt;1,ROUND(BE219*(1+'Calc base'!S220),2),MAX('Calc base'!N$12,ROUND('Calc base'!N$13*BE219,2))))</f>
        <v>0</v>
      </c>
      <c r="V220">
        <f>MAX(0,ROUND(AT219*(1+'Calc base'!H220),2)-J220-'Calc base'!T220)</f>
        <v>0</v>
      </c>
      <c r="W220">
        <f>MAX(0,ROUND(AU219*(1+'Calc base'!I220),2)-K220-'Calc base'!U220)</f>
        <v>0</v>
      </c>
      <c r="X220">
        <f>MAX(0,ROUND(AV219*(1+'Calc base'!J220),2)-L220-'Calc base'!V220)</f>
        <v>0</v>
      </c>
      <c r="Y220">
        <f>MAX(0,ROUND(AW219*(1+'Calc base'!K220),2)-M220-'Calc base'!W220)</f>
        <v>0</v>
      </c>
      <c r="Z220">
        <f>MAX(0,ROUND(AX219*(1+'Calc base'!L220),2)-N220-'Calc base'!X220)</f>
        <v>0</v>
      </c>
      <c r="AA220">
        <f>MAX(0,ROUND(AY219*(1+'Calc base'!M220),2)-O220-'Calc base'!Y220)</f>
        <v>0</v>
      </c>
      <c r="AB220">
        <f>MAX(0,ROUND(AZ219*(1+'Calc base'!N220),2)-P220-'Calc base'!Z220)</f>
        <v>0</v>
      </c>
      <c r="AC220">
        <f>MAX(0,ROUND(BA219*(1+'Calc base'!O220),2)-Q220-'Calc base'!AA220)</f>
        <v>0</v>
      </c>
      <c r="AD220">
        <f>MAX(0,ROUND(BB219*(1+'Calc base'!P220),2)-R220-'Calc base'!AB220)</f>
        <v>0</v>
      </c>
      <c r="AE220">
        <f>MAX(0,ROUND(BC219*(1+'Calc base'!Q220),2)-S220-'Calc base'!AC220)</f>
        <v>0</v>
      </c>
      <c r="AF220">
        <f>MAX(0,ROUND(BD219*(1+'Calc base'!R220),2)-T220-'Calc base'!AD220)</f>
        <v>0</v>
      </c>
      <c r="AG220">
        <f>MAX(0,ROUND(BE219*(1+'Calc base'!S220),2)-U220-'Calc base'!AE220)</f>
        <v>0</v>
      </c>
      <c r="AH220">
        <f>IF('Calc base'!C$14=0,0,MIN(V220,MAX(0,$E220-SUMIFS($V220:$AG220,'Calc base'!$C$19:$N$19,"&lt;"&amp;'Calc base'!C$19,'Calc base'!$C$14:$N$14,1))))</f>
        <v>0</v>
      </c>
      <c r="AI220">
        <f>IF('Calc base'!D$14=0,0,MIN(W220,MAX(0,$E220-SUMIFS($V220:$AG220,'Calc base'!$C$19:$N$19,"&lt;"&amp;'Calc base'!D$19,'Calc base'!$C$14:$N$14,1))))</f>
        <v>0</v>
      </c>
      <c r="AJ220">
        <f>IF('Calc base'!E$14=0,0,MIN(X220,MAX(0,$E220-SUMIFS($V220:$AG220,'Calc base'!$C$19:$N$19,"&lt;"&amp;'Calc base'!E$19,'Calc base'!$C$14:$N$14,1))))</f>
        <v>0</v>
      </c>
      <c r="AK220">
        <f>IF('Calc base'!F$14=0,0,MIN(Y220,MAX(0,$E220-SUMIFS($V220:$AG220,'Calc base'!$C$19:$N$19,"&lt;"&amp;'Calc base'!F$19,'Calc base'!$C$14:$N$14,1))))</f>
        <v>0</v>
      </c>
      <c r="AL220">
        <f>IF('Calc base'!G$14=0,0,MIN(Z220,MAX(0,$E220-SUMIFS($V220:$AG220,'Calc base'!$C$19:$N$19,"&lt;"&amp;'Calc base'!G$19,'Calc base'!$C$14:$N$14,1))))</f>
        <v>0</v>
      </c>
      <c r="AM220">
        <f>IF('Calc base'!H$14=0,0,MIN(AA220,MAX(0,$E220-SUMIFS($V220:$AG220,'Calc base'!$C$19:$N$19,"&lt;"&amp;'Calc base'!H$19,'Calc base'!$C$14:$N$14,1))))</f>
        <v>0</v>
      </c>
      <c r="AN220">
        <f>IF('Calc base'!I$14=0,0,MIN(AB220,MAX(0,$E220-SUMIFS($V220:$AG220,'Calc base'!$C$19:$N$19,"&lt;"&amp;'Calc base'!I$19,'Calc base'!$C$14:$N$14,1))))</f>
        <v>0</v>
      </c>
      <c r="AO220">
        <f>IF('Calc base'!J$14=0,0,MIN(AC220,MAX(0,$E220-SUMIFS($V220:$AG220,'Calc base'!$C$19:$N$19,"&lt;"&amp;'Calc base'!J$19,'Calc base'!$C$14:$N$14,1))))</f>
        <v>0</v>
      </c>
      <c r="AP220">
        <f>IF('Calc base'!K$14=0,0,MIN(AD220,MAX(0,$E220-SUMIFS($V220:$AG220,'Calc base'!$C$19:$N$19,"&lt;"&amp;'Calc base'!K$19,'Calc base'!$C$14:$N$14,1))))</f>
        <v>0</v>
      </c>
      <c r="AQ220">
        <f>IF('Calc base'!L$14=0,0,MIN(AE220,MAX(0,$E220-SUMIFS($V220:$AG220,'Calc base'!$C$19:$N$19,"&lt;"&amp;'Calc base'!L$19,'Calc base'!$C$14:$N$14,1))))</f>
        <v>0</v>
      </c>
      <c r="AR220">
        <f>IF('Calc base'!M$14=0,0,MIN(AF220,MAX(0,$E220-SUMIFS($V220:$AG220,'Calc base'!$C$19:$N$19,"&lt;"&amp;'Calc base'!M$19,'Calc base'!$C$14:$N$14,1))))</f>
        <v>0</v>
      </c>
      <c r="AS220">
        <f>IF('Calc base'!N$14=0,0,MIN(AG220,MAX(0,$E220-SUMIFS($V220:$AG220,'Calc base'!$C$19:$N$19,"&lt;"&amp;'Calc base'!N$19,'Calc base'!$C$14:$N$14,1))))</f>
        <v>0</v>
      </c>
      <c r="AT220">
        <f>V220-AH220</f>
        <v>0</v>
      </c>
      <c r="AU220">
        <f>W220-AI220</f>
        <v>0</v>
      </c>
      <c r="AV220">
        <f>X220-AJ220</f>
        <v>0</v>
      </c>
      <c r="AW220">
        <f>Y220-AK220</f>
        <v>0</v>
      </c>
      <c r="AX220">
        <f>Z220-AL220</f>
        <v>0</v>
      </c>
      <c r="AY220">
        <f>AA220-AM220</f>
        <v>0</v>
      </c>
      <c r="AZ220">
        <f>AB220-AN220</f>
        <v>0</v>
      </c>
      <c r="BA220">
        <f>AC220-AO220</f>
        <v>0</v>
      </c>
      <c r="BB220">
        <f>AD220-AP220</f>
        <v>0</v>
      </c>
      <c r="BC220">
        <f>AE220-AQ220</f>
        <v>0</v>
      </c>
      <c r="BD220">
        <f>AF220-AR220</f>
        <v>0</v>
      </c>
      <c r="BE220">
        <f>AG220-AS220</f>
        <v>0</v>
      </c>
    </row>
    <row r="221">
      <c r="A221" t="n">
        <v>191</v>
      </c>
      <c r="B221">
        <f>SUMPRODUCT(ROUND($AT220:$BE220*(1+'Calc base'!$H221:$S221),2))</f>
        <v>0</v>
      </c>
      <c r="C221">
        <f>SUM(J221:U221)</f>
        <v>0</v>
      </c>
      <c r="D221">
        <f>SUM(V221:AG221)</f>
        <v>0</v>
      </c>
      <c r="E221">
        <f>MAX(0,IF(Impostazioni!$B$7="No",'Calc base'!$C221-$C$31,'Calc base'!$C221-C221)+'Calc base'!$G221+'Calc base'!$F221-(B221-C221-D221))</f>
        <v>900</v>
      </c>
      <c r="F221">
        <f>SUM(AH221:AS221)</f>
        <v>0</v>
      </c>
      <c r="G221">
        <f>SUM(AT221:BE221)</f>
        <v>0</v>
      </c>
      <c r="H221">
        <f>B221-G220</f>
        <v>0</v>
      </c>
      <c r="I221">
        <f>B221-G221</f>
        <v>0</v>
      </c>
      <c r="J221">
        <f>IF(AT220&lt;=0,0,IF(ROUND(AT220*(1+'Calc base'!H221),2)-MAX('Calc base'!C$12,ROUND('Calc base'!C$13*AT220,2))&lt;1,ROUND(AT220*(1+'Calc base'!H221),2),MAX('Calc base'!C$12,ROUND('Calc base'!C$13*AT220,2))))</f>
        <v>0</v>
      </c>
      <c r="K221">
        <f>IF(AU220&lt;=0,0,IF(ROUND(AU220*(1+'Calc base'!I221),2)-MAX('Calc base'!D$12,ROUND('Calc base'!D$13*AU220,2))&lt;1,ROUND(AU220*(1+'Calc base'!I221),2),MAX('Calc base'!D$12,ROUND('Calc base'!D$13*AU220,2))))</f>
        <v>0</v>
      </c>
      <c r="L221">
        <f>IF(AV220&lt;=0,0,IF(ROUND(AV220*(1+'Calc base'!J221),2)-MAX('Calc base'!E$12,ROUND('Calc base'!E$13*AV220,2))&lt;1,ROUND(AV220*(1+'Calc base'!J221),2),MAX('Calc base'!E$12,ROUND('Calc base'!E$13*AV220,2))))</f>
        <v>0</v>
      </c>
      <c r="M221">
        <f>IF(AW220&lt;=0,0,IF(ROUND(AW220*(1+'Calc base'!K221),2)-MAX('Calc base'!F$12,ROUND('Calc base'!F$13*AW220,2))&lt;1,ROUND(AW220*(1+'Calc base'!K221),2),MAX('Calc base'!F$12,ROUND('Calc base'!F$13*AW220,2))))</f>
        <v>0</v>
      </c>
      <c r="N221">
        <f>IF(AX220&lt;=0,0,IF(ROUND(AX220*(1+'Calc base'!L221),2)-MAX('Calc base'!G$12,ROUND('Calc base'!G$13*AX220,2))&lt;1,ROUND(AX220*(1+'Calc base'!L221),2),MAX('Calc base'!G$12,ROUND('Calc base'!G$13*AX220,2))))</f>
        <v>0</v>
      </c>
      <c r="O221">
        <f>IF(AY220&lt;=0,0,IF(ROUND(AY220*(1+'Calc base'!M221),2)-MAX('Calc base'!H$12,ROUND('Calc base'!H$13*AY220,2))&lt;1,ROUND(AY220*(1+'Calc base'!M221),2),MAX('Calc base'!H$12,ROUND('Calc base'!H$13*AY220,2))))</f>
        <v>0</v>
      </c>
      <c r="P221">
        <f>IF(AZ220&lt;=0,0,IF(ROUND(AZ220*(1+'Calc base'!N221),2)-MAX('Calc base'!I$12,ROUND('Calc base'!I$13*AZ220,2))&lt;1,ROUND(AZ220*(1+'Calc base'!N221),2),MAX('Calc base'!I$12,ROUND('Calc base'!I$13*AZ220,2))))</f>
        <v>0</v>
      </c>
      <c r="Q221">
        <f>IF(BA220&lt;=0,0,IF(ROUND(BA220*(1+'Calc base'!O221),2)-MAX('Calc base'!J$12,ROUND('Calc base'!J$13*BA220,2))&lt;1,ROUND(BA220*(1+'Calc base'!O221),2),MAX('Calc base'!J$12,ROUND('Calc base'!J$13*BA220,2))))</f>
        <v>0</v>
      </c>
      <c r="R221">
        <f>IF(BB220&lt;=0,0,IF(ROUND(BB220*(1+'Calc base'!P221),2)-MAX('Calc base'!K$12,ROUND('Calc base'!K$13*BB220,2))&lt;1,ROUND(BB220*(1+'Calc base'!P221),2),MAX('Calc base'!K$12,ROUND('Calc base'!K$13*BB220,2))))</f>
        <v>0</v>
      </c>
      <c r="S221">
        <f>IF(BC220&lt;=0,0,IF(ROUND(BC220*(1+'Calc base'!Q221),2)-MAX('Calc base'!L$12,ROUND('Calc base'!L$13*BC220,2))&lt;1,ROUND(BC220*(1+'Calc base'!Q221),2),MAX('Calc base'!L$12,ROUND('Calc base'!L$13*BC220,2))))</f>
        <v>0</v>
      </c>
      <c r="T221">
        <f>IF(BD220&lt;=0,0,IF(ROUND(BD220*(1+'Calc base'!R221),2)-MAX('Calc base'!M$12,ROUND('Calc base'!M$13*BD220,2))&lt;1,ROUND(BD220*(1+'Calc base'!R221),2),MAX('Calc base'!M$12,ROUND('Calc base'!M$13*BD220,2))))</f>
        <v>0</v>
      </c>
      <c r="U221">
        <f>IF(BE220&lt;=0,0,IF(ROUND(BE220*(1+'Calc base'!S221),2)-MAX('Calc base'!N$12,ROUND('Calc base'!N$13*BE220,2))&lt;1,ROUND(BE220*(1+'Calc base'!S221),2),MAX('Calc base'!N$12,ROUND('Calc base'!N$13*BE220,2))))</f>
        <v>0</v>
      </c>
      <c r="V221">
        <f>MAX(0,ROUND(AT220*(1+'Calc base'!H221),2)-J221-'Calc base'!T221)</f>
        <v>0</v>
      </c>
      <c r="W221">
        <f>MAX(0,ROUND(AU220*(1+'Calc base'!I221),2)-K221-'Calc base'!U221)</f>
        <v>0</v>
      </c>
      <c r="X221">
        <f>MAX(0,ROUND(AV220*(1+'Calc base'!J221),2)-L221-'Calc base'!V221)</f>
        <v>0</v>
      </c>
      <c r="Y221">
        <f>MAX(0,ROUND(AW220*(1+'Calc base'!K221),2)-M221-'Calc base'!W221)</f>
        <v>0</v>
      </c>
      <c r="Z221">
        <f>MAX(0,ROUND(AX220*(1+'Calc base'!L221),2)-N221-'Calc base'!X221)</f>
        <v>0</v>
      </c>
      <c r="AA221">
        <f>MAX(0,ROUND(AY220*(1+'Calc base'!M221),2)-O221-'Calc base'!Y221)</f>
        <v>0</v>
      </c>
      <c r="AB221">
        <f>MAX(0,ROUND(AZ220*(1+'Calc base'!N221),2)-P221-'Calc base'!Z221)</f>
        <v>0</v>
      </c>
      <c r="AC221">
        <f>MAX(0,ROUND(BA220*(1+'Calc base'!O221),2)-Q221-'Calc base'!AA221)</f>
        <v>0</v>
      </c>
      <c r="AD221">
        <f>MAX(0,ROUND(BB220*(1+'Calc base'!P221),2)-R221-'Calc base'!AB221)</f>
        <v>0</v>
      </c>
      <c r="AE221">
        <f>MAX(0,ROUND(BC220*(1+'Calc base'!Q221),2)-S221-'Calc base'!AC221)</f>
        <v>0</v>
      </c>
      <c r="AF221">
        <f>MAX(0,ROUND(BD220*(1+'Calc base'!R221),2)-T221-'Calc base'!AD221)</f>
        <v>0</v>
      </c>
      <c r="AG221">
        <f>MAX(0,ROUND(BE220*(1+'Calc base'!S221),2)-U221-'Calc base'!AE221)</f>
        <v>0</v>
      </c>
      <c r="AH221">
        <f>IF('Calc base'!C$14=0,0,MIN(V221,MAX(0,$E221-SUMIFS($V221:$AG221,'Calc base'!$C$19:$N$19,"&lt;"&amp;'Calc base'!C$19,'Calc base'!$C$14:$N$14,1))))</f>
        <v>0</v>
      </c>
      <c r="AI221">
        <f>IF('Calc base'!D$14=0,0,MIN(W221,MAX(0,$E221-SUMIFS($V221:$AG221,'Calc base'!$C$19:$N$19,"&lt;"&amp;'Calc base'!D$19,'Calc base'!$C$14:$N$14,1))))</f>
        <v>0</v>
      </c>
      <c r="AJ221">
        <f>IF('Calc base'!E$14=0,0,MIN(X221,MAX(0,$E221-SUMIFS($V221:$AG221,'Calc base'!$C$19:$N$19,"&lt;"&amp;'Calc base'!E$19,'Calc base'!$C$14:$N$14,1))))</f>
        <v>0</v>
      </c>
      <c r="AK221">
        <f>IF('Calc base'!F$14=0,0,MIN(Y221,MAX(0,$E221-SUMIFS($V221:$AG221,'Calc base'!$C$19:$N$19,"&lt;"&amp;'Calc base'!F$19,'Calc base'!$C$14:$N$14,1))))</f>
        <v>0</v>
      </c>
      <c r="AL221">
        <f>IF('Calc base'!G$14=0,0,MIN(Z221,MAX(0,$E221-SUMIFS($V221:$AG221,'Calc base'!$C$19:$N$19,"&lt;"&amp;'Calc base'!G$19,'Calc base'!$C$14:$N$14,1))))</f>
        <v>0</v>
      </c>
      <c r="AM221">
        <f>IF('Calc base'!H$14=0,0,MIN(AA221,MAX(0,$E221-SUMIFS($V221:$AG221,'Calc base'!$C$19:$N$19,"&lt;"&amp;'Calc base'!H$19,'Calc base'!$C$14:$N$14,1))))</f>
        <v>0</v>
      </c>
      <c r="AN221">
        <f>IF('Calc base'!I$14=0,0,MIN(AB221,MAX(0,$E221-SUMIFS($V221:$AG221,'Calc base'!$C$19:$N$19,"&lt;"&amp;'Calc base'!I$19,'Calc base'!$C$14:$N$14,1))))</f>
        <v>0</v>
      </c>
      <c r="AO221">
        <f>IF('Calc base'!J$14=0,0,MIN(AC221,MAX(0,$E221-SUMIFS($V221:$AG221,'Calc base'!$C$19:$N$19,"&lt;"&amp;'Calc base'!J$19,'Calc base'!$C$14:$N$14,1))))</f>
        <v>0</v>
      </c>
      <c r="AP221">
        <f>IF('Calc base'!K$14=0,0,MIN(AD221,MAX(0,$E221-SUMIFS($V221:$AG221,'Calc base'!$C$19:$N$19,"&lt;"&amp;'Calc base'!K$19,'Calc base'!$C$14:$N$14,1))))</f>
        <v>0</v>
      </c>
      <c r="AQ221">
        <f>IF('Calc base'!L$14=0,0,MIN(AE221,MAX(0,$E221-SUMIFS($V221:$AG221,'Calc base'!$C$19:$N$19,"&lt;"&amp;'Calc base'!L$19,'Calc base'!$C$14:$N$14,1))))</f>
        <v>0</v>
      </c>
      <c r="AR221">
        <f>IF('Calc base'!M$14=0,0,MIN(AF221,MAX(0,$E221-SUMIFS($V221:$AG221,'Calc base'!$C$19:$N$19,"&lt;"&amp;'Calc base'!M$19,'Calc base'!$C$14:$N$14,1))))</f>
        <v>0</v>
      </c>
      <c r="AS221">
        <f>IF('Calc base'!N$14=0,0,MIN(AG221,MAX(0,$E221-SUMIFS($V221:$AG221,'Calc base'!$C$19:$N$19,"&lt;"&amp;'Calc base'!N$19,'Calc base'!$C$14:$N$14,1))))</f>
        <v>0</v>
      </c>
      <c r="AT221">
        <f>V221-AH221</f>
        <v>0</v>
      </c>
      <c r="AU221">
        <f>W221-AI221</f>
        <v>0</v>
      </c>
      <c r="AV221">
        <f>X221-AJ221</f>
        <v>0</v>
      </c>
      <c r="AW221">
        <f>Y221-AK221</f>
        <v>0</v>
      </c>
      <c r="AX221">
        <f>Z221-AL221</f>
        <v>0</v>
      </c>
      <c r="AY221">
        <f>AA221-AM221</f>
        <v>0</v>
      </c>
      <c r="AZ221">
        <f>AB221-AN221</f>
        <v>0</v>
      </c>
      <c r="BA221">
        <f>AC221-AO221</f>
        <v>0</v>
      </c>
      <c r="BB221">
        <f>AD221-AP221</f>
        <v>0</v>
      </c>
      <c r="BC221">
        <f>AE221-AQ221</f>
        <v>0</v>
      </c>
      <c r="BD221">
        <f>AF221-AR221</f>
        <v>0</v>
      </c>
      <c r="BE221">
        <f>AG221-AS221</f>
        <v>0</v>
      </c>
    </row>
    <row r="222">
      <c r="A222" t="n">
        <v>192</v>
      </c>
      <c r="B222">
        <f>SUMPRODUCT(ROUND($AT221:$BE221*(1+'Calc base'!$H222:$S222),2))</f>
        <v>0</v>
      </c>
      <c r="C222">
        <f>SUM(J222:U222)</f>
        <v>0</v>
      </c>
      <c r="D222">
        <f>SUM(V222:AG222)</f>
        <v>0</v>
      </c>
      <c r="E222">
        <f>MAX(0,IF(Impostazioni!$B$7="No",'Calc base'!$C222-$C$31,'Calc base'!$C222-C222)+'Calc base'!$G222+'Calc base'!$F222-(B222-C222-D222))</f>
        <v>900</v>
      </c>
      <c r="F222">
        <f>SUM(AH222:AS222)</f>
        <v>0</v>
      </c>
      <c r="G222">
        <f>SUM(AT222:BE222)</f>
        <v>0</v>
      </c>
      <c r="H222">
        <f>B222-G221</f>
        <v>0</v>
      </c>
      <c r="I222">
        <f>B222-G222</f>
        <v>0</v>
      </c>
      <c r="J222">
        <f>IF(AT221&lt;=0,0,IF(ROUND(AT221*(1+'Calc base'!H222),2)-MAX('Calc base'!C$12,ROUND('Calc base'!C$13*AT221,2))&lt;1,ROUND(AT221*(1+'Calc base'!H222),2),MAX('Calc base'!C$12,ROUND('Calc base'!C$13*AT221,2))))</f>
        <v>0</v>
      </c>
      <c r="K222">
        <f>IF(AU221&lt;=0,0,IF(ROUND(AU221*(1+'Calc base'!I222),2)-MAX('Calc base'!D$12,ROUND('Calc base'!D$13*AU221,2))&lt;1,ROUND(AU221*(1+'Calc base'!I222),2),MAX('Calc base'!D$12,ROUND('Calc base'!D$13*AU221,2))))</f>
        <v>0</v>
      </c>
      <c r="L222">
        <f>IF(AV221&lt;=0,0,IF(ROUND(AV221*(1+'Calc base'!J222),2)-MAX('Calc base'!E$12,ROUND('Calc base'!E$13*AV221,2))&lt;1,ROUND(AV221*(1+'Calc base'!J222),2),MAX('Calc base'!E$12,ROUND('Calc base'!E$13*AV221,2))))</f>
        <v>0</v>
      </c>
      <c r="M222">
        <f>IF(AW221&lt;=0,0,IF(ROUND(AW221*(1+'Calc base'!K222),2)-MAX('Calc base'!F$12,ROUND('Calc base'!F$13*AW221,2))&lt;1,ROUND(AW221*(1+'Calc base'!K222),2),MAX('Calc base'!F$12,ROUND('Calc base'!F$13*AW221,2))))</f>
        <v>0</v>
      </c>
      <c r="N222">
        <f>IF(AX221&lt;=0,0,IF(ROUND(AX221*(1+'Calc base'!L222),2)-MAX('Calc base'!G$12,ROUND('Calc base'!G$13*AX221,2))&lt;1,ROUND(AX221*(1+'Calc base'!L222),2),MAX('Calc base'!G$12,ROUND('Calc base'!G$13*AX221,2))))</f>
        <v>0</v>
      </c>
      <c r="O222">
        <f>IF(AY221&lt;=0,0,IF(ROUND(AY221*(1+'Calc base'!M222),2)-MAX('Calc base'!H$12,ROUND('Calc base'!H$13*AY221,2))&lt;1,ROUND(AY221*(1+'Calc base'!M222),2),MAX('Calc base'!H$12,ROUND('Calc base'!H$13*AY221,2))))</f>
        <v>0</v>
      </c>
      <c r="P222">
        <f>IF(AZ221&lt;=0,0,IF(ROUND(AZ221*(1+'Calc base'!N222),2)-MAX('Calc base'!I$12,ROUND('Calc base'!I$13*AZ221,2))&lt;1,ROUND(AZ221*(1+'Calc base'!N222),2),MAX('Calc base'!I$12,ROUND('Calc base'!I$13*AZ221,2))))</f>
        <v>0</v>
      </c>
      <c r="Q222">
        <f>IF(BA221&lt;=0,0,IF(ROUND(BA221*(1+'Calc base'!O222),2)-MAX('Calc base'!J$12,ROUND('Calc base'!J$13*BA221,2))&lt;1,ROUND(BA221*(1+'Calc base'!O222),2),MAX('Calc base'!J$12,ROUND('Calc base'!J$13*BA221,2))))</f>
        <v>0</v>
      </c>
      <c r="R222">
        <f>IF(BB221&lt;=0,0,IF(ROUND(BB221*(1+'Calc base'!P222),2)-MAX('Calc base'!K$12,ROUND('Calc base'!K$13*BB221,2))&lt;1,ROUND(BB221*(1+'Calc base'!P222),2),MAX('Calc base'!K$12,ROUND('Calc base'!K$13*BB221,2))))</f>
        <v>0</v>
      </c>
      <c r="S222">
        <f>IF(BC221&lt;=0,0,IF(ROUND(BC221*(1+'Calc base'!Q222),2)-MAX('Calc base'!L$12,ROUND('Calc base'!L$13*BC221,2))&lt;1,ROUND(BC221*(1+'Calc base'!Q222),2),MAX('Calc base'!L$12,ROUND('Calc base'!L$13*BC221,2))))</f>
        <v>0</v>
      </c>
      <c r="T222">
        <f>IF(BD221&lt;=0,0,IF(ROUND(BD221*(1+'Calc base'!R222),2)-MAX('Calc base'!M$12,ROUND('Calc base'!M$13*BD221,2))&lt;1,ROUND(BD221*(1+'Calc base'!R222),2),MAX('Calc base'!M$12,ROUND('Calc base'!M$13*BD221,2))))</f>
        <v>0</v>
      </c>
      <c r="U222">
        <f>IF(BE221&lt;=0,0,IF(ROUND(BE221*(1+'Calc base'!S222),2)-MAX('Calc base'!N$12,ROUND('Calc base'!N$13*BE221,2))&lt;1,ROUND(BE221*(1+'Calc base'!S222),2),MAX('Calc base'!N$12,ROUND('Calc base'!N$13*BE221,2))))</f>
        <v>0</v>
      </c>
      <c r="V222">
        <f>MAX(0,ROUND(AT221*(1+'Calc base'!H222),2)-J222-'Calc base'!T222)</f>
        <v>0</v>
      </c>
      <c r="W222">
        <f>MAX(0,ROUND(AU221*(1+'Calc base'!I222),2)-K222-'Calc base'!U222)</f>
        <v>0</v>
      </c>
      <c r="X222">
        <f>MAX(0,ROUND(AV221*(1+'Calc base'!J222),2)-L222-'Calc base'!V222)</f>
        <v>0</v>
      </c>
      <c r="Y222">
        <f>MAX(0,ROUND(AW221*(1+'Calc base'!K222),2)-M222-'Calc base'!W222)</f>
        <v>0</v>
      </c>
      <c r="Z222">
        <f>MAX(0,ROUND(AX221*(1+'Calc base'!L222),2)-N222-'Calc base'!X222)</f>
        <v>0</v>
      </c>
      <c r="AA222">
        <f>MAX(0,ROUND(AY221*(1+'Calc base'!M222),2)-O222-'Calc base'!Y222)</f>
        <v>0</v>
      </c>
      <c r="AB222">
        <f>MAX(0,ROUND(AZ221*(1+'Calc base'!N222),2)-P222-'Calc base'!Z222)</f>
        <v>0</v>
      </c>
      <c r="AC222">
        <f>MAX(0,ROUND(BA221*(1+'Calc base'!O222),2)-Q222-'Calc base'!AA222)</f>
        <v>0</v>
      </c>
      <c r="AD222">
        <f>MAX(0,ROUND(BB221*(1+'Calc base'!P222),2)-R222-'Calc base'!AB222)</f>
        <v>0</v>
      </c>
      <c r="AE222">
        <f>MAX(0,ROUND(BC221*(1+'Calc base'!Q222),2)-S222-'Calc base'!AC222)</f>
        <v>0</v>
      </c>
      <c r="AF222">
        <f>MAX(0,ROUND(BD221*(1+'Calc base'!R222),2)-T222-'Calc base'!AD222)</f>
        <v>0</v>
      </c>
      <c r="AG222">
        <f>MAX(0,ROUND(BE221*(1+'Calc base'!S222),2)-U222-'Calc base'!AE222)</f>
        <v>0</v>
      </c>
      <c r="AH222">
        <f>IF('Calc base'!C$14=0,0,MIN(V222,MAX(0,$E222-SUMIFS($V222:$AG222,'Calc base'!$C$19:$N$19,"&lt;"&amp;'Calc base'!C$19,'Calc base'!$C$14:$N$14,1))))</f>
        <v>0</v>
      </c>
      <c r="AI222">
        <f>IF('Calc base'!D$14=0,0,MIN(W222,MAX(0,$E222-SUMIFS($V222:$AG222,'Calc base'!$C$19:$N$19,"&lt;"&amp;'Calc base'!D$19,'Calc base'!$C$14:$N$14,1))))</f>
        <v>0</v>
      </c>
      <c r="AJ222">
        <f>IF('Calc base'!E$14=0,0,MIN(X222,MAX(0,$E222-SUMIFS($V222:$AG222,'Calc base'!$C$19:$N$19,"&lt;"&amp;'Calc base'!E$19,'Calc base'!$C$14:$N$14,1))))</f>
        <v>0</v>
      </c>
      <c r="AK222">
        <f>IF('Calc base'!F$14=0,0,MIN(Y222,MAX(0,$E222-SUMIFS($V222:$AG222,'Calc base'!$C$19:$N$19,"&lt;"&amp;'Calc base'!F$19,'Calc base'!$C$14:$N$14,1))))</f>
        <v>0</v>
      </c>
      <c r="AL222">
        <f>IF('Calc base'!G$14=0,0,MIN(Z222,MAX(0,$E222-SUMIFS($V222:$AG222,'Calc base'!$C$19:$N$19,"&lt;"&amp;'Calc base'!G$19,'Calc base'!$C$14:$N$14,1))))</f>
        <v>0</v>
      </c>
      <c r="AM222">
        <f>IF('Calc base'!H$14=0,0,MIN(AA222,MAX(0,$E222-SUMIFS($V222:$AG222,'Calc base'!$C$19:$N$19,"&lt;"&amp;'Calc base'!H$19,'Calc base'!$C$14:$N$14,1))))</f>
        <v>0</v>
      </c>
      <c r="AN222">
        <f>IF('Calc base'!I$14=0,0,MIN(AB222,MAX(0,$E222-SUMIFS($V222:$AG222,'Calc base'!$C$19:$N$19,"&lt;"&amp;'Calc base'!I$19,'Calc base'!$C$14:$N$14,1))))</f>
        <v>0</v>
      </c>
      <c r="AO222">
        <f>IF('Calc base'!J$14=0,0,MIN(AC222,MAX(0,$E222-SUMIFS($V222:$AG222,'Calc base'!$C$19:$N$19,"&lt;"&amp;'Calc base'!J$19,'Calc base'!$C$14:$N$14,1))))</f>
        <v>0</v>
      </c>
      <c r="AP222">
        <f>IF('Calc base'!K$14=0,0,MIN(AD222,MAX(0,$E222-SUMIFS($V222:$AG222,'Calc base'!$C$19:$N$19,"&lt;"&amp;'Calc base'!K$19,'Calc base'!$C$14:$N$14,1))))</f>
        <v>0</v>
      </c>
      <c r="AQ222">
        <f>IF('Calc base'!L$14=0,0,MIN(AE222,MAX(0,$E222-SUMIFS($V222:$AG222,'Calc base'!$C$19:$N$19,"&lt;"&amp;'Calc base'!L$19,'Calc base'!$C$14:$N$14,1))))</f>
        <v>0</v>
      </c>
      <c r="AR222">
        <f>IF('Calc base'!M$14=0,0,MIN(AF222,MAX(0,$E222-SUMIFS($V222:$AG222,'Calc base'!$C$19:$N$19,"&lt;"&amp;'Calc base'!M$19,'Calc base'!$C$14:$N$14,1))))</f>
        <v>0</v>
      </c>
      <c r="AS222">
        <f>IF('Calc base'!N$14=0,0,MIN(AG222,MAX(0,$E222-SUMIFS($V222:$AG222,'Calc base'!$C$19:$N$19,"&lt;"&amp;'Calc base'!N$19,'Calc base'!$C$14:$N$14,1))))</f>
        <v>0</v>
      </c>
      <c r="AT222">
        <f>V222-AH222</f>
        <v>0</v>
      </c>
      <c r="AU222">
        <f>W222-AI222</f>
        <v>0</v>
      </c>
      <c r="AV222">
        <f>X222-AJ222</f>
        <v>0</v>
      </c>
      <c r="AW222">
        <f>Y222-AK222</f>
        <v>0</v>
      </c>
      <c r="AX222">
        <f>Z222-AL222</f>
        <v>0</v>
      </c>
      <c r="AY222">
        <f>AA222-AM222</f>
        <v>0</v>
      </c>
      <c r="AZ222">
        <f>AB222-AN222</f>
        <v>0</v>
      </c>
      <c r="BA222">
        <f>AC222-AO222</f>
        <v>0</v>
      </c>
      <c r="BB222">
        <f>AD222-AP222</f>
        <v>0</v>
      </c>
      <c r="BC222">
        <f>AE222-AQ222</f>
        <v>0</v>
      </c>
      <c r="BD222">
        <f>AF222-AR222</f>
        <v>0</v>
      </c>
      <c r="BE222">
        <f>AG222-AS222</f>
        <v>0</v>
      </c>
    </row>
    <row r="223">
      <c r="A223" t="n">
        <v>193</v>
      </c>
      <c r="B223">
        <f>SUMPRODUCT(ROUND($AT222:$BE222*(1+'Calc base'!$H223:$S223),2))</f>
        <v>0</v>
      </c>
      <c r="C223">
        <f>SUM(J223:U223)</f>
        <v>0</v>
      </c>
      <c r="D223">
        <f>SUM(V223:AG223)</f>
        <v>0</v>
      </c>
      <c r="E223">
        <f>MAX(0,IF(Impostazioni!$B$7="No",'Calc base'!$C223-$C$31,'Calc base'!$C223-C223)+'Calc base'!$G223+'Calc base'!$F223-(B223-C223-D223))</f>
        <v>900</v>
      </c>
      <c r="F223">
        <f>SUM(AH223:AS223)</f>
        <v>0</v>
      </c>
      <c r="G223">
        <f>SUM(AT223:BE223)</f>
        <v>0</v>
      </c>
      <c r="H223">
        <f>B223-G222</f>
        <v>0</v>
      </c>
      <c r="I223">
        <f>B223-G223</f>
        <v>0</v>
      </c>
      <c r="J223">
        <f>IF(AT222&lt;=0,0,IF(ROUND(AT222*(1+'Calc base'!H223),2)-MAX('Calc base'!C$12,ROUND('Calc base'!C$13*AT222,2))&lt;1,ROUND(AT222*(1+'Calc base'!H223),2),MAX('Calc base'!C$12,ROUND('Calc base'!C$13*AT222,2))))</f>
        <v>0</v>
      </c>
      <c r="K223">
        <f>IF(AU222&lt;=0,0,IF(ROUND(AU222*(1+'Calc base'!I223),2)-MAX('Calc base'!D$12,ROUND('Calc base'!D$13*AU222,2))&lt;1,ROUND(AU222*(1+'Calc base'!I223),2),MAX('Calc base'!D$12,ROUND('Calc base'!D$13*AU222,2))))</f>
        <v>0</v>
      </c>
      <c r="L223">
        <f>IF(AV222&lt;=0,0,IF(ROUND(AV222*(1+'Calc base'!J223),2)-MAX('Calc base'!E$12,ROUND('Calc base'!E$13*AV222,2))&lt;1,ROUND(AV222*(1+'Calc base'!J223),2),MAX('Calc base'!E$12,ROUND('Calc base'!E$13*AV222,2))))</f>
        <v>0</v>
      </c>
      <c r="M223">
        <f>IF(AW222&lt;=0,0,IF(ROUND(AW222*(1+'Calc base'!K223),2)-MAX('Calc base'!F$12,ROUND('Calc base'!F$13*AW222,2))&lt;1,ROUND(AW222*(1+'Calc base'!K223),2),MAX('Calc base'!F$12,ROUND('Calc base'!F$13*AW222,2))))</f>
        <v>0</v>
      </c>
      <c r="N223">
        <f>IF(AX222&lt;=0,0,IF(ROUND(AX222*(1+'Calc base'!L223),2)-MAX('Calc base'!G$12,ROUND('Calc base'!G$13*AX222,2))&lt;1,ROUND(AX222*(1+'Calc base'!L223),2),MAX('Calc base'!G$12,ROUND('Calc base'!G$13*AX222,2))))</f>
        <v>0</v>
      </c>
      <c r="O223">
        <f>IF(AY222&lt;=0,0,IF(ROUND(AY222*(1+'Calc base'!M223),2)-MAX('Calc base'!H$12,ROUND('Calc base'!H$13*AY222,2))&lt;1,ROUND(AY222*(1+'Calc base'!M223),2),MAX('Calc base'!H$12,ROUND('Calc base'!H$13*AY222,2))))</f>
        <v>0</v>
      </c>
      <c r="P223">
        <f>IF(AZ222&lt;=0,0,IF(ROUND(AZ222*(1+'Calc base'!N223),2)-MAX('Calc base'!I$12,ROUND('Calc base'!I$13*AZ222,2))&lt;1,ROUND(AZ222*(1+'Calc base'!N223),2),MAX('Calc base'!I$12,ROUND('Calc base'!I$13*AZ222,2))))</f>
        <v>0</v>
      </c>
      <c r="Q223">
        <f>IF(BA222&lt;=0,0,IF(ROUND(BA222*(1+'Calc base'!O223),2)-MAX('Calc base'!J$12,ROUND('Calc base'!J$13*BA222,2))&lt;1,ROUND(BA222*(1+'Calc base'!O223),2),MAX('Calc base'!J$12,ROUND('Calc base'!J$13*BA222,2))))</f>
        <v>0</v>
      </c>
      <c r="R223">
        <f>IF(BB222&lt;=0,0,IF(ROUND(BB222*(1+'Calc base'!P223),2)-MAX('Calc base'!K$12,ROUND('Calc base'!K$13*BB222,2))&lt;1,ROUND(BB222*(1+'Calc base'!P223),2),MAX('Calc base'!K$12,ROUND('Calc base'!K$13*BB222,2))))</f>
        <v>0</v>
      </c>
      <c r="S223">
        <f>IF(BC222&lt;=0,0,IF(ROUND(BC222*(1+'Calc base'!Q223),2)-MAX('Calc base'!L$12,ROUND('Calc base'!L$13*BC222,2))&lt;1,ROUND(BC222*(1+'Calc base'!Q223),2),MAX('Calc base'!L$12,ROUND('Calc base'!L$13*BC222,2))))</f>
        <v>0</v>
      </c>
      <c r="T223">
        <f>IF(BD222&lt;=0,0,IF(ROUND(BD222*(1+'Calc base'!R223),2)-MAX('Calc base'!M$12,ROUND('Calc base'!M$13*BD222,2))&lt;1,ROUND(BD222*(1+'Calc base'!R223),2),MAX('Calc base'!M$12,ROUND('Calc base'!M$13*BD222,2))))</f>
        <v>0</v>
      </c>
      <c r="U223">
        <f>IF(BE222&lt;=0,0,IF(ROUND(BE222*(1+'Calc base'!S223),2)-MAX('Calc base'!N$12,ROUND('Calc base'!N$13*BE222,2))&lt;1,ROUND(BE222*(1+'Calc base'!S223),2),MAX('Calc base'!N$12,ROUND('Calc base'!N$13*BE222,2))))</f>
        <v>0</v>
      </c>
      <c r="V223">
        <f>MAX(0,ROUND(AT222*(1+'Calc base'!H223),2)-J223-'Calc base'!T223)</f>
        <v>0</v>
      </c>
      <c r="W223">
        <f>MAX(0,ROUND(AU222*(1+'Calc base'!I223),2)-K223-'Calc base'!U223)</f>
        <v>0</v>
      </c>
      <c r="X223">
        <f>MAX(0,ROUND(AV222*(1+'Calc base'!J223),2)-L223-'Calc base'!V223)</f>
        <v>0</v>
      </c>
      <c r="Y223">
        <f>MAX(0,ROUND(AW222*(1+'Calc base'!K223),2)-M223-'Calc base'!W223)</f>
        <v>0</v>
      </c>
      <c r="Z223">
        <f>MAX(0,ROUND(AX222*(1+'Calc base'!L223),2)-N223-'Calc base'!X223)</f>
        <v>0</v>
      </c>
      <c r="AA223">
        <f>MAX(0,ROUND(AY222*(1+'Calc base'!M223),2)-O223-'Calc base'!Y223)</f>
        <v>0</v>
      </c>
      <c r="AB223">
        <f>MAX(0,ROUND(AZ222*(1+'Calc base'!N223),2)-P223-'Calc base'!Z223)</f>
        <v>0</v>
      </c>
      <c r="AC223">
        <f>MAX(0,ROUND(BA222*(1+'Calc base'!O223),2)-Q223-'Calc base'!AA223)</f>
        <v>0</v>
      </c>
      <c r="AD223">
        <f>MAX(0,ROUND(BB222*(1+'Calc base'!P223),2)-R223-'Calc base'!AB223)</f>
        <v>0</v>
      </c>
      <c r="AE223">
        <f>MAX(0,ROUND(BC222*(1+'Calc base'!Q223),2)-S223-'Calc base'!AC223)</f>
        <v>0</v>
      </c>
      <c r="AF223">
        <f>MAX(0,ROUND(BD222*(1+'Calc base'!R223),2)-T223-'Calc base'!AD223)</f>
        <v>0</v>
      </c>
      <c r="AG223">
        <f>MAX(0,ROUND(BE222*(1+'Calc base'!S223),2)-U223-'Calc base'!AE223)</f>
        <v>0</v>
      </c>
      <c r="AH223">
        <f>IF('Calc base'!C$14=0,0,MIN(V223,MAX(0,$E223-SUMIFS($V223:$AG223,'Calc base'!$C$19:$N$19,"&lt;"&amp;'Calc base'!C$19,'Calc base'!$C$14:$N$14,1))))</f>
        <v>0</v>
      </c>
      <c r="AI223">
        <f>IF('Calc base'!D$14=0,0,MIN(W223,MAX(0,$E223-SUMIFS($V223:$AG223,'Calc base'!$C$19:$N$19,"&lt;"&amp;'Calc base'!D$19,'Calc base'!$C$14:$N$14,1))))</f>
        <v>0</v>
      </c>
      <c r="AJ223">
        <f>IF('Calc base'!E$14=0,0,MIN(X223,MAX(0,$E223-SUMIFS($V223:$AG223,'Calc base'!$C$19:$N$19,"&lt;"&amp;'Calc base'!E$19,'Calc base'!$C$14:$N$14,1))))</f>
        <v>0</v>
      </c>
      <c r="AK223">
        <f>IF('Calc base'!F$14=0,0,MIN(Y223,MAX(0,$E223-SUMIFS($V223:$AG223,'Calc base'!$C$19:$N$19,"&lt;"&amp;'Calc base'!F$19,'Calc base'!$C$14:$N$14,1))))</f>
        <v>0</v>
      </c>
      <c r="AL223">
        <f>IF('Calc base'!G$14=0,0,MIN(Z223,MAX(0,$E223-SUMIFS($V223:$AG223,'Calc base'!$C$19:$N$19,"&lt;"&amp;'Calc base'!G$19,'Calc base'!$C$14:$N$14,1))))</f>
        <v>0</v>
      </c>
      <c r="AM223">
        <f>IF('Calc base'!H$14=0,0,MIN(AA223,MAX(0,$E223-SUMIFS($V223:$AG223,'Calc base'!$C$19:$N$19,"&lt;"&amp;'Calc base'!H$19,'Calc base'!$C$14:$N$14,1))))</f>
        <v>0</v>
      </c>
      <c r="AN223">
        <f>IF('Calc base'!I$14=0,0,MIN(AB223,MAX(0,$E223-SUMIFS($V223:$AG223,'Calc base'!$C$19:$N$19,"&lt;"&amp;'Calc base'!I$19,'Calc base'!$C$14:$N$14,1))))</f>
        <v>0</v>
      </c>
      <c r="AO223">
        <f>IF('Calc base'!J$14=0,0,MIN(AC223,MAX(0,$E223-SUMIFS($V223:$AG223,'Calc base'!$C$19:$N$19,"&lt;"&amp;'Calc base'!J$19,'Calc base'!$C$14:$N$14,1))))</f>
        <v>0</v>
      </c>
      <c r="AP223">
        <f>IF('Calc base'!K$14=0,0,MIN(AD223,MAX(0,$E223-SUMIFS($V223:$AG223,'Calc base'!$C$19:$N$19,"&lt;"&amp;'Calc base'!K$19,'Calc base'!$C$14:$N$14,1))))</f>
        <v>0</v>
      </c>
      <c r="AQ223">
        <f>IF('Calc base'!L$14=0,0,MIN(AE223,MAX(0,$E223-SUMIFS($V223:$AG223,'Calc base'!$C$19:$N$19,"&lt;"&amp;'Calc base'!L$19,'Calc base'!$C$14:$N$14,1))))</f>
        <v>0</v>
      </c>
      <c r="AR223">
        <f>IF('Calc base'!M$14=0,0,MIN(AF223,MAX(0,$E223-SUMIFS($V223:$AG223,'Calc base'!$C$19:$N$19,"&lt;"&amp;'Calc base'!M$19,'Calc base'!$C$14:$N$14,1))))</f>
        <v>0</v>
      </c>
      <c r="AS223">
        <f>IF('Calc base'!N$14=0,0,MIN(AG223,MAX(0,$E223-SUMIFS($V223:$AG223,'Calc base'!$C$19:$N$19,"&lt;"&amp;'Calc base'!N$19,'Calc base'!$C$14:$N$14,1))))</f>
        <v>0</v>
      </c>
      <c r="AT223">
        <f>V223-AH223</f>
        <v>0</v>
      </c>
      <c r="AU223">
        <f>W223-AI223</f>
        <v>0</v>
      </c>
      <c r="AV223">
        <f>X223-AJ223</f>
        <v>0</v>
      </c>
      <c r="AW223">
        <f>Y223-AK223</f>
        <v>0</v>
      </c>
      <c r="AX223">
        <f>Z223-AL223</f>
        <v>0</v>
      </c>
      <c r="AY223">
        <f>AA223-AM223</f>
        <v>0</v>
      </c>
      <c r="AZ223">
        <f>AB223-AN223</f>
        <v>0</v>
      </c>
      <c r="BA223">
        <f>AC223-AO223</f>
        <v>0</v>
      </c>
      <c r="BB223">
        <f>AD223-AP223</f>
        <v>0</v>
      </c>
      <c r="BC223">
        <f>AE223-AQ223</f>
        <v>0</v>
      </c>
      <c r="BD223">
        <f>AF223-AR223</f>
        <v>0</v>
      </c>
      <c r="BE223">
        <f>AG223-AS223</f>
        <v>0</v>
      </c>
    </row>
    <row r="224">
      <c r="A224" t="n">
        <v>194</v>
      </c>
      <c r="B224">
        <f>SUMPRODUCT(ROUND($AT223:$BE223*(1+'Calc base'!$H224:$S224),2))</f>
        <v>0</v>
      </c>
      <c r="C224">
        <f>SUM(J224:U224)</f>
        <v>0</v>
      </c>
      <c r="D224">
        <f>SUM(V224:AG224)</f>
        <v>0</v>
      </c>
      <c r="E224">
        <f>MAX(0,IF(Impostazioni!$B$7="No",'Calc base'!$C224-$C$31,'Calc base'!$C224-C224)+'Calc base'!$G224+'Calc base'!$F224-(B224-C224-D224))</f>
        <v>900</v>
      </c>
      <c r="F224">
        <f>SUM(AH224:AS224)</f>
        <v>0</v>
      </c>
      <c r="G224">
        <f>SUM(AT224:BE224)</f>
        <v>0</v>
      </c>
      <c r="H224">
        <f>B224-G223</f>
        <v>0</v>
      </c>
      <c r="I224">
        <f>B224-G224</f>
        <v>0</v>
      </c>
      <c r="J224">
        <f>IF(AT223&lt;=0,0,IF(ROUND(AT223*(1+'Calc base'!H224),2)-MAX('Calc base'!C$12,ROUND('Calc base'!C$13*AT223,2))&lt;1,ROUND(AT223*(1+'Calc base'!H224),2),MAX('Calc base'!C$12,ROUND('Calc base'!C$13*AT223,2))))</f>
        <v>0</v>
      </c>
      <c r="K224">
        <f>IF(AU223&lt;=0,0,IF(ROUND(AU223*(1+'Calc base'!I224),2)-MAX('Calc base'!D$12,ROUND('Calc base'!D$13*AU223,2))&lt;1,ROUND(AU223*(1+'Calc base'!I224),2),MAX('Calc base'!D$12,ROUND('Calc base'!D$13*AU223,2))))</f>
        <v>0</v>
      </c>
      <c r="L224">
        <f>IF(AV223&lt;=0,0,IF(ROUND(AV223*(1+'Calc base'!J224),2)-MAX('Calc base'!E$12,ROUND('Calc base'!E$13*AV223,2))&lt;1,ROUND(AV223*(1+'Calc base'!J224),2),MAX('Calc base'!E$12,ROUND('Calc base'!E$13*AV223,2))))</f>
        <v>0</v>
      </c>
      <c r="M224">
        <f>IF(AW223&lt;=0,0,IF(ROUND(AW223*(1+'Calc base'!K224),2)-MAX('Calc base'!F$12,ROUND('Calc base'!F$13*AW223,2))&lt;1,ROUND(AW223*(1+'Calc base'!K224),2),MAX('Calc base'!F$12,ROUND('Calc base'!F$13*AW223,2))))</f>
        <v>0</v>
      </c>
      <c r="N224">
        <f>IF(AX223&lt;=0,0,IF(ROUND(AX223*(1+'Calc base'!L224),2)-MAX('Calc base'!G$12,ROUND('Calc base'!G$13*AX223,2))&lt;1,ROUND(AX223*(1+'Calc base'!L224),2),MAX('Calc base'!G$12,ROUND('Calc base'!G$13*AX223,2))))</f>
        <v>0</v>
      </c>
      <c r="O224">
        <f>IF(AY223&lt;=0,0,IF(ROUND(AY223*(1+'Calc base'!M224),2)-MAX('Calc base'!H$12,ROUND('Calc base'!H$13*AY223,2))&lt;1,ROUND(AY223*(1+'Calc base'!M224),2),MAX('Calc base'!H$12,ROUND('Calc base'!H$13*AY223,2))))</f>
        <v>0</v>
      </c>
      <c r="P224">
        <f>IF(AZ223&lt;=0,0,IF(ROUND(AZ223*(1+'Calc base'!N224),2)-MAX('Calc base'!I$12,ROUND('Calc base'!I$13*AZ223,2))&lt;1,ROUND(AZ223*(1+'Calc base'!N224),2),MAX('Calc base'!I$12,ROUND('Calc base'!I$13*AZ223,2))))</f>
        <v>0</v>
      </c>
      <c r="Q224">
        <f>IF(BA223&lt;=0,0,IF(ROUND(BA223*(1+'Calc base'!O224),2)-MAX('Calc base'!J$12,ROUND('Calc base'!J$13*BA223,2))&lt;1,ROUND(BA223*(1+'Calc base'!O224),2),MAX('Calc base'!J$12,ROUND('Calc base'!J$13*BA223,2))))</f>
        <v>0</v>
      </c>
      <c r="R224">
        <f>IF(BB223&lt;=0,0,IF(ROUND(BB223*(1+'Calc base'!P224),2)-MAX('Calc base'!K$12,ROUND('Calc base'!K$13*BB223,2))&lt;1,ROUND(BB223*(1+'Calc base'!P224),2),MAX('Calc base'!K$12,ROUND('Calc base'!K$13*BB223,2))))</f>
        <v>0</v>
      </c>
      <c r="S224">
        <f>IF(BC223&lt;=0,0,IF(ROUND(BC223*(1+'Calc base'!Q224),2)-MAX('Calc base'!L$12,ROUND('Calc base'!L$13*BC223,2))&lt;1,ROUND(BC223*(1+'Calc base'!Q224),2),MAX('Calc base'!L$12,ROUND('Calc base'!L$13*BC223,2))))</f>
        <v>0</v>
      </c>
      <c r="T224">
        <f>IF(BD223&lt;=0,0,IF(ROUND(BD223*(1+'Calc base'!R224),2)-MAX('Calc base'!M$12,ROUND('Calc base'!M$13*BD223,2))&lt;1,ROUND(BD223*(1+'Calc base'!R224),2),MAX('Calc base'!M$12,ROUND('Calc base'!M$13*BD223,2))))</f>
        <v>0</v>
      </c>
      <c r="U224">
        <f>IF(BE223&lt;=0,0,IF(ROUND(BE223*(1+'Calc base'!S224),2)-MAX('Calc base'!N$12,ROUND('Calc base'!N$13*BE223,2))&lt;1,ROUND(BE223*(1+'Calc base'!S224),2),MAX('Calc base'!N$12,ROUND('Calc base'!N$13*BE223,2))))</f>
        <v>0</v>
      </c>
      <c r="V224">
        <f>MAX(0,ROUND(AT223*(1+'Calc base'!H224),2)-J224-'Calc base'!T224)</f>
        <v>0</v>
      </c>
      <c r="W224">
        <f>MAX(0,ROUND(AU223*(1+'Calc base'!I224),2)-K224-'Calc base'!U224)</f>
        <v>0</v>
      </c>
      <c r="X224">
        <f>MAX(0,ROUND(AV223*(1+'Calc base'!J224),2)-L224-'Calc base'!V224)</f>
        <v>0</v>
      </c>
      <c r="Y224">
        <f>MAX(0,ROUND(AW223*(1+'Calc base'!K224),2)-M224-'Calc base'!W224)</f>
        <v>0</v>
      </c>
      <c r="Z224">
        <f>MAX(0,ROUND(AX223*(1+'Calc base'!L224),2)-N224-'Calc base'!X224)</f>
        <v>0</v>
      </c>
      <c r="AA224">
        <f>MAX(0,ROUND(AY223*(1+'Calc base'!M224),2)-O224-'Calc base'!Y224)</f>
        <v>0</v>
      </c>
      <c r="AB224">
        <f>MAX(0,ROUND(AZ223*(1+'Calc base'!N224),2)-P224-'Calc base'!Z224)</f>
        <v>0</v>
      </c>
      <c r="AC224">
        <f>MAX(0,ROUND(BA223*(1+'Calc base'!O224),2)-Q224-'Calc base'!AA224)</f>
        <v>0</v>
      </c>
      <c r="AD224">
        <f>MAX(0,ROUND(BB223*(1+'Calc base'!P224),2)-R224-'Calc base'!AB224)</f>
        <v>0</v>
      </c>
      <c r="AE224">
        <f>MAX(0,ROUND(BC223*(1+'Calc base'!Q224),2)-S224-'Calc base'!AC224)</f>
        <v>0</v>
      </c>
      <c r="AF224">
        <f>MAX(0,ROUND(BD223*(1+'Calc base'!R224),2)-T224-'Calc base'!AD224)</f>
        <v>0</v>
      </c>
      <c r="AG224">
        <f>MAX(0,ROUND(BE223*(1+'Calc base'!S224),2)-U224-'Calc base'!AE224)</f>
        <v>0</v>
      </c>
      <c r="AH224">
        <f>IF('Calc base'!C$14=0,0,MIN(V224,MAX(0,$E224-SUMIFS($V224:$AG224,'Calc base'!$C$19:$N$19,"&lt;"&amp;'Calc base'!C$19,'Calc base'!$C$14:$N$14,1))))</f>
        <v>0</v>
      </c>
      <c r="AI224">
        <f>IF('Calc base'!D$14=0,0,MIN(W224,MAX(0,$E224-SUMIFS($V224:$AG224,'Calc base'!$C$19:$N$19,"&lt;"&amp;'Calc base'!D$19,'Calc base'!$C$14:$N$14,1))))</f>
        <v>0</v>
      </c>
      <c r="AJ224">
        <f>IF('Calc base'!E$14=0,0,MIN(X224,MAX(0,$E224-SUMIFS($V224:$AG224,'Calc base'!$C$19:$N$19,"&lt;"&amp;'Calc base'!E$19,'Calc base'!$C$14:$N$14,1))))</f>
        <v>0</v>
      </c>
      <c r="AK224">
        <f>IF('Calc base'!F$14=0,0,MIN(Y224,MAX(0,$E224-SUMIFS($V224:$AG224,'Calc base'!$C$19:$N$19,"&lt;"&amp;'Calc base'!F$19,'Calc base'!$C$14:$N$14,1))))</f>
        <v>0</v>
      </c>
      <c r="AL224">
        <f>IF('Calc base'!G$14=0,0,MIN(Z224,MAX(0,$E224-SUMIFS($V224:$AG224,'Calc base'!$C$19:$N$19,"&lt;"&amp;'Calc base'!G$19,'Calc base'!$C$14:$N$14,1))))</f>
        <v>0</v>
      </c>
      <c r="AM224">
        <f>IF('Calc base'!H$14=0,0,MIN(AA224,MAX(0,$E224-SUMIFS($V224:$AG224,'Calc base'!$C$19:$N$19,"&lt;"&amp;'Calc base'!H$19,'Calc base'!$C$14:$N$14,1))))</f>
        <v>0</v>
      </c>
      <c r="AN224">
        <f>IF('Calc base'!I$14=0,0,MIN(AB224,MAX(0,$E224-SUMIFS($V224:$AG224,'Calc base'!$C$19:$N$19,"&lt;"&amp;'Calc base'!I$19,'Calc base'!$C$14:$N$14,1))))</f>
        <v>0</v>
      </c>
      <c r="AO224">
        <f>IF('Calc base'!J$14=0,0,MIN(AC224,MAX(0,$E224-SUMIFS($V224:$AG224,'Calc base'!$C$19:$N$19,"&lt;"&amp;'Calc base'!J$19,'Calc base'!$C$14:$N$14,1))))</f>
        <v>0</v>
      </c>
      <c r="AP224">
        <f>IF('Calc base'!K$14=0,0,MIN(AD224,MAX(0,$E224-SUMIFS($V224:$AG224,'Calc base'!$C$19:$N$19,"&lt;"&amp;'Calc base'!K$19,'Calc base'!$C$14:$N$14,1))))</f>
        <v>0</v>
      </c>
      <c r="AQ224">
        <f>IF('Calc base'!L$14=0,0,MIN(AE224,MAX(0,$E224-SUMIFS($V224:$AG224,'Calc base'!$C$19:$N$19,"&lt;"&amp;'Calc base'!L$19,'Calc base'!$C$14:$N$14,1))))</f>
        <v>0</v>
      </c>
      <c r="AR224">
        <f>IF('Calc base'!M$14=0,0,MIN(AF224,MAX(0,$E224-SUMIFS($V224:$AG224,'Calc base'!$C$19:$N$19,"&lt;"&amp;'Calc base'!M$19,'Calc base'!$C$14:$N$14,1))))</f>
        <v>0</v>
      </c>
      <c r="AS224">
        <f>IF('Calc base'!N$14=0,0,MIN(AG224,MAX(0,$E224-SUMIFS($V224:$AG224,'Calc base'!$C$19:$N$19,"&lt;"&amp;'Calc base'!N$19,'Calc base'!$C$14:$N$14,1))))</f>
        <v>0</v>
      </c>
      <c r="AT224">
        <f>V224-AH224</f>
        <v>0</v>
      </c>
      <c r="AU224">
        <f>W224-AI224</f>
        <v>0</v>
      </c>
      <c r="AV224">
        <f>X224-AJ224</f>
        <v>0</v>
      </c>
      <c r="AW224">
        <f>Y224-AK224</f>
        <v>0</v>
      </c>
      <c r="AX224">
        <f>Z224-AL224</f>
        <v>0</v>
      </c>
      <c r="AY224">
        <f>AA224-AM224</f>
        <v>0</v>
      </c>
      <c r="AZ224">
        <f>AB224-AN224</f>
        <v>0</v>
      </c>
      <c r="BA224">
        <f>AC224-AO224</f>
        <v>0</v>
      </c>
      <c r="BB224">
        <f>AD224-AP224</f>
        <v>0</v>
      </c>
      <c r="BC224">
        <f>AE224-AQ224</f>
        <v>0</v>
      </c>
      <c r="BD224">
        <f>AF224-AR224</f>
        <v>0</v>
      </c>
      <c r="BE224">
        <f>AG224-AS224</f>
        <v>0</v>
      </c>
    </row>
    <row r="225">
      <c r="A225" t="n">
        <v>195</v>
      </c>
      <c r="B225">
        <f>SUMPRODUCT(ROUND($AT224:$BE224*(1+'Calc base'!$H225:$S225),2))</f>
        <v>0</v>
      </c>
      <c r="C225">
        <f>SUM(J225:U225)</f>
        <v>0</v>
      </c>
      <c r="D225">
        <f>SUM(V225:AG225)</f>
        <v>0</v>
      </c>
      <c r="E225">
        <f>MAX(0,IF(Impostazioni!$B$7="No",'Calc base'!$C225-$C$31,'Calc base'!$C225-C225)+'Calc base'!$G225+'Calc base'!$F225-(B225-C225-D225))</f>
        <v>900</v>
      </c>
      <c r="F225">
        <f>SUM(AH225:AS225)</f>
        <v>0</v>
      </c>
      <c r="G225">
        <f>SUM(AT225:BE225)</f>
        <v>0</v>
      </c>
      <c r="H225">
        <f>B225-G224</f>
        <v>0</v>
      </c>
      <c r="I225">
        <f>B225-G225</f>
        <v>0</v>
      </c>
      <c r="J225">
        <f>IF(AT224&lt;=0,0,IF(ROUND(AT224*(1+'Calc base'!H225),2)-MAX('Calc base'!C$12,ROUND('Calc base'!C$13*AT224,2))&lt;1,ROUND(AT224*(1+'Calc base'!H225),2),MAX('Calc base'!C$12,ROUND('Calc base'!C$13*AT224,2))))</f>
        <v>0</v>
      </c>
      <c r="K225">
        <f>IF(AU224&lt;=0,0,IF(ROUND(AU224*(1+'Calc base'!I225),2)-MAX('Calc base'!D$12,ROUND('Calc base'!D$13*AU224,2))&lt;1,ROUND(AU224*(1+'Calc base'!I225),2),MAX('Calc base'!D$12,ROUND('Calc base'!D$13*AU224,2))))</f>
        <v>0</v>
      </c>
      <c r="L225">
        <f>IF(AV224&lt;=0,0,IF(ROUND(AV224*(1+'Calc base'!J225),2)-MAX('Calc base'!E$12,ROUND('Calc base'!E$13*AV224,2))&lt;1,ROUND(AV224*(1+'Calc base'!J225),2),MAX('Calc base'!E$12,ROUND('Calc base'!E$13*AV224,2))))</f>
        <v>0</v>
      </c>
      <c r="M225">
        <f>IF(AW224&lt;=0,0,IF(ROUND(AW224*(1+'Calc base'!K225),2)-MAX('Calc base'!F$12,ROUND('Calc base'!F$13*AW224,2))&lt;1,ROUND(AW224*(1+'Calc base'!K225),2),MAX('Calc base'!F$12,ROUND('Calc base'!F$13*AW224,2))))</f>
        <v>0</v>
      </c>
      <c r="N225">
        <f>IF(AX224&lt;=0,0,IF(ROUND(AX224*(1+'Calc base'!L225),2)-MAX('Calc base'!G$12,ROUND('Calc base'!G$13*AX224,2))&lt;1,ROUND(AX224*(1+'Calc base'!L225),2),MAX('Calc base'!G$12,ROUND('Calc base'!G$13*AX224,2))))</f>
        <v>0</v>
      </c>
      <c r="O225">
        <f>IF(AY224&lt;=0,0,IF(ROUND(AY224*(1+'Calc base'!M225),2)-MAX('Calc base'!H$12,ROUND('Calc base'!H$13*AY224,2))&lt;1,ROUND(AY224*(1+'Calc base'!M225),2),MAX('Calc base'!H$12,ROUND('Calc base'!H$13*AY224,2))))</f>
        <v>0</v>
      </c>
      <c r="P225">
        <f>IF(AZ224&lt;=0,0,IF(ROUND(AZ224*(1+'Calc base'!N225),2)-MAX('Calc base'!I$12,ROUND('Calc base'!I$13*AZ224,2))&lt;1,ROUND(AZ224*(1+'Calc base'!N225),2),MAX('Calc base'!I$12,ROUND('Calc base'!I$13*AZ224,2))))</f>
        <v>0</v>
      </c>
      <c r="Q225">
        <f>IF(BA224&lt;=0,0,IF(ROUND(BA224*(1+'Calc base'!O225),2)-MAX('Calc base'!J$12,ROUND('Calc base'!J$13*BA224,2))&lt;1,ROUND(BA224*(1+'Calc base'!O225),2),MAX('Calc base'!J$12,ROUND('Calc base'!J$13*BA224,2))))</f>
        <v>0</v>
      </c>
      <c r="R225">
        <f>IF(BB224&lt;=0,0,IF(ROUND(BB224*(1+'Calc base'!P225),2)-MAX('Calc base'!K$12,ROUND('Calc base'!K$13*BB224,2))&lt;1,ROUND(BB224*(1+'Calc base'!P225),2),MAX('Calc base'!K$12,ROUND('Calc base'!K$13*BB224,2))))</f>
        <v>0</v>
      </c>
      <c r="S225">
        <f>IF(BC224&lt;=0,0,IF(ROUND(BC224*(1+'Calc base'!Q225),2)-MAX('Calc base'!L$12,ROUND('Calc base'!L$13*BC224,2))&lt;1,ROUND(BC224*(1+'Calc base'!Q225),2),MAX('Calc base'!L$12,ROUND('Calc base'!L$13*BC224,2))))</f>
        <v>0</v>
      </c>
      <c r="T225">
        <f>IF(BD224&lt;=0,0,IF(ROUND(BD224*(1+'Calc base'!R225),2)-MAX('Calc base'!M$12,ROUND('Calc base'!M$13*BD224,2))&lt;1,ROUND(BD224*(1+'Calc base'!R225),2),MAX('Calc base'!M$12,ROUND('Calc base'!M$13*BD224,2))))</f>
        <v>0</v>
      </c>
      <c r="U225">
        <f>IF(BE224&lt;=0,0,IF(ROUND(BE224*(1+'Calc base'!S225),2)-MAX('Calc base'!N$12,ROUND('Calc base'!N$13*BE224,2))&lt;1,ROUND(BE224*(1+'Calc base'!S225),2),MAX('Calc base'!N$12,ROUND('Calc base'!N$13*BE224,2))))</f>
        <v>0</v>
      </c>
      <c r="V225">
        <f>MAX(0,ROUND(AT224*(1+'Calc base'!H225),2)-J225-'Calc base'!T225)</f>
        <v>0</v>
      </c>
      <c r="W225">
        <f>MAX(0,ROUND(AU224*(1+'Calc base'!I225),2)-K225-'Calc base'!U225)</f>
        <v>0</v>
      </c>
      <c r="X225">
        <f>MAX(0,ROUND(AV224*(1+'Calc base'!J225),2)-L225-'Calc base'!V225)</f>
        <v>0</v>
      </c>
      <c r="Y225">
        <f>MAX(0,ROUND(AW224*(1+'Calc base'!K225),2)-M225-'Calc base'!W225)</f>
        <v>0</v>
      </c>
      <c r="Z225">
        <f>MAX(0,ROUND(AX224*(1+'Calc base'!L225),2)-N225-'Calc base'!X225)</f>
        <v>0</v>
      </c>
      <c r="AA225">
        <f>MAX(0,ROUND(AY224*(1+'Calc base'!M225),2)-O225-'Calc base'!Y225)</f>
        <v>0</v>
      </c>
      <c r="AB225">
        <f>MAX(0,ROUND(AZ224*(1+'Calc base'!N225),2)-P225-'Calc base'!Z225)</f>
        <v>0</v>
      </c>
      <c r="AC225">
        <f>MAX(0,ROUND(BA224*(1+'Calc base'!O225),2)-Q225-'Calc base'!AA225)</f>
        <v>0</v>
      </c>
      <c r="AD225">
        <f>MAX(0,ROUND(BB224*(1+'Calc base'!P225),2)-R225-'Calc base'!AB225)</f>
        <v>0</v>
      </c>
      <c r="AE225">
        <f>MAX(0,ROUND(BC224*(1+'Calc base'!Q225),2)-S225-'Calc base'!AC225)</f>
        <v>0</v>
      </c>
      <c r="AF225">
        <f>MAX(0,ROUND(BD224*(1+'Calc base'!R225),2)-T225-'Calc base'!AD225)</f>
        <v>0</v>
      </c>
      <c r="AG225">
        <f>MAX(0,ROUND(BE224*(1+'Calc base'!S225),2)-U225-'Calc base'!AE225)</f>
        <v>0</v>
      </c>
      <c r="AH225">
        <f>IF('Calc base'!C$14=0,0,MIN(V225,MAX(0,$E225-SUMIFS($V225:$AG225,'Calc base'!$C$19:$N$19,"&lt;"&amp;'Calc base'!C$19,'Calc base'!$C$14:$N$14,1))))</f>
        <v>0</v>
      </c>
      <c r="AI225">
        <f>IF('Calc base'!D$14=0,0,MIN(W225,MAX(0,$E225-SUMIFS($V225:$AG225,'Calc base'!$C$19:$N$19,"&lt;"&amp;'Calc base'!D$19,'Calc base'!$C$14:$N$14,1))))</f>
        <v>0</v>
      </c>
      <c r="AJ225">
        <f>IF('Calc base'!E$14=0,0,MIN(X225,MAX(0,$E225-SUMIFS($V225:$AG225,'Calc base'!$C$19:$N$19,"&lt;"&amp;'Calc base'!E$19,'Calc base'!$C$14:$N$14,1))))</f>
        <v>0</v>
      </c>
      <c r="AK225">
        <f>IF('Calc base'!F$14=0,0,MIN(Y225,MAX(0,$E225-SUMIFS($V225:$AG225,'Calc base'!$C$19:$N$19,"&lt;"&amp;'Calc base'!F$19,'Calc base'!$C$14:$N$14,1))))</f>
        <v>0</v>
      </c>
      <c r="AL225">
        <f>IF('Calc base'!G$14=0,0,MIN(Z225,MAX(0,$E225-SUMIFS($V225:$AG225,'Calc base'!$C$19:$N$19,"&lt;"&amp;'Calc base'!G$19,'Calc base'!$C$14:$N$14,1))))</f>
        <v>0</v>
      </c>
      <c r="AM225">
        <f>IF('Calc base'!H$14=0,0,MIN(AA225,MAX(0,$E225-SUMIFS($V225:$AG225,'Calc base'!$C$19:$N$19,"&lt;"&amp;'Calc base'!H$19,'Calc base'!$C$14:$N$14,1))))</f>
        <v>0</v>
      </c>
      <c r="AN225">
        <f>IF('Calc base'!I$14=0,0,MIN(AB225,MAX(0,$E225-SUMIFS($V225:$AG225,'Calc base'!$C$19:$N$19,"&lt;"&amp;'Calc base'!I$19,'Calc base'!$C$14:$N$14,1))))</f>
        <v>0</v>
      </c>
      <c r="AO225">
        <f>IF('Calc base'!J$14=0,0,MIN(AC225,MAX(0,$E225-SUMIFS($V225:$AG225,'Calc base'!$C$19:$N$19,"&lt;"&amp;'Calc base'!J$19,'Calc base'!$C$14:$N$14,1))))</f>
        <v>0</v>
      </c>
      <c r="AP225">
        <f>IF('Calc base'!K$14=0,0,MIN(AD225,MAX(0,$E225-SUMIFS($V225:$AG225,'Calc base'!$C$19:$N$19,"&lt;"&amp;'Calc base'!K$19,'Calc base'!$C$14:$N$14,1))))</f>
        <v>0</v>
      </c>
      <c r="AQ225">
        <f>IF('Calc base'!L$14=0,0,MIN(AE225,MAX(0,$E225-SUMIFS($V225:$AG225,'Calc base'!$C$19:$N$19,"&lt;"&amp;'Calc base'!L$19,'Calc base'!$C$14:$N$14,1))))</f>
        <v>0</v>
      </c>
      <c r="AR225">
        <f>IF('Calc base'!M$14=0,0,MIN(AF225,MAX(0,$E225-SUMIFS($V225:$AG225,'Calc base'!$C$19:$N$19,"&lt;"&amp;'Calc base'!M$19,'Calc base'!$C$14:$N$14,1))))</f>
        <v>0</v>
      </c>
      <c r="AS225">
        <f>IF('Calc base'!N$14=0,0,MIN(AG225,MAX(0,$E225-SUMIFS($V225:$AG225,'Calc base'!$C$19:$N$19,"&lt;"&amp;'Calc base'!N$19,'Calc base'!$C$14:$N$14,1))))</f>
        <v>0</v>
      </c>
      <c r="AT225">
        <f>V225-AH225</f>
        <v>0</v>
      </c>
      <c r="AU225">
        <f>W225-AI225</f>
        <v>0</v>
      </c>
      <c r="AV225">
        <f>X225-AJ225</f>
        <v>0</v>
      </c>
      <c r="AW225">
        <f>Y225-AK225</f>
        <v>0</v>
      </c>
      <c r="AX225">
        <f>Z225-AL225</f>
        <v>0</v>
      </c>
      <c r="AY225">
        <f>AA225-AM225</f>
        <v>0</v>
      </c>
      <c r="AZ225">
        <f>AB225-AN225</f>
        <v>0</v>
      </c>
      <c r="BA225">
        <f>AC225-AO225</f>
        <v>0</v>
      </c>
      <c r="BB225">
        <f>AD225-AP225</f>
        <v>0</v>
      </c>
      <c r="BC225">
        <f>AE225-AQ225</f>
        <v>0</v>
      </c>
      <c r="BD225">
        <f>AF225-AR225</f>
        <v>0</v>
      </c>
      <c r="BE225">
        <f>AG225-AS225</f>
        <v>0</v>
      </c>
    </row>
    <row r="226">
      <c r="A226" t="n">
        <v>196</v>
      </c>
      <c r="B226">
        <f>SUMPRODUCT(ROUND($AT225:$BE225*(1+'Calc base'!$H226:$S226),2))</f>
        <v>0</v>
      </c>
      <c r="C226">
        <f>SUM(J226:U226)</f>
        <v>0</v>
      </c>
      <c r="D226">
        <f>SUM(V226:AG226)</f>
        <v>0</v>
      </c>
      <c r="E226">
        <f>MAX(0,IF(Impostazioni!$B$7="No",'Calc base'!$C226-$C$31,'Calc base'!$C226-C226)+'Calc base'!$G226+'Calc base'!$F226-(B226-C226-D226))</f>
        <v>900</v>
      </c>
      <c r="F226">
        <f>SUM(AH226:AS226)</f>
        <v>0</v>
      </c>
      <c r="G226">
        <f>SUM(AT226:BE226)</f>
        <v>0</v>
      </c>
      <c r="H226">
        <f>B226-G225</f>
        <v>0</v>
      </c>
      <c r="I226">
        <f>B226-G226</f>
        <v>0</v>
      </c>
      <c r="J226">
        <f>IF(AT225&lt;=0,0,IF(ROUND(AT225*(1+'Calc base'!H226),2)-MAX('Calc base'!C$12,ROUND('Calc base'!C$13*AT225,2))&lt;1,ROUND(AT225*(1+'Calc base'!H226),2),MAX('Calc base'!C$12,ROUND('Calc base'!C$13*AT225,2))))</f>
        <v>0</v>
      </c>
      <c r="K226">
        <f>IF(AU225&lt;=0,0,IF(ROUND(AU225*(1+'Calc base'!I226),2)-MAX('Calc base'!D$12,ROUND('Calc base'!D$13*AU225,2))&lt;1,ROUND(AU225*(1+'Calc base'!I226),2),MAX('Calc base'!D$12,ROUND('Calc base'!D$13*AU225,2))))</f>
        <v>0</v>
      </c>
      <c r="L226">
        <f>IF(AV225&lt;=0,0,IF(ROUND(AV225*(1+'Calc base'!J226),2)-MAX('Calc base'!E$12,ROUND('Calc base'!E$13*AV225,2))&lt;1,ROUND(AV225*(1+'Calc base'!J226),2),MAX('Calc base'!E$12,ROUND('Calc base'!E$13*AV225,2))))</f>
        <v>0</v>
      </c>
      <c r="M226">
        <f>IF(AW225&lt;=0,0,IF(ROUND(AW225*(1+'Calc base'!K226),2)-MAX('Calc base'!F$12,ROUND('Calc base'!F$13*AW225,2))&lt;1,ROUND(AW225*(1+'Calc base'!K226),2),MAX('Calc base'!F$12,ROUND('Calc base'!F$13*AW225,2))))</f>
        <v>0</v>
      </c>
      <c r="N226">
        <f>IF(AX225&lt;=0,0,IF(ROUND(AX225*(1+'Calc base'!L226),2)-MAX('Calc base'!G$12,ROUND('Calc base'!G$13*AX225,2))&lt;1,ROUND(AX225*(1+'Calc base'!L226),2),MAX('Calc base'!G$12,ROUND('Calc base'!G$13*AX225,2))))</f>
        <v>0</v>
      </c>
      <c r="O226">
        <f>IF(AY225&lt;=0,0,IF(ROUND(AY225*(1+'Calc base'!M226),2)-MAX('Calc base'!H$12,ROUND('Calc base'!H$13*AY225,2))&lt;1,ROUND(AY225*(1+'Calc base'!M226),2),MAX('Calc base'!H$12,ROUND('Calc base'!H$13*AY225,2))))</f>
        <v>0</v>
      </c>
      <c r="P226">
        <f>IF(AZ225&lt;=0,0,IF(ROUND(AZ225*(1+'Calc base'!N226),2)-MAX('Calc base'!I$12,ROUND('Calc base'!I$13*AZ225,2))&lt;1,ROUND(AZ225*(1+'Calc base'!N226),2),MAX('Calc base'!I$12,ROUND('Calc base'!I$13*AZ225,2))))</f>
        <v>0</v>
      </c>
      <c r="Q226">
        <f>IF(BA225&lt;=0,0,IF(ROUND(BA225*(1+'Calc base'!O226),2)-MAX('Calc base'!J$12,ROUND('Calc base'!J$13*BA225,2))&lt;1,ROUND(BA225*(1+'Calc base'!O226),2),MAX('Calc base'!J$12,ROUND('Calc base'!J$13*BA225,2))))</f>
        <v>0</v>
      </c>
      <c r="R226">
        <f>IF(BB225&lt;=0,0,IF(ROUND(BB225*(1+'Calc base'!P226),2)-MAX('Calc base'!K$12,ROUND('Calc base'!K$13*BB225,2))&lt;1,ROUND(BB225*(1+'Calc base'!P226),2),MAX('Calc base'!K$12,ROUND('Calc base'!K$13*BB225,2))))</f>
        <v>0</v>
      </c>
      <c r="S226">
        <f>IF(BC225&lt;=0,0,IF(ROUND(BC225*(1+'Calc base'!Q226),2)-MAX('Calc base'!L$12,ROUND('Calc base'!L$13*BC225,2))&lt;1,ROUND(BC225*(1+'Calc base'!Q226),2),MAX('Calc base'!L$12,ROUND('Calc base'!L$13*BC225,2))))</f>
        <v>0</v>
      </c>
      <c r="T226">
        <f>IF(BD225&lt;=0,0,IF(ROUND(BD225*(1+'Calc base'!R226),2)-MAX('Calc base'!M$12,ROUND('Calc base'!M$13*BD225,2))&lt;1,ROUND(BD225*(1+'Calc base'!R226),2),MAX('Calc base'!M$12,ROUND('Calc base'!M$13*BD225,2))))</f>
        <v>0</v>
      </c>
      <c r="U226">
        <f>IF(BE225&lt;=0,0,IF(ROUND(BE225*(1+'Calc base'!S226),2)-MAX('Calc base'!N$12,ROUND('Calc base'!N$13*BE225,2))&lt;1,ROUND(BE225*(1+'Calc base'!S226),2),MAX('Calc base'!N$12,ROUND('Calc base'!N$13*BE225,2))))</f>
        <v>0</v>
      </c>
      <c r="V226">
        <f>MAX(0,ROUND(AT225*(1+'Calc base'!H226),2)-J226-'Calc base'!T226)</f>
        <v>0</v>
      </c>
      <c r="W226">
        <f>MAX(0,ROUND(AU225*(1+'Calc base'!I226),2)-K226-'Calc base'!U226)</f>
        <v>0</v>
      </c>
      <c r="X226">
        <f>MAX(0,ROUND(AV225*(1+'Calc base'!J226),2)-L226-'Calc base'!V226)</f>
        <v>0</v>
      </c>
      <c r="Y226">
        <f>MAX(0,ROUND(AW225*(1+'Calc base'!K226),2)-M226-'Calc base'!W226)</f>
        <v>0</v>
      </c>
      <c r="Z226">
        <f>MAX(0,ROUND(AX225*(1+'Calc base'!L226),2)-N226-'Calc base'!X226)</f>
        <v>0</v>
      </c>
      <c r="AA226">
        <f>MAX(0,ROUND(AY225*(1+'Calc base'!M226),2)-O226-'Calc base'!Y226)</f>
        <v>0</v>
      </c>
      <c r="AB226">
        <f>MAX(0,ROUND(AZ225*(1+'Calc base'!N226),2)-P226-'Calc base'!Z226)</f>
        <v>0</v>
      </c>
      <c r="AC226">
        <f>MAX(0,ROUND(BA225*(1+'Calc base'!O226),2)-Q226-'Calc base'!AA226)</f>
        <v>0</v>
      </c>
      <c r="AD226">
        <f>MAX(0,ROUND(BB225*(1+'Calc base'!P226),2)-R226-'Calc base'!AB226)</f>
        <v>0</v>
      </c>
      <c r="AE226">
        <f>MAX(0,ROUND(BC225*(1+'Calc base'!Q226),2)-S226-'Calc base'!AC226)</f>
        <v>0</v>
      </c>
      <c r="AF226">
        <f>MAX(0,ROUND(BD225*(1+'Calc base'!R226),2)-T226-'Calc base'!AD226)</f>
        <v>0</v>
      </c>
      <c r="AG226">
        <f>MAX(0,ROUND(BE225*(1+'Calc base'!S226),2)-U226-'Calc base'!AE226)</f>
        <v>0</v>
      </c>
      <c r="AH226">
        <f>IF('Calc base'!C$14=0,0,MIN(V226,MAX(0,$E226-SUMIFS($V226:$AG226,'Calc base'!$C$19:$N$19,"&lt;"&amp;'Calc base'!C$19,'Calc base'!$C$14:$N$14,1))))</f>
        <v>0</v>
      </c>
      <c r="AI226">
        <f>IF('Calc base'!D$14=0,0,MIN(W226,MAX(0,$E226-SUMIFS($V226:$AG226,'Calc base'!$C$19:$N$19,"&lt;"&amp;'Calc base'!D$19,'Calc base'!$C$14:$N$14,1))))</f>
        <v>0</v>
      </c>
      <c r="AJ226">
        <f>IF('Calc base'!E$14=0,0,MIN(X226,MAX(0,$E226-SUMIFS($V226:$AG226,'Calc base'!$C$19:$N$19,"&lt;"&amp;'Calc base'!E$19,'Calc base'!$C$14:$N$14,1))))</f>
        <v>0</v>
      </c>
      <c r="AK226">
        <f>IF('Calc base'!F$14=0,0,MIN(Y226,MAX(0,$E226-SUMIFS($V226:$AG226,'Calc base'!$C$19:$N$19,"&lt;"&amp;'Calc base'!F$19,'Calc base'!$C$14:$N$14,1))))</f>
        <v>0</v>
      </c>
      <c r="AL226">
        <f>IF('Calc base'!G$14=0,0,MIN(Z226,MAX(0,$E226-SUMIFS($V226:$AG226,'Calc base'!$C$19:$N$19,"&lt;"&amp;'Calc base'!G$19,'Calc base'!$C$14:$N$14,1))))</f>
        <v>0</v>
      </c>
      <c r="AM226">
        <f>IF('Calc base'!H$14=0,0,MIN(AA226,MAX(0,$E226-SUMIFS($V226:$AG226,'Calc base'!$C$19:$N$19,"&lt;"&amp;'Calc base'!H$19,'Calc base'!$C$14:$N$14,1))))</f>
        <v>0</v>
      </c>
      <c r="AN226">
        <f>IF('Calc base'!I$14=0,0,MIN(AB226,MAX(0,$E226-SUMIFS($V226:$AG226,'Calc base'!$C$19:$N$19,"&lt;"&amp;'Calc base'!I$19,'Calc base'!$C$14:$N$14,1))))</f>
        <v>0</v>
      </c>
      <c r="AO226">
        <f>IF('Calc base'!J$14=0,0,MIN(AC226,MAX(0,$E226-SUMIFS($V226:$AG226,'Calc base'!$C$19:$N$19,"&lt;"&amp;'Calc base'!J$19,'Calc base'!$C$14:$N$14,1))))</f>
        <v>0</v>
      </c>
      <c r="AP226">
        <f>IF('Calc base'!K$14=0,0,MIN(AD226,MAX(0,$E226-SUMIFS($V226:$AG226,'Calc base'!$C$19:$N$19,"&lt;"&amp;'Calc base'!K$19,'Calc base'!$C$14:$N$14,1))))</f>
        <v>0</v>
      </c>
      <c r="AQ226">
        <f>IF('Calc base'!L$14=0,0,MIN(AE226,MAX(0,$E226-SUMIFS($V226:$AG226,'Calc base'!$C$19:$N$19,"&lt;"&amp;'Calc base'!L$19,'Calc base'!$C$14:$N$14,1))))</f>
        <v>0</v>
      </c>
      <c r="AR226">
        <f>IF('Calc base'!M$14=0,0,MIN(AF226,MAX(0,$E226-SUMIFS($V226:$AG226,'Calc base'!$C$19:$N$19,"&lt;"&amp;'Calc base'!M$19,'Calc base'!$C$14:$N$14,1))))</f>
        <v>0</v>
      </c>
      <c r="AS226">
        <f>IF('Calc base'!N$14=0,0,MIN(AG226,MAX(0,$E226-SUMIFS($V226:$AG226,'Calc base'!$C$19:$N$19,"&lt;"&amp;'Calc base'!N$19,'Calc base'!$C$14:$N$14,1))))</f>
        <v>0</v>
      </c>
      <c r="AT226">
        <f>V226-AH226</f>
        <v>0</v>
      </c>
      <c r="AU226">
        <f>W226-AI226</f>
        <v>0</v>
      </c>
      <c r="AV226">
        <f>X226-AJ226</f>
        <v>0</v>
      </c>
      <c r="AW226">
        <f>Y226-AK226</f>
        <v>0</v>
      </c>
      <c r="AX226">
        <f>Z226-AL226</f>
        <v>0</v>
      </c>
      <c r="AY226">
        <f>AA226-AM226</f>
        <v>0</v>
      </c>
      <c r="AZ226">
        <f>AB226-AN226</f>
        <v>0</v>
      </c>
      <c r="BA226">
        <f>AC226-AO226</f>
        <v>0</v>
      </c>
      <c r="BB226">
        <f>AD226-AP226</f>
        <v>0</v>
      </c>
      <c r="BC226">
        <f>AE226-AQ226</f>
        <v>0</v>
      </c>
      <c r="BD226">
        <f>AF226-AR226</f>
        <v>0</v>
      </c>
      <c r="BE226">
        <f>AG226-AS226</f>
        <v>0</v>
      </c>
    </row>
    <row r="227">
      <c r="A227" t="n">
        <v>197</v>
      </c>
      <c r="B227">
        <f>SUMPRODUCT(ROUND($AT226:$BE226*(1+'Calc base'!$H227:$S227),2))</f>
        <v>0</v>
      </c>
      <c r="C227">
        <f>SUM(J227:U227)</f>
        <v>0</v>
      </c>
      <c r="D227">
        <f>SUM(V227:AG227)</f>
        <v>0</v>
      </c>
      <c r="E227">
        <f>MAX(0,IF(Impostazioni!$B$7="No",'Calc base'!$C227-$C$31,'Calc base'!$C227-C227)+'Calc base'!$G227+'Calc base'!$F227-(B227-C227-D227))</f>
        <v>900</v>
      </c>
      <c r="F227">
        <f>SUM(AH227:AS227)</f>
        <v>0</v>
      </c>
      <c r="G227">
        <f>SUM(AT227:BE227)</f>
        <v>0</v>
      </c>
      <c r="H227">
        <f>B227-G226</f>
        <v>0</v>
      </c>
      <c r="I227">
        <f>B227-G227</f>
        <v>0</v>
      </c>
      <c r="J227">
        <f>IF(AT226&lt;=0,0,IF(ROUND(AT226*(1+'Calc base'!H227),2)-MAX('Calc base'!C$12,ROUND('Calc base'!C$13*AT226,2))&lt;1,ROUND(AT226*(1+'Calc base'!H227),2),MAX('Calc base'!C$12,ROUND('Calc base'!C$13*AT226,2))))</f>
        <v>0</v>
      </c>
      <c r="K227">
        <f>IF(AU226&lt;=0,0,IF(ROUND(AU226*(1+'Calc base'!I227),2)-MAX('Calc base'!D$12,ROUND('Calc base'!D$13*AU226,2))&lt;1,ROUND(AU226*(1+'Calc base'!I227),2),MAX('Calc base'!D$12,ROUND('Calc base'!D$13*AU226,2))))</f>
        <v>0</v>
      </c>
      <c r="L227">
        <f>IF(AV226&lt;=0,0,IF(ROUND(AV226*(1+'Calc base'!J227),2)-MAX('Calc base'!E$12,ROUND('Calc base'!E$13*AV226,2))&lt;1,ROUND(AV226*(1+'Calc base'!J227),2),MAX('Calc base'!E$12,ROUND('Calc base'!E$13*AV226,2))))</f>
        <v>0</v>
      </c>
      <c r="M227">
        <f>IF(AW226&lt;=0,0,IF(ROUND(AW226*(1+'Calc base'!K227),2)-MAX('Calc base'!F$12,ROUND('Calc base'!F$13*AW226,2))&lt;1,ROUND(AW226*(1+'Calc base'!K227),2),MAX('Calc base'!F$12,ROUND('Calc base'!F$13*AW226,2))))</f>
        <v>0</v>
      </c>
      <c r="N227">
        <f>IF(AX226&lt;=0,0,IF(ROUND(AX226*(1+'Calc base'!L227),2)-MAX('Calc base'!G$12,ROUND('Calc base'!G$13*AX226,2))&lt;1,ROUND(AX226*(1+'Calc base'!L227),2),MAX('Calc base'!G$12,ROUND('Calc base'!G$13*AX226,2))))</f>
        <v>0</v>
      </c>
      <c r="O227">
        <f>IF(AY226&lt;=0,0,IF(ROUND(AY226*(1+'Calc base'!M227),2)-MAX('Calc base'!H$12,ROUND('Calc base'!H$13*AY226,2))&lt;1,ROUND(AY226*(1+'Calc base'!M227),2),MAX('Calc base'!H$12,ROUND('Calc base'!H$13*AY226,2))))</f>
        <v>0</v>
      </c>
      <c r="P227">
        <f>IF(AZ226&lt;=0,0,IF(ROUND(AZ226*(1+'Calc base'!N227),2)-MAX('Calc base'!I$12,ROUND('Calc base'!I$13*AZ226,2))&lt;1,ROUND(AZ226*(1+'Calc base'!N227),2),MAX('Calc base'!I$12,ROUND('Calc base'!I$13*AZ226,2))))</f>
        <v>0</v>
      </c>
      <c r="Q227">
        <f>IF(BA226&lt;=0,0,IF(ROUND(BA226*(1+'Calc base'!O227),2)-MAX('Calc base'!J$12,ROUND('Calc base'!J$13*BA226,2))&lt;1,ROUND(BA226*(1+'Calc base'!O227),2),MAX('Calc base'!J$12,ROUND('Calc base'!J$13*BA226,2))))</f>
        <v>0</v>
      </c>
      <c r="R227">
        <f>IF(BB226&lt;=0,0,IF(ROUND(BB226*(1+'Calc base'!P227),2)-MAX('Calc base'!K$12,ROUND('Calc base'!K$13*BB226,2))&lt;1,ROUND(BB226*(1+'Calc base'!P227),2),MAX('Calc base'!K$12,ROUND('Calc base'!K$13*BB226,2))))</f>
        <v>0</v>
      </c>
      <c r="S227">
        <f>IF(BC226&lt;=0,0,IF(ROUND(BC226*(1+'Calc base'!Q227),2)-MAX('Calc base'!L$12,ROUND('Calc base'!L$13*BC226,2))&lt;1,ROUND(BC226*(1+'Calc base'!Q227),2),MAX('Calc base'!L$12,ROUND('Calc base'!L$13*BC226,2))))</f>
        <v>0</v>
      </c>
      <c r="T227">
        <f>IF(BD226&lt;=0,0,IF(ROUND(BD226*(1+'Calc base'!R227),2)-MAX('Calc base'!M$12,ROUND('Calc base'!M$13*BD226,2))&lt;1,ROUND(BD226*(1+'Calc base'!R227),2),MAX('Calc base'!M$12,ROUND('Calc base'!M$13*BD226,2))))</f>
        <v>0</v>
      </c>
      <c r="U227">
        <f>IF(BE226&lt;=0,0,IF(ROUND(BE226*(1+'Calc base'!S227),2)-MAX('Calc base'!N$12,ROUND('Calc base'!N$13*BE226,2))&lt;1,ROUND(BE226*(1+'Calc base'!S227),2),MAX('Calc base'!N$12,ROUND('Calc base'!N$13*BE226,2))))</f>
        <v>0</v>
      </c>
      <c r="V227">
        <f>MAX(0,ROUND(AT226*(1+'Calc base'!H227),2)-J227-'Calc base'!T227)</f>
        <v>0</v>
      </c>
      <c r="W227">
        <f>MAX(0,ROUND(AU226*(1+'Calc base'!I227),2)-K227-'Calc base'!U227)</f>
        <v>0</v>
      </c>
      <c r="X227">
        <f>MAX(0,ROUND(AV226*(1+'Calc base'!J227),2)-L227-'Calc base'!V227)</f>
        <v>0</v>
      </c>
      <c r="Y227">
        <f>MAX(0,ROUND(AW226*(1+'Calc base'!K227),2)-M227-'Calc base'!W227)</f>
        <v>0</v>
      </c>
      <c r="Z227">
        <f>MAX(0,ROUND(AX226*(1+'Calc base'!L227),2)-N227-'Calc base'!X227)</f>
        <v>0</v>
      </c>
      <c r="AA227">
        <f>MAX(0,ROUND(AY226*(1+'Calc base'!M227),2)-O227-'Calc base'!Y227)</f>
        <v>0</v>
      </c>
      <c r="AB227">
        <f>MAX(0,ROUND(AZ226*(1+'Calc base'!N227),2)-P227-'Calc base'!Z227)</f>
        <v>0</v>
      </c>
      <c r="AC227">
        <f>MAX(0,ROUND(BA226*(1+'Calc base'!O227),2)-Q227-'Calc base'!AA227)</f>
        <v>0</v>
      </c>
      <c r="AD227">
        <f>MAX(0,ROUND(BB226*(1+'Calc base'!P227),2)-R227-'Calc base'!AB227)</f>
        <v>0</v>
      </c>
      <c r="AE227">
        <f>MAX(0,ROUND(BC226*(1+'Calc base'!Q227),2)-S227-'Calc base'!AC227)</f>
        <v>0</v>
      </c>
      <c r="AF227">
        <f>MAX(0,ROUND(BD226*(1+'Calc base'!R227),2)-T227-'Calc base'!AD227)</f>
        <v>0</v>
      </c>
      <c r="AG227">
        <f>MAX(0,ROUND(BE226*(1+'Calc base'!S227),2)-U227-'Calc base'!AE227)</f>
        <v>0</v>
      </c>
      <c r="AH227">
        <f>IF('Calc base'!C$14=0,0,MIN(V227,MAX(0,$E227-SUMIFS($V227:$AG227,'Calc base'!$C$19:$N$19,"&lt;"&amp;'Calc base'!C$19,'Calc base'!$C$14:$N$14,1))))</f>
        <v>0</v>
      </c>
      <c r="AI227">
        <f>IF('Calc base'!D$14=0,0,MIN(W227,MAX(0,$E227-SUMIFS($V227:$AG227,'Calc base'!$C$19:$N$19,"&lt;"&amp;'Calc base'!D$19,'Calc base'!$C$14:$N$14,1))))</f>
        <v>0</v>
      </c>
      <c r="AJ227">
        <f>IF('Calc base'!E$14=0,0,MIN(X227,MAX(0,$E227-SUMIFS($V227:$AG227,'Calc base'!$C$19:$N$19,"&lt;"&amp;'Calc base'!E$19,'Calc base'!$C$14:$N$14,1))))</f>
        <v>0</v>
      </c>
      <c r="AK227">
        <f>IF('Calc base'!F$14=0,0,MIN(Y227,MAX(0,$E227-SUMIFS($V227:$AG227,'Calc base'!$C$19:$N$19,"&lt;"&amp;'Calc base'!F$19,'Calc base'!$C$14:$N$14,1))))</f>
        <v>0</v>
      </c>
      <c r="AL227">
        <f>IF('Calc base'!G$14=0,0,MIN(Z227,MAX(0,$E227-SUMIFS($V227:$AG227,'Calc base'!$C$19:$N$19,"&lt;"&amp;'Calc base'!G$19,'Calc base'!$C$14:$N$14,1))))</f>
        <v>0</v>
      </c>
      <c r="AM227">
        <f>IF('Calc base'!H$14=0,0,MIN(AA227,MAX(0,$E227-SUMIFS($V227:$AG227,'Calc base'!$C$19:$N$19,"&lt;"&amp;'Calc base'!H$19,'Calc base'!$C$14:$N$14,1))))</f>
        <v>0</v>
      </c>
      <c r="AN227">
        <f>IF('Calc base'!I$14=0,0,MIN(AB227,MAX(0,$E227-SUMIFS($V227:$AG227,'Calc base'!$C$19:$N$19,"&lt;"&amp;'Calc base'!I$19,'Calc base'!$C$14:$N$14,1))))</f>
        <v>0</v>
      </c>
      <c r="AO227">
        <f>IF('Calc base'!J$14=0,0,MIN(AC227,MAX(0,$E227-SUMIFS($V227:$AG227,'Calc base'!$C$19:$N$19,"&lt;"&amp;'Calc base'!J$19,'Calc base'!$C$14:$N$14,1))))</f>
        <v>0</v>
      </c>
      <c r="AP227">
        <f>IF('Calc base'!K$14=0,0,MIN(AD227,MAX(0,$E227-SUMIFS($V227:$AG227,'Calc base'!$C$19:$N$19,"&lt;"&amp;'Calc base'!K$19,'Calc base'!$C$14:$N$14,1))))</f>
        <v>0</v>
      </c>
      <c r="AQ227">
        <f>IF('Calc base'!L$14=0,0,MIN(AE227,MAX(0,$E227-SUMIFS($V227:$AG227,'Calc base'!$C$19:$N$19,"&lt;"&amp;'Calc base'!L$19,'Calc base'!$C$14:$N$14,1))))</f>
        <v>0</v>
      </c>
      <c r="AR227">
        <f>IF('Calc base'!M$14=0,0,MIN(AF227,MAX(0,$E227-SUMIFS($V227:$AG227,'Calc base'!$C$19:$N$19,"&lt;"&amp;'Calc base'!M$19,'Calc base'!$C$14:$N$14,1))))</f>
        <v>0</v>
      </c>
      <c r="AS227">
        <f>IF('Calc base'!N$14=0,0,MIN(AG227,MAX(0,$E227-SUMIFS($V227:$AG227,'Calc base'!$C$19:$N$19,"&lt;"&amp;'Calc base'!N$19,'Calc base'!$C$14:$N$14,1))))</f>
        <v>0</v>
      </c>
      <c r="AT227">
        <f>V227-AH227</f>
        <v>0</v>
      </c>
      <c r="AU227">
        <f>W227-AI227</f>
        <v>0</v>
      </c>
      <c r="AV227">
        <f>X227-AJ227</f>
        <v>0</v>
      </c>
      <c r="AW227">
        <f>Y227-AK227</f>
        <v>0</v>
      </c>
      <c r="AX227">
        <f>Z227-AL227</f>
        <v>0</v>
      </c>
      <c r="AY227">
        <f>AA227-AM227</f>
        <v>0</v>
      </c>
      <c r="AZ227">
        <f>AB227-AN227</f>
        <v>0</v>
      </c>
      <c r="BA227">
        <f>AC227-AO227</f>
        <v>0</v>
      </c>
      <c r="BB227">
        <f>AD227-AP227</f>
        <v>0</v>
      </c>
      <c r="BC227">
        <f>AE227-AQ227</f>
        <v>0</v>
      </c>
      <c r="BD227">
        <f>AF227-AR227</f>
        <v>0</v>
      </c>
      <c r="BE227">
        <f>AG227-AS227</f>
        <v>0</v>
      </c>
    </row>
    <row r="228">
      <c r="A228" t="n">
        <v>198</v>
      </c>
      <c r="B228">
        <f>SUMPRODUCT(ROUND($AT227:$BE227*(1+'Calc base'!$H228:$S228),2))</f>
        <v>0</v>
      </c>
      <c r="C228">
        <f>SUM(J228:U228)</f>
        <v>0</v>
      </c>
      <c r="D228">
        <f>SUM(V228:AG228)</f>
        <v>0</v>
      </c>
      <c r="E228">
        <f>MAX(0,IF(Impostazioni!$B$7="No",'Calc base'!$C228-$C$31,'Calc base'!$C228-C228)+'Calc base'!$G228+'Calc base'!$F228-(B228-C228-D228))</f>
        <v>900</v>
      </c>
      <c r="F228">
        <f>SUM(AH228:AS228)</f>
        <v>0</v>
      </c>
      <c r="G228">
        <f>SUM(AT228:BE228)</f>
        <v>0</v>
      </c>
      <c r="H228">
        <f>B228-G227</f>
        <v>0</v>
      </c>
      <c r="I228">
        <f>B228-G228</f>
        <v>0</v>
      </c>
      <c r="J228">
        <f>IF(AT227&lt;=0,0,IF(ROUND(AT227*(1+'Calc base'!H228),2)-MAX('Calc base'!C$12,ROUND('Calc base'!C$13*AT227,2))&lt;1,ROUND(AT227*(1+'Calc base'!H228),2),MAX('Calc base'!C$12,ROUND('Calc base'!C$13*AT227,2))))</f>
        <v>0</v>
      </c>
      <c r="K228">
        <f>IF(AU227&lt;=0,0,IF(ROUND(AU227*(1+'Calc base'!I228),2)-MAX('Calc base'!D$12,ROUND('Calc base'!D$13*AU227,2))&lt;1,ROUND(AU227*(1+'Calc base'!I228),2),MAX('Calc base'!D$12,ROUND('Calc base'!D$13*AU227,2))))</f>
        <v>0</v>
      </c>
      <c r="L228">
        <f>IF(AV227&lt;=0,0,IF(ROUND(AV227*(1+'Calc base'!J228),2)-MAX('Calc base'!E$12,ROUND('Calc base'!E$13*AV227,2))&lt;1,ROUND(AV227*(1+'Calc base'!J228),2),MAX('Calc base'!E$12,ROUND('Calc base'!E$13*AV227,2))))</f>
        <v>0</v>
      </c>
      <c r="M228">
        <f>IF(AW227&lt;=0,0,IF(ROUND(AW227*(1+'Calc base'!K228),2)-MAX('Calc base'!F$12,ROUND('Calc base'!F$13*AW227,2))&lt;1,ROUND(AW227*(1+'Calc base'!K228),2),MAX('Calc base'!F$12,ROUND('Calc base'!F$13*AW227,2))))</f>
        <v>0</v>
      </c>
      <c r="N228">
        <f>IF(AX227&lt;=0,0,IF(ROUND(AX227*(1+'Calc base'!L228),2)-MAX('Calc base'!G$12,ROUND('Calc base'!G$13*AX227,2))&lt;1,ROUND(AX227*(1+'Calc base'!L228),2),MAX('Calc base'!G$12,ROUND('Calc base'!G$13*AX227,2))))</f>
        <v>0</v>
      </c>
      <c r="O228">
        <f>IF(AY227&lt;=0,0,IF(ROUND(AY227*(1+'Calc base'!M228),2)-MAX('Calc base'!H$12,ROUND('Calc base'!H$13*AY227,2))&lt;1,ROUND(AY227*(1+'Calc base'!M228),2),MAX('Calc base'!H$12,ROUND('Calc base'!H$13*AY227,2))))</f>
        <v>0</v>
      </c>
      <c r="P228">
        <f>IF(AZ227&lt;=0,0,IF(ROUND(AZ227*(1+'Calc base'!N228),2)-MAX('Calc base'!I$12,ROUND('Calc base'!I$13*AZ227,2))&lt;1,ROUND(AZ227*(1+'Calc base'!N228),2),MAX('Calc base'!I$12,ROUND('Calc base'!I$13*AZ227,2))))</f>
        <v>0</v>
      </c>
      <c r="Q228">
        <f>IF(BA227&lt;=0,0,IF(ROUND(BA227*(1+'Calc base'!O228),2)-MAX('Calc base'!J$12,ROUND('Calc base'!J$13*BA227,2))&lt;1,ROUND(BA227*(1+'Calc base'!O228),2),MAX('Calc base'!J$12,ROUND('Calc base'!J$13*BA227,2))))</f>
        <v>0</v>
      </c>
      <c r="R228">
        <f>IF(BB227&lt;=0,0,IF(ROUND(BB227*(1+'Calc base'!P228),2)-MAX('Calc base'!K$12,ROUND('Calc base'!K$13*BB227,2))&lt;1,ROUND(BB227*(1+'Calc base'!P228),2),MAX('Calc base'!K$12,ROUND('Calc base'!K$13*BB227,2))))</f>
        <v>0</v>
      </c>
      <c r="S228">
        <f>IF(BC227&lt;=0,0,IF(ROUND(BC227*(1+'Calc base'!Q228),2)-MAX('Calc base'!L$12,ROUND('Calc base'!L$13*BC227,2))&lt;1,ROUND(BC227*(1+'Calc base'!Q228),2),MAX('Calc base'!L$12,ROUND('Calc base'!L$13*BC227,2))))</f>
        <v>0</v>
      </c>
      <c r="T228">
        <f>IF(BD227&lt;=0,0,IF(ROUND(BD227*(1+'Calc base'!R228),2)-MAX('Calc base'!M$12,ROUND('Calc base'!M$13*BD227,2))&lt;1,ROUND(BD227*(1+'Calc base'!R228),2),MAX('Calc base'!M$12,ROUND('Calc base'!M$13*BD227,2))))</f>
        <v>0</v>
      </c>
      <c r="U228">
        <f>IF(BE227&lt;=0,0,IF(ROUND(BE227*(1+'Calc base'!S228),2)-MAX('Calc base'!N$12,ROUND('Calc base'!N$13*BE227,2))&lt;1,ROUND(BE227*(1+'Calc base'!S228),2),MAX('Calc base'!N$12,ROUND('Calc base'!N$13*BE227,2))))</f>
        <v>0</v>
      </c>
      <c r="V228">
        <f>MAX(0,ROUND(AT227*(1+'Calc base'!H228),2)-J228-'Calc base'!T228)</f>
        <v>0</v>
      </c>
      <c r="W228">
        <f>MAX(0,ROUND(AU227*(1+'Calc base'!I228),2)-K228-'Calc base'!U228)</f>
        <v>0</v>
      </c>
      <c r="X228">
        <f>MAX(0,ROUND(AV227*(1+'Calc base'!J228),2)-L228-'Calc base'!V228)</f>
        <v>0</v>
      </c>
      <c r="Y228">
        <f>MAX(0,ROUND(AW227*(1+'Calc base'!K228),2)-M228-'Calc base'!W228)</f>
        <v>0</v>
      </c>
      <c r="Z228">
        <f>MAX(0,ROUND(AX227*(1+'Calc base'!L228),2)-N228-'Calc base'!X228)</f>
        <v>0</v>
      </c>
      <c r="AA228">
        <f>MAX(0,ROUND(AY227*(1+'Calc base'!M228),2)-O228-'Calc base'!Y228)</f>
        <v>0</v>
      </c>
      <c r="AB228">
        <f>MAX(0,ROUND(AZ227*(1+'Calc base'!N228),2)-P228-'Calc base'!Z228)</f>
        <v>0</v>
      </c>
      <c r="AC228">
        <f>MAX(0,ROUND(BA227*(1+'Calc base'!O228),2)-Q228-'Calc base'!AA228)</f>
        <v>0</v>
      </c>
      <c r="AD228">
        <f>MAX(0,ROUND(BB227*(1+'Calc base'!P228),2)-R228-'Calc base'!AB228)</f>
        <v>0</v>
      </c>
      <c r="AE228">
        <f>MAX(0,ROUND(BC227*(1+'Calc base'!Q228),2)-S228-'Calc base'!AC228)</f>
        <v>0</v>
      </c>
      <c r="AF228">
        <f>MAX(0,ROUND(BD227*(1+'Calc base'!R228),2)-T228-'Calc base'!AD228)</f>
        <v>0</v>
      </c>
      <c r="AG228">
        <f>MAX(0,ROUND(BE227*(1+'Calc base'!S228),2)-U228-'Calc base'!AE228)</f>
        <v>0</v>
      </c>
      <c r="AH228">
        <f>IF('Calc base'!C$14=0,0,MIN(V228,MAX(0,$E228-SUMIFS($V228:$AG228,'Calc base'!$C$19:$N$19,"&lt;"&amp;'Calc base'!C$19,'Calc base'!$C$14:$N$14,1))))</f>
        <v>0</v>
      </c>
      <c r="AI228">
        <f>IF('Calc base'!D$14=0,0,MIN(W228,MAX(0,$E228-SUMIFS($V228:$AG228,'Calc base'!$C$19:$N$19,"&lt;"&amp;'Calc base'!D$19,'Calc base'!$C$14:$N$14,1))))</f>
        <v>0</v>
      </c>
      <c r="AJ228">
        <f>IF('Calc base'!E$14=0,0,MIN(X228,MAX(0,$E228-SUMIFS($V228:$AG228,'Calc base'!$C$19:$N$19,"&lt;"&amp;'Calc base'!E$19,'Calc base'!$C$14:$N$14,1))))</f>
        <v>0</v>
      </c>
      <c r="AK228">
        <f>IF('Calc base'!F$14=0,0,MIN(Y228,MAX(0,$E228-SUMIFS($V228:$AG228,'Calc base'!$C$19:$N$19,"&lt;"&amp;'Calc base'!F$19,'Calc base'!$C$14:$N$14,1))))</f>
        <v>0</v>
      </c>
      <c r="AL228">
        <f>IF('Calc base'!G$14=0,0,MIN(Z228,MAX(0,$E228-SUMIFS($V228:$AG228,'Calc base'!$C$19:$N$19,"&lt;"&amp;'Calc base'!G$19,'Calc base'!$C$14:$N$14,1))))</f>
        <v>0</v>
      </c>
      <c r="AM228">
        <f>IF('Calc base'!H$14=0,0,MIN(AA228,MAX(0,$E228-SUMIFS($V228:$AG228,'Calc base'!$C$19:$N$19,"&lt;"&amp;'Calc base'!H$19,'Calc base'!$C$14:$N$14,1))))</f>
        <v>0</v>
      </c>
      <c r="AN228">
        <f>IF('Calc base'!I$14=0,0,MIN(AB228,MAX(0,$E228-SUMIFS($V228:$AG228,'Calc base'!$C$19:$N$19,"&lt;"&amp;'Calc base'!I$19,'Calc base'!$C$14:$N$14,1))))</f>
        <v>0</v>
      </c>
      <c r="AO228">
        <f>IF('Calc base'!J$14=0,0,MIN(AC228,MAX(0,$E228-SUMIFS($V228:$AG228,'Calc base'!$C$19:$N$19,"&lt;"&amp;'Calc base'!J$19,'Calc base'!$C$14:$N$14,1))))</f>
        <v>0</v>
      </c>
      <c r="AP228">
        <f>IF('Calc base'!K$14=0,0,MIN(AD228,MAX(0,$E228-SUMIFS($V228:$AG228,'Calc base'!$C$19:$N$19,"&lt;"&amp;'Calc base'!K$19,'Calc base'!$C$14:$N$14,1))))</f>
        <v>0</v>
      </c>
      <c r="AQ228">
        <f>IF('Calc base'!L$14=0,0,MIN(AE228,MAX(0,$E228-SUMIFS($V228:$AG228,'Calc base'!$C$19:$N$19,"&lt;"&amp;'Calc base'!L$19,'Calc base'!$C$14:$N$14,1))))</f>
        <v>0</v>
      </c>
      <c r="AR228">
        <f>IF('Calc base'!M$14=0,0,MIN(AF228,MAX(0,$E228-SUMIFS($V228:$AG228,'Calc base'!$C$19:$N$19,"&lt;"&amp;'Calc base'!M$19,'Calc base'!$C$14:$N$14,1))))</f>
        <v>0</v>
      </c>
      <c r="AS228">
        <f>IF('Calc base'!N$14=0,0,MIN(AG228,MAX(0,$E228-SUMIFS($V228:$AG228,'Calc base'!$C$19:$N$19,"&lt;"&amp;'Calc base'!N$19,'Calc base'!$C$14:$N$14,1))))</f>
        <v>0</v>
      </c>
      <c r="AT228">
        <f>V228-AH228</f>
        <v>0</v>
      </c>
      <c r="AU228">
        <f>W228-AI228</f>
        <v>0</v>
      </c>
      <c r="AV228">
        <f>X228-AJ228</f>
        <v>0</v>
      </c>
      <c r="AW228">
        <f>Y228-AK228</f>
        <v>0</v>
      </c>
      <c r="AX228">
        <f>Z228-AL228</f>
        <v>0</v>
      </c>
      <c r="AY228">
        <f>AA228-AM228</f>
        <v>0</v>
      </c>
      <c r="AZ228">
        <f>AB228-AN228</f>
        <v>0</v>
      </c>
      <c r="BA228">
        <f>AC228-AO228</f>
        <v>0</v>
      </c>
      <c r="BB228">
        <f>AD228-AP228</f>
        <v>0</v>
      </c>
      <c r="BC228">
        <f>AE228-AQ228</f>
        <v>0</v>
      </c>
      <c r="BD228">
        <f>AF228-AR228</f>
        <v>0</v>
      </c>
      <c r="BE228">
        <f>AG228-AS228</f>
        <v>0</v>
      </c>
    </row>
    <row r="229">
      <c r="A229" t="n">
        <v>199</v>
      </c>
      <c r="B229">
        <f>SUMPRODUCT(ROUND($AT228:$BE228*(1+'Calc base'!$H229:$S229),2))</f>
        <v>0</v>
      </c>
      <c r="C229">
        <f>SUM(J229:U229)</f>
        <v>0</v>
      </c>
      <c r="D229">
        <f>SUM(V229:AG229)</f>
        <v>0</v>
      </c>
      <c r="E229">
        <f>MAX(0,IF(Impostazioni!$B$7="No",'Calc base'!$C229-$C$31,'Calc base'!$C229-C229)+'Calc base'!$G229+'Calc base'!$F229-(B229-C229-D229))</f>
        <v>900</v>
      </c>
      <c r="F229">
        <f>SUM(AH229:AS229)</f>
        <v>0</v>
      </c>
      <c r="G229">
        <f>SUM(AT229:BE229)</f>
        <v>0</v>
      </c>
      <c r="H229">
        <f>B229-G228</f>
        <v>0</v>
      </c>
      <c r="I229">
        <f>B229-G229</f>
        <v>0</v>
      </c>
      <c r="J229">
        <f>IF(AT228&lt;=0,0,IF(ROUND(AT228*(1+'Calc base'!H229),2)-MAX('Calc base'!C$12,ROUND('Calc base'!C$13*AT228,2))&lt;1,ROUND(AT228*(1+'Calc base'!H229),2),MAX('Calc base'!C$12,ROUND('Calc base'!C$13*AT228,2))))</f>
        <v>0</v>
      </c>
      <c r="K229">
        <f>IF(AU228&lt;=0,0,IF(ROUND(AU228*(1+'Calc base'!I229),2)-MAX('Calc base'!D$12,ROUND('Calc base'!D$13*AU228,2))&lt;1,ROUND(AU228*(1+'Calc base'!I229),2),MAX('Calc base'!D$12,ROUND('Calc base'!D$13*AU228,2))))</f>
        <v>0</v>
      </c>
      <c r="L229">
        <f>IF(AV228&lt;=0,0,IF(ROUND(AV228*(1+'Calc base'!J229),2)-MAX('Calc base'!E$12,ROUND('Calc base'!E$13*AV228,2))&lt;1,ROUND(AV228*(1+'Calc base'!J229),2),MAX('Calc base'!E$12,ROUND('Calc base'!E$13*AV228,2))))</f>
        <v>0</v>
      </c>
      <c r="M229">
        <f>IF(AW228&lt;=0,0,IF(ROUND(AW228*(1+'Calc base'!K229),2)-MAX('Calc base'!F$12,ROUND('Calc base'!F$13*AW228,2))&lt;1,ROUND(AW228*(1+'Calc base'!K229),2),MAX('Calc base'!F$12,ROUND('Calc base'!F$13*AW228,2))))</f>
        <v>0</v>
      </c>
      <c r="N229">
        <f>IF(AX228&lt;=0,0,IF(ROUND(AX228*(1+'Calc base'!L229),2)-MAX('Calc base'!G$12,ROUND('Calc base'!G$13*AX228,2))&lt;1,ROUND(AX228*(1+'Calc base'!L229),2),MAX('Calc base'!G$12,ROUND('Calc base'!G$13*AX228,2))))</f>
        <v>0</v>
      </c>
      <c r="O229">
        <f>IF(AY228&lt;=0,0,IF(ROUND(AY228*(1+'Calc base'!M229),2)-MAX('Calc base'!H$12,ROUND('Calc base'!H$13*AY228,2))&lt;1,ROUND(AY228*(1+'Calc base'!M229),2),MAX('Calc base'!H$12,ROUND('Calc base'!H$13*AY228,2))))</f>
        <v>0</v>
      </c>
      <c r="P229">
        <f>IF(AZ228&lt;=0,0,IF(ROUND(AZ228*(1+'Calc base'!N229),2)-MAX('Calc base'!I$12,ROUND('Calc base'!I$13*AZ228,2))&lt;1,ROUND(AZ228*(1+'Calc base'!N229),2),MAX('Calc base'!I$12,ROUND('Calc base'!I$13*AZ228,2))))</f>
        <v>0</v>
      </c>
      <c r="Q229">
        <f>IF(BA228&lt;=0,0,IF(ROUND(BA228*(1+'Calc base'!O229),2)-MAX('Calc base'!J$12,ROUND('Calc base'!J$13*BA228,2))&lt;1,ROUND(BA228*(1+'Calc base'!O229),2),MAX('Calc base'!J$12,ROUND('Calc base'!J$13*BA228,2))))</f>
        <v>0</v>
      </c>
      <c r="R229">
        <f>IF(BB228&lt;=0,0,IF(ROUND(BB228*(1+'Calc base'!P229),2)-MAX('Calc base'!K$12,ROUND('Calc base'!K$13*BB228,2))&lt;1,ROUND(BB228*(1+'Calc base'!P229),2),MAX('Calc base'!K$12,ROUND('Calc base'!K$13*BB228,2))))</f>
        <v>0</v>
      </c>
      <c r="S229">
        <f>IF(BC228&lt;=0,0,IF(ROUND(BC228*(1+'Calc base'!Q229),2)-MAX('Calc base'!L$12,ROUND('Calc base'!L$13*BC228,2))&lt;1,ROUND(BC228*(1+'Calc base'!Q229),2),MAX('Calc base'!L$12,ROUND('Calc base'!L$13*BC228,2))))</f>
        <v>0</v>
      </c>
      <c r="T229">
        <f>IF(BD228&lt;=0,0,IF(ROUND(BD228*(1+'Calc base'!R229),2)-MAX('Calc base'!M$12,ROUND('Calc base'!M$13*BD228,2))&lt;1,ROUND(BD228*(1+'Calc base'!R229),2),MAX('Calc base'!M$12,ROUND('Calc base'!M$13*BD228,2))))</f>
        <v>0</v>
      </c>
      <c r="U229">
        <f>IF(BE228&lt;=0,0,IF(ROUND(BE228*(1+'Calc base'!S229),2)-MAX('Calc base'!N$12,ROUND('Calc base'!N$13*BE228,2))&lt;1,ROUND(BE228*(1+'Calc base'!S229),2),MAX('Calc base'!N$12,ROUND('Calc base'!N$13*BE228,2))))</f>
        <v>0</v>
      </c>
      <c r="V229">
        <f>MAX(0,ROUND(AT228*(1+'Calc base'!H229),2)-J229-'Calc base'!T229)</f>
        <v>0</v>
      </c>
      <c r="W229">
        <f>MAX(0,ROUND(AU228*(1+'Calc base'!I229),2)-K229-'Calc base'!U229)</f>
        <v>0</v>
      </c>
      <c r="X229">
        <f>MAX(0,ROUND(AV228*(1+'Calc base'!J229),2)-L229-'Calc base'!V229)</f>
        <v>0</v>
      </c>
      <c r="Y229">
        <f>MAX(0,ROUND(AW228*(1+'Calc base'!K229),2)-M229-'Calc base'!W229)</f>
        <v>0</v>
      </c>
      <c r="Z229">
        <f>MAX(0,ROUND(AX228*(1+'Calc base'!L229),2)-N229-'Calc base'!X229)</f>
        <v>0</v>
      </c>
      <c r="AA229">
        <f>MAX(0,ROUND(AY228*(1+'Calc base'!M229),2)-O229-'Calc base'!Y229)</f>
        <v>0</v>
      </c>
      <c r="AB229">
        <f>MAX(0,ROUND(AZ228*(1+'Calc base'!N229),2)-P229-'Calc base'!Z229)</f>
        <v>0</v>
      </c>
      <c r="AC229">
        <f>MAX(0,ROUND(BA228*(1+'Calc base'!O229),2)-Q229-'Calc base'!AA229)</f>
        <v>0</v>
      </c>
      <c r="AD229">
        <f>MAX(0,ROUND(BB228*(1+'Calc base'!P229),2)-R229-'Calc base'!AB229)</f>
        <v>0</v>
      </c>
      <c r="AE229">
        <f>MAX(0,ROUND(BC228*(1+'Calc base'!Q229),2)-S229-'Calc base'!AC229)</f>
        <v>0</v>
      </c>
      <c r="AF229">
        <f>MAX(0,ROUND(BD228*(1+'Calc base'!R229),2)-T229-'Calc base'!AD229)</f>
        <v>0</v>
      </c>
      <c r="AG229">
        <f>MAX(0,ROUND(BE228*(1+'Calc base'!S229),2)-U229-'Calc base'!AE229)</f>
        <v>0</v>
      </c>
      <c r="AH229">
        <f>IF('Calc base'!C$14=0,0,MIN(V229,MAX(0,$E229-SUMIFS($V229:$AG229,'Calc base'!$C$19:$N$19,"&lt;"&amp;'Calc base'!C$19,'Calc base'!$C$14:$N$14,1))))</f>
        <v>0</v>
      </c>
      <c r="AI229">
        <f>IF('Calc base'!D$14=0,0,MIN(W229,MAX(0,$E229-SUMIFS($V229:$AG229,'Calc base'!$C$19:$N$19,"&lt;"&amp;'Calc base'!D$19,'Calc base'!$C$14:$N$14,1))))</f>
        <v>0</v>
      </c>
      <c r="AJ229">
        <f>IF('Calc base'!E$14=0,0,MIN(X229,MAX(0,$E229-SUMIFS($V229:$AG229,'Calc base'!$C$19:$N$19,"&lt;"&amp;'Calc base'!E$19,'Calc base'!$C$14:$N$14,1))))</f>
        <v>0</v>
      </c>
      <c r="AK229">
        <f>IF('Calc base'!F$14=0,0,MIN(Y229,MAX(0,$E229-SUMIFS($V229:$AG229,'Calc base'!$C$19:$N$19,"&lt;"&amp;'Calc base'!F$19,'Calc base'!$C$14:$N$14,1))))</f>
        <v>0</v>
      </c>
      <c r="AL229">
        <f>IF('Calc base'!G$14=0,0,MIN(Z229,MAX(0,$E229-SUMIFS($V229:$AG229,'Calc base'!$C$19:$N$19,"&lt;"&amp;'Calc base'!G$19,'Calc base'!$C$14:$N$14,1))))</f>
        <v>0</v>
      </c>
      <c r="AM229">
        <f>IF('Calc base'!H$14=0,0,MIN(AA229,MAX(0,$E229-SUMIFS($V229:$AG229,'Calc base'!$C$19:$N$19,"&lt;"&amp;'Calc base'!H$19,'Calc base'!$C$14:$N$14,1))))</f>
        <v>0</v>
      </c>
      <c r="AN229">
        <f>IF('Calc base'!I$14=0,0,MIN(AB229,MAX(0,$E229-SUMIFS($V229:$AG229,'Calc base'!$C$19:$N$19,"&lt;"&amp;'Calc base'!I$19,'Calc base'!$C$14:$N$14,1))))</f>
        <v>0</v>
      </c>
      <c r="AO229">
        <f>IF('Calc base'!J$14=0,0,MIN(AC229,MAX(0,$E229-SUMIFS($V229:$AG229,'Calc base'!$C$19:$N$19,"&lt;"&amp;'Calc base'!J$19,'Calc base'!$C$14:$N$14,1))))</f>
        <v>0</v>
      </c>
      <c r="AP229">
        <f>IF('Calc base'!K$14=0,0,MIN(AD229,MAX(0,$E229-SUMIFS($V229:$AG229,'Calc base'!$C$19:$N$19,"&lt;"&amp;'Calc base'!K$19,'Calc base'!$C$14:$N$14,1))))</f>
        <v>0</v>
      </c>
      <c r="AQ229">
        <f>IF('Calc base'!L$14=0,0,MIN(AE229,MAX(0,$E229-SUMIFS($V229:$AG229,'Calc base'!$C$19:$N$19,"&lt;"&amp;'Calc base'!L$19,'Calc base'!$C$14:$N$14,1))))</f>
        <v>0</v>
      </c>
      <c r="AR229">
        <f>IF('Calc base'!M$14=0,0,MIN(AF229,MAX(0,$E229-SUMIFS($V229:$AG229,'Calc base'!$C$19:$N$19,"&lt;"&amp;'Calc base'!M$19,'Calc base'!$C$14:$N$14,1))))</f>
        <v>0</v>
      </c>
      <c r="AS229">
        <f>IF('Calc base'!N$14=0,0,MIN(AG229,MAX(0,$E229-SUMIFS($V229:$AG229,'Calc base'!$C$19:$N$19,"&lt;"&amp;'Calc base'!N$19,'Calc base'!$C$14:$N$14,1))))</f>
        <v>0</v>
      </c>
      <c r="AT229">
        <f>V229-AH229</f>
        <v>0</v>
      </c>
      <c r="AU229">
        <f>W229-AI229</f>
        <v>0</v>
      </c>
      <c r="AV229">
        <f>X229-AJ229</f>
        <v>0</v>
      </c>
      <c r="AW229">
        <f>Y229-AK229</f>
        <v>0</v>
      </c>
      <c r="AX229">
        <f>Z229-AL229</f>
        <v>0</v>
      </c>
      <c r="AY229">
        <f>AA229-AM229</f>
        <v>0</v>
      </c>
      <c r="AZ229">
        <f>AB229-AN229</f>
        <v>0</v>
      </c>
      <c r="BA229">
        <f>AC229-AO229</f>
        <v>0</v>
      </c>
      <c r="BB229">
        <f>AD229-AP229</f>
        <v>0</v>
      </c>
      <c r="BC229">
        <f>AE229-AQ229</f>
        <v>0</v>
      </c>
      <c r="BD229">
        <f>AF229-AR229</f>
        <v>0</v>
      </c>
      <c r="BE229">
        <f>AG229-AS229</f>
        <v>0</v>
      </c>
    </row>
    <row r="230">
      <c r="A230" t="n">
        <v>200</v>
      </c>
      <c r="B230">
        <f>SUMPRODUCT(ROUND($AT229:$BE229*(1+'Calc base'!$H230:$S230),2))</f>
        <v>0</v>
      </c>
      <c r="C230">
        <f>SUM(J230:U230)</f>
        <v>0</v>
      </c>
      <c r="D230">
        <f>SUM(V230:AG230)</f>
        <v>0</v>
      </c>
      <c r="E230">
        <f>MAX(0,IF(Impostazioni!$B$7="No",'Calc base'!$C230-$C$31,'Calc base'!$C230-C230)+'Calc base'!$G230+'Calc base'!$F230-(B230-C230-D230))</f>
        <v>900</v>
      </c>
      <c r="F230">
        <f>SUM(AH230:AS230)</f>
        <v>0</v>
      </c>
      <c r="G230">
        <f>SUM(AT230:BE230)</f>
        <v>0</v>
      </c>
      <c r="H230">
        <f>B230-G229</f>
        <v>0</v>
      </c>
      <c r="I230">
        <f>B230-G230</f>
        <v>0</v>
      </c>
      <c r="J230">
        <f>IF(AT229&lt;=0,0,IF(ROUND(AT229*(1+'Calc base'!H230),2)-MAX('Calc base'!C$12,ROUND('Calc base'!C$13*AT229,2))&lt;1,ROUND(AT229*(1+'Calc base'!H230),2),MAX('Calc base'!C$12,ROUND('Calc base'!C$13*AT229,2))))</f>
        <v>0</v>
      </c>
      <c r="K230">
        <f>IF(AU229&lt;=0,0,IF(ROUND(AU229*(1+'Calc base'!I230),2)-MAX('Calc base'!D$12,ROUND('Calc base'!D$13*AU229,2))&lt;1,ROUND(AU229*(1+'Calc base'!I230),2),MAX('Calc base'!D$12,ROUND('Calc base'!D$13*AU229,2))))</f>
        <v>0</v>
      </c>
      <c r="L230">
        <f>IF(AV229&lt;=0,0,IF(ROUND(AV229*(1+'Calc base'!J230),2)-MAX('Calc base'!E$12,ROUND('Calc base'!E$13*AV229,2))&lt;1,ROUND(AV229*(1+'Calc base'!J230),2),MAX('Calc base'!E$12,ROUND('Calc base'!E$13*AV229,2))))</f>
        <v>0</v>
      </c>
      <c r="M230">
        <f>IF(AW229&lt;=0,0,IF(ROUND(AW229*(1+'Calc base'!K230),2)-MAX('Calc base'!F$12,ROUND('Calc base'!F$13*AW229,2))&lt;1,ROUND(AW229*(1+'Calc base'!K230),2),MAX('Calc base'!F$12,ROUND('Calc base'!F$13*AW229,2))))</f>
        <v>0</v>
      </c>
      <c r="N230">
        <f>IF(AX229&lt;=0,0,IF(ROUND(AX229*(1+'Calc base'!L230),2)-MAX('Calc base'!G$12,ROUND('Calc base'!G$13*AX229,2))&lt;1,ROUND(AX229*(1+'Calc base'!L230),2),MAX('Calc base'!G$12,ROUND('Calc base'!G$13*AX229,2))))</f>
        <v>0</v>
      </c>
      <c r="O230">
        <f>IF(AY229&lt;=0,0,IF(ROUND(AY229*(1+'Calc base'!M230),2)-MAX('Calc base'!H$12,ROUND('Calc base'!H$13*AY229,2))&lt;1,ROUND(AY229*(1+'Calc base'!M230),2),MAX('Calc base'!H$12,ROUND('Calc base'!H$13*AY229,2))))</f>
        <v>0</v>
      </c>
      <c r="P230">
        <f>IF(AZ229&lt;=0,0,IF(ROUND(AZ229*(1+'Calc base'!N230),2)-MAX('Calc base'!I$12,ROUND('Calc base'!I$13*AZ229,2))&lt;1,ROUND(AZ229*(1+'Calc base'!N230),2),MAX('Calc base'!I$12,ROUND('Calc base'!I$13*AZ229,2))))</f>
        <v>0</v>
      </c>
      <c r="Q230">
        <f>IF(BA229&lt;=0,0,IF(ROUND(BA229*(1+'Calc base'!O230),2)-MAX('Calc base'!J$12,ROUND('Calc base'!J$13*BA229,2))&lt;1,ROUND(BA229*(1+'Calc base'!O230),2),MAX('Calc base'!J$12,ROUND('Calc base'!J$13*BA229,2))))</f>
        <v>0</v>
      </c>
      <c r="R230">
        <f>IF(BB229&lt;=0,0,IF(ROUND(BB229*(1+'Calc base'!P230),2)-MAX('Calc base'!K$12,ROUND('Calc base'!K$13*BB229,2))&lt;1,ROUND(BB229*(1+'Calc base'!P230),2),MAX('Calc base'!K$12,ROUND('Calc base'!K$13*BB229,2))))</f>
        <v>0</v>
      </c>
      <c r="S230">
        <f>IF(BC229&lt;=0,0,IF(ROUND(BC229*(1+'Calc base'!Q230),2)-MAX('Calc base'!L$12,ROUND('Calc base'!L$13*BC229,2))&lt;1,ROUND(BC229*(1+'Calc base'!Q230),2),MAX('Calc base'!L$12,ROUND('Calc base'!L$13*BC229,2))))</f>
        <v>0</v>
      </c>
      <c r="T230">
        <f>IF(BD229&lt;=0,0,IF(ROUND(BD229*(1+'Calc base'!R230),2)-MAX('Calc base'!M$12,ROUND('Calc base'!M$13*BD229,2))&lt;1,ROUND(BD229*(1+'Calc base'!R230),2),MAX('Calc base'!M$12,ROUND('Calc base'!M$13*BD229,2))))</f>
        <v>0</v>
      </c>
      <c r="U230">
        <f>IF(BE229&lt;=0,0,IF(ROUND(BE229*(1+'Calc base'!S230),2)-MAX('Calc base'!N$12,ROUND('Calc base'!N$13*BE229,2))&lt;1,ROUND(BE229*(1+'Calc base'!S230),2),MAX('Calc base'!N$12,ROUND('Calc base'!N$13*BE229,2))))</f>
        <v>0</v>
      </c>
      <c r="V230">
        <f>MAX(0,ROUND(AT229*(1+'Calc base'!H230),2)-J230-'Calc base'!T230)</f>
        <v>0</v>
      </c>
      <c r="W230">
        <f>MAX(0,ROUND(AU229*(1+'Calc base'!I230),2)-K230-'Calc base'!U230)</f>
        <v>0</v>
      </c>
      <c r="X230">
        <f>MAX(0,ROUND(AV229*(1+'Calc base'!J230),2)-L230-'Calc base'!V230)</f>
        <v>0</v>
      </c>
      <c r="Y230">
        <f>MAX(0,ROUND(AW229*(1+'Calc base'!K230),2)-M230-'Calc base'!W230)</f>
        <v>0</v>
      </c>
      <c r="Z230">
        <f>MAX(0,ROUND(AX229*(1+'Calc base'!L230),2)-N230-'Calc base'!X230)</f>
        <v>0</v>
      </c>
      <c r="AA230">
        <f>MAX(0,ROUND(AY229*(1+'Calc base'!M230),2)-O230-'Calc base'!Y230)</f>
        <v>0</v>
      </c>
      <c r="AB230">
        <f>MAX(0,ROUND(AZ229*(1+'Calc base'!N230),2)-P230-'Calc base'!Z230)</f>
        <v>0</v>
      </c>
      <c r="AC230">
        <f>MAX(0,ROUND(BA229*(1+'Calc base'!O230),2)-Q230-'Calc base'!AA230)</f>
        <v>0</v>
      </c>
      <c r="AD230">
        <f>MAX(0,ROUND(BB229*(1+'Calc base'!P230),2)-R230-'Calc base'!AB230)</f>
        <v>0</v>
      </c>
      <c r="AE230">
        <f>MAX(0,ROUND(BC229*(1+'Calc base'!Q230),2)-S230-'Calc base'!AC230)</f>
        <v>0</v>
      </c>
      <c r="AF230">
        <f>MAX(0,ROUND(BD229*(1+'Calc base'!R230),2)-T230-'Calc base'!AD230)</f>
        <v>0</v>
      </c>
      <c r="AG230">
        <f>MAX(0,ROUND(BE229*(1+'Calc base'!S230),2)-U230-'Calc base'!AE230)</f>
        <v>0</v>
      </c>
      <c r="AH230">
        <f>IF('Calc base'!C$14=0,0,MIN(V230,MAX(0,$E230-SUMIFS($V230:$AG230,'Calc base'!$C$19:$N$19,"&lt;"&amp;'Calc base'!C$19,'Calc base'!$C$14:$N$14,1))))</f>
        <v>0</v>
      </c>
      <c r="AI230">
        <f>IF('Calc base'!D$14=0,0,MIN(W230,MAX(0,$E230-SUMIFS($V230:$AG230,'Calc base'!$C$19:$N$19,"&lt;"&amp;'Calc base'!D$19,'Calc base'!$C$14:$N$14,1))))</f>
        <v>0</v>
      </c>
      <c r="AJ230">
        <f>IF('Calc base'!E$14=0,0,MIN(X230,MAX(0,$E230-SUMIFS($V230:$AG230,'Calc base'!$C$19:$N$19,"&lt;"&amp;'Calc base'!E$19,'Calc base'!$C$14:$N$14,1))))</f>
        <v>0</v>
      </c>
      <c r="AK230">
        <f>IF('Calc base'!F$14=0,0,MIN(Y230,MAX(0,$E230-SUMIFS($V230:$AG230,'Calc base'!$C$19:$N$19,"&lt;"&amp;'Calc base'!F$19,'Calc base'!$C$14:$N$14,1))))</f>
        <v>0</v>
      </c>
      <c r="AL230">
        <f>IF('Calc base'!G$14=0,0,MIN(Z230,MAX(0,$E230-SUMIFS($V230:$AG230,'Calc base'!$C$19:$N$19,"&lt;"&amp;'Calc base'!G$19,'Calc base'!$C$14:$N$14,1))))</f>
        <v>0</v>
      </c>
      <c r="AM230">
        <f>IF('Calc base'!H$14=0,0,MIN(AA230,MAX(0,$E230-SUMIFS($V230:$AG230,'Calc base'!$C$19:$N$19,"&lt;"&amp;'Calc base'!H$19,'Calc base'!$C$14:$N$14,1))))</f>
        <v>0</v>
      </c>
      <c r="AN230">
        <f>IF('Calc base'!I$14=0,0,MIN(AB230,MAX(0,$E230-SUMIFS($V230:$AG230,'Calc base'!$C$19:$N$19,"&lt;"&amp;'Calc base'!I$19,'Calc base'!$C$14:$N$14,1))))</f>
        <v>0</v>
      </c>
      <c r="AO230">
        <f>IF('Calc base'!J$14=0,0,MIN(AC230,MAX(0,$E230-SUMIFS($V230:$AG230,'Calc base'!$C$19:$N$19,"&lt;"&amp;'Calc base'!J$19,'Calc base'!$C$14:$N$14,1))))</f>
        <v>0</v>
      </c>
      <c r="AP230">
        <f>IF('Calc base'!K$14=0,0,MIN(AD230,MAX(0,$E230-SUMIFS($V230:$AG230,'Calc base'!$C$19:$N$19,"&lt;"&amp;'Calc base'!K$19,'Calc base'!$C$14:$N$14,1))))</f>
        <v>0</v>
      </c>
      <c r="AQ230">
        <f>IF('Calc base'!L$14=0,0,MIN(AE230,MAX(0,$E230-SUMIFS($V230:$AG230,'Calc base'!$C$19:$N$19,"&lt;"&amp;'Calc base'!L$19,'Calc base'!$C$14:$N$14,1))))</f>
        <v>0</v>
      </c>
      <c r="AR230">
        <f>IF('Calc base'!M$14=0,0,MIN(AF230,MAX(0,$E230-SUMIFS($V230:$AG230,'Calc base'!$C$19:$N$19,"&lt;"&amp;'Calc base'!M$19,'Calc base'!$C$14:$N$14,1))))</f>
        <v>0</v>
      </c>
      <c r="AS230">
        <f>IF('Calc base'!N$14=0,0,MIN(AG230,MAX(0,$E230-SUMIFS($V230:$AG230,'Calc base'!$C$19:$N$19,"&lt;"&amp;'Calc base'!N$19,'Calc base'!$C$14:$N$14,1))))</f>
        <v>0</v>
      </c>
      <c r="AT230">
        <f>V230-AH230</f>
        <v>0</v>
      </c>
      <c r="AU230">
        <f>W230-AI230</f>
        <v>0</v>
      </c>
      <c r="AV230">
        <f>X230-AJ230</f>
        <v>0</v>
      </c>
      <c r="AW230">
        <f>Y230-AK230</f>
        <v>0</v>
      </c>
      <c r="AX230">
        <f>Z230-AL230</f>
        <v>0</v>
      </c>
      <c r="AY230">
        <f>AA230-AM230</f>
        <v>0</v>
      </c>
      <c r="AZ230">
        <f>AB230-AN230</f>
        <v>0</v>
      </c>
      <c r="BA230">
        <f>AC230-AO230</f>
        <v>0</v>
      </c>
      <c r="BB230">
        <f>AD230-AP230</f>
        <v>0</v>
      </c>
      <c r="BC230">
        <f>AE230-AQ230</f>
        <v>0</v>
      </c>
      <c r="BD230">
        <f>AF230-AR230</f>
        <v>0</v>
      </c>
      <c r="BE230">
        <f>AG230-AS230</f>
        <v>0</v>
      </c>
    </row>
    <row r="231">
      <c r="A231" t="n">
        <v>201</v>
      </c>
      <c r="B231">
        <f>SUMPRODUCT(ROUND($AT230:$BE230*(1+'Calc base'!$H231:$S231),2))</f>
        <v>0</v>
      </c>
      <c r="C231">
        <f>SUM(J231:U231)</f>
        <v>0</v>
      </c>
      <c r="D231">
        <f>SUM(V231:AG231)</f>
        <v>0</v>
      </c>
      <c r="E231">
        <f>MAX(0,IF(Impostazioni!$B$7="No",'Calc base'!$C231-$C$31,'Calc base'!$C231-C231)+'Calc base'!$G231+'Calc base'!$F231-(B231-C231-D231))</f>
        <v>900</v>
      </c>
      <c r="F231">
        <f>SUM(AH231:AS231)</f>
        <v>0</v>
      </c>
      <c r="G231">
        <f>SUM(AT231:BE231)</f>
        <v>0</v>
      </c>
      <c r="H231">
        <f>B231-G230</f>
        <v>0</v>
      </c>
      <c r="I231">
        <f>B231-G231</f>
        <v>0</v>
      </c>
      <c r="J231">
        <f>IF(AT230&lt;=0,0,IF(ROUND(AT230*(1+'Calc base'!H231),2)-MAX('Calc base'!C$12,ROUND('Calc base'!C$13*AT230,2))&lt;1,ROUND(AT230*(1+'Calc base'!H231),2),MAX('Calc base'!C$12,ROUND('Calc base'!C$13*AT230,2))))</f>
        <v>0</v>
      </c>
      <c r="K231">
        <f>IF(AU230&lt;=0,0,IF(ROUND(AU230*(1+'Calc base'!I231),2)-MAX('Calc base'!D$12,ROUND('Calc base'!D$13*AU230,2))&lt;1,ROUND(AU230*(1+'Calc base'!I231),2),MAX('Calc base'!D$12,ROUND('Calc base'!D$13*AU230,2))))</f>
        <v>0</v>
      </c>
      <c r="L231">
        <f>IF(AV230&lt;=0,0,IF(ROUND(AV230*(1+'Calc base'!J231),2)-MAX('Calc base'!E$12,ROUND('Calc base'!E$13*AV230,2))&lt;1,ROUND(AV230*(1+'Calc base'!J231),2),MAX('Calc base'!E$12,ROUND('Calc base'!E$13*AV230,2))))</f>
        <v>0</v>
      </c>
      <c r="M231">
        <f>IF(AW230&lt;=0,0,IF(ROUND(AW230*(1+'Calc base'!K231),2)-MAX('Calc base'!F$12,ROUND('Calc base'!F$13*AW230,2))&lt;1,ROUND(AW230*(1+'Calc base'!K231),2),MAX('Calc base'!F$12,ROUND('Calc base'!F$13*AW230,2))))</f>
        <v>0</v>
      </c>
      <c r="N231">
        <f>IF(AX230&lt;=0,0,IF(ROUND(AX230*(1+'Calc base'!L231),2)-MAX('Calc base'!G$12,ROUND('Calc base'!G$13*AX230,2))&lt;1,ROUND(AX230*(1+'Calc base'!L231),2),MAX('Calc base'!G$12,ROUND('Calc base'!G$13*AX230,2))))</f>
        <v>0</v>
      </c>
      <c r="O231">
        <f>IF(AY230&lt;=0,0,IF(ROUND(AY230*(1+'Calc base'!M231),2)-MAX('Calc base'!H$12,ROUND('Calc base'!H$13*AY230,2))&lt;1,ROUND(AY230*(1+'Calc base'!M231),2),MAX('Calc base'!H$12,ROUND('Calc base'!H$13*AY230,2))))</f>
        <v>0</v>
      </c>
      <c r="P231">
        <f>IF(AZ230&lt;=0,0,IF(ROUND(AZ230*(1+'Calc base'!N231),2)-MAX('Calc base'!I$12,ROUND('Calc base'!I$13*AZ230,2))&lt;1,ROUND(AZ230*(1+'Calc base'!N231),2),MAX('Calc base'!I$12,ROUND('Calc base'!I$13*AZ230,2))))</f>
        <v>0</v>
      </c>
      <c r="Q231">
        <f>IF(BA230&lt;=0,0,IF(ROUND(BA230*(1+'Calc base'!O231),2)-MAX('Calc base'!J$12,ROUND('Calc base'!J$13*BA230,2))&lt;1,ROUND(BA230*(1+'Calc base'!O231),2),MAX('Calc base'!J$12,ROUND('Calc base'!J$13*BA230,2))))</f>
        <v>0</v>
      </c>
      <c r="R231">
        <f>IF(BB230&lt;=0,0,IF(ROUND(BB230*(1+'Calc base'!P231),2)-MAX('Calc base'!K$12,ROUND('Calc base'!K$13*BB230,2))&lt;1,ROUND(BB230*(1+'Calc base'!P231),2),MAX('Calc base'!K$12,ROUND('Calc base'!K$13*BB230,2))))</f>
        <v>0</v>
      </c>
      <c r="S231">
        <f>IF(BC230&lt;=0,0,IF(ROUND(BC230*(1+'Calc base'!Q231),2)-MAX('Calc base'!L$12,ROUND('Calc base'!L$13*BC230,2))&lt;1,ROUND(BC230*(1+'Calc base'!Q231),2),MAX('Calc base'!L$12,ROUND('Calc base'!L$13*BC230,2))))</f>
        <v>0</v>
      </c>
      <c r="T231">
        <f>IF(BD230&lt;=0,0,IF(ROUND(BD230*(1+'Calc base'!R231),2)-MAX('Calc base'!M$12,ROUND('Calc base'!M$13*BD230,2))&lt;1,ROUND(BD230*(1+'Calc base'!R231),2),MAX('Calc base'!M$12,ROUND('Calc base'!M$13*BD230,2))))</f>
        <v>0</v>
      </c>
      <c r="U231">
        <f>IF(BE230&lt;=0,0,IF(ROUND(BE230*(1+'Calc base'!S231),2)-MAX('Calc base'!N$12,ROUND('Calc base'!N$13*BE230,2))&lt;1,ROUND(BE230*(1+'Calc base'!S231),2),MAX('Calc base'!N$12,ROUND('Calc base'!N$13*BE230,2))))</f>
        <v>0</v>
      </c>
      <c r="V231">
        <f>MAX(0,ROUND(AT230*(1+'Calc base'!H231),2)-J231-'Calc base'!T231)</f>
        <v>0</v>
      </c>
      <c r="W231">
        <f>MAX(0,ROUND(AU230*(1+'Calc base'!I231),2)-K231-'Calc base'!U231)</f>
        <v>0</v>
      </c>
      <c r="X231">
        <f>MAX(0,ROUND(AV230*(1+'Calc base'!J231),2)-L231-'Calc base'!V231)</f>
        <v>0</v>
      </c>
      <c r="Y231">
        <f>MAX(0,ROUND(AW230*(1+'Calc base'!K231),2)-M231-'Calc base'!W231)</f>
        <v>0</v>
      </c>
      <c r="Z231">
        <f>MAX(0,ROUND(AX230*(1+'Calc base'!L231),2)-N231-'Calc base'!X231)</f>
        <v>0</v>
      </c>
      <c r="AA231">
        <f>MAX(0,ROUND(AY230*(1+'Calc base'!M231),2)-O231-'Calc base'!Y231)</f>
        <v>0</v>
      </c>
      <c r="AB231">
        <f>MAX(0,ROUND(AZ230*(1+'Calc base'!N231),2)-P231-'Calc base'!Z231)</f>
        <v>0</v>
      </c>
      <c r="AC231">
        <f>MAX(0,ROUND(BA230*(1+'Calc base'!O231),2)-Q231-'Calc base'!AA231)</f>
        <v>0</v>
      </c>
      <c r="AD231">
        <f>MAX(0,ROUND(BB230*(1+'Calc base'!P231),2)-R231-'Calc base'!AB231)</f>
        <v>0</v>
      </c>
      <c r="AE231">
        <f>MAX(0,ROUND(BC230*(1+'Calc base'!Q231),2)-S231-'Calc base'!AC231)</f>
        <v>0</v>
      </c>
      <c r="AF231">
        <f>MAX(0,ROUND(BD230*(1+'Calc base'!R231),2)-T231-'Calc base'!AD231)</f>
        <v>0</v>
      </c>
      <c r="AG231">
        <f>MAX(0,ROUND(BE230*(1+'Calc base'!S231),2)-U231-'Calc base'!AE231)</f>
        <v>0</v>
      </c>
      <c r="AH231">
        <f>IF('Calc base'!C$14=0,0,MIN(V231,MAX(0,$E231-SUMIFS($V231:$AG231,'Calc base'!$C$19:$N$19,"&lt;"&amp;'Calc base'!C$19,'Calc base'!$C$14:$N$14,1))))</f>
        <v>0</v>
      </c>
      <c r="AI231">
        <f>IF('Calc base'!D$14=0,0,MIN(W231,MAX(0,$E231-SUMIFS($V231:$AG231,'Calc base'!$C$19:$N$19,"&lt;"&amp;'Calc base'!D$19,'Calc base'!$C$14:$N$14,1))))</f>
        <v>0</v>
      </c>
      <c r="AJ231">
        <f>IF('Calc base'!E$14=0,0,MIN(X231,MAX(0,$E231-SUMIFS($V231:$AG231,'Calc base'!$C$19:$N$19,"&lt;"&amp;'Calc base'!E$19,'Calc base'!$C$14:$N$14,1))))</f>
        <v>0</v>
      </c>
      <c r="AK231">
        <f>IF('Calc base'!F$14=0,0,MIN(Y231,MAX(0,$E231-SUMIFS($V231:$AG231,'Calc base'!$C$19:$N$19,"&lt;"&amp;'Calc base'!F$19,'Calc base'!$C$14:$N$14,1))))</f>
        <v>0</v>
      </c>
      <c r="AL231">
        <f>IF('Calc base'!G$14=0,0,MIN(Z231,MAX(0,$E231-SUMIFS($V231:$AG231,'Calc base'!$C$19:$N$19,"&lt;"&amp;'Calc base'!G$19,'Calc base'!$C$14:$N$14,1))))</f>
        <v>0</v>
      </c>
      <c r="AM231">
        <f>IF('Calc base'!H$14=0,0,MIN(AA231,MAX(0,$E231-SUMIFS($V231:$AG231,'Calc base'!$C$19:$N$19,"&lt;"&amp;'Calc base'!H$19,'Calc base'!$C$14:$N$14,1))))</f>
        <v>0</v>
      </c>
      <c r="AN231">
        <f>IF('Calc base'!I$14=0,0,MIN(AB231,MAX(0,$E231-SUMIFS($V231:$AG231,'Calc base'!$C$19:$N$19,"&lt;"&amp;'Calc base'!I$19,'Calc base'!$C$14:$N$14,1))))</f>
        <v>0</v>
      </c>
      <c r="AO231">
        <f>IF('Calc base'!J$14=0,0,MIN(AC231,MAX(0,$E231-SUMIFS($V231:$AG231,'Calc base'!$C$19:$N$19,"&lt;"&amp;'Calc base'!J$19,'Calc base'!$C$14:$N$14,1))))</f>
        <v>0</v>
      </c>
      <c r="AP231">
        <f>IF('Calc base'!K$14=0,0,MIN(AD231,MAX(0,$E231-SUMIFS($V231:$AG231,'Calc base'!$C$19:$N$19,"&lt;"&amp;'Calc base'!K$19,'Calc base'!$C$14:$N$14,1))))</f>
        <v>0</v>
      </c>
      <c r="AQ231">
        <f>IF('Calc base'!L$14=0,0,MIN(AE231,MAX(0,$E231-SUMIFS($V231:$AG231,'Calc base'!$C$19:$N$19,"&lt;"&amp;'Calc base'!L$19,'Calc base'!$C$14:$N$14,1))))</f>
        <v>0</v>
      </c>
      <c r="AR231">
        <f>IF('Calc base'!M$14=0,0,MIN(AF231,MAX(0,$E231-SUMIFS($V231:$AG231,'Calc base'!$C$19:$N$19,"&lt;"&amp;'Calc base'!M$19,'Calc base'!$C$14:$N$14,1))))</f>
        <v>0</v>
      </c>
      <c r="AS231">
        <f>IF('Calc base'!N$14=0,0,MIN(AG231,MAX(0,$E231-SUMIFS($V231:$AG231,'Calc base'!$C$19:$N$19,"&lt;"&amp;'Calc base'!N$19,'Calc base'!$C$14:$N$14,1))))</f>
        <v>0</v>
      </c>
      <c r="AT231">
        <f>V231-AH231</f>
        <v>0</v>
      </c>
      <c r="AU231">
        <f>W231-AI231</f>
        <v>0</v>
      </c>
      <c r="AV231">
        <f>X231-AJ231</f>
        <v>0</v>
      </c>
      <c r="AW231">
        <f>Y231-AK231</f>
        <v>0</v>
      </c>
      <c r="AX231">
        <f>Z231-AL231</f>
        <v>0</v>
      </c>
      <c r="AY231">
        <f>AA231-AM231</f>
        <v>0</v>
      </c>
      <c r="AZ231">
        <f>AB231-AN231</f>
        <v>0</v>
      </c>
      <c r="BA231">
        <f>AC231-AO231</f>
        <v>0</v>
      </c>
      <c r="BB231">
        <f>AD231-AP231</f>
        <v>0</v>
      </c>
      <c r="BC231">
        <f>AE231-AQ231</f>
        <v>0</v>
      </c>
      <c r="BD231">
        <f>AF231-AR231</f>
        <v>0</v>
      </c>
      <c r="BE231">
        <f>AG231-AS231</f>
        <v>0</v>
      </c>
    </row>
    <row r="232">
      <c r="A232" t="n">
        <v>202</v>
      </c>
      <c r="B232">
        <f>SUMPRODUCT(ROUND($AT231:$BE231*(1+'Calc base'!$H232:$S232),2))</f>
        <v>0</v>
      </c>
      <c r="C232">
        <f>SUM(J232:U232)</f>
        <v>0</v>
      </c>
      <c r="D232">
        <f>SUM(V232:AG232)</f>
        <v>0</v>
      </c>
      <c r="E232">
        <f>MAX(0,IF(Impostazioni!$B$7="No",'Calc base'!$C232-$C$31,'Calc base'!$C232-C232)+'Calc base'!$G232+'Calc base'!$F232-(B232-C232-D232))</f>
        <v>900</v>
      </c>
      <c r="F232">
        <f>SUM(AH232:AS232)</f>
        <v>0</v>
      </c>
      <c r="G232">
        <f>SUM(AT232:BE232)</f>
        <v>0</v>
      </c>
      <c r="H232">
        <f>B232-G231</f>
        <v>0</v>
      </c>
      <c r="I232">
        <f>B232-G232</f>
        <v>0</v>
      </c>
      <c r="J232">
        <f>IF(AT231&lt;=0,0,IF(ROUND(AT231*(1+'Calc base'!H232),2)-MAX('Calc base'!C$12,ROUND('Calc base'!C$13*AT231,2))&lt;1,ROUND(AT231*(1+'Calc base'!H232),2),MAX('Calc base'!C$12,ROUND('Calc base'!C$13*AT231,2))))</f>
        <v>0</v>
      </c>
      <c r="K232">
        <f>IF(AU231&lt;=0,0,IF(ROUND(AU231*(1+'Calc base'!I232),2)-MAX('Calc base'!D$12,ROUND('Calc base'!D$13*AU231,2))&lt;1,ROUND(AU231*(1+'Calc base'!I232),2),MAX('Calc base'!D$12,ROUND('Calc base'!D$13*AU231,2))))</f>
        <v>0</v>
      </c>
      <c r="L232">
        <f>IF(AV231&lt;=0,0,IF(ROUND(AV231*(1+'Calc base'!J232),2)-MAX('Calc base'!E$12,ROUND('Calc base'!E$13*AV231,2))&lt;1,ROUND(AV231*(1+'Calc base'!J232),2),MAX('Calc base'!E$12,ROUND('Calc base'!E$13*AV231,2))))</f>
        <v>0</v>
      </c>
      <c r="M232">
        <f>IF(AW231&lt;=0,0,IF(ROUND(AW231*(1+'Calc base'!K232),2)-MAX('Calc base'!F$12,ROUND('Calc base'!F$13*AW231,2))&lt;1,ROUND(AW231*(1+'Calc base'!K232),2),MAX('Calc base'!F$12,ROUND('Calc base'!F$13*AW231,2))))</f>
        <v>0</v>
      </c>
      <c r="N232">
        <f>IF(AX231&lt;=0,0,IF(ROUND(AX231*(1+'Calc base'!L232),2)-MAX('Calc base'!G$12,ROUND('Calc base'!G$13*AX231,2))&lt;1,ROUND(AX231*(1+'Calc base'!L232),2),MAX('Calc base'!G$12,ROUND('Calc base'!G$13*AX231,2))))</f>
        <v>0</v>
      </c>
      <c r="O232">
        <f>IF(AY231&lt;=0,0,IF(ROUND(AY231*(1+'Calc base'!M232),2)-MAX('Calc base'!H$12,ROUND('Calc base'!H$13*AY231,2))&lt;1,ROUND(AY231*(1+'Calc base'!M232),2),MAX('Calc base'!H$12,ROUND('Calc base'!H$13*AY231,2))))</f>
        <v>0</v>
      </c>
      <c r="P232">
        <f>IF(AZ231&lt;=0,0,IF(ROUND(AZ231*(1+'Calc base'!N232),2)-MAX('Calc base'!I$12,ROUND('Calc base'!I$13*AZ231,2))&lt;1,ROUND(AZ231*(1+'Calc base'!N232),2),MAX('Calc base'!I$12,ROUND('Calc base'!I$13*AZ231,2))))</f>
        <v>0</v>
      </c>
      <c r="Q232">
        <f>IF(BA231&lt;=0,0,IF(ROUND(BA231*(1+'Calc base'!O232),2)-MAX('Calc base'!J$12,ROUND('Calc base'!J$13*BA231,2))&lt;1,ROUND(BA231*(1+'Calc base'!O232),2),MAX('Calc base'!J$12,ROUND('Calc base'!J$13*BA231,2))))</f>
        <v>0</v>
      </c>
      <c r="R232">
        <f>IF(BB231&lt;=0,0,IF(ROUND(BB231*(1+'Calc base'!P232),2)-MAX('Calc base'!K$12,ROUND('Calc base'!K$13*BB231,2))&lt;1,ROUND(BB231*(1+'Calc base'!P232),2),MAX('Calc base'!K$12,ROUND('Calc base'!K$13*BB231,2))))</f>
        <v>0</v>
      </c>
      <c r="S232">
        <f>IF(BC231&lt;=0,0,IF(ROUND(BC231*(1+'Calc base'!Q232),2)-MAX('Calc base'!L$12,ROUND('Calc base'!L$13*BC231,2))&lt;1,ROUND(BC231*(1+'Calc base'!Q232),2),MAX('Calc base'!L$12,ROUND('Calc base'!L$13*BC231,2))))</f>
        <v>0</v>
      </c>
      <c r="T232">
        <f>IF(BD231&lt;=0,0,IF(ROUND(BD231*(1+'Calc base'!R232),2)-MAX('Calc base'!M$12,ROUND('Calc base'!M$13*BD231,2))&lt;1,ROUND(BD231*(1+'Calc base'!R232),2),MAX('Calc base'!M$12,ROUND('Calc base'!M$13*BD231,2))))</f>
        <v>0</v>
      </c>
      <c r="U232">
        <f>IF(BE231&lt;=0,0,IF(ROUND(BE231*(1+'Calc base'!S232),2)-MAX('Calc base'!N$12,ROUND('Calc base'!N$13*BE231,2))&lt;1,ROUND(BE231*(1+'Calc base'!S232),2),MAX('Calc base'!N$12,ROUND('Calc base'!N$13*BE231,2))))</f>
        <v>0</v>
      </c>
      <c r="V232">
        <f>MAX(0,ROUND(AT231*(1+'Calc base'!H232),2)-J232-'Calc base'!T232)</f>
        <v>0</v>
      </c>
      <c r="W232">
        <f>MAX(0,ROUND(AU231*(1+'Calc base'!I232),2)-K232-'Calc base'!U232)</f>
        <v>0</v>
      </c>
      <c r="X232">
        <f>MAX(0,ROUND(AV231*(1+'Calc base'!J232),2)-L232-'Calc base'!V232)</f>
        <v>0</v>
      </c>
      <c r="Y232">
        <f>MAX(0,ROUND(AW231*(1+'Calc base'!K232),2)-M232-'Calc base'!W232)</f>
        <v>0</v>
      </c>
      <c r="Z232">
        <f>MAX(0,ROUND(AX231*(1+'Calc base'!L232),2)-N232-'Calc base'!X232)</f>
        <v>0</v>
      </c>
      <c r="AA232">
        <f>MAX(0,ROUND(AY231*(1+'Calc base'!M232),2)-O232-'Calc base'!Y232)</f>
        <v>0</v>
      </c>
      <c r="AB232">
        <f>MAX(0,ROUND(AZ231*(1+'Calc base'!N232),2)-P232-'Calc base'!Z232)</f>
        <v>0</v>
      </c>
      <c r="AC232">
        <f>MAX(0,ROUND(BA231*(1+'Calc base'!O232),2)-Q232-'Calc base'!AA232)</f>
        <v>0</v>
      </c>
      <c r="AD232">
        <f>MAX(0,ROUND(BB231*(1+'Calc base'!P232),2)-R232-'Calc base'!AB232)</f>
        <v>0</v>
      </c>
      <c r="AE232">
        <f>MAX(0,ROUND(BC231*(1+'Calc base'!Q232),2)-S232-'Calc base'!AC232)</f>
        <v>0</v>
      </c>
      <c r="AF232">
        <f>MAX(0,ROUND(BD231*(1+'Calc base'!R232),2)-T232-'Calc base'!AD232)</f>
        <v>0</v>
      </c>
      <c r="AG232">
        <f>MAX(0,ROUND(BE231*(1+'Calc base'!S232),2)-U232-'Calc base'!AE232)</f>
        <v>0</v>
      </c>
      <c r="AH232">
        <f>IF('Calc base'!C$14=0,0,MIN(V232,MAX(0,$E232-SUMIFS($V232:$AG232,'Calc base'!$C$19:$N$19,"&lt;"&amp;'Calc base'!C$19,'Calc base'!$C$14:$N$14,1))))</f>
        <v>0</v>
      </c>
      <c r="AI232">
        <f>IF('Calc base'!D$14=0,0,MIN(W232,MAX(0,$E232-SUMIFS($V232:$AG232,'Calc base'!$C$19:$N$19,"&lt;"&amp;'Calc base'!D$19,'Calc base'!$C$14:$N$14,1))))</f>
        <v>0</v>
      </c>
      <c r="AJ232">
        <f>IF('Calc base'!E$14=0,0,MIN(X232,MAX(0,$E232-SUMIFS($V232:$AG232,'Calc base'!$C$19:$N$19,"&lt;"&amp;'Calc base'!E$19,'Calc base'!$C$14:$N$14,1))))</f>
        <v>0</v>
      </c>
      <c r="AK232">
        <f>IF('Calc base'!F$14=0,0,MIN(Y232,MAX(0,$E232-SUMIFS($V232:$AG232,'Calc base'!$C$19:$N$19,"&lt;"&amp;'Calc base'!F$19,'Calc base'!$C$14:$N$14,1))))</f>
        <v>0</v>
      </c>
      <c r="AL232">
        <f>IF('Calc base'!G$14=0,0,MIN(Z232,MAX(0,$E232-SUMIFS($V232:$AG232,'Calc base'!$C$19:$N$19,"&lt;"&amp;'Calc base'!G$19,'Calc base'!$C$14:$N$14,1))))</f>
        <v>0</v>
      </c>
      <c r="AM232">
        <f>IF('Calc base'!H$14=0,0,MIN(AA232,MAX(0,$E232-SUMIFS($V232:$AG232,'Calc base'!$C$19:$N$19,"&lt;"&amp;'Calc base'!H$19,'Calc base'!$C$14:$N$14,1))))</f>
        <v>0</v>
      </c>
      <c r="AN232">
        <f>IF('Calc base'!I$14=0,0,MIN(AB232,MAX(0,$E232-SUMIFS($V232:$AG232,'Calc base'!$C$19:$N$19,"&lt;"&amp;'Calc base'!I$19,'Calc base'!$C$14:$N$14,1))))</f>
        <v>0</v>
      </c>
      <c r="AO232">
        <f>IF('Calc base'!J$14=0,0,MIN(AC232,MAX(0,$E232-SUMIFS($V232:$AG232,'Calc base'!$C$19:$N$19,"&lt;"&amp;'Calc base'!J$19,'Calc base'!$C$14:$N$14,1))))</f>
        <v>0</v>
      </c>
      <c r="AP232">
        <f>IF('Calc base'!K$14=0,0,MIN(AD232,MAX(0,$E232-SUMIFS($V232:$AG232,'Calc base'!$C$19:$N$19,"&lt;"&amp;'Calc base'!K$19,'Calc base'!$C$14:$N$14,1))))</f>
        <v>0</v>
      </c>
      <c r="AQ232">
        <f>IF('Calc base'!L$14=0,0,MIN(AE232,MAX(0,$E232-SUMIFS($V232:$AG232,'Calc base'!$C$19:$N$19,"&lt;"&amp;'Calc base'!L$19,'Calc base'!$C$14:$N$14,1))))</f>
        <v>0</v>
      </c>
      <c r="AR232">
        <f>IF('Calc base'!M$14=0,0,MIN(AF232,MAX(0,$E232-SUMIFS($V232:$AG232,'Calc base'!$C$19:$N$19,"&lt;"&amp;'Calc base'!M$19,'Calc base'!$C$14:$N$14,1))))</f>
        <v>0</v>
      </c>
      <c r="AS232">
        <f>IF('Calc base'!N$14=0,0,MIN(AG232,MAX(0,$E232-SUMIFS($V232:$AG232,'Calc base'!$C$19:$N$19,"&lt;"&amp;'Calc base'!N$19,'Calc base'!$C$14:$N$14,1))))</f>
        <v>0</v>
      </c>
      <c r="AT232">
        <f>V232-AH232</f>
        <v>0</v>
      </c>
      <c r="AU232">
        <f>W232-AI232</f>
        <v>0</v>
      </c>
      <c r="AV232">
        <f>X232-AJ232</f>
        <v>0</v>
      </c>
      <c r="AW232">
        <f>Y232-AK232</f>
        <v>0</v>
      </c>
      <c r="AX232">
        <f>Z232-AL232</f>
        <v>0</v>
      </c>
      <c r="AY232">
        <f>AA232-AM232</f>
        <v>0</v>
      </c>
      <c r="AZ232">
        <f>AB232-AN232</f>
        <v>0</v>
      </c>
      <c r="BA232">
        <f>AC232-AO232</f>
        <v>0</v>
      </c>
      <c r="BB232">
        <f>AD232-AP232</f>
        <v>0</v>
      </c>
      <c r="BC232">
        <f>AE232-AQ232</f>
        <v>0</v>
      </c>
      <c r="BD232">
        <f>AF232-AR232</f>
        <v>0</v>
      </c>
      <c r="BE232">
        <f>AG232-AS232</f>
        <v>0</v>
      </c>
    </row>
    <row r="233">
      <c r="A233" t="n">
        <v>203</v>
      </c>
      <c r="B233">
        <f>SUMPRODUCT(ROUND($AT232:$BE232*(1+'Calc base'!$H233:$S233),2))</f>
        <v>0</v>
      </c>
      <c r="C233">
        <f>SUM(J233:U233)</f>
        <v>0</v>
      </c>
      <c r="D233">
        <f>SUM(V233:AG233)</f>
        <v>0</v>
      </c>
      <c r="E233">
        <f>MAX(0,IF(Impostazioni!$B$7="No",'Calc base'!$C233-$C$31,'Calc base'!$C233-C233)+'Calc base'!$G233+'Calc base'!$F233-(B233-C233-D233))</f>
        <v>900</v>
      </c>
      <c r="F233">
        <f>SUM(AH233:AS233)</f>
        <v>0</v>
      </c>
      <c r="G233">
        <f>SUM(AT233:BE233)</f>
        <v>0</v>
      </c>
      <c r="H233">
        <f>B233-G232</f>
        <v>0</v>
      </c>
      <c r="I233">
        <f>B233-G233</f>
        <v>0</v>
      </c>
      <c r="J233">
        <f>IF(AT232&lt;=0,0,IF(ROUND(AT232*(1+'Calc base'!H233),2)-MAX('Calc base'!C$12,ROUND('Calc base'!C$13*AT232,2))&lt;1,ROUND(AT232*(1+'Calc base'!H233),2),MAX('Calc base'!C$12,ROUND('Calc base'!C$13*AT232,2))))</f>
        <v>0</v>
      </c>
      <c r="K233">
        <f>IF(AU232&lt;=0,0,IF(ROUND(AU232*(1+'Calc base'!I233),2)-MAX('Calc base'!D$12,ROUND('Calc base'!D$13*AU232,2))&lt;1,ROUND(AU232*(1+'Calc base'!I233),2),MAX('Calc base'!D$12,ROUND('Calc base'!D$13*AU232,2))))</f>
        <v>0</v>
      </c>
      <c r="L233">
        <f>IF(AV232&lt;=0,0,IF(ROUND(AV232*(1+'Calc base'!J233),2)-MAX('Calc base'!E$12,ROUND('Calc base'!E$13*AV232,2))&lt;1,ROUND(AV232*(1+'Calc base'!J233),2),MAX('Calc base'!E$12,ROUND('Calc base'!E$13*AV232,2))))</f>
        <v>0</v>
      </c>
      <c r="M233">
        <f>IF(AW232&lt;=0,0,IF(ROUND(AW232*(1+'Calc base'!K233),2)-MAX('Calc base'!F$12,ROUND('Calc base'!F$13*AW232,2))&lt;1,ROUND(AW232*(1+'Calc base'!K233),2),MAX('Calc base'!F$12,ROUND('Calc base'!F$13*AW232,2))))</f>
        <v>0</v>
      </c>
      <c r="N233">
        <f>IF(AX232&lt;=0,0,IF(ROUND(AX232*(1+'Calc base'!L233),2)-MAX('Calc base'!G$12,ROUND('Calc base'!G$13*AX232,2))&lt;1,ROUND(AX232*(1+'Calc base'!L233),2),MAX('Calc base'!G$12,ROUND('Calc base'!G$13*AX232,2))))</f>
        <v>0</v>
      </c>
      <c r="O233">
        <f>IF(AY232&lt;=0,0,IF(ROUND(AY232*(1+'Calc base'!M233),2)-MAX('Calc base'!H$12,ROUND('Calc base'!H$13*AY232,2))&lt;1,ROUND(AY232*(1+'Calc base'!M233),2),MAX('Calc base'!H$12,ROUND('Calc base'!H$13*AY232,2))))</f>
        <v>0</v>
      </c>
      <c r="P233">
        <f>IF(AZ232&lt;=0,0,IF(ROUND(AZ232*(1+'Calc base'!N233),2)-MAX('Calc base'!I$12,ROUND('Calc base'!I$13*AZ232,2))&lt;1,ROUND(AZ232*(1+'Calc base'!N233),2),MAX('Calc base'!I$12,ROUND('Calc base'!I$13*AZ232,2))))</f>
        <v>0</v>
      </c>
      <c r="Q233">
        <f>IF(BA232&lt;=0,0,IF(ROUND(BA232*(1+'Calc base'!O233),2)-MAX('Calc base'!J$12,ROUND('Calc base'!J$13*BA232,2))&lt;1,ROUND(BA232*(1+'Calc base'!O233),2),MAX('Calc base'!J$12,ROUND('Calc base'!J$13*BA232,2))))</f>
        <v>0</v>
      </c>
      <c r="R233">
        <f>IF(BB232&lt;=0,0,IF(ROUND(BB232*(1+'Calc base'!P233),2)-MAX('Calc base'!K$12,ROUND('Calc base'!K$13*BB232,2))&lt;1,ROUND(BB232*(1+'Calc base'!P233),2),MAX('Calc base'!K$12,ROUND('Calc base'!K$13*BB232,2))))</f>
        <v>0</v>
      </c>
      <c r="S233">
        <f>IF(BC232&lt;=0,0,IF(ROUND(BC232*(1+'Calc base'!Q233),2)-MAX('Calc base'!L$12,ROUND('Calc base'!L$13*BC232,2))&lt;1,ROUND(BC232*(1+'Calc base'!Q233),2),MAX('Calc base'!L$12,ROUND('Calc base'!L$13*BC232,2))))</f>
        <v>0</v>
      </c>
      <c r="T233">
        <f>IF(BD232&lt;=0,0,IF(ROUND(BD232*(1+'Calc base'!R233),2)-MAX('Calc base'!M$12,ROUND('Calc base'!M$13*BD232,2))&lt;1,ROUND(BD232*(1+'Calc base'!R233),2),MAX('Calc base'!M$12,ROUND('Calc base'!M$13*BD232,2))))</f>
        <v>0</v>
      </c>
      <c r="U233">
        <f>IF(BE232&lt;=0,0,IF(ROUND(BE232*(1+'Calc base'!S233),2)-MAX('Calc base'!N$12,ROUND('Calc base'!N$13*BE232,2))&lt;1,ROUND(BE232*(1+'Calc base'!S233),2),MAX('Calc base'!N$12,ROUND('Calc base'!N$13*BE232,2))))</f>
        <v>0</v>
      </c>
      <c r="V233">
        <f>MAX(0,ROUND(AT232*(1+'Calc base'!H233),2)-J233-'Calc base'!T233)</f>
        <v>0</v>
      </c>
      <c r="W233">
        <f>MAX(0,ROUND(AU232*(1+'Calc base'!I233),2)-K233-'Calc base'!U233)</f>
        <v>0</v>
      </c>
      <c r="X233">
        <f>MAX(0,ROUND(AV232*(1+'Calc base'!J233),2)-L233-'Calc base'!V233)</f>
        <v>0</v>
      </c>
      <c r="Y233">
        <f>MAX(0,ROUND(AW232*(1+'Calc base'!K233),2)-M233-'Calc base'!W233)</f>
        <v>0</v>
      </c>
      <c r="Z233">
        <f>MAX(0,ROUND(AX232*(1+'Calc base'!L233),2)-N233-'Calc base'!X233)</f>
        <v>0</v>
      </c>
      <c r="AA233">
        <f>MAX(0,ROUND(AY232*(1+'Calc base'!M233),2)-O233-'Calc base'!Y233)</f>
        <v>0</v>
      </c>
      <c r="AB233">
        <f>MAX(0,ROUND(AZ232*(1+'Calc base'!N233),2)-P233-'Calc base'!Z233)</f>
        <v>0</v>
      </c>
      <c r="AC233">
        <f>MAX(0,ROUND(BA232*(1+'Calc base'!O233),2)-Q233-'Calc base'!AA233)</f>
        <v>0</v>
      </c>
      <c r="AD233">
        <f>MAX(0,ROUND(BB232*(1+'Calc base'!P233),2)-R233-'Calc base'!AB233)</f>
        <v>0</v>
      </c>
      <c r="AE233">
        <f>MAX(0,ROUND(BC232*(1+'Calc base'!Q233),2)-S233-'Calc base'!AC233)</f>
        <v>0</v>
      </c>
      <c r="AF233">
        <f>MAX(0,ROUND(BD232*(1+'Calc base'!R233),2)-T233-'Calc base'!AD233)</f>
        <v>0</v>
      </c>
      <c r="AG233">
        <f>MAX(0,ROUND(BE232*(1+'Calc base'!S233),2)-U233-'Calc base'!AE233)</f>
        <v>0</v>
      </c>
      <c r="AH233">
        <f>IF('Calc base'!C$14=0,0,MIN(V233,MAX(0,$E233-SUMIFS($V233:$AG233,'Calc base'!$C$19:$N$19,"&lt;"&amp;'Calc base'!C$19,'Calc base'!$C$14:$N$14,1))))</f>
        <v>0</v>
      </c>
      <c r="AI233">
        <f>IF('Calc base'!D$14=0,0,MIN(W233,MAX(0,$E233-SUMIFS($V233:$AG233,'Calc base'!$C$19:$N$19,"&lt;"&amp;'Calc base'!D$19,'Calc base'!$C$14:$N$14,1))))</f>
        <v>0</v>
      </c>
      <c r="AJ233">
        <f>IF('Calc base'!E$14=0,0,MIN(X233,MAX(0,$E233-SUMIFS($V233:$AG233,'Calc base'!$C$19:$N$19,"&lt;"&amp;'Calc base'!E$19,'Calc base'!$C$14:$N$14,1))))</f>
        <v>0</v>
      </c>
      <c r="AK233">
        <f>IF('Calc base'!F$14=0,0,MIN(Y233,MAX(0,$E233-SUMIFS($V233:$AG233,'Calc base'!$C$19:$N$19,"&lt;"&amp;'Calc base'!F$19,'Calc base'!$C$14:$N$14,1))))</f>
        <v>0</v>
      </c>
      <c r="AL233">
        <f>IF('Calc base'!G$14=0,0,MIN(Z233,MAX(0,$E233-SUMIFS($V233:$AG233,'Calc base'!$C$19:$N$19,"&lt;"&amp;'Calc base'!G$19,'Calc base'!$C$14:$N$14,1))))</f>
        <v>0</v>
      </c>
      <c r="AM233">
        <f>IF('Calc base'!H$14=0,0,MIN(AA233,MAX(0,$E233-SUMIFS($V233:$AG233,'Calc base'!$C$19:$N$19,"&lt;"&amp;'Calc base'!H$19,'Calc base'!$C$14:$N$14,1))))</f>
        <v>0</v>
      </c>
      <c r="AN233">
        <f>IF('Calc base'!I$14=0,0,MIN(AB233,MAX(0,$E233-SUMIFS($V233:$AG233,'Calc base'!$C$19:$N$19,"&lt;"&amp;'Calc base'!I$19,'Calc base'!$C$14:$N$14,1))))</f>
        <v>0</v>
      </c>
      <c r="AO233">
        <f>IF('Calc base'!J$14=0,0,MIN(AC233,MAX(0,$E233-SUMIFS($V233:$AG233,'Calc base'!$C$19:$N$19,"&lt;"&amp;'Calc base'!J$19,'Calc base'!$C$14:$N$14,1))))</f>
        <v>0</v>
      </c>
      <c r="AP233">
        <f>IF('Calc base'!K$14=0,0,MIN(AD233,MAX(0,$E233-SUMIFS($V233:$AG233,'Calc base'!$C$19:$N$19,"&lt;"&amp;'Calc base'!K$19,'Calc base'!$C$14:$N$14,1))))</f>
        <v>0</v>
      </c>
      <c r="AQ233">
        <f>IF('Calc base'!L$14=0,0,MIN(AE233,MAX(0,$E233-SUMIFS($V233:$AG233,'Calc base'!$C$19:$N$19,"&lt;"&amp;'Calc base'!L$19,'Calc base'!$C$14:$N$14,1))))</f>
        <v>0</v>
      </c>
      <c r="AR233">
        <f>IF('Calc base'!M$14=0,0,MIN(AF233,MAX(0,$E233-SUMIFS($V233:$AG233,'Calc base'!$C$19:$N$19,"&lt;"&amp;'Calc base'!M$19,'Calc base'!$C$14:$N$14,1))))</f>
        <v>0</v>
      </c>
      <c r="AS233">
        <f>IF('Calc base'!N$14=0,0,MIN(AG233,MAX(0,$E233-SUMIFS($V233:$AG233,'Calc base'!$C$19:$N$19,"&lt;"&amp;'Calc base'!N$19,'Calc base'!$C$14:$N$14,1))))</f>
        <v>0</v>
      </c>
      <c r="AT233">
        <f>V233-AH233</f>
        <v>0</v>
      </c>
      <c r="AU233">
        <f>W233-AI233</f>
        <v>0</v>
      </c>
      <c r="AV233">
        <f>X233-AJ233</f>
        <v>0</v>
      </c>
      <c r="AW233">
        <f>Y233-AK233</f>
        <v>0</v>
      </c>
      <c r="AX233">
        <f>Z233-AL233</f>
        <v>0</v>
      </c>
      <c r="AY233">
        <f>AA233-AM233</f>
        <v>0</v>
      </c>
      <c r="AZ233">
        <f>AB233-AN233</f>
        <v>0</v>
      </c>
      <c r="BA233">
        <f>AC233-AO233</f>
        <v>0</v>
      </c>
      <c r="BB233">
        <f>AD233-AP233</f>
        <v>0</v>
      </c>
      <c r="BC233">
        <f>AE233-AQ233</f>
        <v>0</v>
      </c>
      <c r="BD233">
        <f>AF233-AR233</f>
        <v>0</v>
      </c>
      <c r="BE233">
        <f>AG233-AS233</f>
        <v>0</v>
      </c>
    </row>
    <row r="234">
      <c r="A234" t="n">
        <v>204</v>
      </c>
      <c r="B234">
        <f>SUMPRODUCT(ROUND($AT233:$BE233*(1+'Calc base'!$H234:$S234),2))</f>
        <v>0</v>
      </c>
      <c r="C234">
        <f>SUM(J234:U234)</f>
        <v>0</v>
      </c>
      <c r="D234">
        <f>SUM(V234:AG234)</f>
        <v>0</v>
      </c>
      <c r="E234">
        <f>MAX(0,IF(Impostazioni!$B$7="No",'Calc base'!$C234-$C$31,'Calc base'!$C234-C234)+'Calc base'!$G234+'Calc base'!$F234-(B234-C234-D234))</f>
        <v>900</v>
      </c>
      <c r="F234">
        <f>SUM(AH234:AS234)</f>
        <v>0</v>
      </c>
      <c r="G234">
        <f>SUM(AT234:BE234)</f>
        <v>0</v>
      </c>
      <c r="H234">
        <f>B234-G233</f>
        <v>0</v>
      </c>
      <c r="I234">
        <f>B234-G234</f>
        <v>0</v>
      </c>
      <c r="J234">
        <f>IF(AT233&lt;=0,0,IF(ROUND(AT233*(1+'Calc base'!H234),2)-MAX('Calc base'!C$12,ROUND('Calc base'!C$13*AT233,2))&lt;1,ROUND(AT233*(1+'Calc base'!H234),2),MAX('Calc base'!C$12,ROUND('Calc base'!C$13*AT233,2))))</f>
        <v>0</v>
      </c>
      <c r="K234">
        <f>IF(AU233&lt;=0,0,IF(ROUND(AU233*(1+'Calc base'!I234),2)-MAX('Calc base'!D$12,ROUND('Calc base'!D$13*AU233,2))&lt;1,ROUND(AU233*(1+'Calc base'!I234),2),MAX('Calc base'!D$12,ROUND('Calc base'!D$13*AU233,2))))</f>
        <v>0</v>
      </c>
      <c r="L234">
        <f>IF(AV233&lt;=0,0,IF(ROUND(AV233*(1+'Calc base'!J234),2)-MAX('Calc base'!E$12,ROUND('Calc base'!E$13*AV233,2))&lt;1,ROUND(AV233*(1+'Calc base'!J234),2),MAX('Calc base'!E$12,ROUND('Calc base'!E$13*AV233,2))))</f>
        <v>0</v>
      </c>
      <c r="M234">
        <f>IF(AW233&lt;=0,0,IF(ROUND(AW233*(1+'Calc base'!K234),2)-MAX('Calc base'!F$12,ROUND('Calc base'!F$13*AW233,2))&lt;1,ROUND(AW233*(1+'Calc base'!K234),2),MAX('Calc base'!F$12,ROUND('Calc base'!F$13*AW233,2))))</f>
        <v>0</v>
      </c>
      <c r="N234">
        <f>IF(AX233&lt;=0,0,IF(ROUND(AX233*(1+'Calc base'!L234),2)-MAX('Calc base'!G$12,ROUND('Calc base'!G$13*AX233,2))&lt;1,ROUND(AX233*(1+'Calc base'!L234),2),MAX('Calc base'!G$12,ROUND('Calc base'!G$13*AX233,2))))</f>
        <v>0</v>
      </c>
      <c r="O234">
        <f>IF(AY233&lt;=0,0,IF(ROUND(AY233*(1+'Calc base'!M234),2)-MAX('Calc base'!H$12,ROUND('Calc base'!H$13*AY233,2))&lt;1,ROUND(AY233*(1+'Calc base'!M234),2),MAX('Calc base'!H$12,ROUND('Calc base'!H$13*AY233,2))))</f>
        <v>0</v>
      </c>
      <c r="P234">
        <f>IF(AZ233&lt;=0,0,IF(ROUND(AZ233*(1+'Calc base'!N234),2)-MAX('Calc base'!I$12,ROUND('Calc base'!I$13*AZ233,2))&lt;1,ROUND(AZ233*(1+'Calc base'!N234),2),MAX('Calc base'!I$12,ROUND('Calc base'!I$13*AZ233,2))))</f>
        <v>0</v>
      </c>
      <c r="Q234">
        <f>IF(BA233&lt;=0,0,IF(ROUND(BA233*(1+'Calc base'!O234),2)-MAX('Calc base'!J$12,ROUND('Calc base'!J$13*BA233,2))&lt;1,ROUND(BA233*(1+'Calc base'!O234),2),MAX('Calc base'!J$12,ROUND('Calc base'!J$13*BA233,2))))</f>
        <v>0</v>
      </c>
      <c r="R234">
        <f>IF(BB233&lt;=0,0,IF(ROUND(BB233*(1+'Calc base'!P234),2)-MAX('Calc base'!K$12,ROUND('Calc base'!K$13*BB233,2))&lt;1,ROUND(BB233*(1+'Calc base'!P234),2),MAX('Calc base'!K$12,ROUND('Calc base'!K$13*BB233,2))))</f>
        <v>0</v>
      </c>
      <c r="S234">
        <f>IF(BC233&lt;=0,0,IF(ROUND(BC233*(1+'Calc base'!Q234),2)-MAX('Calc base'!L$12,ROUND('Calc base'!L$13*BC233,2))&lt;1,ROUND(BC233*(1+'Calc base'!Q234),2),MAX('Calc base'!L$12,ROUND('Calc base'!L$13*BC233,2))))</f>
        <v>0</v>
      </c>
      <c r="T234">
        <f>IF(BD233&lt;=0,0,IF(ROUND(BD233*(1+'Calc base'!R234),2)-MAX('Calc base'!M$12,ROUND('Calc base'!M$13*BD233,2))&lt;1,ROUND(BD233*(1+'Calc base'!R234),2),MAX('Calc base'!M$12,ROUND('Calc base'!M$13*BD233,2))))</f>
        <v>0</v>
      </c>
      <c r="U234">
        <f>IF(BE233&lt;=0,0,IF(ROUND(BE233*(1+'Calc base'!S234),2)-MAX('Calc base'!N$12,ROUND('Calc base'!N$13*BE233,2))&lt;1,ROUND(BE233*(1+'Calc base'!S234),2),MAX('Calc base'!N$12,ROUND('Calc base'!N$13*BE233,2))))</f>
        <v>0</v>
      </c>
      <c r="V234">
        <f>MAX(0,ROUND(AT233*(1+'Calc base'!H234),2)-J234-'Calc base'!T234)</f>
        <v>0</v>
      </c>
      <c r="W234">
        <f>MAX(0,ROUND(AU233*(1+'Calc base'!I234),2)-K234-'Calc base'!U234)</f>
        <v>0</v>
      </c>
      <c r="X234">
        <f>MAX(0,ROUND(AV233*(1+'Calc base'!J234),2)-L234-'Calc base'!V234)</f>
        <v>0</v>
      </c>
      <c r="Y234">
        <f>MAX(0,ROUND(AW233*(1+'Calc base'!K234),2)-M234-'Calc base'!W234)</f>
        <v>0</v>
      </c>
      <c r="Z234">
        <f>MAX(0,ROUND(AX233*(1+'Calc base'!L234),2)-N234-'Calc base'!X234)</f>
        <v>0</v>
      </c>
      <c r="AA234">
        <f>MAX(0,ROUND(AY233*(1+'Calc base'!M234),2)-O234-'Calc base'!Y234)</f>
        <v>0</v>
      </c>
      <c r="AB234">
        <f>MAX(0,ROUND(AZ233*(1+'Calc base'!N234),2)-P234-'Calc base'!Z234)</f>
        <v>0</v>
      </c>
      <c r="AC234">
        <f>MAX(0,ROUND(BA233*(1+'Calc base'!O234),2)-Q234-'Calc base'!AA234)</f>
        <v>0</v>
      </c>
      <c r="AD234">
        <f>MAX(0,ROUND(BB233*(1+'Calc base'!P234),2)-R234-'Calc base'!AB234)</f>
        <v>0</v>
      </c>
      <c r="AE234">
        <f>MAX(0,ROUND(BC233*(1+'Calc base'!Q234),2)-S234-'Calc base'!AC234)</f>
        <v>0</v>
      </c>
      <c r="AF234">
        <f>MAX(0,ROUND(BD233*(1+'Calc base'!R234),2)-T234-'Calc base'!AD234)</f>
        <v>0</v>
      </c>
      <c r="AG234">
        <f>MAX(0,ROUND(BE233*(1+'Calc base'!S234),2)-U234-'Calc base'!AE234)</f>
        <v>0</v>
      </c>
      <c r="AH234">
        <f>IF('Calc base'!C$14=0,0,MIN(V234,MAX(0,$E234-SUMIFS($V234:$AG234,'Calc base'!$C$19:$N$19,"&lt;"&amp;'Calc base'!C$19,'Calc base'!$C$14:$N$14,1))))</f>
        <v>0</v>
      </c>
      <c r="AI234">
        <f>IF('Calc base'!D$14=0,0,MIN(W234,MAX(0,$E234-SUMIFS($V234:$AG234,'Calc base'!$C$19:$N$19,"&lt;"&amp;'Calc base'!D$19,'Calc base'!$C$14:$N$14,1))))</f>
        <v>0</v>
      </c>
      <c r="AJ234">
        <f>IF('Calc base'!E$14=0,0,MIN(X234,MAX(0,$E234-SUMIFS($V234:$AG234,'Calc base'!$C$19:$N$19,"&lt;"&amp;'Calc base'!E$19,'Calc base'!$C$14:$N$14,1))))</f>
        <v>0</v>
      </c>
      <c r="AK234">
        <f>IF('Calc base'!F$14=0,0,MIN(Y234,MAX(0,$E234-SUMIFS($V234:$AG234,'Calc base'!$C$19:$N$19,"&lt;"&amp;'Calc base'!F$19,'Calc base'!$C$14:$N$14,1))))</f>
        <v>0</v>
      </c>
      <c r="AL234">
        <f>IF('Calc base'!G$14=0,0,MIN(Z234,MAX(0,$E234-SUMIFS($V234:$AG234,'Calc base'!$C$19:$N$19,"&lt;"&amp;'Calc base'!G$19,'Calc base'!$C$14:$N$14,1))))</f>
        <v>0</v>
      </c>
      <c r="AM234">
        <f>IF('Calc base'!H$14=0,0,MIN(AA234,MAX(0,$E234-SUMIFS($V234:$AG234,'Calc base'!$C$19:$N$19,"&lt;"&amp;'Calc base'!H$19,'Calc base'!$C$14:$N$14,1))))</f>
        <v>0</v>
      </c>
      <c r="AN234">
        <f>IF('Calc base'!I$14=0,0,MIN(AB234,MAX(0,$E234-SUMIFS($V234:$AG234,'Calc base'!$C$19:$N$19,"&lt;"&amp;'Calc base'!I$19,'Calc base'!$C$14:$N$14,1))))</f>
        <v>0</v>
      </c>
      <c r="AO234">
        <f>IF('Calc base'!J$14=0,0,MIN(AC234,MAX(0,$E234-SUMIFS($V234:$AG234,'Calc base'!$C$19:$N$19,"&lt;"&amp;'Calc base'!J$19,'Calc base'!$C$14:$N$14,1))))</f>
        <v>0</v>
      </c>
      <c r="AP234">
        <f>IF('Calc base'!K$14=0,0,MIN(AD234,MAX(0,$E234-SUMIFS($V234:$AG234,'Calc base'!$C$19:$N$19,"&lt;"&amp;'Calc base'!K$19,'Calc base'!$C$14:$N$14,1))))</f>
        <v>0</v>
      </c>
      <c r="AQ234">
        <f>IF('Calc base'!L$14=0,0,MIN(AE234,MAX(0,$E234-SUMIFS($V234:$AG234,'Calc base'!$C$19:$N$19,"&lt;"&amp;'Calc base'!L$19,'Calc base'!$C$14:$N$14,1))))</f>
        <v>0</v>
      </c>
      <c r="AR234">
        <f>IF('Calc base'!M$14=0,0,MIN(AF234,MAX(0,$E234-SUMIFS($V234:$AG234,'Calc base'!$C$19:$N$19,"&lt;"&amp;'Calc base'!M$19,'Calc base'!$C$14:$N$14,1))))</f>
        <v>0</v>
      </c>
      <c r="AS234">
        <f>IF('Calc base'!N$14=0,0,MIN(AG234,MAX(0,$E234-SUMIFS($V234:$AG234,'Calc base'!$C$19:$N$19,"&lt;"&amp;'Calc base'!N$19,'Calc base'!$C$14:$N$14,1))))</f>
        <v>0</v>
      </c>
      <c r="AT234">
        <f>V234-AH234</f>
        <v>0</v>
      </c>
      <c r="AU234">
        <f>W234-AI234</f>
        <v>0</v>
      </c>
      <c r="AV234">
        <f>X234-AJ234</f>
        <v>0</v>
      </c>
      <c r="AW234">
        <f>Y234-AK234</f>
        <v>0</v>
      </c>
      <c r="AX234">
        <f>Z234-AL234</f>
        <v>0</v>
      </c>
      <c r="AY234">
        <f>AA234-AM234</f>
        <v>0</v>
      </c>
      <c r="AZ234">
        <f>AB234-AN234</f>
        <v>0</v>
      </c>
      <c r="BA234">
        <f>AC234-AO234</f>
        <v>0</v>
      </c>
      <c r="BB234">
        <f>AD234-AP234</f>
        <v>0</v>
      </c>
      <c r="BC234">
        <f>AE234-AQ234</f>
        <v>0</v>
      </c>
      <c r="BD234">
        <f>AF234-AR234</f>
        <v>0</v>
      </c>
      <c r="BE234">
        <f>AG234-AS234</f>
        <v>0</v>
      </c>
    </row>
    <row r="235">
      <c r="A235" t="n">
        <v>205</v>
      </c>
      <c r="B235">
        <f>SUMPRODUCT(ROUND($AT234:$BE234*(1+'Calc base'!$H235:$S235),2))</f>
        <v>0</v>
      </c>
      <c r="C235">
        <f>SUM(J235:U235)</f>
        <v>0</v>
      </c>
      <c r="D235">
        <f>SUM(V235:AG235)</f>
        <v>0</v>
      </c>
      <c r="E235">
        <f>MAX(0,IF(Impostazioni!$B$7="No",'Calc base'!$C235-$C$31,'Calc base'!$C235-C235)+'Calc base'!$G235+'Calc base'!$F235-(B235-C235-D235))</f>
        <v>900</v>
      </c>
      <c r="F235">
        <f>SUM(AH235:AS235)</f>
        <v>0</v>
      </c>
      <c r="G235">
        <f>SUM(AT235:BE235)</f>
        <v>0</v>
      </c>
      <c r="H235">
        <f>B235-G234</f>
        <v>0</v>
      </c>
      <c r="I235">
        <f>B235-G235</f>
        <v>0</v>
      </c>
      <c r="J235">
        <f>IF(AT234&lt;=0,0,IF(ROUND(AT234*(1+'Calc base'!H235),2)-MAX('Calc base'!C$12,ROUND('Calc base'!C$13*AT234,2))&lt;1,ROUND(AT234*(1+'Calc base'!H235),2),MAX('Calc base'!C$12,ROUND('Calc base'!C$13*AT234,2))))</f>
        <v>0</v>
      </c>
      <c r="K235">
        <f>IF(AU234&lt;=0,0,IF(ROUND(AU234*(1+'Calc base'!I235),2)-MAX('Calc base'!D$12,ROUND('Calc base'!D$13*AU234,2))&lt;1,ROUND(AU234*(1+'Calc base'!I235),2),MAX('Calc base'!D$12,ROUND('Calc base'!D$13*AU234,2))))</f>
        <v>0</v>
      </c>
      <c r="L235">
        <f>IF(AV234&lt;=0,0,IF(ROUND(AV234*(1+'Calc base'!J235),2)-MAX('Calc base'!E$12,ROUND('Calc base'!E$13*AV234,2))&lt;1,ROUND(AV234*(1+'Calc base'!J235),2),MAX('Calc base'!E$12,ROUND('Calc base'!E$13*AV234,2))))</f>
        <v>0</v>
      </c>
      <c r="M235">
        <f>IF(AW234&lt;=0,0,IF(ROUND(AW234*(1+'Calc base'!K235),2)-MAX('Calc base'!F$12,ROUND('Calc base'!F$13*AW234,2))&lt;1,ROUND(AW234*(1+'Calc base'!K235),2),MAX('Calc base'!F$12,ROUND('Calc base'!F$13*AW234,2))))</f>
        <v>0</v>
      </c>
      <c r="N235">
        <f>IF(AX234&lt;=0,0,IF(ROUND(AX234*(1+'Calc base'!L235),2)-MAX('Calc base'!G$12,ROUND('Calc base'!G$13*AX234,2))&lt;1,ROUND(AX234*(1+'Calc base'!L235),2),MAX('Calc base'!G$12,ROUND('Calc base'!G$13*AX234,2))))</f>
        <v>0</v>
      </c>
      <c r="O235">
        <f>IF(AY234&lt;=0,0,IF(ROUND(AY234*(1+'Calc base'!M235),2)-MAX('Calc base'!H$12,ROUND('Calc base'!H$13*AY234,2))&lt;1,ROUND(AY234*(1+'Calc base'!M235),2),MAX('Calc base'!H$12,ROUND('Calc base'!H$13*AY234,2))))</f>
        <v>0</v>
      </c>
      <c r="P235">
        <f>IF(AZ234&lt;=0,0,IF(ROUND(AZ234*(1+'Calc base'!N235),2)-MAX('Calc base'!I$12,ROUND('Calc base'!I$13*AZ234,2))&lt;1,ROUND(AZ234*(1+'Calc base'!N235),2),MAX('Calc base'!I$12,ROUND('Calc base'!I$13*AZ234,2))))</f>
        <v>0</v>
      </c>
      <c r="Q235">
        <f>IF(BA234&lt;=0,0,IF(ROUND(BA234*(1+'Calc base'!O235),2)-MAX('Calc base'!J$12,ROUND('Calc base'!J$13*BA234,2))&lt;1,ROUND(BA234*(1+'Calc base'!O235),2),MAX('Calc base'!J$12,ROUND('Calc base'!J$13*BA234,2))))</f>
        <v>0</v>
      </c>
      <c r="R235">
        <f>IF(BB234&lt;=0,0,IF(ROUND(BB234*(1+'Calc base'!P235),2)-MAX('Calc base'!K$12,ROUND('Calc base'!K$13*BB234,2))&lt;1,ROUND(BB234*(1+'Calc base'!P235),2),MAX('Calc base'!K$12,ROUND('Calc base'!K$13*BB234,2))))</f>
        <v>0</v>
      </c>
      <c r="S235">
        <f>IF(BC234&lt;=0,0,IF(ROUND(BC234*(1+'Calc base'!Q235),2)-MAX('Calc base'!L$12,ROUND('Calc base'!L$13*BC234,2))&lt;1,ROUND(BC234*(1+'Calc base'!Q235),2),MAX('Calc base'!L$12,ROUND('Calc base'!L$13*BC234,2))))</f>
        <v>0</v>
      </c>
      <c r="T235">
        <f>IF(BD234&lt;=0,0,IF(ROUND(BD234*(1+'Calc base'!R235),2)-MAX('Calc base'!M$12,ROUND('Calc base'!M$13*BD234,2))&lt;1,ROUND(BD234*(1+'Calc base'!R235),2),MAX('Calc base'!M$12,ROUND('Calc base'!M$13*BD234,2))))</f>
        <v>0</v>
      </c>
      <c r="U235">
        <f>IF(BE234&lt;=0,0,IF(ROUND(BE234*(1+'Calc base'!S235),2)-MAX('Calc base'!N$12,ROUND('Calc base'!N$13*BE234,2))&lt;1,ROUND(BE234*(1+'Calc base'!S235),2),MAX('Calc base'!N$12,ROUND('Calc base'!N$13*BE234,2))))</f>
        <v>0</v>
      </c>
      <c r="V235">
        <f>MAX(0,ROUND(AT234*(1+'Calc base'!H235),2)-J235-'Calc base'!T235)</f>
        <v>0</v>
      </c>
      <c r="W235">
        <f>MAX(0,ROUND(AU234*(1+'Calc base'!I235),2)-K235-'Calc base'!U235)</f>
        <v>0</v>
      </c>
      <c r="X235">
        <f>MAX(0,ROUND(AV234*(1+'Calc base'!J235),2)-L235-'Calc base'!V235)</f>
        <v>0</v>
      </c>
      <c r="Y235">
        <f>MAX(0,ROUND(AW234*(1+'Calc base'!K235),2)-M235-'Calc base'!W235)</f>
        <v>0</v>
      </c>
      <c r="Z235">
        <f>MAX(0,ROUND(AX234*(1+'Calc base'!L235),2)-N235-'Calc base'!X235)</f>
        <v>0</v>
      </c>
      <c r="AA235">
        <f>MAX(0,ROUND(AY234*(1+'Calc base'!M235),2)-O235-'Calc base'!Y235)</f>
        <v>0</v>
      </c>
      <c r="AB235">
        <f>MAX(0,ROUND(AZ234*(1+'Calc base'!N235),2)-P235-'Calc base'!Z235)</f>
        <v>0</v>
      </c>
      <c r="AC235">
        <f>MAX(0,ROUND(BA234*(1+'Calc base'!O235),2)-Q235-'Calc base'!AA235)</f>
        <v>0</v>
      </c>
      <c r="AD235">
        <f>MAX(0,ROUND(BB234*(1+'Calc base'!P235),2)-R235-'Calc base'!AB235)</f>
        <v>0</v>
      </c>
      <c r="AE235">
        <f>MAX(0,ROUND(BC234*(1+'Calc base'!Q235),2)-S235-'Calc base'!AC235)</f>
        <v>0</v>
      </c>
      <c r="AF235">
        <f>MAX(0,ROUND(BD234*(1+'Calc base'!R235),2)-T235-'Calc base'!AD235)</f>
        <v>0</v>
      </c>
      <c r="AG235">
        <f>MAX(0,ROUND(BE234*(1+'Calc base'!S235),2)-U235-'Calc base'!AE235)</f>
        <v>0</v>
      </c>
      <c r="AH235">
        <f>IF('Calc base'!C$14=0,0,MIN(V235,MAX(0,$E235-SUMIFS($V235:$AG235,'Calc base'!$C$19:$N$19,"&lt;"&amp;'Calc base'!C$19,'Calc base'!$C$14:$N$14,1))))</f>
        <v>0</v>
      </c>
      <c r="AI235">
        <f>IF('Calc base'!D$14=0,0,MIN(W235,MAX(0,$E235-SUMIFS($V235:$AG235,'Calc base'!$C$19:$N$19,"&lt;"&amp;'Calc base'!D$19,'Calc base'!$C$14:$N$14,1))))</f>
        <v>0</v>
      </c>
      <c r="AJ235">
        <f>IF('Calc base'!E$14=0,0,MIN(X235,MAX(0,$E235-SUMIFS($V235:$AG235,'Calc base'!$C$19:$N$19,"&lt;"&amp;'Calc base'!E$19,'Calc base'!$C$14:$N$14,1))))</f>
        <v>0</v>
      </c>
      <c r="AK235">
        <f>IF('Calc base'!F$14=0,0,MIN(Y235,MAX(0,$E235-SUMIFS($V235:$AG235,'Calc base'!$C$19:$N$19,"&lt;"&amp;'Calc base'!F$19,'Calc base'!$C$14:$N$14,1))))</f>
        <v>0</v>
      </c>
      <c r="AL235">
        <f>IF('Calc base'!G$14=0,0,MIN(Z235,MAX(0,$E235-SUMIFS($V235:$AG235,'Calc base'!$C$19:$N$19,"&lt;"&amp;'Calc base'!G$19,'Calc base'!$C$14:$N$14,1))))</f>
        <v>0</v>
      </c>
      <c r="AM235">
        <f>IF('Calc base'!H$14=0,0,MIN(AA235,MAX(0,$E235-SUMIFS($V235:$AG235,'Calc base'!$C$19:$N$19,"&lt;"&amp;'Calc base'!H$19,'Calc base'!$C$14:$N$14,1))))</f>
        <v>0</v>
      </c>
      <c r="AN235">
        <f>IF('Calc base'!I$14=0,0,MIN(AB235,MAX(0,$E235-SUMIFS($V235:$AG235,'Calc base'!$C$19:$N$19,"&lt;"&amp;'Calc base'!I$19,'Calc base'!$C$14:$N$14,1))))</f>
        <v>0</v>
      </c>
      <c r="AO235">
        <f>IF('Calc base'!J$14=0,0,MIN(AC235,MAX(0,$E235-SUMIFS($V235:$AG235,'Calc base'!$C$19:$N$19,"&lt;"&amp;'Calc base'!J$19,'Calc base'!$C$14:$N$14,1))))</f>
        <v>0</v>
      </c>
      <c r="AP235">
        <f>IF('Calc base'!K$14=0,0,MIN(AD235,MAX(0,$E235-SUMIFS($V235:$AG235,'Calc base'!$C$19:$N$19,"&lt;"&amp;'Calc base'!K$19,'Calc base'!$C$14:$N$14,1))))</f>
        <v>0</v>
      </c>
      <c r="AQ235">
        <f>IF('Calc base'!L$14=0,0,MIN(AE235,MAX(0,$E235-SUMIFS($V235:$AG235,'Calc base'!$C$19:$N$19,"&lt;"&amp;'Calc base'!L$19,'Calc base'!$C$14:$N$14,1))))</f>
        <v>0</v>
      </c>
      <c r="AR235">
        <f>IF('Calc base'!M$14=0,0,MIN(AF235,MAX(0,$E235-SUMIFS($V235:$AG235,'Calc base'!$C$19:$N$19,"&lt;"&amp;'Calc base'!M$19,'Calc base'!$C$14:$N$14,1))))</f>
        <v>0</v>
      </c>
      <c r="AS235">
        <f>IF('Calc base'!N$14=0,0,MIN(AG235,MAX(0,$E235-SUMIFS($V235:$AG235,'Calc base'!$C$19:$N$19,"&lt;"&amp;'Calc base'!N$19,'Calc base'!$C$14:$N$14,1))))</f>
        <v>0</v>
      </c>
      <c r="AT235">
        <f>V235-AH235</f>
        <v>0</v>
      </c>
      <c r="AU235">
        <f>W235-AI235</f>
        <v>0</v>
      </c>
      <c r="AV235">
        <f>X235-AJ235</f>
        <v>0</v>
      </c>
      <c r="AW235">
        <f>Y235-AK235</f>
        <v>0</v>
      </c>
      <c r="AX235">
        <f>Z235-AL235</f>
        <v>0</v>
      </c>
      <c r="AY235">
        <f>AA235-AM235</f>
        <v>0</v>
      </c>
      <c r="AZ235">
        <f>AB235-AN235</f>
        <v>0</v>
      </c>
      <c r="BA235">
        <f>AC235-AO235</f>
        <v>0</v>
      </c>
      <c r="BB235">
        <f>AD235-AP235</f>
        <v>0</v>
      </c>
      <c r="BC235">
        <f>AE235-AQ235</f>
        <v>0</v>
      </c>
      <c r="BD235">
        <f>AF235-AR235</f>
        <v>0</v>
      </c>
      <c r="BE235">
        <f>AG235-AS235</f>
        <v>0</v>
      </c>
    </row>
    <row r="236">
      <c r="A236" t="n">
        <v>206</v>
      </c>
      <c r="B236">
        <f>SUMPRODUCT(ROUND($AT235:$BE235*(1+'Calc base'!$H236:$S236),2))</f>
        <v>0</v>
      </c>
      <c r="C236">
        <f>SUM(J236:U236)</f>
        <v>0</v>
      </c>
      <c r="D236">
        <f>SUM(V236:AG236)</f>
        <v>0</v>
      </c>
      <c r="E236">
        <f>MAX(0,IF(Impostazioni!$B$7="No",'Calc base'!$C236-$C$31,'Calc base'!$C236-C236)+'Calc base'!$G236+'Calc base'!$F236-(B236-C236-D236))</f>
        <v>900</v>
      </c>
      <c r="F236">
        <f>SUM(AH236:AS236)</f>
        <v>0</v>
      </c>
      <c r="G236">
        <f>SUM(AT236:BE236)</f>
        <v>0</v>
      </c>
      <c r="H236">
        <f>B236-G235</f>
        <v>0</v>
      </c>
      <c r="I236">
        <f>B236-G236</f>
        <v>0</v>
      </c>
      <c r="J236">
        <f>IF(AT235&lt;=0,0,IF(ROUND(AT235*(1+'Calc base'!H236),2)-MAX('Calc base'!C$12,ROUND('Calc base'!C$13*AT235,2))&lt;1,ROUND(AT235*(1+'Calc base'!H236),2),MAX('Calc base'!C$12,ROUND('Calc base'!C$13*AT235,2))))</f>
        <v>0</v>
      </c>
      <c r="K236">
        <f>IF(AU235&lt;=0,0,IF(ROUND(AU235*(1+'Calc base'!I236),2)-MAX('Calc base'!D$12,ROUND('Calc base'!D$13*AU235,2))&lt;1,ROUND(AU235*(1+'Calc base'!I236),2),MAX('Calc base'!D$12,ROUND('Calc base'!D$13*AU235,2))))</f>
        <v>0</v>
      </c>
      <c r="L236">
        <f>IF(AV235&lt;=0,0,IF(ROUND(AV235*(1+'Calc base'!J236),2)-MAX('Calc base'!E$12,ROUND('Calc base'!E$13*AV235,2))&lt;1,ROUND(AV235*(1+'Calc base'!J236),2),MAX('Calc base'!E$12,ROUND('Calc base'!E$13*AV235,2))))</f>
        <v>0</v>
      </c>
      <c r="M236">
        <f>IF(AW235&lt;=0,0,IF(ROUND(AW235*(1+'Calc base'!K236),2)-MAX('Calc base'!F$12,ROUND('Calc base'!F$13*AW235,2))&lt;1,ROUND(AW235*(1+'Calc base'!K236),2),MAX('Calc base'!F$12,ROUND('Calc base'!F$13*AW235,2))))</f>
        <v>0</v>
      </c>
      <c r="N236">
        <f>IF(AX235&lt;=0,0,IF(ROUND(AX235*(1+'Calc base'!L236),2)-MAX('Calc base'!G$12,ROUND('Calc base'!G$13*AX235,2))&lt;1,ROUND(AX235*(1+'Calc base'!L236),2),MAX('Calc base'!G$12,ROUND('Calc base'!G$13*AX235,2))))</f>
        <v>0</v>
      </c>
      <c r="O236">
        <f>IF(AY235&lt;=0,0,IF(ROUND(AY235*(1+'Calc base'!M236),2)-MAX('Calc base'!H$12,ROUND('Calc base'!H$13*AY235,2))&lt;1,ROUND(AY235*(1+'Calc base'!M236),2),MAX('Calc base'!H$12,ROUND('Calc base'!H$13*AY235,2))))</f>
        <v>0</v>
      </c>
      <c r="P236">
        <f>IF(AZ235&lt;=0,0,IF(ROUND(AZ235*(1+'Calc base'!N236),2)-MAX('Calc base'!I$12,ROUND('Calc base'!I$13*AZ235,2))&lt;1,ROUND(AZ235*(1+'Calc base'!N236),2),MAX('Calc base'!I$12,ROUND('Calc base'!I$13*AZ235,2))))</f>
        <v>0</v>
      </c>
      <c r="Q236">
        <f>IF(BA235&lt;=0,0,IF(ROUND(BA235*(1+'Calc base'!O236),2)-MAX('Calc base'!J$12,ROUND('Calc base'!J$13*BA235,2))&lt;1,ROUND(BA235*(1+'Calc base'!O236),2),MAX('Calc base'!J$12,ROUND('Calc base'!J$13*BA235,2))))</f>
        <v>0</v>
      </c>
      <c r="R236">
        <f>IF(BB235&lt;=0,0,IF(ROUND(BB235*(1+'Calc base'!P236),2)-MAX('Calc base'!K$12,ROUND('Calc base'!K$13*BB235,2))&lt;1,ROUND(BB235*(1+'Calc base'!P236),2),MAX('Calc base'!K$12,ROUND('Calc base'!K$13*BB235,2))))</f>
        <v>0</v>
      </c>
      <c r="S236">
        <f>IF(BC235&lt;=0,0,IF(ROUND(BC235*(1+'Calc base'!Q236),2)-MAX('Calc base'!L$12,ROUND('Calc base'!L$13*BC235,2))&lt;1,ROUND(BC235*(1+'Calc base'!Q236),2),MAX('Calc base'!L$12,ROUND('Calc base'!L$13*BC235,2))))</f>
        <v>0</v>
      </c>
      <c r="T236">
        <f>IF(BD235&lt;=0,0,IF(ROUND(BD235*(1+'Calc base'!R236),2)-MAX('Calc base'!M$12,ROUND('Calc base'!M$13*BD235,2))&lt;1,ROUND(BD235*(1+'Calc base'!R236),2),MAX('Calc base'!M$12,ROUND('Calc base'!M$13*BD235,2))))</f>
        <v>0</v>
      </c>
      <c r="U236">
        <f>IF(BE235&lt;=0,0,IF(ROUND(BE235*(1+'Calc base'!S236),2)-MAX('Calc base'!N$12,ROUND('Calc base'!N$13*BE235,2))&lt;1,ROUND(BE235*(1+'Calc base'!S236),2),MAX('Calc base'!N$12,ROUND('Calc base'!N$13*BE235,2))))</f>
        <v>0</v>
      </c>
      <c r="V236">
        <f>MAX(0,ROUND(AT235*(1+'Calc base'!H236),2)-J236-'Calc base'!T236)</f>
        <v>0</v>
      </c>
      <c r="W236">
        <f>MAX(0,ROUND(AU235*(1+'Calc base'!I236),2)-K236-'Calc base'!U236)</f>
        <v>0</v>
      </c>
      <c r="X236">
        <f>MAX(0,ROUND(AV235*(1+'Calc base'!J236),2)-L236-'Calc base'!V236)</f>
        <v>0</v>
      </c>
      <c r="Y236">
        <f>MAX(0,ROUND(AW235*(1+'Calc base'!K236),2)-M236-'Calc base'!W236)</f>
        <v>0</v>
      </c>
      <c r="Z236">
        <f>MAX(0,ROUND(AX235*(1+'Calc base'!L236),2)-N236-'Calc base'!X236)</f>
        <v>0</v>
      </c>
      <c r="AA236">
        <f>MAX(0,ROUND(AY235*(1+'Calc base'!M236),2)-O236-'Calc base'!Y236)</f>
        <v>0</v>
      </c>
      <c r="AB236">
        <f>MAX(0,ROUND(AZ235*(1+'Calc base'!N236),2)-P236-'Calc base'!Z236)</f>
        <v>0</v>
      </c>
      <c r="AC236">
        <f>MAX(0,ROUND(BA235*(1+'Calc base'!O236),2)-Q236-'Calc base'!AA236)</f>
        <v>0</v>
      </c>
      <c r="AD236">
        <f>MAX(0,ROUND(BB235*(1+'Calc base'!P236),2)-R236-'Calc base'!AB236)</f>
        <v>0</v>
      </c>
      <c r="AE236">
        <f>MAX(0,ROUND(BC235*(1+'Calc base'!Q236),2)-S236-'Calc base'!AC236)</f>
        <v>0</v>
      </c>
      <c r="AF236">
        <f>MAX(0,ROUND(BD235*(1+'Calc base'!R236),2)-T236-'Calc base'!AD236)</f>
        <v>0</v>
      </c>
      <c r="AG236">
        <f>MAX(0,ROUND(BE235*(1+'Calc base'!S236),2)-U236-'Calc base'!AE236)</f>
        <v>0</v>
      </c>
      <c r="AH236">
        <f>IF('Calc base'!C$14=0,0,MIN(V236,MAX(0,$E236-SUMIFS($V236:$AG236,'Calc base'!$C$19:$N$19,"&lt;"&amp;'Calc base'!C$19,'Calc base'!$C$14:$N$14,1))))</f>
        <v>0</v>
      </c>
      <c r="AI236">
        <f>IF('Calc base'!D$14=0,0,MIN(W236,MAX(0,$E236-SUMIFS($V236:$AG236,'Calc base'!$C$19:$N$19,"&lt;"&amp;'Calc base'!D$19,'Calc base'!$C$14:$N$14,1))))</f>
        <v>0</v>
      </c>
      <c r="AJ236">
        <f>IF('Calc base'!E$14=0,0,MIN(X236,MAX(0,$E236-SUMIFS($V236:$AG236,'Calc base'!$C$19:$N$19,"&lt;"&amp;'Calc base'!E$19,'Calc base'!$C$14:$N$14,1))))</f>
        <v>0</v>
      </c>
      <c r="AK236">
        <f>IF('Calc base'!F$14=0,0,MIN(Y236,MAX(0,$E236-SUMIFS($V236:$AG236,'Calc base'!$C$19:$N$19,"&lt;"&amp;'Calc base'!F$19,'Calc base'!$C$14:$N$14,1))))</f>
        <v>0</v>
      </c>
      <c r="AL236">
        <f>IF('Calc base'!G$14=0,0,MIN(Z236,MAX(0,$E236-SUMIFS($V236:$AG236,'Calc base'!$C$19:$N$19,"&lt;"&amp;'Calc base'!G$19,'Calc base'!$C$14:$N$14,1))))</f>
        <v>0</v>
      </c>
      <c r="AM236">
        <f>IF('Calc base'!H$14=0,0,MIN(AA236,MAX(0,$E236-SUMIFS($V236:$AG236,'Calc base'!$C$19:$N$19,"&lt;"&amp;'Calc base'!H$19,'Calc base'!$C$14:$N$14,1))))</f>
        <v>0</v>
      </c>
      <c r="AN236">
        <f>IF('Calc base'!I$14=0,0,MIN(AB236,MAX(0,$E236-SUMIFS($V236:$AG236,'Calc base'!$C$19:$N$19,"&lt;"&amp;'Calc base'!I$19,'Calc base'!$C$14:$N$14,1))))</f>
        <v>0</v>
      </c>
      <c r="AO236">
        <f>IF('Calc base'!J$14=0,0,MIN(AC236,MAX(0,$E236-SUMIFS($V236:$AG236,'Calc base'!$C$19:$N$19,"&lt;"&amp;'Calc base'!J$19,'Calc base'!$C$14:$N$14,1))))</f>
        <v>0</v>
      </c>
      <c r="AP236">
        <f>IF('Calc base'!K$14=0,0,MIN(AD236,MAX(0,$E236-SUMIFS($V236:$AG236,'Calc base'!$C$19:$N$19,"&lt;"&amp;'Calc base'!K$19,'Calc base'!$C$14:$N$14,1))))</f>
        <v>0</v>
      </c>
      <c r="AQ236">
        <f>IF('Calc base'!L$14=0,0,MIN(AE236,MAX(0,$E236-SUMIFS($V236:$AG236,'Calc base'!$C$19:$N$19,"&lt;"&amp;'Calc base'!L$19,'Calc base'!$C$14:$N$14,1))))</f>
        <v>0</v>
      </c>
      <c r="AR236">
        <f>IF('Calc base'!M$14=0,0,MIN(AF236,MAX(0,$E236-SUMIFS($V236:$AG236,'Calc base'!$C$19:$N$19,"&lt;"&amp;'Calc base'!M$19,'Calc base'!$C$14:$N$14,1))))</f>
        <v>0</v>
      </c>
      <c r="AS236">
        <f>IF('Calc base'!N$14=0,0,MIN(AG236,MAX(0,$E236-SUMIFS($V236:$AG236,'Calc base'!$C$19:$N$19,"&lt;"&amp;'Calc base'!N$19,'Calc base'!$C$14:$N$14,1))))</f>
        <v>0</v>
      </c>
      <c r="AT236">
        <f>V236-AH236</f>
        <v>0</v>
      </c>
      <c r="AU236">
        <f>W236-AI236</f>
        <v>0</v>
      </c>
      <c r="AV236">
        <f>X236-AJ236</f>
        <v>0</v>
      </c>
      <c r="AW236">
        <f>Y236-AK236</f>
        <v>0</v>
      </c>
      <c r="AX236">
        <f>Z236-AL236</f>
        <v>0</v>
      </c>
      <c r="AY236">
        <f>AA236-AM236</f>
        <v>0</v>
      </c>
      <c r="AZ236">
        <f>AB236-AN236</f>
        <v>0</v>
      </c>
      <c r="BA236">
        <f>AC236-AO236</f>
        <v>0</v>
      </c>
      <c r="BB236">
        <f>AD236-AP236</f>
        <v>0</v>
      </c>
      <c r="BC236">
        <f>AE236-AQ236</f>
        <v>0</v>
      </c>
      <c r="BD236">
        <f>AF236-AR236</f>
        <v>0</v>
      </c>
      <c r="BE236">
        <f>AG236-AS236</f>
        <v>0</v>
      </c>
    </row>
    <row r="237">
      <c r="A237" t="n">
        <v>207</v>
      </c>
      <c r="B237">
        <f>SUMPRODUCT(ROUND($AT236:$BE236*(1+'Calc base'!$H237:$S237),2))</f>
        <v>0</v>
      </c>
      <c r="C237">
        <f>SUM(J237:U237)</f>
        <v>0</v>
      </c>
      <c r="D237">
        <f>SUM(V237:AG237)</f>
        <v>0</v>
      </c>
      <c r="E237">
        <f>MAX(0,IF(Impostazioni!$B$7="No",'Calc base'!$C237-$C$31,'Calc base'!$C237-C237)+'Calc base'!$G237+'Calc base'!$F237-(B237-C237-D237))</f>
        <v>900</v>
      </c>
      <c r="F237">
        <f>SUM(AH237:AS237)</f>
        <v>0</v>
      </c>
      <c r="G237">
        <f>SUM(AT237:BE237)</f>
        <v>0</v>
      </c>
      <c r="H237">
        <f>B237-G236</f>
        <v>0</v>
      </c>
      <c r="I237">
        <f>B237-G237</f>
        <v>0</v>
      </c>
      <c r="J237">
        <f>IF(AT236&lt;=0,0,IF(ROUND(AT236*(1+'Calc base'!H237),2)-MAX('Calc base'!C$12,ROUND('Calc base'!C$13*AT236,2))&lt;1,ROUND(AT236*(1+'Calc base'!H237),2),MAX('Calc base'!C$12,ROUND('Calc base'!C$13*AT236,2))))</f>
        <v>0</v>
      </c>
      <c r="K237">
        <f>IF(AU236&lt;=0,0,IF(ROUND(AU236*(1+'Calc base'!I237),2)-MAX('Calc base'!D$12,ROUND('Calc base'!D$13*AU236,2))&lt;1,ROUND(AU236*(1+'Calc base'!I237),2),MAX('Calc base'!D$12,ROUND('Calc base'!D$13*AU236,2))))</f>
        <v>0</v>
      </c>
      <c r="L237">
        <f>IF(AV236&lt;=0,0,IF(ROUND(AV236*(1+'Calc base'!J237),2)-MAX('Calc base'!E$12,ROUND('Calc base'!E$13*AV236,2))&lt;1,ROUND(AV236*(1+'Calc base'!J237),2),MAX('Calc base'!E$12,ROUND('Calc base'!E$13*AV236,2))))</f>
        <v>0</v>
      </c>
      <c r="M237">
        <f>IF(AW236&lt;=0,0,IF(ROUND(AW236*(1+'Calc base'!K237),2)-MAX('Calc base'!F$12,ROUND('Calc base'!F$13*AW236,2))&lt;1,ROUND(AW236*(1+'Calc base'!K237),2),MAX('Calc base'!F$12,ROUND('Calc base'!F$13*AW236,2))))</f>
        <v>0</v>
      </c>
      <c r="N237">
        <f>IF(AX236&lt;=0,0,IF(ROUND(AX236*(1+'Calc base'!L237),2)-MAX('Calc base'!G$12,ROUND('Calc base'!G$13*AX236,2))&lt;1,ROUND(AX236*(1+'Calc base'!L237),2),MAX('Calc base'!G$12,ROUND('Calc base'!G$13*AX236,2))))</f>
        <v>0</v>
      </c>
      <c r="O237">
        <f>IF(AY236&lt;=0,0,IF(ROUND(AY236*(1+'Calc base'!M237),2)-MAX('Calc base'!H$12,ROUND('Calc base'!H$13*AY236,2))&lt;1,ROUND(AY236*(1+'Calc base'!M237),2),MAX('Calc base'!H$12,ROUND('Calc base'!H$13*AY236,2))))</f>
        <v>0</v>
      </c>
      <c r="P237">
        <f>IF(AZ236&lt;=0,0,IF(ROUND(AZ236*(1+'Calc base'!N237),2)-MAX('Calc base'!I$12,ROUND('Calc base'!I$13*AZ236,2))&lt;1,ROUND(AZ236*(1+'Calc base'!N237),2),MAX('Calc base'!I$12,ROUND('Calc base'!I$13*AZ236,2))))</f>
        <v>0</v>
      </c>
      <c r="Q237">
        <f>IF(BA236&lt;=0,0,IF(ROUND(BA236*(1+'Calc base'!O237),2)-MAX('Calc base'!J$12,ROUND('Calc base'!J$13*BA236,2))&lt;1,ROUND(BA236*(1+'Calc base'!O237),2),MAX('Calc base'!J$12,ROUND('Calc base'!J$13*BA236,2))))</f>
        <v>0</v>
      </c>
      <c r="R237">
        <f>IF(BB236&lt;=0,0,IF(ROUND(BB236*(1+'Calc base'!P237),2)-MAX('Calc base'!K$12,ROUND('Calc base'!K$13*BB236,2))&lt;1,ROUND(BB236*(1+'Calc base'!P237),2),MAX('Calc base'!K$12,ROUND('Calc base'!K$13*BB236,2))))</f>
        <v>0</v>
      </c>
      <c r="S237">
        <f>IF(BC236&lt;=0,0,IF(ROUND(BC236*(1+'Calc base'!Q237),2)-MAX('Calc base'!L$12,ROUND('Calc base'!L$13*BC236,2))&lt;1,ROUND(BC236*(1+'Calc base'!Q237),2),MAX('Calc base'!L$12,ROUND('Calc base'!L$13*BC236,2))))</f>
        <v>0</v>
      </c>
      <c r="T237">
        <f>IF(BD236&lt;=0,0,IF(ROUND(BD236*(1+'Calc base'!R237),2)-MAX('Calc base'!M$12,ROUND('Calc base'!M$13*BD236,2))&lt;1,ROUND(BD236*(1+'Calc base'!R237),2),MAX('Calc base'!M$12,ROUND('Calc base'!M$13*BD236,2))))</f>
        <v>0</v>
      </c>
      <c r="U237">
        <f>IF(BE236&lt;=0,0,IF(ROUND(BE236*(1+'Calc base'!S237),2)-MAX('Calc base'!N$12,ROUND('Calc base'!N$13*BE236,2))&lt;1,ROUND(BE236*(1+'Calc base'!S237),2),MAX('Calc base'!N$12,ROUND('Calc base'!N$13*BE236,2))))</f>
        <v>0</v>
      </c>
      <c r="V237">
        <f>MAX(0,ROUND(AT236*(1+'Calc base'!H237),2)-J237-'Calc base'!T237)</f>
        <v>0</v>
      </c>
      <c r="W237">
        <f>MAX(0,ROUND(AU236*(1+'Calc base'!I237),2)-K237-'Calc base'!U237)</f>
        <v>0</v>
      </c>
      <c r="X237">
        <f>MAX(0,ROUND(AV236*(1+'Calc base'!J237),2)-L237-'Calc base'!V237)</f>
        <v>0</v>
      </c>
      <c r="Y237">
        <f>MAX(0,ROUND(AW236*(1+'Calc base'!K237),2)-M237-'Calc base'!W237)</f>
        <v>0</v>
      </c>
      <c r="Z237">
        <f>MAX(0,ROUND(AX236*(1+'Calc base'!L237),2)-N237-'Calc base'!X237)</f>
        <v>0</v>
      </c>
      <c r="AA237">
        <f>MAX(0,ROUND(AY236*(1+'Calc base'!M237),2)-O237-'Calc base'!Y237)</f>
        <v>0</v>
      </c>
      <c r="AB237">
        <f>MAX(0,ROUND(AZ236*(1+'Calc base'!N237),2)-P237-'Calc base'!Z237)</f>
        <v>0</v>
      </c>
      <c r="AC237">
        <f>MAX(0,ROUND(BA236*(1+'Calc base'!O237),2)-Q237-'Calc base'!AA237)</f>
        <v>0</v>
      </c>
      <c r="AD237">
        <f>MAX(0,ROUND(BB236*(1+'Calc base'!P237),2)-R237-'Calc base'!AB237)</f>
        <v>0</v>
      </c>
      <c r="AE237">
        <f>MAX(0,ROUND(BC236*(1+'Calc base'!Q237),2)-S237-'Calc base'!AC237)</f>
        <v>0</v>
      </c>
      <c r="AF237">
        <f>MAX(0,ROUND(BD236*(1+'Calc base'!R237),2)-T237-'Calc base'!AD237)</f>
        <v>0</v>
      </c>
      <c r="AG237">
        <f>MAX(0,ROUND(BE236*(1+'Calc base'!S237),2)-U237-'Calc base'!AE237)</f>
        <v>0</v>
      </c>
      <c r="AH237">
        <f>IF('Calc base'!C$14=0,0,MIN(V237,MAX(0,$E237-SUMIFS($V237:$AG237,'Calc base'!$C$19:$N$19,"&lt;"&amp;'Calc base'!C$19,'Calc base'!$C$14:$N$14,1))))</f>
        <v>0</v>
      </c>
      <c r="AI237">
        <f>IF('Calc base'!D$14=0,0,MIN(W237,MAX(0,$E237-SUMIFS($V237:$AG237,'Calc base'!$C$19:$N$19,"&lt;"&amp;'Calc base'!D$19,'Calc base'!$C$14:$N$14,1))))</f>
        <v>0</v>
      </c>
      <c r="AJ237">
        <f>IF('Calc base'!E$14=0,0,MIN(X237,MAX(0,$E237-SUMIFS($V237:$AG237,'Calc base'!$C$19:$N$19,"&lt;"&amp;'Calc base'!E$19,'Calc base'!$C$14:$N$14,1))))</f>
        <v>0</v>
      </c>
      <c r="AK237">
        <f>IF('Calc base'!F$14=0,0,MIN(Y237,MAX(0,$E237-SUMIFS($V237:$AG237,'Calc base'!$C$19:$N$19,"&lt;"&amp;'Calc base'!F$19,'Calc base'!$C$14:$N$14,1))))</f>
        <v>0</v>
      </c>
      <c r="AL237">
        <f>IF('Calc base'!G$14=0,0,MIN(Z237,MAX(0,$E237-SUMIFS($V237:$AG237,'Calc base'!$C$19:$N$19,"&lt;"&amp;'Calc base'!G$19,'Calc base'!$C$14:$N$14,1))))</f>
        <v>0</v>
      </c>
      <c r="AM237">
        <f>IF('Calc base'!H$14=0,0,MIN(AA237,MAX(0,$E237-SUMIFS($V237:$AG237,'Calc base'!$C$19:$N$19,"&lt;"&amp;'Calc base'!H$19,'Calc base'!$C$14:$N$14,1))))</f>
        <v>0</v>
      </c>
      <c r="AN237">
        <f>IF('Calc base'!I$14=0,0,MIN(AB237,MAX(0,$E237-SUMIFS($V237:$AG237,'Calc base'!$C$19:$N$19,"&lt;"&amp;'Calc base'!I$19,'Calc base'!$C$14:$N$14,1))))</f>
        <v>0</v>
      </c>
      <c r="AO237">
        <f>IF('Calc base'!J$14=0,0,MIN(AC237,MAX(0,$E237-SUMIFS($V237:$AG237,'Calc base'!$C$19:$N$19,"&lt;"&amp;'Calc base'!J$19,'Calc base'!$C$14:$N$14,1))))</f>
        <v>0</v>
      </c>
      <c r="AP237">
        <f>IF('Calc base'!K$14=0,0,MIN(AD237,MAX(0,$E237-SUMIFS($V237:$AG237,'Calc base'!$C$19:$N$19,"&lt;"&amp;'Calc base'!K$19,'Calc base'!$C$14:$N$14,1))))</f>
        <v>0</v>
      </c>
      <c r="AQ237">
        <f>IF('Calc base'!L$14=0,0,MIN(AE237,MAX(0,$E237-SUMIFS($V237:$AG237,'Calc base'!$C$19:$N$19,"&lt;"&amp;'Calc base'!L$19,'Calc base'!$C$14:$N$14,1))))</f>
        <v>0</v>
      </c>
      <c r="AR237">
        <f>IF('Calc base'!M$14=0,0,MIN(AF237,MAX(0,$E237-SUMIFS($V237:$AG237,'Calc base'!$C$19:$N$19,"&lt;"&amp;'Calc base'!M$19,'Calc base'!$C$14:$N$14,1))))</f>
        <v>0</v>
      </c>
      <c r="AS237">
        <f>IF('Calc base'!N$14=0,0,MIN(AG237,MAX(0,$E237-SUMIFS($V237:$AG237,'Calc base'!$C$19:$N$19,"&lt;"&amp;'Calc base'!N$19,'Calc base'!$C$14:$N$14,1))))</f>
        <v>0</v>
      </c>
      <c r="AT237">
        <f>V237-AH237</f>
        <v>0</v>
      </c>
      <c r="AU237">
        <f>W237-AI237</f>
        <v>0</v>
      </c>
      <c r="AV237">
        <f>X237-AJ237</f>
        <v>0</v>
      </c>
      <c r="AW237">
        <f>Y237-AK237</f>
        <v>0</v>
      </c>
      <c r="AX237">
        <f>Z237-AL237</f>
        <v>0</v>
      </c>
      <c r="AY237">
        <f>AA237-AM237</f>
        <v>0</v>
      </c>
      <c r="AZ237">
        <f>AB237-AN237</f>
        <v>0</v>
      </c>
      <c r="BA237">
        <f>AC237-AO237</f>
        <v>0</v>
      </c>
      <c r="BB237">
        <f>AD237-AP237</f>
        <v>0</v>
      </c>
      <c r="BC237">
        <f>AE237-AQ237</f>
        <v>0</v>
      </c>
      <c r="BD237">
        <f>AF237-AR237</f>
        <v>0</v>
      </c>
      <c r="BE237">
        <f>AG237-AS237</f>
        <v>0</v>
      </c>
    </row>
    <row r="238">
      <c r="A238" t="n">
        <v>208</v>
      </c>
      <c r="B238">
        <f>SUMPRODUCT(ROUND($AT237:$BE237*(1+'Calc base'!$H238:$S238),2))</f>
        <v>0</v>
      </c>
      <c r="C238">
        <f>SUM(J238:U238)</f>
        <v>0</v>
      </c>
      <c r="D238">
        <f>SUM(V238:AG238)</f>
        <v>0</v>
      </c>
      <c r="E238">
        <f>MAX(0,IF(Impostazioni!$B$7="No",'Calc base'!$C238-$C$31,'Calc base'!$C238-C238)+'Calc base'!$G238+'Calc base'!$F238-(B238-C238-D238))</f>
        <v>900</v>
      </c>
      <c r="F238">
        <f>SUM(AH238:AS238)</f>
        <v>0</v>
      </c>
      <c r="G238">
        <f>SUM(AT238:BE238)</f>
        <v>0</v>
      </c>
      <c r="H238">
        <f>B238-G237</f>
        <v>0</v>
      </c>
      <c r="I238">
        <f>B238-G238</f>
        <v>0</v>
      </c>
      <c r="J238">
        <f>IF(AT237&lt;=0,0,IF(ROUND(AT237*(1+'Calc base'!H238),2)-MAX('Calc base'!C$12,ROUND('Calc base'!C$13*AT237,2))&lt;1,ROUND(AT237*(1+'Calc base'!H238),2),MAX('Calc base'!C$12,ROUND('Calc base'!C$13*AT237,2))))</f>
        <v>0</v>
      </c>
      <c r="K238">
        <f>IF(AU237&lt;=0,0,IF(ROUND(AU237*(1+'Calc base'!I238),2)-MAX('Calc base'!D$12,ROUND('Calc base'!D$13*AU237,2))&lt;1,ROUND(AU237*(1+'Calc base'!I238),2),MAX('Calc base'!D$12,ROUND('Calc base'!D$13*AU237,2))))</f>
        <v>0</v>
      </c>
      <c r="L238">
        <f>IF(AV237&lt;=0,0,IF(ROUND(AV237*(1+'Calc base'!J238),2)-MAX('Calc base'!E$12,ROUND('Calc base'!E$13*AV237,2))&lt;1,ROUND(AV237*(1+'Calc base'!J238),2),MAX('Calc base'!E$12,ROUND('Calc base'!E$13*AV237,2))))</f>
        <v>0</v>
      </c>
      <c r="M238">
        <f>IF(AW237&lt;=0,0,IF(ROUND(AW237*(1+'Calc base'!K238),2)-MAX('Calc base'!F$12,ROUND('Calc base'!F$13*AW237,2))&lt;1,ROUND(AW237*(1+'Calc base'!K238),2),MAX('Calc base'!F$12,ROUND('Calc base'!F$13*AW237,2))))</f>
        <v>0</v>
      </c>
      <c r="N238">
        <f>IF(AX237&lt;=0,0,IF(ROUND(AX237*(1+'Calc base'!L238),2)-MAX('Calc base'!G$12,ROUND('Calc base'!G$13*AX237,2))&lt;1,ROUND(AX237*(1+'Calc base'!L238),2),MAX('Calc base'!G$12,ROUND('Calc base'!G$13*AX237,2))))</f>
        <v>0</v>
      </c>
      <c r="O238">
        <f>IF(AY237&lt;=0,0,IF(ROUND(AY237*(1+'Calc base'!M238),2)-MAX('Calc base'!H$12,ROUND('Calc base'!H$13*AY237,2))&lt;1,ROUND(AY237*(1+'Calc base'!M238),2),MAX('Calc base'!H$12,ROUND('Calc base'!H$13*AY237,2))))</f>
        <v>0</v>
      </c>
      <c r="P238">
        <f>IF(AZ237&lt;=0,0,IF(ROUND(AZ237*(1+'Calc base'!N238),2)-MAX('Calc base'!I$12,ROUND('Calc base'!I$13*AZ237,2))&lt;1,ROUND(AZ237*(1+'Calc base'!N238),2),MAX('Calc base'!I$12,ROUND('Calc base'!I$13*AZ237,2))))</f>
        <v>0</v>
      </c>
      <c r="Q238">
        <f>IF(BA237&lt;=0,0,IF(ROUND(BA237*(1+'Calc base'!O238),2)-MAX('Calc base'!J$12,ROUND('Calc base'!J$13*BA237,2))&lt;1,ROUND(BA237*(1+'Calc base'!O238),2),MAX('Calc base'!J$12,ROUND('Calc base'!J$13*BA237,2))))</f>
        <v>0</v>
      </c>
      <c r="R238">
        <f>IF(BB237&lt;=0,0,IF(ROUND(BB237*(1+'Calc base'!P238),2)-MAX('Calc base'!K$12,ROUND('Calc base'!K$13*BB237,2))&lt;1,ROUND(BB237*(1+'Calc base'!P238),2),MAX('Calc base'!K$12,ROUND('Calc base'!K$13*BB237,2))))</f>
        <v>0</v>
      </c>
      <c r="S238">
        <f>IF(BC237&lt;=0,0,IF(ROUND(BC237*(1+'Calc base'!Q238),2)-MAX('Calc base'!L$12,ROUND('Calc base'!L$13*BC237,2))&lt;1,ROUND(BC237*(1+'Calc base'!Q238),2),MAX('Calc base'!L$12,ROUND('Calc base'!L$13*BC237,2))))</f>
        <v>0</v>
      </c>
      <c r="T238">
        <f>IF(BD237&lt;=0,0,IF(ROUND(BD237*(1+'Calc base'!R238),2)-MAX('Calc base'!M$12,ROUND('Calc base'!M$13*BD237,2))&lt;1,ROUND(BD237*(1+'Calc base'!R238),2),MAX('Calc base'!M$12,ROUND('Calc base'!M$13*BD237,2))))</f>
        <v>0</v>
      </c>
      <c r="U238">
        <f>IF(BE237&lt;=0,0,IF(ROUND(BE237*(1+'Calc base'!S238),2)-MAX('Calc base'!N$12,ROUND('Calc base'!N$13*BE237,2))&lt;1,ROUND(BE237*(1+'Calc base'!S238),2),MAX('Calc base'!N$12,ROUND('Calc base'!N$13*BE237,2))))</f>
        <v>0</v>
      </c>
      <c r="V238">
        <f>MAX(0,ROUND(AT237*(1+'Calc base'!H238),2)-J238-'Calc base'!T238)</f>
        <v>0</v>
      </c>
      <c r="W238">
        <f>MAX(0,ROUND(AU237*(1+'Calc base'!I238),2)-K238-'Calc base'!U238)</f>
        <v>0</v>
      </c>
      <c r="X238">
        <f>MAX(0,ROUND(AV237*(1+'Calc base'!J238),2)-L238-'Calc base'!V238)</f>
        <v>0</v>
      </c>
      <c r="Y238">
        <f>MAX(0,ROUND(AW237*(1+'Calc base'!K238),2)-M238-'Calc base'!W238)</f>
        <v>0</v>
      </c>
      <c r="Z238">
        <f>MAX(0,ROUND(AX237*(1+'Calc base'!L238),2)-N238-'Calc base'!X238)</f>
        <v>0</v>
      </c>
      <c r="AA238">
        <f>MAX(0,ROUND(AY237*(1+'Calc base'!M238),2)-O238-'Calc base'!Y238)</f>
        <v>0</v>
      </c>
      <c r="AB238">
        <f>MAX(0,ROUND(AZ237*(1+'Calc base'!N238),2)-P238-'Calc base'!Z238)</f>
        <v>0</v>
      </c>
      <c r="AC238">
        <f>MAX(0,ROUND(BA237*(1+'Calc base'!O238),2)-Q238-'Calc base'!AA238)</f>
        <v>0</v>
      </c>
      <c r="AD238">
        <f>MAX(0,ROUND(BB237*(1+'Calc base'!P238),2)-R238-'Calc base'!AB238)</f>
        <v>0</v>
      </c>
      <c r="AE238">
        <f>MAX(0,ROUND(BC237*(1+'Calc base'!Q238),2)-S238-'Calc base'!AC238)</f>
        <v>0</v>
      </c>
      <c r="AF238">
        <f>MAX(0,ROUND(BD237*(1+'Calc base'!R238),2)-T238-'Calc base'!AD238)</f>
        <v>0</v>
      </c>
      <c r="AG238">
        <f>MAX(0,ROUND(BE237*(1+'Calc base'!S238),2)-U238-'Calc base'!AE238)</f>
        <v>0</v>
      </c>
      <c r="AH238">
        <f>IF('Calc base'!C$14=0,0,MIN(V238,MAX(0,$E238-SUMIFS($V238:$AG238,'Calc base'!$C$19:$N$19,"&lt;"&amp;'Calc base'!C$19,'Calc base'!$C$14:$N$14,1))))</f>
        <v>0</v>
      </c>
      <c r="AI238">
        <f>IF('Calc base'!D$14=0,0,MIN(W238,MAX(0,$E238-SUMIFS($V238:$AG238,'Calc base'!$C$19:$N$19,"&lt;"&amp;'Calc base'!D$19,'Calc base'!$C$14:$N$14,1))))</f>
        <v>0</v>
      </c>
      <c r="AJ238">
        <f>IF('Calc base'!E$14=0,0,MIN(X238,MAX(0,$E238-SUMIFS($V238:$AG238,'Calc base'!$C$19:$N$19,"&lt;"&amp;'Calc base'!E$19,'Calc base'!$C$14:$N$14,1))))</f>
        <v>0</v>
      </c>
      <c r="AK238">
        <f>IF('Calc base'!F$14=0,0,MIN(Y238,MAX(0,$E238-SUMIFS($V238:$AG238,'Calc base'!$C$19:$N$19,"&lt;"&amp;'Calc base'!F$19,'Calc base'!$C$14:$N$14,1))))</f>
        <v>0</v>
      </c>
      <c r="AL238">
        <f>IF('Calc base'!G$14=0,0,MIN(Z238,MAX(0,$E238-SUMIFS($V238:$AG238,'Calc base'!$C$19:$N$19,"&lt;"&amp;'Calc base'!G$19,'Calc base'!$C$14:$N$14,1))))</f>
        <v>0</v>
      </c>
      <c r="AM238">
        <f>IF('Calc base'!H$14=0,0,MIN(AA238,MAX(0,$E238-SUMIFS($V238:$AG238,'Calc base'!$C$19:$N$19,"&lt;"&amp;'Calc base'!H$19,'Calc base'!$C$14:$N$14,1))))</f>
        <v>0</v>
      </c>
      <c r="AN238">
        <f>IF('Calc base'!I$14=0,0,MIN(AB238,MAX(0,$E238-SUMIFS($V238:$AG238,'Calc base'!$C$19:$N$19,"&lt;"&amp;'Calc base'!I$19,'Calc base'!$C$14:$N$14,1))))</f>
        <v>0</v>
      </c>
      <c r="AO238">
        <f>IF('Calc base'!J$14=0,0,MIN(AC238,MAX(0,$E238-SUMIFS($V238:$AG238,'Calc base'!$C$19:$N$19,"&lt;"&amp;'Calc base'!J$19,'Calc base'!$C$14:$N$14,1))))</f>
        <v>0</v>
      </c>
      <c r="AP238">
        <f>IF('Calc base'!K$14=0,0,MIN(AD238,MAX(0,$E238-SUMIFS($V238:$AG238,'Calc base'!$C$19:$N$19,"&lt;"&amp;'Calc base'!K$19,'Calc base'!$C$14:$N$14,1))))</f>
        <v>0</v>
      </c>
      <c r="AQ238">
        <f>IF('Calc base'!L$14=0,0,MIN(AE238,MAX(0,$E238-SUMIFS($V238:$AG238,'Calc base'!$C$19:$N$19,"&lt;"&amp;'Calc base'!L$19,'Calc base'!$C$14:$N$14,1))))</f>
        <v>0</v>
      </c>
      <c r="AR238">
        <f>IF('Calc base'!M$14=0,0,MIN(AF238,MAX(0,$E238-SUMIFS($V238:$AG238,'Calc base'!$C$19:$N$19,"&lt;"&amp;'Calc base'!M$19,'Calc base'!$C$14:$N$14,1))))</f>
        <v>0</v>
      </c>
      <c r="AS238">
        <f>IF('Calc base'!N$14=0,0,MIN(AG238,MAX(0,$E238-SUMIFS($V238:$AG238,'Calc base'!$C$19:$N$19,"&lt;"&amp;'Calc base'!N$19,'Calc base'!$C$14:$N$14,1))))</f>
        <v>0</v>
      </c>
      <c r="AT238">
        <f>V238-AH238</f>
        <v>0</v>
      </c>
      <c r="AU238">
        <f>W238-AI238</f>
        <v>0</v>
      </c>
      <c r="AV238">
        <f>X238-AJ238</f>
        <v>0</v>
      </c>
      <c r="AW238">
        <f>Y238-AK238</f>
        <v>0</v>
      </c>
      <c r="AX238">
        <f>Z238-AL238</f>
        <v>0</v>
      </c>
      <c r="AY238">
        <f>AA238-AM238</f>
        <v>0</v>
      </c>
      <c r="AZ238">
        <f>AB238-AN238</f>
        <v>0</v>
      </c>
      <c r="BA238">
        <f>AC238-AO238</f>
        <v>0</v>
      </c>
      <c r="BB238">
        <f>AD238-AP238</f>
        <v>0</v>
      </c>
      <c r="BC238">
        <f>AE238-AQ238</f>
        <v>0</v>
      </c>
      <c r="BD238">
        <f>AF238-AR238</f>
        <v>0</v>
      </c>
      <c r="BE238">
        <f>AG238-AS238</f>
        <v>0</v>
      </c>
    </row>
    <row r="239">
      <c r="A239" t="n">
        <v>209</v>
      </c>
      <c r="B239">
        <f>SUMPRODUCT(ROUND($AT238:$BE238*(1+'Calc base'!$H239:$S239),2))</f>
        <v>0</v>
      </c>
      <c r="C239">
        <f>SUM(J239:U239)</f>
        <v>0</v>
      </c>
      <c r="D239">
        <f>SUM(V239:AG239)</f>
        <v>0</v>
      </c>
      <c r="E239">
        <f>MAX(0,IF(Impostazioni!$B$7="No",'Calc base'!$C239-$C$31,'Calc base'!$C239-C239)+'Calc base'!$G239+'Calc base'!$F239-(B239-C239-D239))</f>
        <v>900</v>
      </c>
      <c r="F239">
        <f>SUM(AH239:AS239)</f>
        <v>0</v>
      </c>
      <c r="G239">
        <f>SUM(AT239:BE239)</f>
        <v>0</v>
      </c>
      <c r="H239">
        <f>B239-G238</f>
        <v>0</v>
      </c>
      <c r="I239">
        <f>B239-G239</f>
        <v>0</v>
      </c>
      <c r="J239">
        <f>IF(AT238&lt;=0,0,IF(ROUND(AT238*(1+'Calc base'!H239),2)-MAX('Calc base'!C$12,ROUND('Calc base'!C$13*AT238,2))&lt;1,ROUND(AT238*(1+'Calc base'!H239),2),MAX('Calc base'!C$12,ROUND('Calc base'!C$13*AT238,2))))</f>
        <v>0</v>
      </c>
      <c r="K239">
        <f>IF(AU238&lt;=0,0,IF(ROUND(AU238*(1+'Calc base'!I239),2)-MAX('Calc base'!D$12,ROUND('Calc base'!D$13*AU238,2))&lt;1,ROUND(AU238*(1+'Calc base'!I239),2),MAX('Calc base'!D$12,ROUND('Calc base'!D$13*AU238,2))))</f>
        <v>0</v>
      </c>
      <c r="L239">
        <f>IF(AV238&lt;=0,0,IF(ROUND(AV238*(1+'Calc base'!J239),2)-MAX('Calc base'!E$12,ROUND('Calc base'!E$13*AV238,2))&lt;1,ROUND(AV238*(1+'Calc base'!J239),2),MAX('Calc base'!E$12,ROUND('Calc base'!E$13*AV238,2))))</f>
        <v>0</v>
      </c>
      <c r="M239">
        <f>IF(AW238&lt;=0,0,IF(ROUND(AW238*(1+'Calc base'!K239),2)-MAX('Calc base'!F$12,ROUND('Calc base'!F$13*AW238,2))&lt;1,ROUND(AW238*(1+'Calc base'!K239),2),MAX('Calc base'!F$12,ROUND('Calc base'!F$13*AW238,2))))</f>
        <v>0</v>
      </c>
      <c r="N239">
        <f>IF(AX238&lt;=0,0,IF(ROUND(AX238*(1+'Calc base'!L239),2)-MAX('Calc base'!G$12,ROUND('Calc base'!G$13*AX238,2))&lt;1,ROUND(AX238*(1+'Calc base'!L239),2),MAX('Calc base'!G$12,ROUND('Calc base'!G$13*AX238,2))))</f>
        <v>0</v>
      </c>
      <c r="O239">
        <f>IF(AY238&lt;=0,0,IF(ROUND(AY238*(1+'Calc base'!M239),2)-MAX('Calc base'!H$12,ROUND('Calc base'!H$13*AY238,2))&lt;1,ROUND(AY238*(1+'Calc base'!M239),2),MAX('Calc base'!H$12,ROUND('Calc base'!H$13*AY238,2))))</f>
        <v>0</v>
      </c>
      <c r="P239">
        <f>IF(AZ238&lt;=0,0,IF(ROUND(AZ238*(1+'Calc base'!N239),2)-MAX('Calc base'!I$12,ROUND('Calc base'!I$13*AZ238,2))&lt;1,ROUND(AZ238*(1+'Calc base'!N239),2),MAX('Calc base'!I$12,ROUND('Calc base'!I$13*AZ238,2))))</f>
        <v>0</v>
      </c>
      <c r="Q239">
        <f>IF(BA238&lt;=0,0,IF(ROUND(BA238*(1+'Calc base'!O239),2)-MAX('Calc base'!J$12,ROUND('Calc base'!J$13*BA238,2))&lt;1,ROUND(BA238*(1+'Calc base'!O239),2),MAX('Calc base'!J$12,ROUND('Calc base'!J$13*BA238,2))))</f>
        <v>0</v>
      </c>
      <c r="R239">
        <f>IF(BB238&lt;=0,0,IF(ROUND(BB238*(1+'Calc base'!P239),2)-MAX('Calc base'!K$12,ROUND('Calc base'!K$13*BB238,2))&lt;1,ROUND(BB238*(1+'Calc base'!P239),2),MAX('Calc base'!K$12,ROUND('Calc base'!K$13*BB238,2))))</f>
        <v>0</v>
      </c>
      <c r="S239">
        <f>IF(BC238&lt;=0,0,IF(ROUND(BC238*(1+'Calc base'!Q239),2)-MAX('Calc base'!L$12,ROUND('Calc base'!L$13*BC238,2))&lt;1,ROUND(BC238*(1+'Calc base'!Q239),2),MAX('Calc base'!L$12,ROUND('Calc base'!L$13*BC238,2))))</f>
        <v>0</v>
      </c>
      <c r="T239">
        <f>IF(BD238&lt;=0,0,IF(ROUND(BD238*(1+'Calc base'!R239),2)-MAX('Calc base'!M$12,ROUND('Calc base'!M$13*BD238,2))&lt;1,ROUND(BD238*(1+'Calc base'!R239),2),MAX('Calc base'!M$12,ROUND('Calc base'!M$13*BD238,2))))</f>
        <v>0</v>
      </c>
      <c r="U239">
        <f>IF(BE238&lt;=0,0,IF(ROUND(BE238*(1+'Calc base'!S239),2)-MAX('Calc base'!N$12,ROUND('Calc base'!N$13*BE238,2))&lt;1,ROUND(BE238*(1+'Calc base'!S239),2),MAX('Calc base'!N$12,ROUND('Calc base'!N$13*BE238,2))))</f>
        <v>0</v>
      </c>
      <c r="V239">
        <f>MAX(0,ROUND(AT238*(1+'Calc base'!H239),2)-J239-'Calc base'!T239)</f>
        <v>0</v>
      </c>
      <c r="W239">
        <f>MAX(0,ROUND(AU238*(1+'Calc base'!I239),2)-K239-'Calc base'!U239)</f>
        <v>0</v>
      </c>
      <c r="X239">
        <f>MAX(0,ROUND(AV238*(1+'Calc base'!J239),2)-L239-'Calc base'!V239)</f>
        <v>0</v>
      </c>
      <c r="Y239">
        <f>MAX(0,ROUND(AW238*(1+'Calc base'!K239),2)-M239-'Calc base'!W239)</f>
        <v>0</v>
      </c>
      <c r="Z239">
        <f>MAX(0,ROUND(AX238*(1+'Calc base'!L239),2)-N239-'Calc base'!X239)</f>
        <v>0</v>
      </c>
      <c r="AA239">
        <f>MAX(0,ROUND(AY238*(1+'Calc base'!M239),2)-O239-'Calc base'!Y239)</f>
        <v>0</v>
      </c>
      <c r="AB239">
        <f>MAX(0,ROUND(AZ238*(1+'Calc base'!N239),2)-P239-'Calc base'!Z239)</f>
        <v>0</v>
      </c>
      <c r="AC239">
        <f>MAX(0,ROUND(BA238*(1+'Calc base'!O239),2)-Q239-'Calc base'!AA239)</f>
        <v>0</v>
      </c>
      <c r="AD239">
        <f>MAX(0,ROUND(BB238*(1+'Calc base'!P239),2)-R239-'Calc base'!AB239)</f>
        <v>0</v>
      </c>
      <c r="AE239">
        <f>MAX(0,ROUND(BC238*(1+'Calc base'!Q239),2)-S239-'Calc base'!AC239)</f>
        <v>0</v>
      </c>
      <c r="AF239">
        <f>MAX(0,ROUND(BD238*(1+'Calc base'!R239),2)-T239-'Calc base'!AD239)</f>
        <v>0</v>
      </c>
      <c r="AG239">
        <f>MAX(0,ROUND(BE238*(1+'Calc base'!S239),2)-U239-'Calc base'!AE239)</f>
        <v>0</v>
      </c>
      <c r="AH239">
        <f>IF('Calc base'!C$14=0,0,MIN(V239,MAX(0,$E239-SUMIFS($V239:$AG239,'Calc base'!$C$19:$N$19,"&lt;"&amp;'Calc base'!C$19,'Calc base'!$C$14:$N$14,1))))</f>
        <v>0</v>
      </c>
      <c r="AI239">
        <f>IF('Calc base'!D$14=0,0,MIN(W239,MAX(0,$E239-SUMIFS($V239:$AG239,'Calc base'!$C$19:$N$19,"&lt;"&amp;'Calc base'!D$19,'Calc base'!$C$14:$N$14,1))))</f>
        <v>0</v>
      </c>
      <c r="AJ239">
        <f>IF('Calc base'!E$14=0,0,MIN(X239,MAX(0,$E239-SUMIFS($V239:$AG239,'Calc base'!$C$19:$N$19,"&lt;"&amp;'Calc base'!E$19,'Calc base'!$C$14:$N$14,1))))</f>
        <v>0</v>
      </c>
      <c r="AK239">
        <f>IF('Calc base'!F$14=0,0,MIN(Y239,MAX(0,$E239-SUMIFS($V239:$AG239,'Calc base'!$C$19:$N$19,"&lt;"&amp;'Calc base'!F$19,'Calc base'!$C$14:$N$14,1))))</f>
        <v>0</v>
      </c>
      <c r="AL239">
        <f>IF('Calc base'!G$14=0,0,MIN(Z239,MAX(0,$E239-SUMIFS($V239:$AG239,'Calc base'!$C$19:$N$19,"&lt;"&amp;'Calc base'!G$19,'Calc base'!$C$14:$N$14,1))))</f>
        <v>0</v>
      </c>
      <c r="AM239">
        <f>IF('Calc base'!H$14=0,0,MIN(AA239,MAX(0,$E239-SUMIFS($V239:$AG239,'Calc base'!$C$19:$N$19,"&lt;"&amp;'Calc base'!H$19,'Calc base'!$C$14:$N$14,1))))</f>
        <v>0</v>
      </c>
      <c r="AN239">
        <f>IF('Calc base'!I$14=0,0,MIN(AB239,MAX(0,$E239-SUMIFS($V239:$AG239,'Calc base'!$C$19:$N$19,"&lt;"&amp;'Calc base'!I$19,'Calc base'!$C$14:$N$14,1))))</f>
        <v>0</v>
      </c>
      <c r="AO239">
        <f>IF('Calc base'!J$14=0,0,MIN(AC239,MAX(0,$E239-SUMIFS($V239:$AG239,'Calc base'!$C$19:$N$19,"&lt;"&amp;'Calc base'!J$19,'Calc base'!$C$14:$N$14,1))))</f>
        <v>0</v>
      </c>
      <c r="AP239">
        <f>IF('Calc base'!K$14=0,0,MIN(AD239,MAX(0,$E239-SUMIFS($V239:$AG239,'Calc base'!$C$19:$N$19,"&lt;"&amp;'Calc base'!K$19,'Calc base'!$C$14:$N$14,1))))</f>
        <v>0</v>
      </c>
      <c r="AQ239">
        <f>IF('Calc base'!L$14=0,0,MIN(AE239,MAX(0,$E239-SUMIFS($V239:$AG239,'Calc base'!$C$19:$N$19,"&lt;"&amp;'Calc base'!L$19,'Calc base'!$C$14:$N$14,1))))</f>
        <v>0</v>
      </c>
      <c r="AR239">
        <f>IF('Calc base'!M$14=0,0,MIN(AF239,MAX(0,$E239-SUMIFS($V239:$AG239,'Calc base'!$C$19:$N$19,"&lt;"&amp;'Calc base'!M$19,'Calc base'!$C$14:$N$14,1))))</f>
        <v>0</v>
      </c>
      <c r="AS239">
        <f>IF('Calc base'!N$14=0,0,MIN(AG239,MAX(0,$E239-SUMIFS($V239:$AG239,'Calc base'!$C$19:$N$19,"&lt;"&amp;'Calc base'!N$19,'Calc base'!$C$14:$N$14,1))))</f>
        <v>0</v>
      </c>
      <c r="AT239">
        <f>V239-AH239</f>
        <v>0</v>
      </c>
      <c r="AU239">
        <f>W239-AI239</f>
        <v>0</v>
      </c>
      <c r="AV239">
        <f>X239-AJ239</f>
        <v>0</v>
      </c>
      <c r="AW239">
        <f>Y239-AK239</f>
        <v>0</v>
      </c>
      <c r="AX239">
        <f>Z239-AL239</f>
        <v>0</v>
      </c>
      <c r="AY239">
        <f>AA239-AM239</f>
        <v>0</v>
      </c>
      <c r="AZ239">
        <f>AB239-AN239</f>
        <v>0</v>
      </c>
      <c r="BA239">
        <f>AC239-AO239</f>
        <v>0</v>
      </c>
      <c r="BB239">
        <f>AD239-AP239</f>
        <v>0</v>
      </c>
      <c r="BC239">
        <f>AE239-AQ239</f>
        <v>0</v>
      </c>
      <c r="BD239">
        <f>AF239-AR239</f>
        <v>0</v>
      </c>
      <c r="BE239">
        <f>AG239-AS239</f>
        <v>0</v>
      </c>
    </row>
    <row r="240">
      <c r="A240" t="n">
        <v>210</v>
      </c>
      <c r="B240">
        <f>SUMPRODUCT(ROUND($AT239:$BE239*(1+'Calc base'!$H240:$S240),2))</f>
        <v>0</v>
      </c>
      <c r="C240">
        <f>SUM(J240:U240)</f>
        <v>0</v>
      </c>
      <c r="D240">
        <f>SUM(V240:AG240)</f>
        <v>0</v>
      </c>
      <c r="E240">
        <f>MAX(0,IF(Impostazioni!$B$7="No",'Calc base'!$C240-$C$31,'Calc base'!$C240-C240)+'Calc base'!$G240+'Calc base'!$F240-(B240-C240-D240))</f>
        <v>900</v>
      </c>
      <c r="F240">
        <f>SUM(AH240:AS240)</f>
        <v>0</v>
      </c>
      <c r="G240">
        <f>SUM(AT240:BE240)</f>
        <v>0</v>
      </c>
      <c r="H240">
        <f>B240-G239</f>
        <v>0</v>
      </c>
      <c r="I240">
        <f>B240-G240</f>
        <v>0</v>
      </c>
      <c r="J240">
        <f>IF(AT239&lt;=0,0,IF(ROUND(AT239*(1+'Calc base'!H240),2)-MAX('Calc base'!C$12,ROUND('Calc base'!C$13*AT239,2))&lt;1,ROUND(AT239*(1+'Calc base'!H240),2),MAX('Calc base'!C$12,ROUND('Calc base'!C$13*AT239,2))))</f>
        <v>0</v>
      </c>
      <c r="K240">
        <f>IF(AU239&lt;=0,0,IF(ROUND(AU239*(1+'Calc base'!I240),2)-MAX('Calc base'!D$12,ROUND('Calc base'!D$13*AU239,2))&lt;1,ROUND(AU239*(1+'Calc base'!I240),2),MAX('Calc base'!D$12,ROUND('Calc base'!D$13*AU239,2))))</f>
        <v>0</v>
      </c>
      <c r="L240">
        <f>IF(AV239&lt;=0,0,IF(ROUND(AV239*(1+'Calc base'!J240),2)-MAX('Calc base'!E$12,ROUND('Calc base'!E$13*AV239,2))&lt;1,ROUND(AV239*(1+'Calc base'!J240),2),MAX('Calc base'!E$12,ROUND('Calc base'!E$13*AV239,2))))</f>
        <v>0</v>
      </c>
      <c r="M240">
        <f>IF(AW239&lt;=0,0,IF(ROUND(AW239*(1+'Calc base'!K240),2)-MAX('Calc base'!F$12,ROUND('Calc base'!F$13*AW239,2))&lt;1,ROUND(AW239*(1+'Calc base'!K240),2),MAX('Calc base'!F$12,ROUND('Calc base'!F$13*AW239,2))))</f>
        <v>0</v>
      </c>
      <c r="N240">
        <f>IF(AX239&lt;=0,0,IF(ROUND(AX239*(1+'Calc base'!L240),2)-MAX('Calc base'!G$12,ROUND('Calc base'!G$13*AX239,2))&lt;1,ROUND(AX239*(1+'Calc base'!L240),2),MAX('Calc base'!G$12,ROUND('Calc base'!G$13*AX239,2))))</f>
        <v>0</v>
      </c>
      <c r="O240">
        <f>IF(AY239&lt;=0,0,IF(ROUND(AY239*(1+'Calc base'!M240),2)-MAX('Calc base'!H$12,ROUND('Calc base'!H$13*AY239,2))&lt;1,ROUND(AY239*(1+'Calc base'!M240),2),MAX('Calc base'!H$12,ROUND('Calc base'!H$13*AY239,2))))</f>
        <v>0</v>
      </c>
      <c r="P240">
        <f>IF(AZ239&lt;=0,0,IF(ROUND(AZ239*(1+'Calc base'!N240),2)-MAX('Calc base'!I$12,ROUND('Calc base'!I$13*AZ239,2))&lt;1,ROUND(AZ239*(1+'Calc base'!N240),2),MAX('Calc base'!I$12,ROUND('Calc base'!I$13*AZ239,2))))</f>
        <v>0</v>
      </c>
      <c r="Q240">
        <f>IF(BA239&lt;=0,0,IF(ROUND(BA239*(1+'Calc base'!O240),2)-MAX('Calc base'!J$12,ROUND('Calc base'!J$13*BA239,2))&lt;1,ROUND(BA239*(1+'Calc base'!O240),2),MAX('Calc base'!J$12,ROUND('Calc base'!J$13*BA239,2))))</f>
        <v>0</v>
      </c>
      <c r="R240">
        <f>IF(BB239&lt;=0,0,IF(ROUND(BB239*(1+'Calc base'!P240),2)-MAX('Calc base'!K$12,ROUND('Calc base'!K$13*BB239,2))&lt;1,ROUND(BB239*(1+'Calc base'!P240),2),MAX('Calc base'!K$12,ROUND('Calc base'!K$13*BB239,2))))</f>
        <v>0</v>
      </c>
      <c r="S240">
        <f>IF(BC239&lt;=0,0,IF(ROUND(BC239*(1+'Calc base'!Q240),2)-MAX('Calc base'!L$12,ROUND('Calc base'!L$13*BC239,2))&lt;1,ROUND(BC239*(1+'Calc base'!Q240),2),MAX('Calc base'!L$12,ROUND('Calc base'!L$13*BC239,2))))</f>
        <v>0</v>
      </c>
      <c r="T240">
        <f>IF(BD239&lt;=0,0,IF(ROUND(BD239*(1+'Calc base'!R240),2)-MAX('Calc base'!M$12,ROUND('Calc base'!M$13*BD239,2))&lt;1,ROUND(BD239*(1+'Calc base'!R240),2),MAX('Calc base'!M$12,ROUND('Calc base'!M$13*BD239,2))))</f>
        <v>0</v>
      </c>
      <c r="U240">
        <f>IF(BE239&lt;=0,0,IF(ROUND(BE239*(1+'Calc base'!S240),2)-MAX('Calc base'!N$12,ROUND('Calc base'!N$13*BE239,2))&lt;1,ROUND(BE239*(1+'Calc base'!S240),2),MAX('Calc base'!N$12,ROUND('Calc base'!N$13*BE239,2))))</f>
        <v>0</v>
      </c>
      <c r="V240">
        <f>MAX(0,ROUND(AT239*(1+'Calc base'!H240),2)-J240-'Calc base'!T240)</f>
        <v>0</v>
      </c>
      <c r="W240">
        <f>MAX(0,ROUND(AU239*(1+'Calc base'!I240),2)-K240-'Calc base'!U240)</f>
        <v>0</v>
      </c>
      <c r="X240">
        <f>MAX(0,ROUND(AV239*(1+'Calc base'!J240),2)-L240-'Calc base'!V240)</f>
        <v>0</v>
      </c>
      <c r="Y240">
        <f>MAX(0,ROUND(AW239*(1+'Calc base'!K240),2)-M240-'Calc base'!W240)</f>
        <v>0</v>
      </c>
      <c r="Z240">
        <f>MAX(0,ROUND(AX239*(1+'Calc base'!L240),2)-N240-'Calc base'!X240)</f>
        <v>0</v>
      </c>
      <c r="AA240">
        <f>MAX(0,ROUND(AY239*(1+'Calc base'!M240),2)-O240-'Calc base'!Y240)</f>
        <v>0</v>
      </c>
      <c r="AB240">
        <f>MAX(0,ROUND(AZ239*(1+'Calc base'!N240),2)-P240-'Calc base'!Z240)</f>
        <v>0</v>
      </c>
      <c r="AC240">
        <f>MAX(0,ROUND(BA239*(1+'Calc base'!O240),2)-Q240-'Calc base'!AA240)</f>
        <v>0</v>
      </c>
      <c r="AD240">
        <f>MAX(0,ROUND(BB239*(1+'Calc base'!P240),2)-R240-'Calc base'!AB240)</f>
        <v>0</v>
      </c>
      <c r="AE240">
        <f>MAX(0,ROUND(BC239*(1+'Calc base'!Q240),2)-S240-'Calc base'!AC240)</f>
        <v>0</v>
      </c>
      <c r="AF240">
        <f>MAX(0,ROUND(BD239*(1+'Calc base'!R240),2)-T240-'Calc base'!AD240)</f>
        <v>0</v>
      </c>
      <c r="AG240">
        <f>MAX(0,ROUND(BE239*(1+'Calc base'!S240),2)-U240-'Calc base'!AE240)</f>
        <v>0</v>
      </c>
      <c r="AH240">
        <f>IF('Calc base'!C$14=0,0,MIN(V240,MAX(0,$E240-SUMIFS($V240:$AG240,'Calc base'!$C$19:$N$19,"&lt;"&amp;'Calc base'!C$19,'Calc base'!$C$14:$N$14,1))))</f>
        <v>0</v>
      </c>
      <c r="AI240">
        <f>IF('Calc base'!D$14=0,0,MIN(W240,MAX(0,$E240-SUMIFS($V240:$AG240,'Calc base'!$C$19:$N$19,"&lt;"&amp;'Calc base'!D$19,'Calc base'!$C$14:$N$14,1))))</f>
        <v>0</v>
      </c>
      <c r="AJ240">
        <f>IF('Calc base'!E$14=0,0,MIN(X240,MAX(0,$E240-SUMIFS($V240:$AG240,'Calc base'!$C$19:$N$19,"&lt;"&amp;'Calc base'!E$19,'Calc base'!$C$14:$N$14,1))))</f>
        <v>0</v>
      </c>
      <c r="AK240">
        <f>IF('Calc base'!F$14=0,0,MIN(Y240,MAX(0,$E240-SUMIFS($V240:$AG240,'Calc base'!$C$19:$N$19,"&lt;"&amp;'Calc base'!F$19,'Calc base'!$C$14:$N$14,1))))</f>
        <v>0</v>
      </c>
      <c r="AL240">
        <f>IF('Calc base'!G$14=0,0,MIN(Z240,MAX(0,$E240-SUMIFS($V240:$AG240,'Calc base'!$C$19:$N$19,"&lt;"&amp;'Calc base'!G$19,'Calc base'!$C$14:$N$14,1))))</f>
        <v>0</v>
      </c>
      <c r="AM240">
        <f>IF('Calc base'!H$14=0,0,MIN(AA240,MAX(0,$E240-SUMIFS($V240:$AG240,'Calc base'!$C$19:$N$19,"&lt;"&amp;'Calc base'!H$19,'Calc base'!$C$14:$N$14,1))))</f>
        <v>0</v>
      </c>
      <c r="AN240">
        <f>IF('Calc base'!I$14=0,0,MIN(AB240,MAX(0,$E240-SUMIFS($V240:$AG240,'Calc base'!$C$19:$N$19,"&lt;"&amp;'Calc base'!I$19,'Calc base'!$C$14:$N$14,1))))</f>
        <v>0</v>
      </c>
      <c r="AO240">
        <f>IF('Calc base'!J$14=0,0,MIN(AC240,MAX(0,$E240-SUMIFS($V240:$AG240,'Calc base'!$C$19:$N$19,"&lt;"&amp;'Calc base'!J$19,'Calc base'!$C$14:$N$14,1))))</f>
        <v>0</v>
      </c>
      <c r="AP240">
        <f>IF('Calc base'!K$14=0,0,MIN(AD240,MAX(0,$E240-SUMIFS($V240:$AG240,'Calc base'!$C$19:$N$19,"&lt;"&amp;'Calc base'!K$19,'Calc base'!$C$14:$N$14,1))))</f>
        <v>0</v>
      </c>
      <c r="AQ240">
        <f>IF('Calc base'!L$14=0,0,MIN(AE240,MAX(0,$E240-SUMIFS($V240:$AG240,'Calc base'!$C$19:$N$19,"&lt;"&amp;'Calc base'!L$19,'Calc base'!$C$14:$N$14,1))))</f>
        <v>0</v>
      </c>
      <c r="AR240">
        <f>IF('Calc base'!M$14=0,0,MIN(AF240,MAX(0,$E240-SUMIFS($V240:$AG240,'Calc base'!$C$19:$N$19,"&lt;"&amp;'Calc base'!M$19,'Calc base'!$C$14:$N$14,1))))</f>
        <v>0</v>
      </c>
      <c r="AS240">
        <f>IF('Calc base'!N$14=0,0,MIN(AG240,MAX(0,$E240-SUMIFS($V240:$AG240,'Calc base'!$C$19:$N$19,"&lt;"&amp;'Calc base'!N$19,'Calc base'!$C$14:$N$14,1))))</f>
        <v>0</v>
      </c>
      <c r="AT240">
        <f>V240-AH240</f>
        <v>0</v>
      </c>
      <c r="AU240">
        <f>W240-AI240</f>
        <v>0</v>
      </c>
      <c r="AV240">
        <f>X240-AJ240</f>
        <v>0</v>
      </c>
      <c r="AW240">
        <f>Y240-AK240</f>
        <v>0</v>
      </c>
      <c r="AX240">
        <f>Z240-AL240</f>
        <v>0</v>
      </c>
      <c r="AY240">
        <f>AA240-AM240</f>
        <v>0</v>
      </c>
      <c r="AZ240">
        <f>AB240-AN240</f>
        <v>0</v>
      </c>
      <c r="BA240">
        <f>AC240-AO240</f>
        <v>0</v>
      </c>
      <c r="BB240">
        <f>AD240-AP240</f>
        <v>0</v>
      </c>
      <c r="BC240">
        <f>AE240-AQ240</f>
        <v>0</v>
      </c>
      <c r="BD240">
        <f>AF240-AR240</f>
        <v>0</v>
      </c>
      <c r="BE240">
        <f>AG240-AS240</f>
        <v>0</v>
      </c>
    </row>
    <row r="241">
      <c r="A241" t="n">
        <v>211</v>
      </c>
      <c r="B241">
        <f>SUMPRODUCT(ROUND($AT240:$BE240*(1+'Calc base'!$H241:$S241),2))</f>
        <v>0</v>
      </c>
      <c r="C241">
        <f>SUM(J241:U241)</f>
        <v>0</v>
      </c>
      <c r="D241">
        <f>SUM(V241:AG241)</f>
        <v>0</v>
      </c>
      <c r="E241">
        <f>MAX(0,IF(Impostazioni!$B$7="No",'Calc base'!$C241-$C$31,'Calc base'!$C241-C241)+'Calc base'!$G241+'Calc base'!$F241-(B241-C241-D241))</f>
        <v>900</v>
      </c>
      <c r="F241">
        <f>SUM(AH241:AS241)</f>
        <v>0</v>
      </c>
      <c r="G241">
        <f>SUM(AT241:BE241)</f>
        <v>0</v>
      </c>
      <c r="H241">
        <f>B241-G240</f>
        <v>0</v>
      </c>
      <c r="I241">
        <f>B241-G241</f>
        <v>0</v>
      </c>
      <c r="J241">
        <f>IF(AT240&lt;=0,0,IF(ROUND(AT240*(1+'Calc base'!H241),2)-MAX('Calc base'!C$12,ROUND('Calc base'!C$13*AT240,2))&lt;1,ROUND(AT240*(1+'Calc base'!H241),2),MAX('Calc base'!C$12,ROUND('Calc base'!C$13*AT240,2))))</f>
        <v>0</v>
      </c>
      <c r="K241">
        <f>IF(AU240&lt;=0,0,IF(ROUND(AU240*(1+'Calc base'!I241),2)-MAX('Calc base'!D$12,ROUND('Calc base'!D$13*AU240,2))&lt;1,ROUND(AU240*(1+'Calc base'!I241),2),MAX('Calc base'!D$12,ROUND('Calc base'!D$13*AU240,2))))</f>
        <v>0</v>
      </c>
      <c r="L241">
        <f>IF(AV240&lt;=0,0,IF(ROUND(AV240*(1+'Calc base'!J241),2)-MAX('Calc base'!E$12,ROUND('Calc base'!E$13*AV240,2))&lt;1,ROUND(AV240*(1+'Calc base'!J241),2),MAX('Calc base'!E$12,ROUND('Calc base'!E$13*AV240,2))))</f>
        <v>0</v>
      </c>
      <c r="M241">
        <f>IF(AW240&lt;=0,0,IF(ROUND(AW240*(1+'Calc base'!K241),2)-MAX('Calc base'!F$12,ROUND('Calc base'!F$13*AW240,2))&lt;1,ROUND(AW240*(1+'Calc base'!K241),2),MAX('Calc base'!F$12,ROUND('Calc base'!F$13*AW240,2))))</f>
        <v>0</v>
      </c>
      <c r="N241">
        <f>IF(AX240&lt;=0,0,IF(ROUND(AX240*(1+'Calc base'!L241),2)-MAX('Calc base'!G$12,ROUND('Calc base'!G$13*AX240,2))&lt;1,ROUND(AX240*(1+'Calc base'!L241),2),MAX('Calc base'!G$12,ROUND('Calc base'!G$13*AX240,2))))</f>
        <v>0</v>
      </c>
      <c r="O241">
        <f>IF(AY240&lt;=0,0,IF(ROUND(AY240*(1+'Calc base'!M241),2)-MAX('Calc base'!H$12,ROUND('Calc base'!H$13*AY240,2))&lt;1,ROUND(AY240*(1+'Calc base'!M241),2),MAX('Calc base'!H$12,ROUND('Calc base'!H$13*AY240,2))))</f>
        <v>0</v>
      </c>
      <c r="P241">
        <f>IF(AZ240&lt;=0,0,IF(ROUND(AZ240*(1+'Calc base'!N241),2)-MAX('Calc base'!I$12,ROUND('Calc base'!I$13*AZ240,2))&lt;1,ROUND(AZ240*(1+'Calc base'!N241),2),MAX('Calc base'!I$12,ROUND('Calc base'!I$13*AZ240,2))))</f>
        <v>0</v>
      </c>
      <c r="Q241">
        <f>IF(BA240&lt;=0,0,IF(ROUND(BA240*(1+'Calc base'!O241),2)-MAX('Calc base'!J$12,ROUND('Calc base'!J$13*BA240,2))&lt;1,ROUND(BA240*(1+'Calc base'!O241),2),MAX('Calc base'!J$12,ROUND('Calc base'!J$13*BA240,2))))</f>
        <v>0</v>
      </c>
      <c r="R241">
        <f>IF(BB240&lt;=0,0,IF(ROUND(BB240*(1+'Calc base'!P241),2)-MAX('Calc base'!K$12,ROUND('Calc base'!K$13*BB240,2))&lt;1,ROUND(BB240*(1+'Calc base'!P241),2),MAX('Calc base'!K$12,ROUND('Calc base'!K$13*BB240,2))))</f>
        <v>0</v>
      </c>
      <c r="S241">
        <f>IF(BC240&lt;=0,0,IF(ROUND(BC240*(1+'Calc base'!Q241),2)-MAX('Calc base'!L$12,ROUND('Calc base'!L$13*BC240,2))&lt;1,ROUND(BC240*(1+'Calc base'!Q241),2),MAX('Calc base'!L$12,ROUND('Calc base'!L$13*BC240,2))))</f>
        <v>0</v>
      </c>
      <c r="T241">
        <f>IF(BD240&lt;=0,0,IF(ROUND(BD240*(1+'Calc base'!R241),2)-MAX('Calc base'!M$12,ROUND('Calc base'!M$13*BD240,2))&lt;1,ROUND(BD240*(1+'Calc base'!R241),2),MAX('Calc base'!M$12,ROUND('Calc base'!M$13*BD240,2))))</f>
        <v>0</v>
      </c>
      <c r="U241">
        <f>IF(BE240&lt;=0,0,IF(ROUND(BE240*(1+'Calc base'!S241),2)-MAX('Calc base'!N$12,ROUND('Calc base'!N$13*BE240,2))&lt;1,ROUND(BE240*(1+'Calc base'!S241),2),MAX('Calc base'!N$12,ROUND('Calc base'!N$13*BE240,2))))</f>
        <v>0</v>
      </c>
      <c r="V241">
        <f>MAX(0,ROUND(AT240*(1+'Calc base'!H241),2)-J241-'Calc base'!T241)</f>
        <v>0</v>
      </c>
      <c r="W241">
        <f>MAX(0,ROUND(AU240*(1+'Calc base'!I241),2)-K241-'Calc base'!U241)</f>
        <v>0</v>
      </c>
      <c r="X241">
        <f>MAX(0,ROUND(AV240*(1+'Calc base'!J241),2)-L241-'Calc base'!V241)</f>
        <v>0</v>
      </c>
      <c r="Y241">
        <f>MAX(0,ROUND(AW240*(1+'Calc base'!K241),2)-M241-'Calc base'!W241)</f>
        <v>0</v>
      </c>
      <c r="Z241">
        <f>MAX(0,ROUND(AX240*(1+'Calc base'!L241),2)-N241-'Calc base'!X241)</f>
        <v>0</v>
      </c>
      <c r="AA241">
        <f>MAX(0,ROUND(AY240*(1+'Calc base'!M241),2)-O241-'Calc base'!Y241)</f>
        <v>0</v>
      </c>
      <c r="AB241">
        <f>MAX(0,ROUND(AZ240*(1+'Calc base'!N241),2)-P241-'Calc base'!Z241)</f>
        <v>0</v>
      </c>
      <c r="AC241">
        <f>MAX(0,ROUND(BA240*(1+'Calc base'!O241),2)-Q241-'Calc base'!AA241)</f>
        <v>0</v>
      </c>
      <c r="AD241">
        <f>MAX(0,ROUND(BB240*(1+'Calc base'!P241),2)-R241-'Calc base'!AB241)</f>
        <v>0</v>
      </c>
      <c r="AE241">
        <f>MAX(0,ROUND(BC240*(1+'Calc base'!Q241),2)-S241-'Calc base'!AC241)</f>
        <v>0</v>
      </c>
      <c r="AF241">
        <f>MAX(0,ROUND(BD240*(1+'Calc base'!R241),2)-T241-'Calc base'!AD241)</f>
        <v>0</v>
      </c>
      <c r="AG241">
        <f>MAX(0,ROUND(BE240*(1+'Calc base'!S241),2)-U241-'Calc base'!AE241)</f>
        <v>0</v>
      </c>
      <c r="AH241">
        <f>IF('Calc base'!C$14=0,0,MIN(V241,MAX(0,$E241-SUMIFS($V241:$AG241,'Calc base'!$C$19:$N$19,"&lt;"&amp;'Calc base'!C$19,'Calc base'!$C$14:$N$14,1))))</f>
        <v>0</v>
      </c>
      <c r="AI241">
        <f>IF('Calc base'!D$14=0,0,MIN(W241,MAX(0,$E241-SUMIFS($V241:$AG241,'Calc base'!$C$19:$N$19,"&lt;"&amp;'Calc base'!D$19,'Calc base'!$C$14:$N$14,1))))</f>
        <v>0</v>
      </c>
      <c r="AJ241">
        <f>IF('Calc base'!E$14=0,0,MIN(X241,MAX(0,$E241-SUMIFS($V241:$AG241,'Calc base'!$C$19:$N$19,"&lt;"&amp;'Calc base'!E$19,'Calc base'!$C$14:$N$14,1))))</f>
        <v>0</v>
      </c>
      <c r="AK241">
        <f>IF('Calc base'!F$14=0,0,MIN(Y241,MAX(0,$E241-SUMIFS($V241:$AG241,'Calc base'!$C$19:$N$19,"&lt;"&amp;'Calc base'!F$19,'Calc base'!$C$14:$N$14,1))))</f>
        <v>0</v>
      </c>
      <c r="AL241">
        <f>IF('Calc base'!G$14=0,0,MIN(Z241,MAX(0,$E241-SUMIFS($V241:$AG241,'Calc base'!$C$19:$N$19,"&lt;"&amp;'Calc base'!G$19,'Calc base'!$C$14:$N$14,1))))</f>
        <v>0</v>
      </c>
      <c r="AM241">
        <f>IF('Calc base'!H$14=0,0,MIN(AA241,MAX(0,$E241-SUMIFS($V241:$AG241,'Calc base'!$C$19:$N$19,"&lt;"&amp;'Calc base'!H$19,'Calc base'!$C$14:$N$14,1))))</f>
        <v>0</v>
      </c>
      <c r="AN241">
        <f>IF('Calc base'!I$14=0,0,MIN(AB241,MAX(0,$E241-SUMIFS($V241:$AG241,'Calc base'!$C$19:$N$19,"&lt;"&amp;'Calc base'!I$19,'Calc base'!$C$14:$N$14,1))))</f>
        <v>0</v>
      </c>
      <c r="AO241">
        <f>IF('Calc base'!J$14=0,0,MIN(AC241,MAX(0,$E241-SUMIFS($V241:$AG241,'Calc base'!$C$19:$N$19,"&lt;"&amp;'Calc base'!J$19,'Calc base'!$C$14:$N$14,1))))</f>
        <v>0</v>
      </c>
      <c r="AP241">
        <f>IF('Calc base'!K$14=0,0,MIN(AD241,MAX(0,$E241-SUMIFS($V241:$AG241,'Calc base'!$C$19:$N$19,"&lt;"&amp;'Calc base'!K$19,'Calc base'!$C$14:$N$14,1))))</f>
        <v>0</v>
      </c>
      <c r="AQ241">
        <f>IF('Calc base'!L$14=0,0,MIN(AE241,MAX(0,$E241-SUMIFS($V241:$AG241,'Calc base'!$C$19:$N$19,"&lt;"&amp;'Calc base'!L$19,'Calc base'!$C$14:$N$14,1))))</f>
        <v>0</v>
      </c>
      <c r="AR241">
        <f>IF('Calc base'!M$14=0,0,MIN(AF241,MAX(0,$E241-SUMIFS($V241:$AG241,'Calc base'!$C$19:$N$19,"&lt;"&amp;'Calc base'!M$19,'Calc base'!$C$14:$N$14,1))))</f>
        <v>0</v>
      </c>
      <c r="AS241">
        <f>IF('Calc base'!N$14=0,0,MIN(AG241,MAX(0,$E241-SUMIFS($V241:$AG241,'Calc base'!$C$19:$N$19,"&lt;"&amp;'Calc base'!N$19,'Calc base'!$C$14:$N$14,1))))</f>
        <v>0</v>
      </c>
      <c r="AT241">
        <f>V241-AH241</f>
        <v>0</v>
      </c>
      <c r="AU241">
        <f>W241-AI241</f>
        <v>0</v>
      </c>
      <c r="AV241">
        <f>X241-AJ241</f>
        <v>0</v>
      </c>
      <c r="AW241">
        <f>Y241-AK241</f>
        <v>0</v>
      </c>
      <c r="AX241">
        <f>Z241-AL241</f>
        <v>0</v>
      </c>
      <c r="AY241">
        <f>AA241-AM241</f>
        <v>0</v>
      </c>
      <c r="AZ241">
        <f>AB241-AN241</f>
        <v>0</v>
      </c>
      <c r="BA241">
        <f>AC241-AO241</f>
        <v>0</v>
      </c>
      <c r="BB241">
        <f>AD241-AP241</f>
        <v>0</v>
      </c>
      <c r="BC241">
        <f>AE241-AQ241</f>
        <v>0</v>
      </c>
      <c r="BD241">
        <f>AF241-AR241</f>
        <v>0</v>
      </c>
      <c r="BE241">
        <f>AG241-AS241</f>
        <v>0</v>
      </c>
    </row>
    <row r="242">
      <c r="A242" t="n">
        <v>212</v>
      </c>
      <c r="B242">
        <f>SUMPRODUCT(ROUND($AT241:$BE241*(1+'Calc base'!$H242:$S242),2))</f>
        <v>0</v>
      </c>
      <c r="C242">
        <f>SUM(J242:U242)</f>
        <v>0</v>
      </c>
      <c r="D242">
        <f>SUM(V242:AG242)</f>
        <v>0</v>
      </c>
      <c r="E242">
        <f>MAX(0,IF(Impostazioni!$B$7="No",'Calc base'!$C242-$C$31,'Calc base'!$C242-C242)+'Calc base'!$G242+'Calc base'!$F242-(B242-C242-D242))</f>
        <v>900</v>
      </c>
      <c r="F242">
        <f>SUM(AH242:AS242)</f>
        <v>0</v>
      </c>
      <c r="G242">
        <f>SUM(AT242:BE242)</f>
        <v>0</v>
      </c>
      <c r="H242">
        <f>B242-G241</f>
        <v>0</v>
      </c>
      <c r="I242">
        <f>B242-G242</f>
        <v>0</v>
      </c>
      <c r="J242">
        <f>IF(AT241&lt;=0,0,IF(ROUND(AT241*(1+'Calc base'!H242),2)-MAX('Calc base'!C$12,ROUND('Calc base'!C$13*AT241,2))&lt;1,ROUND(AT241*(1+'Calc base'!H242),2),MAX('Calc base'!C$12,ROUND('Calc base'!C$13*AT241,2))))</f>
        <v>0</v>
      </c>
      <c r="K242">
        <f>IF(AU241&lt;=0,0,IF(ROUND(AU241*(1+'Calc base'!I242),2)-MAX('Calc base'!D$12,ROUND('Calc base'!D$13*AU241,2))&lt;1,ROUND(AU241*(1+'Calc base'!I242),2),MAX('Calc base'!D$12,ROUND('Calc base'!D$13*AU241,2))))</f>
        <v>0</v>
      </c>
      <c r="L242">
        <f>IF(AV241&lt;=0,0,IF(ROUND(AV241*(1+'Calc base'!J242),2)-MAX('Calc base'!E$12,ROUND('Calc base'!E$13*AV241,2))&lt;1,ROUND(AV241*(1+'Calc base'!J242),2),MAX('Calc base'!E$12,ROUND('Calc base'!E$13*AV241,2))))</f>
        <v>0</v>
      </c>
      <c r="M242">
        <f>IF(AW241&lt;=0,0,IF(ROUND(AW241*(1+'Calc base'!K242),2)-MAX('Calc base'!F$12,ROUND('Calc base'!F$13*AW241,2))&lt;1,ROUND(AW241*(1+'Calc base'!K242),2),MAX('Calc base'!F$12,ROUND('Calc base'!F$13*AW241,2))))</f>
        <v>0</v>
      </c>
      <c r="N242">
        <f>IF(AX241&lt;=0,0,IF(ROUND(AX241*(1+'Calc base'!L242),2)-MAX('Calc base'!G$12,ROUND('Calc base'!G$13*AX241,2))&lt;1,ROUND(AX241*(1+'Calc base'!L242),2),MAX('Calc base'!G$12,ROUND('Calc base'!G$13*AX241,2))))</f>
        <v>0</v>
      </c>
      <c r="O242">
        <f>IF(AY241&lt;=0,0,IF(ROUND(AY241*(1+'Calc base'!M242),2)-MAX('Calc base'!H$12,ROUND('Calc base'!H$13*AY241,2))&lt;1,ROUND(AY241*(1+'Calc base'!M242),2),MAX('Calc base'!H$12,ROUND('Calc base'!H$13*AY241,2))))</f>
        <v>0</v>
      </c>
      <c r="P242">
        <f>IF(AZ241&lt;=0,0,IF(ROUND(AZ241*(1+'Calc base'!N242),2)-MAX('Calc base'!I$12,ROUND('Calc base'!I$13*AZ241,2))&lt;1,ROUND(AZ241*(1+'Calc base'!N242),2),MAX('Calc base'!I$12,ROUND('Calc base'!I$13*AZ241,2))))</f>
        <v>0</v>
      </c>
      <c r="Q242">
        <f>IF(BA241&lt;=0,0,IF(ROUND(BA241*(1+'Calc base'!O242),2)-MAX('Calc base'!J$12,ROUND('Calc base'!J$13*BA241,2))&lt;1,ROUND(BA241*(1+'Calc base'!O242),2),MAX('Calc base'!J$12,ROUND('Calc base'!J$13*BA241,2))))</f>
        <v>0</v>
      </c>
      <c r="R242">
        <f>IF(BB241&lt;=0,0,IF(ROUND(BB241*(1+'Calc base'!P242),2)-MAX('Calc base'!K$12,ROUND('Calc base'!K$13*BB241,2))&lt;1,ROUND(BB241*(1+'Calc base'!P242),2),MAX('Calc base'!K$12,ROUND('Calc base'!K$13*BB241,2))))</f>
        <v>0</v>
      </c>
      <c r="S242">
        <f>IF(BC241&lt;=0,0,IF(ROUND(BC241*(1+'Calc base'!Q242),2)-MAX('Calc base'!L$12,ROUND('Calc base'!L$13*BC241,2))&lt;1,ROUND(BC241*(1+'Calc base'!Q242),2),MAX('Calc base'!L$12,ROUND('Calc base'!L$13*BC241,2))))</f>
        <v>0</v>
      </c>
      <c r="T242">
        <f>IF(BD241&lt;=0,0,IF(ROUND(BD241*(1+'Calc base'!R242),2)-MAX('Calc base'!M$12,ROUND('Calc base'!M$13*BD241,2))&lt;1,ROUND(BD241*(1+'Calc base'!R242),2),MAX('Calc base'!M$12,ROUND('Calc base'!M$13*BD241,2))))</f>
        <v>0</v>
      </c>
      <c r="U242">
        <f>IF(BE241&lt;=0,0,IF(ROUND(BE241*(1+'Calc base'!S242),2)-MAX('Calc base'!N$12,ROUND('Calc base'!N$13*BE241,2))&lt;1,ROUND(BE241*(1+'Calc base'!S242),2),MAX('Calc base'!N$12,ROUND('Calc base'!N$13*BE241,2))))</f>
        <v>0</v>
      </c>
      <c r="V242">
        <f>MAX(0,ROUND(AT241*(1+'Calc base'!H242),2)-J242-'Calc base'!T242)</f>
        <v>0</v>
      </c>
      <c r="W242">
        <f>MAX(0,ROUND(AU241*(1+'Calc base'!I242),2)-K242-'Calc base'!U242)</f>
        <v>0</v>
      </c>
      <c r="X242">
        <f>MAX(0,ROUND(AV241*(1+'Calc base'!J242),2)-L242-'Calc base'!V242)</f>
        <v>0</v>
      </c>
      <c r="Y242">
        <f>MAX(0,ROUND(AW241*(1+'Calc base'!K242),2)-M242-'Calc base'!W242)</f>
        <v>0</v>
      </c>
      <c r="Z242">
        <f>MAX(0,ROUND(AX241*(1+'Calc base'!L242),2)-N242-'Calc base'!X242)</f>
        <v>0</v>
      </c>
      <c r="AA242">
        <f>MAX(0,ROUND(AY241*(1+'Calc base'!M242),2)-O242-'Calc base'!Y242)</f>
        <v>0</v>
      </c>
      <c r="AB242">
        <f>MAX(0,ROUND(AZ241*(1+'Calc base'!N242),2)-P242-'Calc base'!Z242)</f>
        <v>0</v>
      </c>
      <c r="AC242">
        <f>MAX(0,ROUND(BA241*(1+'Calc base'!O242),2)-Q242-'Calc base'!AA242)</f>
        <v>0</v>
      </c>
      <c r="AD242">
        <f>MAX(0,ROUND(BB241*(1+'Calc base'!P242),2)-R242-'Calc base'!AB242)</f>
        <v>0</v>
      </c>
      <c r="AE242">
        <f>MAX(0,ROUND(BC241*(1+'Calc base'!Q242),2)-S242-'Calc base'!AC242)</f>
        <v>0</v>
      </c>
      <c r="AF242">
        <f>MAX(0,ROUND(BD241*(1+'Calc base'!R242),2)-T242-'Calc base'!AD242)</f>
        <v>0</v>
      </c>
      <c r="AG242">
        <f>MAX(0,ROUND(BE241*(1+'Calc base'!S242),2)-U242-'Calc base'!AE242)</f>
        <v>0</v>
      </c>
      <c r="AH242">
        <f>IF('Calc base'!C$14=0,0,MIN(V242,MAX(0,$E242-SUMIFS($V242:$AG242,'Calc base'!$C$19:$N$19,"&lt;"&amp;'Calc base'!C$19,'Calc base'!$C$14:$N$14,1))))</f>
        <v>0</v>
      </c>
      <c r="AI242">
        <f>IF('Calc base'!D$14=0,0,MIN(W242,MAX(0,$E242-SUMIFS($V242:$AG242,'Calc base'!$C$19:$N$19,"&lt;"&amp;'Calc base'!D$19,'Calc base'!$C$14:$N$14,1))))</f>
        <v>0</v>
      </c>
      <c r="AJ242">
        <f>IF('Calc base'!E$14=0,0,MIN(X242,MAX(0,$E242-SUMIFS($V242:$AG242,'Calc base'!$C$19:$N$19,"&lt;"&amp;'Calc base'!E$19,'Calc base'!$C$14:$N$14,1))))</f>
        <v>0</v>
      </c>
      <c r="AK242">
        <f>IF('Calc base'!F$14=0,0,MIN(Y242,MAX(0,$E242-SUMIFS($V242:$AG242,'Calc base'!$C$19:$N$19,"&lt;"&amp;'Calc base'!F$19,'Calc base'!$C$14:$N$14,1))))</f>
        <v>0</v>
      </c>
      <c r="AL242">
        <f>IF('Calc base'!G$14=0,0,MIN(Z242,MAX(0,$E242-SUMIFS($V242:$AG242,'Calc base'!$C$19:$N$19,"&lt;"&amp;'Calc base'!G$19,'Calc base'!$C$14:$N$14,1))))</f>
        <v>0</v>
      </c>
      <c r="AM242">
        <f>IF('Calc base'!H$14=0,0,MIN(AA242,MAX(0,$E242-SUMIFS($V242:$AG242,'Calc base'!$C$19:$N$19,"&lt;"&amp;'Calc base'!H$19,'Calc base'!$C$14:$N$14,1))))</f>
        <v>0</v>
      </c>
      <c r="AN242">
        <f>IF('Calc base'!I$14=0,0,MIN(AB242,MAX(0,$E242-SUMIFS($V242:$AG242,'Calc base'!$C$19:$N$19,"&lt;"&amp;'Calc base'!I$19,'Calc base'!$C$14:$N$14,1))))</f>
        <v>0</v>
      </c>
      <c r="AO242">
        <f>IF('Calc base'!J$14=0,0,MIN(AC242,MAX(0,$E242-SUMIFS($V242:$AG242,'Calc base'!$C$19:$N$19,"&lt;"&amp;'Calc base'!J$19,'Calc base'!$C$14:$N$14,1))))</f>
        <v>0</v>
      </c>
      <c r="AP242">
        <f>IF('Calc base'!K$14=0,0,MIN(AD242,MAX(0,$E242-SUMIFS($V242:$AG242,'Calc base'!$C$19:$N$19,"&lt;"&amp;'Calc base'!K$19,'Calc base'!$C$14:$N$14,1))))</f>
        <v>0</v>
      </c>
      <c r="AQ242">
        <f>IF('Calc base'!L$14=0,0,MIN(AE242,MAX(0,$E242-SUMIFS($V242:$AG242,'Calc base'!$C$19:$N$19,"&lt;"&amp;'Calc base'!L$19,'Calc base'!$C$14:$N$14,1))))</f>
        <v>0</v>
      </c>
      <c r="AR242">
        <f>IF('Calc base'!M$14=0,0,MIN(AF242,MAX(0,$E242-SUMIFS($V242:$AG242,'Calc base'!$C$19:$N$19,"&lt;"&amp;'Calc base'!M$19,'Calc base'!$C$14:$N$14,1))))</f>
        <v>0</v>
      </c>
      <c r="AS242">
        <f>IF('Calc base'!N$14=0,0,MIN(AG242,MAX(0,$E242-SUMIFS($V242:$AG242,'Calc base'!$C$19:$N$19,"&lt;"&amp;'Calc base'!N$19,'Calc base'!$C$14:$N$14,1))))</f>
        <v>0</v>
      </c>
      <c r="AT242">
        <f>V242-AH242</f>
        <v>0</v>
      </c>
      <c r="AU242">
        <f>W242-AI242</f>
        <v>0</v>
      </c>
      <c r="AV242">
        <f>X242-AJ242</f>
        <v>0</v>
      </c>
      <c r="AW242">
        <f>Y242-AK242</f>
        <v>0</v>
      </c>
      <c r="AX242">
        <f>Z242-AL242</f>
        <v>0</v>
      </c>
      <c r="AY242">
        <f>AA242-AM242</f>
        <v>0</v>
      </c>
      <c r="AZ242">
        <f>AB242-AN242</f>
        <v>0</v>
      </c>
      <c r="BA242">
        <f>AC242-AO242</f>
        <v>0</v>
      </c>
      <c r="BB242">
        <f>AD242-AP242</f>
        <v>0</v>
      </c>
      <c r="BC242">
        <f>AE242-AQ242</f>
        <v>0</v>
      </c>
      <c r="BD242">
        <f>AF242-AR242</f>
        <v>0</v>
      </c>
      <c r="BE242">
        <f>AG242-AS242</f>
        <v>0</v>
      </c>
    </row>
    <row r="243">
      <c r="A243" t="n">
        <v>213</v>
      </c>
      <c r="B243">
        <f>SUMPRODUCT(ROUND($AT242:$BE242*(1+'Calc base'!$H243:$S243),2))</f>
        <v>0</v>
      </c>
      <c r="C243">
        <f>SUM(J243:U243)</f>
        <v>0</v>
      </c>
      <c r="D243">
        <f>SUM(V243:AG243)</f>
        <v>0</v>
      </c>
      <c r="E243">
        <f>MAX(0,IF(Impostazioni!$B$7="No",'Calc base'!$C243-$C$31,'Calc base'!$C243-C243)+'Calc base'!$G243+'Calc base'!$F243-(B243-C243-D243))</f>
        <v>900</v>
      </c>
      <c r="F243">
        <f>SUM(AH243:AS243)</f>
        <v>0</v>
      </c>
      <c r="G243">
        <f>SUM(AT243:BE243)</f>
        <v>0</v>
      </c>
      <c r="H243">
        <f>B243-G242</f>
        <v>0</v>
      </c>
      <c r="I243">
        <f>B243-G243</f>
        <v>0</v>
      </c>
      <c r="J243">
        <f>IF(AT242&lt;=0,0,IF(ROUND(AT242*(1+'Calc base'!H243),2)-MAX('Calc base'!C$12,ROUND('Calc base'!C$13*AT242,2))&lt;1,ROUND(AT242*(1+'Calc base'!H243),2),MAX('Calc base'!C$12,ROUND('Calc base'!C$13*AT242,2))))</f>
        <v>0</v>
      </c>
      <c r="K243">
        <f>IF(AU242&lt;=0,0,IF(ROUND(AU242*(1+'Calc base'!I243),2)-MAX('Calc base'!D$12,ROUND('Calc base'!D$13*AU242,2))&lt;1,ROUND(AU242*(1+'Calc base'!I243),2),MAX('Calc base'!D$12,ROUND('Calc base'!D$13*AU242,2))))</f>
        <v>0</v>
      </c>
      <c r="L243">
        <f>IF(AV242&lt;=0,0,IF(ROUND(AV242*(1+'Calc base'!J243),2)-MAX('Calc base'!E$12,ROUND('Calc base'!E$13*AV242,2))&lt;1,ROUND(AV242*(1+'Calc base'!J243),2),MAX('Calc base'!E$12,ROUND('Calc base'!E$13*AV242,2))))</f>
        <v>0</v>
      </c>
      <c r="M243">
        <f>IF(AW242&lt;=0,0,IF(ROUND(AW242*(1+'Calc base'!K243),2)-MAX('Calc base'!F$12,ROUND('Calc base'!F$13*AW242,2))&lt;1,ROUND(AW242*(1+'Calc base'!K243),2),MAX('Calc base'!F$12,ROUND('Calc base'!F$13*AW242,2))))</f>
        <v>0</v>
      </c>
      <c r="N243">
        <f>IF(AX242&lt;=0,0,IF(ROUND(AX242*(1+'Calc base'!L243),2)-MAX('Calc base'!G$12,ROUND('Calc base'!G$13*AX242,2))&lt;1,ROUND(AX242*(1+'Calc base'!L243),2),MAX('Calc base'!G$12,ROUND('Calc base'!G$13*AX242,2))))</f>
        <v>0</v>
      </c>
      <c r="O243">
        <f>IF(AY242&lt;=0,0,IF(ROUND(AY242*(1+'Calc base'!M243),2)-MAX('Calc base'!H$12,ROUND('Calc base'!H$13*AY242,2))&lt;1,ROUND(AY242*(1+'Calc base'!M243),2),MAX('Calc base'!H$12,ROUND('Calc base'!H$13*AY242,2))))</f>
        <v>0</v>
      </c>
      <c r="P243">
        <f>IF(AZ242&lt;=0,0,IF(ROUND(AZ242*(1+'Calc base'!N243),2)-MAX('Calc base'!I$12,ROUND('Calc base'!I$13*AZ242,2))&lt;1,ROUND(AZ242*(1+'Calc base'!N243),2),MAX('Calc base'!I$12,ROUND('Calc base'!I$13*AZ242,2))))</f>
        <v>0</v>
      </c>
      <c r="Q243">
        <f>IF(BA242&lt;=0,0,IF(ROUND(BA242*(1+'Calc base'!O243),2)-MAX('Calc base'!J$12,ROUND('Calc base'!J$13*BA242,2))&lt;1,ROUND(BA242*(1+'Calc base'!O243),2),MAX('Calc base'!J$12,ROUND('Calc base'!J$13*BA242,2))))</f>
        <v>0</v>
      </c>
      <c r="R243">
        <f>IF(BB242&lt;=0,0,IF(ROUND(BB242*(1+'Calc base'!P243),2)-MAX('Calc base'!K$12,ROUND('Calc base'!K$13*BB242,2))&lt;1,ROUND(BB242*(1+'Calc base'!P243),2),MAX('Calc base'!K$12,ROUND('Calc base'!K$13*BB242,2))))</f>
        <v>0</v>
      </c>
      <c r="S243">
        <f>IF(BC242&lt;=0,0,IF(ROUND(BC242*(1+'Calc base'!Q243),2)-MAX('Calc base'!L$12,ROUND('Calc base'!L$13*BC242,2))&lt;1,ROUND(BC242*(1+'Calc base'!Q243),2),MAX('Calc base'!L$12,ROUND('Calc base'!L$13*BC242,2))))</f>
        <v>0</v>
      </c>
      <c r="T243">
        <f>IF(BD242&lt;=0,0,IF(ROUND(BD242*(1+'Calc base'!R243),2)-MAX('Calc base'!M$12,ROUND('Calc base'!M$13*BD242,2))&lt;1,ROUND(BD242*(1+'Calc base'!R243),2),MAX('Calc base'!M$12,ROUND('Calc base'!M$13*BD242,2))))</f>
        <v>0</v>
      </c>
      <c r="U243">
        <f>IF(BE242&lt;=0,0,IF(ROUND(BE242*(1+'Calc base'!S243),2)-MAX('Calc base'!N$12,ROUND('Calc base'!N$13*BE242,2))&lt;1,ROUND(BE242*(1+'Calc base'!S243),2),MAX('Calc base'!N$12,ROUND('Calc base'!N$13*BE242,2))))</f>
        <v>0</v>
      </c>
      <c r="V243">
        <f>MAX(0,ROUND(AT242*(1+'Calc base'!H243),2)-J243-'Calc base'!T243)</f>
        <v>0</v>
      </c>
      <c r="W243">
        <f>MAX(0,ROUND(AU242*(1+'Calc base'!I243),2)-K243-'Calc base'!U243)</f>
        <v>0</v>
      </c>
      <c r="X243">
        <f>MAX(0,ROUND(AV242*(1+'Calc base'!J243),2)-L243-'Calc base'!V243)</f>
        <v>0</v>
      </c>
      <c r="Y243">
        <f>MAX(0,ROUND(AW242*(1+'Calc base'!K243),2)-M243-'Calc base'!W243)</f>
        <v>0</v>
      </c>
      <c r="Z243">
        <f>MAX(0,ROUND(AX242*(1+'Calc base'!L243),2)-N243-'Calc base'!X243)</f>
        <v>0</v>
      </c>
      <c r="AA243">
        <f>MAX(0,ROUND(AY242*(1+'Calc base'!M243),2)-O243-'Calc base'!Y243)</f>
        <v>0</v>
      </c>
      <c r="AB243">
        <f>MAX(0,ROUND(AZ242*(1+'Calc base'!N243),2)-P243-'Calc base'!Z243)</f>
        <v>0</v>
      </c>
      <c r="AC243">
        <f>MAX(0,ROUND(BA242*(1+'Calc base'!O243),2)-Q243-'Calc base'!AA243)</f>
        <v>0</v>
      </c>
      <c r="AD243">
        <f>MAX(0,ROUND(BB242*(1+'Calc base'!P243),2)-R243-'Calc base'!AB243)</f>
        <v>0</v>
      </c>
      <c r="AE243">
        <f>MAX(0,ROUND(BC242*(1+'Calc base'!Q243),2)-S243-'Calc base'!AC243)</f>
        <v>0</v>
      </c>
      <c r="AF243">
        <f>MAX(0,ROUND(BD242*(1+'Calc base'!R243),2)-T243-'Calc base'!AD243)</f>
        <v>0</v>
      </c>
      <c r="AG243">
        <f>MAX(0,ROUND(BE242*(1+'Calc base'!S243),2)-U243-'Calc base'!AE243)</f>
        <v>0</v>
      </c>
      <c r="AH243">
        <f>IF('Calc base'!C$14=0,0,MIN(V243,MAX(0,$E243-SUMIFS($V243:$AG243,'Calc base'!$C$19:$N$19,"&lt;"&amp;'Calc base'!C$19,'Calc base'!$C$14:$N$14,1))))</f>
        <v>0</v>
      </c>
      <c r="AI243">
        <f>IF('Calc base'!D$14=0,0,MIN(W243,MAX(0,$E243-SUMIFS($V243:$AG243,'Calc base'!$C$19:$N$19,"&lt;"&amp;'Calc base'!D$19,'Calc base'!$C$14:$N$14,1))))</f>
        <v>0</v>
      </c>
      <c r="AJ243">
        <f>IF('Calc base'!E$14=0,0,MIN(X243,MAX(0,$E243-SUMIFS($V243:$AG243,'Calc base'!$C$19:$N$19,"&lt;"&amp;'Calc base'!E$19,'Calc base'!$C$14:$N$14,1))))</f>
        <v>0</v>
      </c>
      <c r="AK243">
        <f>IF('Calc base'!F$14=0,0,MIN(Y243,MAX(0,$E243-SUMIFS($V243:$AG243,'Calc base'!$C$19:$N$19,"&lt;"&amp;'Calc base'!F$19,'Calc base'!$C$14:$N$14,1))))</f>
        <v>0</v>
      </c>
      <c r="AL243">
        <f>IF('Calc base'!G$14=0,0,MIN(Z243,MAX(0,$E243-SUMIFS($V243:$AG243,'Calc base'!$C$19:$N$19,"&lt;"&amp;'Calc base'!G$19,'Calc base'!$C$14:$N$14,1))))</f>
        <v>0</v>
      </c>
      <c r="AM243">
        <f>IF('Calc base'!H$14=0,0,MIN(AA243,MAX(0,$E243-SUMIFS($V243:$AG243,'Calc base'!$C$19:$N$19,"&lt;"&amp;'Calc base'!H$19,'Calc base'!$C$14:$N$14,1))))</f>
        <v>0</v>
      </c>
      <c r="AN243">
        <f>IF('Calc base'!I$14=0,0,MIN(AB243,MAX(0,$E243-SUMIFS($V243:$AG243,'Calc base'!$C$19:$N$19,"&lt;"&amp;'Calc base'!I$19,'Calc base'!$C$14:$N$14,1))))</f>
        <v>0</v>
      </c>
      <c r="AO243">
        <f>IF('Calc base'!J$14=0,0,MIN(AC243,MAX(0,$E243-SUMIFS($V243:$AG243,'Calc base'!$C$19:$N$19,"&lt;"&amp;'Calc base'!J$19,'Calc base'!$C$14:$N$14,1))))</f>
        <v>0</v>
      </c>
      <c r="AP243">
        <f>IF('Calc base'!K$14=0,0,MIN(AD243,MAX(0,$E243-SUMIFS($V243:$AG243,'Calc base'!$C$19:$N$19,"&lt;"&amp;'Calc base'!K$19,'Calc base'!$C$14:$N$14,1))))</f>
        <v>0</v>
      </c>
      <c r="AQ243">
        <f>IF('Calc base'!L$14=0,0,MIN(AE243,MAX(0,$E243-SUMIFS($V243:$AG243,'Calc base'!$C$19:$N$19,"&lt;"&amp;'Calc base'!L$19,'Calc base'!$C$14:$N$14,1))))</f>
        <v>0</v>
      </c>
      <c r="AR243">
        <f>IF('Calc base'!M$14=0,0,MIN(AF243,MAX(0,$E243-SUMIFS($V243:$AG243,'Calc base'!$C$19:$N$19,"&lt;"&amp;'Calc base'!M$19,'Calc base'!$C$14:$N$14,1))))</f>
        <v>0</v>
      </c>
      <c r="AS243">
        <f>IF('Calc base'!N$14=0,0,MIN(AG243,MAX(0,$E243-SUMIFS($V243:$AG243,'Calc base'!$C$19:$N$19,"&lt;"&amp;'Calc base'!N$19,'Calc base'!$C$14:$N$14,1))))</f>
        <v>0</v>
      </c>
      <c r="AT243">
        <f>V243-AH243</f>
        <v>0</v>
      </c>
      <c r="AU243">
        <f>W243-AI243</f>
        <v>0</v>
      </c>
      <c r="AV243">
        <f>X243-AJ243</f>
        <v>0</v>
      </c>
      <c r="AW243">
        <f>Y243-AK243</f>
        <v>0</v>
      </c>
      <c r="AX243">
        <f>Z243-AL243</f>
        <v>0</v>
      </c>
      <c r="AY243">
        <f>AA243-AM243</f>
        <v>0</v>
      </c>
      <c r="AZ243">
        <f>AB243-AN243</f>
        <v>0</v>
      </c>
      <c r="BA243">
        <f>AC243-AO243</f>
        <v>0</v>
      </c>
      <c r="BB243">
        <f>AD243-AP243</f>
        <v>0</v>
      </c>
      <c r="BC243">
        <f>AE243-AQ243</f>
        <v>0</v>
      </c>
      <c r="BD243">
        <f>AF243-AR243</f>
        <v>0</v>
      </c>
      <c r="BE243">
        <f>AG243-AS243</f>
        <v>0</v>
      </c>
    </row>
    <row r="244">
      <c r="A244" t="n">
        <v>214</v>
      </c>
      <c r="B244">
        <f>SUMPRODUCT(ROUND($AT243:$BE243*(1+'Calc base'!$H244:$S244),2))</f>
        <v>0</v>
      </c>
      <c r="C244">
        <f>SUM(J244:U244)</f>
        <v>0</v>
      </c>
      <c r="D244">
        <f>SUM(V244:AG244)</f>
        <v>0</v>
      </c>
      <c r="E244">
        <f>MAX(0,IF(Impostazioni!$B$7="No",'Calc base'!$C244-$C$31,'Calc base'!$C244-C244)+'Calc base'!$G244+'Calc base'!$F244-(B244-C244-D244))</f>
        <v>900</v>
      </c>
      <c r="F244">
        <f>SUM(AH244:AS244)</f>
        <v>0</v>
      </c>
      <c r="G244">
        <f>SUM(AT244:BE244)</f>
        <v>0</v>
      </c>
      <c r="H244">
        <f>B244-G243</f>
        <v>0</v>
      </c>
      <c r="I244">
        <f>B244-G244</f>
        <v>0</v>
      </c>
      <c r="J244">
        <f>IF(AT243&lt;=0,0,IF(ROUND(AT243*(1+'Calc base'!H244),2)-MAX('Calc base'!C$12,ROUND('Calc base'!C$13*AT243,2))&lt;1,ROUND(AT243*(1+'Calc base'!H244),2),MAX('Calc base'!C$12,ROUND('Calc base'!C$13*AT243,2))))</f>
        <v>0</v>
      </c>
      <c r="K244">
        <f>IF(AU243&lt;=0,0,IF(ROUND(AU243*(1+'Calc base'!I244),2)-MAX('Calc base'!D$12,ROUND('Calc base'!D$13*AU243,2))&lt;1,ROUND(AU243*(1+'Calc base'!I244),2),MAX('Calc base'!D$12,ROUND('Calc base'!D$13*AU243,2))))</f>
        <v>0</v>
      </c>
      <c r="L244">
        <f>IF(AV243&lt;=0,0,IF(ROUND(AV243*(1+'Calc base'!J244),2)-MAX('Calc base'!E$12,ROUND('Calc base'!E$13*AV243,2))&lt;1,ROUND(AV243*(1+'Calc base'!J244),2),MAX('Calc base'!E$12,ROUND('Calc base'!E$13*AV243,2))))</f>
        <v>0</v>
      </c>
      <c r="M244">
        <f>IF(AW243&lt;=0,0,IF(ROUND(AW243*(1+'Calc base'!K244),2)-MAX('Calc base'!F$12,ROUND('Calc base'!F$13*AW243,2))&lt;1,ROUND(AW243*(1+'Calc base'!K244),2),MAX('Calc base'!F$12,ROUND('Calc base'!F$13*AW243,2))))</f>
        <v>0</v>
      </c>
      <c r="N244">
        <f>IF(AX243&lt;=0,0,IF(ROUND(AX243*(1+'Calc base'!L244),2)-MAX('Calc base'!G$12,ROUND('Calc base'!G$13*AX243,2))&lt;1,ROUND(AX243*(1+'Calc base'!L244),2),MAX('Calc base'!G$12,ROUND('Calc base'!G$13*AX243,2))))</f>
        <v>0</v>
      </c>
      <c r="O244">
        <f>IF(AY243&lt;=0,0,IF(ROUND(AY243*(1+'Calc base'!M244),2)-MAX('Calc base'!H$12,ROUND('Calc base'!H$13*AY243,2))&lt;1,ROUND(AY243*(1+'Calc base'!M244),2),MAX('Calc base'!H$12,ROUND('Calc base'!H$13*AY243,2))))</f>
        <v>0</v>
      </c>
      <c r="P244">
        <f>IF(AZ243&lt;=0,0,IF(ROUND(AZ243*(1+'Calc base'!N244),2)-MAX('Calc base'!I$12,ROUND('Calc base'!I$13*AZ243,2))&lt;1,ROUND(AZ243*(1+'Calc base'!N244),2),MAX('Calc base'!I$12,ROUND('Calc base'!I$13*AZ243,2))))</f>
        <v>0</v>
      </c>
      <c r="Q244">
        <f>IF(BA243&lt;=0,0,IF(ROUND(BA243*(1+'Calc base'!O244),2)-MAX('Calc base'!J$12,ROUND('Calc base'!J$13*BA243,2))&lt;1,ROUND(BA243*(1+'Calc base'!O244),2),MAX('Calc base'!J$12,ROUND('Calc base'!J$13*BA243,2))))</f>
        <v>0</v>
      </c>
      <c r="R244">
        <f>IF(BB243&lt;=0,0,IF(ROUND(BB243*(1+'Calc base'!P244),2)-MAX('Calc base'!K$12,ROUND('Calc base'!K$13*BB243,2))&lt;1,ROUND(BB243*(1+'Calc base'!P244),2),MAX('Calc base'!K$12,ROUND('Calc base'!K$13*BB243,2))))</f>
        <v>0</v>
      </c>
      <c r="S244">
        <f>IF(BC243&lt;=0,0,IF(ROUND(BC243*(1+'Calc base'!Q244),2)-MAX('Calc base'!L$12,ROUND('Calc base'!L$13*BC243,2))&lt;1,ROUND(BC243*(1+'Calc base'!Q244),2),MAX('Calc base'!L$12,ROUND('Calc base'!L$13*BC243,2))))</f>
        <v>0</v>
      </c>
      <c r="T244">
        <f>IF(BD243&lt;=0,0,IF(ROUND(BD243*(1+'Calc base'!R244),2)-MAX('Calc base'!M$12,ROUND('Calc base'!M$13*BD243,2))&lt;1,ROUND(BD243*(1+'Calc base'!R244),2),MAX('Calc base'!M$12,ROUND('Calc base'!M$13*BD243,2))))</f>
        <v>0</v>
      </c>
      <c r="U244">
        <f>IF(BE243&lt;=0,0,IF(ROUND(BE243*(1+'Calc base'!S244),2)-MAX('Calc base'!N$12,ROUND('Calc base'!N$13*BE243,2))&lt;1,ROUND(BE243*(1+'Calc base'!S244),2),MAX('Calc base'!N$12,ROUND('Calc base'!N$13*BE243,2))))</f>
        <v>0</v>
      </c>
      <c r="V244">
        <f>MAX(0,ROUND(AT243*(1+'Calc base'!H244),2)-J244-'Calc base'!T244)</f>
        <v>0</v>
      </c>
      <c r="W244">
        <f>MAX(0,ROUND(AU243*(1+'Calc base'!I244),2)-K244-'Calc base'!U244)</f>
        <v>0</v>
      </c>
      <c r="X244">
        <f>MAX(0,ROUND(AV243*(1+'Calc base'!J244),2)-L244-'Calc base'!V244)</f>
        <v>0</v>
      </c>
      <c r="Y244">
        <f>MAX(0,ROUND(AW243*(1+'Calc base'!K244),2)-M244-'Calc base'!W244)</f>
        <v>0</v>
      </c>
      <c r="Z244">
        <f>MAX(0,ROUND(AX243*(1+'Calc base'!L244),2)-N244-'Calc base'!X244)</f>
        <v>0</v>
      </c>
      <c r="AA244">
        <f>MAX(0,ROUND(AY243*(1+'Calc base'!M244),2)-O244-'Calc base'!Y244)</f>
        <v>0</v>
      </c>
      <c r="AB244">
        <f>MAX(0,ROUND(AZ243*(1+'Calc base'!N244),2)-P244-'Calc base'!Z244)</f>
        <v>0</v>
      </c>
      <c r="AC244">
        <f>MAX(0,ROUND(BA243*(1+'Calc base'!O244),2)-Q244-'Calc base'!AA244)</f>
        <v>0</v>
      </c>
      <c r="AD244">
        <f>MAX(0,ROUND(BB243*(1+'Calc base'!P244),2)-R244-'Calc base'!AB244)</f>
        <v>0</v>
      </c>
      <c r="AE244">
        <f>MAX(0,ROUND(BC243*(1+'Calc base'!Q244),2)-S244-'Calc base'!AC244)</f>
        <v>0</v>
      </c>
      <c r="AF244">
        <f>MAX(0,ROUND(BD243*(1+'Calc base'!R244),2)-T244-'Calc base'!AD244)</f>
        <v>0</v>
      </c>
      <c r="AG244">
        <f>MAX(0,ROUND(BE243*(1+'Calc base'!S244),2)-U244-'Calc base'!AE244)</f>
        <v>0</v>
      </c>
      <c r="AH244">
        <f>IF('Calc base'!C$14=0,0,MIN(V244,MAX(0,$E244-SUMIFS($V244:$AG244,'Calc base'!$C$19:$N$19,"&lt;"&amp;'Calc base'!C$19,'Calc base'!$C$14:$N$14,1))))</f>
        <v>0</v>
      </c>
      <c r="AI244">
        <f>IF('Calc base'!D$14=0,0,MIN(W244,MAX(0,$E244-SUMIFS($V244:$AG244,'Calc base'!$C$19:$N$19,"&lt;"&amp;'Calc base'!D$19,'Calc base'!$C$14:$N$14,1))))</f>
        <v>0</v>
      </c>
      <c r="AJ244">
        <f>IF('Calc base'!E$14=0,0,MIN(X244,MAX(0,$E244-SUMIFS($V244:$AG244,'Calc base'!$C$19:$N$19,"&lt;"&amp;'Calc base'!E$19,'Calc base'!$C$14:$N$14,1))))</f>
        <v>0</v>
      </c>
      <c r="AK244">
        <f>IF('Calc base'!F$14=0,0,MIN(Y244,MAX(0,$E244-SUMIFS($V244:$AG244,'Calc base'!$C$19:$N$19,"&lt;"&amp;'Calc base'!F$19,'Calc base'!$C$14:$N$14,1))))</f>
        <v>0</v>
      </c>
      <c r="AL244">
        <f>IF('Calc base'!G$14=0,0,MIN(Z244,MAX(0,$E244-SUMIFS($V244:$AG244,'Calc base'!$C$19:$N$19,"&lt;"&amp;'Calc base'!G$19,'Calc base'!$C$14:$N$14,1))))</f>
        <v>0</v>
      </c>
      <c r="AM244">
        <f>IF('Calc base'!H$14=0,0,MIN(AA244,MAX(0,$E244-SUMIFS($V244:$AG244,'Calc base'!$C$19:$N$19,"&lt;"&amp;'Calc base'!H$19,'Calc base'!$C$14:$N$14,1))))</f>
        <v>0</v>
      </c>
      <c r="AN244">
        <f>IF('Calc base'!I$14=0,0,MIN(AB244,MAX(0,$E244-SUMIFS($V244:$AG244,'Calc base'!$C$19:$N$19,"&lt;"&amp;'Calc base'!I$19,'Calc base'!$C$14:$N$14,1))))</f>
        <v>0</v>
      </c>
      <c r="AO244">
        <f>IF('Calc base'!J$14=0,0,MIN(AC244,MAX(0,$E244-SUMIFS($V244:$AG244,'Calc base'!$C$19:$N$19,"&lt;"&amp;'Calc base'!J$19,'Calc base'!$C$14:$N$14,1))))</f>
        <v>0</v>
      </c>
      <c r="AP244">
        <f>IF('Calc base'!K$14=0,0,MIN(AD244,MAX(0,$E244-SUMIFS($V244:$AG244,'Calc base'!$C$19:$N$19,"&lt;"&amp;'Calc base'!K$19,'Calc base'!$C$14:$N$14,1))))</f>
        <v>0</v>
      </c>
      <c r="AQ244">
        <f>IF('Calc base'!L$14=0,0,MIN(AE244,MAX(0,$E244-SUMIFS($V244:$AG244,'Calc base'!$C$19:$N$19,"&lt;"&amp;'Calc base'!L$19,'Calc base'!$C$14:$N$14,1))))</f>
        <v>0</v>
      </c>
      <c r="AR244">
        <f>IF('Calc base'!M$14=0,0,MIN(AF244,MAX(0,$E244-SUMIFS($V244:$AG244,'Calc base'!$C$19:$N$19,"&lt;"&amp;'Calc base'!M$19,'Calc base'!$C$14:$N$14,1))))</f>
        <v>0</v>
      </c>
      <c r="AS244">
        <f>IF('Calc base'!N$14=0,0,MIN(AG244,MAX(0,$E244-SUMIFS($V244:$AG244,'Calc base'!$C$19:$N$19,"&lt;"&amp;'Calc base'!N$19,'Calc base'!$C$14:$N$14,1))))</f>
        <v>0</v>
      </c>
      <c r="AT244">
        <f>V244-AH244</f>
        <v>0</v>
      </c>
      <c r="AU244">
        <f>W244-AI244</f>
        <v>0</v>
      </c>
      <c r="AV244">
        <f>X244-AJ244</f>
        <v>0</v>
      </c>
      <c r="AW244">
        <f>Y244-AK244</f>
        <v>0</v>
      </c>
      <c r="AX244">
        <f>Z244-AL244</f>
        <v>0</v>
      </c>
      <c r="AY244">
        <f>AA244-AM244</f>
        <v>0</v>
      </c>
      <c r="AZ244">
        <f>AB244-AN244</f>
        <v>0</v>
      </c>
      <c r="BA244">
        <f>AC244-AO244</f>
        <v>0</v>
      </c>
      <c r="BB244">
        <f>AD244-AP244</f>
        <v>0</v>
      </c>
      <c r="BC244">
        <f>AE244-AQ244</f>
        <v>0</v>
      </c>
      <c r="BD244">
        <f>AF244-AR244</f>
        <v>0</v>
      </c>
      <c r="BE244">
        <f>AG244-AS244</f>
        <v>0</v>
      </c>
    </row>
    <row r="245">
      <c r="A245" t="n">
        <v>215</v>
      </c>
      <c r="B245">
        <f>SUMPRODUCT(ROUND($AT244:$BE244*(1+'Calc base'!$H245:$S245),2))</f>
        <v>0</v>
      </c>
      <c r="C245">
        <f>SUM(J245:U245)</f>
        <v>0</v>
      </c>
      <c r="D245">
        <f>SUM(V245:AG245)</f>
        <v>0</v>
      </c>
      <c r="E245">
        <f>MAX(0,IF(Impostazioni!$B$7="No",'Calc base'!$C245-$C$31,'Calc base'!$C245-C245)+'Calc base'!$G245+'Calc base'!$F245-(B245-C245-D245))</f>
        <v>900</v>
      </c>
      <c r="F245">
        <f>SUM(AH245:AS245)</f>
        <v>0</v>
      </c>
      <c r="G245">
        <f>SUM(AT245:BE245)</f>
        <v>0</v>
      </c>
      <c r="H245">
        <f>B245-G244</f>
        <v>0</v>
      </c>
      <c r="I245">
        <f>B245-G245</f>
        <v>0</v>
      </c>
      <c r="J245">
        <f>IF(AT244&lt;=0,0,IF(ROUND(AT244*(1+'Calc base'!H245),2)-MAX('Calc base'!C$12,ROUND('Calc base'!C$13*AT244,2))&lt;1,ROUND(AT244*(1+'Calc base'!H245),2),MAX('Calc base'!C$12,ROUND('Calc base'!C$13*AT244,2))))</f>
        <v>0</v>
      </c>
      <c r="K245">
        <f>IF(AU244&lt;=0,0,IF(ROUND(AU244*(1+'Calc base'!I245),2)-MAX('Calc base'!D$12,ROUND('Calc base'!D$13*AU244,2))&lt;1,ROUND(AU244*(1+'Calc base'!I245),2),MAX('Calc base'!D$12,ROUND('Calc base'!D$13*AU244,2))))</f>
        <v>0</v>
      </c>
      <c r="L245">
        <f>IF(AV244&lt;=0,0,IF(ROUND(AV244*(1+'Calc base'!J245),2)-MAX('Calc base'!E$12,ROUND('Calc base'!E$13*AV244,2))&lt;1,ROUND(AV244*(1+'Calc base'!J245),2),MAX('Calc base'!E$12,ROUND('Calc base'!E$13*AV244,2))))</f>
        <v>0</v>
      </c>
      <c r="M245">
        <f>IF(AW244&lt;=0,0,IF(ROUND(AW244*(1+'Calc base'!K245),2)-MAX('Calc base'!F$12,ROUND('Calc base'!F$13*AW244,2))&lt;1,ROUND(AW244*(1+'Calc base'!K245),2),MAX('Calc base'!F$12,ROUND('Calc base'!F$13*AW244,2))))</f>
        <v>0</v>
      </c>
      <c r="N245">
        <f>IF(AX244&lt;=0,0,IF(ROUND(AX244*(1+'Calc base'!L245),2)-MAX('Calc base'!G$12,ROUND('Calc base'!G$13*AX244,2))&lt;1,ROUND(AX244*(1+'Calc base'!L245),2),MAX('Calc base'!G$12,ROUND('Calc base'!G$13*AX244,2))))</f>
        <v>0</v>
      </c>
      <c r="O245">
        <f>IF(AY244&lt;=0,0,IF(ROUND(AY244*(1+'Calc base'!M245),2)-MAX('Calc base'!H$12,ROUND('Calc base'!H$13*AY244,2))&lt;1,ROUND(AY244*(1+'Calc base'!M245),2),MAX('Calc base'!H$12,ROUND('Calc base'!H$13*AY244,2))))</f>
        <v>0</v>
      </c>
      <c r="P245">
        <f>IF(AZ244&lt;=0,0,IF(ROUND(AZ244*(1+'Calc base'!N245),2)-MAX('Calc base'!I$12,ROUND('Calc base'!I$13*AZ244,2))&lt;1,ROUND(AZ244*(1+'Calc base'!N245),2),MAX('Calc base'!I$12,ROUND('Calc base'!I$13*AZ244,2))))</f>
        <v>0</v>
      </c>
      <c r="Q245">
        <f>IF(BA244&lt;=0,0,IF(ROUND(BA244*(1+'Calc base'!O245),2)-MAX('Calc base'!J$12,ROUND('Calc base'!J$13*BA244,2))&lt;1,ROUND(BA244*(1+'Calc base'!O245),2),MAX('Calc base'!J$12,ROUND('Calc base'!J$13*BA244,2))))</f>
        <v>0</v>
      </c>
      <c r="R245">
        <f>IF(BB244&lt;=0,0,IF(ROUND(BB244*(1+'Calc base'!P245),2)-MAX('Calc base'!K$12,ROUND('Calc base'!K$13*BB244,2))&lt;1,ROUND(BB244*(1+'Calc base'!P245),2),MAX('Calc base'!K$12,ROUND('Calc base'!K$13*BB244,2))))</f>
        <v>0</v>
      </c>
      <c r="S245">
        <f>IF(BC244&lt;=0,0,IF(ROUND(BC244*(1+'Calc base'!Q245),2)-MAX('Calc base'!L$12,ROUND('Calc base'!L$13*BC244,2))&lt;1,ROUND(BC244*(1+'Calc base'!Q245),2),MAX('Calc base'!L$12,ROUND('Calc base'!L$13*BC244,2))))</f>
        <v>0</v>
      </c>
      <c r="T245">
        <f>IF(BD244&lt;=0,0,IF(ROUND(BD244*(1+'Calc base'!R245),2)-MAX('Calc base'!M$12,ROUND('Calc base'!M$13*BD244,2))&lt;1,ROUND(BD244*(1+'Calc base'!R245),2),MAX('Calc base'!M$12,ROUND('Calc base'!M$13*BD244,2))))</f>
        <v>0</v>
      </c>
      <c r="U245">
        <f>IF(BE244&lt;=0,0,IF(ROUND(BE244*(1+'Calc base'!S245),2)-MAX('Calc base'!N$12,ROUND('Calc base'!N$13*BE244,2))&lt;1,ROUND(BE244*(1+'Calc base'!S245),2),MAX('Calc base'!N$12,ROUND('Calc base'!N$13*BE244,2))))</f>
        <v>0</v>
      </c>
      <c r="V245">
        <f>MAX(0,ROUND(AT244*(1+'Calc base'!H245),2)-J245-'Calc base'!T245)</f>
        <v>0</v>
      </c>
      <c r="W245">
        <f>MAX(0,ROUND(AU244*(1+'Calc base'!I245),2)-K245-'Calc base'!U245)</f>
        <v>0</v>
      </c>
      <c r="X245">
        <f>MAX(0,ROUND(AV244*(1+'Calc base'!J245),2)-L245-'Calc base'!V245)</f>
        <v>0</v>
      </c>
      <c r="Y245">
        <f>MAX(0,ROUND(AW244*(1+'Calc base'!K245),2)-M245-'Calc base'!W245)</f>
        <v>0</v>
      </c>
      <c r="Z245">
        <f>MAX(0,ROUND(AX244*(1+'Calc base'!L245),2)-N245-'Calc base'!X245)</f>
        <v>0</v>
      </c>
      <c r="AA245">
        <f>MAX(0,ROUND(AY244*(1+'Calc base'!M245),2)-O245-'Calc base'!Y245)</f>
        <v>0</v>
      </c>
      <c r="AB245">
        <f>MAX(0,ROUND(AZ244*(1+'Calc base'!N245),2)-P245-'Calc base'!Z245)</f>
        <v>0</v>
      </c>
      <c r="AC245">
        <f>MAX(0,ROUND(BA244*(1+'Calc base'!O245),2)-Q245-'Calc base'!AA245)</f>
        <v>0</v>
      </c>
      <c r="AD245">
        <f>MAX(0,ROUND(BB244*(1+'Calc base'!P245),2)-R245-'Calc base'!AB245)</f>
        <v>0</v>
      </c>
      <c r="AE245">
        <f>MAX(0,ROUND(BC244*(1+'Calc base'!Q245),2)-S245-'Calc base'!AC245)</f>
        <v>0</v>
      </c>
      <c r="AF245">
        <f>MAX(0,ROUND(BD244*(1+'Calc base'!R245),2)-T245-'Calc base'!AD245)</f>
        <v>0</v>
      </c>
      <c r="AG245">
        <f>MAX(0,ROUND(BE244*(1+'Calc base'!S245),2)-U245-'Calc base'!AE245)</f>
        <v>0</v>
      </c>
      <c r="AH245">
        <f>IF('Calc base'!C$14=0,0,MIN(V245,MAX(0,$E245-SUMIFS($V245:$AG245,'Calc base'!$C$19:$N$19,"&lt;"&amp;'Calc base'!C$19,'Calc base'!$C$14:$N$14,1))))</f>
        <v>0</v>
      </c>
      <c r="AI245">
        <f>IF('Calc base'!D$14=0,0,MIN(W245,MAX(0,$E245-SUMIFS($V245:$AG245,'Calc base'!$C$19:$N$19,"&lt;"&amp;'Calc base'!D$19,'Calc base'!$C$14:$N$14,1))))</f>
        <v>0</v>
      </c>
      <c r="AJ245">
        <f>IF('Calc base'!E$14=0,0,MIN(X245,MAX(0,$E245-SUMIFS($V245:$AG245,'Calc base'!$C$19:$N$19,"&lt;"&amp;'Calc base'!E$19,'Calc base'!$C$14:$N$14,1))))</f>
        <v>0</v>
      </c>
      <c r="AK245">
        <f>IF('Calc base'!F$14=0,0,MIN(Y245,MAX(0,$E245-SUMIFS($V245:$AG245,'Calc base'!$C$19:$N$19,"&lt;"&amp;'Calc base'!F$19,'Calc base'!$C$14:$N$14,1))))</f>
        <v>0</v>
      </c>
      <c r="AL245">
        <f>IF('Calc base'!G$14=0,0,MIN(Z245,MAX(0,$E245-SUMIFS($V245:$AG245,'Calc base'!$C$19:$N$19,"&lt;"&amp;'Calc base'!G$19,'Calc base'!$C$14:$N$14,1))))</f>
        <v>0</v>
      </c>
      <c r="AM245">
        <f>IF('Calc base'!H$14=0,0,MIN(AA245,MAX(0,$E245-SUMIFS($V245:$AG245,'Calc base'!$C$19:$N$19,"&lt;"&amp;'Calc base'!H$19,'Calc base'!$C$14:$N$14,1))))</f>
        <v>0</v>
      </c>
      <c r="AN245">
        <f>IF('Calc base'!I$14=0,0,MIN(AB245,MAX(0,$E245-SUMIFS($V245:$AG245,'Calc base'!$C$19:$N$19,"&lt;"&amp;'Calc base'!I$19,'Calc base'!$C$14:$N$14,1))))</f>
        <v>0</v>
      </c>
      <c r="AO245">
        <f>IF('Calc base'!J$14=0,0,MIN(AC245,MAX(0,$E245-SUMIFS($V245:$AG245,'Calc base'!$C$19:$N$19,"&lt;"&amp;'Calc base'!J$19,'Calc base'!$C$14:$N$14,1))))</f>
        <v>0</v>
      </c>
      <c r="AP245">
        <f>IF('Calc base'!K$14=0,0,MIN(AD245,MAX(0,$E245-SUMIFS($V245:$AG245,'Calc base'!$C$19:$N$19,"&lt;"&amp;'Calc base'!K$19,'Calc base'!$C$14:$N$14,1))))</f>
        <v>0</v>
      </c>
      <c r="AQ245">
        <f>IF('Calc base'!L$14=0,0,MIN(AE245,MAX(0,$E245-SUMIFS($V245:$AG245,'Calc base'!$C$19:$N$19,"&lt;"&amp;'Calc base'!L$19,'Calc base'!$C$14:$N$14,1))))</f>
        <v>0</v>
      </c>
      <c r="AR245">
        <f>IF('Calc base'!M$14=0,0,MIN(AF245,MAX(0,$E245-SUMIFS($V245:$AG245,'Calc base'!$C$19:$N$19,"&lt;"&amp;'Calc base'!M$19,'Calc base'!$C$14:$N$14,1))))</f>
        <v>0</v>
      </c>
      <c r="AS245">
        <f>IF('Calc base'!N$14=0,0,MIN(AG245,MAX(0,$E245-SUMIFS($V245:$AG245,'Calc base'!$C$19:$N$19,"&lt;"&amp;'Calc base'!N$19,'Calc base'!$C$14:$N$14,1))))</f>
        <v>0</v>
      </c>
      <c r="AT245">
        <f>V245-AH245</f>
        <v>0</v>
      </c>
      <c r="AU245">
        <f>W245-AI245</f>
        <v>0</v>
      </c>
      <c r="AV245">
        <f>X245-AJ245</f>
        <v>0</v>
      </c>
      <c r="AW245">
        <f>Y245-AK245</f>
        <v>0</v>
      </c>
      <c r="AX245">
        <f>Z245-AL245</f>
        <v>0</v>
      </c>
      <c r="AY245">
        <f>AA245-AM245</f>
        <v>0</v>
      </c>
      <c r="AZ245">
        <f>AB245-AN245</f>
        <v>0</v>
      </c>
      <c r="BA245">
        <f>AC245-AO245</f>
        <v>0</v>
      </c>
      <c r="BB245">
        <f>AD245-AP245</f>
        <v>0</v>
      </c>
      <c r="BC245">
        <f>AE245-AQ245</f>
        <v>0</v>
      </c>
      <c r="BD245">
        <f>AF245-AR245</f>
        <v>0</v>
      </c>
      <c r="BE245">
        <f>AG245-AS245</f>
        <v>0</v>
      </c>
    </row>
    <row r="246">
      <c r="A246" t="n">
        <v>216</v>
      </c>
      <c r="B246">
        <f>SUMPRODUCT(ROUND($AT245:$BE245*(1+'Calc base'!$H246:$S246),2))</f>
        <v>0</v>
      </c>
      <c r="C246">
        <f>SUM(J246:U246)</f>
        <v>0</v>
      </c>
      <c r="D246">
        <f>SUM(V246:AG246)</f>
        <v>0</v>
      </c>
      <c r="E246">
        <f>MAX(0,IF(Impostazioni!$B$7="No",'Calc base'!$C246-$C$31,'Calc base'!$C246-C246)+'Calc base'!$G246+'Calc base'!$F246-(B246-C246-D246))</f>
        <v>900</v>
      </c>
      <c r="F246">
        <f>SUM(AH246:AS246)</f>
        <v>0</v>
      </c>
      <c r="G246">
        <f>SUM(AT246:BE246)</f>
        <v>0</v>
      </c>
      <c r="H246">
        <f>B246-G245</f>
        <v>0</v>
      </c>
      <c r="I246">
        <f>B246-G246</f>
        <v>0</v>
      </c>
      <c r="J246">
        <f>IF(AT245&lt;=0,0,IF(ROUND(AT245*(1+'Calc base'!H246),2)-MAX('Calc base'!C$12,ROUND('Calc base'!C$13*AT245,2))&lt;1,ROUND(AT245*(1+'Calc base'!H246),2),MAX('Calc base'!C$12,ROUND('Calc base'!C$13*AT245,2))))</f>
        <v>0</v>
      </c>
      <c r="K246">
        <f>IF(AU245&lt;=0,0,IF(ROUND(AU245*(1+'Calc base'!I246),2)-MAX('Calc base'!D$12,ROUND('Calc base'!D$13*AU245,2))&lt;1,ROUND(AU245*(1+'Calc base'!I246),2),MAX('Calc base'!D$12,ROUND('Calc base'!D$13*AU245,2))))</f>
        <v>0</v>
      </c>
      <c r="L246">
        <f>IF(AV245&lt;=0,0,IF(ROUND(AV245*(1+'Calc base'!J246),2)-MAX('Calc base'!E$12,ROUND('Calc base'!E$13*AV245,2))&lt;1,ROUND(AV245*(1+'Calc base'!J246),2),MAX('Calc base'!E$12,ROUND('Calc base'!E$13*AV245,2))))</f>
        <v>0</v>
      </c>
      <c r="M246">
        <f>IF(AW245&lt;=0,0,IF(ROUND(AW245*(1+'Calc base'!K246),2)-MAX('Calc base'!F$12,ROUND('Calc base'!F$13*AW245,2))&lt;1,ROUND(AW245*(1+'Calc base'!K246),2),MAX('Calc base'!F$12,ROUND('Calc base'!F$13*AW245,2))))</f>
        <v>0</v>
      </c>
      <c r="N246">
        <f>IF(AX245&lt;=0,0,IF(ROUND(AX245*(1+'Calc base'!L246),2)-MAX('Calc base'!G$12,ROUND('Calc base'!G$13*AX245,2))&lt;1,ROUND(AX245*(1+'Calc base'!L246),2),MAX('Calc base'!G$12,ROUND('Calc base'!G$13*AX245,2))))</f>
        <v>0</v>
      </c>
      <c r="O246">
        <f>IF(AY245&lt;=0,0,IF(ROUND(AY245*(1+'Calc base'!M246),2)-MAX('Calc base'!H$12,ROUND('Calc base'!H$13*AY245,2))&lt;1,ROUND(AY245*(1+'Calc base'!M246),2),MAX('Calc base'!H$12,ROUND('Calc base'!H$13*AY245,2))))</f>
        <v>0</v>
      </c>
      <c r="P246">
        <f>IF(AZ245&lt;=0,0,IF(ROUND(AZ245*(1+'Calc base'!N246),2)-MAX('Calc base'!I$12,ROUND('Calc base'!I$13*AZ245,2))&lt;1,ROUND(AZ245*(1+'Calc base'!N246),2),MAX('Calc base'!I$12,ROUND('Calc base'!I$13*AZ245,2))))</f>
        <v>0</v>
      </c>
      <c r="Q246">
        <f>IF(BA245&lt;=0,0,IF(ROUND(BA245*(1+'Calc base'!O246),2)-MAX('Calc base'!J$12,ROUND('Calc base'!J$13*BA245,2))&lt;1,ROUND(BA245*(1+'Calc base'!O246),2),MAX('Calc base'!J$12,ROUND('Calc base'!J$13*BA245,2))))</f>
        <v>0</v>
      </c>
      <c r="R246">
        <f>IF(BB245&lt;=0,0,IF(ROUND(BB245*(1+'Calc base'!P246),2)-MAX('Calc base'!K$12,ROUND('Calc base'!K$13*BB245,2))&lt;1,ROUND(BB245*(1+'Calc base'!P246),2),MAX('Calc base'!K$12,ROUND('Calc base'!K$13*BB245,2))))</f>
        <v>0</v>
      </c>
      <c r="S246">
        <f>IF(BC245&lt;=0,0,IF(ROUND(BC245*(1+'Calc base'!Q246),2)-MAX('Calc base'!L$12,ROUND('Calc base'!L$13*BC245,2))&lt;1,ROUND(BC245*(1+'Calc base'!Q246),2),MAX('Calc base'!L$12,ROUND('Calc base'!L$13*BC245,2))))</f>
        <v>0</v>
      </c>
      <c r="T246">
        <f>IF(BD245&lt;=0,0,IF(ROUND(BD245*(1+'Calc base'!R246),2)-MAX('Calc base'!M$12,ROUND('Calc base'!M$13*BD245,2))&lt;1,ROUND(BD245*(1+'Calc base'!R246),2),MAX('Calc base'!M$12,ROUND('Calc base'!M$13*BD245,2))))</f>
        <v>0</v>
      </c>
      <c r="U246">
        <f>IF(BE245&lt;=0,0,IF(ROUND(BE245*(1+'Calc base'!S246),2)-MAX('Calc base'!N$12,ROUND('Calc base'!N$13*BE245,2))&lt;1,ROUND(BE245*(1+'Calc base'!S246),2),MAX('Calc base'!N$12,ROUND('Calc base'!N$13*BE245,2))))</f>
        <v>0</v>
      </c>
      <c r="V246">
        <f>MAX(0,ROUND(AT245*(1+'Calc base'!H246),2)-J246-'Calc base'!T246)</f>
        <v>0</v>
      </c>
      <c r="W246">
        <f>MAX(0,ROUND(AU245*(1+'Calc base'!I246),2)-K246-'Calc base'!U246)</f>
        <v>0</v>
      </c>
      <c r="X246">
        <f>MAX(0,ROUND(AV245*(1+'Calc base'!J246),2)-L246-'Calc base'!V246)</f>
        <v>0</v>
      </c>
      <c r="Y246">
        <f>MAX(0,ROUND(AW245*(1+'Calc base'!K246),2)-M246-'Calc base'!W246)</f>
        <v>0</v>
      </c>
      <c r="Z246">
        <f>MAX(0,ROUND(AX245*(1+'Calc base'!L246),2)-N246-'Calc base'!X246)</f>
        <v>0</v>
      </c>
      <c r="AA246">
        <f>MAX(0,ROUND(AY245*(1+'Calc base'!M246),2)-O246-'Calc base'!Y246)</f>
        <v>0</v>
      </c>
      <c r="AB246">
        <f>MAX(0,ROUND(AZ245*(1+'Calc base'!N246),2)-P246-'Calc base'!Z246)</f>
        <v>0</v>
      </c>
      <c r="AC246">
        <f>MAX(0,ROUND(BA245*(1+'Calc base'!O246),2)-Q246-'Calc base'!AA246)</f>
        <v>0</v>
      </c>
      <c r="AD246">
        <f>MAX(0,ROUND(BB245*(1+'Calc base'!P246),2)-R246-'Calc base'!AB246)</f>
        <v>0</v>
      </c>
      <c r="AE246">
        <f>MAX(0,ROUND(BC245*(1+'Calc base'!Q246),2)-S246-'Calc base'!AC246)</f>
        <v>0</v>
      </c>
      <c r="AF246">
        <f>MAX(0,ROUND(BD245*(1+'Calc base'!R246),2)-T246-'Calc base'!AD246)</f>
        <v>0</v>
      </c>
      <c r="AG246">
        <f>MAX(0,ROUND(BE245*(1+'Calc base'!S246),2)-U246-'Calc base'!AE246)</f>
        <v>0</v>
      </c>
      <c r="AH246">
        <f>IF('Calc base'!C$14=0,0,MIN(V246,MAX(0,$E246-SUMIFS($V246:$AG246,'Calc base'!$C$19:$N$19,"&lt;"&amp;'Calc base'!C$19,'Calc base'!$C$14:$N$14,1))))</f>
        <v>0</v>
      </c>
      <c r="AI246">
        <f>IF('Calc base'!D$14=0,0,MIN(W246,MAX(0,$E246-SUMIFS($V246:$AG246,'Calc base'!$C$19:$N$19,"&lt;"&amp;'Calc base'!D$19,'Calc base'!$C$14:$N$14,1))))</f>
        <v>0</v>
      </c>
      <c r="AJ246">
        <f>IF('Calc base'!E$14=0,0,MIN(X246,MAX(0,$E246-SUMIFS($V246:$AG246,'Calc base'!$C$19:$N$19,"&lt;"&amp;'Calc base'!E$19,'Calc base'!$C$14:$N$14,1))))</f>
        <v>0</v>
      </c>
      <c r="AK246">
        <f>IF('Calc base'!F$14=0,0,MIN(Y246,MAX(0,$E246-SUMIFS($V246:$AG246,'Calc base'!$C$19:$N$19,"&lt;"&amp;'Calc base'!F$19,'Calc base'!$C$14:$N$14,1))))</f>
        <v>0</v>
      </c>
      <c r="AL246">
        <f>IF('Calc base'!G$14=0,0,MIN(Z246,MAX(0,$E246-SUMIFS($V246:$AG246,'Calc base'!$C$19:$N$19,"&lt;"&amp;'Calc base'!G$19,'Calc base'!$C$14:$N$14,1))))</f>
        <v>0</v>
      </c>
      <c r="AM246">
        <f>IF('Calc base'!H$14=0,0,MIN(AA246,MAX(0,$E246-SUMIFS($V246:$AG246,'Calc base'!$C$19:$N$19,"&lt;"&amp;'Calc base'!H$19,'Calc base'!$C$14:$N$14,1))))</f>
        <v>0</v>
      </c>
      <c r="AN246">
        <f>IF('Calc base'!I$14=0,0,MIN(AB246,MAX(0,$E246-SUMIFS($V246:$AG246,'Calc base'!$C$19:$N$19,"&lt;"&amp;'Calc base'!I$19,'Calc base'!$C$14:$N$14,1))))</f>
        <v>0</v>
      </c>
      <c r="AO246">
        <f>IF('Calc base'!J$14=0,0,MIN(AC246,MAX(0,$E246-SUMIFS($V246:$AG246,'Calc base'!$C$19:$N$19,"&lt;"&amp;'Calc base'!J$19,'Calc base'!$C$14:$N$14,1))))</f>
        <v>0</v>
      </c>
      <c r="AP246">
        <f>IF('Calc base'!K$14=0,0,MIN(AD246,MAX(0,$E246-SUMIFS($V246:$AG246,'Calc base'!$C$19:$N$19,"&lt;"&amp;'Calc base'!K$19,'Calc base'!$C$14:$N$14,1))))</f>
        <v>0</v>
      </c>
      <c r="AQ246">
        <f>IF('Calc base'!L$14=0,0,MIN(AE246,MAX(0,$E246-SUMIFS($V246:$AG246,'Calc base'!$C$19:$N$19,"&lt;"&amp;'Calc base'!L$19,'Calc base'!$C$14:$N$14,1))))</f>
        <v>0</v>
      </c>
      <c r="AR246">
        <f>IF('Calc base'!M$14=0,0,MIN(AF246,MAX(0,$E246-SUMIFS($V246:$AG246,'Calc base'!$C$19:$N$19,"&lt;"&amp;'Calc base'!M$19,'Calc base'!$C$14:$N$14,1))))</f>
        <v>0</v>
      </c>
      <c r="AS246">
        <f>IF('Calc base'!N$14=0,0,MIN(AG246,MAX(0,$E246-SUMIFS($V246:$AG246,'Calc base'!$C$19:$N$19,"&lt;"&amp;'Calc base'!N$19,'Calc base'!$C$14:$N$14,1))))</f>
        <v>0</v>
      </c>
      <c r="AT246">
        <f>V246-AH246</f>
        <v>0</v>
      </c>
      <c r="AU246">
        <f>W246-AI246</f>
        <v>0</v>
      </c>
      <c r="AV246">
        <f>X246-AJ246</f>
        <v>0</v>
      </c>
      <c r="AW246">
        <f>Y246-AK246</f>
        <v>0</v>
      </c>
      <c r="AX246">
        <f>Z246-AL246</f>
        <v>0</v>
      </c>
      <c r="AY246">
        <f>AA246-AM246</f>
        <v>0</v>
      </c>
      <c r="AZ246">
        <f>AB246-AN246</f>
        <v>0</v>
      </c>
      <c r="BA246">
        <f>AC246-AO246</f>
        <v>0</v>
      </c>
      <c r="BB246">
        <f>AD246-AP246</f>
        <v>0</v>
      </c>
      <c r="BC246">
        <f>AE246-AQ246</f>
        <v>0</v>
      </c>
      <c r="BD246">
        <f>AF246-AR246</f>
        <v>0</v>
      </c>
      <c r="BE246">
        <f>AG246-AS246</f>
        <v>0</v>
      </c>
    </row>
    <row r="247">
      <c r="A247" t="n">
        <v>217</v>
      </c>
      <c r="B247">
        <f>SUMPRODUCT(ROUND($AT246:$BE246*(1+'Calc base'!$H247:$S247),2))</f>
        <v>0</v>
      </c>
      <c r="C247">
        <f>SUM(J247:U247)</f>
        <v>0</v>
      </c>
      <c r="D247">
        <f>SUM(V247:AG247)</f>
        <v>0</v>
      </c>
      <c r="E247">
        <f>MAX(0,IF(Impostazioni!$B$7="No",'Calc base'!$C247-$C$31,'Calc base'!$C247-C247)+'Calc base'!$G247+'Calc base'!$F247-(B247-C247-D247))</f>
        <v>900</v>
      </c>
      <c r="F247">
        <f>SUM(AH247:AS247)</f>
        <v>0</v>
      </c>
      <c r="G247">
        <f>SUM(AT247:BE247)</f>
        <v>0</v>
      </c>
      <c r="H247">
        <f>B247-G246</f>
        <v>0</v>
      </c>
      <c r="I247">
        <f>B247-G247</f>
        <v>0</v>
      </c>
      <c r="J247">
        <f>IF(AT246&lt;=0,0,IF(ROUND(AT246*(1+'Calc base'!H247),2)-MAX('Calc base'!C$12,ROUND('Calc base'!C$13*AT246,2))&lt;1,ROUND(AT246*(1+'Calc base'!H247),2),MAX('Calc base'!C$12,ROUND('Calc base'!C$13*AT246,2))))</f>
        <v>0</v>
      </c>
      <c r="K247">
        <f>IF(AU246&lt;=0,0,IF(ROUND(AU246*(1+'Calc base'!I247),2)-MAX('Calc base'!D$12,ROUND('Calc base'!D$13*AU246,2))&lt;1,ROUND(AU246*(1+'Calc base'!I247),2),MAX('Calc base'!D$12,ROUND('Calc base'!D$13*AU246,2))))</f>
        <v>0</v>
      </c>
      <c r="L247">
        <f>IF(AV246&lt;=0,0,IF(ROUND(AV246*(1+'Calc base'!J247),2)-MAX('Calc base'!E$12,ROUND('Calc base'!E$13*AV246,2))&lt;1,ROUND(AV246*(1+'Calc base'!J247),2),MAX('Calc base'!E$12,ROUND('Calc base'!E$13*AV246,2))))</f>
        <v>0</v>
      </c>
      <c r="M247">
        <f>IF(AW246&lt;=0,0,IF(ROUND(AW246*(1+'Calc base'!K247),2)-MAX('Calc base'!F$12,ROUND('Calc base'!F$13*AW246,2))&lt;1,ROUND(AW246*(1+'Calc base'!K247),2),MAX('Calc base'!F$12,ROUND('Calc base'!F$13*AW246,2))))</f>
        <v>0</v>
      </c>
      <c r="N247">
        <f>IF(AX246&lt;=0,0,IF(ROUND(AX246*(1+'Calc base'!L247),2)-MAX('Calc base'!G$12,ROUND('Calc base'!G$13*AX246,2))&lt;1,ROUND(AX246*(1+'Calc base'!L247),2),MAX('Calc base'!G$12,ROUND('Calc base'!G$13*AX246,2))))</f>
        <v>0</v>
      </c>
      <c r="O247">
        <f>IF(AY246&lt;=0,0,IF(ROUND(AY246*(1+'Calc base'!M247),2)-MAX('Calc base'!H$12,ROUND('Calc base'!H$13*AY246,2))&lt;1,ROUND(AY246*(1+'Calc base'!M247),2),MAX('Calc base'!H$12,ROUND('Calc base'!H$13*AY246,2))))</f>
        <v>0</v>
      </c>
      <c r="P247">
        <f>IF(AZ246&lt;=0,0,IF(ROUND(AZ246*(1+'Calc base'!N247),2)-MAX('Calc base'!I$12,ROUND('Calc base'!I$13*AZ246,2))&lt;1,ROUND(AZ246*(1+'Calc base'!N247),2),MAX('Calc base'!I$12,ROUND('Calc base'!I$13*AZ246,2))))</f>
        <v>0</v>
      </c>
      <c r="Q247">
        <f>IF(BA246&lt;=0,0,IF(ROUND(BA246*(1+'Calc base'!O247),2)-MAX('Calc base'!J$12,ROUND('Calc base'!J$13*BA246,2))&lt;1,ROUND(BA246*(1+'Calc base'!O247),2),MAX('Calc base'!J$12,ROUND('Calc base'!J$13*BA246,2))))</f>
        <v>0</v>
      </c>
      <c r="R247">
        <f>IF(BB246&lt;=0,0,IF(ROUND(BB246*(1+'Calc base'!P247),2)-MAX('Calc base'!K$12,ROUND('Calc base'!K$13*BB246,2))&lt;1,ROUND(BB246*(1+'Calc base'!P247),2),MAX('Calc base'!K$12,ROUND('Calc base'!K$13*BB246,2))))</f>
        <v>0</v>
      </c>
      <c r="S247">
        <f>IF(BC246&lt;=0,0,IF(ROUND(BC246*(1+'Calc base'!Q247),2)-MAX('Calc base'!L$12,ROUND('Calc base'!L$13*BC246,2))&lt;1,ROUND(BC246*(1+'Calc base'!Q247),2),MAX('Calc base'!L$12,ROUND('Calc base'!L$13*BC246,2))))</f>
        <v>0</v>
      </c>
      <c r="T247">
        <f>IF(BD246&lt;=0,0,IF(ROUND(BD246*(1+'Calc base'!R247),2)-MAX('Calc base'!M$12,ROUND('Calc base'!M$13*BD246,2))&lt;1,ROUND(BD246*(1+'Calc base'!R247),2),MAX('Calc base'!M$12,ROUND('Calc base'!M$13*BD246,2))))</f>
        <v>0</v>
      </c>
      <c r="U247">
        <f>IF(BE246&lt;=0,0,IF(ROUND(BE246*(1+'Calc base'!S247),2)-MAX('Calc base'!N$12,ROUND('Calc base'!N$13*BE246,2))&lt;1,ROUND(BE246*(1+'Calc base'!S247),2),MAX('Calc base'!N$12,ROUND('Calc base'!N$13*BE246,2))))</f>
        <v>0</v>
      </c>
      <c r="V247">
        <f>MAX(0,ROUND(AT246*(1+'Calc base'!H247),2)-J247-'Calc base'!T247)</f>
        <v>0</v>
      </c>
      <c r="W247">
        <f>MAX(0,ROUND(AU246*(1+'Calc base'!I247),2)-K247-'Calc base'!U247)</f>
        <v>0</v>
      </c>
      <c r="X247">
        <f>MAX(0,ROUND(AV246*(1+'Calc base'!J247),2)-L247-'Calc base'!V247)</f>
        <v>0</v>
      </c>
      <c r="Y247">
        <f>MAX(0,ROUND(AW246*(1+'Calc base'!K247),2)-M247-'Calc base'!W247)</f>
        <v>0</v>
      </c>
      <c r="Z247">
        <f>MAX(0,ROUND(AX246*(1+'Calc base'!L247),2)-N247-'Calc base'!X247)</f>
        <v>0</v>
      </c>
      <c r="AA247">
        <f>MAX(0,ROUND(AY246*(1+'Calc base'!M247),2)-O247-'Calc base'!Y247)</f>
        <v>0</v>
      </c>
      <c r="AB247">
        <f>MAX(0,ROUND(AZ246*(1+'Calc base'!N247),2)-P247-'Calc base'!Z247)</f>
        <v>0</v>
      </c>
      <c r="AC247">
        <f>MAX(0,ROUND(BA246*(1+'Calc base'!O247),2)-Q247-'Calc base'!AA247)</f>
        <v>0</v>
      </c>
      <c r="AD247">
        <f>MAX(0,ROUND(BB246*(1+'Calc base'!P247),2)-R247-'Calc base'!AB247)</f>
        <v>0</v>
      </c>
      <c r="AE247">
        <f>MAX(0,ROUND(BC246*(1+'Calc base'!Q247),2)-S247-'Calc base'!AC247)</f>
        <v>0</v>
      </c>
      <c r="AF247">
        <f>MAX(0,ROUND(BD246*(1+'Calc base'!R247),2)-T247-'Calc base'!AD247)</f>
        <v>0</v>
      </c>
      <c r="AG247">
        <f>MAX(0,ROUND(BE246*(1+'Calc base'!S247),2)-U247-'Calc base'!AE247)</f>
        <v>0</v>
      </c>
      <c r="AH247">
        <f>IF('Calc base'!C$14=0,0,MIN(V247,MAX(0,$E247-SUMIFS($V247:$AG247,'Calc base'!$C$19:$N$19,"&lt;"&amp;'Calc base'!C$19,'Calc base'!$C$14:$N$14,1))))</f>
        <v>0</v>
      </c>
      <c r="AI247">
        <f>IF('Calc base'!D$14=0,0,MIN(W247,MAX(0,$E247-SUMIFS($V247:$AG247,'Calc base'!$C$19:$N$19,"&lt;"&amp;'Calc base'!D$19,'Calc base'!$C$14:$N$14,1))))</f>
        <v>0</v>
      </c>
      <c r="AJ247">
        <f>IF('Calc base'!E$14=0,0,MIN(X247,MAX(0,$E247-SUMIFS($V247:$AG247,'Calc base'!$C$19:$N$19,"&lt;"&amp;'Calc base'!E$19,'Calc base'!$C$14:$N$14,1))))</f>
        <v>0</v>
      </c>
      <c r="AK247">
        <f>IF('Calc base'!F$14=0,0,MIN(Y247,MAX(0,$E247-SUMIFS($V247:$AG247,'Calc base'!$C$19:$N$19,"&lt;"&amp;'Calc base'!F$19,'Calc base'!$C$14:$N$14,1))))</f>
        <v>0</v>
      </c>
      <c r="AL247">
        <f>IF('Calc base'!G$14=0,0,MIN(Z247,MAX(0,$E247-SUMIFS($V247:$AG247,'Calc base'!$C$19:$N$19,"&lt;"&amp;'Calc base'!G$19,'Calc base'!$C$14:$N$14,1))))</f>
        <v>0</v>
      </c>
      <c r="AM247">
        <f>IF('Calc base'!H$14=0,0,MIN(AA247,MAX(0,$E247-SUMIFS($V247:$AG247,'Calc base'!$C$19:$N$19,"&lt;"&amp;'Calc base'!H$19,'Calc base'!$C$14:$N$14,1))))</f>
        <v>0</v>
      </c>
      <c r="AN247">
        <f>IF('Calc base'!I$14=0,0,MIN(AB247,MAX(0,$E247-SUMIFS($V247:$AG247,'Calc base'!$C$19:$N$19,"&lt;"&amp;'Calc base'!I$19,'Calc base'!$C$14:$N$14,1))))</f>
        <v>0</v>
      </c>
      <c r="AO247">
        <f>IF('Calc base'!J$14=0,0,MIN(AC247,MAX(0,$E247-SUMIFS($V247:$AG247,'Calc base'!$C$19:$N$19,"&lt;"&amp;'Calc base'!J$19,'Calc base'!$C$14:$N$14,1))))</f>
        <v>0</v>
      </c>
      <c r="AP247">
        <f>IF('Calc base'!K$14=0,0,MIN(AD247,MAX(0,$E247-SUMIFS($V247:$AG247,'Calc base'!$C$19:$N$19,"&lt;"&amp;'Calc base'!K$19,'Calc base'!$C$14:$N$14,1))))</f>
        <v>0</v>
      </c>
      <c r="AQ247">
        <f>IF('Calc base'!L$14=0,0,MIN(AE247,MAX(0,$E247-SUMIFS($V247:$AG247,'Calc base'!$C$19:$N$19,"&lt;"&amp;'Calc base'!L$19,'Calc base'!$C$14:$N$14,1))))</f>
        <v>0</v>
      </c>
      <c r="AR247">
        <f>IF('Calc base'!M$14=0,0,MIN(AF247,MAX(0,$E247-SUMIFS($V247:$AG247,'Calc base'!$C$19:$N$19,"&lt;"&amp;'Calc base'!M$19,'Calc base'!$C$14:$N$14,1))))</f>
        <v>0</v>
      </c>
      <c r="AS247">
        <f>IF('Calc base'!N$14=0,0,MIN(AG247,MAX(0,$E247-SUMIFS($V247:$AG247,'Calc base'!$C$19:$N$19,"&lt;"&amp;'Calc base'!N$19,'Calc base'!$C$14:$N$14,1))))</f>
        <v>0</v>
      </c>
      <c r="AT247">
        <f>V247-AH247</f>
        <v>0</v>
      </c>
      <c r="AU247">
        <f>W247-AI247</f>
        <v>0</v>
      </c>
      <c r="AV247">
        <f>X247-AJ247</f>
        <v>0</v>
      </c>
      <c r="AW247">
        <f>Y247-AK247</f>
        <v>0</v>
      </c>
      <c r="AX247">
        <f>Z247-AL247</f>
        <v>0</v>
      </c>
      <c r="AY247">
        <f>AA247-AM247</f>
        <v>0</v>
      </c>
      <c r="AZ247">
        <f>AB247-AN247</f>
        <v>0</v>
      </c>
      <c r="BA247">
        <f>AC247-AO247</f>
        <v>0</v>
      </c>
      <c r="BB247">
        <f>AD247-AP247</f>
        <v>0</v>
      </c>
      <c r="BC247">
        <f>AE247-AQ247</f>
        <v>0</v>
      </c>
      <c r="BD247">
        <f>AF247-AR247</f>
        <v>0</v>
      </c>
      <c r="BE247">
        <f>AG247-AS247</f>
        <v>0</v>
      </c>
    </row>
    <row r="248">
      <c r="A248" t="n">
        <v>218</v>
      </c>
      <c r="B248">
        <f>SUMPRODUCT(ROUND($AT247:$BE247*(1+'Calc base'!$H248:$S248),2))</f>
        <v>0</v>
      </c>
      <c r="C248">
        <f>SUM(J248:U248)</f>
        <v>0</v>
      </c>
      <c r="D248">
        <f>SUM(V248:AG248)</f>
        <v>0</v>
      </c>
      <c r="E248">
        <f>MAX(0,IF(Impostazioni!$B$7="No",'Calc base'!$C248-$C$31,'Calc base'!$C248-C248)+'Calc base'!$G248+'Calc base'!$F248-(B248-C248-D248))</f>
        <v>900</v>
      </c>
      <c r="F248">
        <f>SUM(AH248:AS248)</f>
        <v>0</v>
      </c>
      <c r="G248">
        <f>SUM(AT248:BE248)</f>
        <v>0</v>
      </c>
      <c r="H248">
        <f>B248-G247</f>
        <v>0</v>
      </c>
      <c r="I248">
        <f>B248-G248</f>
        <v>0</v>
      </c>
      <c r="J248">
        <f>IF(AT247&lt;=0,0,IF(ROUND(AT247*(1+'Calc base'!H248),2)-MAX('Calc base'!C$12,ROUND('Calc base'!C$13*AT247,2))&lt;1,ROUND(AT247*(1+'Calc base'!H248),2),MAX('Calc base'!C$12,ROUND('Calc base'!C$13*AT247,2))))</f>
        <v>0</v>
      </c>
      <c r="K248">
        <f>IF(AU247&lt;=0,0,IF(ROUND(AU247*(1+'Calc base'!I248),2)-MAX('Calc base'!D$12,ROUND('Calc base'!D$13*AU247,2))&lt;1,ROUND(AU247*(1+'Calc base'!I248),2),MAX('Calc base'!D$12,ROUND('Calc base'!D$13*AU247,2))))</f>
        <v>0</v>
      </c>
      <c r="L248">
        <f>IF(AV247&lt;=0,0,IF(ROUND(AV247*(1+'Calc base'!J248),2)-MAX('Calc base'!E$12,ROUND('Calc base'!E$13*AV247,2))&lt;1,ROUND(AV247*(1+'Calc base'!J248),2),MAX('Calc base'!E$12,ROUND('Calc base'!E$13*AV247,2))))</f>
        <v>0</v>
      </c>
      <c r="M248">
        <f>IF(AW247&lt;=0,0,IF(ROUND(AW247*(1+'Calc base'!K248),2)-MAX('Calc base'!F$12,ROUND('Calc base'!F$13*AW247,2))&lt;1,ROUND(AW247*(1+'Calc base'!K248),2),MAX('Calc base'!F$12,ROUND('Calc base'!F$13*AW247,2))))</f>
        <v>0</v>
      </c>
      <c r="N248">
        <f>IF(AX247&lt;=0,0,IF(ROUND(AX247*(1+'Calc base'!L248),2)-MAX('Calc base'!G$12,ROUND('Calc base'!G$13*AX247,2))&lt;1,ROUND(AX247*(1+'Calc base'!L248),2),MAX('Calc base'!G$12,ROUND('Calc base'!G$13*AX247,2))))</f>
        <v>0</v>
      </c>
      <c r="O248">
        <f>IF(AY247&lt;=0,0,IF(ROUND(AY247*(1+'Calc base'!M248),2)-MAX('Calc base'!H$12,ROUND('Calc base'!H$13*AY247,2))&lt;1,ROUND(AY247*(1+'Calc base'!M248),2),MAX('Calc base'!H$12,ROUND('Calc base'!H$13*AY247,2))))</f>
        <v>0</v>
      </c>
      <c r="P248">
        <f>IF(AZ247&lt;=0,0,IF(ROUND(AZ247*(1+'Calc base'!N248),2)-MAX('Calc base'!I$12,ROUND('Calc base'!I$13*AZ247,2))&lt;1,ROUND(AZ247*(1+'Calc base'!N248),2),MAX('Calc base'!I$12,ROUND('Calc base'!I$13*AZ247,2))))</f>
        <v>0</v>
      </c>
      <c r="Q248">
        <f>IF(BA247&lt;=0,0,IF(ROUND(BA247*(1+'Calc base'!O248),2)-MAX('Calc base'!J$12,ROUND('Calc base'!J$13*BA247,2))&lt;1,ROUND(BA247*(1+'Calc base'!O248),2),MAX('Calc base'!J$12,ROUND('Calc base'!J$13*BA247,2))))</f>
        <v>0</v>
      </c>
      <c r="R248">
        <f>IF(BB247&lt;=0,0,IF(ROUND(BB247*(1+'Calc base'!P248),2)-MAX('Calc base'!K$12,ROUND('Calc base'!K$13*BB247,2))&lt;1,ROUND(BB247*(1+'Calc base'!P248),2),MAX('Calc base'!K$12,ROUND('Calc base'!K$13*BB247,2))))</f>
        <v>0</v>
      </c>
      <c r="S248">
        <f>IF(BC247&lt;=0,0,IF(ROUND(BC247*(1+'Calc base'!Q248),2)-MAX('Calc base'!L$12,ROUND('Calc base'!L$13*BC247,2))&lt;1,ROUND(BC247*(1+'Calc base'!Q248),2),MAX('Calc base'!L$12,ROUND('Calc base'!L$13*BC247,2))))</f>
        <v>0</v>
      </c>
      <c r="T248">
        <f>IF(BD247&lt;=0,0,IF(ROUND(BD247*(1+'Calc base'!R248),2)-MAX('Calc base'!M$12,ROUND('Calc base'!M$13*BD247,2))&lt;1,ROUND(BD247*(1+'Calc base'!R248),2),MAX('Calc base'!M$12,ROUND('Calc base'!M$13*BD247,2))))</f>
        <v>0</v>
      </c>
      <c r="U248">
        <f>IF(BE247&lt;=0,0,IF(ROUND(BE247*(1+'Calc base'!S248),2)-MAX('Calc base'!N$12,ROUND('Calc base'!N$13*BE247,2))&lt;1,ROUND(BE247*(1+'Calc base'!S248),2),MAX('Calc base'!N$12,ROUND('Calc base'!N$13*BE247,2))))</f>
        <v>0</v>
      </c>
      <c r="V248">
        <f>MAX(0,ROUND(AT247*(1+'Calc base'!H248),2)-J248-'Calc base'!T248)</f>
        <v>0</v>
      </c>
      <c r="W248">
        <f>MAX(0,ROUND(AU247*(1+'Calc base'!I248),2)-K248-'Calc base'!U248)</f>
        <v>0</v>
      </c>
      <c r="X248">
        <f>MAX(0,ROUND(AV247*(1+'Calc base'!J248),2)-L248-'Calc base'!V248)</f>
        <v>0</v>
      </c>
      <c r="Y248">
        <f>MAX(0,ROUND(AW247*(1+'Calc base'!K248),2)-M248-'Calc base'!W248)</f>
        <v>0</v>
      </c>
      <c r="Z248">
        <f>MAX(0,ROUND(AX247*(1+'Calc base'!L248),2)-N248-'Calc base'!X248)</f>
        <v>0</v>
      </c>
      <c r="AA248">
        <f>MAX(0,ROUND(AY247*(1+'Calc base'!M248),2)-O248-'Calc base'!Y248)</f>
        <v>0</v>
      </c>
      <c r="AB248">
        <f>MAX(0,ROUND(AZ247*(1+'Calc base'!N248),2)-P248-'Calc base'!Z248)</f>
        <v>0</v>
      </c>
      <c r="AC248">
        <f>MAX(0,ROUND(BA247*(1+'Calc base'!O248),2)-Q248-'Calc base'!AA248)</f>
        <v>0</v>
      </c>
      <c r="AD248">
        <f>MAX(0,ROUND(BB247*(1+'Calc base'!P248),2)-R248-'Calc base'!AB248)</f>
        <v>0</v>
      </c>
      <c r="AE248">
        <f>MAX(0,ROUND(BC247*(1+'Calc base'!Q248),2)-S248-'Calc base'!AC248)</f>
        <v>0</v>
      </c>
      <c r="AF248">
        <f>MAX(0,ROUND(BD247*(1+'Calc base'!R248),2)-T248-'Calc base'!AD248)</f>
        <v>0</v>
      </c>
      <c r="AG248">
        <f>MAX(0,ROUND(BE247*(1+'Calc base'!S248),2)-U248-'Calc base'!AE248)</f>
        <v>0</v>
      </c>
      <c r="AH248">
        <f>IF('Calc base'!C$14=0,0,MIN(V248,MAX(0,$E248-SUMIFS($V248:$AG248,'Calc base'!$C$19:$N$19,"&lt;"&amp;'Calc base'!C$19,'Calc base'!$C$14:$N$14,1))))</f>
        <v>0</v>
      </c>
      <c r="AI248">
        <f>IF('Calc base'!D$14=0,0,MIN(W248,MAX(0,$E248-SUMIFS($V248:$AG248,'Calc base'!$C$19:$N$19,"&lt;"&amp;'Calc base'!D$19,'Calc base'!$C$14:$N$14,1))))</f>
        <v>0</v>
      </c>
      <c r="AJ248">
        <f>IF('Calc base'!E$14=0,0,MIN(X248,MAX(0,$E248-SUMIFS($V248:$AG248,'Calc base'!$C$19:$N$19,"&lt;"&amp;'Calc base'!E$19,'Calc base'!$C$14:$N$14,1))))</f>
        <v>0</v>
      </c>
      <c r="AK248">
        <f>IF('Calc base'!F$14=0,0,MIN(Y248,MAX(0,$E248-SUMIFS($V248:$AG248,'Calc base'!$C$19:$N$19,"&lt;"&amp;'Calc base'!F$19,'Calc base'!$C$14:$N$14,1))))</f>
        <v>0</v>
      </c>
      <c r="AL248">
        <f>IF('Calc base'!G$14=0,0,MIN(Z248,MAX(0,$E248-SUMIFS($V248:$AG248,'Calc base'!$C$19:$N$19,"&lt;"&amp;'Calc base'!G$19,'Calc base'!$C$14:$N$14,1))))</f>
        <v>0</v>
      </c>
      <c r="AM248">
        <f>IF('Calc base'!H$14=0,0,MIN(AA248,MAX(0,$E248-SUMIFS($V248:$AG248,'Calc base'!$C$19:$N$19,"&lt;"&amp;'Calc base'!H$19,'Calc base'!$C$14:$N$14,1))))</f>
        <v>0</v>
      </c>
      <c r="AN248">
        <f>IF('Calc base'!I$14=0,0,MIN(AB248,MAX(0,$E248-SUMIFS($V248:$AG248,'Calc base'!$C$19:$N$19,"&lt;"&amp;'Calc base'!I$19,'Calc base'!$C$14:$N$14,1))))</f>
        <v>0</v>
      </c>
      <c r="AO248">
        <f>IF('Calc base'!J$14=0,0,MIN(AC248,MAX(0,$E248-SUMIFS($V248:$AG248,'Calc base'!$C$19:$N$19,"&lt;"&amp;'Calc base'!J$19,'Calc base'!$C$14:$N$14,1))))</f>
        <v>0</v>
      </c>
      <c r="AP248">
        <f>IF('Calc base'!K$14=0,0,MIN(AD248,MAX(0,$E248-SUMIFS($V248:$AG248,'Calc base'!$C$19:$N$19,"&lt;"&amp;'Calc base'!K$19,'Calc base'!$C$14:$N$14,1))))</f>
        <v>0</v>
      </c>
      <c r="AQ248">
        <f>IF('Calc base'!L$14=0,0,MIN(AE248,MAX(0,$E248-SUMIFS($V248:$AG248,'Calc base'!$C$19:$N$19,"&lt;"&amp;'Calc base'!L$19,'Calc base'!$C$14:$N$14,1))))</f>
        <v>0</v>
      </c>
      <c r="AR248">
        <f>IF('Calc base'!M$14=0,0,MIN(AF248,MAX(0,$E248-SUMIFS($V248:$AG248,'Calc base'!$C$19:$N$19,"&lt;"&amp;'Calc base'!M$19,'Calc base'!$C$14:$N$14,1))))</f>
        <v>0</v>
      </c>
      <c r="AS248">
        <f>IF('Calc base'!N$14=0,0,MIN(AG248,MAX(0,$E248-SUMIFS($V248:$AG248,'Calc base'!$C$19:$N$19,"&lt;"&amp;'Calc base'!N$19,'Calc base'!$C$14:$N$14,1))))</f>
        <v>0</v>
      </c>
      <c r="AT248">
        <f>V248-AH248</f>
        <v>0</v>
      </c>
      <c r="AU248">
        <f>W248-AI248</f>
        <v>0</v>
      </c>
      <c r="AV248">
        <f>X248-AJ248</f>
        <v>0</v>
      </c>
      <c r="AW248">
        <f>Y248-AK248</f>
        <v>0</v>
      </c>
      <c r="AX248">
        <f>Z248-AL248</f>
        <v>0</v>
      </c>
      <c r="AY248">
        <f>AA248-AM248</f>
        <v>0</v>
      </c>
      <c r="AZ248">
        <f>AB248-AN248</f>
        <v>0</v>
      </c>
      <c r="BA248">
        <f>AC248-AO248</f>
        <v>0</v>
      </c>
      <c r="BB248">
        <f>AD248-AP248</f>
        <v>0</v>
      </c>
      <c r="BC248">
        <f>AE248-AQ248</f>
        <v>0</v>
      </c>
      <c r="BD248">
        <f>AF248-AR248</f>
        <v>0</v>
      </c>
      <c r="BE248">
        <f>AG248-AS248</f>
        <v>0</v>
      </c>
    </row>
    <row r="249">
      <c r="A249" t="n">
        <v>219</v>
      </c>
      <c r="B249">
        <f>SUMPRODUCT(ROUND($AT248:$BE248*(1+'Calc base'!$H249:$S249),2))</f>
        <v>0</v>
      </c>
      <c r="C249">
        <f>SUM(J249:U249)</f>
        <v>0</v>
      </c>
      <c r="D249">
        <f>SUM(V249:AG249)</f>
        <v>0</v>
      </c>
      <c r="E249">
        <f>MAX(0,IF(Impostazioni!$B$7="No",'Calc base'!$C249-$C$31,'Calc base'!$C249-C249)+'Calc base'!$G249+'Calc base'!$F249-(B249-C249-D249))</f>
        <v>900</v>
      </c>
      <c r="F249">
        <f>SUM(AH249:AS249)</f>
        <v>0</v>
      </c>
      <c r="G249">
        <f>SUM(AT249:BE249)</f>
        <v>0</v>
      </c>
      <c r="H249">
        <f>B249-G248</f>
        <v>0</v>
      </c>
      <c r="I249">
        <f>B249-G249</f>
        <v>0</v>
      </c>
      <c r="J249">
        <f>IF(AT248&lt;=0,0,IF(ROUND(AT248*(1+'Calc base'!H249),2)-MAX('Calc base'!C$12,ROUND('Calc base'!C$13*AT248,2))&lt;1,ROUND(AT248*(1+'Calc base'!H249),2),MAX('Calc base'!C$12,ROUND('Calc base'!C$13*AT248,2))))</f>
        <v>0</v>
      </c>
      <c r="K249">
        <f>IF(AU248&lt;=0,0,IF(ROUND(AU248*(1+'Calc base'!I249),2)-MAX('Calc base'!D$12,ROUND('Calc base'!D$13*AU248,2))&lt;1,ROUND(AU248*(1+'Calc base'!I249),2),MAX('Calc base'!D$12,ROUND('Calc base'!D$13*AU248,2))))</f>
        <v>0</v>
      </c>
      <c r="L249">
        <f>IF(AV248&lt;=0,0,IF(ROUND(AV248*(1+'Calc base'!J249),2)-MAX('Calc base'!E$12,ROUND('Calc base'!E$13*AV248,2))&lt;1,ROUND(AV248*(1+'Calc base'!J249),2),MAX('Calc base'!E$12,ROUND('Calc base'!E$13*AV248,2))))</f>
        <v>0</v>
      </c>
      <c r="M249">
        <f>IF(AW248&lt;=0,0,IF(ROUND(AW248*(1+'Calc base'!K249),2)-MAX('Calc base'!F$12,ROUND('Calc base'!F$13*AW248,2))&lt;1,ROUND(AW248*(1+'Calc base'!K249),2),MAX('Calc base'!F$12,ROUND('Calc base'!F$13*AW248,2))))</f>
        <v>0</v>
      </c>
      <c r="N249">
        <f>IF(AX248&lt;=0,0,IF(ROUND(AX248*(1+'Calc base'!L249),2)-MAX('Calc base'!G$12,ROUND('Calc base'!G$13*AX248,2))&lt;1,ROUND(AX248*(1+'Calc base'!L249),2),MAX('Calc base'!G$12,ROUND('Calc base'!G$13*AX248,2))))</f>
        <v>0</v>
      </c>
      <c r="O249">
        <f>IF(AY248&lt;=0,0,IF(ROUND(AY248*(1+'Calc base'!M249),2)-MAX('Calc base'!H$12,ROUND('Calc base'!H$13*AY248,2))&lt;1,ROUND(AY248*(1+'Calc base'!M249),2),MAX('Calc base'!H$12,ROUND('Calc base'!H$13*AY248,2))))</f>
        <v>0</v>
      </c>
      <c r="P249">
        <f>IF(AZ248&lt;=0,0,IF(ROUND(AZ248*(1+'Calc base'!N249),2)-MAX('Calc base'!I$12,ROUND('Calc base'!I$13*AZ248,2))&lt;1,ROUND(AZ248*(1+'Calc base'!N249),2),MAX('Calc base'!I$12,ROUND('Calc base'!I$13*AZ248,2))))</f>
        <v>0</v>
      </c>
      <c r="Q249">
        <f>IF(BA248&lt;=0,0,IF(ROUND(BA248*(1+'Calc base'!O249),2)-MAX('Calc base'!J$12,ROUND('Calc base'!J$13*BA248,2))&lt;1,ROUND(BA248*(1+'Calc base'!O249),2),MAX('Calc base'!J$12,ROUND('Calc base'!J$13*BA248,2))))</f>
        <v>0</v>
      </c>
      <c r="R249">
        <f>IF(BB248&lt;=0,0,IF(ROUND(BB248*(1+'Calc base'!P249),2)-MAX('Calc base'!K$12,ROUND('Calc base'!K$13*BB248,2))&lt;1,ROUND(BB248*(1+'Calc base'!P249),2),MAX('Calc base'!K$12,ROUND('Calc base'!K$13*BB248,2))))</f>
        <v>0</v>
      </c>
      <c r="S249">
        <f>IF(BC248&lt;=0,0,IF(ROUND(BC248*(1+'Calc base'!Q249),2)-MAX('Calc base'!L$12,ROUND('Calc base'!L$13*BC248,2))&lt;1,ROUND(BC248*(1+'Calc base'!Q249),2),MAX('Calc base'!L$12,ROUND('Calc base'!L$13*BC248,2))))</f>
        <v>0</v>
      </c>
      <c r="T249">
        <f>IF(BD248&lt;=0,0,IF(ROUND(BD248*(1+'Calc base'!R249),2)-MAX('Calc base'!M$12,ROUND('Calc base'!M$13*BD248,2))&lt;1,ROUND(BD248*(1+'Calc base'!R249),2),MAX('Calc base'!M$12,ROUND('Calc base'!M$13*BD248,2))))</f>
        <v>0</v>
      </c>
      <c r="U249">
        <f>IF(BE248&lt;=0,0,IF(ROUND(BE248*(1+'Calc base'!S249),2)-MAX('Calc base'!N$12,ROUND('Calc base'!N$13*BE248,2))&lt;1,ROUND(BE248*(1+'Calc base'!S249),2),MAX('Calc base'!N$12,ROUND('Calc base'!N$13*BE248,2))))</f>
        <v>0</v>
      </c>
      <c r="V249">
        <f>MAX(0,ROUND(AT248*(1+'Calc base'!H249),2)-J249-'Calc base'!T249)</f>
        <v>0</v>
      </c>
      <c r="W249">
        <f>MAX(0,ROUND(AU248*(1+'Calc base'!I249),2)-K249-'Calc base'!U249)</f>
        <v>0</v>
      </c>
      <c r="X249">
        <f>MAX(0,ROUND(AV248*(1+'Calc base'!J249),2)-L249-'Calc base'!V249)</f>
        <v>0</v>
      </c>
      <c r="Y249">
        <f>MAX(0,ROUND(AW248*(1+'Calc base'!K249),2)-M249-'Calc base'!W249)</f>
        <v>0</v>
      </c>
      <c r="Z249">
        <f>MAX(0,ROUND(AX248*(1+'Calc base'!L249),2)-N249-'Calc base'!X249)</f>
        <v>0</v>
      </c>
      <c r="AA249">
        <f>MAX(0,ROUND(AY248*(1+'Calc base'!M249),2)-O249-'Calc base'!Y249)</f>
        <v>0</v>
      </c>
      <c r="AB249">
        <f>MAX(0,ROUND(AZ248*(1+'Calc base'!N249),2)-P249-'Calc base'!Z249)</f>
        <v>0</v>
      </c>
      <c r="AC249">
        <f>MAX(0,ROUND(BA248*(1+'Calc base'!O249),2)-Q249-'Calc base'!AA249)</f>
        <v>0</v>
      </c>
      <c r="AD249">
        <f>MAX(0,ROUND(BB248*(1+'Calc base'!P249),2)-R249-'Calc base'!AB249)</f>
        <v>0</v>
      </c>
      <c r="AE249">
        <f>MAX(0,ROUND(BC248*(1+'Calc base'!Q249),2)-S249-'Calc base'!AC249)</f>
        <v>0</v>
      </c>
      <c r="AF249">
        <f>MAX(0,ROUND(BD248*(1+'Calc base'!R249),2)-T249-'Calc base'!AD249)</f>
        <v>0</v>
      </c>
      <c r="AG249">
        <f>MAX(0,ROUND(BE248*(1+'Calc base'!S249),2)-U249-'Calc base'!AE249)</f>
        <v>0</v>
      </c>
      <c r="AH249">
        <f>IF('Calc base'!C$14=0,0,MIN(V249,MAX(0,$E249-SUMIFS($V249:$AG249,'Calc base'!$C$19:$N$19,"&lt;"&amp;'Calc base'!C$19,'Calc base'!$C$14:$N$14,1))))</f>
        <v>0</v>
      </c>
      <c r="AI249">
        <f>IF('Calc base'!D$14=0,0,MIN(W249,MAX(0,$E249-SUMIFS($V249:$AG249,'Calc base'!$C$19:$N$19,"&lt;"&amp;'Calc base'!D$19,'Calc base'!$C$14:$N$14,1))))</f>
        <v>0</v>
      </c>
      <c r="AJ249">
        <f>IF('Calc base'!E$14=0,0,MIN(X249,MAX(0,$E249-SUMIFS($V249:$AG249,'Calc base'!$C$19:$N$19,"&lt;"&amp;'Calc base'!E$19,'Calc base'!$C$14:$N$14,1))))</f>
        <v>0</v>
      </c>
      <c r="AK249">
        <f>IF('Calc base'!F$14=0,0,MIN(Y249,MAX(0,$E249-SUMIFS($V249:$AG249,'Calc base'!$C$19:$N$19,"&lt;"&amp;'Calc base'!F$19,'Calc base'!$C$14:$N$14,1))))</f>
        <v>0</v>
      </c>
      <c r="AL249">
        <f>IF('Calc base'!G$14=0,0,MIN(Z249,MAX(0,$E249-SUMIFS($V249:$AG249,'Calc base'!$C$19:$N$19,"&lt;"&amp;'Calc base'!G$19,'Calc base'!$C$14:$N$14,1))))</f>
        <v>0</v>
      </c>
      <c r="AM249">
        <f>IF('Calc base'!H$14=0,0,MIN(AA249,MAX(0,$E249-SUMIFS($V249:$AG249,'Calc base'!$C$19:$N$19,"&lt;"&amp;'Calc base'!H$19,'Calc base'!$C$14:$N$14,1))))</f>
        <v>0</v>
      </c>
      <c r="AN249">
        <f>IF('Calc base'!I$14=0,0,MIN(AB249,MAX(0,$E249-SUMIFS($V249:$AG249,'Calc base'!$C$19:$N$19,"&lt;"&amp;'Calc base'!I$19,'Calc base'!$C$14:$N$14,1))))</f>
        <v>0</v>
      </c>
      <c r="AO249">
        <f>IF('Calc base'!J$14=0,0,MIN(AC249,MAX(0,$E249-SUMIFS($V249:$AG249,'Calc base'!$C$19:$N$19,"&lt;"&amp;'Calc base'!J$19,'Calc base'!$C$14:$N$14,1))))</f>
        <v>0</v>
      </c>
      <c r="AP249">
        <f>IF('Calc base'!K$14=0,0,MIN(AD249,MAX(0,$E249-SUMIFS($V249:$AG249,'Calc base'!$C$19:$N$19,"&lt;"&amp;'Calc base'!K$19,'Calc base'!$C$14:$N$14,1))))</f>
        <v>0</v>
      </c>
      <c r="AQ249">
        <f>IF('Calc base'!L$14=0,0,MIN(AE249,MAX(0,$E249-SUMIFS($V249:$AG249,'Calc base'!$C$19:$N$19,"&lt;"&amp;'Calc base'!L$19,'Calc base'!$C$14:$N$14,1))))</f>
        <v>0</v>
      </c>
      <c r="AR249">
        <f>IF('Calc base'!M$14=0,0,MIN(AF249,MAX(0,$E249-SUMIFS($V249:$AG249,'Calc base'!$C$19:$N$19,"&lt;"&amp;'Calc base'!M$19,'Calc base'!$C$14:$N$14,1))))</f>
        <v>0</v>
      </c>
      <c r="AS249">
        <f>IF('Calc base'!N$14=0,0,MIN(AG249,MAX(0,$E249-SUMIFS($V249:$AG249,'Calc base'!$C$19:$N$19,"&lt;"&amp;'Calc base'!N$19,'Calc base'!$C$14:$N$14,1))))</f>
        <v>0</v>
      </c>
      <c r="AT249">
        <f>V249-AH249</f>
        <v>0</v>
      </c>
      <c r="AU249">
        <f>W249-AI249</f>
        <v>0</v>
      </c>
      <c r="AV249">
        <f>X249-AJ249</f>
        <v>0</v>
      </c>
      <c r="AW249">
        <f>Y249-AK249</f>
        <v>0</v>
      </c>
      <c r="AX249">
        <f>Z249-AL249</f>
        <v>0</v>
      </c>
      <c r="AY249">
        <f>AA249-AM249</f>
        <v>0</v>
      </c>
      <c r="AZ249">
        <f>AB249-AN249</f>
        <v>0</v>
      </c>
      <c r="BA249">
        <f>AC249-AO249</f>
        <v>0</v>
      </c>
      <c r="BB249">
        <f>AD249-AP249</f>
        <v>0</v>
      </c>
      <c r="BC249">
        <f>AE249-AQ249</f>
        <v>0</v>
      </c>
      <c r="BD249">
        <f>AF249-AR249</f>
        <v>0</v>
      </c>
      <c r="BE249">
        <f>AG249-AS249</f>
        <v>0</v>
      </c>
    </row>
    <row r="250">
      <c r="A250" t="n">
        <v>220</v>
      </c>
      <c r="B250">
        <f>SUMPRODUCT(ROUND($AT249:$BE249*(1+'Calc base'!$H250:$S250),2))</f>
        <v>0</v>
      </c>
      <c r="C250">
        <f>SUM(J250:U250)</f>
        <v>0</v>
      </c>
      <c r="D250">
        <f>SUM(V250:AG250)</f>
        <v>0</v>
      </c>
      <c r="E250">
        <f>MAX(0,IF(Impostazioni!$B$7="No",'Calc base'!$C250-$C$31,'Calc base'!$C250-C250)+'Calc base'!$G250+'Calc base'!$F250-(B250-C250-D250))</f>
        <v>900</v>
      </c>
      <c r="F250">
        <f>SUM(AH250:AS250)</f>
        <v>0</v>
      </c>
      <c r="G250">
        <f>SUM(AT250:BE250)</f>
        <v>0</v>
      </c>
      <c r="H250">
        <f>B250-G249</f>
        <v>0</v>
      </c>
      <c r="I250">
        <f>B250-G250</f>
        <v>0</v>
      </c>
      <c r="J250">
        <f>IF(AT249&lt;=0,0,IF(ROUND(AT249*(1+'Calc base'!H250),2)-MAX('Calc base'!C$12,ROUND('Calc base'!C$13*AT249,2))&lt;1,ROUND(AT249*(1+'Calc base'!H250),2),MAX('Calc base'!C$12,ROUND('Calc base'!C$13*AT249,2))))</f>
        <v>0</v>
      </c>
      <c r="K250">
        <f>IF(AU249&lt;=0,0,IF(ROUND(AU249*(1+'Calc base'!I250),2)-MAX('Calc base'!D$12,ROUND('Calc base'!D$13*AU249,2))&lt;1,ROUND(AU249*(1+'Calc base'!I250),2),MAX('Calc base'!D$12,ROUND('Calc base'!D$13*AU249,2))))</f>
        <v>0</v>
      </c>
      <c r="L250">
        <f>IF(AV249&lt;=0,0,IF(ROUND(AV249*(1+'Calc base'!J250),2)-MAX('Calc base'!E$12,ROUND('Calc base'!E$13*AV249,2))&lt;1,ROUND(AV249*(1+'Calc base'!J250),2),MAX('Calc base'!E$12,ROUND('Calc base'!E$13*AV249,2))))</f>
        <v>0</v>
      </c>
      <c r="M250">
        <f>IF(AW249&lt;=0,0,IF(ROUND(AW249*(1+'Calc base'!K250),2)-MAX('Calc base'!F$12,ROUND('Calc base'!F$13*AW249,2))&lt;1,ROUND(AW249*(1+'Calc base'!K250),2),MAX('Calc base'!F$12,ROUND('Calc base'!F$13*AW249,2))))</f>
        <v>0</v>
      </c>
      <c r="N250">
        <f>IF(AX249&lt;=0,0,IF(ROUND(AX249*(1+'Calc base'!L250),2)-MAX('Calc base'!G$12,ROUND('Calc base'!G$13*AX249,2))&lt;1,ROUND(AX249*(1+'Calc base'!L250),2),MAX('Calc base'!G$12,ROUND('Calc base'!G$13*AX249,2))))</f>
        <v>0</v>
      </c>
      <c r="O250">
        <f>IF(AY249&lt;=0,0,IF(ROUND(AY249*(1+'Calc base'!M250),2)-MAX('Calc base'!H$12,ROUND('Calc base'!H$13*AY249,2))&lt;1,ROUND(AY249*(1+'Calc base'!M250),2),MAX('Calc base'!H$12,ROUND('Calc base'!H$13*AY249,2))))</f>
        <v>0</v>
      </c>
      <c r="P250">
        <f>IF(AZ249&lt;=0,0,IF(ROUND(AZ249*(1+'Calc base'!N250),2)-MAX('Calc base'!I$12,ROUND('Calc base'!I$13*AZ249,2))&lt;1,ROUND(AZ249*(1+'Calc base'!N250),2),MAX('Calc base'!I$12,ROUND('Calc base'!I$13*AZ249,2))))</f>
        <v>0</v>
      </c>
      <c r="Q250">
        <f>IF(BA249&lt;=0,0,IF(ROUND(BA249*(1+'Calc base'!O250),2)-MAX('Calc base'!J$12,ROUND('Calc base'!J$13*BA249,2))&lt;1,ROUND(BA249*(1+'Calc base'!O250),2),MAX('Calc base'!J$12,ROUND('Calc base'!J$13*BA249,2))))</f>
        <v>0</v>
      </c>
      <c r="R250">
        <f>IF(BB249&lt;=0,0,IF(ROUND(BB249*(1+'Calc base'!P250),2)-MAX('Calc base'!K$12,ROUND('Calc base'!K$13*BB249,2))&lt;1,ROUND(BB249*(1+'Calc base'!P250),2),MAX('Calc base'!K$12,ROUND('Calc base'!K$13*BB249,2))))</f>
        <v>0</v>
      </c>
      <c r="S250">
        <f>IF(BC249&lt;=0,0,IF(ROUND(BC249*(1+'Calc base'!Q250),2)-MAX('Calc base'!L$12,ROUND('Calc base'!L$13*BC249,2))&lt;1,ROUND(BC249*(1+'Calc base'!Q250),2),MAX('Calc base'!L$12,ROUND('Calc base'!L$13*BC249,2))))</f>
        <v>0</v>
      </c>
      <c r="T250">
        <f>IF(BD249&lt;=0,0,IF(ROUND(BD249*(1+'Calc base'!R250),2)-MAX('Calc base'!M$12,ROUND('Calc base'!M$13*BD249,2))&lt;1,ROUND(BD249*(1+'Calc base'!R250),2),MAX('Calc base'!M$12,ROUND('Calc base'!M$13*BD249,2))))</f>
        <v>0</v>
      </c>
      <c r="U250">
        <f>IF(BE249&lt;=0,0,IF(ROUND(BE249*(1+'Calc base'!S250),2)-MAX('Calc base'!N$12,ROUND('Calc base'!N$13*BE249,2))&lt;1,ROUND(BE249*(1+'Calc base'!S250),2),MAX('Calc base'!N$12,ROUND('Calc base'!N$13*BE249,2))))</f>
        <v>0</v>
      </c>
      <c r="V250">
        <f>MAX(0,ROUND(AT249*(1+'Calc base'!H250),2)-J250-'Calc base'!T250)</f>
        <v>0</v>
      </c>
      <c r="W250">
        <f>MAX(0,ROUND(AU249*(1+'Calc base'!I250),2)-K250-'Calc base'!U250)</f>
        <v>0</v>
      </c>
      <c r="X250">
        <f>MAX(0,ROUND(AV249*(1+'Calc base'!J250),2)-L250-'Calc base'!V250)</f>
        <v>0</v>
      </c>
      <c r="Y250">
        <f>MAX(0,ROUND(AW249*(1+'Calc base'!K250),2)-M250-'Calc base'!W250)</f>
        <v>0</v>
      </c>
      <c r="Z250">
        <f>MAX(0,ROUND(AX249*(1+'Calc base'!L250),2)-N250-'Calc base'!X250)</f>
        <v>0</v>
      </c>
      <c r="AA250">
        <f>MAX(0,ROUND(AY249*(1+'Calc base'!M250),2)-O250-'Calc base'!Y250)</f>
        <v>0</v>
      </c>
      <c r="AB250">
        <f>MAX(0,ROUND(AZ249*(1+'Calc base'!N250),2)-P250-'Calc base'!Z250)</f>
        <v>0</v>
      </c>
      <c r="AC250">
        <f>MAX(0,ROUND(BA249*(1+'Calc base'!O250),2)-Q250-'Calc base'!AA250)</f>
        <v>0</v>
      </c>
      <c r="AD250">
        <f>MAX(0,ROUND(BB249*(1+'Calc base'!P250),2)-R250-'Calc base'!AB250)</f>
        <v>0</v>
      </c>
      <c r="AE250">
        <f>MAX(0,ROUND(BC249*(1+'Calc base'!Q250),2)-S250-'Calc base'!AC250)</f>
        <v>0</v>
      </c>
      <c r="AF250">
        <f>MAX(0,ROUND(BD249*(1+'Calc base'!R250),2)-T250-'Calc base'!AD250)</f>
        <v>0</v>
      </c>
      <c r="AG250">
        <f>MAX(0,ROUND(BE249*(1+'Calc base'!S250),2)-U250-'Calc base'!AE250)</f>
        <v>0</v>
      </c>
      <c r="AH250">
        <f>IF('Calc base'!C$14=0,0,MIN(V250,MAX(0,$E250-SUMIFS($V250:$AG250,'Calc base'!$C$19:$N$19,"&lt;"&amp;'Calc base'!C$19,'Calc base'!$C$14:$N$14,1))))</f>
        <v>0</v>
      </c>
      <c r="AI250">
        <f>IF('Calc base'!D$14=0,0,MIN(W250,MAX(0,$E250-SUMIFS($V250:$AG250,'Calc base'!$C$19:$N$19,"&lt;"&amp;'Calc base'!D$19,'Calc base'!$C$14:$N$14,1))))</f>
        <v>0</v>
      </c>
      <c r="AJ250">
        <f>IF('Calc base'!E$14=0,0,MIN(X250,MAX(0,$E250-SUMIFS($V250:$AG250,'Calc base'!$C$19:$N$19,"&lt;"&amp;'Calc base'!E$19,'Calc base'!$C$14:$N$14,1))))</f>
        <v>0</v>
      </c>
      <c r="AK250">
        <f>IF('Calc base'!F$14=0,0,MIN(Y250,MAX(0,$E250-SUMIFS($V250:$AG250,'Calc base'!$C$19:$N$19,"&lt;"&amp;'Calc base'!F$19,'Calc base'!$C$14:$N$14,1))))</f>
        <v>0</v>
      </c>
      <c r="AL250">
        <f>IF('Calc base'!G$14=0,0,MIN(Z250,MAX(0,$E250-SUMIFS($V250:$AG250,'Calc base'!$C$19:$N$19,"&lt;"&amp;'Calc base'!G$19,'Calc base'!$C$14:$N$14,1))))</f>
        <v>0</v>
      </c>
      <c r="AM250">
        <f>IF('Calc base'!H$14=0,0,MIN(AA250,MAX(0,$E250-SUMIFS($V250:$AG250,'Calc base'!$C$19:$N$19,"&lt;"&amp;'Calc base'!H$19,'Calc base'!$C$14:$N$14,1))))</f>
        <v>0</v>
      </c>
      <c r="AN250">
        <f>IF('Calc base'!I$14=0,0,MIN(AB250,MAX(0,$E250-SUMIFS($V250:$AG250,'Calc base'!$C$19:$N$19,"&lt;"&amp;'Calc base'!I$19,'Calc base'!$C$14:$N$14,1))))</f>
        <v>0</v>
      </c>
      <c r="AO250">
        <f>IF('Calc base'!J$14=0,0,MIN(AC250,MAX(0,$E250-SUMIFS($V250:$AG250,'Calc base'!$C$19:$N$19,"&lt;"&amp;'Calc base'!J$19,'Calc base'!$C$14:$N$14,1))))</f>
        <v>0</v>
      </c>
      <c r="AP250">
        <f>IF('Calc base'!K$14=0,0,MIN(AD250,MAX(0,$E250-SUMIFS($V250:$AG250,'Calc base'!$C$19:$N$19,"&lt;"&amp;'Calc base'!K$19,'Calc base'!$C$14:$N$14,1))))</f>
        <v>0</v>
      </c>
      <c r="AQ250">
        <f>IF('Calc base'!L$14=0,0,MIN(AE250,MAX(0,$E250-SUMIFS($V250:$AG250,'Calc base'!$C$19:$N$19,"&lt;"&amp;'Calc base'!L$19,'Calc base'!$C$14:$N$14,1))))</f>
        <v>0</v>
      </c>
      <c r="AR250">
        <f>IF('Calc base'!M$14=0,0,MIN(AF250,MAX(0,$E250-SUMIFS($V250:$AG250,'Calc base'!$C$19:$N$19,"&lt;"&amp;'Calc base'!M$19,'Calc base'!$C$14:$N$14,1))))</f>
        <v>0</v>
      </c>
      <c r="AS250">
        <f>IF('Calc base'!N$14=0,0,MIN(AG250,MAX(0,$E250-SUMIFS($V250:$AG250,'Calc base'!$C$19:$N$19,"&lt;"&amp;'Calc base'!N$19,'Calc base'!$C$14:$N$14,1))))</f>
        <v>0</v>
      </c>
      <c r="AT250">
        <f>V250-AH250</f>
        <v>0</v>
      </c>
      <c r="AU250">
        <f>W250-AI250</f>
        <v>0</v>
      </c>
      <c r="AV250">
        <f>X250-AJ250</f>
        <v>0</v>
      </c>
      <c r="AW250">
        <f>Y250-AK250</f>
        <v>0</v>
      </c>
      <c r="AX250">
        <f>Z250-AL250</f>
        <v>0</v>
      </c>
      <c r="AY250">
        <f>AA250-AM250</f>
        <v>0</v>
      </c>
      <c r="AZ250">
        <f>AB250-AN250</f>
        <v>0</v>
      </c>
      <c r="BA250">
        <f>AC250-AO250</f>
        <v>0</v>
      </c>
      <c r="BB250">
        <f>AD250-AP250</f>
        <v>0</v>
      </c>
      <c r="BC250">
        <f>AE250-AQ250</f>
        <v>0</v>
      </c>
      <c r="BD250">
        <f>AF250-AR250</f>
        <v>0</v>
      </c>
      <c r="BE250">
        <f>AG250-AS250</f>
        <v>0</v>
      </c>
    </row>
    <row r="251">
      <c r="A251" t="n">
        <v>221</v>
      </c>
      <c r="B251">
        <f>SUMPRODUCT(ROUND($AT250:$BE250*(1+'Calc base'!$H251:$S251),2))</f>
        <v>0</v>
      </c>
      <c r="C251">
        <f>SUM(J251:U251)</f>
        <v>0</v>
      </c>
      <c r="D251">
        <f>SUM(V251:AG251)</f>
        <v>0</v>
      </c>
      <c r="E251">
        <f>MAX(0,IF(Impostazioni!$B$7="No",'Calc base'!$C251-$C$31,'Calc base'!$C251-C251)+'Calc base'!$G251+'Calc base'!$F251-(B251-C251-D251))</f>
        <v>900</v>
      </c>
      <c r="F251">
        <f>SUM(AH251:AS251)</f>
        <v>0</v>
      </c>
      <c r="G251">
        <f>SUM(AT251:BE251)</f>
        <v>0</v>
      </c>
      <c r="H251">
        <f>B251-G250</f>
        <v>0</v>
      </c>
      <c r="I251">
        <f>B251-G251</f>
        <v>0</v>
      </c>
      <c r="J251">
        <f>IF(AT250&lt;=0,0,IF(ROUND(AT250*(1+'Calc base'!H251),2)-MAX('Calc base'!C$12,ROUND('Calc base'!C$13*AT250,2))&lt;1,ROUND(AT250*(1+'Calc base'!H251),2),MAX('Calc base'!C$12,ROUND('Calc base'!C$13*AT250,2))))</f>
        <v>0</v>
      </c>
      <c r="K251">
        <f>IF(AU250&lt;=0,0,IF(ROUND(AU250*(1+'Calc base'!I251),2)-MAX('Calc base'!D$12,ROUND('Calc base'!D$13*AU250,2))&lt;1,ROUND(AU250*(1+'Calc base'!I251),2),MAX('Calc base'!D$12,ROUND('Calc base'!D$13*AU250,2))))</f>
        <v>0</v>
      </c>
      <c r="L251">
        <f>IF(AV250&lt;=0,0,IF(ROUND(AV250*(1+'Calc base'!J251),2)-MAX('Calc base'!E$12,ROUND('Calc base'!E$13*AV250,2))&lt;1,ROUND(AV250*(1+'Calc base'!J251),2),MAX('Calc base'!E$12,ROUND('Calc base'!E$13*AV250,2))))</f>
        <v>0</v>
      </c>
      <c r="M251">
        <f>IF(AW250&lt;=0,0,IF(ROUND(AW250*(1+'Calc base'!K251),2)-MAX('Calc base'!F$12,ROUND('Calc base'!F$13*AW250,2))&lt;1,ROUND(AW250*(1+'Calc base'!K251),2),MAX('Calc base'!F$12,ROUND('Calc base'!F$13*AW250,2))))</f>
        <v>0</v>
      </c>
      <c r="N251">
        <f>IF(AX250&lt;=0,0,IF(ROUND(AX250*(1+'Calc base'!L251),2)-MAX('Calc base'!G$12,ROUND('Calc base'!G$13*AX250,2))&lt;1,ROUND(AX250*(1+'Calc base'!L251),2),MAX('Calc base'!G$12,ROUND('Calc base'!G$13*AX250,2))))</f>
        <v>0</v>
      </c>
      <c r="O251">
        <f>IF(AY250&lt;=0,0,IF(ROUND(AY250*(1+'Calc base'!M251),2)-MAX('Calc base'!H$12,ROUND('Calc base'!H$13*AY250,2))&lt;1,ROUND(AY250*(1+'Calc base'!M251),2),MAX('Calc base'!H$12,ROUND('Calc base'!H$13*AY250,2))))</f>
        <v>0</v>
      </c>
      <c r="P251">
        <f>IF(AZ250&lt;=0,0,IF(ROUND(AZ250*(1+'Calc base'!N251),2)-MAX('Calc base'!I$12,ROUND('Calc base'!I$13*AZ250,2))&lt;1,ROUND(AZ250*(1+'Calc base'!N251),2),MAX('Calc base'!I$12,ROUND('Calc base'!I$13*AZ250,2))))</f>
        <v>0</v>
      </c>
      <c r="Q251">
        <f>IF(BA250&lt;=0,0,IF(ROUND(BA250*(1+'Calc base'!O251),2)-MAX('Calc base'!J$12,ROUND('Calc base'!J$13*BA250,2))&lt;1,ROUND(BA250*(1+'Calc base'!O251),2),MAX('Calc base'!J$12,ROUND('Calc base'!J$13*BA250,2))))</f>
        <v>0</v>
      </c>
      <c r="R251">
        <f>IF(BB250&lt;=0,0,IF(ROUND(BB250*(1+'Calc base'!P251),2)-MAX('Calc base'!K$12,ROUND('Calc base'!K$13*BB250,2))&lt;1,ROUND(BB250*(1+'Calc base'!P251),2),MAX('Calc base'!K$12,ROUND('Calc base'!K$13*BB250,2))))</f>
        <v>0</v>
      </c>
      <c r="S251">
        <f>IF(BC250&lt;=0,0,IF(ROUND(BC250*(1+'Calc base'!Q251),2)-MAX('Calc base'!L$12,ROUND('Calc base'!L$13*BC250,2))&lt;1,ROUND(BC250*(1+'Calc base'!Q251),2),MAX('Calc base'!L$12,ROUND('Calc base'!L$13*BC250,2))))</f>
        <v>0</v>
      </c>
      <c r="T251">
        <f>IF(BD250&lt;=0,0,IF(ROUND(BD250*(1+'Calc base'!R251),2)-MAX('Calc base'!M$12,ROUND('Calc base'!M$13*BD250,2))&lt;1,ROUND(BD250*(1+'Calc base'!R251),2),MAX('Calc base'!M$12,ROUND('Calc base'!M$13*BD250,2))))</f>
        <v>0</v>
      </c>
      <c r="U251">
        <f>IF(BE250&lt;=0,0,IF(ROUND(BE250*(1+'Calc base'!S251),2)-MAX('Calc base'!N$12,ROUND('Calc base'!N$13*BE250,2))&lt;1,ROUND(BE250*(1+'Calc base'!S251),2),MAX('Calc base'!N$12,ROUND('Calc base'!N$13*BE250,2))))</f>
        <v>0</v>
      </c>
      <c r="V251">
        <f>MAX(0,ROUND(AT250*(1+'Calc base'!H251),2)-J251-'Calc base'!T251)</f>
        <v>0</v>
      </c>
      <c r="W251">
        <f>MAX(0,ROUND(AU250*(1+'Calc base'!I251),2)-K251-'Calc base'!U251)</f>
        <v>0</v>
      </c>
      <c r="X251">
        <f>MAX(0,ROUND(AV250*(1+'Calc base'!J251),2)-L251-'Calc base'!V251)</f>
        <v>0</v>
      </c>
      <c r="Y251">
        <f>MAX(0,ROUND(AW250*(1+'Calc base'!K251),2)-M251-'Calc base'!W251)</f>
        <v>0</v>
      </c>
      <c r="Z251">
        <f>MAX(0,ROUND(AX250*(1+'Calc base'!L251),2)-N251-'Calc base'!X251)</f>
        <v>0</v>
      </c>
      <c r="AA251">
        <f>MAX(0,ROUND(AY250*(1+'Calc base'!M251),2)-O251-'Calc base'!Y251)</f>
        <v>0</v>
      </c>
      <c r="AB251">
        <f>MAX(0,ROUND(AZ250*(1+'Calc base'!N251),2)-P251-'Calc base'!Z251)</f>
        <v>0</v>
      </c>
      <c r="AC251">
        <f>MAX(0,ROUND(BA250*(1+'Calc base'!O251),2)-Q251-'Calc base'!AA251)</f>
        <v>0</v>
      </c>
      <c r="AD251">
        <f>MAX(0,ROUND(BB250*(1+'Calc base'!P251),2)-R251-'Calc base'!AB251)</f>
        <v>0</v>
      </c>
      <c r="AE251">
        <f>MAX(0,ROUND(BC250*(1+'Calc base'!Q251),2)-S251-'Calc base'!AC251)</f>
        <v>0</v>
      </c>
      <c r="AF251">
        <f>MAX(0,ROUND(BD250*(1+'Calc base'!R251),2)-T251-'Calc base'!AD251)</f>
        <v>0</v>
      </c>
      <c r="AG251">
        <f>MAX(0,ROUND(BE250*(1+'Calc base'!S251),2)-U251-'Calc base'!AE251)</f>
        <v>0</v>
      </c>
      <c r="AH251">
        <f>IF('Calc base'!C$14=0,0,MIN(V251,MAX(0,$E251-SUMIFS($V251:$AG251,'Calc base'!$C$19:$N$19,"&lt;"&amp;'Calc base'!C$19,'Calc base'!$C$14:$N$14,1))))</f>
        <v>0</v>
      </c>
      <c r="AI251">
        <f>IF('Calc base'!D$14=0,0,MIN(W251,MAX(0,$E251-SUMIFS($V251:$AG251,'Calc base'!$C$19:$N$19,"&lt;"&amp;'Calc base'!D$19,'Calc base'!$C$14:$N$14,1))))</f>
        <v>0</v>
      </c>
      <c r="AJ251">
        <f>IF('Calc base'!E$14=0,0,MIN(X251,MAX(0,$E251-SUMIFS($V251:$AG251,'Calc base'!$C$19:$N$19,"&lt;"&amp;'Calc base'!E$19,'Calc base'!$C$14:$N$14,1))))</f>
        <v>0</v>
      </c>
      <c r="AK251">
        <f>IF('Calc base'!F$14=0,0,MIN(Y251,MAX(0,$E251-SUMIFS($V251:$AG251,'Calc base'!$C$19:$N$19,"&lt;"&amp;'Calc base'!F$19,'Calc base'!$C$14:$N$14,1))))</f>
        <v>0</v>
      </c>
      <c r="AL251">
        <f>IF('Calc base'!G$14=0,0,MIN(Z251,MAX(0,$E251-SUMIFS($V251:$AG251,'Calc base'!$C$19:$N$19,"&lt;"&amp;'Calc base'!G$19,'Calc base'!$C$14:$N$14,1))))</f>
        <v>0</v>
      </c>
      <c r="AM251">
        <f>IF('Calc base'!H$14=0,0,MIN(AA251,MAX(0,$E251-SUMIFS($V251:$AG251,'Calc base'!$C$19:$N$19,"&lt;"&amp;'Calc base'!H$19,'Calc base'!$C$14:$N$14,1))))</f>
        <v>0</v>
      </c>
      <c r="AN251">
        <f>IF('Calc base'!I$14=0,0,MIN(AB251,MAX(0,$E251-SUMIFS($V251:$AG251,'Calc base'!$C$19:$N$19,"&lt;"&amp;'Calc base'!I$19,'Calc base'!$C$14:$N$14,1))))</f>
        <v>0</v>
      </c>
      <c r="AO251">
        <f>IF('Calc base'!J$14=0,0,MIN(AC251,MAX(0,$E251-SUMIFS($V251:$AG251,'Calc base'!$C$19:$N$19,"&lt;"&amp;'Calc base'!J$19,'Calc base'!$C$14:$N$14,1))))</f>
        <v>0</v>
      </c>
      <c r="AP251">
        <f>IF('Calc base'!K$14=0,0,MIN(AD251,MAX(0,$E251-SUMIFS($V251:$AG251,'Calc base'!$C$19:$N$19,"&lt;"&amp;'Calc base'!K$19,'Calc base'!$C$14:$N$14,1))))</f>
        <v>0</v>
      </c>
      <c r="AQ251">
        <f>IF('Calc base'!L$14=0,0,MIN(AE251,MAX(0,$E251-SUMIFS($V251:$AG251,'Calc base'!$C$19:$N$19,"&lt;"&amp;'Calc base'!L$19,'Calc base'!$C$14:$N$14,1))))</f>
        <v>0</v>
      </c>
      <c r="AR251">
        <f>IF('Calc base'!M$14=0,0,MIN(AF251,MAX(0,$E251-SUMIFS($V251:$AG251,'Calc base'!$C$19:$N$19,"&lt;"&amp;'Calc base'!M$19,'Calc base'!$C$14:$N$14,1))))</f>
        <v>0</v>
      </c>
      <c r="AS251">
        <f>IF('Calc base'!N$14=0,0,MIN(AG251,MAX(0,$E251-SUMIFS($V251:$AG251,'Calc base'!$C$19:$N$19,"&lt;"&amp;'Calc base'!N$19,'Calc base'!$C$14:$N$14,1))))</f>
        <v>0</v>
      </c>
      <c r="AT251">
        <f>V251-AH251</f>
        <v>0</v>
      </c>
      <c r="AU251">
        <f>W251-AI251</f>
        <v>0</v>
      </c>
      <c r="AV251">
        <f>X251-AJ251</f>
        <v>0</v>
      </c>
      <c r="AW251">
        <f>Y251-AK251</f>
        <v>0</v>
      </c>
      <c r="AX251">
        <f>Z251-AL251</f>
        <v>0</v>
      </c>
      <c r="AY251">
        <f>AA251-AM251</f>
        <v>0</v>
      </c>
      <c r="AZ251">
        <f>AB251-AN251</f>
        <v>0</v>
      </c>
      <c r="BA251">
        <f>AC251-AO251</f>
        <v>0</v>
      </c>
      <c r="BB251">
        <f>AD251-AP251</f>
        <v>0</v>
      </c>
      <c r="BC251">
        <f>AE251-AQ251</f>
        <v>0</v>
      </c>
      <c r="BD251">
        <f>AF251-AR251</f>
        <v>0</v>
      </c>
      <c r="BE251">
        <f>AG251-AS251</f>
        <v>0</v>
      </c>
    </row>
    <row r="252">
      <c r="A252" t="n">
        <v>222</v>
      </c>
      <c r="B252">
        <f>SUMPRODUCT(ROUND($AT251:$BE251*(1+'Calc base'!$H252:$S252),2))</f>
        <v>0</v>
      </c>
      <c r="C252">
        <f>SUM(J252:U252)</f>
        <v>0</v>
      </c>
      <c r="D252">
        <f>SUM(V252:AG252)</f>
        <v>0</v>
      </c>
      <c r="E252">
        <f>MAX(0,IF(Impostazioni!$B$7="No",'Calc base'!$C252-$C$31,'Calc base'!$C252-C252)+'Calc base'!$G252+'Calc base'!$F252-(B252-C252-D252))</f>
        <v>900</v>
      </c>
      <c r="F252">
        <f>SUM(AH252:AS252)</f>
        <v>0</v>
      </c>
      <c r="G252">
        <f>SUM(AT252:BE252)</f>
        <v>0</v>
      </c>
      <c r="H252">
        <f>B252-G251</f>
        <v>0</v>
      </c>
      <c r="I252">
        <f>B252-G252</f>
        <v>0</v>
      </c>
      <c r="J252">
        <f>IF(AT251&lt;=0,0,IF(ROUND(AT251*(1+'Calc base'!H252),2)-MAX('Calc base'!C$12,ROUND('Calc base'!C$13*AT251,2))&lt;1,ROUND(AT251*(1+'Calc base'!H252),2),MAX('Calc base'!C$12,ROUND('Calc base'!C$13*AT251,2))))</f>
        <v>0</v>
      </c>
      <c r="K252">
        <f>IF(AU251&lt;=0,0,IF(ROUND(AU251*(1+'Calc base'!I252),2)-MAX('Calc base'!D$12,ROUND('Calc base'!D$13*AU251,2))&lt;1,ROUND(AU251*(1+'Calc base'!I252),2),MAX('Calc base'!D$12,ROUND('Calc base'!D$13*AU251,2))))</f>
        <v>0</v>
      </c>
      <c r="L252">
        <f>IF(AV251&lt;=0,0,IF(ROUND(AV251*(1+'Calc base'!J252),2)-MAX('Calc base'!E$12,ROUND('Calc base'!E$13*AV251,2))&lt;1,ROUND(AV251*(1+'Calc base'!J252),2),MAX('Calc base'!E$12,ROUND('Calc base'!E$13*AV251,2))))</f>
        <v>0</v>
      </c>
      <c r="M252">
        <f>IF(AW251&lt;=0,0,IF(ROUND(AW251*(1+'Calc base'!K252),2)-MAX('Calc base'!F$12,ROUND('Calc base'!F$13*AW251,2))&lt;1,ROUND(AW251*(1+'Calc base'!K252),2),MAX('Calc base'!F$12,ROUND('Calc base'!F$13*AW251,2))))</f>
        <v>0</v>
      </c>
      <c r="N252">
        <f>IF(AX251&lt;=0,0,IF(ROUND(AX251*(1+'Calc base'!L252),2)-MAX('Calc base'!G$12,ROUND('Calc base'!G$13*AX251,2))&lt;1,ROUND(AX251*(1+'Calc base'!L252),2),MAX('Calc base'!G$12,ROUND('Calc base'!G$13*AX251,2))))</f>
        <v>0</v>
      </c>
      <c r="O252">
        <f>IF(AY251&lt;=0,0,IF(ROUND(AY251*(1+'Calc base'!M252),2)-MAX('Calc base'!H$12,ROUND('Calc base'!H$13*AY251,2))&lt;1,ROUND(AY251*(1+'Calc base'!M252),2),MAX('Calc base'!H$12,ROUND('Calc base'!H$13*AY251,2))))</f>
        <v>0</v>
      </c>
      <c r="P252">
        <f>IF(AZ251&lt;=0,0,IF(ROUND(AZ251*(1+'Calc base'!N252),2)-MAX('Calc base'!I$12,ROUND('Calc base'!I$13*AZ251,2))&lt;1,ROUND(AZ251*(1+'Calc base'!N252),2),MAX('Calc base'!I$12,ROUND('Calc base'!I$13*AZ251,2))))</f>
        <v>0</v>
      </c>
      <c r="Q252">
        <f>IF(BA251&lt;=0,0,IF(ROUND(BA251*(1+'Calc base'!O252),2)-MAX('Calc base'!J$12,ROUND('Calc base'!J$13*BA251,2))&lt;1,ROUND(BA251*(1+'Calc base'!O252),2),MAX('Calc base'!J$12,ROUND('Calc base'!J$13*BA251,2))))</f>
        <v>0</v>
      </c>
      <c r="R252">
        <f>IF(BB251&lt;=0,0,IF(ROUND(BB251*(1+'Calc base'!P252),2)-MAX('Calc base'!K$12,ROUND('Calc base'!K$13*BB251,2))&lt;1,ROUND(BB251*(1+'Calc base'!P252),2),MAX('Calc base'!K$12,ROUND('Calc base'!K$13*BB251,2))))</f>
        <v>0</v>
      </c>
      <c r="S252">
        <f>IF(BC251&lt;=0,0,IF(ROUND(BC251*(1+'Calc base'!Q252),2)-MAX('Calc base'!L$12,ROUND('Calc base'!L$13*BC251,2))&lt;1,ROUND(BC251*(1+'Calc base'!Q252),2),MAX('Calc base'!L$12,ROUND('Calc base'!L$13*BC251,2))))</f>
        <v>0</v>
      </c>
      <c r="T252">
        <f>IF(BD251&lt;=0,0,IF(ROUND(BD251*(1+'Calc base'!R252),2)-MAX('Calc base'!M$12,ROUND('Calc base'!M$13*BD251,2))&lt;1,ROUND(BD251*(1+'Calc base'!R252),2),MAX('Calc base'!M$12,ROUND('Calc base'!M$13*BD251,2))))</f>
        <v>0</v>
      </c>
      <c r="U252">
        <f>IF(BE251&lt;=0,0,IF(ROUND(BE251*(1+'Calc base'!S252),2)-MAX('Calc base'!N$12,ROUND('Calc base'!N$13*BE251,2))&lt;1,ROUND(BE251*(1+'Calc base'!S252),2),MAX('Calc base'!N$12,ROUND('Calc base'!N$13*BE251,2))))</f>
        <v>0</v>
      </c>
      <c r="V252">
        <f>MAX(0,ROUND(AT251*(1+'Calc base'!H252),2)-J252-'Calc base'!T252)</f>
        <v>0</v>
      </c>
      <c r="W252">
        <f>MAX(0,ROUND(AU251*(1+'Calc base'!I252),2)-K252-'Calc base'!U252)</f>
        <v>0</v>
      </c>
      <c r="X252">
        <f>MAX(0,ROUND(AV251*(1+'Calc base'!J252),2)-L252-'Calc base'!V252)</f>
        <v>0</v>
      </c>
      <c r="Y252">
        <f>MAX(0,ROUND(AW251*(1+'Calc base'!K252),2)-M252-'Calc base'!W252)</f>
        <v>0</v>
      </c>
      <c r="Z252">
        <f>MAX(0,ROUND(AX251*(1+'Calc base'!L252),2)-N252-'Calc base'!X252)</f>
        <v>0</v>
      </c>
      <c r="AA252">
        <f>MAX(0,ROUND(AY251*(1+'Calc base'!M252),2)-O252-'Calc base'!Y252)</f>
        <v>0</v>
      </c>
      <c r="AB252">
        <f>MAX(0,ROUND(AZ251*(1+'Calc base'!N252),2)-P252-'Calc base'!Z252)</f>
        <v>0</v>
      </c>
      <c r="AC252">
        <f>MAX(0,ROUND(BA251*(1+'Calc base'!O252),2)-Q252-'Calc base'!AA252)</f>
        <v>0</v>
      </c>
      <c r="AD252">
        <f>MAX(0,ROUND(BB251*(1+'Calc base'!P252),2)-R252-'Calc base'!AB252)</f>
        <v>0</v>
      </c>
      <c r="AE252">
        <f>MAX(0,ROUND(BC251*(1+'Calc base'!Q252),2)-S252-'Calc base'!AC252)</f>
        <v>0</v>
      </c>
      <c r="AF252">
        <f>MAX(0,ROUND(BD251*(1+'Calc base'!R252),2)-T252-'Calc base'!AD252)</f>
        <v>0</v>
      </c>
      <c r="AG252">
        <f>MAX(0,ROUND(BE251*(1+'Calc base'!S252),2)-U252-'Calc base'!AE252)</f>
        <v>0</v>
      </c>
      <c r="AH252">
        <f>IF('Calc base'!C$14=0,0,MIN(V252,MAX(0,$E252-SUMIFS($V252:$AG252,'Calc base'!$C$19:$N$19,"&lt;"&amp;'Calc base'!C$19,'Calc base'!$C$14:$N$14,1))))</f>
        <v>0</v>
      </c>
      <c r="AI252">
        <f>IF('Calc base'!D$14=0,0,MIN(W252,MAX(0,$E252-SUMIFS($V252:$AG252,'Calc base'!$C$19:$N$19,"&lt;"&amp;'Calc base'!D$19,'Calc base'!$C$14:$N$14,1))))</f>
        <v>0</v>
      </c>
      <c r="AJ252">
        <f>IF('Calc base'!E$14=0,0,MIN(X252,MAX(0,$E252-SUMIFS($V252:$AG252,'Calc base'!$C$19:$N$19,"&lt;"&amp;'Calc base'!E$19,'Calc base'!$C$14:$N$14,1))))</f>
        <v>0</v>
      </c>
      <c r="AK252">
        <f>IF('Calc base'!F$14=0,0,MIN(Y252,MAX(0,$E252-SUMIFS($V252:$AG252,'Calc base'!$C$19:$N$19,"&lt;"&amp;'Calc base'!F$19,'Calc base'!$C$14:$N$14,1))))</f>
        <v>0</v>
      </c>
      <c r="AL252">
        <f>IF('Calc base'!G$14=0,0,MIN(Z252,MAX(0,$E252-SUMIFS($V252:$AG252,'Calc base'!$C$19:$N$19,"&lt;"&amp;'Calc base'!G$19,'Calc base'!$C$14:$N$14,1))))</f>
        <v>0</v>
      </c>
      <c r="AM252">
        <f>IF('Calc base'!H$14=0,0,MIN(AA252,MAX(0,$E252-SUMIFS($V252:$AG252,'Calc base'!$C$19:$N$19,"&lt;"&amp;'Calc base'!H$19,'Calc base'!$C$14:$N$14,1))))</f>
        <v>0</v>
      </c>
      <c r="AN252">
        <f>IF('Calc base'!I$14=0,0,MIN(AB252,MAX(0,$E252-SUMIFS($V252:$AG252,'Calc base'!$C$19:$N$19,"&lt;"&amp;'Calc base'!I$19,'Calc base'!$C$14:$N$14,1))))</f>
        <v>0</v>
      </c>
      <c r="AO252">
        <f>IF('Calc base'!J$14=0,0,MIN(AC252,MAX(0,$E252-SUMIFS($V252:$AG252,'Calc base'!$C$19:$N$19,"&lt;"&amp;'Calc base'!J$19,'Calc base'!$C$14:$N$14,1))))</f>
        <v>0</v>
      </c>
      <c r="AP252">
        <f>IF('Calc base'!K$14=0,0,MIN(AD252,MAX(0,$E252-SUMIFS($V252:$AG252,'Calc base'!$C$19:$N$19,"&lt;"&amp;'Calc base'!K$19,'Calc base'!$C$14:$N$14,1))))</f>
        <v>0</v>
      </c>
      <c r="AQ252">
        <f>IF('Calc base'!L$14=0,0,MIN(AE252,MAX(0,$E252-SUMIFS($V252:$AG252,'Calc base'!$C$19:$N$19,"&lt;"&amp;'Calc base'!L$19,'Calc base'!$C$14:$N$14,1))))</f>
        <v>0</v>
      </c>
      <c r="AR252">
        <f>IF('Calc base'!M$14=0,0,MIN(AF252,MAX(0,$E252-SUMIFS($V252:$AG252,'Calc base'!$C$19:$N$19,"&lt;"&amp;'Calc base'!M$19,'Calc base'!$C$14:$N$14,1))))</f>
        <v>0</v>
      </c>
      <c r="AS252">
        <f>IF('Calc base'!N$14=0,0,MIN(AG252,MAX(0,$E252-SUMIFS($V252:$AG252,'Calc base'!$C$19:$N$19,"&lt;"&amp;'Calc base'!N$19,'Calc base'!$C$14:$N$14,1))))</f>
        <v>0</v>
      </c>
      <c r="AT252">
        <f>V252-AH252</f>
        <v>0</v>
      </c>
      <c r="AU252">
        <f>W252-AI252</f>
        <v>0</v>
      </c>
      <c r="AV252">
        <f>X252-AJ252</f>
        <v>0</v>
      </c>
      <c r="AW252">
        <f>Y252-AK252</f>
        <v>0</v>
      </c>
      <c r="AX252">
        <f>Z252-AL252</f>
        <v>0</v>
      </c>
      <c r="AY252">
        <f>AA252-AM252</f>
        <v>0</v>
      </c>
      <c r="AZ252">
        <f>AB252-AN252</f>
        <v>0</v>
      </c>
      <c r="BA252">
        <f>AC252-AO252</f>
        <v>0</v>
      </c>
      <c r="BB252">
        <f>AD252-AP252</f>
        <v>0</v>
      </c>
      <c r="BC252">
        <f>AE252-AQ252</f>
        <v>0</v>
      </c>
      <c r="BD252">
        <f>AF252-AR252</f>
        <v>0</v>
      </c>
      <c r="BE252">
        <f>AG252-AS252</f>
        <v>0</v>
      </c>
    </row>
    <row r="253">
      <c r="A253" t="n">
        <v>223</v>
      </c>
      <c r="B253">
        <f>SUMPRODUCT(ROUND($AT252:$BE252*(1+'Calc base'!$H253:$S253),2))</f>
        <v>0</v>
      </c>
      <c r="C253">
        <f>SUM(J253:U253)</f>
        <v>0</v>
      </c>
      <c r="D253">
        <f>SUM(V253:AG253)</f>
        <v>0</v>
      </c>
      <c r="E253">
        <f>MAX(0,IF(Impostazioni!$B$7="No",'Calc base'!$C253-$C$31,'Calc base'!$C253-C253)+'Calc base'!$G253+'Calc base'!$F253-(B253-C253-D253))</f>
        <v>900</v>
      </c>
      <c r="F253">
        <f>SUM(AH253:AS253)</f>
        <v>0</v>
      </c>
      <c r="G253">
        <f>SUM(AT253:BE253)</f>
        <v>0</v>
      </c>
      <c r="H253">
        <f>B253-G252</f>
        <v>0</v>
      </c>
      <c r="I253">
        <f>B253-G253</f>
        <v>0</v>
      </c>
      <c r="J253">
        <f>IF(AT252&lt;=0,0,IF(ROUND(AT252*(1+'Calc base'!H253),2)-MAX('Calc base'!C$12,ROUND('Calc base'!C$13*AT252,2))&lt;1,ROUND(AT252*(1+'Calc base'!H253),2),MAX('Calc base'!C$12,ROUND('Calc base'!C$13*AT252,2))))</f>
        <v>0</v>
      </c>
      <c r="K253">
        <f>IF(AU252&lt;=0,0,IF(ROUND(AU252*(1+'Calc base'!I253),2)-MAX('Calc base'!D$12,ROUND('Calc base'!D$13*AU252,2))&lt;1,ROUND(AU252*(1+'Calc base'!I253),2),MAX('Calc base'!D$12,ROUND('Calc base'!D$13*AU252,2))))</f>
        <v>0</v>
      </c>
      <c r="L253">
        <f>IF(AV252&lt;=0,0,IF(ROUND(AV252*(1+'Calc base'!J253),2)-MAX('Calc base'!E$12,ROUND('Calc base'!E$13*AV252,2))&lt;1,ROUND(AV252*(1+'Calc base'!J253),2),MAX('Calc base'!E$12,ROUND('Calc base'!E$13*AV252,2))))</f>
        <v>0</v>
      </c>
      <c r="M253">
        <f>IF(AW252&lt;=0,0,IF(ROUND(AW252*(1+'Calc base'!K253),2)-MAX('Calc base'!F$12,ROUND('Calc base'!F$13*AW252,2))&lt;1,ROUND(AW252*(1+'Calc base'!K253),2),MAX('Calc base'!F$12,ROUND('Calc base'!F$13*AW252,2))))</f>
        <v>0</v>
      </c>
      <c r="N253">
        <f>IF(AX252&lt;=0,0,IF(ROUND(AX252*(1+'Calc base'!L253),2)-MAX('Calc base'!G$12,ROUND('Calc base'!G$13*AX252,2))&lt;1,ROUND(AX252*(1+'Calc base'!L253),2),MAX('Calc base'!G$12,ROUND('Calc base'!G$13*AX252,2))))</f>
        <v>0</v>
      </c>
      <c r="O253">
        <f>IF(AY252&lt;=0,0,IF(ROUND(AY252*(1+'Calc base'!M253),2)-MAX('Calc base'!H$12,ROUND('Calc base'!H$13*AY252,2))&lt;1,ROUND(AY252*(1+'Calc base'!M253),2),MAX('Calc base'!H$12,ROUND('Calc base'!H$13*AY252,2))))</f>
        <v>0</v>
      </c>
      <c r="P253">
        <f>IF(AZ252&lt;=0,0,IF(ROUND(AZ252*(1+'Calc base'!N253),2)-MAX('Calc base'!I$12,ROUND('Calc base'!I$13*AZ252,2))&lt;1,ROUND(AZ252*(1+'Calc base'!N253),2),MAX('Calc base'!I$12,ROUND('Calc base'!I$13*AZ252,2))))</f>
        <v>0</v>
      </c>
      <c r="Q253">
        <f>IF(BA252&lt;=0,0,IF(ROUND(BA252*(1+'Calc base'!O253),2)-MAX('Calc base'!J$12,ROUND('Calc base'!J$13*BA252,2))&lt;1,ROUND(BA252*(1+'Calc base'!O253),2),MAX('Calc base'!J$12,ROUND('Calc base'!J$13*BA252,2))))</f>
        <v>0</v>
      </c>
      <c r="R253">
        <f>IF(BB252&lt;=0,0,IF(ROUND(BB252*(1+'Calc base'!P253),2)-MAX('Calc base'!K$12,ROUND('Calc base'!K$13*BB252,2))&lt;1,ROUND(BB252*(1+'Calc base'!P253),2),MAX('Calc base'!K$12,ROUND('Calc base'!K$13*BB252,2))))</f>
        <v>0</v>
      </c>
      <c r="S253">
        <f>IF(BC252&lt;=0,0,IF(ROUND(BC252*(1+'Calc base'!Q253),2)-MAX('Calc base'!L$12,ROUND('Calc base'!L$13*BC252,2))&lt;1,ROUND(BC252*(1+'Calc base'!Q253),2),MAX('Calc base'!L$12,ROUND('Calc base'!L$13*BC252,2))))</f>
        <v>0</v>
      </c>
      <c r="T253">
        <f>IF(BD252&lt;=0,0,IF(ROUND(BD252*(1+'Calc base'!R253),2)-MAX('Calc base'!M$12,ROUND('Calc base'!M$13*BD252,2))&lt;1,ROUND(BD252*(1+'Calc base'!R253),2),MAX('Calc base'!M$12,ROUND('Calc base'!M$13*BD252,2))))</f>
        <v>0</v>
      </c>
      <c r="U253">
        <f>IF(BE252&lt;=0,0,IF(ROUND(BE252*(1+'Calc base'!S253),2)-MAX('Calc base'!N$12,ROUND('Calc base'!N$13*BE252,2))&lt;1,ROUND(BE252*(1+'Calc base'!S253),2),MAX('Calc base'!N$12,ROUND('Calc base'!N$13*BE252,2))))</f>
        <v>0</v>
      </c>
      <c r="V253">
        <f>MAX(0,ROUND(AT252*(1+'Calc base'!H253),2)-J253-'Calc base'!T253)</f>
        <v>0</v>
      </c>
      <c r="W253">
        <f>MAX(0,ROUND(AU252*(1+'Calc base'!I253),2)-K253-'Calc base'!U253)</f>
        <v>0</v>
      </c>
      <c r="X253">
        <f>MAX(0,ROUND(AV252*(1+'Calc base'!J253),2)-L253-'Calc base'!V253)</f>
        <v>0</v>
      </c>
      <c r="Y253">
        <f>MAX(0,ROUND(AW252*(1+'Calc base'!K253),2)-M253-'Calc base'!W253)</f>
        <v>0</v>
      </c>
      <c r="Z253">
        <f>MAX(0,ROUND(AX252*(1+'Calc base'!L253),2)-N253-'Calc base'!X253)</f>
        <v>0</v>
      </c>
      <c r="AA253">
        <f>MAX(0,ROUND(AY252*(1+'Calc base'!M253),2)-O253-'Calc base'!Y253)</f>
        <v>0</v>
      </c>
      <c r="AB253">
        <f>MAX(0,ROUND(AZ252*(1+'Calc base'!N253),2)-P253-'Calc base'!Z253)</f>
        <v>0</v>
      </c>
      <c r="AC253">
        <f>MAX(0,ROUND(BA252*(1+'Calc base'!O253),2)-Q253-'Calc base'!AA253)</f>
        <v>0</v>
      </c>
      <c r="AD253">
        <f>MAX(0,ROUND(BB252*(1+'Calc base'!P253),2)-R253-'Calc base'!AB253)</f>
        <v>0</v>
      </c>
      <c r="AE253">
        <f>MAX(0,ROUND(BC252*(1+'Calc base'!Q253),2)-S253-'Calc base'!AC253)</f>
        <v>0</v>
      </c>
      <c r="AF253">
        <f>MAX(0,ROUND(BD252*(1+'Calc base'!R253),2)-T253-'Calc base'!AD253)</f>
        <v>0</v>
      </c>
      <c r="AG253">
        <f>MAX(0,ROUND(BE252*(1+'Calc base'!S253),2)-U253-'Calc base'!AE253)</f>
        <v>0</v>
      </c>
      <c r="AH253">
        <f>IF('Calc base'!C$14=0,0,MIN(V253,MAX(0,$E253-SUMIFS($V253:$AG253,'Calc base'!$C$19:$N$19,"&lt;"&amp;'Calc base'!C$19,'Calc base'!$C$14:$N$14,1))))</f>
        <v>0</v>
      </c>
      <c r="AI253">
        <f>IF('Calc base'!D$14=0,0,MIN(W253,MAX(0,$E253-SUMIFS($V253:$AG253,'Calc base'!$C$19:$N$19,"&lt;"&amp;'Calc base'!D$19,'Calc base'!$C$14:$N$14,1))))</f>
        <v>0</v>
      </c>
      <c r="AJ253">
        <f>IF('Calc base'!E$14=0,0,MIN(X253,MAX(0,$E253-SUMIFS($V253:$AG253,'Calc base'!$C$19:$N$19,"&lt;"&amp;'Calc base'!E$19,'Calc base'!$C$14:$N$14,1))))</f>
        <v>0</v>
      </c>
      <c r="AK253">
        <f>IF('Calc base'!F$14=0,0,MIN(Y253,MAX(0,$E253-SUMIFS($V253:$AG253,'Calc base'!$C$19:$N$19,"&lt;"&amp;'Calc base'!F$19,'Calc base'!$C$14:$N$14,1))))</f>
        <v>0</v>
      </c>
      <c r="AL253">
        <f>IF('Calc base'!G$14=0,0,MIN(Z253,MAX(0,$E253-SUMIFS($V253:$AG253,'Calc base'!$C$19:$N$19,"&lt;"&amp;'Calc base'!G$19,'Calc base'!$C$14:$N$14,1))))</f>
        <v>0</v>
      </c>
      <c r="AM253">
        <f>IF('Calc base'!H$14=0,0,MIN(AA253,MAX(0,$E253-SUMIFS($V253:$AG253,'Calc base'!$C$19:$N$19,"&lt;"&amp;'Calc base'!H$19,'Calc base'!$C$14:$N$14,1))))</f>
        <v>0</v>
      </c>
      <c r="AN253">
        <f>IF('Calc base'!I$14=0,0,MIN(AB253,MAX(0,$E253-SUMIFS($V253:$AG253,'Calc base'!$C$19:$N$19,"&lt;"&amp;'Calc base'!I$19,'Calc base'!$C$14:$N$14,1))))</f>
        <v>0</v>
      </c>
      <c r="AO253">
        <f>IF('Calc base'!J$14=0,0,MIN(AC253,MAX(0,$E253-SUMIFS($V253:$AG253,'Calc base'!$C$19:$N$19,"&lt;"&amp;'Calc base'!J$19,'Calc base'!$C$14:$N$14,1))))</f>
        <v>0</v>
      </c>
      <c r="AP253">
        <f>IF('Calc base'!K$14=0,0,MIN(AD253,MAX(0,$E253-SUMIFS($V253:$AG253,'Calc base'!$C$19:$N$19,"&lt;"&amp;'Calc base'!K$19,'Calc base'!$C$14:$N$14,1))))</f>
        <v>0</v>
      </c>
      <c r="AQ253">
        <f>IF('Calc base'!L$14=0,0,MIN(AE253,MAX(0,$E253-SUMIFS($V253:$AG253,'Calc base'!$C$19:$N$19,"&lt;"&amp;'Calc base'!L$19,'Calc base'!$C$14:$N$14,1))))</f>
        <v>0</v>
      </c>
      <c r="AR253">
        <f>IF('Calc base'!M$14=0,0,MIN(AF253,MAX(0,$E253-SUMIFS($V253:$AG253,'Calc base'!$C$19:$N$19,"&lt;"&amp;'Calc base'!M$19,'Calc base'!$C$14:$N$14,1))))</f>
        <v>0</v>
      </c>
      <c r="AS253">
        <f>IF('Calc base'!N$14=0,0,MIN(AG253,MAX(0,$E253-SUMIFS($V253:$AG253,'Calc base'!$C$19:$N$19,"&lt;"&amp;'Calc base'!N$19,'Calc base'!$C$14:$N$14,1))))</f>
        <v>0</v>
      </c>
      <c r="AT253">
        <f>V253-AH253</f>
        <v>0</v>
      </c>
      <c r="AU253">
        <f>W253-AI253</f>
        <v>0</v>
      </c>
      <c r="AV253">
        <f>X253-AJ253</f>
        <v>0</v>
      </c>
      <c r="AW253">
        <f>Y253-AK253</f>
        <v>0</v>
      </c>
      <c r="AX253">
        <f>Z253-AL253</f>
        <v>0</v>
      </c>
      <c r="AY253">
        <f>AA253-AM253</f>
        <v>0</v>
      </c>
      <c r="AZ253">
        <f>AB253-AN253</f>
        <v>0</v>
      </c>
      <c r="BA253">
        <f>AC253-AO253</f>
        <v>0</v>
      </c>
      <c r="BB253">
        <f>AD253-AP253</f>
        <v>0</v>
      </c>
      <c r="BC253">
        <f>AE253-AQ253</f>
        <v>0</v>
      </c>
      <c r="BD253">
        <f>AF253-AR253</f>
        <v>0</v>
      </c>
      <c r="BE253">
        <f>AG253-AS253</f>
        <v>0</v>
      </c>
    </row>
    <row r="254">
      <c r="A254" t="n">
        <v>224</v>
      </c>
      <c r="B254">
        <f>SUMPRODUCT(ROUND($AT253:$BE253*(1+'Calc base'!$H254:$S254),2))</f>
        <v>0</v>
      </c>
      <c r="C254">
        <f>SUM(J254:U254)</f>
        <v>0</v>
      </c>
      <c r="D254">
        <f>SUM(V254:AG254)</f>
        <v>0</v>
      </c>
      <c r="E254">
        <f>MAX(0,IF(Impostazioni!$B$7="No",'Calc base'!$C254-$C$31,'Calc base'!$C254-C254)+'Calc base'!$G254+'Calc base'!$F254-(B254-C254-D254))</f>
        <v>900</v>
      </c>
      <c r="F254">
        <f>SUM(AH254:AS254)</f>
        <v>0</v>
      </c>
      <c r="G254">
        <f>SUM(AT254:BE254)</f>
        <v>0</v>
      </c>
      <c r="H254">
        <f>B254-G253</f>
        <v>0</v>
      </c>
      <c r="I254">
        <f>B254-G254</f>
        <v>0</v>
      </c>
      <c r="J254">
        <f>IF(AT253&lt;=0,0,IF(ROUND(AT253*(1+'Calc base'!H254),2)-MAX('Calc base'!C$12,ROUND('Calc base'!C$13*AT253,2))&lt;1,ROUND(AT253*(1+'Calc base'!H254),2),MAX('Calc base'!C$12,ROUND('Calc base'!C$13*AT253,2))))</f>
        <v>0</v>
      </c>
      <c r="K254">
        <f>IF(AU253&lt;=0,0,IF(ROUND(AU253*(1+'Calc base'!I254),2)-MAX('Calc base'!D$12,ROUND('Calc base'!D$13*AU253,2))&lt;1,ROUND(AU253*(1+'Calc base'!I254),2),MAX('Calc base'!D$12,ROUND('Calc base'!D$13*AU253,2))))</f>
        <v>0</v>
      </c>
      <c r="L254">
        <f>IF(AV253&lt;=0,0,IF(ROUND(AV253*(1+'Calc base'!J254),2)-MAX('Calc base'!E$12,ROUND('Calc base'!E$13*AV253,2))&lt;1,ROUND(AV253*(1+'Calc base'!J254),2),MAX('Calc base'!E$12,ROUND('Calc base'!E$13*AV253,2))))</f>
        <v>0</v>
      </c>
      <c r="M254">
        <f>IF(AW253&lt;=0,0,IF(ROUND(AW253*(1+'Calc base'!K254),2)-MAX('Calc base'!F$12,ROUND('Calc base'!F$13*AW253,2))&lt;1,ROUND(AW253*(1+'Calc base'!K254),2),MAX('Calc base'!F$12,ROUND('Calc base'!F$13*AW253,2))))</f>
        <v>0</v>
      </c>
      <c r="N254">
        <f>IF(AX253&lt;=0,0,IF(ROUND(AX253*(1+'Calc base'!L254),2)-MAX('Calc base'!G$12,ROUND('Calc base'!G$13*AX253,2))&lt;1,ROUND(AX253*(1+'Calc base'!L254),2),MAX('Calc base'!G$12,ROUND('Calc base'!G$13*AX253,2))))</f>
        <v>0</v>
      </c>
      <c r="O254">
        <f>IF(AY253&lt;=0,0,IF(ROUND(AY253*(1+'Calc base'!M254),2)-MAX('Calc base'!H$12,ROUND('Calc base'!H$13*AY253,2))&lt;1,ROUND(AY253*(1+'Calc base'!M254),2),MAX('Calc base'!H$12,ROUND('Calc base'!H$13*AY253,2))))</f>
        <v>0</v>
      </c>
      <c r="P254">
        <f>IF(AZ253&lt;=0,0,IF(ROUND(AZ253*(1+'Calc base'!N254),2)-MAX('Calc base'!I$12,ROUND('Calc base'!I$13*AZ253,2))&lt;1,ROUND(AZ253*(1+'Calc base'!N254),2),MAX('Calc base'!I$12,ROUND('Calc base'!I$13*AZ253,2))))</f>
        <v>0</v>
      </c>
      <c r="Q254">
        <f>IF(BA253&lt;=0,0,IF(ROUND(BA253*(1+'Calc base'!O254),2)-MAX('Calc base'!J$12,ROUND('Calc base'!J$13*BA253,2))&lt;1,ROUND(BA253*(1+'Calc base'!O254),2),MAX('Calc base'!J$12,ROUND('Calc base'!J$13*BA253,2))))</f>
        <v>0</v>
      </c>
      <c r="R254">
        <f>IF(BB253&lt;=0,0,IF(ROUND(BB253*(1+'Calc base'!P254),2)-MAX('Calc base'!K$12,ROUND('Calc base'!K$13*BB253,2))&lt;1,ROUND(BB253*(1+'Calc base'!P254),2),MAX('Calc base'!K$12,ROUND('Calc base'!K$13*BB253,2))))</f>
        <v>0</v>
      </c>
      <c r="S254">
        <f>IF(BC253&lt;=0,0,IF(ROUND(BC253*(1+'Calc base'!Q254),2)-MAX('Calc base'!L$12,ROUND('Calc base'!L$13*BC253,2))&lt;1,ROUND(BC253*(1+'Calc base'!Q254),2),MAX('Calc base'!L$12,ROUND('Calc base'!L$13*BC253,2))))</f>
        <v>0</v>
      </c>
      <c r="T254">
        <f>IF(BD253&lt;=0,0,IF(ROUND(BD253*(1+'Calc base'!R254),2)-MAX('Calc base'!M$12,ROUND('Calc base'!M$13*BD253,2))&lt;1,ROUND(BD253*(1+'Calc base'!R254),2),MAX('Calc base'!M$12,ROUND('Calc base'!M$13*BD253,2))))</f>
        <v>0</v>
      </c>
      <c r="U254">
        <f>IF(BE253&lt;=0,0,IF(ROUND(BE253*(1+'Calc base'!S254),2)-MAX('Calc base'!N$12,ROUND('Calc base'!N$13*BE253,2))&lt;1,ROUND(BE253*(1+'Calc base'!S254),2),MAX('Calc base'!N$12,ROUND('Calc base'!N$13*BE253,2))))</f>
        <v>0</v>
      </c>
      <c r="V254">
        <f>MAX(0,ROUND(AT253*(1+'Calc base'!H254),2)-J254-'Calc base'!T254)</f>
        <v>0</v>
      </c>
      <c r="W254">
        <f>MAX(0,ROUND(AU253*(1+'Calc base'!I254),2)-K254-'Calc base'!U254)</f>
        <v>0</v>
      </c>
      <c r="X254">
        <f>MAX(0,ROUND(AV253*(1+'Calc base'!J254),2)-L254-'Calc base'!V254)</f>
        <v>0</v>
      </c>
      <c r="Y254">
        <f>MAX(0,ROUND(AW253*(1+'Calc base'!K254),2)-M254-'Calc base'!W254)</f>
        <v>0</v>
      </c>
      <c r="Z254">
        <f>MAX(0,ROUND(AX253*(1+'Calc base'!L254),2)-N254-'Calc base'!X254)</f>
        <v>0</v>
      </c>
      <c r="AA254">
        <f>MAX(0,ROUND(AY253*(1+'Calc base'!M254),2)-O254-'Calc base'!Y254)</f>
        <v>0</v>
      </c>
      <c r="AB254">
        <f>MAX(0,ROUND(AZ253*(1+'Calc base'!N254),2)-P254-'Calc base'!Z254)</f>
        <v>0</v>
      </c>
      <c r="AC254">
        <f>MAX(0,ROUND(BA253*(1+'Calc base'!O254),2)-Q254-'Calc base'!AA254)</f>
        <v>0</v>
      </c>
      <c r="AD254">
        <f>MAX(0,ROUND(BB253*(1+'Calc base'!P254),2)-R254-'Calc base'!AB254)</f>
        <v>0</v>
      </c>
      <c r="AE254">
        <f>MAX(0,ROUND(BC253*(1+'Calc base'!Q254),2)-S254-'Calc base'!AC254)</f>
        <v>0</v>
      </c>
      <c r="AF254">
        <f>MAX(0,ROUND(BD253*(1+'Calc base'!R254),2)-T254-'Calc base'!AD254)</f>
        <v>0</v>
      </c>
      <c r="AG254">
        <f>MAX(0,ROUND(BE253*(1+'Calc base'!S254),2)-U254-'Calc base'!AE254)</f>
        <v>0</v>
      </c>
      <c r="AH254">
        <f>IF('Calc base'!C$14=0,0,MIN(V254,MAX(0,$E254-SUMIFS($V254:$AG254,'Calc base'!$C$19:$N$19,"&lt;"&amp;'Calc base'!C$19,'Calc base'!$C$14:$N$14,1))))</f>
        <v>0</v>
      </c>
      <c r="AI254">
        <f>IF('Calc base'!D$14=0,0,MIN(W254,MAX(0,$E254-SUMIFS($V254:$AG254,'Calc base'!$C$19:$N$19,"&lt;"&amp;'Calc base'!D$19,'Calc base'!$C$14:$N$14,1))))</f>
        <v>0</v>
      </c>
      <c r="AJ254">
        <f>IF('Calc base'!E$14=0,0,MIN(X254,MAX(0,$E254-SUMIFS($V254:$AG254,'Calc base'!$C$19:$N$19,"&lt;"&amp;'Calc base'!E$19,'Calc base'!$C$14:$N$14,1))))</f>
        <v>0</v>
      </c>
      <c r="AK254">
        <f>IF('Calc base'!F$14=0,0,MIN(Y254,MAX(0,$E254-SUMIFS($V254:$AG254,'Calc base'!$C$19:$N$19,"&lt;"&amp;'Calc base'!F$19,'Calc base'!$C$14:$N$14,1))))</f>
        <v>0</v>
      </c>
      <c r="AL254">
        <f>IF('Calc base'!G$14=0,0,MIN(Z254,MAX(0,$E254-SUMIFS($V254:$AG254,'Calc base'!$C$19:$N$19,"&lt;"&amp;'Calc base'!G$19,'Calc base'!$C$14:$N$14,1))))</f>
        <v>0</v>
      </c>
      <c r="AM254">
        <f>IF('Calc base'!H$14=0,0,MIN(AA254,MAX(0,$E254-SUMIFS($V254:$AG254,'Calc base'!$C$19:$N$19,"&lt;"&amp;'Calc base'!H$19,'Calc base'!$C$14:$N$14,1))))</f>
        <v>0</v>
      </c>
      <c r="AN254">
        <f>IF('Calc base'!I$14=0,0,MIN(AB254,MAX(0,$E254-SUMIFS($V254:$AG254,'Calc base'!$C$19:$N$19,"&lt;"&amp;'Calc base'!I$19,'Calc base'!$C$14:$N$14,1))))</f>
        <v>0</v>
      </c>
      <c r="AO254">
        <f>IF('Calc base'!J$14=0,0,MIN(AC254,MAX(0,$E254-SUMIFS($V254:$AG254,'Calc base'!$C$19:$N$19,"&lt;"&amp;'Calc base'!J$19,'Calc base'!$C$14:$N$14,1))))</f>
        <v>0</v>
      </c>
      <c r="AP254">
        <f>IF('Calc base'!K$14=0,0,MIN(AD254,MAX(0,$E254-SUMIFS($V254:$AG254,'Calc base'!$C$19:$N$19,"&lt;"&amp;'Calc base'!K$19,'Calc base'!$C$14:$N$14,1))))</f>
        <v>0</v>
      </c>
      <c r="AQ254">
        <f>IF('Calc base'!L$14=0,0,MIN(AE254,MAX(0,$E254-SUMIFS($V254:$AG254,'Calc base'!$C$19:$N$19,"&lt;"&amp;'Calc base'!L$19,'Calc base'!$C$14:$N$14,1))))</f>
        <v>0</v>
      </c>
      <c r="AR254">
        <f>IF('Calc base'!M$14=0,0,MIN(AF254,MAX(0,$E254-SUMIFS($V254:$AG254,'Calc base'!$C$19:$N$19,"&lt;"&amp;'Calc base'!M$19,'Calc base'!$C$14:$N$14,1))))</f>
        <v>0</v>
      </c>
      <c r="AS254">
        <f>IF('Calc base'!N$14=0,0,MIN(AG254,MAX(0,$E254-SUMIFS($V254:$AG254,'Calc base'!$C$19:$N$19,"&lt;"&amp;'Calc base'!N$19,'Calc base'!$C$14:$N$14,1))))</f>
        <v>0</v>
      </c>
      <c r="AT254">
        <f>V254-AH254</f>
        <v>0</v>
      </c>
      <c r="AU254">
        <f>W254-AI254</f>
        <v>0</v>
      </c>
      <c r="AV254">
        <f>X254-AJ254</f>
        <v>0</v>
      </c>
      <c r="AW254">
        <f>Y254-AK254</f>
        <v>0</v>
      </c>
      <c r="AX254">
        <f>Z254-AL254</f>
        <v>0</v>
      </c>
      <c r="AY254">
        <f>AA254-AM254</f>
        <v>0</v>
      </c>
      <c r="AZ254">
        <f>AB254-AN254</f>
        <v>0</v>
      </c>
      <c r="BA254">
        <f>AC254-AO254</f>
        <v>0</v>
      </c>
      <c r="BB254">
        <f>AD254-AP254</f>
        <v>0</v>
      </c>
      <c r="BC254">
        <f>AE254-AQ254</f>
        <v>0</v>
      </c>
      <c r="BD254">
        <f>AF254-AR254</f>
        <v>0</v>
      </c>
      <c r="BE254">
        <f>AG254-AS254</f>
        <v>0</v>
      </c>
    </row>
    <row r="255">
      <c r="A255" t="n">
        <v>225</v>
      </c>
      <c r="B255">
        <f>SUMPRODUCT(ROUND($AT254:$BE254*(1+'Calc base'!$H255:$S255),2))</f>
        <v>0</v>
      </c>
      <c r="C255">
        <f>SUM(J255:U255)</f>
        <v>0</v>
      </c>
      <c r="D255">
        <f>SUM(V255:AG255)</f>
        <v>0</v>
      </c>
      <c r="E255">
        <f>MAX(0,IF(Impostazioni!$B$7="No",'Calc base'!$C255-$C$31,'Calc base'!$C255-C255)+'Calc base'!$G255+'Calc base'!$F255-(B255-C255-D255))</f>
        <v>900</v>
      </c>
      <c r="F255">
        <f>SUM(AH255:AS255)</f>
        <v>0</v>
      </c>
      <c r="G255">
        <f>SUM(AT255:BE255)</f>
        <v>0</v>
      </c>
      <c r="H255">
        <f>B255-G254</f>
        <v>0</v>
      </c>
      <c r="I255">
        <f>B255-G255</f>
        <v>0</v>
      </c>
      <c r="J255">
        <f>IF(AT254&lt;=0,0,IF(ROUND(AT254*(1+'Calc base'!H255),2)-MAX('Calc base'!C$12,ROUND('Calc base'!C$13*AT254,2))&lt;1,ROUND(AT254*(1+'Calc base'!H255),2),MAX('Calc base'!C$12,ROUND('Calc base'!C$13*AT254,2))))</f>
        <v>0</v>
      </c>
      <c r="K255">
        <f>IF(AU254&lt;=0,0,IF(ROUND(AU254*(1+'Calc base'!I255),2)-MAX('Calc base'!D$12,ROUND('Calc base'!D$13*AU254,2))&lt;1,ROUND(AU254*(1+'Calc base'!I255),2),MAX('Calc base'!D$12,ROUND('Calc base'!D$13*AU254,2))))</f>
        <v>0</v>
      </c>
      <c r="L255">
        <f>IF(AV254&lt;=0,0,IF(ROUND(AV254*(1+'Calc base'!J255),2)-MAX('Calc base'!E$12,ROUND('Calc base'!E$13*AV254,2))&lt;1,ROUND(AV254*(1+'Calc base'!J255),2),MAX('Calc base'!E$12,ROUND('Calc base'!E$13*AV254,2))))</f>
        <v>0</v>
      </c>
      <c r="M255">
        <f>IF(AW254&lt;=0,0,IF(ROUND(AW254*(1+'Calc base'!K255),2)-MAX('Calc base'!F$12,ROUND('Calc base'!F$13*AW254,2))&lt;1,ROUND(AW254*(1+'Calc base'!K255),2),MAX('Calc base'!F$12,ROUND('Calc base'!F$13*AW254,2))))</f>
        <v>0</v>
      </c>
      <c r="N255">
        <f>IF(AX254&lt;=0,0,IF(ROUND(AX254*(1+'Calc base'!L255),2)-MAX('Calc base'!G$12,ROUND('Calc base'!G$13*AX254,2))&lt;1,ROUND(AX254*(1+'Calc base'!L255),2),MAX('Calc base'!G$12,ROUND('Calc base'!G$13*AX254,2))))</f>
        <v>0</v>
      </c>
      <c r="O255">
        <f>IF(AY254&lt;=0,0,IF(ROUND(AY254*(1+'Calc base'!M255),2)-MAX('Calc base'!H$12,ROUND('Calc base'!H$13*AY254,2))&lt;1,ROUND(AY254*(1+'Calc base'!M255),2),MAX('Calc base'!H$12,ROUND('Calc base'!H$13*AY254,2))))</f>
        <v>0</v>
      </c>
      <c r="P255">
        <f>IF(AZ254&lt;=0,0,IF(ROUND(AZ254*(1+'Calc base'!N255),2)-MAX('Calc base'!I$12,ROUND('Calc base'!I$13*AZ254,2))&lt;1,ROUND(AZ254*(1+'Calc base'!N255),2),MAX('Calc base'!I$12,ROUND('Calc base'!I$13*AZ254,2))))</f>
        <v>0</v>
      </c>
      <c r="Q255">
        <f>IF(BA254&lt;=0,0,IF(ROUND(BA254*(1+'Calc base'!O255),2)-MAX('Calc base'!J$12,ROUND('Calc base'!J$13*BA254,2))&lt;1,ROUND(BA254*(1+'Calc base'!O255),2),MAX('Calc base'!J$12,ROUND('Calc base'!J$13*BA254,2))))</f>
        <v>0</v>
      </c>
      <c r="R255">
        <f>IF(BB254&lt;=0,0,IF(ROUND(BB254*(1+'Calc base'!P255),2)-MAX('Calc base'!K$12,ROUND('Calc base'!K$13*BB254,2))&lt;1,ROUND(BB254*(1+'Calc base'!P255),2),MAX('Calc base'!K$12,ROUND('Calc base'!K$13*BB254,2))))</f>
        <v>0</v>
      </c>
      <c r="S255">
        <f>IF(BC254&lt;=0,0,IF(ROUND(BC254*(1+'Calc base'!Q255),2)-MAX('Calc base'!L$12,ROUND('Calc base'!L$13*BC254,2))&lt;1,ROUND(BC254*(1+'Calc base'!Q255),2),MAX('Calc base'!L$12,ROUND('Calc base'!L$13*BC254,2))))</f>
        <v>0</v>
      </c>
      <c r="T255">
        <f>IF(BD254&lt;=0,0,IF(ROUND(BD254*(1+'Calc base'!R255),2)-MAX('Calc base'!M$12,ROUND('Calc base'!M$13*BD254,2))&lt;1,ROUND(BD254*(1+'Calc base'!R255),2),MAX('Calc base'!M$12,ROUND('Calc base'!M$13*BD254,2))))</f>
        <v>0</v>
      </c>
      <c r="U255">
        <f>IF(BE254&lt;=0,0,IF(ROUND(BE254*(1+'Calc base'!S255),2)-MAX('Calc base'!N$12,ROUND('Calc base'!N$13*BE254,2))&lt;1,ROUND(BE254*(1+'Calc base'!S255),2),MAX('Calc base'!N$12,ROUND('Calc base'!N$13*BE254,2))))</f>
        <v>0</v>
      </c>
      <c r="V255">
        <f>MAX(0,ROUND(AT254*(1+'Calc base'!H255),2)-J255-'Calc base'!T255)</f>
        <v>0</v>
      </c>
      <c r="W255">
        <f>MAX(0,ROUND(AU254*(1+'Calc base'!I255),2)-K255-'Calc base'!U255)</f>
        <v>0</v>
      </c>
      <c r="X255">
        <f>MAX(0,ROUND(AV254*(1+'Calc base'!J255),2)-L255-'Calc base'!V255)</f>
        <v>0</v>
      </c>
      <c r="Y255">
        <f>MAX(0,ROUND(AW254*(1+'Calc base'!K255),2)-M255-'Calc base'!W255)</f>
        <v>0</v>
      </c>
      <c r="Z255">
        <f>MAX(0,ROUND(AX254*(1+'Calc base'!L255),2)-N255-'Calc base'!X255)</f>
        <v>0</v>
      </c>
      <c r="AA255">
        <f>MAX(0,ROUND(AY254*(1+'Calc base'!M255),2)-O255-'Calc base'!Y255)</f>
        <v>0</v>
      </c>
      <c r="AB255">
        <f>MAX(0,ROUND(AZ254*(1+'Calc base'!N255),2)-P255-'Calc base'!Z255)</f>
        <v>0</v>
      </c>
      <c r="AC255">
        <f>MAX(0,ROUND(BA254*(1+'Calc base'!O255),2)-Q255-'Calc base'!AA255)</f>
        <v>0</v>
      </c>
      <c r="AD255">
        <f>MAX(0,ROUND(BB254*(1+'Calc base'!P255),2)-R255-'Calc base'!AB255)</f>
        <v>0</v>
      </c>
      <c r="AE255">
        <f>MAX(0,ROUND(BC254*(1+'Calc base'!Q255),2)-S255-'Calc base'!AC255)</f>
        <v>0</v>
      </c>
      <c r="AF255">
        <f>MAX(0,ROUND(BD254*(1+'Calc base'!R255),2)-T255-'Calc base'!AD255)</f>
        <v>0</v>
      </c>
      <c r="AG255">
        <f>MAX(0,ROUND(BE254*(1+'Calc base'!S255),2)-U255-'Calc base'!AE255)</f>
        <v>0</v>
      </c>
      <c r="AH255">
        <f>IF('Calc base'!C$14=0,0,MIN(V255,MAX(0,$E255-SUMIFS($V255:$AG255,'Calc base'!$C$19:$N$19,"&lt;"&amp;'Calc base'!C$19,'Calc base'!$C$14:$N$14,1))))</f>
        <v>0</v>
      </c>
      <c r="AI255">
        <f>IF('Calc base'!D$14=0,0,MIN(W255,MAX(0,$E255-SUMIFS($V255:$AG255,'Calc base'!$C$19:$N$19,"&lt;"&amp;'Calc base'!D$19,'Calc base'!$C$14:$N$14,1))))</f>
        <v>0</v>
      </c>
      <c r="AJ255">
        <f>IF('Calc base'!E$14=0,0,MIN(X255,MAX(0,$E255-SUMIFS($V255:$AG255,'Calc base'!$C$19:$N$19,"&lt;"&amp;'Calc base'!E$19,'Calc base'!$C$14:$N$14,1))))</f>
        <v>0</v>
      </c>
      <c r="AK255">
        <f>IF('Calc base'!F$14=0,0,MIN(Y255,MAX(0,$E255-SUMIFS($V255:$AG255,'Calc base'!$C$19:$N$19,"&lt;"&amp;'Calc base'!F$19,'Calc base'!$C$14:$N$14,1))))</f>
        <v>0</v>
      </c>
      <c r="AL255">
        <f>IF('Calc base'!G$14=0,0,MIN(Z255,MAX(0,$E255-SUMIFS($V255:$AG255,'Calc base'!$C$19:$N$19,"&lt;"&amp;'Calc base'!G$19,'Calc base'!$C$14:$N$14,1))))</f>
        <v>0</v>
      </c>
      <c r="AM255">
        <f>IF('Calc base'!H$14=0,0,MIN(AA255,MAX(0,$E255-SUMIFS($V255:$AG255,'Calc base'!$C$19:$N$19,"&lt;"&amp;'Calc base'!H$19,'Calc base'!$C$14:$N$14,1))))</f>
        <v>0</v>
      </c>
      <c r="AN255">
        <f>IF('Calc base'!I$14=0,0,MIN(AB255,MAX(0,$E255-SUMIFS($V255:$AG255,'Calc base'!$C$19:$N$19,"&lt;"&amp;'Calc base'!I$19,'Calc base'!$C$14:$N$14,1))))</f>
        <v>0</v>
      </c>
      <c r="AO255">
        <f>IF('Calc base'!J$14=0,0,MIN(AC255,MAX(0,$E255-SUMIFS($V255:$AG255,'Calc base'!$C$19:$N$19,"&lt;"&amp;'Calc base'!J$19,'Calc base'!$C$14:$N$14,1))))</f>
        <v>0</v>
      </c>
      <c r="AP255">
        <f>IF('Calc base'!K$14=0,0,MIN(AD255,MAX(0,$E255-SUMIFS($V255:$AG255,'Calc base'!$C$19:$N$19,"&lt;"&amp;'Calc base'!K$19,'Calc base'!$C$14:$N$14,1))))</f>
        <v>0</v>
      </c>
      <c r="AQ255">
        <f>IF('Calc base'!L$14=0,0,MIN(AE255,MAX(0,$E255-SUMIFS($V255:$AG255,'Calc base'!$C$19:$N$19,"&lt;"&amp;'Calc base'!L$19,'Calc base'!$C$14:$N$14,1))))</f>
        <v>0</v>
      </c>
      <c r="AR255">
        <f>IF('Calc base'!M$14=0,0,MIN(AF255,MAX(0,$E255-SUMIFS($V255:$AG255,'Calc base'!$C$19:$N$19,"&lt;"&amp;'Calc base'!M$19,'Calc base'!$C$14:$N$14,1))))</f>
        <v>0</v>
      </c>
      <c r="AS255">
        <f>IF('Calc base'!N$14=0,0,MIN(AG255,MAX(0,$E255-SUMIFS($V255:$AG255,'Calc base'!$C$19:$N$19,"&lt;"&amp;'Calc base'!N$19,'Calc base'!$C$14:$N$14,1))))</f>
        <v>0</v>
      </c>
      <c r="AT255">
        <f>V255-AH255</f>
        <v>0</v>
      </c>
      <c r="AU255">
        <f>W255-AI255</f>
        <v>0</v>
      </c>
      <c r="AV255">
        <f>X255-AJ255</f>
        <v>0</v>
      </c>
      <c r="AW255">
        <f>Y255-AK255</f>
        <v>0</v>
      </c>
      <c r="AX255">
        <f>Z255-AL255</f>
        <v>0</v>
      </c>
      <c r="AY255">
        <f>AA255-AM255</f>
        <v>0</v>
      </c>
      <c r="AZ255">
        <f>AB255-AN255</f>
        <v>0</v>
      </c>
      <c r="BA255">
        <f>AC255-AO255</f>
        <v>0</v>
      </c>
      <c r="BB255">
        <f>AD255-AP255</f>
        <v>0</v>
      </c>
      <c r="BC255">
        <f>AE255-AQ255</f>
        <v>0</v>
      </c>
      <c r="BD255">
        <f>AF255-AR255</f>
        <v>0</v>
      </c>
      <c r="BE255">
        <f>AG255-AS255</f>
        <v>0</v>
      </c>
    </row>
    <row r="256">
      <c r="A256" t="n">
        <v>226</v>
      </c>
      <c r="B256">
        <f>SUMPRODUCT(ROUND($AT255:$BE255*(1+'Calc base'!$H256:$S256),2))</f>
        <v>0</v>
      </c>
      <c r="C256">
        <f>SUM(J256:U256)</f>
        <v>0</v>
      </c>
      <c r="D256">
        <f>SUM(V256:AG256)</f>
        <v>0</v>
      </c>
      <c r="E256">
        <f>MAX(0,IF(Impostazioni!$B$7="No",'Calc base'!$C256-$C$31,'Calc base'!$C256-C256)+'Calc base'!$G256+'Calc base'!$F256-(B256-C256-D256))</f>
        <v>900</v>
      </c>
      <c r="F256">
        <f>SUM(AH256:AS256)</f>
        <v>0</v>
      </c>
      <c r="G256">
        <f>SUM(AT256:BE256)</f>
        <v>0</v>
      </c>
      <c r="H256">
        <f>B256-G255</f>
        <v>0</v>
      </c>
      <c r="I256">
        <f>B256-G256</f>
        <v>0</v>
      </c>
      <c r="J256">
        <f>IF(AT255&lt;=0,0,IF(ROUND(AT255*(1+'Calc base'!H256),2)-MAX('Calc base'!C$12,ROUND('Calc base'!C$13*AT255,2))&lt;1,ROUND(AT255*(1+'Calc base'!H256),2),MAX('Calc base'!C$12,ROUND('Calc base'!C$13*AT255,2))))</f>
        <v>0</v>
      </c>
      <c r="K256">
        <f>IF(AU255&lt;=0,0,IF(ROUND(AU255*(1+'Calc base'!I256),2)-MAX('Calc base'!D$12,ROUND('Calc base'!D$13*AU255,2))&lt;1,ROUND(AU255*(1+'Calc base'!I256),2),MAX('Calc base'!D$12,ROUND('Calc base'!D$13*AU255,2))))</f>
        <v>0</v>
      </c>
      <c r="L256">
        <f>IF(AV255&lt;=0,0,IF(ROUND(AV255*(1+'Calc base'!J256),2)-MAX('Calc base'!E$12,ROUND('Calc base'!E$13*AV255,2))&lt;1,ROUND(AV255*(1+'Calc base'!J256),2),MAX('Calc base'!E$12,ROUND('Calc base'!E$13*AV255,2))))</f>
        <v>0</v>
      </c>
      <c r="M256">
        <f>IF(AW255&lt;=0,0,IF(ROUND(AW255*(1+'Calc base'!K256),2)-MAX('Calc base'!F$12,ROUND('Calc base'!F$13*AW255,2))&lt;1,ROUND(AW255*(1+'Calc base'!K256),2),MAX('Calc base'!F$12,ROUND('Calc base'!F$13*AW255,2))))</f>
        <v>0</v>
      </c>
      <c r="N256">
        <f>IF(AX255&lt;=0,0,IF(ROUND(AX255*(1+'Calc base'!L256),2)-MAX('Calc base'!G$12,ROUND('Calc base'!G$13*AX255,2))&lt;1,ROUND(AX255*(1+'Calc base'!L256),2),MAX('Calc base'!G$12,ROUND('Calc base'!G$13*AX255,2))))</f>
        <v>0</v>
      </c>
      <c r="O256">
        <f>IF(AY255&lt;=0,0,IF(ROUND(AY255*(1+'Calc base'!M256),2)-MAX('Calc base'!H$12,ROUND('Calc base'!H$13*AY255,2))&lt;1,ROUND(AY255*(1+'Calc base'!M256),2),MAX('Calc base'!H$12,ROUND('Calc base'!H$13*AY255,2))))</f>
        <v>0</v>
      </c>
      <c r="P256">
        <f>IF(AZ255&lt;=0,0,IF(ROUND(AZ255*(1+'Calc base'!N256),2)-MAX('Calc base'!I$12,ROUND('Calc base'!I$13*AZ255,2))&lt;1,ROUND(AZ255*(1+'Calc base'!N256),2),MAX('Calc base'!I$12,ROUND('Calc base'!I$13*AZ255,2))))</f>
        <v>0</v>
      </c>
      <c r="Q256">
        <f>IF(BA255&lt;=0,0,IF(ROUND(BA255*(1+'Calc base'!O256),2)-MAX('Calc base'!J$12,ROUND('Calc base'!J$13*BA255,2))&lt;1,ROUND(BA255*(1+'Calc base'!O256),2),MAX('Calc base'!J$12,ROUND('Calc base'!J$13*BA255,2))))</f>
        <v>0</v>
      </c>
      <c r="R256">
        <f>IF(BB255&lt;=0,0,IF(ROUND(BB255*(1+'Calc base'!P256),2)-MAX('Calc base'!K$12,ROUND('Calc base'!K$13*BB255,2))&lt;1,ROUND(BB255*(1+'Calc base'!P256),2),MAX('Calc base'!K$12,ROUND('Calc base'!K$13*BB255,2))))</f>
        <v>0</v>
      </c>
      <c r="S256">
        <f>IF(BC255&lt;=0,0,IF(ROUND(BC255*(1+'Calc base'!Q256),2)-MAX('Calc base'!L$12,ROUND('Calc base'!L$13*BC255,2))&lt;1,ROUND(BC255*(1+'Calc base'!Q256),2),MAX('Calc base'!L$12,ROUND('Calc base'!L$13*BC255,2))))</f>
        <v>0</v>
      </c>
      <c r="T256">
        <f>IF(BD255&lt;=0,0,IF(ROUND(BD255*(1+'Calc base'!R256),2)-MAX('Calc base'!M$12,ROUND('Calc base'!M$13*BD255,2))&lt;1,ROUND(BD255*(1+'Calc base'!R256),2),MAX('Calc base'!M$12,ROUND('Calc base'!M$13*BD255,2))))</f>
        <v>0</v>
      </c>
      <c r="U256">
        <f>IF(BE255&lt;=0,0,IF(ROUND(BE255*(1+'Calc base'!S256),2)-MAX('Calc base'!N$12,ROUND('Calc base'!N$13*BE255,2))&lt;1,ROUND(BE255*(1+'Calc base'!S256),2),MAX('Calc base'!N$12,ROUND('Calc base'!N$13*BE255,2))))</f>
        <v>0</v>
      </c>
      <c r="V256">
        <f>MAX(0,ROUND(AT255*(1+'Calc base'!H256),2)-J256-'Calc base'!T256)</f>
        <v>0</v>
      </c>
      <c r="W256">
        <f>MAX(0,ROUND(AU255*(1+'Calc base'!I256),2)-K256-'Calc base'!U256)</f>
        <v>0</v>
      </c>
      <c r="X256">
        <f>MAX(0,ROUND(AV255*(1+'Calc base'!J256),2)-L256-'Calc base'!V256)</f>
        <v>0</v>
      </c>
      <c r="Y256">
        <f>MAX(0,ROUND(AW255*(1+'Calc base'!K256),2)-M256-'Calc base'!W256)</f>
        <v>0</v>
      </c>
      <c r="Z256">
        <f>MAX(0,ROUND(AX255*(1+'Calc base'!L256),2)-N256-'Calc base'!X256)</f>
        <v>0</v>
      </c>
      <c r="AA256">
        <f>MAX(0,ROUND(AY255*(1+'Calc base'!M256),2)-O256-'Calc base'!Y256)</f>
        <v>0</v>
      </c>
      <c r="AB256">
        <f>MAX(0,ROUND(AZ255*(1+'Calc base'!N256),2)-P256-'Calc base'!Z256)</f>
        <v>0</v>
      </c>
      <c r="AC256">
        <f>MAX(0,ROUND(BA255*(1+'Calc base'!O256),2)-Q256-'Calc base'!AA256)</f>
        <v>0</v>
      </c>
      <c r="AD256">
        <f>MAX(0,ROUND(BB255*(1+'Calc base'!P256),2)-R256-'Calc base'!AB256)</f>
        <v>0</v>
      </c>
      <c r="AE256">
        <f>MAX(0,ROUND(BC255*(1+'Calc base'!Q256),2)-S256-'Calc base'!AC256)</f>
        <v>0</v>
      </c>
      <c r="AF256">
        <f>MAX(0,ROUND(BD255*(1+'Calc base'!R256),2)-T256-'Calc base'!AD256)</f>
        <v>0</v>
      </c>
      <c r="AG256">
        <f>MAX(0,ROUND(BE255*(1+'Calc base'!S256),2)-U256-'Calc base'!AE256)</f>
        <v>0</v>
      </c>
      <c r="AH256">
        <f>IF('Calc base'!C$14=0,0,MIN(V256,MAX(0,$E256-SUMIFS($V256:$AG256,'Calc base'!$C$19:$N$19,"&lt;"&amp;'Calc base'!C$19,'Calc base'!$C$14:$N$14,1))))</f>
        <v>0</v>
      </c>
      <c r="AI256">
        <f>IF('Calc base'!D$14=0,0,MIN(W256,MAX(0,$E256-SUMIFS($V256:$AG256,'Calc base'!$C$19:$N$19,"&lt;"&amp;'Calc base'!D$19,'Calc base'!$C$14:$N$14,1))))</f>
        <v>0</v>
      </c>
      <c r="AJ256">
        <f>IF('Calc base'!E$14=0,0,MIN(X256,MAX(0,$E256-SUMIFS($V256:$AG256,'Calc base'!$C$19:$N$19,"&lt;"&amp;'Calc base'!E$19,'Calc base'!$C$14:$N$14,1))))</f>
        <v>0</v>
      </c>
      <c r="AK256">
        <f>IF('Calc base'!F$14=0,0,MIN(Y256,MAX(0,$E256-SUMIFS($V256:$AG256,'Calc base'!$C$19:$N$19,"&lt;"&amp;'Calc base'!F$19,'Calc base'!$C$14:$N$14,1))))</f>
        <v>0</v>
      </c>
      <c r="AL256">
        <f>IF('Calc base'!G$14=0,0,MIN(Z256,MAX(0,$E256-SUMIFS($V256:$AG256,'Calc base'!$C$19:$N$19,"&lt;"&amp;'Calc base'!G$19,'Calc base'!$C$14:$N$14,1))))</f>
        <v>0</v>
      </c>
      <c r="AM256">
        <f>IF('Calc base'!H$14=0,0,MIN(AA256,MAX(0,$E256-SUMIFS($V256:$AG256,'Calc base'!$C$19:$N$19,"&lt;"&amp;'Calc base'!H$19,'Calc base'!$C$14:$N$14,1))))</f>
        <v>0</v>
      </c>
      <c r="AN256">
        <f>IF('Calc base'!I$14=0,0,MIN(AB256,MAX(0,$E256-SUMIFS($V256:$AG256,'Calc base'!$C$19:$N$19,"&lt;"&amp;'Calc base'!I$19,'Calc base'!$C$14:$N$14,1))))</f>
        <v>0</v>
      </c>
      <c r="AO256">
        <f>IF('Calc base'!J$14=0,0,MIN(AC256,MAX(0,$E256-SUMIFS($V256:$AG256,'Calc base'!$C$19:$N$19,"&lt;"&amp;'Calc base'!J$19,'Calc base'!$C$14:$N$14,1))))</f>
        <v>0</v>
      </c>
      <c r="AP256">
        <f>IF('Calc base'!K$14=0,0,MIN(AD256,MAX(0,$E256-SUMIFS($V256:$AG256,'Calc base'!$C$19:$N$19,"&lt;"&amp;'Calc base'!K$19,'Calc base'!$C$14:$N$14,1))))</f>
        <v>0</v>
      </c>
      <c r="AQ256">
        <f>IF('Calc base'!L$14=0,0,MIN(AE256,MAX(0,$E256-SUMIFS($V256:$AG256,'Calc base'!$C$19:$N$19,"&lt;"&amp;'Calc base'!L$19,'Calc base'!$C$14:$N$14,1))))</f>
        <v>0</v>
      </c>
      <c r="AR256">
        <f>IF('Calc base'!M$14=0,0,MIN(AF256,MAX(0,$E256-SUMIFS($V256:$AG256,'Calc base'!$C$19:$N$19,"&lt;"&amp;'Calc base'!M$19,'Calc base'!$C$14:$N$14,1))))</f>
        <v>0</v>
      </c>
      <c r="AS256">
        <f>IF('Calc base'!N$14=0,0,MIN(AG256,MAX(0,$E256-SUMIFS($V256:$AG256,'Calc base'!$C$19:$N$19,"&lt;"&amp;'Calc base'!N$19,'Calc base'!$C$14:$N$14,1))))</f>
        <v>0</v>
      </c>
      <c r="AT256">
        <f>V256-AH256</f>
        <v>0</v>
      </c>
      <c r="AU256">
        <f>W256-AI256</f>
        <v>0</v>
      </c>
      <c r="AV256">
        <f>X256-AJ256</f>
        <v>0</v>
      </c>
      <c r="AW256">
        <f>Y256-AK256</f>
        <v>0</v>
      </c>
      <c r="AX256">
        <f>Z256-AL256</f>
        <v>0</v>
      </c>
      <c r="AY256">
        <f>AA256-AM256</f>
        <v>0</v>
      </c>
      <c r="AZ256">
        <f>AB256-AN256</f>
        <v>0</v>
      </c>
      <c r="BA256">
        <f>AC256-AO256</f>
        <v>0</v>
      </c>
      <c r="BB256">
        <f>AD256-AP256</f>
        <v>0</v>
      </c>
      <c r="BC256">
        <f>AE256-AQ256</f>
        <v>0</v>
      </c>
      <c r="BD256">
        <f>AF256-AR256</f>
        <v>0</v>
      </c>
      <c r="BE256">
        <f>AG256-AS256</f>
        <v>0</v>
      </c>
    </row>
    <row r="257">
      <c r="A257" t="n">
        <v>227</v>
      </c>
      <c r="B257">
        <f>SUMPRODUCT(ROUND($AT256:$BE256*(1+'Calc base'!$H257:$S257),2))</f>
        <v>0</v>
      </c>
      <c r="C257">
        <f>SUM(J257:U257)</f>
        <v>0</v>
      </c>
      <c r="D257">
        <f>SUM(V257:AG257)</f>
        <v>0</v>
      </c>
      <c r="E257">
        <f>MAX(0,IF(Impostazioni!$B$7="No",'Calc base'!$C257-$C$31,'Calc base'!$C257-C257)+'Calc base'!$G257+'Calc base'!$F257-(B257-C257-D257))</f>
        <v>900</v>
      </c>
      <c r="F257">
        <f>SUM(AH257:AS257)</f>
        <v>0</v>
      </c>
      <c r="G257">
        <f>SUM(AT257:BE257)</f>
        <v>0</v>
      </c>
      <c r="H257">
        <f>B257-G256</f>
        <v>0</v>
      </c>
      <c r="I257">
        <f>B257-G257</f>
        <v>0</v>
      </c>
      <c r="J257">
        <f>IF(AT256&lt;=0,0,IF(ROUND(AT256*(1+'Calc base'!H257),2)-MAX('Calc base'!C$12,ROUND('Calc base'!C$13*AT256,2))&lt;1,ROUND(AT256*(1+'Calc base'!H257),2),MAX('Calc base'!C$12,ROUND('Calc base'!C$13*AT256,2))))</f>
        <v>0</v>
      </c>
      <c r="K257">
        <f>IF(AU256&lt;=0,0,IF(ROUND(AU256*(1+'Calc base'!I257),2)-MAX('Calc base'!D$12,ROUND('Calc base'!D$13*AU256,2))&lt;1,ROUND(AU256*(1+'Calc base'!I257),2),MAX('Calc base'!D$12,ROUND('Calc base'!D$13*AU256,2))))</f>
        <v>0</v>
      </c>
      <c r="L257">
        <f>IF(AV256&lt;=0,0,IF(ROUND(AV256*(1+'Calc base'!J257),2)-MAX('Calc base'!E$12,ROUND('Calc base'!E$13*AV256,2))&lt;1,ROUND(AV256*(1+'Calc base'!J257),2),MAX('Calc base'!E$12,ROUND('Calc base'!E$13*AV256,2))))</f>
        <v>0</v>
      </c>
      <c r="M257">
        <f>IF(AW256&lt;=0,0,IF(ROUND(AW256*(1+'Calc base'!K257),2)-MAX('Calc base'!F$12,ROUND('Calc base'!F$13*AW256,2))&lt;1,ROUND(AW256*(1+'Calc base'!K257),2),MAX('Calc base'!F$12,ROUND('Calc base'!F$13*AW256,2))))</f>
        <v>0</v>
      </c>
      <c r="N257">
        <f>IF(AX256&lt;=0,0,IF(ROUND(AX256*(1+'Calc base'!L257),2)-MAX('Calc base'!G$12,ROUND('Calc base'!G$13*AX256,2))&lt;1,ROUND(AX256*(1+'Calc base'!L257),2),MAX('Calc base'!G$12,ROUND('Calc base'!G$13*AX256,2))))</f>
        <v>0</v>
      </c>
      <c r="O257">
        <f>IF(AY256&lt;=0,0,IF(ROUND(AY256*(1+'Calc base'!M257),2)-MAX('Calc base'!H$12,ROUND('Calc base'!H$13*AY256,2))&lt;1,ROUND(AY256*(1+'Calc base'!M257),2),MAX('Calc base'!H$12,ROUND('Calc base'!H$13*AY256,2))))</f>
        <v>0</v>
      </c>
      <c r="P257">
        <f>IF(AZ256&lt;=0,0,IF(ROUND(AZ256*(1+'Calc base'!N257),2)-MAX('Calc base'!I$12,ROUND('Calc base'!I$13*AZ256,2))&lt;1,ROUND(AZ256*(1+'Calc base'!N257),2),MAX('Calc base'!I$12,ROUND('Calc base'!I$13*AZ256,2))))</f>
        <v>0</v>
      </c>
      <c r="Q257">
        <f>IF(BA256&lt;=0,0,IF(ROUND(BA256*(1+'Calc base'!O257),2)-MAX('Calc base'!J$12,ROUND('Calc base'!J$13*BA256,2))&lt;1,ROUND(BA256*(1+'Calc base'!O257),2),MAX('Calc base'!J$12,ROUND('Calc base'!J$13*BA256,2))))</f>
        <v>0</v>
      </c>
      <c r="R257">
        <f>IF(BB256&lt;=0,0,IF(ROUND(BB256*(1+'Calc base'!P257),2)-MAX('Calc base'!K$12,ROUND('Calc base'!K$13*BB256,2))&lt;1,ROUND(BB256*(1+'Calc base'!P257),2),MAX('Calc base'!K$12,ROUND('Calc base'!K$13*BB256,2))))</f>
        <v>0</v>
      </c>
      <c r="S257">
        <f>IF(BC256&lt;=0,0,IF(ROUND(BC256*(1+'Calc base'!Q257),2)-MAX('Calc base'!L$12,ROUND('Calc base'!L$13*BC256,2))&lt;1,ROUND(BC256*(1+'Calc base'!Q257),2),MAX('Calc base'!L$12,ROUND('Calc base'!L$13*BC256,2))))</f>
        <v>0</v>
      </c>
      <c r="T257">
        <f>IF(BD256&lt;=0,0,IF(ROUND(BD256*(1+'Calc base'!R257),2)-MAX('Calc base'!M$12,ROUND('Calc base'!M$13*BD256,2))&lt;1,ROUND(BD256*(1+'Calc base'!R257),2),MAX('Calc base'!M$12,ROUND('Calc base'!M$13*BD256,2))))</f>
        <v>0</v>
      </c>
      <c r="U257">
        <f>IF(BE256&lt;=0,0,IF(ROUND(BE256*(1+'Calc base'!S257),2)-MAX('Calc base'!N$12,ROUND('Calc base'!N$13*BE256,2))&lt;1,ROUND(BE256*(1+'Calc base'!S257),2),MAX('Calc base'!N$12,ROUND('Calc base'!N$13*BE256,2))))</f>
        <v>0</v>
      </c>
      <c r="V257">
        <f>MAX(0,ROUND(AT256*(1+'Calc base'!H257),2)-J257-'Calc base'!T257)</f>
        <v>0</v>
      </c>
      <c r="W257">
        <f>MAX(0,ROUND(AU256*(1+'Calc base'!I257),2)-K257-'Calc base'!U257)</f>
        <v>0</v>
      </c>
      <c r="X257">
        <f>MAX(0,ROUND(AV256*(1+'Calc base'!J257),2)-L257-'Calc base'!V257)</f>
        <v>0</v>
      </c>
      <c r="Y257">
        <f>MAX(0,ROUND(AW256*(1+'Calc base'!K257),2)-M257-'Calc base'!W257)</f>
        <v>0</v>
      </c>
      <c r="Z257">
        <f>MAX(0,ROUND(AX256*(1+'Calc base'!L257),2)-N257-'Calc base'!X257)</f>
        <v>0</v>
      </c>
      <c r="AA257">
        <f>MAX(0,ROUND(AY256*(1+'Calc base'!M257),2)-O257-'Calc base'!Y257)</f>
        <v>0</v>
      </c>
      <c r="AB257">
        <f>MAX(0,ROUND(AZ256*(1+'Calc base'!N257),2)-P257-'Calc base'!Z257)</f>
        <v>0</v>
      </c>
      <c r="AC257">
        <f>MAX(0,ROUND(BA256*(1+'Calc base'!O257),2)-Q257-'Calc base'!AA257)</f>
        <v>0</v>
      </c>
      <c r="AD257">
        <f>MAX(0,ROUND(BB256*(1+'Calc base'!P257),2)-R257-'Calc base'!AB257)</f>
        <v>0</v>
      </c>
      <c r="AE257">
        <f>MAX(0,ROUND(BC256*(1+'Calc base'!Q257),2)-S257-'Calc base'!AC257)</f>
        <v>0</v>
      </c>
      <c r="AF257">
        <f>MAX(0,ROUND(BD256*(1+'Calc base'!R257),2)-T257-'Calc base'!AD257)</f>
        <v>0</v>
      </c>
      <c r="AG257">
        <f>MAX(0,ROUND(BE256*(1+'Calc base'!S257),2)-U257-'Calc base'!AE257)</f>
        <v>0</v>
      </c>
      <c r="AH257">
        <f>IF('Calc base'!C$14=0,0,MIN(V257,MAX(0,$E257-SUMIFS($V257:$AG257,'Calc base'!$C$19:$N$19,"&lt;"&amp;'Calc base'!C$19,'Calc base'!$C$14:$N$14,1))))</f>
        <v>0</v>
      </c>
      <c r="AI257">
        <f>IF('Calc base'!D$14=0,0,MIN(W257,MAX(0,$E257-SUMIFS($V257:$AG257,'Calc base'!$C$19:$N$19,"&lt;"&amp;'Calc base'!D$19,'Calc base'!$C$14:$N$14,1))))</f>
        <v>0</v>
      </c>
      <c r="AJ257">
        <f>IF('Calc base'!E$14=0,0,MIN(X257,MAX(0,$E257-SUMIFS($V257:$AG257,'Calc base'!$C$19:$N$19,"&lt;"&amp;'Calc base'!E$19,'Calc base'!$C$14:$N$14,1))))</f>
        <v>0</v>
      </c>
      <c r="AK257">
        <f>IF('Calc base'!F$14=0,0,MIN(Y257,MAX(0,$E257-SUMIFS($V257:$AG257,'Calc base'!$C$19:$N$19,"&lt;"&amp;'Calc base'!F$19,'Calc base'!$C$14:$N$14,1))))</f>
        <v>0</v>
      </c>
      <c r="AL257">
        <f>IF('Calc base'!G$14=0,0,MIN(Z257,MAX(0,$E257-SUMIFS($V257:$AG257,'Calc base'!$C$19:$N$19,"&lt;"&amp;'Calc base'!G$19,'Calc base'!$C$14:$N$14,1))))</f>
        <v>0</v>
      </c>
      <c r="AM257">
        <f>IF('Calc base'!H$14=0,0,MIN(AA257,MAX(0,$E257-SUMIFS($V257:$AG257,'Calc base'!$C$19:$N$19,"&lt;"&amp;'Calc base'!H$19,'Calc base'!$C$14:$N$14,1))))</f>
        <v>0</v>
      </c>
      <c r="AN257">
        <f>IF('Calc base'!I$14=0,0,MIN(AB257,MAX(0,$E257-SUMIFS($V257:$AG257,'Calc base'!$C$19:$N$19,"&lt;"&amp;'Calc base'!I$19,'Calc base'!$C$14:$N$14,1))))</f>
        <v>0</v>
      </c>
      <c r="AO257">
        <f>IF('Calc base'!J$14=0,0,MIN(AC257,MAX(0,$E257-SUMIFS($V257:$AG257,'Calc base'!$C$19:$N$19,"&lt;"&amp;'Calc base'!J$19,'Calc base'!$C$14:$N$14,1))))</f>
        <v>0</v>
      </c>
      <c r="AP257">
        <f>IF('Calc base'!K$14=0,0,MIN(AD257,MAX(0,$E257-SUMIFS($V257:$AG257,'Calc base'!$C$19:$N$19,"&lt;"&amp;'Calc base'!K$19,'Calc base'!$C$14:$N$14,1))))</f>
        <v>0</v>
      </c>
      <c r="AQ257">
        <f>IF('Calc base'!L$14=0,0,MIN(AE257,MAX(0,$E257-SUMIFS($V257:$AG257,'Calc base'!$C$19:$N$19,"&lt;"&amp;'Calc base'!L$19,'Calc base'!$C$14:$N$14,1))))</f>
        <v>0</v>
      </c>
      <c r="AR257">
        <f>IF('Calc base'!M$14=0,0,MIN(AF257,MAX(0,$E257-SUMIFS($V257:$AG257,'Calc base'!$C$19:$N$19,"&lt;"&amp;'Calc base'!M$19,'Calc base'!$C$14:$N$14,1))))</f>
        <v>0</v>
      </c>
      <c r="AS257">
        <f>IF('Calc base'!N$14=0,0,MIN(AG257,MAX(0,$E257-SUMIFS($V257:$AG257,'Calc base'!$C$19:$N$19,"&lt;"&amp;'Calc base'!N$19,'Calc base'!$C$14:$N$14,1))))</f>
        <v>0</v>
      </c>
      <c r="AT257">
        <f>V257-AH257</f>
        <v>0</v>
      </c>
      <c r="AU257">
        <f>W257-AI257</f>
        <v>0</v>
      </c>
      <c r="AV257">
        <f>X257-AJ257</f>
        <v>0</v>
      </c>
      <c r="AW257">
        <f>Y257-AK257</f>
        <v>0</v>
      </c>
      <c r="AX257">
        <f>Z257-AL257</f>
        <v>0</v>
      </c>
      <c r="AY257">
        <f>AA257-AM257</f>
        <v>0</v>
      </c>
      <c r="AZ257">
        <f>AB257-AN257</f>
        <v>0</v>
      </c>
      <c r="BA257">
        <f>AC257-AO257</f>
        <v>0</v>
      </c>
      <c r="BB257">
        <f>AD257-AP257</f>
        <v>0</v>
      </c>
      <c r="BC257">
        <f>AE257-AQ257</f>
        <v>0</v>
      </c>
      <c r="BD257">
        <f>AF257-AR257</f>
        <v>0</v>
      </c>
      <c r="BE257">
        <f>AG257-AS257</f>
        <v>0</v>
      </c>
    </row>
    <row r="258">
      <c r="A258" t="n">
        <v>228</v>
      </c>
      <c r="B258">
        <f>SUMPRODUCT(ROUND($AT257:$BE257*(1+'Calc base'!$H258:$S258),2))</f>
        <v>0</v>
      </c>
      <c r="C258">
        <f>SUM(J258:U258)</f>
        <v>0</v>
      </c>
      <c r="D258">
        <f>SUM(V258:AG258)</f>
        <v>0</v>
      </c>
      <c r="E258">
        <f>MAX(0,IF(Impostazioni!$B$7="No",'Calc base'!$C258-$C$31,'Calc base'!$C258-C258)+'Calc base'!$G258+'Calc base'!$F258-(B258-C258-D258))</f>
        <v>900</v>
      </c>
      <c r="F258">
        <f>SUM(AH258:AS258)</f>
        <v>0</v>
      </c>
      <c r="G258">
        <f>SUM(AT258:BE258)</f>
        <v>0</v>
      </c>
      <c r="H258">
        <f>B258-G257</f>
        <v>0</v>
      </c>
      <c r="I258">
        <f>B258-G258</f>
        <v>0</v>
      </c>
      <c r="J258">
        <f>IF(AT257&lt;=0,0,IF(ROUND(AT257*(1+'Calc base'!H258),2)-MAX('Calc base'!C$12,ROUND('Calc base'!C$13*AT257,2))&lt;1,ROUND(AT257*(1+'Calc base'!H258),2),MAX('Calc base'!C$12,ROUND('Calc base'!C$13*AT257,2))))</f>
        <v>0</v>
      </c>
      <c r="K258">
        <f>IF(AU257&lt;=0,0,IF(ROUND(AU257*(1+'Calc base'!I258),2)-MAX('Calc base'!D$12,ROUND('Calc base'!D$13*AU257,2))&lt;1,ROUND(AU257*(1+'Calc base'!I258),2),MAX('Calc base'!D$12,ROUND('Calc base'!D$13*AU257,2))))</f>
        <v>0</v>
      </c>
      <c r="L258">
        <f>IF(AV257&lt;=0,0,IF(ROUND(AV257*(1+'Calc base'!J258),2)-MAX('Calc base'!E$12,ROUND('Calc base'!E$13*AV257,2))&lt;1,ROUND(AV257*(1+'Calc base'!J258),2),MAX('Calc base'!E$12,ROUND('Calc base'!E$13*AV257,2))))</f>
        <v>0</v>
      </c>
      <c r="M258">
        <f>IF(AW257&lt;=0,0,IF(ROUND(AW257*(1+'Calc base'!K258),2)-MAX('Calc base'!F$12,ROUND('Calc base'!F$13*AW257,2))&lt;1,ROUND(AW257*(1+'Calc base'!K258),2),MAX('Calc base'!F$12,ROUND('Calc base'!F$13*AW257,2))))</f>
        <v>0</v>
      </c>
      <c r="N258">
        <f>IF(AX257&lt;=0,0,IF(ROUND(AX257*(1+'Calc base'!L258),2)-MAX('Calc base'!G$12,ROUND('Calc base'!G$13*AX257,2))&lt;1,ROUND(AX257*(1+'Calc base'!L258),2),MAX('Calc base'!G$12,ROUND('Calc base'!G$13*AX257,2))))</f>
        <v>0</v>
      </c>
      <c r="O258">
        <f>IF(AY257&lt;=0,0,IF(ROUND(AY257*(1+'Calc base'!M258),2)-MAX('Calc base'!H$12,ROUND('Calc base'!H$13*AY257,2))&lt;1,ROUND(AY257*(1+'Calc base'!M258),2),MAX('Calc base'!H$12,ROUND('Calc base'!H$13*AY257,2))))</f>
        <v>0</v>
      </c>
      <c r="P258">
        <f>IF(AZ257&lt;=0,0,IF(ROUND(AZ257*(1+'Calc base'!N258),2)-MAX('Calc base'!I$12,ROUND('Calc base'!I$13*AZ257,2))&lt;1,ROUND(AZ257*(1+'Calc base'!N258),2),MAX('Calc base'!I$12,ROUND('Calc base'!I$13*AZ257,2))))</f>
        <v>0</v>
      </c>
      <c r="Q258">
        <f>IF(BA257&lt;=0,0,IF(ROUND(BA257*(1+'Calc base'!O258),2)-MAX('Calc base'!J$12,ROUND('Calc base'!J$13*BA257,2))&lt;1,ROUND(BA257*(1+'Calc base'!O258),2),MAX('Calc base'!J$12,ROUND('Calc base'!J$13*BA257,2))))</f>
        <v>0</v>
      </c>
      <c r="R258">
        <f>IF(BB257&lt;=0,0,IF(ROUND(BB257*(1+'Calc base'!P258),2)-MAX('Calc base'!K$12,ROUND('Calc base'!K$13*BB257,2))&lt;1,ROUND(BB257*(1+'Calc base'!P258),2),MAX('Calc base'!K$12,ROUND('Calc base'!K$13*BB257,2))))</f>
        <v>0</v>
      </c>
      <c r="S258">
        <f>IF(BC257&lt;=0,0,IF(ROUND(BC257*(1+'Calc base'!Q258),2)-MAX('Calc base'!L$12,ROUND('Calc base'!L$13*BC257,2))&lt;1,ROUND(BC257*(1+'Calc base'!Q258),2),MAX('Calc base'!L$12,ROUND('Calc base'!L$13*BC257,2))))</f>
        <v>0</v>
      </c>
      <c r="T258">
        <f>IF(BD257&lt;=0,0,IF(ROUND(BD257*(1+'Calc base'!R258),2)-MAX('Calc base'!M$12,ROUND('Calc base'!M$13*BD257,2))&lt;1,ROUND(BD257*(1+'Calc base'!R258),2),MAX('Calc base'!M$12,ROUND('Calc base'!M$13*BD257,2))))</f>
        <v>0</v>
      </c>
      <c r="U258">
        <f>IF(BE257&lt;=0,0,IF(ROUND(BE257*(1+'Calc base'!S258),2)-MAX('Calc base'!N$12,ROUND('Calc base'!N$13*BE257,2))&lt;1,ROUND(BE257*(1+'Calc base'!S258),2),MAX('Calc base'!N$12,ROUND('Calc base'!N$13*BE257,2))))</f>
        <v>0</v>
      </c>
      <c r="V258">
        <f>MAX(0,ROUND(AT257*(1+'Calc base'!H258),2)-J258-'Calc base'!T258)</f>
        <v>0</v>
      </c>
      <c r="W258">
        <f>MAX(0,ROUND(AU257*(1+'Calc base'!I258),2)-K258-'Calc base'!U258)</f>
        <v>0</v>
      </c>
      <c r="X258">
        <f>MAX(0,ROUND(AV257*(1+'Calc base'!J258),2)-L258-'Calc base'!V258)</f>
        <v>0</v>
      </c>
      <c r="Y258">
        <f>MAX(0,ROUND(AW257*(1+'Calc base'!K258),2)-M258-'Calc base'!W258)</f>
        <v>0</v>
      </c>
      <c r="Z258">
        <f>MAX(0,ROUND(AX257*(1+'Calc base'!L258),2)-N258-'Calc base'!X258)</f>
        <v>0</v>
      </c>
      <c r="AA258">
        <f>MAX(0,ROUND(AY257*(1+'Calc base'!M258),2)-O258-'Calc base'!Y258)</f>
        <v>0</v>
      </c>
      <c r="AB258">
        <f>MAX(0,ROUND(AZ257*(1+'Calc base'!N258),2)-P258-'Calc base'!Z258)</f>
        <v>0</v>
      </c>
      <c r="AC258">
        <f>MAX(0,ROUND(BA257*(1+'Calc base'!O258),2)-Q258-'Calc base'!AA258)</f>
        <v>0</v>
      </c>
      <c r="AD258">
        <f>MAX(0,ROUND(BB257*(1+'Calc base'!P258),2)-R258-'Calc base'!AB258)</f>
        <v>0</v>
      </c>
      <c r="AE258">
        <f>MAX(0,ROUND(BC257*(1+'Calc base'!Q258),2)-S258-'Calc base'!AC258)</f>
        <v>0</v>
      </c>
      <c r="AF258">
        <f>MAX(0,ROUND(BD257*(1+'Calc base'!R258),2)-T258-'Calc base'!AD258)</f>
        <v>0</v>
      </c>
      <c r="AG258">
        <f>MAX(0,ROUND(BE257*(1+'Calc base'!S258),2)-U258-'Calc base'!AE258)</f>
        <v>0</v>
      </c>
      <c r="AH258">
        <f>IF('Calc base'!C$14=0,0,MIN(V258,MAX(0,$E258-SUMIFS($V258:$AG258,'Calc base'!$C$19:$N$19,"&lt;"&amp;'Calc base'!C$19,'Calc base'!$C$14:$N$14,1))))</f>
        <v>0</v>
      </c>
      <c r="AI258">
        <f>IF('Calc base'!D$14=0,0,MIN(W258,MAX(0,$E258-SUMIFS($V258:$AG258,'Calc base'!$C$19:$N$19,"&lt;"&amp;'Calc base'!D$19,'Calc base'!$C$14:$N$14,1))))</f>
        <v>0</v>
      </c>
      <c r="AJ258">
        <f>IF('Calc base'!E$14=0,0,MIN(X258,MAX(0,$E258-SUMIFS($V258:$AG258,'Calc base'!$C$19:$N$19,"&lt;"&amp;'Calc base'!E$19,'Calc base'!$C$14:$N$14,1))))</f>
        <v>0</v>
      </c>
      <c r="AK258">
        <f>IF('Calc base'!F$14=0,0,MIN(Y258,MAX(0,$E258-SUMIFS($V258:$AG258,'Calc base'!$C$19:$N$19,"&lt;"&amp;'Calc base'!F$19,'Calc base'!$C$14:$N$14,1))))</f>
        <v>0</v>
      </c>
      <c r="AL258">
        <f>IF('Calc base'!G$14=0,0,MIN(Z258,MAX(0,$E258-SUMIFS($V258:$AG258,'Calc base'!$C$19:$N$19,"&lt;"&amp;'Calc base'!G$19,'Calc base'!$C$14:$N$14,1))))</f>
        <v>0</v>
      </c>
      <c r="AM258">
        <f>IF('Calc base'!H$14=0,0,MIN(AA258,MAX(0,$E258-SUMIFS($V258:$AG258,'Calc base'!$C$19:$N$19,"&lt;"&amp;'Calc base'!H$19,'Calc base'!$C$14:$N$14,1))))</f>
        <v>0</v>
      </c>
      <c r="AN258">
        <f>IF('Calc base'!I$14=0,0,MIN(AB258,MAX(0,$E258-SUMIFS($V258:$AG258,'Calc base'!$C$19:$N$19,"&lt;"&amp;'Calc base'!I$19,'Calc base'!$C$14:$N$14,1))))</f>
        <v>0</v>
      </c>
      <c r="AO258">
        <f>IF('Calc base'!J$14=0,0,MIN(AC258,MAX(0,$E258-SUMIFS($V258:$AG258,'Calc base'!$C$19:$N$19,"&lt;"&amp;'Calc base'!J$19,'Calc base'!$C$14:$N$14,1))))</f>
        <v>0</v>
      </c>
      <c r="AP258">
        <f>IF('Calc base'!K$14=0,0,MIN(AD258,MAX(0,$E258-SUMIFS($V258:$AG258,'Calc base'!$C$19:$N$19,"&lt;"&amp;'Calc base'!K$19,'Calc base'!$C$14:$N$14,1))))</f>
        <v>0</v>
      </c>
      <c r="AQ258">
        <f>IF('Calc base'!L$14=0,0,MIN(AE258,MAX(0,$E258-SUMIFS($V258:$AG258,'Calc base'!$C$19:$N$19,"&lt;"&amp;'Calc base'!L$19,'Calc base'!$C$14:$N$14,1))))</f>
        <v>0</v>
      </c>
      <c r="AR258">
        <f>IF('Calc base'!M$14=0,0,MIN(AF258,MAX(0,$E258-SUMIFS($V258:$AG258,'Calc base'!$C$19:$N$19,"&lt;"&amp;'Calc base'!M$19,'Calc base'!$C$14:$N$14,1))))</f>
        <v>0</v>
      </c>
      <c r="AS258">
        <f>IF('Calc base'!N$14=0,0,MIN(AG258,MAX(0,$E258-SUMIFS($V258:$AG258,'Calc base'!$C$19:$N$19,"&lt;"&amp;'Calc base'!N$19,'Calc base'!$C$14:$N$14,1))))</f>
        <v>0</v>
      </c>
      <c r="AT258">
        <f>V258-AH258</f>
        <v>0</v>
      </c>
      <c r="AU258">
        <f>W258-AI258</f>
        <v>0</v>
      </c>
      <c r="AV258">
        <f>X258-AJ258</f>
        <v>0</v>
      </c>
      <c r="AW258">
        <f>Y258-AK258</f>
        <v>0</v>
      </c>
      <c r="AX258">
        <f>Z258-AL258</f>
        <v>0</v>
      </c>
      <c r="AY258">
        <f>AA258-AM258</f>
        <v>0</v>
      </c>
      <c r="AZ258">
        <f>AB258-AN258</f>
        <v>0</v>
      </c>
      <c r="BA258">
        <f>AC258-AO258</f>
        <v>0</v>
      </c>
      <c r="BB258">
        <f>AD258-AP258</f>
        <v>0</v>
      </c>
      <c r="BC258">
        <f>AE258-AQ258</f>
        <v>0</v>
      </c>
      <c r="BD258">
        <f>AF258-AR258</f>
        <v>0</v>
      </c>
      <c r="BE258">
        <f>AG258-AS258</f>
        <v>0</v>
      </c>
    </row>
    <row r="259">
      <c r="A259" t="n">
        <v>229</v>
      </c>
      <c r="B259">
        <f>SUMPRODUCT(ROUND($AT258:$BE258*(1+'Calc base'!$H259:$S259),2))</f>
        <v>0</v>
      </c>
      <c r="C259">
        <f>SUM(J259:U259)</f>
        <v>0</v>
      </c>
      <c r="D259">
        <f>SUM(V259:AG259)</f>
        <v>0</v>
      </c>
      <c r="E259">
        <f>MAX(0,IF(Impostazioni!$B$7="No",'Calc base'!$C259-$C$31,'Calc base'!$C259-C259)+'Calc base'!$G259+'Calc base'!$F259-(B259-C259-D259))</f>
        <v>900</v>
      </c>
      <c r="F259">
        <f>SUM(AH259:AS259)</f>
        <v>0</v>
      </c>
      <c r="G259">
        <f>SUM(AT259:BE259)</f>
        <v>0</v>
      </c>
      <c r="H259">
        <f>B259-G258</f>
        <v>0</v>
      </c>
      <c r="I259">
        <f>B259-G259</f>
        <v>0</v>
      </c>
      <c r="J259">
        <f>IF(AT258&lt;=0,0,IF(ROUND(AT258*(1+'Calc base'!H259),2)-MAX('Calc base'!C$12,ROUND('Calc base'!C$13*AT258,2))&lt;1,ROUND(AT258*(1+'Calc base'!H259),2),MAX('Calc base'!C$12,ROUND('Calc base'!C$13*AT258,2))))</f>
        <v>0</v>
      </c>
      <c r="K259">
        <f>IF(AU258&lt;=0,0,IF(ROUND(AU258*(1+'Calc base'!I259),2)-MAX('Calc base'!D$12,ROUND('Calc base'!D$13*AU258,2))&lt;1,ROUND(AU258*(1+'Calc base'!I259),2),MAX('Calc base'!D$12,ROUND('Calc base'!D$13*AU258,2))))</f>
        <v>0</v>
      </c>
      <c r="L259">
        <f>IF(AV258&lt;=0,0,IF(ROUND(AV258*(1+'Calc base'!J259),2)-MAX('Calc base'!E$12,ROUND('Calc base'!E$13*AV258,2))&lt;1,ROUND(AV258*(1+'Calc base'!J259),2),MAX('Calc base'!E$12,ROUND('Calc base'!E$13*AV258,2))))</f>
        <v>0</v>
      </c>
      <c r="M259">
        <f>IF(AW258&lt;=0,0,IF(ROUND(AW258*(1+'Calc base'!K259),2)-MAX('Calc base'!F$12,ROUND('Calc base'!F$13*AW258,2))&lt;1,ROUND(AW258*(1+'Calc base'!K259),2),MAX('Calc base'!F$12,ROUND('Calc base'!F$13*AW258,2))))</f>
        <v>0</v>
      </c>
      <c r="N259">
        <f>IF(AX258&lt;=0,0,IF(ROUND(AX258*(1+'Calc base'!L259),2)-MAX('Calc base'!G$12,ROUND('Calc base'!G$13*AX258,2))&lt;1,ROUND(AX258*(1+'Calc base'!L259),2),MAX('Calc base'!G$12,ROUND('Calc base'!G$13*AX258,2))))</f>
        <v>0</v>
      </c>
      <c r="O259">
        <f>IF(AY258&lt;=0,0,IF(ROUND(AY258*(1+'Calc base'!M259),2)-MAX('Calc base'!H$12,ROUND('Calc base'!H$13*AY258,2))&lt;1,ROUND(AY258*(1+'Calc base'!M259),2),MAX('Calc base'!H$12,ROUND('Calc base'!H$13*AY258,2))))</f>
        <v>0</v>
      </c>
      <c r="P259">
        <f>IF(AZ258&lt;=0,0,IF(ROUND(AZ258*(1+'Calc base'!N259),2)-MAX('Calc base'!I$12,ROUND('Calc base'!I$13*AZ258,2))&lt;1,ROUND(AZ258*(1+'Calc base'!N259),2),MAX('Calc base'!I$12,ROUND('Calc base'!I$13*AZ258,2))))</f>
        <v>0</v>
      </c>
      <c r="Q259">
        <f>IF(BA258&lt;=0,0,IF(ROUND(BA258*(1+'Calc base'!O259),2)-MAX('Calc base'!J$12,ROUND('Calc base'!J$13*BA258,2))&lt;1,ROUND(BA258*(1+'Calc base'!O259),2),MAX('Calc base'!J$12,ROUND('Calc base'!J$13*BA258,2))))</f>
        <v>0</v>
      </c>
      <c r="R259">
        <f>IF(BB258&lt;=0,0,IF(ROUND(BB258*(1+'Calc base'!P259),2)-MAX('Calc base'!K$12,ROUND('Calc base'!K$13*BB258,2))&lt;1,ROUND(BB258*(1+'Calc base'!P259),2),MAX('Calc base'!K$12,ROUND('Calc base'!K$13*BB258,2))))</f>
        <v>0</v>
      </c>
      <c r="S259">
        <f>IF(BC258&lt;=0,0,IF(ROUND(BC258*(1+'Calc base'!Q259),2)-MAX('Calc base'!L$12,ROUND('Calc base'!L$13*BC258,2))&lt;1,ROUND(BC258*(1+'Calc base'!Q259),2),MAX('Calc base'!L$12,ROUND('Calc base'!L$13*BC258,2))))</f>
        <v>0</v>
      </c>
      <c r="T259">
        <f>IF(BD258&lt;=0,0,IF(ROUND(BD258*(1+'Calc base'!R259),2)-MAX('Calc base'!M$12,ROUND('Calc base'!M$13*BD258,2))&lt;1,ROUND(BD258*(1+'Calc base'!R259),2),MAX('Calc base'!M$12,ROUND('Calc base'!M$13*BD258,2))))</f>
        <v>0</v>
      </c>
      <c r="U259">
        <f>IF(BE258&lt;=0,0,IF(ROUND(BE258*(1+'Calc base'!S259),2)-MAX('Calc base'!N$12,ROUND('Calc base'!N$13*BE258,2))&lt;1,ROUND(BE258*(1+'Calc base'!S259),2),MAX('Calc base'!N$12,ROUND('Calc base'!N$13*BE258,2))))</f>
        <v>0</v>
      </c>
      <c r="V259">
        <f>MAX(0,ROUND(AT258*(1+'Calc base'!H259),2)-J259-'Calc base'!T259)</f>
        <v>0</v>
      </c>
      <c r="W259">
        <f>MAX(0,ROUND(AU258*(1+'Calc base'!I259),2)-K259-'Calc base'!U259)</f>
        <v>0</v>
      </c>
      <c r="X259">
        <f>MAX(0,ROUND(AV258*(1+'Calc base'!J259),2)-L259-'Calc base'!V259)</f>
        <v>0</v>
      </c>
      <c r="Y259">
        <f>MAX(0,ROUND(AW258*(1+'Calc base'!K259),2)-M259-'Calc base'!W259)</f>
        <v>0</v>
      </c>
      <c r="Z259">
        <f>MAX(0,ROUND(AX258*(1+'Calc base'!L259),2)-N259-'Calc base'!X259)</f>
        <v>0</v>
      </c>
      <c r="AA259">
        <f>MAX(0,ROUND(AY258*(1+'Calc base'!M259),2)-O259-'Calc base'!Y259)</f>
        <v>0</v>
      </c>
      <c r="AB259">
        <f>MAX(0,ROUND(AZ258*(1+'Calc base'!N259),2)-P259-'Calc base'!Z259)</f>
        <v>0</v>
      </c>
      <c r="AC259">
        <f>MAX(0,ROUND(BA258*(1+'Calc base'!O259),2)-Q259-'Calc base'!AA259)</f>
        <v>0</v>
      </c>
      <c r="AD259">
        <f>MAX(0,ROUND(BB258*(1+'Calc base'!P259),2)-R259-'Calc base'!AB259)</f>
        <v>0</v>
      </c>
      <c r="AE259">
        <f>MAX(0,ROUND(BC258*(1+'Calc base'!Q259),2)-S259-'Calc base'!AC259)</f>
        <v>0</v>
      </c>
      <c r="AF259">
        <f>MAX(0,ROUND(BD258*(1+'Calc base'!R259),2)-T259-'Calc base'!AD259)</f>
        <v>0</v>
      </c>
      <c r="AG259">
        <f>MAX(0,ROUND(BE258*(1+'Calc base'!S259),2)-U259-'Calc base'!AE259)</f>
        <v>0</v>
      </c>
      <c r="AH259">
        <f>IF('Calc base'!C$14=0,0,MIN(V259,MAX(0,$E259-SUMIFS($V259:$AG259,'Calc base'!$C$19:$N$19,"&lt;"&amp;'Calc base'!C$19,'Calc base'!$C$14:$N$14,1))))</f>
        <v>0</v>
      </c>
      <c r="AI259">
        <f>IF('Calc base'!D$14=0,0,MIN(W259,MAX(0,$E259-SUMIFS($V259:$AG259,'Calc base'!$C$19:$N$19,"&lt;"&amp;'Calc base'!D$19,'Calc base'!$C$14:$N$14,1))))</f>
        <v>0</v>
      </c>
      <c r="AJ259">
        <f>IF('Calc base'!E$14=0,0,MIN(X259,MAX(0,$E259-SUMIFS($V259:$AG259,'Calc base'!$C$19:$N$19,"&lt;"&amp;'Calc base'!E$19,'Calc base'!$C$14:$N$14,1))))</f>
        <v>0</v>
      </c>
      <c r="AK259">
        <f>IF('Calc base'!F$14=0,0,MIN(Y259,MAX(0,$E259-SUMIFS($V259:$AG259,'Calc base'!$C$19:$N$19,"&lt;"&amp;'Calc base'!F$19,'Calc base'!$C$14:$N$14,1))))</f>
        <v>0</v>
      </c>
      <c r="AL259">
        <f>IF('Calc base'!G$14=0,0,MIN(Z259,MAX(0,$E259-SUMIFS($V259:$AG259,'Calc base'!$C$19:$N$19,"&lt;"&amp;'Calc base'!G$19,'Calc base'!$C$14:$N$14,1))))</f>
        <v>0</v>
      </c>
      <c r="AM259">
        <f>IF('Calc base'!H$14=0,0,MIN(AA259,MAX(0,$E259-SUMIFS($V259:$AG259,'Calc base'!$C$19:$N$19,"&lt;"&amp;'Calc base'!H$19,'Calc base'!$C$14:$N$14,1))))</f>
        <v>0</v>
      </c>
      <c r="AN259">
        <f>IF('Calc base'!I$14=0,0,MIN(AB259,MAX(0,$E259-SUMIFS($V259:$AG259,'Calc base'!$C$19:$N$19,"&lt;"&amp;'Calc base'!I$19,'Calc base'!$C$14:$N$14,1))))</f>
        <v>0</v>
      </c>
      <c r="AO259">
        <f>IF('Calc base'!J$14=0,0,MIN(AC259,MAX(0,$E259-SUMIFS($V259:$AG259,'Calc base'!$C$19:$N$19,"&lt;"&amp;'Calc base'!J$19,'Calc base'!$C$14:$N$14,1))))</f>
        <v>0</v>
      </c>
      <c r="AP259">
        <f>IF('Calc base'!K$14=0,0,MIN(AD259,MAX(0,$E259-SUMIFS($V259:$AG259,'Calc base'!$C$19:$N$19,"&lt;"&amp;'Calc base'!K$19,'Calc base'!$C$14:$N$14,1))))</f>
        <v>0</v>
      </c>
      <c r="AQ259">
        <f>IF('Calc base'!L$14=0,0,MIN(AE259,MAX(0,$E259-SUMIFS($V259:$AG259,'Calc base'!$C$19:$N$19,"&lt;"&amp;'Calc base'!L$19,'Calc base'!$C$14:$N$14,1))))</f>
        <v>0</v>
      </c>
      <c r="AR259">
        <f>IF('Calc base'!M$14=0,0,MIN(AF259,MAX(0,$E259-SUMIFS($V259:$AG259,'Calc base'!$C$19:$N$19,"&lt;"&amp;'Calc base'!M$19,'Calc base'!$C$14:$N$14,1))))</f>
        <v>0</v>
      </c>
      <c r="AS259">
        <f>IF('Calc base'!N$14=0,0,MIN(AG259,MAX(0,$E259-SUMIFS($V259:$AG259,'Calc base'!$C$19:$N$19,"&lt;"&amp;'Calc base'!N$19,'Calc base'!$C$14:$N$14,1))))</f>
        <v>0</v>
      </c>
      <c r="AT259">
        <f>V259-AH259</f>
        <v>0</v>
      </c>
      <c r="AU259">
        <f>W259-AI259</f>
        <v>0</v>
      </c>
      <c r="AV259">
        <f>X259-AJ259</f>
        <v>0</v>
      </c>
      <c r="AW259">
        <f>Y259-AK259</f>
        <v>0</v>
      </c>
      <c r="AX259">
        <f>Z259-AL259</f>
        <v>0</v>
      </c>
      <c r="AY259">
        <f>AA259-AM259</f>
        <v>0</v>
      </c>
      <c r="AZ259">
        <f>AB259-AN259</f>
        <v>0</v>
      </c>
      <c r="BA259">
        <f>AC259-AO259</f>
        <v>0</v>
      </c>
      <c r="BB259">
        <f>AD259-AP259</f>
        <v>0</v>
      </c>
      <c r="BC259">
        <f>AE259-AQ259</f>
        <v>0</v>
      </c>
      <c r="BD259">
        <f>AF259-AR259</f>
        <v>0</v>
      </c>
      <c r="BE259">
        <f>AG259-AS259</f>
        <v>0</v>
      </c>
    </row>
    <row r="260">
      <c r="A260" t="n">
        <v>230</v>
      </c>
      <c r="B260">
        <f>SUMPRODUCT(ROUND($AT259:$BE259*(1+'Calc base'!$H260:$S260),2))</f>
        <v>0</v>
      </c>
      <c r="C260">
        <f>SUM(J260:U260)</f>
        <v>0</v>
      </c>
      <c r="D260">
        <f>SUM(V260:AG260)</f>
        <v>0</v>
      </c>
      <c r="E260">
        <f>MAX(0,IF(Impostazioni!$B$7="No",'Calc base'!$C260-$C$31,'Calc base'!$C260-C260)+'Calc base'!$G260+'Calc base'!$F260-(B260-C260-D260))</f>
        <v>900</v>
      </c>
      <c r="F260">
        <f>SUM(AH260:AS260)</f>
        <v>0</v>
      </c>
      <c r="G260">
        <f>SUM(AT260:BE260)</f>
        <v>0</v>
      </c>
      <c r="H260">
        <f>B260-G259</f>
        <v>0</v>
      </c>
      <c r="I260">
        <f>B260-G260</f>
        <v>0</v>
      </c>
      <c r="J260">
        <f>IF(AT259&lt;=0,0,IF(ROUND(AT259*(1+'Calc base'!H260),2)-MAX('Calc base'!C$12,ROUND('Calc base'!C$13*AT259,2))&lt;1,ROUND(AT259*(1+'Calc base'!H260),2),MAX('Calc base'!C$12,ROUND('Calc base'!C$13*AT259,2))))</f>
        <v>0</v>
      </c>
      <c r="K260">
        <f>IF(AU259&lt;=0,0,IF(ROUND(AU259*(1+'Calc base'!I260),2)-MAX('Calc base'!D$12,ROUND('Calc base'!D$13*AU259,2))&lt;1,ROUND(AU259*(1+'Calc base'!I260),2),MAX('Calc base'!D$12,ROUND('Calc base'!D$13*AU259,2))))</f>
        <v>0</v>
      </c>
      <c r="L260">
        <f>IF(AV259&lt;=0,0,IF(ROUND(AV259*(1+'Calc base'!J260),2)-MAX('Calc base'!E$12,ROUND('Calc base'!E$13*AV259,2))&lt;1,ROUND(AV259*(1+'Calc base'!J260),2),MAX('Calc base'!E$12,ROUND('Calc base'!E$13*AV259,2))))</f>
        <v>0</v>
      </c>
      <c r="M260">
        <f>IF(AW259&lt;=0,0,IF(ROUND(AW259*(1+'Calc base'!K260),2)-MAX('Calc base'!F$12,ROUND('Calc base'!F$13*AW259,2))&lt;1,ROUND(AW259*(1+'Calc base'!K260),2),MAX('Calc base'!F$12,ROUND('Calc base'!F$13*AW259,2))))</f>
        <v>0</v>
      </c>
      <c r="N260">
        <f>IF(AX259&lt;=0,0,IF(ROUND(AX259*(1+'Calc base'!L260),2)-MAX('Calc base'!G$12,ROUND('Calc base'!G$13*AX259,2))&lt;1,ROUND(AX259*(1+'Calc base'!L260),2),MAX('Calc base'!G$12,ROUND('Calc base'!G$13*AX259,2))))</f>
        <v>0</v>
      </c>
      <c r="O260">
        <f>IF(AY259&lt;=0,0,IF(ROUND(AY259*(1+'Calc base'!M260),2)-MAX('Calc base'!H$12,ROUND('Calc base'!H$13*AY259,2))&lt;1,ROUND(AY259*(1+'Calc base'!M260),2),MAX('Calc base'!H$12,ROUND('Calc base'!H$13*AY259,2))))</f>
        <v>0</v>
      </c>
      <c r="P260">
        <f>IF(AZ259&lt;=0,0,IF(ROUND(AZ259*(1+'Calc base'!N260),2)-MAX('Calc base'!I$12,ROUND('Calc base'!I$13*AZ259,2))&lt;1,ROUND(AZ259*(1+'Calc base'!N260),2),MAX('Calc base'!I$12,ROUND('Calc base'!I$13*AZ259,2))))</f>
        <v>0</v>
      </c>
      <c r="Q260">
        <f>IF(BA259&lt;=0,0,IF(ROUND(BA259*(1+'Calc base'!O260),2)-MAX('Calc base'!J$12,ROUND('Calc base'!J$13*BA259,2))&lt;1,ROUND(BA259*(1+'Calc base'!O260),2),MAX('Calc base'!J$12,ROUND('Calc base'!J$13*BA259,2))))</f>
        <v>0</v>
      </c>
      <c r="R260">
        <f>IF(BB259&lt;=0,0,IF(ROUND(BB259*(1+'Calc base'!P260),2)-MAX('Calc base'!K$12,ROUND('Calc base'!K$13*BB259,2))&lt;1,ROUND(BB259*(1+'Calc base'!P260),2),MAX('Calc base'!K$12,ROUND('Calc base'!K$13*BB259,2))))</f>
        <v>0</v>
      </c>
      <c r="S260">
        <f>IF(BC259&lt;=0,0,IF(ROUND(BC259*(1+'Calc base'!Q260),2)-MAX('Calc base'!L$12,ROUND('Calc base'!L$13*BC259,2))&lt;1,ROUND(BC259*(1+'Calc base'!Q260),2),MAX('Calc base'!L$12,ROUND('Calc base'!L$13*BC259,2))))</f>
        <v>0</v>
      </c>
      <c r="T260">
        <f>IF(BD259&lt;=0,0,IF(ROUND(BD259*(1+'Calc base'!R260),2)-MAX('Calc base'!M$12,ROUND('Calc base'!M$13*BD259,2))&lt;1,ROUND(BD259*(1+'Calc base'!R260),2),MAX('Calc base'!M$12,ROUND('Calc base'!M$13*BD259,2))))</f>
        <v>0</v>
      </c>
      <c r="U260">
        <f>IF(BE259&lt;=0,0,IF(ROUND(BE259*(1+'Calc base'!S260),2)-MAX('Calc base'!N$12,ROUND('Calc base'!N$13*BE259,2))&lt;1,ROUND(BE259*(1+'Calc base'!S260),2),MAX('Calc base'!N$12,ROUND('Calc base'!N$13*BE259,2))))</f>
        <v>0</v>
      </c>
      <c r="V260">
        <f>MAX(0,ROUND(AT259*(1+'Calc base'!H260),2)-J260-'Calc base'!T260)</f>
        <v>0</v>
      </c>
      <c r="W260">
        <f>MAX(0,ROUND(AU259*(1+'Calc base'!I260),2)-K260-'Calc base'!U260)</f>
        <v>0</v>
      </c>
      <c r="X260">
        <f>MAX(0,ROUND(AV259*(1+'Calc base'!J260),2)-L260-'Calc base'!V260)</f>
        <v>0</v>
      </c>
      <c r="Y260">
        <f>MAX(0,ROUND(AW259*(1+'Calc base'!K260),2)-M260-'Calc base'!W260)</f>
        <v>0</v>
      </c>
      <c r="Z260">
        <f>MAX(0,ROUND(AX259*(1+'Calc base'!L260),2)-N260-'Calc base'!X260)</f>
        <v>0</v>
      </c>
      <c r="AA260">
        <f>MAX(0,ROUND(AY259*(1+'Calc base'!M260),2)-O260-'Calc base'!Y260)</f>
        <v>0</v>
      </c>
      <c r="AB260">
        <f>MAX(0,ROUND(AZ259*(1+'Calc base'!N260),2)-P260-'Calc base'!Z260)</f>
        <v>0</v>
      </c>
      <c r="AC260">
        <f>MAX(0,ROUND(BA259*(1+'Calc base'!O260),2)-Q260-'Calc base'!AA260)</f>
        <v>0</v>
      </c>
      <c r="AD260">
        <f>MAX(0,ROUND(BB259*(1+'Calc base'!P260),2)-R260-'Calc base'!AB260)</f>
        <v>0</v>
      </c>
      <c r="AE260">
        <f>MAX(0,ROUND(BC259*(1+'Calc base'!Q260),2)-S260-'Calc base'!AC260)</f>
        <v>0</v>
      </c>
      <c r="AF260">
        <f>MAX(0,ROUND(BD259*(1+'Calc base'!R260),2)-T260-'Calc base'!AD260)</f>
        <v>0</v>
      </c>
      <c r="AG260">
        <f>MAX(0,ROUND(BE259*(1+'Calc base'!S260),2)-U260-'Calc base'!AE260)</f>
        <v>0</v>
      </c>
      <c r="AH260">
        <f>IF('Calc base'!C$14=0,0,MIN(V260,MAX(0,$E260-SUMIFS($V260:$AG260,'Calc base'!$C$19:$N$19,"&lt;"&amp;'Calc base'!C$19,'Calc base'!$C$14:$N$14,1))))</f>
        <v>0</v>
      </c>
      <c r="AI260">
        <f>IF('Calc base'!D$14=0,0,MIN(W260,MAX(0,$E260-SUMIFS($V260:$AG260,'Calc base'!$C$19:$N$19,"&lt;"&amp;'Calc base'!D$19,'Calc base'!$C$14:$N$14,1))))</f>
        <v>0</v>
      </c>
      <c r="AJ260">
        <f>IF('Calc base'!E$14=0,0,MIN(X260,MAX(0,$E260-SUMIFS($V260:$AG260,'Calc base'!$C$19:$N$19,"&lt;"&amp;'Calc base'!E$19,'Calc base'!$C$14:$N$14,1))))</f>
        <v>0</v>
      </c>
      <c r="AK260">
        <f>IF('Calc base'!F$14=0,0,MIN(Y260,MAX(0,$E260-SUMIFS($V260:$AG260,'Calc base'!$C$19:$N$19,"&lt;"&amp;'Calc base'!F$19,'Calc base'!$C$14:$N$14,1))))</f>
        <v>0</v>
      </c>
      <c r="AL260">
        <f>IF('Calc base'!G$14=0,0,MIN(Z260,MAX(0,$E260-SUMIFS($V260:$AG260,'Calc base'!$C$19:$N$19,"&lt;"&amp;'Calc base'!G$19,'Calc base'!$C$14:$N$14,1))))</f>
        <v>0</v>
      </c>
      <c r="AM260">
        <f>IF('Calc base'!H$14=0,0,MIN(AA260,MAX(0,$E260-SUMIFS($V260:$AG260,'Calc base'!$C$19:$N$19,"&lt;"&amp;'Calc base'!H$19,'Calc base'!$C$14:$N$14,1))))</f>
        <v>0</v>
      </c>
      <c r="AN260">
        <f>IF('Calc base'!I$14=0,0,MIN(AB260,MAX(0,$E260-SUMIFS($V260:$AG260,'Calc base'!$C$19:$N$19,"&lt;"&amp;'Calc base'!I$19,'Calc base'!$C$14:$N$14,1))))</f>
        <v>0</v>
      </c>
      <c r="AO260">
        <f>IF('Calc base'!J$14=0,0,MIN(AC260,MAX(0,$E260-SUMIFS($V260:$AG260,'Calc base'!$C$19:$N$19,"&lt;"&amp;'Calc base'!J$19,'Calc base'!$C$14:$N$14,1))))</f>
        <v>0</v>
      </c>
      <c r="AP260">
        <f>IF('Calc base'!K$14=0,0,MIN(AD260,MAX(0,$E260-SUMIFS($V260:$AG260,'Calc base'!$C$19:$N$19,"&lt;"&amp;'Calc base'!K$19,'Calc base'!$C$14:$N$14,1))))</f>
        <v>0</v>
      </c>
      <c r="AQ260">
        <f>IF('Calc base'!L$14=0,0,MIN(AE260,MAX(0,$E260-SUMIFS($V260:$AG260,'Calc base'!$C$19:$N$19,"&lt;"&amp;'Calc base'!L$19,'Calc base'!$C$14:$N$14,1))))</f>
        <v>0</v>
      </c>
      <c r="AR260">
        <f>IF('Calc base'!M$14=0,0,MIN(AF260,MAX(0,$E260-SUMIFS($V260:$AG260,'Calc base'!$C$19:$N$19,"&lt;"&amp;'Calc base'!M$19,'Calc base'!$C$14:$N$14,1))))</f>
        <v>0</v>
      </c>
      <c r="AS260">
        <f>IF('Calc base'!N$14=0,0,MIN(AG260,MAX(0,$E260-SUMIFS($V260:$AG260,'Calc base'!$C$19:$N$19,"&lt;"&amp;'Calc base'!N$19,'Calc base'!$C$14:$N$14,1))))</f>
        <v>0</v>
      </c>
      <c r="AT260">
        <f>V260-AH260</f>
        <v>0</v>
      </c>
      <c r="AU260">
        <f>W260-AI260</f>
        <v>0</v>
      </c>
      <c r="AV260">
        <f>X260-AJ260</f>
        <v>0</v>
      </c>
      <c r="AW260">
        <f>Y260-AK260</f>
        <v>0</v>
      </c>
      <c r="AX260">
        <f>Z260-AL260</f>
        <v>0</v>
      </c>
      <c r="AY260">
        <f>AA260-AM260</f>
        <v>0</v>
      </c>
      <c r="AZ260">
        <f>AB260-AN260</f>
        <v>0</v>
      </c>
      <c r="BA260">
        <f>AC260-AO260</f>
        <v>0</v>
      </c>
      <c r="BB260">
        <f>AD260-AP260</f>
        <v>0</v>
      </c>
      <c r="BC260">
        <f>AE260-AQ260</f>
        <v>0</v>
      </c>
      <c r="BD260">
        <f>AF260-AR260</f>
        <v>0</v>
      </c>
      <c r="BE260">
        <f>AG260-AS260</f>
        <v>0</v>
      </c>
    </row>
    <row r="261">
      <c r="A261" t="n">
        <v>231</v>
      </c>
      <c r="B261">
        <f>SUMPRODUCT(ROUND($AT260:$BE260*(1+'Calc base'!$H261:$S261),2))</f>
        <v>0</v>
      </c>
      <c r="C261">
        <f>SUM(J261:U261)</f>
        <v>0</v>
      </c>
      <c r="D261">
        <f>SUM(V261:AG261)</f>
        <v>0</v>
      </c>
      <c r="E261">
        <f>MAX(0,IF(Impostazioni!$B$7="No",'Calc base'!$C261-$C$31,'Calc base'!$C261-C261)+'Calc base'!$G261+'Calc base'!$F261-(B261-C261-D261))</f>
        <v>900</v>
      </c>
      <c r="F261">
        <f>SUM(AH261:AS261)</f>
        <v>0</v>
      </c>
      <c r="G261">
        <f>SUM(AT261:BE261)</f>
        <v>0</v>
      </c>
      <c r="H261">
        <f>B261-G260</f>
        <v>0</v>
      </c>
      <c r="I261">
        <f>B261-G261</f>
        <v>0</v>
      </c>
      <c r="J261">
        <f>IF(AT260&lt;=0,0,IF(ROUND(AT260*(1+'Calc base'!H261),2)-MAX('Calc base'!C$12,ROUND('Calc base'!C$13*AT260,2))&lt;1,ROUND(AT260*(1+'Calc base'!H261),2),MAX('Calc base'!C$12,ROUND('Calc base'!C$13*AT260,2))))</f>
        <v>0</v>
      </c>
      <c r="K261">
        <f>IF(AU260&lt;=0,0,IF(ROUND(AU260*(1+'Calc base'!I261),2)-MAX('Calc base'!D$12,ROUND('Calc base'!D$13*AU260,2))&lt;1,ROUND(AU260*(1+'Calc base'!I261),2),MAX('Calc base'!D$12,ROUND('Calc base'!D$13*AU260,2))))</f>
        <v>0</v>
      </c>
      <c r="L261">
        <f>IF(AV260&lt;=0,0,IF(ROUND(AV260*(1+'Calc base'!J261),2)-MAX('Calc base'!E$12,ROUND('Calc base'!E$13*AV260,2))&lt;1,ROUND(AV260*(1+'Calc base'!J261),2),MAX('Calc base'!E$12,ROUND('Calc base'!E$13*AV260,2))))</f>
        <v>0</v>
      </c>
      <c r="M261">
        <f>IF(AW260&lt;=0,0,IF(ROUND(AW260*(1+'Calc base'!K261),2)-MAX('Calc base'!F$12,ROUND('Calc base'!F$13*AW260,2))&lt;1,ROUND(AW260*(1+'Calc base'!K261),2),MAX('Calc base'!F$12,ROUND('Calc base'!F$13*AW260,2))))</f>
        <v>0</v>
      </c>
      <c r="N261">
        <f>IF(AX260&lt;=0,0,IF(ROUND(AX260*(1+'Calc base'!L261),2)-MAX('Calc base'!G$12,ROUND('Calc base'!G$13*AX260,2))&lt;1,ROUND(AX260*(1+'Calc base'!L261),2),MAX('Calc base'!G$12,ROUND('Calc base'!G$13*AX260,2))))</f>
        <v>0</v>
      </c>
      <c r="O261">
        <f>IF(AY260&lt;=0,0,IF(ROUND(AY260*(1+'Calc base'!M261),2)-MAX('Calc base'!H$12,ROUND('Calc base'!H$13*AY260,2))&lt;1,ROUND(AY260*(1+'Calc base'!M261),2),MAX('Calc base'!H$12,ROUND('Calc base'!H$13*AY260,2))))</f>
        <v>0</v>
      </c>
      <c r="P261">
        <f>IF(AZ260&lt;=0,0,IF(ROUND(AZ260*(1+'Calc base'!N261),2)-MAX('Calc base'!I$12,ROUND('Calc base'!I$13*AZ260,2))&lt;1,ROUND(AZ260*(1+'Calc base'!N261),2),MAX('Calc base'!I$12,ROUND('Calc base'!I$13*AZ260,2))))</f>
        <v>0</v>
      </c>
      <c r="Q261">
        <f>IF(BA260&lt;=0,0,IF(ROUND(BA260*(1+'Calc base'!O261),2)-MAX('Calc base'!J$12,ROUND('Calc base'!J$13*BA260,2))&lt;1,ROUND(BA260*(1+'Calc base'!O261),2),MAX('Calc base'!J$12,ROUND('Calc base'!J$13*BA260,2))))</f>
        <v>0</v>
      </c>
      <c r="R261">
        <f>IF(BB260&lt;=0,0,IF(ROUND(BB260*(1+'Calc base'!P261),2)-MAX('Calc base'!K$12,ROUND('Calc base'!K$13*BB260,2))&lt;1,ROUND(BB260*(1+'Calc base'!P261),2),MAX('Calc base'!K$12,ROUND('Calc base'!K$13*BB260,2))))</f>
        <v>0</v>
      </c>
      <c r="S261">
        <f>IF(BC260&lt;=0,0,IF(ROUND(BC260*(1+'Calc base'!Q261),2)-MAX('Calc base'!L$12,ROUND('Calc base'!L$13*BC260,2))&lt;1,ROUND(BC260*(1+'Calc base'!Q261),2),MAX('Calc base'!L$12,ROUND('Calc base'!L$13*BC260,2))))</f>
        <v>0</v>
      </c>
      <c r="T261">
        <f>IF(BD260&lt;=0,0,IF(ROUND(BD260*(1+'Calc base'!R261),2)-MAX('Calc base'!M$12,ROUND('Calc base'!M$13*BD260,2))&lt;1,ROUND(BD260*(1+'Calc base'!R261),2),MAX('Calc base'!M$12,ROUND('Calc base'!M$13*BD260,2))))</f>
        <v>0</v>
      </c>
      <c r="U261">
        <f>IF(BE260&lt;=0,0,IF(ROUND(BE260*(1+'Calc base'!S261),2)-MAX('Calc base'!N$12,ROUND('Calc base'!N$13*BE260,2))&lt;1,ROUND(BE260*(1+'Calc base'!S261),2),MAX('Calc base'!N$12,ROUND('Calc base'!N$13*BE260,2))))</f>
        <v>0</v>
      </c>
      <c r="V261">
        <f>MAX(0,ROUND(AT260*(1+'Calc base'!H261),2)-J261-'Calc base'!T261)</f>
        <v>0</v>
      </c>
      <c r="W261">
        <f>MAX(0,ROUND(AU260*(1+'Calc base'!I261),2)-K261-'Calc base'!U261)</f>
        <v>0</v>
      </c>
      <c r="X261">
        <f>MAX(0,ROUND(AV260*(1+'Calc base'!J261),2)-L261-'Calc base'!V261)</f>
        <v>0</v>
      </c>
      <c r="Y261">
        <f>MAX(0,ROUND(AW260*(1+'Calc base'!K261),2)-M261-'Calc base'!W261)</f>
        <v>0</v>
      </c>
      <c r="Z261">
        <f>MAX(0,ROUND(AX260*(1+'Calc base'!L261),2)-N261-'Calc base'!X261)</f>
        <v>0</v>
      </c>
      <c r="AA261">
        <f>MAX(0,ROUND(AY260*(1+'Calc base'!M261),2)-O261-'Calc base'!Y261)</f>
        <v>0</v>
      </c>
      <c r="AB261">
        <f>MAX(0,ROUND(AZ260*(1+'Calc base'!N261),2)-P261-'Calc base'!Z261)</f>
        <v>0</v>
      </c>
      <c r="AC261">
        <f>MAX(0,ROUND(BA260*(1+'Calc base'!O261),2)-Q261-'Calc base'!AA261)</f>
        <v>0</v>
      </c>
      <c r="AD261">
        <f>MAX(0,ROUND(BB260*(1+'Calc base'!P261),2)-R261-'Calc base'!AB261)</f>
        <v>0</v>
      </c>
      <c r="AE261">
        <f>MAX(0,ROUND(BC260*(1+'Calc base'!Q261),2)-S261-'Calc base'!AC261)</f>
        <v>0</v>
      </c>
      <c r="AF261">
        <f>MAX(0,ROUND(BD260*(1+'Calc base'!R261),2)-T261-'Calc base'!AD261)</f>
        <v>0</v>
      </c>
      <c r="AG261">
        <f>MAX(0,ROUND(BE260*(1+'Calc base'!S261),2)-U261-'Calc base'!AE261)</f>
        <v>0</v>
      </c>
      <c r="AH261">
        <f>IF('Calc base'!C$14=0,0,MIN(V261,MAX(0,$E261-SUMIFS($V261:$AG261,'Calc base'!$C$19:$N$19,"&lt;"&amp;'Calc base'!C$19,'Calc base'!$C$14:$N$14,1))))</f>
        <v>0</v>
      </c>
      <c r="AI261">
        <f>IF('Calc base'!D$14=0,0,MIN(W261,MAX(0,$E261-SUMIFS($V261:$AG261,'Calc base'!$C$19:$N$19,"&lt;"&amp;'Calc base'!D$19,'Calc base'!$C$14:$N$14,1))))</f>
        <v>0</v>
      </c>
      <c r="AJ261">
        <f>IF('Calc base'!E$14=0,0,MIN(X261,MAX(0,$E261-SUMIFS($V261:$AG261,'Calc base'!$C$19:$N$19,"&lt;"&amp;'Calc base'!E$19,'Calc base'!$C$14:$N$14,1))))</f>
        <v>0</v>
      </c>
      <c r="AK261">
        <f>IF('Calc base'!F$14=0,0,MIN(Y261,MAX(0,$E261-SUMIFS($V261:$AG261,'Calc base'!$C$19:$N$19,"&lt;"&amp;'Calc base'!F$19,'Calc base'!$C$14:$N$14,1))))</f>
        <v>0</v>
      </c>
      <c r="AL261">
        <f>IF('Calc base'!G$14=0,0,MIN(Z261,MAX(0,$E261-SUMIFS($V261:$AG261,'Calc base'!$C$19:$N$19,"&lt;"&amp;'Calc base'!G$19,'Calc base'!$C$14:$N$14,1))))</f>
        <v>0</v>
      </c>
      <c r="AM261">
        <f>IF('Calc base'!H$14=0,0,MIN(AA261,MAX(0,$E261-SUMIFS($V261:$AG261,'Calc base'!$C$19:$N$19,"&lt;"&amp;'Calc base'!H$19,'Calc base'!$C$14:$N$14,1))))</f>
        <v>0</v>
      </c>
      <c r="AN261">
        <f>IF('Calc base'!I$14=0,0,MIN(AB261,MAX(0,$E261-SUMIFS($V261:$AG261,'Calc base'!$C$19:$N$19,"&lt;"&amp;'Calc base'!I$19,'Calc base'!$C$14:$N$14,1))))</f>
        <v>0</v>
      </c>
      <c r="AO261">
        <f>IF('Calc base'!J$14=0,0,MIN(AC261,MAX(0,$E261-SUMIFS($V261:$AG261,'Calc base'!$C$19:$N$19,"&lt;"&amp;'Calc base'!J$19,'Calc base'!$C$14:$N$14,1))))</f>
        <v>0</v>
      </c>
      <c r="AP261">
        <f>IF('Calc base'!K$14=0,0,MIN(AD261,MAX(0,$E261-SUMIFS($V261:$AG261,'Calc base'!$C$19:$N$19,"&lt;"&amp;'Calc base'!K$19,'Calc base'!$C$14:$N$14,1))))</f>
        <v>0</v>
      </c>
      <c r="AQ261">
        <f>IF('Calc base'!L$14=0,0,MIN(AE261,MAX(0,$E261-SUMIFS($V261:$AG261,'Calc base'!$C$19:$N$19,"&lt;"&amp;'Calc base'!L$19,'Calc base'!$C$14:$N$14,1))))</f>
        <v>0</v>
      </c>
      <c r="AR261">
        <f>IF('Calc base'!M$14=0,0,MIN(AF261,MAX(0,$E261-SUMIFS($V261:$AG261,'Calc base'!$C$19:$N$19,"&lt;"&amp;'Calc base'!M$19,'Calc base'!$C$14:$N$14,1))))</f>
        <v>0</v>
      </c>
      <c r="AS261">
        <f>IF('Calc base'!N$14=0,0,MIN(AG261,MAX(0,$E261-SUMIFS($V261:$AG261,'Calc base'!$C$19:$N$19,"&lt;"&amp;'Calc base'!N$19,'Calc base'!$C$14:$N$14,1))))</f>
        <v>0</v>
      </c>
      <c r="AT261">
        <f>V261-AH261</f>
        <v>0</v>
      </c>
      <c r="AU261">
        <f>W261-AI261</f>
        <v>0</v>
      </c>
      <c r="AV261">
        <f>X261-AJ261</f>
        <v>0</v>
      </c>
      <c r="AW261">
        <f>Y261-AK261</f>
        <v>0</v>
      </c>
      <c r="AX261">
        <f>Z261-AL261</f>
        <v>0</v>
      </c>
      <c r="AY261">
        <f>AA261-AM261</f>
        <v>0</v>
      </c>
      <c r="AZ261">
        <f>AB261-AN261</f>
        <v>0</v>
      </c>
      <c r="BA261">
        <f>AC261-AO261</f>
        <v>0</v>
      </c>
      <c r="BB261">
        <f>AD261-AP261</f>
        <v>0</v>
      </c>
      <c r="BC261">
        <f>AE261-AQ261</f>
        <v>0</v>
      </c>
      <c r="BD261">
        <f>AF261-AR261</f>
        <v>0</v>
      </c>
      <c r="BE261">
        <f>AG261-AS261</f>
        <v>0</v>
      </c>
    </row>
    <row r="262">
      <c r="A262" t="n">
        <v>232</v>
      </c>
      <c r="B262">
        <f>SUMPRODUCT(ROUND($AT261:$BE261*(1+'Calc base'!$H262:$S262),2))</f>
        <v>0</v>
      </c>
      <c r="C262">
        <f>SUM(J262:U262)</f>
        <v>0</v>
      </c>
      <c r="D262">
        <f>SUM(V262:AG262)</f>
        <v>0</v>
      </c>
      <c r="E262">
        <f>MAX(0,IF(Impostazioni!$B$7="No",'Calc base'!$C262-$C$31,'Calc base'!$C262-C262)+'Calc base'!$G262+'Calc base'!$F262-(B262-C262-D262))</f>
        <v>900</v>
      </c>
      <c r="F262">
        <f>SUM(AH262:AS262)</f>
        <v>0</v>
      </c>
      <c r="G262">
        <f>SUM(AT262:BE262)</f>
        <v>0</v>
      </c>
      <c r="H262">
        <f>B262-G261</f>
        <v>0</v>
      </c>
      <c r="I262">
        <f>B262-G262</f>
        <v>0</v>
      </c>
      <c r="J262">
        <f>IF(AT261&lt;=0,0,IF(ROUND(AT261*(1+'Calc base'!H262),2)-MAX('Calc base'!C$12,ROUND('Calc base'!C$13*AT261,2))&lt;1,ROUND(AT261*(1+'Calc base'!H262),2),MAX('Calc base'!C$12,ROUND('Calc base'!C$13*AT261,2))))</f>
        <v>0</v>
      </c>
      <c r="K262">
        <f>IF(AU261&lt;=0,0,IF(ROUND(AU261*(1+'Calc base'!I262),2)-MAX('Calc base'!D$12,ROUND('Calc base'!D$13*AU261,2))&lt;1,ROUND(AU261*(1+'Calc base'!I262),2),MAX('Calc base'!D$12,ROUND('Calc base'!D$13*AU261,2))))</f>
        <v>0</v>
      </c>
      <c r="L262">
        <f>IF(AV261&lt;=0,0,IF(ROUND(AV261*(1+'Calc base'!J262),2)-MAX('Calc base'!E$12,ROUND('Calc base'!E$13*AV261,2))&lt;1,ROUND(AV261*(1+'Calc base'!J262),2),MAX('Calc base'!E$12,ROUND('Calc base'!E$13*AV261,2))))</f>
        <v>0</v>
      </c>
      <c r="M262">
        <f>IF(AW261&lt;=0,0,IF(ROUND(AW261*(1+'Calc base'!K262),2)-MAX('Calc base'!F$12,ROUND('Calc base'!F$13*AW261,2))&lt;1,ROUND(AW261*(1+'Calc base'!K262),2),MAX('Calc base'!F$12,ROUND('Calc base'!F$13*AW261,2))))</f>
        <v>0</v>
      </c>
      <c r="N262">
        <f>IF(AX261&lt;=0,0,IF(ROUND(AX261*(1+'Calc base'!L262),2)-MAX('Calc base'!G$12,ROUND('Calc base'!G$13*AX261,2))&lt;1,ROUND(AX261*(1+'Calc base'!L262),2),MAX('Calc base'!G$12,ROUND('Calc base'!G$13*AX261,2))))</f>
        <v>0</v>
      </c>
      <c r="O262">
        <f>IF(AY261&lt;=0,0,IF(ROUND(AY261*(1+'Calc base'!M262),2)-MAX('Calc base'!H$12,ROUND('Calc base'!H$13*AY261,2))&lt;1,ROUND(AY261*(1+'Calc base'!M262),2),MAX('Calc base'!H$12,ROUND('Calc base'!H$13*AY261,2))))</f>
        <v>0</v>
      </c>
      <c r="P262">
        <f>IF(AZ261&lt;=0,0,IF(ROUND(AZ261*(1+'Calc base'!N262),2)-MAX('Calc base'!I$12,ROUND('Calc base'!I$13*AZ261,2))&lt;1,ROUND(AZ261*(1+'Calc base'!N262),2),MAX('Calc base'!I$12,ROUND('Calc base'!I$13*AZ261,2))))</f>
        <v>0</v>
      </c>
      <c r="Q262">
        <f>IF(BA261&lt;=0,0,IF(ROUND(BA261*(1+'Calc base'!O262),2)-MAX('Calc base'!J$12,ROUND('Calc base'!J$13*BA261,2))&lt;1,ROUND(BA261*(1+'Calc base'!O262),2),MAX('Calc base'!J$12,ROUND('Calc base'!J$13*BA261,2))))</f>
        <v>0</v>
      </c>
      <c r="R262">
        <f>IF(BB261&lt;=0,0,IF(ROUND(BB261*(1+'Calc base'!P262),2)-MAX('Calc base'!K$12,ROUND('Calc base'!K$13*BB261,2))&lt;1,ROUND(BB261*(1+'Calc base'!P262),2),MAX('Calc base'!K$12,ROUND('Calc base'!K$13*BB261,2))))</f>
        <v>0</v>
      </c>
      <c r="S262">
        <f>IF(BC261&lt;=0,0,IF(ROUND(BC261*(1+'Calc base'!Q262),2)-MAX('Calc base'!L$12,ROUND('Calc base'!L$13*BC261,2))&lt;1,ROUND(BC261*(1+'Calc base'!Q262),2),MAX('Calc base'!L$12,ROUND('Calc base'!L$13*BC261,2))))</f>
        <v>0</v>
      </c>
      <c r="T262">
        <f>IF(BD261&lt;=0,0,IF(ROUND(BD261*(1+'Calc base'!R262),2)-MAX('Calc base'!M$12,ROUND('Calc base'!M$13*BD261,2))&lt;1,ROUND(BD261*(1+'Calc base'!R262),2),MAX('Calc base'!M$12,ROUND('Calc base'!M$13*BD261,2))))</f>
        <v>0</v>
      </c>
      <c r="U262">
        <f>IF(BE261&lt;=0,0,IF(ROUND(BE261*(1+'Calc base'!S262),2)-MAX('Calc base'!N$12,ROUND('Calc base'!N$13*BE261,2))&lt;1,ROUND(BE261*(1+'Calc base'!S262),2),MAX('Calc base'!N$12,ROUND('Calc base'!N$13*BE261,2))))</f>
        <v>0</v>
      </c>
      <c r="V262">
        <f>MAX(0,ROUND(AT261*(1+'Calc base'!H262),2)-J262-'Calc base'!T262)</f>
        <v>0</v>
      </c>
      <c r="W262">
        <f>MAX(0,ROUND(AU261*(1+'Calc base'!I262),2)-K262-'Calc base'!U262)</f>
        <v>0</v>
      </c>
      <c r="X262">
        <f>MAX(0,ROUND(AV261*(1+'Calc base'!J262),2)-L262-'Calc base'!V262)</f>
        <v>0</v>
      </c>
      <c r="Y262">
        <f>MAX(0,ROUND(AW261*(1+'Calc base'!K262),2)-M262-'Calc base'!W262)</f>
        <v>0</v>
      </c>
      <c r="Z262">
        <f>MAX(0,ROUND(AX261*(1+'Calc base'!L262),2)-N262-'Calc base'!X262)</f>
        <v>0</v>
      </c>
      <c r="AA262">
        <f>MAX(0,ROUND(AY261*(1+'Calc base'!M262),2)-O262-'Calc base'!Y262)</f>
        <v>0</v>
      </c>
      <c r="AB262">
        <f>MAX(0,ROUND(AZ261*(1+'Calc base'!N262),2)-P262-'Calc base'!Z262)</f>
        <v>0</v>
      </c>
      <c r="AC262">
        <f>MAX(0,ROUND(BA261*(1+'Calc base'!O262),2)-Q262-'Calc base'!AA262)</f>
        <v>0</v>
      </c>
      <c r="AD262">
        <f>MAX(0,ROUND(BB261*(1+'Calc base'!P262),2)-R262-'Calc base'!AB262)</f>
        <v>0</v>
      </c>
      <c r="AE262">
        <f>MAX(0,ROUND(BC261*(1+'Calc base'!Q262),2)-S262-'Calc base'!AC262)</f>
        <v>0</v>
      </c>
      <c r="AF262">
        <f>MAX(0,ROUND(BD261*(1+'Calc base'!R262),2)-T262-'Calc base'!AD262)</f>
        <v>0</v>
      </c>
      <c r="AG262">
        <f>MAX(0,ROUND(BE261*(1+'Calc base'!S262),2)-U262-'Calc base'!AE262)</f>
        <v>0</v>
      </c>
      <c r="AH262">
        <f>IF('Calc base'!C$14=0,0,MIN(V262,MAX(0,$E262-SUMIFS($V262:$AG262,'Calc base'!$C$19:$N$19,"&lt;"&amp;'Calc base'!C$19,'Calc base'!$C$14:$N$14,1))))</f>
        <v>0</v>
      </c>
      <c r="AI262">
        <f>IF('Calc base'!D$14=0,0,MIN(W262,MAX(0,$E262-SUMIFS($V262:$AG262,'Calc base'!$C$19:$N$19,"&lt;"&amp;'Calc base'!D$19,'Calc base'!$C$14:$N$14,1))))</f>
        <v>0</v>
      </c>
      <c r="AJ262">
        <f>IF('Calc base'!E$14=0,0,MIN(X262,MAX(0,$E262-SUMIFS($V262:$AG262,'Calc base'!$C$19:$N$19,"&lt;"&amp;'Calc base'!E$19,'Calc base'!$C$14:$N$14,1))))</f>
        <v>0</v>
      </c>
      <c r="AK262">
        <f>IF('Calc base'!F$14=0,0,MIN(Y262,MAX(0,$E262-SUMIFS($V262:$AG262,'Calc base'!$C$19:$N$19,"&lt;"&amp;'Calc base'!F$19,'Calc base'!$C$14:$N$14,1))))</f>
        <v>0</v>
      </c>
      <c r="AL262">
        <f>IF('Calc base'!G$14=0,0,MIN(Z262,MAX(0,$E262-SUMIFS($V262:$AG262,'Calc base'!$C$19:$N$19,"&lt;"&amp;'Calc base'!G$19,'Calc base'!$C$14:$N$14,1))))</f>
        <v>0</v>
      </c>
      <c r="AM262">
        <f>IF('Calc base'!H$14=0,0,MIN(AA262,MAX(0,$E262-SUMIFS($V262:$AG262,'Calc base'!$C$19:$N$19,"&lt;"&amp;'Calc base'!H$19,'Calc base'!$C$14:$N$14,1))))</f>
        <v>0</v>
      </c>
      <c r="AN262">
        <f>IF('Calc base'!I$14=0,0,MIN(AB262,MAX(0,$E262-SUMIFS($V262:$AG262,'Calc base'!$C$19:$N$19,"&lt;"&amp;'Calc base'!I$19,'Calc base'!$C$14:$N$14,1))))</f>
        <v>0</v>
      </c>
      <c r="AO262">
        <f>IF('Calc base'!J$14=0,0,MIN(AC262,MAX(0,$E262-SUMIFS($V262:$AG262,'Calc base'!$C$19:$N$19,"&lt;"&amp;'Calc base'!J$19,'Calc base'!$C$14:$N$14,1))))</f>
        <v>0</v>
      </c>
      <c r="AP262">
        <f>IF('Calc base'!K$14=0,0,MIN(AD262,MAX(0,$E262-SUMIFS($V262:$AG262,'Calc base'!$C$19:$N$19,"&lt;"&amp;'Calc base'!K$19,'Calc base'!$C$14:$N$14,1))))</f>
        <v>0</v>
      </c>
      <c r="AQ262">
        <f>IF('Calc base'!L$14=0,0,MIN(AE262,MAX(0,$E262-SUMIFS($V262:$AG262,'Calc base'!$C$19:$N$19,"&lt;"&amp;'Calc base'!L$19,'Calc base'!$C$14:$N$14,1))))</f>
        <v>0</v>
      </c>
      <c r="AR262">
        <f>IF('Calc base'!M$14=0,0,MIN(AF262,MAX(0,$E262-SUMIFS($V262:$AG262,'Calc base'!$C$19:$N$19,"&lt;"&amp;'Calc base'!M$19,'Calc base'!$C$14:$N$14,1))))</f>
        <v>0</v>
      </c>
      <c r="AS262">
        <f>IF('Calc base'!N$14=0,0,MIN(AG262,MAX(0,$E262-SUMIFS($V262:$AG262,'Calc base'!$C$19:$N$19,"&lt;"&amp;'Calc base'!N$19,'Calc base'!$C$14:$N$14,1))))</f>
        <v>0</v>
      </c>
      <c r="AT262">
        <f>V262-AH262</f>
        <v>0</v>
      </c>
      <c r="AU262">
        <f>W262-AI262</f>
        <v>0</v>
      </c>
      <c r="AV262">
        <f>X262-AJ262</f>
        <v>0</v>
      </c>
      <c r="AW262">
        <f>Y262-AK262</f>
        <v>0</v>
      </c>
      <c r="AX262">
        <f>Z262-AL262</f>
        <v>0</v>
      </c>
      <c r="AY262">
        <f>AA262-AM262</f>
        <v>0</v>
      </c>
      <c r="AZ262">
        <f>AB262-AN262</f>
        <v>0</v>
      </c>
      <c r="BA262">
        <f>AC262-AO262</f>
        <v>0</v>
      </c>
      <c r="BB262">
        <f>AD262-AP262</f>
        <v>0</v>
      </c>
      <c r="BC262">
        <f>AE262-AQ262</f>
        <v>0</v>
      </c>
      <c r="BD262">
        <f>AF262-AR262</f>
        <v>0</v>
      </c>
      <c r="BE262">
        <f>AG262-AS262</f>
        <v>0</v>
      </c>
    </row>
    <row r="263">
      <c r="A263" t="n">
        <v>233</v>
      </c>
      <c r="B263">
        <f>SUMPRODUCT(ROUND($AT262:$BE262*(1+'Calc base'!$H263:$S263),2))</f>
        <v>0</v>
      </c>
      <c r="C263">
        <f>SUM(J263:U263)</f>
        <v>0</v>
      </c>
      <c r="D263">
        <f>SUM(V263:AG263)</f>
        <v>0</v>
      </c>
      <c r="E263">
        <f>MAX(0,IF(Impostazioni!$B$7="No",'Calc base'!$C263-$C$31,'Calc base'!$C263-C263)+'Calc base'!$G263+'Calc base'!$F263-(B263-C263-D263))</f>
        <v>900</v>
      </c>
      <c r="F263">
        <f>SUM(AH263:AS263)</f>
        <v>0</v>
      </c>
      <c r="G263">
        <f>SUM(AT263:BE263)</f>
        <v>0</v>
      </c>
      <c r="H263">
        <f>B263-G262</f>
        <v>0</v>
      </c>
      <c r="I263">
        <f>B263-G263</f>
        <v>0</v>
      </c>
      <c r="J263">
        <f>IF(AT262&lt;=0,0,IF(ROUND(AT262*(1+'Calc base'!H263),2)-MAX('Calc base'!C$12,ROUND('Calc base'!C$13*AT262,2))&lt;1,ROUND(AT262*(1+'Calc base'!H263),2),MAX('Calc base'!C$12,ROUND('Calc base'!C$13*AT262,2))))</f>
        <v>0</v>
      </c>
      <c r="K263">
        <f>IF(AU262&lt;=0,0,IF(ROUND(AU262*(1+'Calc base'!I263),2)-MAX('Calc base'!D$12,ROUND('Calc base'!D$13*AU262,2))&lt;1,ROUND(AU262*(1+'Calc base'!I263),2),MAX('Calc base'!D$12,ROUND('Calc base'!D$13*AU262,2))))</f>
        <v>0</v>
      </c>
      <c r="L263">
        <f>IF(AV262&lt;=0,0,IF(ROUND(AV262*(1+'Calc base'!J263),2)-MAX('Calc base'!E$12,ROUND('Calc base'!E$13*AV262,2))&lt;1,ROUND(AV262*(1+'Calc base'!J263),2),MAX('Calc base'!E$12,ROUND('Calc base'!E$13*AV262,2))))</f>
        <v>0</v>
      </c>
      <c r="M263">
        <f>IF(AW262&lt;=0,0,IF(ROUND(AW262*(1+'Calc base'!K263),2)-MAX('Calc base'!F$12,ROUND('Calc base'!F$13*AW262,2))&lt;1,ROUND(AW262*(1+'Calc base'!K263),2),MAX('Calc base'!F$12,ROUND('Calc base'!F$13*AW262,2))))</f>
        <v>0</v>
      </c>
      <c r="N263">
        <f>IF(AX262&lt;=0,0,IF(ROUND(AX262*(1+'Calc base'!L263),2)-MAX('Calc base'!G$12,ROUND('Calc base'!G$13*AX262,2))&lt;1,ROUND(AX262*(1+'Calc base'!L263),2),MAX('Calc base'!G$12,ROUND('Calc base'!G$13*AX262,2))))</f>
        <v>0</v>
      </c>
      <c r="O263">
        <f>IF(AY262&lt;=0,0,IF(ROUND(AY262*(1+'Calc base'!M263),2)-MAX('Calc base'!H$12,ROUND('Calc base'!H$13*AY262,2))&lt;1,ROUND(AY262*(1+'Calc base'!M263),2),MAX('Calc base'!H$12,ROUND('Calc base'!H$13*AY262,2))))</f>
        <v>0</v>
      </c>
      <c r="P263">
        <f>IF(AZ262&lt;=0,0,IF(ROUND(AZ262*(1+'Calc base'!N263),2)-MAX('Calc base'!I$12,ROUND('Calc base'!I$13*AZ262,2))&lt;1,ROUND(AZ262*(1+'Calc base'!N263),2),MAX('Calc base'!I$12,ROUND('Calc base'!I$13*AZ262,2))))</f>
        <v>0</v>
      </c>
      <c r="Q263">
        <f>IF(BA262&lt;=0,0,IF(ROUND(BA262*(1+'Calc base'!O263),2)-MAX('Calc base'!J$12,ROUND('Calc base'!J$13*BA262,2))&lt;1,ROUND(BA262*(1+'Calc base'!O263),2),MAX('Calc base'!J$12,ROUND('Calc base'!J$13*BA262,2))))</f>
        <v>0</v>
      </c>
      <c r="R263">
        <f>IF(BB262&lt;=0,0,IF(ROUND(BB262*(1+'Calc base'!P263),2)-MAX('Calc base'!K$12,ROUND('Calc base'!K$13*BB262,2))&lt;1,ROUND(BB262*(1+'Calc base'!P263),2),MAX('Calc base'!K$12,ROUND('Calc base'!K$13*BB262,2))))</f>
        <v>0</v>
      </c>
      <c r="S263">
        <f>IF(BC262&lt;=0,0,IF(ROUND(BC262*(1+'Calc base'!Q263),2)-MAX('Calc base'!L$12,ROUND('Calc base'!L$13*BC262,2))&lt;1,ROUND(BC262*(1+'Calc base'!Q263),2),MAX('Calc base'!L$12,ROUND('Calc base'!L$13*BC262,2))))</f>
        <v>0</v>
      </c>
      <c r="T263">
        <f>IF(BD262&lt;=0,0,IF(ROUND(BD262*(1+'Calc base'!R263),2)-MAX('Calc base'!M$12,ROUND('Calc base'!M$13*BD262,2))&lt;1,ROUND(BD262*(1+'Calc base'!R263),2),MAX('Calc base'!M$12,ROUND('Calc base'!M$13*BD262,2))))</f>
        <v>0</v>
      </c>
      <c r="U263">
        <f>IF(BE262&lt;=0,0,IF(ROUND(BE262*(1+'Calc base'!S263),2)-MAX('Calc base'!N$12,ROUND('Calc base'!N$13*BE262,2))&lt;1,ROUND(BE262*(1+'Calc base'!S263),2),MAX('Calc base'!N$12,ROUND('Calc base'!N$13*BE262,2))))</f>
        <v>0</v>
      </c>
      <c r="V263">
        <f>MAX(0,ROUND(AT262*(1+'Calc base'!H263),2)-J263-'Calc base'!T263)</f>
        <v>0</v>
      </c>
      <c r="W263">
        <f>MAX(0,ROUND(AU262*(1+'Calc base'!I263),2)-K263-'Calc base'!U263)</f>
        <v>0</v>
      </c>
      <c r="X263">
        <f>MAX(0,ROUND(AV262*(1+'Calc base'!J263),2)-L263-'Calc base'!V263)</f>
        <v>0</v>
      </c>
      <c r="Y263">
        <f>MAX(0,ROUND(AW262*(1+'Calc base'!K263),2)-M263-'Calc base'!W263)</f>
        <v>0</v>
      </c>
      <c r="Z263">
        <f>MAX(0,ROUND(AX262*(1+'Calc base'!L263),2)-N263-'Calc base'!X263)</f>
        <v>0</v>
      </c>
      <c r="AA263">
        <f>MAX(0,ROUND(AY262*(1+'Calc base'!M263),2)-O263-'Calc base'!Y263)</f>
        <v>0</v>
      </c>
      <c r="AB263">
        <f>MAX(0,ROUND(AZ262*(1+'Calc base'!N263),2)-P263-'Calc base'!Z263)</f>
        <v>0</v>
      </c>
      <c r="AC263">
        <f>MAX(0,ROUND(BA262*(1+'Calc base'!O263),2)-Q263-'Calc base'!AA263)</f>
        <v>0</v>
      </c>
      <c r="AD263">
        <f>MAX(0,ROUND(BB262*(1+'Calc base'!P263),2)-R263-'Calc base'!AB263)</f>
        <v>0</v>
      </c>
      <c r="AE263">
        <f>MAX(0,ROUND(BC262*(1+'Calc base'!Q263),2)-S263-'Calc base'!AC263)</f>
        <v>0</v>
      </c>
      <c r="AF263">
        <f>MAX(0,ROUND(BD262*(1+'Calc base'!R263),2)-T263-'Calc base'!AD263)</f>
        <v>0</v>
      </c>
      <c r="AG263">
        <f>MAX(0,ROUND(BE262*(1+'Calc base'!S263),2)-U263-'Calc base'!AE263)</f>
        <v>0</v>
      </c>
      <c r="AH263">
        <f>IF('Calc base'!C$14=0,0,MIN(V263,MAX(0,$E263-SUMIFS($V263:$AG263,'Calc base'!$C$19:$N$19,"&lt;"&amp;'Calc base'!C$19,'Calc base'!$C$14:$N$14,1))))</f>
        <v>0</v>
      </c>
      <c r="AI263">
        <f>IF('Calc base'!D$14=0,0,MIN(W263,MAX(0,$E263-SUMIFS($V263:$AG263,'Calc base'!$C$19:$N$19,"&lt;"&amp;'Calc base'!D$19,'Calc base'!$C$14:$N$14,1))))</f>
        <v>0</v>
      </c>
      <c r="AJ263">
        <f>IF('Calc base'!E$14=0,0,MIN(X263,MAX(0,$E263-SUMIFS($V263:$AG263,'Calc base'!$C$19:$N$19,"&lt;"&amp;'Calc base'!E$19,'Calc base'!$C$14:$N$14,1))))</f>
        <v>0</v>
      </c>
      <c r="AK263">
        <f>IF('Calc base'!F$14=0,0,MIN(Y263,MAX(0,$E263-SUMIFS($V263:$AG263,'Calc base'!$C$19:$N$19,"&lt;"&amp;'Calc base'!F$19,'Calc base'!$C$14:$N$14,1))))</f>
        <v>0</v>
      </c>
      <c r="AL263">
        <f>IF('Calc base'!G$14=0,0,MIN(Z263,MAX(0,$E263-SUMIFS($V263:$AG263,'Calc base'!$C$19:$N$19,"&lt;"&amp;'Calc base'!G$19,'Calc base'!$C$14:$N$14,1))))</f>
        <v>0</v>
      </c>
      <c r="AM263">
        <f>IF('Calc base'!H$14=0,0,MIN(AA263,MAX(0,$E263-SUMIFS($V263:$AG263,'Calc base'!$C$19:$N$19,"&lt;"&amp;'Calc base'!H$19,'Calc base'!$C$14:$N$14,1))))</f>
        <v>0</v>
      </c>
      <c r="AN263">
        <f>IF('Calc base'!I$14=0,0,MIN(AB263,MAX(0,$E263-SUMIFS($V263:$AG263,'Calc base'!$C$19:$N$19,"&lt;"&amp;'Calc base'!I$19,'Calc base'!$C$14:$N$14,1))))</f>
        <v>0</v>
      </c>
      <c r="AO263">
        <f>IF('Calc base'!J$14=0,0,MIN(AC263,MAX(0,$E263-SUMIFS($V263:$AG263,'Calc base'!$C$19:$N$19,"&lt;"&amp;'Calc base'!J$19,'Calc base'!$C$14:$N$14,1))))</f>
        <v>0</v>
      </c>
      <c r="AP263">
        <f>IF('Calc base'!K$14=0,0,MIN(AD263,MAX(0,$E263-SUMIFS($V263:$AG263,'Calc base'!$C$19:$N$19,"&lt;"&amp;'Calc base'!K$19,'Calc base'!$C$14:$N$14,1))))</f>
        <v>0</v>
      </c>
      <c r="AQ263">
        <f>IF('Calc base'!L$14=0,0,MIN(AE263,MAX(0,$E263-SUMIFS($V263:$AG263,'Calc base'!$C$19:$N$19,"&lt;"&amp;'Calc base'!L$19,'Calc base'!$C$14:$N$14,1))))</f>
        <v>0</v>
      </c>
      <c r="AR263">
        <f>IF('Calc base'!M$14=0,0,MIN(AF263,MAX(0,$E263-SUMIFS($V263:$AG263,'Calc base'!$C$19:$N$19,"&lt;"&amp;'Calc base'!M$19,'Calc base'!$C$14:$N$14,1))))</f>
        <v>0</v>
      </c>
      <c r="AS263">
        <f>IF('Calc base'!N$14=0,0,MIN(AG263,MAX(0,$E263-SUMIFS($V263:$AG263,'Calc base'!$C$19:$N$19,"&lt;"&amp;'Calc base'!N$19,'Calc base'!$C$14:$N$14,1))))</f>
        <v>0</v>
      </c>
      <c r="AT263">
        <f>V263-AH263</f>
        <v>0</v>
      </c>
      <c r="AU263">
        <f>W263-AI263</f>
        <v>0</v>
      </c>
      <c r="AV263">
        <f>X263-AJ263</f>
        <v>0</v>
      </c>
      <c r="AW263">
        <f>Y263-AK263</f>
        <v>0</v>
      </c>
      <c r="AX263">
        <f>Z263-AL263</f>
        <v>0</v>
      </c>
      <c r="AY263">
        <f>AA263-AM263</f>
        <v>0</v>
      </c>
      <c r="AZ263">
        <f>AB263-AN263</f>
        <v>0</v>
      </c>
      <c r="BA263">
        <f>AC263-AO263</f>
        <v>0</v>
      </c>
      <c r="BB263">
        <f>AD263-AP263</f>
        <v>0</v>
      </c>
      <c r="BC263">
        <f>AE263-AQ263</f>
        <v>0</v>
      </c>
      <c r="BD263">
        <f>AF263-AR263</f>
        <v>0</v>
      </c>
      <c r="BE263">
        <f>AG263-AS263</f>
        <v>0</v>
      </c>
    </row>
    <row r="264">
      <c r="A264" t="n">
        <v>234</v>
      </c>
      <c r="B264">
        <f>SUMPRODUCT(ROUND($AT263:$BE263*(1+'Calc base'!$H264:$S264),2))</f>
        <v>0</v>
      </c>
      <c r="C264">
        <f>SUM(J264:U264)</f>
        <v>0</v>
      </c>
      <c r="D264">
        <f>SUM(V264:AG264)</f>
        <v>0</v>
      </c>
      <c r="E264">
        <f>MAX(0,IF(Impostazioni!$B$7="No",'Calc base'!$C264-$C$31,'Calc base'!$C264-C264)+'Calc base'!$G264+'Calc base'!$F264-(B264-C264-D264))</f>
        <v>900</v>
      </c>
      <c r="F264">
        <f>SUM(AH264:AS264)</f>
        <v>0</v>
      </c>
      <c r="G264">
        <f>SUM(AT264:BE264)</f>
        <v>0</v>
      </c>
      <c r="H264">
        <f>B264-G263</f>
        <v>0</v>
      </c>
      <c r="I264">
        <f>B264-G264</f>
        <v>0</v>
      </c>
      <c r="J264">
        <f>IF(AT263&lt;=0,0,IF(ROUND(AT263*(1+'Calc base'!H264),2)-MAX('Calc base'!C$12,ROUND('Calc base'!C$13*AT263,2))&lt;1,ROUND(AT263*(1+'Calc base'!H264),2),MAX('Calc base'!C$12,ROUND('Calc base'!C$13*AT263,2))))</f>
        <v>0</v>
      </c>
      <c r="K264">
        <f>IF(AU263&lt;=0,0,IF(ROUND(AU263*(1+'Calc base'!I264),2)-MAX('Calc base'!D$12,ROUND('Calc base'!D$13*AU263,2))&lt;1,ROUND(AU263*(1+'Calc base'!I264),2),MAX('Calc base'!D$12,ROUND('Calc base'!D$13*AU263,2))))</f>
        <v>0</v>
      </c>
      <c r="L264">
        <f>IF(AV263&lt;=0,0,IF(ROUND(AV263*(1+'Calc base'!J264),2)-MAX('Calc base'!E$12,ROUND('Calc base'!E$13*AV263,2))&lt;1,ROUND(AV263*(1+'Calc base'!J264),2),MAX('Calc base'!E$12,ROUND('Calc base'!E$13*AV263,2))))</f>
        <v>0</v>
      </c>
      <c r="M264">
        <f>IF(AW263&lt;=0,0,IF(ROUND(AW263*(1+'Calc base'!K264),2)-MAX('Calc base'!F$12,ROUND('Calc base'!F$13*AW263,2))&lt;1,ROUND(AW263*(1+'Calc base'!K264),2),MAX('Calc base'!F$12,ROUND('Calc base'!F$13*AW263,2))))</f>
        <v>0</v>
      </c>
      <c r="N264">
        <f>IF(AX263&lt;=0,0,IF(ROUND(AX263*(1+'Calc base'!L264),2)-MAX('Calc base'!G$12,ROUND('Calc base'!G$13*AX263,2))&lt;1,ROUND(AX263*(1+'Calc base'!L264),2),MAX('Calc base'!G$12,ROUND('Calc base'!G$13*AX263,2))))</f>
        <v>0</v>
      </c>
      <c r="O264">
        <f>IF(AY263&lt;=0,0,IF(ROUND(AY263*(1+'Calc base'!M264),2)-MAX('Calc base'!H$12,ROUND('Calc base'!H$13*AY263,2))&lt;1,ROUND(AY263*(1+'Calc base'!M264),2),MAX('Calc base'!H$12,ROUND('Calc base'!H$13*AY263,2))))</f>
        <v>0</v>
      </c>
      <c r="P264">
        <f>IF(AZ263&lt;=0,0,IF(ROUND(AZ263*(1+'Calc base'!N264),2)-MAX('Calc base'!I$12,ROUND('Calc base'!I$13*AZ263,2))&lt;1,ROUND(AZ263*(1+'Calc base'!N264),2),MAX('Calc base'!I$12,ROUND('Calc base'!I$13*AZ263,2))))</f>
        <v>0</v>
      </c>
      <c r="Q264">
        <f>IF(BA263&lt;=0,0,IF(ROUND(BA263*(1+'Calc base'!O264),2)-MAX('Calc base'!J$12,ROUND('Calc base'!J$13*BA263,2))&lt;1,ROUND(BA263*(1+'Calc base'!O264),2),MAX('Calc base'!J$12,ROUND('Calc base'!J$13*BA263,2))))</f>
        <v>0</v>
      </c>
      <c r="R264">
        <f>IF(BB263&lt;=0,0,IF(ROUND(BB263*(1+'Calc base'!P264),2)-MAX('Calc base'!K$12,ROUND('Calc base'!K$13*BB263,2))&lt;1,ROUND(BB263*(1+'Calc base'!P264),2),MAX('Calc base'!K$12,ROUND('Calc base'!K$13*BB263,2))))</f>
        <v>0</v>
      </c>
      <c r="S264">
        <f>IF(BC263&lt;=0,0,IF(ROUND(BC263*(1+'Calc base'!Q264),2)-MAX('Calc base'!L$12,ROUND('Calc base'!L$13*BC263,2))&lt;1,ROUND(BC263*(1+'Calc base'!Q264),2),MAX('Calc base'!L$12,ROUND('Calc base'!L$13*BC263,2))))</f>
        <v>0</v>
      </c>
      <c r="T264">
        <f>IF(BD263&lt;=0,0,IF(ROUND(BD263*(1+'Calc base'!R264),2)-MAX('Calc base'!M$12,ROUND('Calc base'!M$13*BD263,2))&lt;1,ROUND(BD263*(1+'Calc base'!R264),2),MAX('Calc base'!M$12,ROUND('Calc base'!M$13*BD263,2))))</f>
        <v>0</v>
      </c>
      <c r="U264">
        <f>IF(BE263&lt;=0,0,IF(ROUND(BE263*(1+'Calc base'!S264),2)-MAX('Calc base'!N$12,ROUND('Calc base'!N$13*BE263,2))&lt;1,ROUND(BE263*(1+'Calc base'!S264),2),MAX('Calc base'!N$12,ROUND('Calc base'!N$13*BE263,2))))</f>
        <v>0</v>
      </c>
      <c r="V264">
        <f>MAX(0,ROUND(AT263*(1+'Calc base'!H264),2)-J264-'Calc base'!T264)</f>
        <v>0</v>
      </c>
      <c r="W264">
        <f>MAX(0,ROUND(AU263*(1+'Calc base'!I264),2)-K264-'Calc base'!U264)</f>
        <v>0</v>
      </c>
      <c r="X264">
        <f>MAX(0,ROUND(AV263*(1+'Calc base'!J264),2)-L264-'Calc base'!V264)</f>
        <v>0</v>
      </c>
      <c r="Y264">
        <f>MAX(0,ROUND(AW263*(1+'Calc base'!K264),2)-M264-'Calc base'!W264)</f>
        <v>0</v>
      </c>
      <c r="Z264">
        <f>MAX(0,ROUND(AX263*(1+'Calc base'!L264),2)-N264-'Calc base'!X264)</f>
        <v>0</v>
      </c>
      <c r="AA264">
        <f>MAX(0,ROUND(AY263*(1+'Calc base'!M264),2)-O264-'Calc base'!Y264)</f>
        <v>0</v>
      </c>
      <c r="AB264">
        <f>MAX(0,ROUND(AZ263*(1+'Calc base'!N264),2)-P264-'Calc base'!Z264)</f>
        <v>0</v>
      </c>
      <c r="AC264">
        <f>MAX(0,ROUND(BA263*(1+'Calc base'!O264),2)-Q264-'Calc base'!AA264)</f>
        <v>0</v>
      </c>
      <c r="AD264">
        <f>MAX(0,ROUND(BB263*(1+'Calc base'!P264),2)-R264-'Calc base'!AB264)</f>
        <v>0</v>
      </c>
      <c r="AE264">
        <f>MAX(0,ROUND(BC263*(1+'Calc base'!Q264),2)-S264-'Calc base'!AC264)</f>
        <v>0</v>
      </c>
      <c r="AF264">
        <f>MAX(0,ROUND(BD263*(1+'Calc base'!R264),2)-T264-'Calc base'!AD264)</f>
        <v>0</v>
      </c>
      <c r="AG264">
        <f>MAX(0,ROUND(BE263*(1+'Calc base'!S264),2)-U264-'Calc base'!AE264)</f>
        <v>0</v>
      </c>
      <c r="AH264">
        <f>IF('Calc base'!C$14=0,0,MIN(V264,MAX(0,$E264-SUMIFS($V264:$AG264,'Calc base'!$C$19:$N$19,"&lt;"&amp;'Calc base'!C$19,'Calc base'!$C$14:$N$14,1))))</f>
        <v>0</v>
      </c>
      <c r="AI264">
        <f>IF('Calc base'!D$14=0,0,MIN(W264,MAX(0,$E264-SUMIFS($V264:$AG264,'Calc base'!$C$19:$N$19,"&lt;"&amp;'Calc base'!D$19,'Calc base'!$C$14:$N$14,1))))</f>
        <v>0</v>
      </c>
      <c r="AJ264">
        <f>IF('Calc base'!E$14=0,0,MIN(X264,MAX(0,$E264-SUMIFS($V264:$AG264,'Calc base'!$C$19:$N$19,"&lt;"&amp;'Calc base'!E$19,'Calc base'!$C$14:$N$14,1))))</f>
        <v>0</v>
      </c>
      <c r="AK264">
        <f>IF('Calc base'!F$14=0,0,MIN(Y264,MAX(0,$E264-SUMIFS($V264:$AG264,'Calc base'!$C$19:$N$19,"&lt;"&amp;'Calc base'!F$19,'Calc base'!$C$14:$N$14,1))))</f>
        <v>0</v>
      </c>
      <c r="AL264">
        <f>IF('Calc base'!G$14=0,0,MIN(Z264,MAX(0,$E264-SUMIFS($V264:$AG264,'Calc base'!$C$19:$N$19,"&lt;"&amp;'Calc base'!G$19,'Calc base'!$C$14:$N$14,1))))</f>
        <v>0</v>
      </c>
      <c r="AM264">
        <f>IF('Calc base'!H$14=0,0,MIN(AA264,MAX(0,$E264-SUMIFS($V264:$AG264,'Calc base'!$C$19:$N$19,"&lt;"&amp;'Calc base'!H$19,'Calc base'!$C$14:$N$14,1))))</f>
        <v>0</v>
      </c>
      <c r="AN264">
        <f>IF('Calc base'!I$14=0,0,MIN(AB264,MAX(0,$E264-SUMIFS($V264:$AG264,'Calc base'!$C$19:$N$19,"&lt;"&amp;'Calc base'!I$19,'Calc base'!$C$14:$N$14,1))))</f>
        <v>0</v>
      </c>
      <c r="AO264">
        <f>IF('Calc base'!J$14=0,0,MIN(AC264,MAX(0,$E264-SUMIFS($V264:$AG264,'Calc base'!$C$19:$N$19,"&lt;"&amp;'Calc base'!J$19,'Calc base'!$C$14:$N$14,1))))</f>
        <v>0</v>
      </c>
      <c r="AP264">
        <f>IF('Calc base'!K$14=0,0,MIN(AD264,MAX(0,$E264-SUMIFS($V264:$AG264,'Calc base'!$C$19:$N$19,"&lt;"&amp;'Calc base'!K$19,'Calc base'!$C$14:$N$14,1))))</f>
        <v>0</v>
      </c>
      <c r="AQ264">
        <f>IF('Calc base'!L$14=0,0,MIN(AE264,MAX(0,$E264-SUMIFS($V264:$AG264,'Calc base'!$C$19:$N$19,"&lt;"&amp;'Calc base'!L$19,'Calc base'!$C$14:$N$14,1))))</f>
        <v>0</v>
      </c>
      <c r="AR264">
        <f>IF('Calc base'!M$14=0,0,MIN(AF264,MAX(0,$E264-SUMIFS($V264:$AG264,'Calc base'!$C$19:$N$19,"&lt;"&amp;'Calc base'!M$19,'Calc base'!$C$14:$N$14,1))))</f>
        <v>0</v>
      </c>
      <c r="AS264">
        <f>IF('Calc base'!N$14=0,0,MIN(AG264,MAX(0,$E264-SUMIFS($V264:$AG264,'Calc base'!$C$19:$N$19,"&lt;"&amp;'Calc base'!N$19,'Calc base'!$C$14:$N$14,1))))</f>
        <v>0</v>
      </c>
      <c r="AT264">
        <f>V264-AH264</f>
        <v>0</v>
      </c>
      <c r="AU264">
        <f>W264-AI264</f>
        <v>0</v>
      </c>
      <c r="AV264">
        <f>X264-AJ264</f>
        <v>0</v>
      </c>
      <c r="AW264">
        <f>Y264-AK264</f>
        <v>0</v>
      </c>
      <c r="AX264">
        <f>Z264-AL264</f>
        <v>0</v>
      </c>
      <c r="AY264">
        <f>AA264-AM264</f>
        <v>0</v>
      </c>
      <c r="AZ264">
        <f>AB264-AN264</f>
        <v>0</v>
      </c>
      <c r="BA264">
        <f>AC264-AO264</f>
        <v>0</v>
      </c>
      <c r="BB264">
        <f>AD264-AP264</f>
        <v>0</v>
      </c>
      <c r="BC264">
        <f>AE264-AQ264</f>
        <v>0</v>
      </c>
      <c r="BD264">
        <f>AF264-AR264</f>
        <v>0</v>
      </c>
      <c r="BE264">
        <f>AG264-AS264</f>
        <v>0</v>
      </c>
    </row>
    <row r="265">
      <c r="A265" t="n">
        <v>235</v>
      </c>
      <c r="B265">
        <f>SUMPRODUCT(ROUND($AT264:$BE264*(1+'Calc base'!$H265:$S265),2))</f>
        <v>0</v>
      </c>
      <c r="C265">
        <f>SUM(J265:U265)</f>
        <v>0</v>
      </c>
      <c r="D265">
        <f>SUM(V265:AG265)</f>
        <v>0</v>
      </c>
      <c r="E265">
        <f>MAX(0,IF(Impostazioni!$B$7="No",'Calc base'!$C265-$C$31,'Calc base'!$C265-C265)+'Calc base'!$G265+'Calc base'!$F265-(B265-C265-D265))</f>
        <v>900</v>
      </c>
      <c r="F265">
        <f>SUM(AH265:AS265)</f>
        <v>0</v>
      </c>
      <c r="G265">
        <f>SUM(AT265:BE265)</f>
        <v>0</v>
      </c>
      <c r="H265">
        <f>B265-G264</f>
        <v>0</v>
      </c>
      <c r="I265">
        <f>B265-G265</f>
        <v>0</v>
      </c>
      <c r="J265">
        <f>IF(AT264&lt;=0,0,IF(ROUND(AT264*(1+'Calc base'!H265),2)-MAX('Calc base'!C$12,ROUND('Calc base'!C$13*AT264,2))&lt;1,ROUND(AT264*(1+'Calc base'!H265),2),MAX('Calc base'!C$12,ROUND('Calc base'!C$13*AT264,2))))</f>
        <v>0</v>
      </c>
      <c r="K265">
        <f>IF(AU264&lt;=0,0,IF(ROUND(AU264*(1+'Calc base'!I265),2)-MAX('Calc base'!D$12,ROUND('Calc base'!D$13*AU264,2))&lt;1,ROUND(AU264*(1+'Calc base'!I265),2),MAX('Calc base'!D$12,ROUND('Calc base'!D$13*AU264,2))))</f>
        <v>0</v>
      </c>
      <c r="L265">
        <f>IF(AV264&lt;=0,0,IF(ROUND(AV264*(1+'Calc base'!J265),2)-MAX('Calc base'!E$12,ROUND('Calc base'!E$13*AV264,2))&lt;1,ROUND(AV264*(1+'Calc base'!J265),2),MAX('Calc base'!E$12,ROUND('Calc base'!E$13*AV264,2))))</f>
        <v>0</v>
      </c>
      <c r="M265">
        <f>IF(AW264&lt;=0,0,IF(ROUND(AW264*(1+'Calc base'!K265),2)-MAX('Calc base'!F$12,ROUND('Calc base'!F$13*AW264,2))&lt;1,ROUND(AW264*(1+'Calc base'!K265),2),MAX('Calc base'!F$12,ROUND('Calc base'!F$13*AW264,2))))</f>
        <v>0</v>
      </c>
      <c r="N265">
        <f>IF(AX264&lt;=0,0,IF(ROUND(AX264*(1+'Calc base'!L265),2)-MAX('Calc base'!G$12,ROUND('Calc base'!G$13*AX264,2))&lt;1,ROUND(AX264*(1+'Calc base'!L265),2),MAX('Calc base'!G$12,ROUND('Calc base'!G$13*AX264,2))))</f>
        <v>0</v>
      </c>
      <c r="O265">
        <f>IF(AY264&lt;=0,0,IF(ROUND(AY264*(1+'Calc base'!M265),2)-MAX('Calc base'!H$12,ROUND('Calc base'!H$13*AY264,2))&lt;1,ROUND(AY264*(1+'Calc base'!M265),2),MAX('Calc base'!H$12,ROUND('Calc base'!H$13*AY264,2))))</f>
        <v>0</v>
      </c>
      <c r="P265">
        <f>IF(AZ264&lt;=0,0,IF(ROUND(AZ264*(1+'Calc base'!N265),2)-MAX('Calc base'!I$12,ROUND('Calc base'!I$13*AZ264,2))&lt;1,ROUND(AZ264*(1+'Calc base'!N265),2),MAX('Calc base'!I$12,ROUND('Calc base'!I$13*AZ264,2))))</f>
        <v>0</v>
      </c>
      <c r="Q265">
        <f>IF(BA264&lt;=0,0,IF(ROUND(BA264*(1+'Calc base'!O265),2)-MAX('Calc base'!J$12,ROUND('Calc base'!J$13*BA264,2))&lt;1,ROUND(BA264*(1+'Calc base'!O265),2),MAX('Calc base'!J$12,ROUND('Calc base'!J$13*BA264,2))))</f>
        <v>0</v>
      </c>
      <c r="R265">
        <f>IF(BB264&lt;=0,0,IF(ROUND(BB264*(1+'Calc base'!P265),2)-MAX('Calc base'!K$12,ROUND('Calc base'!K$13*BB264,2))&lt;1,ROUND(BB264*(1+'Calc base'!P265),2),MAX('Calc base'!K$12,ROUND('Calc base'!K$13*BB264,2))))</f>
        <v>0</v>
      </c>
      <c r="S265">
        <f>IF(BC264&lt;=0,0,IF(ROUND(BC264*(1+'Calc base'!Q265),2)-MAX('Calc base'!L$12,ROUND('Calc base'!L$13*BC264,2))&lt;1,ROUND(BC264*(1+'Calc base'!Q265),2),MAX('Calc base'!L$12,ROUND('Calc base'!L$13*BC264,2))))</f>
        <v>0</v>
      </c>
      <c r="T265">
        <f>IF(BD264&lt;=0,0,IF(ROUND(BD264*(1+'Calc base'!R265),2)-MAX('Calc base'!M$12,ROUND('Calc base'!M$13*BD264,2))&lt;1,ROUND(BD264*(1+'Calc base'!R265),2),MAX('Calc base'!M$12,ROUND('Calc base'!M$13*BD264,2))))</f>
        <v>0</v>
      </c>
      <c r="U265">
        <f>IF(BE264&lt;=0,0,IF(ROUND(BE264*(1+'Calc base'!S265),2)-MAX('Calc base'!N$12,ROUND('Calc base'!N$13*BE264,2))&lt;1,ROUND(BE264*(1+'Calc base'!S265),2),MAX('Calc base'!N$12,ROUND('Calc base'!N$13*BE264,2))))</f>
        <v>0</v>
      </c>
      <c r="V265">
        <f>MAX(0,ROUND(AT264*(1+'Calc base'!H265),2)-J265-'Calc base'!T265)</f>
        <v>0</v>
      </c>
      <c r="W265">
        <f>MAX(0,ROUND(AU264*(1+'Calc base'!I265),2)-K265-'Calc base'!U265)</f>
        <v>0</v>
      </c>
      <c r="X265">
        <f>MAX(0,ROUND(AV264*(1+'Calc base'!J265),2)-L265-'Calc base'!V265)</f>
        <v>0</v>
      </c>
      <c r="Y265">
        <f>MAX(0,ROUND(AW264*(1+'Calc base'!K265),2)-M265-'Calc base'!W265)</f>
        <v>0</v>
      </c>
      <c r="Z265">
        <f>MAX(0,ROUND(AX264*(1+'Calc base'!L265),2)-N265-'Calc base'!X265)</f>
        <v>0</v>
      </c>
      <c r="AA265">
        <f>MAX(0,ROUND(AY264*(1+'Calc base'!M265),2)-O265-'Calc base'!Y265)</f>
        <v>0</v>
      </c>
      <c r="AB265">
        <f>MAX(0,ROUND(AZ264*(1+'Calc base'!N265),2)-P265-'Calc base'!Z265)</f>
        <v>0</v>
      </c>
      <c r="AC265">
        <f>MAX(0,ROUND(BA264*(1+'Calc base'!O265),2)-Q265-'Calc base'!AA265)</f>
        <v>0</v>
      </c>
      <c r="AD265">
        <f>MAX(0,ROUND(BB264*(1+'Calc base'!P265),2)-R265-'Calc base'!AB265)</f>
        <v>0</v>
      </c>
      <c r="AE265">
        <f>MAX(0,ROUND(BC264*(1+'Calc base'!Q265),2)-S265-'Calc base'!AC265)</f>
        <v>0</v>
      </c>
      <c r="AF265">
        <f>MAX(0,ROUND(BD264*(1+'Calc base'!R265),2)-T265-'Calc base'!AD265)</f>
        <v>0</v>
      </c>
      <c r="AG265">
        <f>MAX(0,ROUND(BE264*(1+'Calc base'!S265),2)-U265-'Calc base'!AE265)</f>
        <v>0</v>
      </c>
      <c r="AH265">
        <f>IF('Calc base'!C$14=0,0,MIN(V265,MAX(0,$E265-SUMIFS($V265:$AG265,'Calc base'!$C$19:$N$19,"&lt;"&amp;'Calc base'!C$19,'Calc base'!$C$14:$N$14,1))))</f>
        <v>0</v>
      </c>
      <c r="AI265">
        <f>IF('Calc base'!D$14=0,0,MIN(W265,MAX(0,$E265-SUMIFS($V265:$AG265,'Calc base'!$C$19:$N$19,"&lt;"&amp;'Calc base'!D$19,'Calc base'!$C$14:$N$14,1))))</f>
        <v>0</v>
      </c>
      <c r="AJ265">
        <f>IF('Calc base'!E$14=0,0,MIN(X265,MAX(0,$E265-SUMIFS($V265:$AG265,'Calc base'!$C$19:$N$19,"&lt;"&amp;'Calc base'!E$19,'Calc base'!$C$14:$N$14,1))))</f>
        <v>0</v>
      </c>
      <c r="AK265">
        <f>IF('Calc base'!F$14=0,0,MIN(Y265,MAX(0,$E265-SUMIFS($V265:$AG265,'Calc base'!$C$19:$N$19,"&lt;"&amp;'Calc base'!F$19,'Calc base'!$C$14:$N$14,1))))</f>
        <v>0</v>
      </c>
      <c r="AL265">
        <f>IF('Calc base'!G$14=0,0,MIN(Z265,MAX(0,$E265-SUMIFS($V265:$AG265,'Calc base'!$C$19:$N$19,"&lt;"&amp;'Calc base'!G$19,'Calc base'!$C$14:$N$14,1))))</f>
        <v>0</v>
      </c>
      <c r="AM265">
        <f>IF('Calc base'!H$14=0,0,MIN(AA265,MAX(0,$E265-SUMIFS($V265:$AG265,'Calc base'!$C$19:$N$19,"&lt;"&amp;'Calc base'!H$19,'Calc base'!$C$14:$N$14,1))))</f>
        <v>0</v>
      </c>
      <c r="AN265">
        <f>IF('Calc base'!I$14=0,0,MIN(AB265,MAX(0,$E265-SUMIFS($V265:$AG265,'Calc base'!$C$19:$N$19,"&lt;"&amp;'Calc base'!I$19,'Calc base'!$C$14:$N$14,1))))</f>
        <v>0</v>
      </c>
      <c r="AO265">
        <f>IF('Calc base'!J$14=0,0,MIN(AC265,MAX(0,$E265-SUMIFS($V265:$AG265,'Calc base'!$C$19:$N$19,"&lt;"&amp;'Calc base'!J$19,'Calc base'!$C$14:$N$14,1))))</f>
        <v>0</v>
      </c>
      <c r="AP265">
        <f>IF('Calc base'!K$14=0,0,MIN(AD265,MAX(0,$E265-SUMIFS($V265:$AG265,'Calc base'!$C$19:$N$19,"&lt;"&amp;'Calc base'!K$19,'Calc base'!$C$14:$N$14,1))))</f>
        <v>0</v>
      </c>
      <c r="AQ265">
        <f>IF('Calc base'!L$14=0,0,MIN(AE265,MAX(0,$E265-SUMIFS($V265:$AG265,'Calc base'!$C$19:$N$19,"&lt;"&amp;'Calc base'!L$19,'Calc base'!$C$14:$N$14,1))))</f>
        <v>0</v>
      </c>
      <c r="AR265">
        <f>IF('Calc base'!M$14=0,0,MIN(AF265,MAX(0,$E265-SUMIFS($V265:$AG265,'Calc base'!$C$19:$N$19,"&lt;"&amp;'Calc base'!M$19,'Calc base'!$C$14:$N$14,1))))</f>
        <v>0</v>
      </c>
      <c r="AS265">
        <f>IF('Calc base'!N$14=0,0,MIN(AG265,MAX(0,$E265-SUMIFS($V265:$AG265,'Calc base'!$C$19:$N$19,"&lt;"&amp;'Calc base'!N$19,'Calc base'!$C$14:$N$14,1))))</f>
        <v>0</v>
      </c>
      <c r="AT265">
        <f>V265-AH265</f>
        <v>0</v>
      </c>
      <c r="AU265">
        <f>W265-AI265</f>
        <v>0</v>
      </c>
      <c r="AV265">
        <f>X265-AJ265</f>
        <v>0</v>
      </c>
      <c r="AW265">
        <f>Y265-AK265</f>
        <v>0</v>
      </c>
      <c r="AX265">
        <f>Z265-AL265</f>
        <v>0</v>
      </c>
      <c r="AY265">
        <f>AA265-AM265</f>
        <v>0</v>
      </c>
      <c r="AZ265">
        <f>AB265-AN265</f>
        <v>0</v>
      </c>
      <c r="BA265">
        <f>AC265-AO265</f>
        <v>0</v>
      </c>
      <c r="BB265">
        <f>AD265-AP265</f>
        <v>0</v>
      </c>
      <c r="BC265">
        <f>AE265-AQ265</f>
        <v>0</v>
      </c>
      <c r="BD265">
        <f>AF265-AR265</f>
        <v>0</v>
      </c>
      <c r="BE265">
        <f>AG265-AS265</f>
        <v>0</v>
      </c>
    </row>
    <row r="266">
      <c r="A266" t="n">
        <v>236</v>
      </c>
      <c r="B266">
        <f>SUMPRODUCT(ROUND($AT265:$BE265*(1+'Calc base'!$H266:$S266),2))</f>
        <v>0</v>
      </c>
      <c r="C266">
        <f>SUM(J266:U266)</f>
        <v>0</v>
      </c>
      <c r="D266">
        <f>SUM(V266:AG266)</f>
        <v>0</v>
      </c>
      <c r="E266">
        <f>MAX(0,IF(Impostazioni!$B$7="No",'Calc base'!$C266-$C$31,'Calc base'!$C266-C266)+'Calc base'!$G266+'Calc base'!$F266-(B266-C266-D266))</f>
        <v>900</v>
      </c>
      <c r="F266">
        <f>SUM(AH266:AS266)</f>
        <v>0</v>
      </c>
      <c r="G266">
        <f>SUM(AT266:BE266)</f>
        <v>0</v>
      </c>
      <c r="H266">
        <f>B266-G265</f>
        <v>0</v>
      </c>
      <c r="I266">
        <f>B266-G266</f>
        <v>0</v>
      </c>
      <c r="J266">
        <f>IF(AT265&lt;=0,0,IF(ROUND(AT265*(1+'Calc base'!H266),2)-MAX('Calc base'!C$12,ROUND('Calc base'!C$13*AT265,2))&lt;1,ROUND(AT265*(1+'Calc base'!H266),2),MAX('Calc base'!C$12,ROUND('Calc base'!C$13*AT265,2))))</f>
        <v>0</v>
      </c>
      <c r="K266">
        <f>IF(AU265&lt;=0,0,IF(ROUND(AU265*(1+'Calc base'!I266),2)-MAX('Calc base'!D$12,ROUND('Calc base'!D$13*AU265,2))&lt;1,ROUND(AU265*(1+'Calc base'!I266),2),MAX('Calc base'!D$12,ROUND('Calc base'!D$13*AU265,2))))</f>
        <v>0</v>
      </c>
      <c r="L266">
        <f>IF(AV265&lt;=0,0,IF(ROUND(AV265*(1+'Calc base'!J266),2)-MAX('Calc base'!E$12,ROUND('Calc base'!E$13*AV265,2))&lt;1,ROUND(AV265*(1+'Calc base'!J266),2),MAX('Calc base'!E$12,ROUND('Calc base'!E$13*AV265,2))))</f>
        <v>0</v>
      </c>
      <c r="M266">
        <f>IF(AW265&lt;=0,0,IF(ROUND(AW265*(1+'Calc base'!K266),2)-MAX('Calc base'!F$12,ROUND('Calc base'!F$13*AW265,2))&lt;1,ROUND(AW265*(1+'Calc base'!K266),2),MAX('Calc base'!F$12,ROUND('Calc base'!F$13*AW265,2))))</f>
        <v>0</v>
      </c>
      <c r="N266">
        <f>IF(AX265&lt;=0,0,IF(ROUND(AX265*(1+'Calc base'!L266),2)-MAX('Calc base'!G$12,ROUND('Calc base'!G$13*AX265,2))&lt;1,ROUND(AX265*(1+'Calc base'!L266),2),MAX('Calc base'!G$12,ROUND('Calc base'!G$13*AX265,2))))</f>
        <v>0</v>
      </c>
      <c r="O266">
        <f>IF(AY265&lt;=0,0,IF(ROUND(AY265*(1+'Calc base'!M266),2)-MAX('Calc base'!H$12,ROUND('Calc base'!H$13*AY265,2))&lt;1,ROUND(AY265*(1+'Calc base'!M266),2),MAX('Calc base'!H$12,ROUND('Calc base'!H$13*AY265,2))))</f>
        <v>0</v>
      </c>
      <c r="P266">
        <f>IF(AZ265&lt;=0,0,IF(ROUND(AZ265*(1+'Calc base'!N266),2)-MAX('Calc base'!I$12,ROUND('Calc base'!I$13*AZ265,2))&lt;1,ROUND(AZ265*(1+'Calc base'!N266),2),MAX('Calc base'!I$12,ROUND('Calc base'!I$13*AZ265,2))))</f>
        <v>0</v>
      </c>
      <c r="Q266">
        <f>IF(BA265&lt;=0,0,IF(ROUND(BA265*(1+'Calc base'!O266),2)-MAX('Calc base'!J$12,ROUND('Calc base'!J$13*BA265,2))&lt;1,ROUND(BA265*(1+'Calc base'!O266),2),MAX('Calc base'!J$12,ROUND('Calc base'!J$13*BA265,2))))</f>
        <v>0</v>
      </c>
      <c r="R266">
        <f>IF(BB265&lt;=0,0,IF(ROUND(BB265*(1+'Calc base'!P266),2)-MAX('Calc base'!K$12,ROUND('Calc base'!K$13*BB265,2))&lt;1,ROUND(BB265*(1+'Calc base'!P266),2),MAX('Calc base'!K$12,ROUND('Calc base'!K$13*BB265,2))))</f>
        <v>0</v>
      </c>
      <c r="S266">
        <f>IF(BC265&lt;=0,0,IF(ROUND(BC265*(1+'Calc base'!Q266),2)-MAX('Calc base'!L$12,ROUND('Calc base'!L$13*BC265,2))&lt;1,ROUND(BC265*(1+'Calc base'!Q266),2),MAX('Calc base'!L$12,ROUND('Calc base'!L$13*BC265,2))))</f>
        <v>0</v>
      </c>
      <c r="T266">
        <f>IF(BD265&lt;=0,0,IF(ROUND(BD265*(1+'Calc base'!R266),2)-MAX('Calc base'!M$12,ROUND('Calc base'!M$13*BD265,2))&lt;1,ROUND(BD265*(1+'Calc base'!R266),2),MAX('Calc base'!M$12,ROUND('Calc base'!M$13*BD265,2))))</f>
        <v>0</v>
      </c>
      <c r="U266">
        <f>IF(BE265&lt;=0,0,IF(ROUND(BE265*(1+'Calc base'!S266),2)-MAX('Calc base'!N$12,ROUND('Calc base'!N$13*BE265,2))&lt;1,ROUND(BE265*(1+'Calc base'!S266),2),MAX('Calc base'!N$12,ROUND('Calc base'!N$13*BE265,2))))</f>
        <v>0</v>
      </c>
      <c r="V266">
        <f>MAX(0,ROUND(AT265*(1+'Calc base'!H266),2)-J266-'Calc base'!T266)</f>
        <v>0</v>
      </c>
      <c r="W266">
        <f>MAX(0,ROUND(AU265*(1+'Calc base'!I266),2)-K266-'Calc base'!U266)</f>
        <v>0</v>
      </c>
      <c r="X266">
        <f>MAX(0,ROUND(AV265*(1+'Calc base'!J266),2)-L266-'Calc base'!V266)</f>
        <v>0</v>
      </c>
      <c r="Y266">
        <f>MAX(0,ROUND(AW265*(1+'Calc base'!K266),2)-M266-'Calc base'!W266)</f>
        <v>0</v>
      </c>
      <c r="Z266">
        <f>MAX(0,ROUND(AX265*(1+'Calc base'!L266),2)-N266-'Calc base'!X266)</f>
        <v>0</v>
      </c>
      <c r="AA266">
        <f>MAX(0,ROUND(AY265*(1+'Calc base'!M266),2)-O266-'Calc base'!Y266)</f>
        <v>0</v>
      </c>
      <c r="AB266">
        <f>MAX(0,ROUND(AZ265*(1+'Calc base'!N266),2)-P266-'Calc base'!Z266)</f>
        <v>0</v>
      </c>
      <c r="AC266">
        <f>MAX(0,ROUND(BA265*(1+'Calc base'!O266),2)-Q266-'Calc base'!AA266)</f>
        <v>0</v>
      </c>
      <c r="AD266">
        <f>MAX(0,ROUND(BB265*(1+'Calc base'!P266),2)-R266-'Calc base'!AB266)</f>
        <v>0</v>
      </c>
      <c r="AE266">
        <f>MAX(0,ROUND(BC265*(1+'Calc base'!Q266),2)-S266-'Calc base'!AC266)</f>
        <v>0</v>
      </c>
      <c r="AF266">
        <f>MAX(0,ROUND(BD265*(1+'Calc base'!R266),2)-T266-'Calc base'!AD266)</f>
        <v>0</v>
      </c>
      <c r="AG266">
        <f>MAX(0,ROUND(BE265*(1+'Calc base'!S266),2)-U266-'Calc base'!AE266)</f>
        <v>0</v>
      </c>
      <c r="AH266">
        <f>IF('Calc base'!C$14=0,0,MIN(V266,MAX(0,$E266-SUMIFS($V266:$AG266,'Calc base'!$C$19:$N$19,"&lt;"&amp;'Calc base'!C$19,'Calc base'!$C$14:$N$14,1))))</f>
        <v>0</v>
      </c>
      <c r="AI266">
        <f>IF('Calc base'!D$14=0,0,MIN(W266,MAX(0,$E266-SUMIFS($V266:$AG266,'Calc base'!$C$19:$N$19,"&lt;"&amp;'Calc base'!D$19,'Calc base'!$C$14:$N$14,1))))</f>
        <v>0</v>
      </c>
      <c r="AJ266">
        <f>IF('Calc base'!E$14=0,0,MIN(X266,MAX(0,$E266-SUMIFS($V266:$AG266,'Calc base'!$C$19:$N$19,"&lt;"&amp;'Calc base'!E$19,'Calc base'!$C$14:$N$14,1))))</f>
        <v>0</v>
      </c>
      <c r="AK266">
        <f>IF('Calc base'!F$14=0,0,MIN(Y266,MAX(0,$E266-SUMIFS($V266:$AG266,'Calc base'!$C$19:$N$19,"&lt;"&amp;'Calc base'!F$19,'Calc base'!$C$14:$N$14,1))))</f>
        <v>0</v>
      </c>
      <c r="AL266">
        <f>IF('Calc base'!G$14=0,0,MIN(Z266,MAX(0,$E266-SUMIFS($V266:$AG266,'Calc base'!$C$19:$N$19,"&lt;"&amp;'Calc base'!G$19,'Calc base'!$C$14:$N$14,1))))</f>
        <v>0</v>
      </c>
      <c r="AM266">
        <f>IF('Calc base'!H$14=0,0,MIN(AA266,MAX(0,$E266-SUMIFS($V266:$AG266,'Calc base'!$C$19:$N$19,"&lt;"&amp;'Calc base'!H$19,'Calc base'!$C$14:$N$14,1))))</f>
        <v>0</v>
      </c>
      <c r="AN266">
        <f>IF('Calc base'!I$14=0,0,MIN(AB266,MAX(0,$E266-SUMIFS($V266:$AG266,'Calc base'!$C$19:$N$19,"&lt;"&amp;'Calc base'!I$19,'Calc base'!$C$14:$N$14,1))))</f>
        <v>0</v>
      </c>
      <c r="AO266">
        <f>IF('Calc base'!J$14=0,0,MIN(AC266,MAX(0,$E266-SUMIFS($V266:$AG266,'Calc base'!$C$19:$N$19,"&lt;"&amp;'Calc base'!J$19,'Calc base'!$C$14:$N$14,1))))</f>
        <v>0</v>
      </c>
      <c r="AP266">
        <f>IF('Calc base'!K$14=0,0,MIN(AD266,MAX(0,$E266-SUMIFS($V266:$AG266,'Calc base'!$C$19:$N$19,"&lt;"&amp;'Calc base'!K$19,'Calc base'!$C$14:$N$14,1))))</f>
        <v>0</v>
      </c>
      <c r="AQ266">
        <f>IF('Calc base'!L$14=0,0,MIN(AE266,MAX(0,$E266-SUMIFS($V266:$AG266,'Calc base'!$C$19:$N$19,"&lt;"&amp;'Calc base'!L$19,'Calc base'!$C$14:$N$14,1))))</f>
        <v>0</v>
      </c>
      <c r="AR266">
        <f>IF('Calc base'!M$14=0,0,MIN(AF266,MAX(0,$E266-SUMIFS($V266:$AG266,'Calc base'!$C$19:$N$19,"&lt;"&amp;'Calc base'!M$19,'Calc base'!$C$14:$N$14,1))))</f>
        <v>0</v>
      </c>
      <c r="AS266">
        <f>IF('Calc base'!N$14=0,0,MIN(AG266,MAX(0,$E266-SUMIFS($V266:$AG266,'Calc base'!$C$19:$N$19,"&lt;"&amp;'Calc base'!N$19,'Calc base'!$C$14:$N$14,1))))</f>
        <v>0</v>
      </c>
      <c r="AT266">
        <f>V266-AH266</f>
        <v>0</v>
      </c>
      <c r="AU266">
        <f>W266-AI266</f>
        <v>0</v>
      </c>
      <c r="AV266">
        <f>X266-AJ266</f>
        <v>0</v>
      </c>
      <c r="AW266">
        <f>Y266-AK266</f>
        <v>0</v>
      </c>
      <c r="AX266">
        <f>Z266-AL266</f>
        <v>0</v>
      </c>
      <c r="AY266">
        <f>AA266-AM266</f>
        <v>0</v>
      </c>
      <c r="AZ266">
        <f>AB266-AN266</f>
        <v>0</v>
      </c>
      <c r="BA266">
        <f>AC266-AO266</f>
        <v>0</v>
      </c>
      <c r="BB266">
        <f>AD266-AP266</f>
        <v>0</v>
      </c>
      <c r="BC266">
        <f>AE266-AQ266</f>
        <v>0</v>
      </c>
      <c r="BD266">
        <f>AF266-AR266</f>
        <v>0</v>
      </c>
      <c r="BE266">
        <f>AG266-AS266</f>
        <v>0</v>
      </c>
    </row>
    <row r="267">
      <c r="A267" t="n">
        <v>237</v>
      </c>
      <c r="B267">
        <f>SUMPRODUCT(ROUND($AT266:$BE266*(1+'Calc base'!$H267:$S267),2))</f>
        <v>0</v>
      </c>
      <c r="C267">
        <f>SUM(J267:U267)</f>
        <v>0</v>
      </c>
      <c r="D267">
        <f>SUM(V267:AG267)</f>
        <v>0</v>
      </c>
      <c r="E267">
        <f>MAX(0,IF(Impostazioni!$B$7="No",'Calc base'!$C267-$C$31,'Calc base'!$C267-C267)+'Calc base'!$G267+'Calc base'!$F267-(B267-C267-D267))</f>
        <v>900</v>
      </c>
      <c r="F267">
        <f>SUM(AH267:AS267)</f>
        <v>0</v>
      </c>
      <c r="G267">
        <f>SUM(AT267:BE267)</f>
        <v>0</v>
      </c>
      <c r="H267">
        <f>B267-G266</f>
        <v>0</v>
      </c>
      <c r="I267">
        <f>B267-G267</f>
        <v>0</v>
      </c>
      <c r="J267">
        <f>IF(AT266&lt;=0,0,IF(ROUND(AT266*(1+'Calc base'!H267),2)-MAX('Calc base'!C$12,ROUND('Calc base'!C$13*AT266,2))&lt;1,ROUND(AT266*(1+'Calc base'!H267),2),MAX('Calc base'!C$12,ROUND('Calc base'!C$13*AT266,2))))</f>
        <v>0</v>
      </c>
      <c r="K267">
        <f>IF(AU266&lt;=0,0,IF(ROUND(AU266*(1+'Calc base'!I267),2)-MAX('Calc base'!D$12,ROUND('Calc base'!D$13*AU266,2))&lt;1,ROUND(AU266*(1+'Calc base'!I267),2),MAX('Calc base'!D$12,ROUND('Calc base'!D$13*AU266,2))))</f>
        <v>0</v>
      </c>
      <c r="L267">
        <f>IF(AV266&lt;=0,0,IF(ROUND(AV266*(1+'Calc base'!J267),2)-MAX('Calc base'!E$12,ROUND('Calc base'!E$13*AV266,2))&lt;1,ROUND(AV266*(1+'Calc base'!J267),2),MAX('Calc base'!E$12,ROUND('Calc base'!E$13*AV266,2))))</f>
        <v>0</v>
      </c>
      <c r="M267">
        <f>IF(AW266&lt;=0,0,IF(ROUND(AW266*(1+'Calc base'!K267),2)-MAX('Calc base'!F$12,ROUND('Calc base'!F$13*AW266,2))&lt;1,ROUND(AW266*(1+'Calc base'!K267),2),MAX('Calc base'!F$12,ROUND('Calc base'!F$13*AW266,2))))</f>
        <v>0</v>
      </c>
      <c r="N267">
        <f>IF(AX266&lt;=0,0,IF(ROUND(AX266*(1+'Calc base'!L267),2)-MAX('Calc base'!G$12,ROUND('Calc base'!G$13*AX266,2))&lt;1,ROUND(AX266*(1+'Calc base'!L267),2),MAX('Calc base'!G$12,ROUND('Calc base'!G$13*AX266,2))))</f>
        <v>0</v>
      </c>
      <c r="O267">
        <f>IF(AY266&lt;=0,0,IF(ROUND(AY266*(1+'Calc base'!M267),2)-MAX('Calc base'!H$12,ROUND('Calc base'!H$13*AY266,2))&lt;1,ROUND(AY266*(1+'Calc base'!M267),2),MAX('Calc base'!H$12,ROUND('Calc base'!H$13*AY266,2))))</f>
        <v>0</v>
      </c>
      <c r="P267">
        <f>IF(AZ266&lt;=0,0,IF(ROUND(AZ266*(1+'Calc base'!N267),2)-MAX('Calc base'!I$12,ROUND('Calc base'!I$13*AZ266,2))&lt;1,ROUND(AZ266*(1+'Calc base'!N267),2),MAX('Calc base'!I$12,ROUND('Calc base'!I$13*AZ266,2))))</f>
        <v>0</v>
      </c>
      <c r="Q267">
        <f>IF(BA266&lt;=0,0,IF(ROUND(BA266*(1+'Calc base'!O267),2)-MAX('Calc base'!J$12,ROUND('Calc base'!J$13*BA266,2))&lt;1,ROUND(BA266*(1+'Calc base'!O267),2),MAX('Calc base'!J$12,ROUND('Calc base'!J$13*BA266,2))))</f>
        <v>0</v>
      </c>
      <c r="R267">
        <f>IF(BB266&lt;=0,0,IF(ROUND(BB266*(1+'Calc base'!P267),2)-MAX('Calc base'!K$12,ROUND('Calc base'!K$13*BB266,2))&lt;1,ROUND(BB266*(1+'Calc base'!P267),2),MAX('Calc base'!K$12,ROUND('Calc base'!K$13*BB266,2))))</f>
        <v>0</v>
      </c>
      <c r="S267">
        <f>IF(BC266&lt;=0,0,IF(ROUND(BC266*(1+'Calc base'!Q267),2)-MAX('Calc base'!L$12,ROUND('Calc base'!L$13*BC266,2))&lt;1,ROUND(BC266*(1+'Calc base'!Q267),2),MAX('Calc base'!L$12,ROUND('Calc base'!L$13*BC266,2))))</f>
        <v>0</v>
      </c>
      <c r="T267">
        <f>IF(BD266&lt;=0,0,IF(ROUND(BD266*(1+'Calc base'!R267),2)-MAX('Calc base'!M$12,ROUND('Calc base'!M$13*BD266,2))&lt;1,ROUND(BD266*(1+'Calc base'!R267),2),MAX('Calc base'!M$12,ROUND('Calc base'!M$13*BD266,2))))</f>
        <v>0</v>
      </c>
      <c r="U267">
        <f>IF(BE266&lt;=0,0,IF(ROUND(BE266*(1+'Calc base'!S267),2)-MAX('Calc base'!N$12,ROUND('Calc base'!N$13*BE266,2))&lt;1,ROUND(BE266*(1+'Calc base'!S267),2),MAX('Calc base'!N$12,ROUND('Calc base'!N$13*BE266,2))))</f>
        <v>0</v>
      </c>
      <c r="V267">
        <f>MAX(0,ROUND(AT266*(1+'Calc base'!H267),2)-J267-'Calc base'!T267)</f>
        <v>0</v>
      </c>
      <c r="W267">
        <f>MAX(0,ROUND(AU266*(1+'Calc base'!I267),2)-K267-'Calc base'!U267)</f>
        <v>0</v>
      </c>
      <c r="X267">
        <f>MAX(0,ROUND(AV266*(1+'Calc base'!J267),2)-L267-'Calc base'!V267)</f>
        <v>0</v>
      </c>
      <c r="Y267">
        <f>MAX(0,ROUND(AW266*(1+'Calc base'!K267),2)-M267-'Calc base'!W267)</f>
        <v>0</v>
      </c>
      <c r="Z267">
        <f>MAX(0,ROUND(AX266*(1+'Calc base'!L267),2)-N267-'Calc base'!X267)</f>
        <v>0</v>
      </c>
      <c r="AA267">
        <f>MAX(0,ROUND(AY266*(1+'Calc base'!M267),2)-O267-'Calc base'!Y267)</f>
        <v>0</v>
      </c>
      <c r="AB267">
        <f>MAX(0,ROUND(AZ266*(1+'Calc base'!N267),2)-P267-'Calc base'!Z267)</f>
        <v>0</v>
      </c>
      <c r="AC267">
        <f>MAX(0,ROUND(BA266*(1+'Calc base'!O267),2)-Q267-'Calc base'!AA267)</f>
        <v>0</v>
      </c>
      <c r="AD267">
        <f>MAX(0,ROUND(BB266*(1+'Calc base'!P267),2)-R267-'Calc base'!AB267)</f>
        <v>0</v>
      </c>
      <c r="AE267">
        <f>MAX(0,ROUND(BC266*(1+'Calc base'!Q267),2)-S267-'Calc base'!AC267)</f>
        <v>0</v>
      </c>
      <c r="AF267">
        <f>MAX(0,ROUND(BD266*(1+'Calc base'!R267),2)-T267-'Calc base'!AD267)</f>
        <v>0</v>
      </c>
      <c r="AG267">
        <f>MAX(0,ROUND(BE266*(1+'Calc base'!S267),2)-U267-'Calc base'!AE267)</f>
        <v>0</v>
      </c>
      <c r="AH267">
        <f>IF('Calc base'!C$14=0,0,MIN(V267,MAX(0,$E267-SUMIFS($V267:$AG267,'Calc base'!$C$19:$N$19,"&lt;"&amp;'Calc base'!C$19,'Calc base'!$C$14:$N$14,1))))</f>
        <v>0</v>
      </c>
      <c r="AI267">
        <f>IF('Calc base'!D$14=0,0,MIN(W267,MAX(0,$E267-SUMIFS($V267:$AG267,'Calc base'!$C$19:$N$19,"&lt;"&amp;'Calc base'!D$19,'Calc base'!$C$14:$N$14,1))))</f>
        <v>0</v>
      </c>
      <c r="AJ267">
        <f>IF('Calc base'!E$14=0,0,MIN(X267,MAX(0,$E267-SUMIFS($V267:$AG267,'Calc base'!$C$19:$N$19,"&lt;"&amp;'Calc base'!E$19,'Calc base'!$C$14:$N$14,1))))</f>
        <v>0</v>
      </c>
      <c r="AK267">
        <f>IF('Calc base'!F$14=0,0,MIN(Y267,MAX(0,$E267-SUMIFS($V267:$AG267,'Calc base'!$C$19:$N$19,"&lt;"&amp;'Calc base'!F$19,'Calc base'!$C$14:$N$14,1))))</f>
        <v>0</v>
      </c>
      <c r="AL267">
        <f>IF('Calc base'!G$14=0,0,MIN(Z267,MAX(0,$E267-SUMIFS($V267:$AG267,'Calc base'!$C$19:$N$19,"&lt;"&amp;'Calc base'!G$19,'Calc base'!$C$14:$N$14,1))))</f>
        <v>0</v>
      </c>
      <c r="AM267">
        <f>IF('Calc base'!H$14=0,0,MIN(AA267,MAX(0,$E267-SUMIFS($V267:$AG267,'Calc base'!$C$19:$N$19,"&lt;"&amp;'Calc base'!H$19,'Calc base'!$C$14:$N$14,1))))</f>
        <v>0</v>
      </c>
      <c r="AN267">
        <f>IF('Calc base'!I$14=0,0,MIN(AB267,MAX(0,$E267-SUMIFS($V267:$AG267,'Calc base'!$C$19:$N$19,"&lt;"&amp;'Calc base'!I$19,'Calc base'!$C$14:$N$14,1))))</f>
        <v>0</v>
      </c>
      <c r="AO267">
        <f>IF('Calc base'!J$14=0,0,MIN(AC267,MAX(0,$E267-SUMIFS($V267:$AG267,'Calc base'!$C$19:$N$19,"&lt;"&amp;'Calc base'!J$19,'Calc base'!$C$14:$N$14,1))))</f>
        <v>0</v>
      </c>
      <c r="AP267">
        <f>IF('Calc base'!K$14=0,0,MIN(AD267,MAX(0,$E267-SUMIFS($V267:$AG267,'Calc base'!$C$19:$N$19,"&lt;"&amp;'Calc base'!K$19,'Calc base'!$C$14:$N$14,1))))</f>
        <v>0</v>
      </c>
      <c r="AQ267">
        <f>IF('Calc base'!L$14=0,0,MIN(AE267,MAX(0,$E267-SUMIFS($V267:$AG267,'Calc base'!$C$19:$N$19,"&lt;"&amp;'Calc base'!L$19,'Calc base'!$C$14:$N$14,1))))</f>
        <v>0</v>
      </c>
      <c r="AR267">
        <f>IF('Calc base'!M$14=0,0,MIN(AF267,MAX(0,$E267-SUMIFS($V267:$AG267,'Calc base'!$C$19:$N$19,"&lt;"&amp;'Calc base'!M$19,'Calc base'!$C$14:$N$14,1))))</f>
        <v>0</v>
      </c>
      <c r="AS267">
        <f>IF('Calc base'!N$14=0,0,MIN(AG267,MAX(0,$E267-SUMIFS($V267:$AG267,'Calc base'!$C$19:$N$19,"&lt;"&amp;'Calc base'!N$19,'Calc base'!$C$14:$N$14,1))))</f>
        <v>0</v>
      </c>
      <c r="AT267">
        <f>V267-AH267</f>
        <v>0</v>
      </c>
      <c r="AU267">
        <f>W267-AI267</f>
        <v>0</v>
      </c>
      <c r="AV267">
        <f>X267-AJ267</f>
        <v>0</v>
      </c>
      <c r="AW267">
        <f>Y267-AK267</f>
        <v>0</v>
      </c>
      <c r="AX267">
        <f>Z267-AL267</f>
        <v>0</v>
      </c>
      <c r="AY267">
        <f>AA267-AM267</f>
        <v>0</v>
      </c>
      <c r="AZ267">
        <f>AB267-AN267</f>
        <v>0</v>
      </c>
      <c r="BA267">
        <f>AC267-AO267</f>
        <v>0</v>
      </c>
      <c r="BB267">
        <f>AD267-AP267</f>
        <v>0</v>
      </c>
      <c r="BC267">
        <f>AE267-AQ267</f>
        <v>0</v>
      </c>
      <c r="BD267">
        <f>AF267-AR267</f>
        <v>0</v>
      </c>
      <c r="BE267">
        <f>AG267-AS267</f>
        <v>0</v>
      </c>
    </row>
    <row r="268">
      <c r="A268" t="n">
        <v>238</v>
      </c>
      <c r="B268">
        <f>SUMPRODUCT(ROUND($AT267:$BE267*(1+'Calc base'!$H268:$S268),2))</f>
        <v>0</v>
      </c>
      <c r="C268">
        <f>SUM(J268:U268)</f>
        <v>0</v>
      </c>
      <c r="D268">
        <f>SUM(V268:AG268)</f>
        <v>0</v>
      </c>
      <c r="E268">
        <f>MAX(0,IF(Impostazioni!$B$7="No",'Calc base'!$C268-$C$31,'Calc base'!$C268-C268)+'Calc base'!$G268+'Calc base'!$F268-(B268-C268-D268))</f>
        <v>900</v>
      </c>
      <c r="F268">
        <f>SUM(AH268:AS268)</f>
        <v>0</v>
      </c>
      <c r="G268">
        <f>SUM(AT268:BE268)</f>
        <v>0</v>
      </c>
      <c r="H268">
        <f>B268-G267</f>
        <v>0</v>
      </c>
      <c r="I268">
        <f>B268-G268</f>
        <v>0</v>
      </c>
      <c r="J268">
        <f>IF(AT267&lt;=0,0,IF(ROUND(AT267*(1+'Calc base'!H268),2)-MAX('Calc base'!C$12,ROUND('Calc base'!C$13*AT267,2))&lt;1,ROUND(AT267*(1+'Calc base'!H268),2),MAX('Calc base'!C$12,ROUND('Calc base'!C$13*AT267,2))))</f>
        <v>0</v>
      </c>
      <c r="K268">
        <f>IF(AU267&lt;=0,0,IF(ROUND(AU267*(1+'Calc base'!I268),2)-MAX('Calc base'!D$12,ROUND('Calc base'!D$13*AU267,2))&lt;1,ROUND(AU267*(1+'Calc base'!I268),2),MAX('Calc base'!D$12,ROUND('Calc base'!D$13*AU267,2))))</f>
        <v>0</v>
      </c>
      <c r="L268">
        <f>IF(AV267&lt;=0,0,IF(ROUND(AV267*(1+'Calc base'!J268),2)-MAX('Calc base'!E$12,ROUND('Calc base'!E$13*AV267,2))&lt;1,ROUND(AV267*(1+'Calc base'!J268),2),MAX('Calc base'!E$12,ROUND('Calc base'!E$13*AV267,2))))</f>
        <v>0</v>
      </c>
      <c r="M268">
        <f>IF(AW267&lt;=0,0,IF(ROUND(AW267*(1+'Calc base'!K268),2)-MAX('Calc base'!F$12,ROUND('Calc base'!F$13*AW267,2))&lt;1,ROUND(AW267*(1+'Calc base'!K268),2),MAX('Calc base'!F$12,ROUND('Calc base'!F$13*AW267,2))))</f>
        <v>0</v>
      </c>
      <c r="N268">
        <f>IF(AX267&lt;=0,0,IF(ROUND(AX267*(1+'Calc base'!L268),2)-MAX('Calc base'!G$12,ROUND('Calc base'!G$13*AX267,2))&lt;1,ROUND(AX267*(1+'Calc base'!L268),2),MAX('Calc base'!G$12,ROUND('Calc base'!G$13*AX267,2))))</f>
        <v>0</v>
      </c>
      <c r="O268">
        <f>IF(AY267&lt;=0,0,IF(ROUND(AY267*(1+'Calc base'!M268),2)-MAX('Calc base'!H$12,ROUND('Calc base'!H$13*AY267,2))&lt;1,ROUND(AY267*(1+'Calc base'!M268),2),MAX('Calc base'!H$12,ROUND('Calc base'!H$13*AY267,2))))</f>
        <v>0</v>
      </c>
      <c r="P268">
        <f>IF(AZ267&lt;=0,0,IF(ROUND(AZ267*(1+'Calc base'!N268),2)-MAX('Calc base'!I$12,ROUND('Calc base'!I$13*AZ267,2))&lt;1,ROUND(AZ267*(1+'Calc base'!N268),2),MAX('Calc base'!I$12,ROUND('Calc base'!I$13*AZ267,2))))</f>
        <v>0</v>
      </c>
      <c r="Q268">
        <f>IF(BA267&lt;=0,0,IF(ROUND(BA267*(1+'Calc base'!O268),2)-MAX('Calc base'!J$12,ROUND('Calc base'!J$13*BA267,2))&lt;1,ROUND(BA267*(1+'Calc base'!O268),2),MAX('Calc base'!J$12,ROUND('Calc base'!J$13*BA267,2))))</f>
        <v>0</v>
      </c>
      <c r="R268">
        <f>IF(BB267&lt;=0,0,IF(ROUND(BB267*(1+'Calc base'!P268),2)-MAX('Calc base'!K$12,ROUND('Calc base'!K$13*BB267,2))&lt;1,ROUND(BB267*(1+'Calc base'!P268),2),MAX('Calc base'!K$12,ROUND('Calc base'!K$13*BB267,2))))</f>
        <v>0</v>
      </c>
      <c r="S268">
        <f>IF(BC267&lt;=0,0,IF(ROUND(BC267*(1+'Calc base'!Q268),2)-MAX('Calc base'!L$12,ROUND('Calc base'!L$13*BC267,2))&lt;1,ROUND(BC267*(1+'Calc base'!Q268),2),MAX('Calc base'!L$12,ROUND('Calc base'!L$13*BC267,2))))</f>
        <v>0</v>
      </c>
      <c r="T268">
        <f>IF(BD267&lt;=0,0,IF(ROUND(BD267*(1+'Calc base'!R268),2)-MAX('Calc base'!M$12,ROUND('Calc base'!M$13*BD267,2))&lt;1,ROUND(BD267*(1+'Calc base'!R268),2),MAX('Calc base'!M$12,ROUND('Calc base'!M$13*BD267,2))))</f>
        <v>0</v>
      </c>
      <c r="U268">
        <f>IF(BE267&lt;=0,0,IF(ROUND(BE267*(1+'Calc base'!S268),2)-MAX('Calc base'!N$12,ROUND('Calc base'!N$13*BE267,2))&lt;1,ROUND(BE267*(1+'Calc base'!S268),2),MAX('Calc base'!N$12,ROUND('Calc base'!N$13*BE267,2))))</f>
        <v>0</v>
      </c>
      <c r="V268">
        <f>MAX(0,ROUND(AT267*(1+'Calc base'!H268),2)-J268-'Calc base'!T268)</f>
        <v>0</v>
      </c>
      <c r="W268">
        <f>MAX(0,ROUND(AU267*(1+'Calc base'!I268),2)-K268-'Calc base'!U268)</f>
        <v>0</v>
      </c>
      <c r="X268">
        <f>MAX(0,ROUND(AV267*(1+'Calc base'!J268),2)-L268-'Calc base'!V268)</f>
        <v>0</v>
      </c>
      <c r="Y268">
        <f>MAX(0,ROUND(AW267*(1+'Calc base'!K268),2)-M268-'Calc base'!W268)</f>
        <v>0</v>
      </c>
      <c r="Z268">
        <f>MAX(0,ROUND(AX267*(1+'Calc base'!L268),2)-N268-'Calc base'!X268)</f>
        <v>0</v>
      </c>
      <c r="AA268">
        <f>MAX(0,ROUND(AY267*(1+'Calc base'!M268),2)-O268-'Calc base'!Y268)</f>
        <v>0</v>
      </c>
      <c r="AB268">
        <f>MAX(0,ROUND(AZ267*(1+'Calc base'!N268),2)-P268-'Calc base'!Z268)</f>
        <v>0</v>
      </c>
      <c r="AC268">
        <f>MAX(0,ROUND(BA267*(1+'Calc base'!O268),2)-Q268-'Calc base'!AA268)</f>
        <v>0</v>
      </c>
      <c r="AD268">
        <f>MAX(0,ROUND(BB267*(1+'Calc base'!P268),2)-R268-'Calc base'!AB268)</f>
        <v>0</v>
      </c>
      <c r="AE268">
        <f>MAX(0,ROUND(BC267*(1+'Calc base'!Q268),2)-S268-'Calc base'!AC268)</f>
        <v>0</v>
      </c>
      <c r="AF268">
        <f>MAX(0,ROUND(BD267*(1+'Calc base'!R268),2)-T268-'Calc base'!AD268)</f>
        <v>0</v>
      </c>
      <c r="AG268">
        <f>MAX(0,ROUND(BE267*(1+'Calc base'!S268),2)-U268-'Calc base'!AE268)</f>
        <v>0</v>
      </c>
      <c r="AH268">
        <f>IF('Calc base'!C$14=0,0,MIN(V268,MAX(0,$E268-SUMIFS($V268:$AG268,'Calc base'!$C$19:$N$19,"&lt;"&amp;'Calc base'!C$19,'Calc base'!$C$14:$N$14,1))))</f>
        <v>0</v>
      </c>
      <c r="AI268">
        <f>IF('Calc base'!D$14=0,0,MIN(W268,MAX(0,$E268-SUMIFS($V268:$AG268,'Calc base'!$C$19:$N$19,"&lt;"&amp;'Calc base'!D$19,'Calc base'!$C$14:$N$14,1))))</f>
        <v>0</v>
      </c>
      <c r="AJ268">
        <f>IF('Calc base'!E$14=0,0,MIN(X268,MAX(0,$E268-SUMIFS($V268:$AG268,'Calc base'!$C$19:$N$19,"&lt;"&amp;'Calc base'!E$19,'Calc base'!$C$14:$N$14,1))))</f>
        <v>0</v>
      </c>
      <c r="AK268">
        <f>IF('Calc base'!F$14=0,0,MIN(Y268,MAX(0,$E268-SUMIFS($V268:$AG268,'Calc base'!$C$19:$N$19,"&lt;"&amp;'Calc base'!F$19,'Calc base'!$C$14:$N$14,1))))</f>
        <v>0</v>
      </c>
      <c r="AL268">
        <f>IF('Calc base'!G$14=0,0,MIN(Z268,MAX(0,$E268-SUMIFS($V268:$AG268,'Calc base'!$C$19:$N$19,"&lt;"&amp;'Calc base'!G$19,'Calc base'!$C$14:$N$14,1))))</f>
        <v>0</v>
      </c>
      <c r="AM268">
        <f>IF('Calc base'!H$14=0,0,MIN(AA268,MAX(0,$E268-SUMIFS($V268:$AG268,'Calc base'!$C$19:$N$19,"&lt;"&amp;'Calc base'!H$19,'Calc base'!$C$14:$N$14,1))))</f>
        <v>0</v>
      </c>
      <c r="AN268">
        <f>IF('Calc base'!I$14=0,0,MIN(AB268,MAX(0,$E268-SUMIFS($V268:$AG268,'Calc base'!$C$19:$N$19,"&lt;"&amp;'Calc base'!I$19,'Calc base'!$C$14:$N$14,1))))</f>
        <v>0</v>
      </c>
      <c r="AO268">
        <f>IF('Calc base'!J$14=0,0,MIN(AC268,MAX(0,$E268-SUMIFS($V268:$AG268,'Calc base'!$C$19:$N$19,"&lt;"&amp;'Calc base'!J$19,'Calc base'!$C$14:$N$14,1))))</f>
        <v>0</v>
      </c>
      <c r="AP268">
        <f>IF('Calc base'!K$14=0,0,MIN(AD268,MAX(0,$E268-SUMIFS($V268:$AG268,'Calc base'!$C$19:$N$19,"&lt;"&amp;'Calc base'!K$19,'Calc base'!$C$14:$N$14,1))))</f>
        <v>0</v>
      </c>
      <c r="AQ268">
        <f>IF('Calc base'!L$14=0,0,MIN(AE268,MAX(0,$E268-SUMIFS($V268:$AG268,'Calc base'!$C$19:$N$19,"&lt;"&amp;'Calc base'!L$19,'Calc base'!$C$14:$N$14,1))))</f>
        <v>0</v>
      </c>
      <c r="AR268">
        <f>IF('Calc base'!M$14=0,0,MIN(AF268,MAX(0,$E268-SUMIFS($V268:$AG268,'Calc base'!$C$19:$N$19,"&lt;"&amp;'Calc base'!M$19,'Calc base'!$C$14:$N$14,1))))</f>
        <v>0</v>
      </c>
      <c r="AS268">
        <f>IF('Calc base'!N$14=0,0,MIN(AG268,MAX(0,$E268-SUMIFS($V268:$AG268,'Calc base'!$C$19:$N$19,"&lt;"&amp;'Calc base'!N$19,'Calc base'!$C$14:$N$14,1))))</f>
        <v>0</v>
      </c>
      <c r="AT268">
        <f>V268-AH268</f>
        <v>0</v>
      </c>
      <c r="AU268">
        <f>W268-AI268</f>
        <v>0</v>
      </c>
      <c r="AV268">
        <f>X268-AJ268</f>
        <v>0</v>
      </c>
      <c r="AW268">
        <f>Y268-AK268</f>
        <v>0</v>
      </c>
      <c r="AX268">
        <f>Z268-AL268</f>
        <v>0</v>
      </c>
      <c r="AY268">
        <f>AA268-AM268</f>
        <v>0</v>
      </c>
      <c r="AZ268">
        <f>AB268-AN268</f>
        <v>0</v>
      </c>
      <c r="BA268">
        <f>AC268-AO268</f>
        <v>0</v>
      </c>
      <c r="BB268">
        <f>AD268-AP268</f>
        <v>0</v>
      </c>
      <c r="BC268">
        <f>AE268-AQ268</f>
        <v>0</v>
      </c>
      <c r="BD268">
        <f>AF268-AR268</f>
        <v>0</v>
      </c>
      <c r="BE268">
        <f>AG268-AS268</f>
        <v>0</v>
      </c>
    </row>
    <row r="269">
      <c r="A269" t="n">
        <v>239</v>
      </c>
      <c r="B269">
        <f>SUMPRODUCT(ROUND($AT268:$BE268*(1+'Calc base'!$H269:$S269),2))</f>
        <v>0</v>
      </c>
      <c r="C269">
        <f>SUM(J269:U269)</f>
        <v>0</v>
      </c>
      <c r="D269">
        <f>SUM(V269:AG269)</f>
        <v>0</v>
      </c>
      <c r="E269">
        <f>MAX(0,IF(Impostazioni!$B$7="No",'Calc base'!$C269-$C$31,'Calc base'!$C269-C269)+'Calc base'!$G269+'Calc base'!$F269-(B269-C269-D269))</f>
        <v>900</v>
      </c>
      <c r="F269">
        <f>SUM(AH269:AS269)</f>
        <v>0</v>
      </c>
      <c r="G269">
        <f>SUM(AT269:BE269)</f>
        <v>0</v>
      </c>
      <c r="H269">
        <f>B269-G268</f>
        <v>0</v>
      </c>
      <c r="I269">
        <f>B269-G269</f>
        <v>0</v>
      </c>
      <c r="J269">
        <f>IF(AT268&lt;=0,0,IF(ROUND(AT268*(1+'Calc base'!H269),2)-MAX('Calc base'!C$12,ROUND('Calc base'!C$13*AT268,2))&lt;1,ROUND(AT268*(1+'Calc base'!H269),2),MAX('Calc base'!C$12,ROUND('Calc base'!C$13*AT268,2))))</f>
        <v>0</v>
      </c>
      <c r="K269">
        <f>IF(AU268&lt;=0,0,IF(ROUND(AU268*(1+'Calc base'!I269),2)-MAX('Calc base'!D$12,ROUND('Calc base'!D$13*AU268,2))&lt;1,ROUND(AU268*(1+'Calc base'!I269),2),MAX('Calc base'!D$12,ROUND('Calc base'!D$13*AU268,2))))</f>
        <v>0</v>
      </c>
      <c r="L269">
        <f>IF(AV268&lt;=0,0,IF(ROUND(AV268*(1+'Calc base'!J269),2)-MAX('Calc base'!E$12,ROUND('Calc base'!E$13*AV268,2))&lt;1,ROUND(AV268*(1+'Calc base'!J269),2),MAX('Calc base'!E$12,ROUND('Calc base'!E$13*AV268,2))))</f>
        <v>0</v>
      </c>
      <c r="M269">
        <f>IF(AW268&lt;=0,0,IF(ROUND(AW268*(1+'Calc base'!K269),2)-MAX('Calc base'!F$12,ROUND('Calc base'!F$13*AW268,2))&lt;1,ROUND(AW268*(1+'Calc base'!K269),2),MAX('Calc base'!F$12,ROUND('Calc base'!F$13*AW268,2))))</f>
        <v>0</v>
      </c>
      <c r="N269">
        <f>IF(AX268&lt;=0,0,IF(ROUND(AX268*(1+'Calc base'!L269),2)-MAX('Calc base'!G$12,ROUND('Calc base'!G$13*AX268,2))&lt;1,ROUND(AX268*(1+'Calc base'!L269),2),MAX('Calc base'!G$12,ROUND('Calc base'!G$13*AX268,2))))</f>
        <v>0</v>
      </c>
      <c r="O269">
        <f>IF(AY268&lt;=0,0,IF(ROUND(AY268*(1+'Calc base'!M269),2)-MAX('Calc base'!H$12,ROUND('Calc base'!H$13*AY268,2))&lt;1,ROUND(AY268*(1+'Calc base'!M269),2),MAX('Calc base'!H$12,ROUND('Calc base'!H$13*AY268,2))))</f>
        <v>0</v>
      </c>
      <c r="P269">
        <f>IF(AZ268&lt;=0,0,IF(ROUND(AZ268*(1+'Calc base'!N269),2)-MAX('Calc base'!I$12,ROUND('Calc base'!I$13*AZ268,2))&lt;1,ROUND(AZ268*(1+'Calc base'!N269),2),MAX('Calc base'!I$12,ROUND('Calc base'!I$13*AZ268,2))))</f>
        <v>0</v>
      </c>
      <c r="Q269">
        <f>IF(BA268&lt;=0,0,IF(ROUND(BA268*(1+'Calc base'!O269),2)-MAX('Calc base'!J$12,ROUND('Calc base'!J$13*BA268,2))&lt;1,ROUND(BA268*(1+'Calc base'!O269),2),MAX('Calc base'!J$12,ROUND('Calc base'!J$13*BA268,2))))</f>
        <v>0</v>
      </c>
      <c r="R269">
        <f>IF(BB268&lt;=0,0,IF(ROUND(BB268*(1+'Calc base'!P269),2)-MAX('Calc base'!K$12,ROUND('Calc base'!K$13*BB268,2))&lt;1,ROUND(BB268*(1+'Calc base'!P269),2),MAX('Calc base'!K$12,ROUND('Calc base'!K$13*BB268,2))))</f>
        <v>0</v>
      </c>
      <c r="S269">
        <f>IF(BC268&lt;=0,0,IF(ROUND(BC268*(1+'Calc base'!Q269),2)-MAX('Calc base'!L$12,ROUND('Calc base'!L$13*BC268,2))&lt;1,ROUND(BC268*(1+'Calc base'!Q269),2),MAX('Calc base'!L$12,ROUND('Calc base'!L$13*BC268,2))))</f>
        <v>0</v>
      </c>
      <c r="T269">
        <f>IF(BD268&lt;=0,0,IF(ROUND(BD268*(1+'Calc base'!R269),2)-MAX('Calc base'!M$12,ROUND('Calc base'!M$13*BD268,2))&lt;1,ROUND(BD268*(1+'Calc base'!R269),2),MAX('Calc base'!M$12,ROUND('Calc base'!M$13*BD268,2))))</f>
        <v>0</v>
      </c>
      <c r="U269">
        <f>IF(BE268&lt;=0,0,IF(ROUND(BE268*(1+'Calc base'!S269),2)-MAX('Calc base'!N$12,ROUND('Calc base'!N$13*BE268,2))&lt;1,ROUND(BE268*(1+'Calc base'!S269),2),MAX('Calc base'!N$12,ROUND('Calc base'!N$13*BE268,2))))</f>
        <v>0</v>
      </c>
      <c r="V269">
        <f>MAX(0,ROUND(AT268*(1+'Calc base'!H269),2)-J269-'Calc base'!T269)</f>
        <v>0</v>
      </c>
      <c r="W269">
        <f>MAX(0,ROUND(AU268*(1+'Calc base'!I269),2)-K269-'Calc base'!U269)</f>
        <v>0</v>
      </c>
      <c r="X269">
        <f>MAX(0,ROUND(AV268*(1+'Calc base'!J269),2)-L269-'Calc base'!V269)</f>
        <v>0</v>
      </c>
      <c r="Y269">
        <f>MAX(0,ROUND(AW268*(1+'Calc base'!K269),2)-M269-'Calc base'!W269)</f>
        <v>0</v>
      </c>
      <c r="Z269">
        <f>MAX(0,ROUND(AX268*(1+'Calc base'!L269),2)-N269-'Calc base'!X269)</f>
        <v>0</v>
      </c>
      <c r="AA269">
        <f>MAX(0,ROUND(AY268*(1+'Calc base'!M269),2)-O269-'Calc base'!Y269)</f>
        <v>0</v>
      </c>
      <c r="AB269">
        <f>MAX(0,ROUND(AZ268*(1+'Calc base'!N269),2)-P269-'Calc base'!Z269)</f>
        <v>0</v>
      </c>
      <c r="AC269">
        <f>MAX(0,ROUND(BA268*(1+'Calc base'!O269),2)-Q269-'Calc base'!AA269)</f>
        <v>0</v>
      </c>
      <c r="AD269">
        <f>MAX(0,ROUND(BB268*(1+'Calc base'!P269),2)-R269-'Calc base'!AB269)</f>
        <v>0</v>
      </c>
      <c r="AE269">
        <f>MAX(0,ROUND(BC268*(1+'Calc base'!Q269),2)-S269-'Calc base'!AC269)</f>
        <v>0</v>
      </c>
      <c r="AF269">
        <f>MAX(0,ROUND(BD268*(1+'Calc base'!R269),2)-T269-'Calc base'!AD269)</f>
        <v>0</v>
      </c>
      <c r="AG269">
        <f>MAX(0,ROUND(BE268*(1+'Calc base'!S269),2)-U269-'Calc base'!AE269)</f>
        <v>0</v>
      </c>
      <c r="AH269">
        <f>IF('Calc base'!C$14=0,0,MIN(V269,MAX(0,$E269-SUMIFS($V269:$AG269,'Calc base'!$C$19:$N$19,"&lt;"&amp;'Calc base'!C$19,'Calc base'!$C$14:$N$14,1))))</f>
        <v>0</v>
      </c>
      <c r="AI269">
        <f>IF('Calc base'!D$14=0,0,MIN(W269,MAX(0,$E269-SUMIFS($V269:$AG269,'Calc base'!$C$19:$N$19,"&lt;"&amp;'Calc base'!D$19,'Calc base'!$C$14:$N$14,1))))</f>
        <v>0</v>
      </c>
      <c r="AJ269">
        <f>IF('Calc base'!E$14=0,0,MIN(X269,MAX(0,$E269-SUMIFS($V269:$AG269,'Calc base'!$C$19:$N$19,"&lt;"&amp;'Calc base'!E$19,'Calc base'!$C$14:$N$14,1))))</f>
        <v>0</v>
      </c>
      <c r="AK269">
        <f>IF('Calc base'!F$14=0,0,MIN(Y269,MAX(0,$E269-SUMIFS($V269:$AG269,'Calc base'!$C$19:$N$19,"&lt;"&amp;'Calc base'!F$19,'Calc base'!$C$14:$N$14,1))))</f>
        <v>0</v>
      </c>
      <c r="AL269">
        <f>IF('Calc base'!G$14=0,0,MIN(Z269,MAX(0,$E269-SUMIFS($V269:$AG269,'Calc base'!$C$19:$N$19,"&lt;"&amp;'Calc base'!G$19,'Calc base'!$C$14:$N$14,1))))</f>
        <v>0</v>
      </c>
      <c r="AM269">
        <f>IF('Calc base'!H$14=0,0,MIN(AA269,MAX(0,$E269-SUMIFS($V269:$AG269,'Calc base'!$C$19:$N$19,"&lt;"&amp;'Calc base'!H$19,'Calc base'!$C$14:$N$14,1))))</f>
        <v>0</v>
      </c>
      <c r="AN269">
        <f>IF('Calc base'!I$14=0,0,MIN(AB269,MAX(0,$E269-SUMIFS($V269:$AG269,'Calc base'!$C$19:$N$19,"&lt;"&amp;'Calc base'!I$19,'Calc base'!$C$14:$N$14,1))))</f>
        <v>0</v>
      </c>
      <c r="AO269">
        <f>IF('Calc base'!J$14=0,0,MIN(AC269,MAX(0,$E269-SUMIFS($V269:$AG269,'Calc base'!$C$19:$N$19,"&lt;"&amp;'Calc base'!J$19,'Calc base'!$C$14:$N$14,1))))</f>
        <v>0</v>
      </c>
      <c r="AP269">
        <f>IF('Calc base'!K$14=0,0,MIN(AD269,MAX(0,$E269-SUMIFS($V269:$AG269,'Calc base'!$C$19:$N$19,"&lt;"&amp;'Calc base'!K$19,'Calc base'!$C$14:$N$14,1))))</f>
        <v>0</v>
      </c>
      <c r="AQ269">
        <f>IF('Calc base'!L$14=0,0,MIN(AE269,MAX(0,$E269-SUMIFS($V269:$AG269,'Calc base'!$C$19:$N$19,"&lt;"&amp;'Calc base'!L$19,'Calc base'!$C$14:$N$14,1))))</f>
        <v>0</v>
      </c>
      <c r="AR269">
        <f>IF('Calc base'!M$14=0,0,MIN(AF269,MAX(0,$E269-SUMIFS($V269:$AG269,'Calc base'!$C$19:$N$19,"&lt;"&amp;'Calc base'!M$19,'Calc base'!$C$14:$N$14,1))))</f>
        <v>0</v>
      </c>
      <c r="AS269">
        <f>IF('Calc base'!N$14=0,0,MIN(AG269,MAX(0,$E269-SUMIFS($V269:$AG269,'Calc base'!$C$19:$N$19,"&lt;"&amp;'Calc base'!N$19,'Calc base'!$C$14:$N$14,1))))</f>
        <v>0</v>
      </c>
      <c r="AT269">
        <f>V269-AH269</f>
        <v>0</v>
      </c>
      <c r="AU269">
        <f>W269-AI269</f>
        <v>0</v>
      </c>
      <c r="AV269">
        <f>X269-AJ269</f>
        <v>0</v>
      </c>
      <c r="AW269">
        <f>Y269-AK269</f>
        <v>0</v>
      </c>
      <c r="AX269">
        <f>Z269-AL269</f>
        <v>0</v>
      </c>
      <c r="AY269">
        <f>AA269-AM269</f>
        <v>0</v>
      </c>
      <c r="AZ269">
        <f>AB269-AN269</f>
        <v>0</v>
      </c>
      <c r="BA269">
        <f>AC269-AO269</f>
        <v>0</v>
      </c>
      <c r="BB269">
        <f>AD269-AP269</f>
        <v>0</v>
      </c>
      <c r="BC269">
        <f>AE269-AQ269</f>
        <v>0</v>
      </c>
      <c r="BD269">
        <f>AF269-AR269</f>
        <v>0</v>
      </c>
      <c r="BE269">
        <f>AG269-AS269</f>
        <v>0</v>
      </c>
    </row>
    <row r="270">
      <c r="A270" t="n">
        <v>240</v>
      </c>
      <c r="B270">
        <f>SUMPRODUCT(ROUND($AT269:$BE269*(1+'Calc base'!$H270:$S270),2))</f>
        <v>0</v>
      </c>
      <c r="C270">
        <f>SUM(J270:U270)</f>
        <v>0</v>
      </c>
      <c r="D270">
        <f>SUM(V270:AG270)</f>
        <v>0</v>
      </c>
      <c r="E270">
        <f>MAX(0,IF(Impostazioni!$B$7="No",'Calc base'!$C270-$C$31,'Calc base'!$C270-C270)+'Calc base'!$G270+'Calc base'!$F270-(B270-C270-D270))</f>
        <v>900</v>
      </c>
      <c r="F270">
        <f>SUM(AH270:AS270)</f>
        <v>0</v>
      </c>
      <c r="G270">
        <f>SUM(AT270:BE270)</f>
        <v>0</v>
      </c>
      <c r="H270">
        <f>B270-G269</f>
        <v>0</v>
      </c>
      <c r="I270">
        <f>B270-G270</f>
        <v>0</v>
      </c>
      <c r="J270">
        <f>IF(AT269&lt;=0,0,IF(ROUND(AT269*(1+'Calc base'!H270),2)-MAX('Calc base'!C$12,ROUND('Calc base'!C$13*AT269,2))&lt;1,ROUND(AT269*(1+'Calc base'!H270),2),MAX('Calc base'!C$12,ROUND('Calc base'!C$13*AT269,2))))</f>
        <v>0</v>
      </c>
      <c r="K270">
        <f>IF(AU269&lt;=0,0,IF(ROUND(AU269*(1+'Calc base'!I270),2)-MAX('Calc base'!D$12,ROUND('Calc base'!D$13*AU269,2))&lt;1,ROUND(AU269*(1+'Calc base'!I270),2),MAX('Calc base'!D$12,ROUND('Calc base'!D$13*AU269,2))))</f>
        <v>0</v>
      </c>
      <c r="L270">
        <f>IF(AV269&lt;=0,0,IF(ROUND(AV269*(1+'Calc base'!J270),2)-MAX('Calc base'!E$12,ROUND('Calc base'!E$13*AV269,2))&lt;1,ROUND(AV269*(1+'Calc base'!J270),2),MAX('Calc base'!E$12,ROUND('Calc base'!E$13*AV269,2))))</f>
        <v>0</v>
      </c>
      <c r="M270">
        <f>IF(AW269&lt;=0,0,IF(ROUND(AW269*(1+'Calc base'!K270),2)-MAX('Calc base'!F$12,ROUND('Calc base'!F$13*AW269,2))&lt;1,ROUND(AW269*(1+'Calc base'!K270),2),MAX('Calc base'!F$12,ROUND('Calc base'!F$13*AW269,2))))</f>
        <v>0</v>
      </c>
      <c r="N270">
        <f>IF(AX269&lt;=0,0,IF(ROUND(AX269*(1+'Calc base'!L270),2)-MAX('Calc base'!G$12,ROUND('Calc base'!G$13*AX269,2))&lt;1,ROUND(AX269*(1+'Calc base'!L270),2),MAX('Calc base'!G$12,ROUND('Calc base'!G$13*AX269,2))))</f>
        <v>0</v>
      </c>
      <c r="O270">
        <f>IF(AY269&lt;=0,0,IF(ROUND(AY269*(1+'Calc base'!M270),2)-MAX('Calc base'!H$12,ROUND('Calc base'!H$13*AY269,2))&lt;1,ROUND(AY269*(1+'Calc base'!M270),2),MAX('Calc base'!H$12,ROUND('Calc base'!H$13*AY269,2))))</f>
        <v>0</v>
      </c>
      <c r="P270">
        <f>IF(AZ269&lt;=0,0,IF(ROUND(AZ269*(1+'Calc base'!N270),2)-MAX('Calc base'!I$12,ROUND('Calc base'!I$13*AZ269,2))&lt;1,ROUND(AZ269*(1+'Calc base'!N270),2),MAX('Calc base'!I$12,ROUND('Calc base'!I$13*AZ269,2))))</f>
        <v>0</v>
      </c>
      <c r="Q270">
        <f>IF(BA269&lt;=0,0,IF(ROUND(BA269*(1+'Calc base'!O270),2)-MAX('Calc base'!J$12,ROUND('Calc base'!J$13*BA269,2))&lt;1,ROUND(BA269*(1+'Calc base'!O270),2),MAX('Calc base'!J$12,ROUND('Calc base'!J$13*BA269,2))))</f>
        <v>0</v>
      </c>
      <c r="R270">
        <f>IF(BB269&lt;=0,0,IF(ROUND(BB269*(1+'Calc base'!P270),2)-MAX('Calc base'!K$12,ROUND('Calc base'!K$13*BB269,2))&lt;1,ROUND(BB269*(1+'Calc base'!P270),2),MAX('Calc base'!K$12,ROUND('Calc base'!K$13*BB269,2))))</f>
        <v>0</v>
      </c>
      <c r="S270">
        <f>IF(BC269&lt;=0,0,IF(ROUND(BC269*(1+'Calc base'!Q270),2)-MAX('Calc base'!L$12,ROUND('Calc base'!L$13*BC269,2))&lt;1,ROUND(BC269*(1+'Calc base'!Q270),2),MAX('Calc base'!L$12,ROUND('Calc base'!L$13*BC269,2))))</f>
        <v>0</v>
      </c>
      <c r="T270">
        <f>IF(BD269&lt;=0,0,IF(ROUND(BD269*(1+'Calc base'!R270),2)-MAX('Calc base'!M$12,ROUND('Calc base'!M$13*BD269,2))&lt;1,ROUND(BD269*(1+'Calc base'!R270),2),MAX('Calc base'!M$12,ROUND('Calc base'!M$13*BD269,2))))</f>
        <v>0</v>
      </c>
      <c r="U270">
        <f>IF(BE269&lt;=0,0,IF(ROUND(BE269*(1+'Calc base'!S270),2)-MAX('Calc base'!N$12,ROUND('Calc base'!N$13*BE269,2))&lt;1,ROUND(BE269*(1+'Calc base'!S270),2),MAX('Calc base'!N$12,ROUND('Calc base'!N$13*BE269,2))))</f>
        <v>0</v>
      </c>
      <c r="V270">
        <f>MAX(0,ROUND(AT269*(1+'Calc base'!H270),2)-J270-'Calc base'!T270)</f>
        <v>0</v>
      </c>
      <c r="W270">
        <f>MAX(0,ROUND(AU269*(1+'Calc base'!I270),2)-K270-'Calc base'!U270)</f>
        <v>0</v>
      </c>
      <c r="X270">
        <f>MAX(0,ROUND(AV269*(1+'Calc base'!J270),2)-L270-'Calc base'!V270)</f>
        <v>0</v>
      </c>
      <c r="Y270">
        <f>MAX(0,ROUND(AW269*(1+'Calc base'!K270),2)-M270-'Calc base'!W270)</f>
        <v>0</v>
      </c>
      <c r="Z270">
        <f>MAX(0,ROUND(AX269*(1+'Calc base'!L270),2)-N270-'Calc base'!X270)</f>
        <v>0</v>
      </c>
      <c r="AA270">
        <f>MAX(0,ROUND(AY269*(1+'Calc base'!M270),2)-O270-'Calc base'!Y270)</f>
        <v>0</v>
      </c>
      <c r="AB270">
        <f>MAX(0,ROUND(AZ269*(1+'Calc base'!N270),2)-P270-'Calc base'!Z270)</f>
        <v>0</v>
      </c>
      <c r="AC270">
        <f>MAX(0,ROUND(BA269*(1+'Calc base'!O270),2)-Q270-'Calc base'!AA270)</f>
        <v>0</v>
      </c>
      <c r="AD270">
        <f>MAX(0,ROUND(BB269*(1+'Calc base'!P270),2)-R270-'Calc base'!AB270)</f>
        <v>0</v>
      </c>
      <c r="AE270">
        <f>MAX(0,ROUND(BC269*(1+'Calc base'!Q270),2)-S270-'Calc base'!AC270)</f>
        <v>0</v>
      </c>
      <c r="AF270">
        <f>MAX(0,ROUND(BD269*(1+'Calc base'!R270),2)-T270-'Calc base'!AD270)</f>
        <v>0</v>
      </c>
      <c r="AG270">
        <f>MAX(0,ROUND(BE269*(1+'Calc base'!S270),2)-U270-'Calc base'!AE270)</f>
        <v>0</v>
      </c>
      <c r="AH270">
        <f>IF('Calc base'!C$14=0,0,MIN(V270,MAX(0,$E270-SUMIFS($V270:$AG270,'Calc base'!$C$19:$N$19,"&lt;"&amp;'Calc base'!C$19,'Calc base'!$C$14:$N$14,1))))</f>
        <v>0</v>
      </c>
      <c r="AI270">
        <f>IF('Calc base'!D$14=0,0,MIN(W270,MAX(0,$E270-SUMIFS($V270:$AG270,'Calc base'!$C$19:$N$19,"&lt;"&amp;'Calc base'!D$19,'Calc base'!$C$14:$N$14,1))))</f>
        <v>0</v>
      </c>
      <c r="AJ270">
        <f>IF('Calc base'!E$14=0,0,MIN(X270,MAX(0,$E270-SUMIFS($V270:$AG270,'Calc base'!$C$19:$N$19,"&lt;"&amp;'Calc base'!E$19,'Calc base'!$C$14:$N$14,1))))</f>
        <v>0</v>
      </c>
      <c r="AK270">
        <f>IF('Calc base'!F$14=0,0,MIN(Y270,MAX(0,$E270-SUMIFS($V270:$AG270,'Calc base'!$C$19:$N$19,"&lt;"&amp;'Calc base'!F$19,'Calc base'!$C$14:$N$14,1))))</f>
        <v>0</v>
      </c>
      <c r="AL270">
        <f>IF('Calc base'!G$14=0,0,MIN(Z270,MAX(0,$E270-SUMIFS($V270:$AG270,'Calc base'!$C$19:$N$19,"&lt;"&amp;'Calc base'!G$19,'Calc base'!$C$14:$N$14,1))))</f>
        <v>0</v>
      </c>
      <c r="AM270">
        <f>IF('Calc base'!H$14=0,0,MIN(AA270,MAX(0,$E270-SUMIFS($V270:$AG270,'Calc base'!$C$19:$N$19,"&lt;"&amp;'Calc base'!H$19,'Calc base'!$C$14:$N$14,1))))</f>
        <v>0</v>
      </c>
      <c r="AN270">
        <f>IF('Calc base'!I$14=0,0,MIN(AB270,MAX(0,$E270-SUMIFS($V270:$AG270,'Calc base'!$C$19:$N$19,"&lt;"&amp;'Calc base'!I$19,'Calc base'!$C$14:$N$14,1))))</f>
        <v>0</v>
      </c>
      <c r="AO270">
        <f>IF('Calc base'!J$14=0,0,MIN(AC270,MAX(0,$E270-SUMIFS($V270:$AG270,'Calc base'!$C$19:$N$19,"&lt;"&amp;'Calc base'!J$19,'Calc base'!$C$14:$N$14,1))))</f>
        <v>0</v>
      </c>
      <c r="AP270">
        <f>IF('Calc base'!K$14=0,0,MIN(AD270,MAX(0,$E270-SUMIFS($V270:$AG270,'Calc base'!$C$19:$N$19,"&lt;"&amp;'Calc base'!K$19,'Calc base'!$C$14:$N$14,1))))</f>
        <v>0</v>
      </c>
      <c r="AQ270">
        <f>IF('Calc base'!L$14=0,0,MIN(AE270,MAX(0,$E270-SUMIFS($V270:$AG270,'Calc base'!$C$19:$N$19,"&lt;"&amp;'Calc base'!L$19,'Calc base'!$C$14:$N$14,1))))</f>
        <v>0</v>
      </c>
      <c r="AR270">
        <f>IF('Calc base'!M$14=0,0,MIN(AF270,MAX(0,$E270-SUMIFS($V270:$AG270,'Calc base'!$C$19:$N$19,"&lt;"&amp;'Calc base'!M$19,'Calc base'!$C$14:$N$14,1))))</f>
        <v>0</v>
      </c>
      <c r="AS270">
        <f>IF('Calc base'!N$14=0,0,MIN(AG270,MAX(0,$E270-SUMIFS($V270:$AG270,'Calc base'!$C$19:$N$19,"&lt;"&amp;'Calc base'!N$19,'Calc base'!$C$14:$N$14,1))))</f>
        <v>0</v>
      </c>
      <c r="AT270">
        <f>V270-AH270</f>
        <v>0</v>
      </c>
      <c r="AU270">
        <f>W270-AI270</f>
        <v>0</v>
      </c>
      <c r="AV270">
        <f>X270-AJ270</f>
        <v>0</v>
      </c>
      <c r="AW270">
        <f>Y270-AK270</f>
        <v>0</v>
      </c>
      <c r="AX270">
        <f>Z270-AL270</f>
        <v>0</v>
      </c>
      <c r="AY270">
        <f>AA270-AM270</f>
        <v>0</v>
      </c>
      <c r="AZ270">
        <f>AB270-AN270</f>
        <v>0</v>
      </c>
      <c r="BA270">
        <f>AC270-AO270</f>
        <v>0</v>
      </c>
      <c r="BB270">
        <f>AD270-AP270</f>
        <v>0</v>
      </c>
      <c r="BC270">
        <f>AE270-AQ270</f>
        <v>0</v>
      </c>
      <c r="BD270">
        <f>AF270-AR270</f>
        <v>0</v>
      </c>
      <c r="BE270">
        <f>AG270-AS270</f>
        <v>0</v>
      </c>
    </row>
    <row r="271">
      <c r="A271" t="n">
        <v>241</v>
      </c>
      <c r="B271">
        <f>SUMPRODUCT(ROUND($AT270:$BE270*(1+'Calc base'!$H271:$S271),2))</f>
        <v>0</v>
      </c>
      <c r="C271">
        <f>SUM(J271:U271)</f>
        <v>0</v>
      </c>
      <c r="D271">
        <f>SUM(V271:AG271)</f>
        <v>0</v>
      </c>
      <c r="E271">
        <f>MAX(0,IF(Impostazioni!$B$7="No",'Calc base'!$C271-$C$31,'Calc base'!$C271-C271)+'Calc base'!$G271+'Calc base'!$F271-(B271-C271-D271))</f>
        <v>900</v>
      </c>
      <c r="F271">
        <f>SUM(AH271:AS271)</f>
        <v>0</v>
      </c>
      <c r="G271">
        <f>SUM(AT271:BE271)</f>
        <v>0</v>
      </c>
      <c r="H271">
        <f>B271-G270</f>
        <v>0</v>
      </c>
      <c r="I271">
        <f>B271-G271</f>
        <v>0</v>
      </c>
      <c r="J271">
        <f>IF(AT270&lt;=0,0,IF(ROUND(AT270*(1+'Calc base'!H271),2)-MAX('Calc base'!C$12,ROUND('Calc base'!C$13*AT270,2))&lt;1,ROUND(AT270*(1+'Calc base'!H271),2),MAX('Calc base'!C$12,ROUND('Calc base'!C$13*AT270,2))))</f>
        <v>0</v>
      </c>
      <c r="K271">
        <f>IF(AU270&lt;=0,0,IF(ROUND(AU270*(1+'Calc base'!I271),2)-MAX('Calc base'!D$12,ROUND('Calc base'!D$13*AU270,2))&lt;1,ROUND(AU270*(1+'Calc base'!I271),2),MAX('Calc base'!D$12,ROUND('Calc base'!D$13*AU270,2))))</f>
        <v>0</v>
      </c>
      <c r="L271">
        <f>IF(AV270&lt;=0,0,IF(ROUND(AV270*(1+'Calc base'!J271),2)-MAX('Calc base'!E$12,ROUND('Calc base'!E$13*AV270,2))&lt;1,ROUND(AV270*(1+'Calc base'!J271),2),MAX('Calc base'!E$12,ROUND('Calc base'!E$13*AV270,2))))</f>
        <v>0</v>
      </c>
      <c r="M271">
        <f>IF(AW270&lt;=0,0,IF(ROUND(AW270*(1+'Calc base'!K271),2)-MAX('Calc base'!F$12,ROUND('Calc base'!F$13*AW270,2))&lt;1,ROUND(AW270*(1+'Calc base'!K271),2),MAX('Calc base'!F$12,ROUND('Calc base'!F$13*AW270,2))))</f>
        <v>0</v>
      </c>
      <c r="N271">
        <f>IF(AX270&lt;=0,0,IF(ROUND(AX270*(1+'Calc base'!L271),2)-MAX('Calc base'!G$12,ROUND('Calc base'!G$13*AX270,2))&lt;1,ROUND(AX270*(1+'Calc base'!L271),2),MAX('Calc base'!G$12,ROUND('Calc base'!G$13*AX270,2))))</f>
        <v>0</v>
      </c>
      <c r="O271">
        <f>IF(AY270&lt;=0,0,IF(ROUND(AY270*(1+'Calc base'!M271),2)-MAX('Calc base'!H$12,ROUND('Calc base'!H$13*AY270,2))&lt;1,ROUND(AY270*(1+'Calc base'!M271),2),MAX('Calc base'!H$12,ROUND('Calc base'!H$13*AY270,2))))</f>
        <v>0</v>
      </c>
      <c r="P271">
        <f>IF(AZ270&lt;=0,0,IF(ROUND(AZ270*(1+'Calc base'!N271),2)-MAX('Calc base'!I$12,ROUND('Calc base'!I$13*AZ270,2))&lt;1,ROUND(AZ270*(1+'Calc base'!N271),2),MAX('Calc base'!I$12,ROUND('Calc base'!I$13*AZ270,2))))</f>
        <v>0</v>
      </c>
      <c r="Q271">
        <f>IF(BA270&lt;=0,0,IF(ROUND(BA270*(1+'Calc base'!O271),2)-MAX('Calc base'!J$12,ROUND('Calc base'!J$13*BA270,2))&lt;1,ROUND(BA270*(1+'Calc base'!O271),2),MAX('Calc base'!J$12,ROUND('Calc base'!J$13*BA270,2))))</f>
        <v>0</v>
      </c>
      <c r="R271">
        <f>IF(BB270&lt;=0,0,IF(ROUND(BB270*(1+'Calc base'!P271),2)-MAX('Calc base'!K$12,ROUND('Calc base'!K$13*BB270,2))&lt;1,ROUND(BB270*(1+'Calc base'!P271),2),MAX('Calc base'!K$12,ROUND('Calc base'!K$13*BB270,2))))</f>
        <v>0</v>
      </c>
      <c r="S271">
        <f>IF(BC270&lt;=0,0,IF(ROUND(BC270*(1+'Calc base'!Q271),2)-MAX('Calc base'!L$12,ROUND('Calc base'!L$13*BC270,2))&lt;1,ROUND(BC270*(1+'Calc base'!Q271),2),MAX('Calc base'!L$12,ROUND('Calc base'!L$13*BC270,2))))</f>
        <v>0</v>
      </c>
      <c r="T271">
        <f>IF(BD270&lt;=0,0,IF(ROUND(BD270*(1+'Calc base'!R271),2)-MAX('Calc base'!M$12,ROUND('Calc base'!M$13*BD270,2))&lt;1,ROUND(BD270*(1+'Calc base'!R271),2),MAX('Calc base'!M$12,ROUND('Calc base'!M$13*BD270,2))))</f>
        <v>0</v>
      </c>
      <c r="U271">
        <f>IF(BE270&lt;=0,0,IF(ROUND(BE270*(1+'Calc base'!S271),2)-MAX('Calc base'!N$12,ROUND('Calc base'!N$13*BE270,2))&lt;1,ROUND(BE270*(1+'Calc base'!S271),2),MAX('Calc base'!N$12,ROUND('Calc base'!N$13*BE270,2))))</f>
        <v>0</v>
      </c>
      <c r="V271">
        <f>MAX(0,ROUND(AT270*(1+'Calc base'!H271),2)-J271-'Calc base'!T271)</f>
        <v>0</v>
      </c>
      <c r="W271">
        <f>MAX(0,ROUND(AU270*(1+'Calc base'!I271),2)-K271-'Calc base'!U271)</f>
        <v>0</v>
      </c>
      <c r="X271">
        <f>MAX(0,ROUND(AV270*(1+'Calc base'!J271),2)-L271-'Calc base'!V271)</f>
        <v>0</v>
      </c>
      <c r="Y271">
        <f>MAX(0,ROUND(AW270*(1+'Calc base'!K271),2)-M271-'Calc base'!W271)</f>
        <v>0</v>
      </c>
      <c r="Z271">
        <f>MAX(0,ROUND(AX270*(1+'Calc base'!L271),2)-N271-'Calc base'!X271)</f>
        <v>0</v>
      </c>
      <c r="AA271">
        <f>MAX(0,ROUND(AY270*(1+'Calc base'!M271),2)-O271-'Calc base'!Y271)</f>
        <v>0</v>
      </c>
      <c r="AB271">
        <f>MAX(0,ROUND(AZ270*(1+'Calc base'!N271),2)-P271-'Calc base'!Z271)</f>
        <v>0</v>
      </c>
      <c r="AC271">
        <f>MAX(0,ROUND(BA270*(1+'Calc base'!O271),2)-Q271-'Calc base'!AA271)</f>
        <v>0</v>
      </c>
      <c r="AD271">
        <f>MAX(0,ROUND(BB270*(1+'Calc base'!P271),2)-R271-'Calc base'!AB271)</f>
        <v>0</v>
      </c>
      <c r="AE271">
        <f>MAX(0,ROUND(BC270*(1+'Calc base'!Q271),2)-S271-'Calc base'!AC271)</f>
        <v>0</v>
      </c>
      <c r="AF271">
        <f>MAX(0,ROUND(BD270*(1+'Calc base'!R271),2)-T271-'Calc base'!AD271)</f>
        <v>0</v>
      </c>
      <c r="AG271">
        <f>MAX(0,ROUND(BE270*(1+'Calc base'!S271),2)-U271-'Calc base'!AE271)</f>
        <v>0</v>
      </c>
      <c r="AH271">
        <f>IF('Calc base'!C$14=0,0,MIN(V271,MAX(0,$E271-SUMIFS($V271:$AG271,'Calc base'!$C$19:$N$19,"&lt;"&amp;'Calc base'!C$19,'Calc base'!$C$14:$N$14,1))))</f>
        <v>0</v>
      </c>
      <c r="AI271">
        <f>IF('Calc base'!D$14=0,0,MIN(W271,MAX(0,$E271-SUMIFS($V271:$AG271,'Calc base'!$C$19:$N$19,"&lt;"&amp;'Calc base'!D$19,'Calc base'!$C$14:$N$14,1))))</f>
        <v>0</v>
      </c>
      <c r="AJ271">
        <f>IF('Calc base'!E$14=0,0,MIN(X271,MAX(0,$E271-SUMIFS($V271:$AG271,'Calc base'!$C$19:$N$19,"&lt;"&amp;'Calc base'!E$19,'Calc base'!$C$14:$N$14,1))))</f>
        <v>0</v>
      </c>
      <c r="AK271">
        <f>IF('Calc base'!F$14=0,0,MIN(Y271,MAX(0,$E271-SUMIFS($V271:$AG271,'Calc base'!$C$19:$N$19,"&lt;"&amp;'Calc base'!F$19,'Calc base'!$C$14:$N$14,1))))</f>
        <v>0</v>
      </c>
      <c r="AL271">
        <f>IF('Calc base'!G$14=0,0,MIN(Z271,MAX(0,$E271-SUMIFS($V271:$AG271,'Calc base'!$C$19:$N$19,"&lt;"&amp;'Calc base'!G$19,'Calc base'!$C$14:$N$14,1))))</f>
        <v>0</v>
      </c>
      <c r="AM271">
        <f>IF('Calc base'!H$14=0,0,MIN(AA271,MAX(0,$E271-SUMIFS($V271:$AG271,'Calc base'!$C$19:$N$19,"&lt;"&amp;'Calc base'!H$19,'Calc base'!$C$14:$N$14,1))))</f>
        <v>0</v>
      </c>
      <c r="AN271">
        <f>IF('Calc base'!I$14=0,0,MIN(AB271,MAX(0,$E271-SUMIFS($V271:$AG271,'Calc base'!$C$19:$N$19,"&lt;"&amp;'Calc base'!I$19,'Calc base'!$C$14:$N$14,1))))</f>
        <v>0</v>
      </c>
      <c r="AO271">
        <f>IF('Calc base'!J$14=0,0,MIN(AC271,MAX(0,$E271-SUMIFS($V271:$AG271,'Calc base'!$C$19:$N$19,"&lt;"&amp;'Calc base'!J$19,'Calc base'!$C$14:$N$14,1))))</f>
        <v>0</v>
      </c>
      <c r="AP271">
        <f>IF('Calc base'!K$14=0,0,MIN(AD271,MAX(0,$E271-SUMIFS($V271:$AG271,'Calc base'!$C$19:$N$19,"&lt;"&amp;'Calc base'!K$19,'Calc base'!$C$14:$N$14,1))))</f>
        <v>0</v>
      </c>
      <c r="AQ271">
        <f>IF('Calc base'!L$14=0,0,MIN(AE271,MAX(0,$E271-SUMIFS($V271:$AG271,'Calc base'!$C$19:$N$19,"&lt;"&amp;'Calc base'!L$19,'Calc base'!$C$14:$N$14,1))))</f>
        <v>0</v>
      </c>
      <c r="AR271">
        <f>IF('Calc base'!M$14=0,0,MIN(AF271,MAX(0,$E271-SUMIFS($V271:$AG271,'Calc base'!$C$19:$N$19,"&lt;"&amp;'Calc base'!M$19,'Calc base'!$C$14:$N$14,1))))</f>
        <v>0</v>
      </c>
      <c r="AS271">
        <f>IF('Calc base'!N$14=0,0,MIN(AG271,MAX(0,$E271-SUMIFS($V271:$AG271,'Calc base'!$C$19:$N$19,"&lt;"&amp;'Calc base'!N$19,'Calc base'!$C$14:$N$14,1))))</f>
        <v>0</v>
      </c>
      <c r="AT271">
        <f>V271-AH271</f>
        <v>0</v>
      </c>
      <c r="AU271">
        <f>W271-AI271</f>
        <v>0</v>
      </c>
      <c r="AV271">
        <f>X271-AJ271</f>
        <v>0</v>
      </c>
      <c r="AW271">
        <f>Y271-AK271</f>
        <v>0</v>
      </c>
      <c r="AX271">
        <f>Z271-AL271</f>
        <v>0</v>
      </c>
      <c r="AY271">
        <f>AA271-AM271</f>
        <v>0</v>
      </c>
      <c r="AZ271">
        <f>AB271-AN271</f>
        <v>0</v>
      </c>
      <c r="BA271">
        <f>AC271-AO271</f>
        <v>0</v>
      </c>
      <c r="BB271">
        <f>AD271-AP271</f>
        <v>0</v>
      </c>
      <c r="BC271">
        <f>AE271-AQ271</f>
        <v>0</v>
      </c>
      <c r="BD271">
        <f>AF271-AR271</f>
        <v>0</v>
      </c>
      <c r="BE271">
        <f>AG271-AS271</f>
        <v>0</v>
      </c>
    </row>
    <row r="272">
      <c r="A272" t="n">
        <v>242</v>
      </c>
      <c r="B272">
        <f>SUMPRODUCT(ROUND($AT271:$BE271*(1+'Calc base'!$H272:$S272),2))</f>
        <v>0</v>
      </c>
      <c r="C272">
        <f>SUM(J272:U272)</f>
        <v>0</v>
      </c>
      <c r="D272">
        <f>SUM(V272:AG272)</f>
        <v>0</v>
      </c>
      <c r="E272">
        <f>MAX(0,IF(Impostazioni!$B$7="No",'Calc base'!$C272-$C$31,'Calc base'!$C272-C272)+'Calc base'!$G272+'Calc base'!$F272-(B272-C272-D272))</f>
        <v>900</v>
      </c>
      <c r="F272">
        <f>SUM(AH272:AS272)</f>
        <v>0</v>
      </c>
      <c r="G272">
        <f>SUM(AT272:BE272)</f>
        <v>0</v>
      </c>
      <c r="H272">
        <f>B272-G271</f>
        <v>0</v>
      </c>
      <c r="I272">
        <f>B272-G272</f>
        <v>0</v>
      </c>
      <c r="J272">
        <f>IF(AT271&lt;=0,0,IF(ROUND(AT271*(1+'Calc base'!H272),2)-MAX('Calc base'!C$12,ROUND('Calc base'!C$13*AT271,2))&lt;1,ROUND(AT271*(1+'Calc base'!H272),2),MAX('Calc base'!C$12,ROUND('Calc base'!C$13*AT271,2))))</f>
        <v>0</v>
      </c>
      <c r="K272">
        <f>IF(AU271&lt;=0,0,IF(ROUND(AU271*(1+'Calc base'!I272),2)-MAX('Calc base'!D$12,ROUND('Calc base'!D$13*AU271,2))&lt;1,ROUND(AU271*(1+'Calc base'!I272),2),MAX('Calc base'!D$12,ROUND('Calc base'!D$13*AU271,2))))</f>
        <v>0</v>
      </c>
      <c r="L272">
        <f>IF(AV271&lt;=0,0,IF(ROUND(AV271*(1+'Calc base'!J272),2)-MAX('Calc base'!E$12,ROUND('Calc base'!E$13*AV271,2))&lt;1,ROUND(AV271*(1+'Calc base'!J272),2),MAX('Calc base'!E$12,ROUND('Calc base'!E$13*AV271,2))))</f>
        <v>0</v>
      </c>
      <c r="M272">
        <f>IF(AW271&lt;=0,0,IF(ROUND(AW271*(1+'Calc base'!K272),2)-MAX('Calc base'!F$12,ROUND('Calc base'!F$13*AW271,2))&lt;1,ROUND(AW271*(1+'Calc base'!K272),2),MAX('Calc base'!F$12,ROUND('Calc base'!F$13*AW271,2))))</f>
        <v>0</v>
      </c>
      <c r="N272">
        <f>IF(AX271&lt;=0,0,IF(ROUND(AX271*(1+'Calc base'!L272),2)-MAX('Calc base'!G$12,ROUND('Calc base'!G$13*AX271,2))&lt;1,ROUND(AX271*(1+'Calc base'!L272),2),MAX('Calc base'!G$12,ROUND('Calc base'!G$13*AX271,2))))</f>
        <v>0</v>
      </c>
      <c r="O272">
        <f>IF(AY271&lt;=0,0,IF(ROUND(AY271*(1+'Calc base'!M272),2)-MAX('Calc base'!H$12,ROUND('Calc base'!H$13*AY271,2))&lt;1,ROUND(AY271*(1+'Calc base'!M272),2),MAX('Calc base'!H$12,ROUND('Calc base'!H$13*AY271,2))))</f>
        <v>0</v>
      </c>
      <c r="P272">
        <f>IF(AZ271&lt;=0,0,IF(ROUND(AZ271*(1+'Calc base'!N272),2)-MAX('Calc base'!I$12,ROUND('Calc base'!I$13*AZ271,2))&lt;1,ROUND(AZ271*(1+'Calc base'!N272),2),MAX('Calc base'!I$12,ROUND('Calc base'!I$13*AZ271,2))))</f>
        <v>0</v>
      </c>
      <c r="Q272">
        <f>IF(BA271&lt;=0,0,IF(ROUND(BA271*(1+'Calc base'!O272),2)-MAX('Calc base'!J$12,ROUND('Calc base'!J$13*BA271,2))&lt;1,ROUND(BA271*(1+'Calc base'!O272),2),MAX('Calc base'!J$12,ROUND('Calc base'!J$13*BA271,2))))</f>
        <v>0</v>
      </c>
      <c r="R272">
        <f>IF(BB271&lt;=0,0,IF(ROUND(BB271*(1+'Calc base'!P272),2)-MAX('Calc base'!K$12,ROUND('Calc base'!K$13*BB271,2))&lt;1,ROUND(BB271*(1+'Calc base'!P272),2),MAX('Calc base'!K$12,ROUND('Calc base'!K$13*BB271,2))))</f>
        <v>0</v>
      </c>
      <c r="S272">
        <f>IF(BC271&lt;=0,0,IF(ROUND(BC271*(1+'Calc base'!Q272),2)-MAX('Calc base'!L$12,ROUND('Calc base'!L$13*BC271,2))&lt;1,ROUND(BC271*(1+'Calc base'!Q272),2),MAX('Calc base'!L$12,ROUND('Calc base'!L$13*BC271,2))))</f>
        <v>0</v>
      </c>
      <c r="T272">
        <f>IF(BD271&lt;=0,0,IF(ROUND(BD271*(1+'Calc base'!R272),2)-MAX('Calc base'!M$12,ROUND('Calc base'!M$13*BD271,2))&lt;1,ROUND(BD271*(1+'Calc base'!R272),2),MAX('Calc base'!M$12,ROUND('Calc base'!M$13*BD271,2))))</f>
        <v>0</v>
      </c>
      <c r="U272">
        <f>IF(BE271&lt;=0,0,IF(ROUND(BE271*(1+'Calc base'!S272),2)-MAX('Calc base'!N$12,ROUND('Calc base'!N$13*BE271,2))&lt;1,ROUND(BE271*(1+'Calc base'!S272),2),MAX('Calc base'!N$12,ROUND('Calc base'!N$13*BE271,2))))</f>
        <v>0</v>
      </c>
      <c r="V272">
        <f>MAX(0,ROUND(AT271*(1+'Calc base'!H272),2)-J272-'Calc base'!T272)</f>
        <v>0</v>
      </c>
      <c r="W272">
        <f>MAX(0,ROUND(AU271*(1+'Calc base'!I272),2)-K272-'Calc base'!U272)</f>
        <v>0</v>
      </c>
      <c r="X272">
        <f>MAX(0,ROUND(AV271*(1+'Calc base'!J272),2)-L272-'Calc base'!V272)</f>
        <v>0</v>
      </c>
      <c r="Y272">
        <f>MAX(0,ROUND(AW271*(1+'Calc base'!K272),2)-M272-'Calc base'!W272)</f>
        <v>0</v>
      </c>
      <c r="Z272">
        <f>MAX(0,ROUND(AX271*(1+'Calc base'!L272),2)-N272-'Calc base'!X272)</f>
        <v>0</v>
      </c>
      <c r="AA272">
        <f>MAX(0,ROUND(AY271*(1+'Calc base'!M272),2)-O272-'Calc base'!Y272)</f>
        <v>0</v>
      </c>
      <c r="AB272">
        <f>MAX(0,ROUND(AZ271*(1+'Calc base'!N272),2)-P272-'Calc base'!Z272)</f>
        <v>0</v>
      </c>
      <c r="AC272">
        <f>MAX(0,ROUND(BA271*(1+'Calc base'!O272),2)-Q272-'Calc base'!AA272)</f>
        <v>0</v>
      </c>
      <c r="AD272">
        <f>MAX(0,ROUND(BB271*(1+'Calc base'!P272),2)-R272-'Calc base'!AB272)</f>
        <v>0</v>
      </c>
      <c r="AE272">
        <f>MAX(0,ROUND(BC271*(1+'Calc base'!Q272),2)-S272-'Calc base'!AC272)</f>
        <v>0</v>
      </c>
      <c r="AF272">
        <f>MAX(0,ROUND(BD271*(1+'Calc base'!R272),2)-T272-'Calc base'!AD272)</f>
        <v>0</v>
      </c>
      <c r="AG272">
        <f>MAX(0,ROUND(BE271*(1+'Calc base'!S272),2)-U272-'Calc base'!AE272)</f>
        <v>0</v>
      </c>
      <c r="AH272">
        <f>IF('Calc base'!C$14=0,0,MIN(V272,MAX(0,$E272-SUMIFS($V272:$AG272,'Calc base'!$C$19:$N$19,"&lt;"&amp;'Calc base'!C$19,'Calc base'!$C$14:$N$14,1))))</f>
        <v>0</v>
      </c>
      <c r="AI272">
        <f>IF('Calc base'!D$14=0,0,MIN(W272,MAX(0,$E272-SUMIFS($V272:$AG272,'Calc base'!$C$19:$N$19,"&lt;"&amp;'Calc base'!D$19,'Calc base'!$C$14:$N$14,1))))</f>
        <v>0</v>
      </c>
      <c r="AJ272">
        <f>IF('Calc base'!E$14=0,0,MIN(X272,MAX(0,$E272-SUMIFS($V272:$AG272,'Calc base'!$C$19:$N$19,"&lt;"&amp;'Calc base'!E$19,'Calc base'!$C$14:$N$14,1))))</f>
        <v>0</v>
      </c>
      <c r="AK272">
        <f>IF('Calc base'!F$14=0,0,MIN(Y272,MAX(0,$E272-SUMIFS($V272:$AG272,'Calc base'!$C$19:$N$19,"&lt;"&amp;'Calc base'!F$19,'Calc base'!$C$14:$N$14,1))))</f>
        <v>0</v>
      </c>
      <c r="AL272">
        <f>IF('Calc base'!G$14=0,0,MIN(Z272,MAX(0,$E272-SUMIFS($V272:$AG272,'Calc base'!$C$19:$N$19,"&lt;"&amp;'Calc base'!G$19,'Calc base'!$C$14:$N$14,1))))</f>
        <v>0</v>
      </c>
      <c r="AM272">
        <f>IF('Calc base'!H$14=0,0,MIN(AA272,MAX(0,$E272-SUMIFS($V272:$AG272,'Calc base'!$C$19:$N$19,"&lt;"&amp;'Calc base'!H$19,'Calc base'!$C$14:$N$14,1))))</f>
        <v>0</v>
      </c>
      <c r="AN272">
        <f>IF('Calc base'!I$14=0,0,MIN(AB272,MAX(0,$E272-SUMIFS($V272:$AG272,'Calc base'!$C$19:$N$19,"&lt;"&amp;'Calc base'!I$19,'Calc base'!$C$14:$N$14,1))))</f>
        <v>0</v>
      </c>
      <c r="AO272">
        <f>IF('Calc base'!J$14=0,0,MIN(AC272,MAX(0,$E272-SUMIFS($V272:$AG272,'Calc base'!$C$19:$N$19,"&lt;"&amp;'Calc base'!J$19,'Calc base'!$C$14:$N$14,1))))</f>
        <v>0</v>
      </c>
      <c r="AP272">
        <f>IF('Calc base'!K$14=0,0,MIN(AD272,MAX(0,$E272-SUMIFS($V272:$AG272,'Calc base'!$C$19:$N$19,"&lt;"&amp;'Calc base'!K$19,'Calc base'!$C$14:$N$14,1))))</f>
        <v>0</v>
      </c>
      <c r="AQ272">
        <f>IF('Calc base'!L$14=0,0,MIN(AE272,MAX(0,$E272-SUMIFS($V272:$AG272,'Calc base'!$C$19:$N$19,"&lt;"&amp;'Calc base'!L$19,'Calc base'!$C$14:$N$14,1))))</f>
        <v>0</v>
      </c>
      <c r="AR272">
        <f>IF('Calc base'!M$14=0,0,MIN(AF272,MAX(0,$E272-SUMIFS($V272:$AG272,'Calc base'!$C$19:$N$19,"&lt;"&amp;'Calc base'!M$19,'Calc base'!$C$14:$N$14,1))))</f>
        <v>0</v>
      </c>
      <c r="AS272">
        <f>IF('Calc base'!N$14=0,0,MIN(AG272,MAX(0,$E272-SUMIFS($V272:$AG272,'Calc base'!$C$19:$N$19,"&lt;"&amp;'Calc base'!N$19,'Calc base'!$C$14:$N$14,1))))</f>
        <v>0</v>
      </c>
      <c r="AT272">
        <f>V272-AH272</f>
        <v>0</v>
      </c>
      <c r="AU272">
        <f>W272-AI272</f>
        <v>0</v>
      </c>
      <c r="AV272">
        <f>X272-AJ272</f>
        <v>0</v>
      </c>
      <c r="AW272">
        <f>Y272-AK272</f>
        <v>0</v>
      </c>
      <c r="AX272">
        <f>Z272-AL272</f>
        <v>0</v>
      </c>
      <c r="AY272">
        <f>AA272-AM272</f>
        <v>0</v>
      </c>
      <c r="AZ272">
        <f>AB272-AN272</f>
        <v>0</v>
      </c>
      <c r="BA272">
        <f>AC272-AO272</f>
        <v>0</v>
      </c>
      <c r="BB272">
        <f>AD272-AP272</f>
        <v>0</v>
      </c>
      <c r="BC272">
        <f>AE272-AQ272</f>
        <v>0</v>
      </c>
      <c r="BD272">
        <f>AF272-AR272</f>
        <v>0</v>
      </c>
      <c r="BE272">
        <f>AG272-AS272</f>
        <v>0</v>
      </c>
    </row>
    <row r="273">
      <c r="A273" t="n">
        <v>243</v>
      </c>
      <c r="B273">
        <f>SUMPRODUCT(ROUND($AT272:$BE272*(1+'Calc base'!$H273:$S273),2))</f>
        <v>0</v>
      </c>
      <c r="C273">
        <f>SUM(J273:U273)</f>
        <v>0</v>
      </c>
      <c r="D273">
        <f>SUM(V273:AG273)</f>
        <v>0</v>
      </c>
      <c r="E273">
        <f>MAX(0,IF(Impostazioni!$B$7="No",'Calc base'!$C273-$C$31,'Calc base'!$C273-C273)+'Calc base'!$G273+'Calc base'!$F273-(B273-C273-D273))</f>
        <v>900</v>
      </c>
      <c r="F273">
        <f>SUM(AH273:AS273)</f>
        <v>0</v>
      </c>
      <c r="G273">
        <f>SUM(AT273:BE273)</f>
        <v>0</v>
      </c>
      <c r="H273">
        <f>B273-G272</f>
        <v>0</v>
      </c>
      <c r="I273">
        <f>B273-G273</f>
        <v>0</v>
      </c>
      <c r="J273">
        <f>IF(AT272&lt;=0,0,IF(ROUND(AT272*(1+'Calc base'!H273),2)-MAX('Calc base'!C$12,ROUND('Calc base'!C$13*AT272,2))&lt;1,ROUND(AT272*(1+'Calc base'!H273),2),MAX('Calc base'!C$12,ROUND('Calc base'!C$13*AT272,2))))</f>
        <v>0</v>
      </c>
      <c r="K273">
        <f>IF(AU272&lt;=0,0,IF(ROUND(AU272*(1+'Calc base'!I273),2)-MAX('Calc base'!D$12,ROUND('Calc base'!D$13*AU272,2))&lt;1,ROUND(AU272*(1+'Calc base'!I273),2),MAX('Calc base'!D$12,ROUND('Calc base'!D$13*AU272,2))))</f>
        <v>0</v>
      </c>
      <c r="L273">
        <f>IF(AV272&lt;=0,0,IF(ROUND(AV272*(1+'Calc base'!J273),2)-MAX('Calc base'!E$12,ROUND('Calc base'!E$13*AV272,2))&lt;1,ROUND(AV272*(1+'Calc base'!J273),2),MAX('Calc base'!E$12,ROUND('Calc base'!E$13*AV272,2))))</f>
        <v>0</v>
      </c>
      <c r="M273">
        <f>IF(AW272&lt;=0,0,IF(ROUND(AW272*(1+'Calc base'!K273),2)-MAX('Calc base'!F$12,ROUND('Calc base'!F$13*AW272,2))&lt;1,ROUND(AW272*(1+'Calc base'!K273),2),MAX('Calc base'!F$12,ROUND('Calc base'!F$13*AW272,2))))</f>
        <v>0</v>
      </c>
      <c r="N273">
        <f>IF(AX272&lt;=0,0,IF(ROUND(AX272*(1+'Calc base'!L273),2)-MAX('Calc base'!G$12,ROUND('Calc base'!G$13*AX272,2))&lt;1,ROUND(AX272*(1+'Calc base'!L273),2),MAX('Calc base'!G$12,ROUND('Calc base'!G$13*AX272,2))))</f>
        <v>0</v>
      </c>
      <c r="O273">
        <f>IF(AY272&lt;=0,0,IF(ROUND(AY272*(1+'Calc base'!M273),2)-MAX('Calc base'!H$12,ROUND('Calc base'!H$13*AY272,2))&lt;1,ROUND(AY272*(1+'Calc base'!M273),2),MAX('Calc base'!H$12,ROUND('Calc base'!H$13*AY272,2))))</f>
        <v>0</v>
      </c>
      <c r="P273">
        <f>IF(AZ272&lt;=0,0,IF(ROUND(AZ272*(1+'Calc base'!N273),2)-MAX('Calc base'!I$12,ROUND('Calc base'!I$13*AZ272,2))&lt;1,ROUND(AZ272*(1+'Calc base'!N273),2),MAX('Calc base'!I$12,ROUND('Calc base'!I$13*AZ272,2))))</f>
        <v>0</v>
      </c>
      <c r="Q273">
        <f>IF(BA272&lt;=0,0,IF(ROUND(BA272*(1+'Calc base'!O273),2)-MAX('Calc base'!J$12,ROUND('Calc base'!J$13*BA272,2))&lt;1,ROUND(BA272*(1+'Calc base'!O273),2),MAX('Calc base'!J$12,ROUND('Calc base'!J$13*BA272,2))))</f>
        <v>0</v>
      </c>
      <c r="R273">
        <f>IF(BB272&lt;=0,0,IF(ROUND(BB272*(1+'Calc base'!P273),2)-MAX('Calc base'!K$12,ROUND('Calc base'!K$13*BB272,2))&lt;1,ROUND(BB272*(1+'Calc base'!P273),2),MAX('Calc base'!K$12,ROUND('Calc base'!K$13*BB272,2))))</f>
        <v>0</v>
      </c>
      <c r="S273">
        <f>IF(BC272&lt;=0,0,IF(ROUND(BC272*(1+'Calc base'!Q273),2)-MAX('Calc base'!L$12,ROUND('Calc base'!L$13*BC272,2))&lt;1,ROUND(BC272*(1+'Calc base'!Q273),2),MAX('Calc base'!L$12,ROUND('Calc base'!L$13*BC272,2))))</f>
        <v>0</v>
      </c>
      <c r="T273">
        <f>IF(BD272&lt;=0,0,IF(ROUND(BD272*(1+'Calc base'!R273),2)-MAX('Calc base'!M$12,ROUND('Calc base'!M$13*BD272,2))&lt;1,ROUND(BD272*(1+'Calc base'!R273),2),MAX('Calc base'!M$12,ROUND('Calc base'!M$13*BD272,2))))</f>
        <v>0</v>
      </c>
      <c r="U273">
        <f>IF(BE272&lt;=0,0,IF(ROUND(BE272*(1+'Calc base'!S273),2)-MAX('Calc base'!N$12,ROUND('Calc base'!N$13*BE272,2))&lt;1,ROUND(BE272*(1+'Calc base'!S273),2),MAX('Calc base'!N$12,ROUND('Calc base'!N$13*BE272,2))))</f>
        <v>0</v>
      </c>
      <c r="V273">
        <f>MAX(0,ROUND(AT272*(1+'Calc base'!H273),2)-J273-'Calc base'!T273)</f>
        <v>0</v>
      </c>
      <c r="W273">
        <f>MAX(0,ROUND(AU272*(1+'Calc base'!I273),2)-K273-'Calc base'!U273)</f>
        <v>0</v>
      </c>
      <c r="X273">
        <f>MAX(0,ROUND(AV272*(1+'Calc base'!J273),2)-L273-'Calc base'!V273)</f>
        <v>0</v>
      </c>
      <c r="Y273">
        <f>MAX(0,ROUND(AW272*(1+'Calc base'!K273),2)-M273-'Calc base'!W273)</f>
        <v>0</v>
      </c>
      <c r="Z273">
        <f>MAX(0,ROUND(AX272*(1+'Calc base'!L273),2)-N273-'Calc base'!X273)</f>
        <v>0</v>
      </c>
      <c r="AA273">
        <f>MAX(0,ROUND(AY272*(1+'Calc base'!M273),2)-O273-'Calc base'!Y273)</f>
        <v>0</v>
      </c>
      <c r="AB273">
        <f>MAX(0,ROUND(AZ272*(1+'Calc base'!N273),2)-P273-'Calc base'!Z273)</f>
        <v>0</v>
      </c>
      <c r="AC273">
        <f>MAX(0,ROUND(BA272*(1+'Calc base'!O273),2)-Q273-'Calc base'!AA273)</f>
        <v>0</v>
      </c>
      <c r="AD273">
        <f>MAX(0,ROUND(BB272*(1+'Calc base'!P273),2)-R273-'Calc base'!AB273)</f>
        <v>0</v>
      </c>
      <c r="AE273">
        <f>MAX(0,ROUND(BC272*(1+'Calc base'!Q273),2)-S273-'Calc base'!AC273)</f>
        <v>0</v>
      </c>
      <c r="AF273">
        <f>MAX(0,ROUND(BD272*(1+'Calc base'!R273),2)-T273-'Calc base'!AD273)</f>
        <v>0</v>
      </c>
      <c r="AG273">
        <f>MAX(0,ROUND(BE272*(1+'Calc base'!S273),2)-U273-'Calc base'!AE273)</f>
        <v>0</v>
      </c>
      <c r="AH273">
        <f>IF('Calc base'!C$14=0,0,MIN(V273,MAX(0,$E273-SUMIFS($V273:$AG273,'Calc base'!$C$19:$N$19,"&lt;"&amp;'Calc base'!C$19,'Calc base'!$C$14:$N$14,1))))</f>
        <v>0</v>
      </c>
      <c r="AI273">
        <f>IF('Calc base'!D$14=0,0,MIN(W273,MAX(0,$E273-SUMIFS($V273:$AG273,'Calc base'!$C$19:$N$19,"&lt;"&amp;'Calc base'!D$19,'Calc base'!$C$14:$N$14,1))))</f>
        <v>0</v>
      </c>
      <c r="AJ273">
        <f>IF('Calc base'!E$14=0,0,MIN(X273,MAX(0,$E273-SUMIFS($V273:$AG273,'Calc base'!$C$19:$N$19,"&lt;"&amp;'Calc base'!E$19,'Calc base'!$C$14:$N$14,1))))</f>
        <v>0</v>
      </c>
      <c r="AK273">
        <f>IF('Calc base'!F$14=0,0,MIN(Y273,MAX(0,$E273-SUMIFS($V273:$AG273,'Calc base'!$C$19:$N$19,"&lt;"&amp;'Calc base'!F$19,'Calc base'!$C$14:$N$14,1))))</f>
        <v>0</v>
      </c>
      <c r="AL273">
        <f>IF('Calc base'!G$14=0,0,MIN(Z273,MAX(0,$E273-SUMIFS($V273:$AG273,'Calc base'!$C$19:$N$19,"&lt;"&amp;'Calc base'!G$19,'Calc base'!$C$14:$N$14,1))))</f>
        <v>0</v>
      </c>
      <c r="AM273">
        <f>IF('Calc base'!H$14=0,0,MIN(AA273,MAX(0,$E273-SUMIFS($V273:$AG273,'Calc base'!$C$19:$N$19,"&lt;"&amp;'Calc base'!H$19,'Calc base'!$C$14:$N$14,1))))</f>
        <v>0</v>
      </c>
      <c r="AN273">
        <f>IF('Calc base'!I$14=0,0,MIN(AB273,MAX(0,$E273-SUMIFS($V273:$AG273,'Calc base'!$C$19:$N$19,"&lt;"&amp;'Calc base'!I$19,'Calc base'!$C$14:$N$14,1))))</f>
        <v>0</v>
      </c>
      <c r="AO273">
        <f>IF('Calc base'!J$14=0,0,MIN(AC273,MAX(0,$E273-SUMIFS($V273:$AG273,'Calc base'!$C$19:$N$19,"&lt;"&amp;'Calc base'!J$19,'Calc base'!$C$14:$N$14,1))))</f>
        <v>0</v>
      </c>
      <c r="AP273">
        <f>IF('Calc base'!K$14=0,0,MIN(AD273,MAX(0,$E273-SUMIFS($V273:$AG273,'Calc base'!$C$19:$N$19,"&lt;"&amp;'Calc base'!K$19,'Calc base'!$C$14:$N$14,1))))</f>
        <v>0</v>
      </c>
      <c r="AQ273">
        <f>IF('Calc base'!L$14=0,0,MIN(AE273,MAX(0,$E273-SUMIFS($V273:$AG273,'Calc base'!$C$19:$N$19,"&lt;"&amp;'Calc base'!L$19,'Calc base'!$C$14:$N$14,1))))</f>
        <v>0</v>
      </c>
      <c r="AR273">
        <f>IF('Calc base'!M$14=0,0,MIN(AF273,MAX(0,$E273-SUMIFS($V273:$AG273,'Calc base'!$C$19:$N$19,"&lt;"&amp;'Calc base'!M$19,'Calc base'!$C$14:$N$14,1))))</f>
        <v>0</v>
      </c>
      <c r="AS273">
        <f>IF('Calc base'!N$14=0,0,MIN(AG273,MAX(0,$E273-SUMIFS($V273:$AG273,'Calc base'!$C$19:$N$19,"&lt;"&amp;'Calc base'!N$19,'Calc base'!$C$14:$N$14,1))))</f>
        <v>0</v>
      </c>
      <c r="AT273">
        <f>V273-AH273</f>
        <v>0</v>
      </c>
      <c r="AU273">
        <f>W273-AI273</f>
        <v>0</v>
      </c>
      <c r="AV273">
        <f>X273-AJ273</f>
        <v>0</v>
      </c>
      <c r="AW273">
        <f>Y273-AK273</f>
        <v>0</v>
      </c>
      <c r="AX273">
        <f>Z273-AL273</f>
        <v>0</v>
      </c>
      <c r="AY273">
        <f>AA273-AM273</f>
        <v>0</v>
      </c>
      <c r="AZ273">
        <f>AB273-AN273</f>
        <v>0</v>
      </c>
      <c r="BA273">
        <f>AC273-AO273</f>
        <v>0</v>
      </c>
      <c r="BB273">
        <f>AD273-AP273</f>
        <v>0</v>
      </c>
      <c r="BC273">
        <f>AE273-AQ273</f>
        <v>0</v>
      </c>
      <c r="BD273">
        <f>AF273-AR273</f>
        <v>0</v>
      </c>
      <c r="BE273">
        <f>AG273-AS273</f>
        <v>0</v>
      </c>
    </row>
    <row r="274">
      <c r="A274" t="n">
        <v>244</v>
      </c>
      <c r="B274">
        <f>SUMPRODUCT(ROUND($AT273:$BE273*(1+'Calc base'!$H274:$S274),2))</f>
        <v>0</v>
      </c>
      <c r="C274">
        <f>SUM(J274:U274)</f>
        <v>0</v>
      </c>
      <c r="D274">
        <f>SUM(V274:AG274)</f>
        <v>0</v>
      </c>
      <c r="E274">
        <f>MAX(0,IF(Impostazioni!$B$7="No",'Calc base'!$C274-$C$31,'Calc base'!$C274-C274)+'Calc base'!$G274+'Calc base'!$F274-(B274-C274-D274))</f>
        <v>900</v>
      </c>
      <c r="F274">
        <f>SUM(AH274:AS274)</f>
        <v>0</v>
      </c>
      <c r="G274">
        <f>SUM(AT274:BE274)</f>
        <v>0</v>
      </c>
      <c r="H274">
        <f>B274-G273</f>
        <v>0</v>
      </c>
      <c r="I274">
        <f>B274-G274</f>
        <v>0</v>
      </c>
      <c r="J274">
        <f>IF(AT273&lt;=0,0,IF(ROUND(AT273*(1+'Calc base'!H274),2)-MAX('Calc base'!C$12,ROUND('Calc base'!C$13*AT273,2))&lt;1,ROUND(AT273*(1+'Calc base'!H274),2),MAX('Calc base'!C$12,ROUND('Calc base'!C$13*AT273,2))))</f>
        <v>0</v>
      </c>
      <c r="K274">
        <f>IF(AU273&lt;=0,0,IF(ROUND(AU273*(1+'Calc base'!I274),2)-MAX('Calc base'!D$12,ROUND('Calc base'!D$13*AU273,2))&lt;1,ROUND(AU273*(1+'Calc base'!I274),2),MAX('Calc base'!D$12,ROUND('Calc base'!D$13*AU273,2))))</f>
        <v>0</v>
      </c>
      <c r="L274">
        <f>IF(AV273&lt;=0,0,IF(ROUND(AV273*(1+'Calc base'!J274),2)-MAX('Calc base'!E$12,ROUND('Calc base'!E$13*AV273,2))&lt;1,ROUND(AV273*(1+'Calc base'!J274),2),MAX('Calc base'!E$12,ROUND('Calc base'!E$13*AV273,2))))</f>
        <v>0</v>
      </c>
      <c r="M274">
        <f>IF(AW273&lt;=0,0,IF(ROUND(AW273*(1+'Calc base'!K274),2)-MAX('Calc base'!F$12,ROUND('Calc base'!F$13*AW273,2))&lt;1,ROUND(AW273*(1+'Calc base'!K274),2),MAX('Calc base'!F$12,ROUND('Calc base'!F$13*AW273,2))))</f>
        <v>0</v>
      </c>
      <c r="N274">
        <f>IF(AX273&lt;=0,0,IF(ROUND(AX273*(1+'Calc base'!L274),2)-MAX('Calc base'!G$12,ROUND('Calc base'!G$13*AX273,2))&lt;1,ROUND(AX273*(1+'Calc base'!L274),2),MAX('Calc base'!G$12,ROUND('Calc base'!G$13*AX273,2))))</f>
        <v>0</v>
      </c>
      <c r="O274">
        <f>IF(AY273&lt;=0,0,IF(ROUND(AY273*(1+'Calc base'!M274),2)-MAX('Calc base'!H$12,ROUND('Calc base'!H$13*AY273,2))&lt;1,ROUND(AY273*(1+'Calc base'!M274),2),MAX('Calc base'!H$12,ROUND('Calc base'!H$13*AY273,2))))</f>
        <v>0</v>
      </c>
      <c r="P274">
        <f>IF(AZ273&lt;=0,0,IF(ROUND(AZ273*(1+'Calc base'!N274),2)-MAX('Calc base'!I$12,ROUND('Calc base'!I$13*AZ273,2))&lt;1,ROUND(AZ273*(1+'Calc base'!N274),2),MAX('Calc base'!I$12,ROUND('Calc base'!I$13*AZ273,2))))</f>
        <v>0</v>
      </c>
      <c r="Q274">
        <f>IF(BA273&lt;=0,0,IF(ROUND(BA273*(1+'Calc base'!O274),2)-MAX('Calc base'!J$12,ROUND('Calc base'!J$13*BA273,2))&lt;1,ROUND(BA273*(1+'Calc base'!O274),2),MAX('Calc base'!J$12,ROUND('Calc base'!J$13*BA273,2))))</f>
        <v>0</v>
      </c>
      <c r="R274">
        <f>IF(BB273&lt;=0,0,IF(ROUND(BB273*(1+'Calc base'!P274),2)-MAX('Calc base'!K$12,ROUND('Calc base'!K$13*BB273,2))&lt;1,ROUND(BB273*(1+'Calc base'!P274),2),MAX('Calc base'!K$12,ROUND('Calc base'!K$13*BB273,2))))</f>
        <v>0</v>
      </c>
      <c r="S274">
        <f>IF(BC273&lt;=0,0,IF(ROUND(BC273*(1+'Calc base'!Q274),2)-MAX('Calc base'!L$12,ROUND('Calc base'!L$13*BC273,2))&lt;1,ROUND(BC273*(1+'Calc base'!Q274),2),MAX('Calc base'!L$12,ROUND('Calc base'!L$13*BC273,2))))</f>
        <v>0</v>
      </c>
      <c r="T274">
        <f>IF(BD273&lt;=0,0,IF(ROUND(BD273*(1+'Calc base'!R274),2)-MAX('Calc base'!M$12,ROUND('Calc base'!M$13*BD273,2))&lt;1,ROUND(BD273*(1+'Calc base'!R274),2),MAX('Calc base'!M$12,ROUND('Calc base'!M$13*BD273,2))))</f>
        <v>0</v>
      </c>
      <c r="U274">
        <f>IF(BE273&lt;=0,0,IF(ROUND(BE273*(1+'Calc base'!S274),2)-MAX('Calc base'!N$12,ROUND('Calc base'!N$13*BE273,2))&lt;1,ROUND(BE273*(1+'Calc base'!S274),2),MAX('Calc base'!N$12,ROUND('Calc base'!N$13*BE273,2))))</f>
        <v>0</v>
      </c>
      <c r="V274">
        <f>MAX(0,ROUND(AT273*(1+'Calc base'!H274),2)-J274-'Calc base'!T274)</f>
        <v>0</v>
      </c>
      <c r="W274">
        <f>MAX(0,ROUND(AU273*(1+'Calc base'!I274),2)-K274-'Calc base'!U274)</f>
        <v>0</v>
      </c>
      <c r="X274">
        <f>MAX(0,ROUND(AV273*(1+'Calc base'!J274),2)-L274-'Calc base'!V274)</f>
        <v>0</v>
      </c>
      <c r="Y274">
        <f>MAX(0,ROUND(AW273*(1+'Calc base'!K274),2)-M274-'Calc base'!W274)</f>
        <v>0</v>
      </c>
      <c r="Z274">
        <f>MAX(0,ROUND(AX273*(1+'Calc base'!L274),2)-N274-'Calc base'!X274)</f>
        <v>0</v>
      </c>
      <c r="AA274">
        <f>MAX(0,ROUND(AY273*(1+'Calc base'!M274),2)-O274-'Calc base'!Y274)</f>
        <v>0</v>
      </c>
      <c r="AB274">
        <f>MAX(0,ROUND(AZ273*(1+'Calc base'!N274),2)-P274-'Calc base'!Z274)</f>
        <v>0</v>
      </c>
      <c r="AC274">
        <f>MAX(0,ROUND(BA273*(1+'Calc base'!O274),2)-Q274-'Calc base'!AA274)</f>
        <v>0</v>
      </c>
      <c r="AD274">
        <f>MAX(0,ROUND(BB273*(1+'Calc base'!P274),2)-R274-'Calc base'!AB274)</f>
        <v>0</v>
      </c>
      <c r="AE274">
        <f>MAX(0,ROUND(BC273*(1+'Calc base'!Q274),2)-S274-'Calc base'!AC274)</f>
        <v>0</v>
      </c>
      <c r="AF274">
        <f>MAX(0,ROUND(BD273*(1+'Calc base'!R274),2)-T274-'Calc base'!AD274)</f>
        <v>0</v>
      </c>
      <c r="AG274">
        <f>MAX(0,ROUND(BE273*(1+'Calc base'!S274),2)-U274-'Calc base'!AE274)</f>
        <v>0</v>
      </c>
      <c r="AH274">
        <f>IF('Calc base'!C$14=0,0,MIN(V274,MAX(0,$E274-SUMIFS($V274:$AG274,'Calc base'!$C$19:$N$19,"&lt;"&amp;'Calc base'!C$19,'Calc base'!$C$14:$N$14,1))))</f>
        <v>0</v>
      </c>
      <c r="AI274">
        <f>IF('Calc base'!D$14=0,0,MIN(W274,MAX(0,$E274-SUMIFS($V274:$AG274,'Calc base'!$C$19:$N$19,"&lt;"&amp;'Calc base'!D$19,'Calc base'!$C$14:$N$14,1))))</f>
        <v>0</v>
      </c>
      <c r="AJ274">
        <f>IF('Calc base'!E$14=0,0,MIN(X274,MAX(0,$E274-SUMIFS($V274:$AG274,'Calc base'!$C$19:$N$19,"&lt;"&amp;'Calc base'!E$19,'Calc base'!$C$14:$N$14,1))))</f>
        <v>0</v>
      </c>
      <c r="AK274">
        <f>IF('Calc base'!F$14=0,0,MIN(Y274,MAX(0,$E274-SUMIFS($V274:$AG274,'Calc base'!$C$19:$N$19,"&lt;"&amp;'Calc base'!F$19,'Calc base'!$C$14:$N$14,1))))</f>
        <v>0</v>
      </c>
      <c r="AL274">
        <f>IF('Calc base'!G$14=0,0,MIN(Z274,MAX(0,$E274-SUMIFS($V274:$AG274,'Calc base'!$C$19:$N$19,"&lt;"&amp;'Calc base'!G$19,'Calc base'!$C$14:$N$14,1))))</f>
        <v>0</v>
      </c>
      <c r="AM274">
        <f>IF('Calc base'!H$14=0,0,MIN(AA274,MAX(0,$E274-SUMIFS($V274:$AG274,'Calc base'!$C$19:$N$19,"&lt;"&amp;'Calc base'!H$19,'Calc base'!$C$14:$N$14,1))))</f>
        <v>0</v>
      </c>
      <c r="AN274">
        <f>IF('Calc base'!I$14=0,0,MIN(AB274,MAX(0,$E274-SUMIFS($V274:$AG274,'Calc base'!$C$19:$N$19,"&lt;"&amp;'Calc base'!I$19,'Calc base'!$C$14:$N$14,1))))</f>
        <v>0</v>
      </c>
      <c r="AO274">
        <f>IF('Calc base'!J$14=0,0,MIN(AC274,MAX(0,$E274-SUMIFS($V274:$AG274,'Calc base'!$C$19:$N$19,"&lt;"&amp;'Calc base'!J$19,'Calc base'!$C$14:$N$14,1))))</f>
        <v>0</v>
      </c>
      <c r="AP274">
        <f>IF('Calc base'!K$14=0,0,MIN(AD274,MAX(0,$E274-SUMIFS($V274:$AG274,'Calc base'!$C$19:$N$19,"&lt;"&amp;'Calc base'!K$19,'Calc base'!$C$14:$N$14,1))))</f>
        <v>0</v>
      </c>
      <c r="AQ274">
        <f>IF('Calc base'!L$14=0,0,MIN(AE274,MAX(0,$E274-SUMIFS($V274:$AG274,'Calc base'!$C$19:$N$19,"&lt;"&amp;'Calc base'!L$19,'Calc base'!$C$14:$N$14,1))))</f>
        <v>0</v>
      </c>
      <c r="AR274">
        <f>IF('Calc base'!M$14=0,0,MIN(AF274,MAX(0,$E274-SUMIFS($V274:$AG274,'Calc base'!$C$19:$N$19,"&lt;"&amp;'Calc base'!M$19,'Calc base'!$C$14:$N$14,1))))</f>
        <v>0</v>
      </c>
      <c r="AS274">
        <f>IF('Calc base'!N$14=0,0,MIN(AG274,MAX(0,$E274-SUMIFS($V274:$AG274,'Calc base'!$C$19:$N$19,"&lt;"&amp;'Calc base'!N$19,'Calc base'!$C$14:$N$14,1))))</f>
        <v>0</v>
      </c>
      <c r="AT274">
        <f>V274-AH274</f>
        <v>0</v>
      </c>
      <c r="AU274">
        <f>W274-AI274</f>
        <v>0</v>
      </c>
      <c r="AV274">
        <f>X274-AJ274</f>
        <v>0</v>
      </c>
      <c r="AW274">
        <f>Y274-AK274</f>
        <v>0</v>
      </c>
      <c r="AX274">
        <f>Z274-AL274</f>
        <v>0</v>
      </c>
      <c r="AY274">
        <f>AA274-AM274</f>
        <v>0</v>
      </c>
      <c r="AZ274">
        <f>AB274-AN274</f>
        <v>0</v>
      </c>
      <c r="BA274">
        <f>AC274-AO274</f>
        <v>0</v>
      </c>
      <c r="BB274">
        <f>AD274-AP274</f>
        <v>0</v>
      </c>
      <c r="BC274">
        <f>AE274-AQ274</f>
        <v>0</v>
      </c>
      <c r="BD274">
        <f>AF274-AR274</f>
        <v>0</v>
      </c>
      <c r="BE274">
        <f>AG274-AS274</f>
        <v>0</v>
      </c>
    </row>
    <row r="275">
      <c r="A275" t="n">
        <v>245</v>
      </c>
      <c r="B275">
        <f>SUMPRODUCT(ROUND($AT274:$BE274*(1+'Calc base'!$H275:$S275),2))</f>
        <v>0</v>
      </c>
      <c r="C275">
        <f>SUM(J275:U275)</f>
        <v>0</v>
      </c>
      <c r="D275">
        <f>SUM(V275:AG275)</f>
        <v>0</v>
      </c>
      <c r="E275">
        <f>MAX(0,IF(Impostazioni!$B$7="No",'Calc base'!$C275-$C$31,'Calc base'!$C275-C275)+'Calc base'!$G275+'Calc base'!$F275-(B275-C275-D275))</f>
        <v>900</v>
      </c>
      <c r="F275">
        <f>SUM(AH275:AS275)</f>
        <v>0</v>
      </c>
      <c r="G275">
        <f>SUM(AT275:BE275)</f>
        <v>0</v>
      </c>
      <c r="H275">
        <f>B275-G274</f>
        <v>0</v>
      </c>
      <c r="I275">
        <f>B275-G275</f>
        <v>0</v>
      </c>
      <c r="J275">
        <f>IF(AT274&lt;=0,0,IF(ROUND(AT274*(1+'Calc base'!H275),2)-MAX('Calc base'!C$12,ROUND('Calc base'!C$13*AT274,2))&lt;1,ROUND(AT274*(1+'Calc base'!H275),2),MAX('Calc base'!C$12,ROUND('Calc base'!C$13*AT274,2))))</f>
        <v>0</v>
      </c>
      <c r="K275">
        <f>IF(AU274&lt;=0,0,IF(ROUND(AU274*(1+'Calc base'!I275),2)-MAX('Calc base'!D$12,ROUND('Calc base'!D$13*AU274,2))&lt;1,ROUND(AU274*(1+'Calc base'!I275),2),MAX('Calc base'!D$12,ROUND('Calc base'!D$13*AU274,2))))</f>
        <v>0</v>
      </c>
      <c r="L275">
        <f>IF(AV274&lt;=0,0,IF(ROUND(AV274*(1+'Calc base'!J275),2)-MAX('Calc base'!E$12,ROUND('Calc base'!E$13*AV274,2))&lt;1,ROUND(AV274*(1+'Calc base'!J275),2),MAX('Calc base'!E$12,ROUND('Calc base'!E$13*AV274,2))))</f>
        <v>0</v>
      </c>
      <c r="M275">
        <f>IF(AW274&lt;=0,0,IF(ROUND(AW274*(1+'Calc base'!K275),2)-MAX('Calc base'!F$12,ROUND('Calc base'!F$13*AW274,2))&lt;1,ROUND(AW274*(1+'Calc base'!K275),2),MAX('Calc base'!F$12,ROUND('Calc base'!F$13*AW274,2))))</f>
        <v>0</v>
      </c>
      <c r="N275">
        <f>IF(AX274&lt;=0,0,IF(ROUND(AX274*(1+'Calc base'!L275),2)-MAX('Calc base'!G$12,ROUND('Calc base'!G$13*AX274,2))&lt;1,ROUND(AX274*(1+'Calc base'!L275),2),MAX('Calc base'!G$12,ROUND('Calc base'!G$13*AX274,2))))</f>
        <v>0</v>
      </c>
      <c r="O275">
        <f>IF(AY274&lt;=0,0,IF(ROUND(AY274*(1+'Calc base'!M275),2)-MAX('Calc base'!H$12,ROUND('Calc base'!H$13*AY274,2))&lt;1,ROUND(AY274*(1+'Calc base'!M275),2),MAX('Calc base'!H$12,ROUND('Calc base'!H$13*AY274,2))))</f>
        <v>0</v>
      </c>
      <c r="P275">
        <f>IF(AZ274&lt;=0,0,IF(ROUND(AZ274*(1+'Calc base'!N275),2)-MAX('Calc base'!I$12,ROUND('Calc base'!I$13*AZ274,2))&lt;1,ROUND(AZ274*(1+'Calc base'!N275),2),MAX('Calc base'!I$12,ROUND('Calc base'!I$13*AZ274,2))))</f>
        <v>0</v>
      </c>
      <c r="Q275">
        <f>IF(BA274&lt;=0,0,IF(ROUND(BA274*(1+'Calc base'!O275),2)-MAX('Calc base'!J$12,ROUND('Calc base'!J$13*BA274,2))&lt;1,ROUND(BA274*(1+'Calc base'!O275),2),MAX('Calc base'!J$12,ROUND('Calc base'!J$13*BA274,2))))</f>
        <v>0</v>
      </c>
      <c r="R275">
        <f>IF(BB274&lt;=0,0,IF(ROUND(BB274*(1+'Calc base'!P275),2)-MAX('Calc base'!K$12,ROUND('Calc base'!K$13*BB274,2))&lt;1,ROUND(BB274*(1+'Calc base'!P275),2),MAX('Calc base'!K$12,ROUND('Calc base'!K$13*BB274,2))))</f>
        <v>0</v>
      </c>
      <c r="S275">
        <f>IF(BC274&lt;=0,0,IF(ROUND(BC274*(1+'Calc base'!Q275),2)-MAX('Calc base'!L$12,ROUND('Calc base'!L$13*BC274,2))&lt;1,ROUND(BC274*(1+'Calc base'!Q275),2),MAX('Calc base'!L$12,ROUND('Calc base'!L$13*BC274,2))))</f>
        <v>0</v>
      </c>
      <c r="T275">
        <f>IF(BD274&lt;=0,0,IF(ROUND(BD274*(1+'Calc base'!R275),2)-MAX('Calc base'!M$12,ROUND('Calc base'!M$13*BD274,2))&lt;1,ROUND(BD274*(1+'Calc base'!R275),2),MAX('Calc base'!M$12,ROUND('Calc base'!M$13*BD274,2))))</f>
        <v>0</v>
      </c>
      <c r="U275">
        <f>IF(BE274&lt;=0,0,IF(ROUND(BE274*(1+'Calc base'!S275),2)-MAX('Calc base'!N$12,ROUND('Calc base'!N$13*BE274,2))&lt;1,ROUND(BE274*(1+'Calc base'!S275),2),MAX('Calc base'!N$12,ROUND('Calc base'!N$13*BE274,2))))</f>
        <v>0</v>
      </c>
      <c r="V275">
        <f>MAX(0,ROUND(AT274*(1+'Calc base'!H275),2)-J275-'Calc base'!T275)</f>
        <v>0</v>
      </c>
      <c r="W275">
        <f>MAX(0,ROUND(AU274*(1+'Calc base'!I275),2)-K275-'Calc base'!U275)</f>
        <v>0</v>
      </c>
      <c r="X275">
        <f>MAX(0,ROUND(AV274*(1+'Calc base'!J275),2)-L275-'Calc base'!V275)</f>
        <v>0</v>
      </c>
      <c r="Y275">
        <f>MAX(0,ROUND(AW274*(1+'Calc base'!K275),2)-M275-'Calc base'!W275)</f>
        <v>0</v>
      </c>
      <c r="Z275">
        <f>MAX(0,ROUND(AX274*(1+'Calc base'!L275),2)-N275-'Calc base'!X275)</f>
        <v>0</v>
      </c>
      <c r="AA275">
        <f>MAX(0,ROUND(AY274*(1+'Calc base'!M275),2)-O275-'Calc base'!Y275)</f>
        <v>0</v>
      </c>
      <c r="AB275">
        <f>MAX(0,ROUND(AZ274*(1+'Calc base'!N275),2)-P275-'Calc base'!Z275)</f>
        <v>0</v>
      </c>
      <c r="AC275">
        <f>MAX(0,ROUND(BA274*(1+'Calc base'!O275),2)-Q275-'Calc base'!AA275)</f>
        <v>0</v>
      </c>
      <c r="AD275">
        <f>MAX(0,ROUND(BB274*(1+'Calc base'!P275),2)-R275-'Calc base'!AB275)</f>
        <v>0</v>
      </c>
      <c r="AE275">
        <f>MAX(0,ROUND(BC274*(1+'Calc base'!Q275),2)-S275-'Calc base'!AC275)</f>
        <v>0</v>
      </c>
      <c r="AF275">
        <f>MAX(0,ROUND(BD274*(1+'Calc base'!R275),2)-T275-'Calc base'!AD275)</f>
        <v>0</v>
      </c>
      <c r="AG275">
        <f>MAX(0,ROUND(BE274*(1+'Calc base'!S275),2)-U275-'Calc base'!AE275)</f>
        <v>0</v>
      </c>
      <c r="AH275">
        <f>IF('Calc base'!C$14=0,0,MIN(V275,MAX(0,$E275-SUMIFS($V275:$AG275,'Calc base'!$C$19:$N$19,"&lt;"&amp;'Calc base'!C$19,'Calc base'!$C$14:$N$14,1))))</f>
        <v>0</v>
      </c>
      <c r="AI275">
        <f>IF('Calc base'!D$14=0,0,MIN(W275,MAX(0,$E275-SUMIFS($V275:$AG275,'Calc base'!$C$19:$N$19,"&lt;"&amp;'Calc base'!D$19,'Calc base'!$C$14:$N$14,1))))</f>
        <v>0</v>
      </c>
      <c r="AJ275">
        <f>IF('Calc base'!E$14=0,0,MIN(X275,MAX(0,$E275-SUMIFS($V275:$AG275,'Calc base'!$C$19:$N$19,"&lt;"&amp;'Calc base'!E$19,'Calc base'!$C$14:$N$14,1))))</f>
        <v>0</v>
      </c>
      <c r="AK275">
        <f>IF('Calc base'!F$14=0,0,MIN(Y275,MAX(0,$E275-SUMIFS($V275:$AG275,'Calc base'!$C$19:$N$19,"&lt;"&amp;'Calc base'!F$19,'Calc base'!$C$14:$N$14,1))))</f>
        <v>0</v>
      </c>
      <c r="AL275">
        <f>IF('Calc base'!G$14=0,0,MIN(Z275,MAX(0,$E275-SUMIFS($V275:$AG275,'Calc base'!$C$19:$N$19,"&lt;"&amp;'Calc base'!G$19,'Calc base'!$C$14:$N$14,1))))</f>
        <v>0</v>
      </c>
      <c r="AM275">
        <f>IF('Calc base'!H$14=0,0,MIN(AA275,MAX(0,$E275-SUMIFS($V275:$AG275,'Calc base'!$C$19:$N$19,"&lt;"&amp;'Calc base'!H$19,'Calc base'!$C$14:$N$14,1))))</f>
        <v>0</v>
      </c>
      <c r="AN275">
        <f>IF('Calc base'!I$14=0,0,MIN(AB275,MAX(0,$E275-SUMIFS($V275:$AG275,'Calc base'!$C$19:$N$19,"&lt;"&amp;'Calc base'!I$19,'Calc base'!$C$14:$N$14,1))))</f>
        <v>0</v>
      </c>
      <c r="AO275">
        <f>IF('Calc base'!J$14=0,0,MIN(AC275,MAX(0,$E275-SUMIFS($V275:$AG275,'Calc base'!$C$19:$N$19,"&lt;"&amp;'Calc base'!J$19,'Calc base'!$C$14:$N$14,1))))</f>
        <v>0</v>
      </c>
      <c r="AP275">
        <f>IF('Calc base'!K$14=0,0,MIN(AD275,MAX(0,$E275-SUMIFS($V275:$AG275,'Calc base'!$C$19:$N$19,"&lt;"&amp;'Calc base'!K$19,'Calc base'!$C$14:$N$14,1))))</f>
        <v>0</v>
      </c>
      <c r="AQ275">
        <f>IF('Calc base'!L$14=0,0,MIN(AE275,MAX(0,$E275-SUMIFS($V275:$AG275,'Calc base'!$C$19:$N$19,"&lt;"&amp;'Calc base'!L$19,'Calc base'!$C$14:$N$14,1))))</f>
        <v>0</v>
      </c>
      <c r="AR275">
        <f>IF('Calc base'!M$14=0,0,MIN(AF275,MAX(0,$E275-SUMIFS($V275:$AG275,'Calc base'!$C$19:$N$19,"&lt;"&amp;'Calc base'!M$19,'Calc base'!$C$14:$N$14,1))))</f>
        <v>0</v>
      </c>
      <c r="AS275">
        <f>IF('Calc base'!N$14=0,0,MIN(AG275,MAX(0,$E275-SUMIFS($V275:$AG275,'Calc base'!$C$19:$N$19,"&lt;"&amp;'Calc base'!N$19,'Calc base'!$C$14:$N$14,1))))</f>
        <v>0</v>
      </c>
      <c r="AT275">
        <f>V275-AH275</f>
        <v>0</v>
      </c>
      <c r="AU275">
        <f>W275-AI275</f>
        <v>0</v>
      </c>
      <c r="AV275">
        <f>X275-AJ275</f>
        <v>0</v>
      </c>
      <c r="AW275">
        <f>Y275-AK275</f>
        <v>0</v>
      </c>
      <c r="AX275">
        <f>Z275-AL275</f>
        <v>0</v>
      </c>
      <c r="AY275">
        <f>AA275-AM275</f>
        <v>0</v>
      </c>
      <c r="AZ275">
        <f>AB275-AN275</f>
        <v>0</v>
      </c>
      <c r="BA275">
        <f>AC275-AO275</f>
        <v>0</v>
      </c>
      <c r="BB275">
        <f>AD275-AP275</f>
        <v>0</v>
      </c>
      <c r="BC275">
        <f>AE275-AQ275</f>
        <v>0</v>
      </c>
      <c r="BD275">
        <f>AF275-AR275</f>
        <v>0</v>
      </c>
      <c r="BE275">
        <f>AG275-AS275</f>
        <v>0</v>
      </c>
    </row>
    <row r="276">
      <c r="A276" t="n">
        <v>246</v>
      </c>
      <c r="B276">
        <f>SUMPRODUCT(ROUND($AT275:$BE275*(1+'Calc base'!$H276:$S276),2))</f>
        <v>0</v>
      </c>
      <c r="C276">
        <f>SUM(J276:U276)</f>
        <v>0</v>
      </c>
      <c r="D276">
        <f>SUM(V276:AG276)</f>
        <v>0</v>
      </c>
      <c r="E276">
        <f>MAX(0,IF(Impostazioni!$B$7="No",'Calc base'!$C276-$C$31,'Calc base'!$C276-C276)+'Calc base'!$G276+'Calc base'!$F276-(B276-C276-D276))</f>
        <v>900</v>
      </c>
      <c r="F276">
        <f>SUM(AH276:AS276)</f>
        <v>0</v>
      </c>
      <c r="G276">
        <f>SUM(AT276:BE276)</f>
        <v>0</v>
      </c>
      <c r="H276">
        <f>B276-G275</f>
        <v>0</v>
      </c>
      <c r="I276">
        <f>B276-G276</f>
        <v>0</v>
      </c>
      <c r="J276">
        <f>IF(AT275&lt;=0,0,IF(ROUND(AT275*(1+'Calc base'!H276),2)-MAX('Calc base'!C$12,ROUND('Calc base'!C$13*AT275,2))&lt;1,ROUND(AT275*(1+'Calc base'!H276),2),MAX('Calc base'!C$12,ROUND('Calc base'!C$13*AT275,2))))</f>
        <v>0</v>
      </c>
      <c r="K276">
        <f>IF(AU275&lt;=0,0,IF(ROUND(AU275*(1+'Calc base'!I276),2)-MAX('Calc base'!D$12,ROUND('Calc base'!D$13*AU275,2))&lt;1,ROUND(AU275*(1+'Calc base'!I276),2),MAX('Calc base'!D$12,ROUND('Calc base'!D$13*AU275,2))))</f>
        <v>0</v>
      </c>
      <c r="L276">
        <f>IF(AV275&lt;=0,0,IF(ROUND(AV275*(1+'Calc base'!J276),2)-MAX('Calc base'!E$12,ROUND('Calc base'!E$13*AV275,2))&lt;1,ROUND(AV275*(1+'Calc base'!J276),2),MAX('Calc base'!E$12,ROUND('Calc base'!E$13*AV275,2))))</f>
        <v>0</v>
      </c>
      <c r="M276">
        <f>IF(AW275&lt;=0,0,IF(ROUND(AW275*(1+'Calc base'!K276),2)-MAX('Calc base'!F$12,ROUND('Calc base'!F$13*AW275,2))&lt;1,ROUND(AW275*(1+'Calc base'!K276),2),MAX('Calc base'!F$12,ROUND('Calc base'!F$13*AW275,2))))</f>
        <v>0</v>
      </c>
      <c r="N276">
        <f>IF(AX275&lt;=0,0,IF(ROUND(AX275*(1+'Calc base'!L276),2)-MAX('Calc base'!G$12,ROUND('Calc base'!G$13*AX275,2))&lt;1,ROUND(AX275*(1+'Calc base'!L276),2),MAX('Calc base'!G$12,ROUND('Calc base'!G$13*AX275,2))))</f>
        <v>0</v>
      </c>
      <c r="O276">
        <f>IF(AY275&lt;=0,0,IF(ROUND(AY275*(1+'Calc base'!M276),2)-MAX('Calc base'!H$12,ROUND('Calc base'!H$13*AY275,2))&lt;1,ROUND(AY275*(1+'Calc base'!M276),2),MAX('Calc base'!H$12,ROUND('Calc base'!H$13*AY275,2))))</f>
        <v>0</v>
      </c>
      <c r="P276">
        <f>IF(AZ275&lt;=0,0,IF(ROUND(AZ275*(1+'Calc base'!N276),2)-MAX('Calc base'!I$12,ROUND('Calc base'!I$13*AZ275,2))&lt;1,ROUND(AZ275*(1+'Calc base'!N276),2),MAX('Calc base'!I$12,ROUND('Calc base'!I$13*AZ275,2))))</f>
        <v>0</v>
      </c>
      <c r="Q276">
        <f>IF(BA275&lt;=0,0,IF(ROUND(BA275*(1+'Calc base'!O276),2)-MAX('Calc base'!J$12,ROUND('Calc base'!J$13*BA275,2))&lt;1,ROUND(BA275*(1+'Calc base'!O276),2),MAX('Calc base'!J$12,ROUND('Calc base'!J$13*BA275,2))))</f>
        <v>0</v>
      </c>
      <c r="R276">
        <f>IF(BB275&lt;=0,0,IF(ROUND(BB275*(1+'Calc base'!P276),2)-MAX('Calc base'!K$12,ROUND('Calc base'!K$13*BB275,2))&lt;1,ROUND(BB275*(1+'Calc base'!P276),2),MAX('Calc base'!K$12,ROUND('Calc base'!K$13*BB275,2))))</f>
        <v>0</v>
      </c>
      <c r="S276">
        <f>IF(BC275&lt;=0,0,IF(ROUND(BC275*(1+'Calc base'!Q276),2)-MAX('Calc base'!L$12,ROUND('Calc base'!L$13*BC275,2))&lt;1,ROUND(BC275*(1+'Calc base'!Q276),2),MAX('Calc base'!L$12,ROUND('Calc base'!L$13*BC275,2))))</f>
        <v>0</v>
      </c>
      <c r="T276">
        <f>IF(BD275&lt;=0,0,IF(ROUND(BD275*(1+'Calc base'!R276),2)-MAX('Calc base'!M$12,ROUND('Calc base'!M$13*BD275,2))&lt;1,ROUND(BD275*(1+'Calc base'!R276),2),MAX('Calc base'!M$12,ROUND('Calc base'!M$13*BD275,2))))</f>
        <v>0</v>
      </c>
      <c r="U276">
        <f>IF(BE275&lt;=0,0,IF(ROUND(BE275*(1+'Calc base'!S276),2)-MAX('Calc base'!N$12,ROUND('Calc base'!N$13*BE275,2))&lt;1,ROUND(BE275*(1+'Calc base'!S276),2),MAX('Calc base'!N$12,ROUND('Calc base'!N$13*BE275,2))))</f>
        <v>0</v>
      </c>
      <c r="V276">
        <f>MAX(0,ROUND(AT275*(1+'Calc base'!H276),2)-J276-'Calc base'!T276)</f>
        <v>0</v>
      </c>
      <c r="W276">
        <f>MAX(0,ROUND(AU275*(1+'Calc base'!I276),2)-K276-'Calc base'!U276)</f>
        <v>0</v>
      </c>
      <c r="X276">
        <f>MAX(0,ROUND(AV275*(1+'Calc base'!J276),2)-L276-'Calc base'!V276)</f>
        <v>0</v>
      </c>
      <c r="Y276">
        <f>MAX(0,ROUND(AW275*(1+'Calc base'!K276),2)-M276-'Calc base'!W276)</f>
        <v>0</v>
      </c>
      <c r="Z276">
        <f>MAX(0,ROUND(AX275*(1+'Calc base'!L276),2)-N276-'Calc base'!X276)</f>
        <v>0</v>
      </c>
      <c r="AA276">
        <f>MAX(0,ROUND(AY275*(1+'Calc base'!M276),2)-O276-'Calc base'!Y276)</f>
        <v>0</v>
      </c>
      <c r="AB276">
        <f>MAX(0,ROUND(AZ275*(1+'Calc base'!N276),2)-P276-'Calc base'!Z276)</f>
        <v>0</v>
      </c>
      <c r="AC276">
        <f>MAX(0,ROUND(BA275*(1+'Calc base'!O276),2)-Q276-'Calc base'!AA276)</f>
        <v>0</v>
      </c>
      <c r="AD276">
        <f>MAX(0,ROUND(BB275*(1+'Calc base'!P276),2)-R276-'Calc base'!AB276)</f>
        <v>0</v>
      </c>
      <c r="AE276">
        <f>MAX(0,ROUND(BC275*(1+'Calc base'!Q276),2)-S276-'Calc base'!AC276)</f>
        <v>0</v>
      </c>
      <c r="AF276">
        <f>MAX(0,ROUND(BD275*(1+'Calc base'!R276),2)-T276-'Calc base'!AD276)</f>
        <v>0</v>
      </c>
      <c r="AG276">
        <f>MAX(0,ROUND(BE275*(1+'Calc base'!S276),2)-U276-'Calc base'!AE276)</f>
        <v>0</v>
      </c>
      <c r="AH276">
        <f>IF('Calc base'!C$14=0,0,MIN(V276,MAX(0,$E276-SUMIFS($V276:$AG276,'Calc base'!$C$19:$N$19,"&lt;"&amp;'Calc base'!C$19,'Calc base'!$C$14:$N$14,1))))</f>
        <v>0</v>
      </c>
      <c r="AI276">
        <f>IF('Calc base'!D$14=0,0,MIN(W276,MAX(0,$E276-SUMIFS($V276:$AG276,'Calc base'!$C$19:$N$19,"&lt;"&amp;'Calc base'!D$19,'Calc base'!$C$14:$N$14,1))))</f>
        <v>0</v>
      </c>
      <c r="AJ276">
        <f>IF('Calc base'!E$14=0,0,MIN(X276,MAX(0,$E276-SUMIFS($V276:$AG276,'Calc base'!$C$19:$N$19,"&lt;"&amp;'Calc base'!E$19,'Calc base'!$C$14:$N$14,1))))</f>
        <v>0</v>
      </c>
      <c r="AK276">
        <f>IF('Calc base'!F$14=0,0,MIN(Y276,MAX(0,$E276-SUMIFS($V276:$AG276,'Calc base'!$C$19:$N$19,"&lt;"&amp;'Calc base'!F$19,'Calc base'!$C$14:$N$14,1))))</f>
        <v>0</v>
      </c>
      <c r="AL276">
        <f>IF('Calc base'!G$14=0,0,MIN(Z276,MAX(0,$E276-SUMIFS($V276:$AG276,'Calc base'!$C$19:$N$19,"&lt;"&amp;'Calc base'!G$19,'Calc base'!$C$14:$N$14,1))))</f>
        <v>0</v>
      </c>
      <c r="AM276">
        <f>IF('Calc base'!H$14=0,0,MIN(AA276,MAX(0,$E276-SUMIFS($V276:$AG276,'Calc base'!$C$19:$N$19,"&lt;"&amp;'Calc base'!H$19,'Calc base'!$C$14:$N$14,1))))</f>
        <v>0</v>
      </c>
      <c r="AN276">
        <f>IF('Calc base'!I$14=0,0,MIN(AB276,MAX(0,$E276-SUMIFS($V276:$AG276,'Calc base'!$C$19:$N$19,"&lt;"&amp;'Calc base'!I$19,'Calc base'!$C$14:$N$14,1))))</f>
        <v>0</v>
      </c>
      <c r="AO276">
        <f>IF('Calc base'!J$14=0,0,MIN(AC276,MAX(0,$E276-SUMIFS($V276:$AG276,'Calc base'!$C$19:$N$19,"&lt;"&amp;'Calc base'!J$19,'Calc base'!$C$14:$N$14,1))))</f>
        <v>0</v>
      </c>
      <c r="AP276">
        <f>IF('Calc base'!K$14=0,0,MIN(AD276,MAX(0,$E276-SUMIFS($V276:$AG276,'Calc base'!$C$19:$N$19,"&lt;"&amp;'Calc base'!K$19,'Calc base'!$C$14:$N$14,1))))</f>
        <v>0</v>
      </c>
      <c r="AQ276">
        <f>IF('Calc base'!L$14=0,0,MIN(AE276,MAX(0,$E276-SUMIFS($V276:$AG276,'Calc base'!$C$19:$N$19,"&lt;"&amp;'Calc base'!L$19,'Calc base'!$C$14:$N$14,1))))</f>
        <v>0</v>
      </c>
      <c r="AR276">
        <f>IF('Calc base'!M$14=0,0,MIN(AF276,MAX(0,$E276-SUMIFS($V276:$AG276,'Calc base'!$C$19:$N$19,"&lt;"&amp;'Calc base'!M$19,'Calc base'!$C$14:$N$14,1))))</f>
        <v>0</v>
      </c>
      <c r="AS276">
        <f>IF('Calc base'!N$14=0,0,MIN(AG276,MAX(0,$E276-SUMIFS($V276:$AG276,'Calc base'!$C$19:$N$19,"&lt;"&amp;'Calc base'!N$19,'Calc base'!$C$14:$N$14,1))))</f>
        <v>0</v>
      </c>
      <c r="AT276">
        <f>V276-AH276</f>
        <v>0</v>
      </c>
      <c r="AU276">
        <f>W276-AI276</f>
        <v>0</v>
      </c>
      <c r="AV276">
        <f>X276-AJ276</f>
        <v>0</v>
      </c>
      <c r="AW276">
        <f>Y276-AK276</f>
        <v>0</v>
      </c>
      <c r="AX276">
        <f>Z276-AL276</f>
        <v>0</v>
      </c>
      <c r="AY276">
        <f>AA276-AM276</f>
        <v>0</v>
      </c>
      <c r="AZ276">
        <f>AB276-AN276</f>
        <v>0</v>
      </c>
      <c r="BA276">
        <f>AC276-AO276</f>
        <v>0</v>
      </c>
      <c r="BB276">
        <f>AD276-AP276</f>
        <v>0</v>
      </c>
      <c r="BC276">
        <f>AE276-AQ276</f>
        <v>0</v>
      </c>
      <c r="BD276">
        <f>AF276-AR276</f>
        <v>0</v>
      </c>
      <c r="BE276">
        <f>AG276-AS276</f>
        <v>0</v>
      </c>
    </row>
    <row r="277">
      <c r="A277" t="n">
        <v>247</v>
      </c>
      <c r="B277">
        <f>SUMPRODUCT(ROUND($AT276:$BE276*(1+'Calc base'!$H277:$S277),2))</f>
        <v>0</v>
      </c>
      <c r="C277">
        <f>SUM(J277:U277)</f>
        <v>0</v>
      </c>
      <c r="D277">
        <f>SUM(V277:AG277)</f>
        <v>0</v>
      </c>
      <c r="E277">
        <f>MAX(0,IF(Impostazioni!$B$7="No",'Calc base'!$C277-$C$31,'Calc base'!$C277-C277)+'Calc base'!$G277+'Calc base'!$F277-(B277-C277-D277))</f>
        <v>900</v>
      </c>
      <c r="F277">
        <f>SUM(AH277:AS277)</f>
        <v>0</v>
      </c>
      <c r="G277">
        <f>SUM(AT277:BE277)</f>
        <v>0</v>
      </c>
      <c r="H277">
        <f>B277-G276</f>
        <v>0</v>
      </c>
      <c r="I277">
        <f>B277-G277</f>
        <v>0</v>
      </c>
      <c r="J277">
        <f>IF(AT276&lt;=0,0,IF(ROUND(AT276*(1+'Calc base'!H277),2)-MAX('Calc base'!C$12,ROUND('Calc base'!C$13*AT276,2))&lt;1,ROUND(AT276*(1+'Calc base'!H277),2),MAX('Calc base'!C$12,ROUND('Calc base'!C$13*AT276,2))))</f>
        <v>0</v>
      </c>
      <c r="K277">
        <f>IF(AU276&lt;=0,0,IF(ROUND(AU276*(1+'Calc base'!I277),2)-MAX('Calc base'!D$12,ROUND('Calc base'!D$13*AU276,2))&lt;1,ROUND(AU276*(1+'Calc base'!I277),2),MAX('Calc base'!D$12,ROUND('Calc base'!D$13*AU276,2))))</f>
        <v>0</v>
      </c>
      <c r="L277">
        <f>IF(AV276&lt;=0,0,IF(ROUND(AV276*(1+'Calc base'!J277),2)-MAX('Calc base'!E$12,ROUND('Calc base'!E$13*AV276,2))&lt;1,ROUND(AV276*(1+'Calc base'!J277),2),MAX('Calc base'!E$12,ROUND('Calc base'!E$13*AV276,2))))</f>
        <v>0</v>
      </c>
      <c r="M277">
        <f>IF(AW276&lt;=0,0,IF(ROUND(AW276*(1+'Calc base'!K277),2)-MAX('Calc base'!F$12,ROUND('Calc base'!F$13*AW276,2))&lt;1,ROUND(AW276*(1+'Calc base'!K277),2),MAX('Calc base'!F$12,ROUND('Calc base'!F$13*AW276,2))))</f>
        <v>0</v>
      </c>
      <c r="N277">
        <f>IF(AX276&lt;=0,0,IF(ROUND(AX276*(1+'Calc base'!L277),2)-MAX('Calc base'!G$12,ROUND('Calc base'!G$13*AX276,2))&lt;1,ROUND(AX276*(1+'Calc base'!L277),2),MAX('Calc base'!G$12,ROUND('Calc base'!G$13*AX276,2))))</f>
        <v>0</v>
      </c>
      <c r="O277">
        <f>IF(AY276&lt;=0,0,IF(ROUND(AY276*(1+'Calc base'!M277),2)-MAX('Calc base'!H$12,ROUND('Calc base'!H$13*AY276,2))&lt;1,ROUND(AY276*(1+'Calc base'!M277),2),MAX('Calc base'!H$12,ROUND('Calc base'!H$13*AY276,2))))</f>
        <v>0</v>
      </c>
      <c r="P277">
        <f>IF(AZ276&lt;=0,0,IF(ROUND(AZ276*(1+'Calc base'!N277),2)-MAX('Calc base'!I$12,ROUND('Calc base'!I$13*AZ276,2))&lt;1,ROUND(AZ276*(1+'Calc base'!N277),2),MAX('Calc base'!I$12,ROUND('Calc base'!I$13*AZ276,2))))</f>
        <v>0</v>
      </c>
      <c r="Q277">
        <f>IF(BA276&lt;=0,0,IF(ROUND(BA276*(1+'Calc base'!O277),2)-MAX('Calc base'!J$12,ROUND('Calc base'!J$13*BA276,2))&lt;1,ROUND(BA276*(1+'Calc base'!O277),2),MAX('Calc base'!J$12,ROUND('Calc base'!J$13*BA276,2))))</f>
        <v>0</v>
      </c>
      <c r="R277">
        <f>IF(BB276&lt;=0,0,IF(ROUND(BB276*(1+'Calc base'!P277),2)-MAX('Calc base'!K$12,ROUND('Calc base'!K$13*BB276,2))&lt;1,ROUND(BB276*(1+'Calc base'!P277),2),MAX('Calc base'!K$12,ROUND('Calc base'!K$13*BB276,2))))</f>
        <v>0</v>
      </c>
      <c r="S277">
        <f>IF(BC276&lt;=0,0,IF(ROUND(BC276*(1+'Calc base'!Q277),2)-MAX('Calc base'!L$12,ROUND('Calc base'!L$13*BC276,2))&lt;1,ROUND(BC276*(1+'Calc base'!Q277),2),MAX('Calc base'!L$12,ROUND('Calc base'!L$13*BC276,2))))</f>
        <v>0</v>
      </c>
      <c r="T277">
        <f>IF(BD276&lt;=0,0,IF(ROUND(BD276*(1+'Calc base'!R277),2)-MAX('Calc base'!M$12,ROUND('Calc base'!M$13*BD276,2))&lt;1,ROUND(BD276*(1+'Calc base'!R277),2),MAX('Calc base'!M$12,ROUND('Calc base'!M$13*BD276,2))))</f>
        <v>0</v>
      </c>
      <c r="U277">
        <f>IF(BE276&lt;=0,0,IF(ROUND(BE276*(1+'Calc base'!S277),2)-MAX('Calc base'!N$12,ROUND('Calc base'!N$13*BE276,2))&lt;1,ROUND(BE276*(1+'Calc base'!S277),2),MAX('Calc base'!N$12,ROUND('Calc base'!N$13*BE276,2))))</f>
        <v>0</v>
      </c>
      <c r="V277">
        <f>MAX(0,ROUND(AT276*(1+'Calc base'!H277),2)-J277-'Calc base'!T277)</f>
        <v>0</v>
      </c>
      <c r="W277">
        <f>MAX(0,ROUND(AU276*(1+'Calc base'!I277),2)-K277-'Calc base'!U277)</f>
        <v>0</v>
      </c>
      <c r="X277">
        <f>MAX(0,ROUND(AV276*(1+'Calc base'!J277),2)-L277-'Calc base'!V277)</f>
        <v>0</v>
      </c>
      <c r="Y277">
        <f>MAX(0,ROUND(AW276*(1+'Calc base'!K277),2)-M277-'Calc base'!W277)</f>
        <v>0</v>
      </c>
      <c r="Z277">
        <f>MAX(0,ROUND(AX276*(1+'Calc base'!L277),2)-N277-'Calc base'!X277)</f>
        <v>0</v>
      </c>
      <c r="AA277">
        <f>MAX(0,ROUND(AY276*(1+'Calc base'!M277),2)-O277-'Calc base'!Y277)</f>
        <v>0</v>
      </c>
      <c r="AB277">
        <f>MAX(0,ROUND(AZ276*(1+'Calc base'!N277),2)-P277-'Calc base'!Z277)</f>
        <v>0</v>
      </c>
      <c r="AC277">
        <f>MAX(0,ROUND(BA276*(1+'Calc base'!O277),2)-Q277-'Calc base'!AA277)</f>
        <v>0</v>
      </c>
      <c r="AD277">
        <f>MAX(0,ROUND(BB276*(1+'Calc base'!P277),2)-R277-'Calc base'!AB277)</f>
        <v>0</v>
      </c>
      <c r="AE277">
        <f>MAX(0,ROUND(BC276*(1+'Calc base'!Q277),2)-S277-'Calc base'!AC277)</f>
        <v>0</v>
      </c>
      <c r="AF277">
        <f>MAX(0,ROUND(BD276*(1+'Calc base'!R277),2)-T277-'Calc base'!AD277)</f>
        <v>0</v>
      </c>
      <c r="AG277">
        <f>MAX(0,ROUND(BE276*(1+'Calc base'!S277),2)-U277-'Calc base'!AE277)</f>
        <v>0</v>
      </c>
      <c r="AH277">
        <f>IF('Calc base'!C$14=0,0,MIN(V277,MAX(0,$E277-SUMIFS($V277:$AG277,'Calc base'!$C$19:$N$19,"&lt;"&amp;'Calc base'!C$19,'Calc base'!$C$14:$N$14,1))))</f>
        <v>0</v>
      </c>
      <c r="AI277">
        <f>IF('Calc base'!D$14=0,0,MIN(W277,MAX(0,$E277-SUMIFS($V277:$AG277,'Calc base'!$C$19:$N$19,"&lt;"&amp;'Calc base'!D$19,'Calc base'!$C$14:$N$14,1))))</f>
        <v>0</v>
      </c>
      <c r="AJ277">
        <f>IF('Calc base'!E$14=0,0,MIN(X277,MAX(0,$E277-SUMIFS($V277:$AG277,'Calc base'!$C$19:$N$19,"&lt;"&amp;'Calc base'!E$19,'Calc base'!$C$14:$N$14,1))))</f>
        <v>0</v>
      </c>
      <c r="AK277">
        <f>IF('Calc base'!F$14=0,0,MIN(Y277,MAX(0,$E277-SUMIFS($V277:$AG277,'Calc base'!$C$19:$N$19,"&lt;"&amp;'Calc base'!F$19,'Calc base'!$C$14:$N$14,1))))</f>
        <v>0</v>
      </c>
      <c r="AL277">
        <f>IF('Calc base'!G$14=0,0,MIN(Z277,MAX(0,$E277-SUMIFS($V277:$AG277,'Calc base'!$C$19:$N$19,"&lt;"&amp;'Calc base'!G$19,'Calc base'!$C$14:$N$14,1))))</f>
        <v>0</v>
      </c>
      <c r="AM277">
        <f>IF('Calc base'!H$14=0,0,MIN(AA277,MAX(0,$E277-SUMIFS($V277:$AG277,'Calc base'!$C$19:$N$19,"&lt;"&amp;'Calc base'!H$19,'Calc base'!$C$14:$N$14,1))))</f>
        <v>0</v>
      </c>
      <c r="AN277">
        <f>IF('Calc base'!I$14=0,0,MIN(AB277,MAX(0,$E277-SUMIFS($V277:$AG277,'Calc base'!$C$19:$N$19,"&lt;"&amp;'Calc base'!I$19,'Calc base'!$C$14:$N$14,1))))</f>
        <v>0</v>
      </c>
      <c r="AO277">
        <f>IF('Calc base'!J$14=0,0,MIN(AC277,MAX(0,$E277-SUMIFS($V277:$AG277,'Calc base'!$C$19:$N$19,"&lt;"&amp;'Calc base'!J$19,'Calc base'!$C$14:$N$14,1))))</f>
        <v>0</v>
      </c>
      <c r="AP277">
        <f>IF('Calc base'!K$14=0,0,MIN(AD277,MAX(0,$E277-SUMIFS($V277:$AG277,'Calc base'!$C$19:$N$19,"&lt;"&amp;'Calc base'!K$19,'Calc base'!$C$14:$N$14,1))))</f>
        <v>0</v>
      </c>
      <c r="AQ277">
        <f>IF('Calc base'!L$14=0,0,MIN(AE277,MAX(0,$E277-SUMIFS($V277:$AG277,'Calc base'!$C$19:$N$19,"&lt;"&amp;'Calc base'!L$19,'Calc base'!$C$14:$N$14,1))))</f>
        <v>0</v>
      </c>
      <c r="AR277">
        <f>IF('Calc base'!M$14=0,0,MIN(AF277,MAX(0,$E277-SUMIFS($V277:$AG277,'Calc base'!$C$19:$N$19,"&lt;"&amp;'Calc base'!M$19,'Calc base'!$C$14:$N$14,1))))</f>
        <v>0</v>
      </c>
      <c r="AS277">
        <f>IF('Calc base'!N$14=0,0,MIN(AG277,MAX(0,$E277-SUMIFS($V277:$AG277,'Calc base'!$C$19:$N$19,"&lt;"&amp;'Calc base'!N$19,'Calc base'!$C$14:$N$14,1))))</f>
        <v>0</v>
      </c>
      <c r="AT277">
        <f>V277-AH277</f>
        <v>0</v>
      </c>
      <c r="AU277">
        <f>W277-AI277</f>
        <v>0</v>
      </c>
      <c r="AV277">
        <f>X277-AJ277</f>
        <v>0</v>
      </c>
      <c r="AW277">
        <f>Y277-AK277</f>
        <v>0</v>
      </c>
      <c r="AX277">
        <f>Z277-AL277</f>
        <v>0</v>
      </c>
      <c r="AY277">
        <f>AA277-AM277</f>
        <v>0</v>
      </c>
      <c r="AZ277">
        <f>AB277-AN277</f>
        <v>0</v>
      </c>
      <c r="BA277">
        <f>AC277-AO277</f>
        <v>0</v>
      </c>
      <c r="BB277">
        <f>AD277-AP277</f>
        <v>0</v>
      </c>
      <c r="BC277">
        <f>AE277-AQ277</f>
        <v>0</v>
      </c>
      <c r="BD277">
        <f>AF277-AR277</f>
        <v>0</v>
      </c>
      <c r="BE277">
        <f>AG277-AS277</f>
        <v>0</v>
      </c>
    </row>
    <row r="278">
      <c r="A278" t="n">
        <v>248</v>
      </c>
      <c r="B278">
        <f>SUMPRODUCT(ROUND($AT277:$BE277*(1+'Calc base'!$H278:$S278),2))</f>
        <v>0</v>
      </c>
      <c r="C278">
        <f>SUM(J278:U278)</f>
        <v>0</v>
      </c>
      <c r="D278">
        <f>SUM(V278:AG278)</f>
        <v>0</v>
      </c>
      <c r="E278">
        <f>MAX(0,IF(Impostazioni!$B$7="No",'Calc base'!$C278-$C$31,'Calc base'!$C278-C278)+'Calc base'!$G278+'Calc base'!$F278-(B278-C278-D278))</f>
        <v>900</v>
      </c>
      <c r="F278">
        <f>SUM(AH278:AS278)</f>
        <v>0</v>
      </c>
      <c r="G278">
        <f>SUM(AT278:BE278)</f>
        <v>0</v>
      </c>
      <c r="H278">
        <f>B278-G277</f>
        <v>0</v>
      </c>
      <c r="I278">
        <f>B278-G278</f>
        <v>0</v>
      </c>
      <c r="J278">
        <f>IF(AT277&lt;=0,0,IF(ROUND(AT277*(1+'Calc base'!H278),2)-MAX('Calc base'!C$12,ROUND('Calc base'!C$13*AT277,2))&lt;1,ROUND(AT277*(1+'Calc base'!H278),2),MAX('Calc base'!C$12,ROUND('Calc base'!C$13*AT277,2))))</f>
        <v>0</v>
      </c>
      <c r="K278">
        <f>IF(AU277&lt;=0,0,IF(ROUND(AU277*(1+'Calc base'!I278),2)-MAX('Calc base'!D$12,ROUND('Calc base'!D$13*AU277,2))&lt;1,ROUND(AU277*(1+'Calc base'!I278),2),MAX('Calc base'!D$12,ROUND('Calc base'!D$13*AU277,2))))</f>
        <v>0</v>
      </c>
      <c r="L278">
        <f>IF(AV277&lt;=0,0,IF(ROUND(AV277*(1+'Calc base'!J278),2)-MAX('Calc base'!E$12,ROUND('Calc base'!E$13*AV277,2))&lt;1,ROUND(AV277*(1+'Calc base'!J278),2),MAX('Calc base'!E$12,ROUND('Calc base'!E$13*AV277,2))))</f>
        <v>0</v>
      </c>
      <c r="M278">
        <f>IF(AW277&lt;=0,0,IF(ROUND(AW277*(1+'Calc base'!K278),2)-MAX('Calc base'!F$12,ROUND('Calc base'!F$13*AW277,2))&lt;1,ROUND(AW277*(1+'Calc base'!K278),2),MAX('Calc base'!F$12,ROUND('Calc base'!F$13*AW277,2))))</f>
        <v>0</v>
      </c>
      <c r="N278">
        <f>IF(AX277&lt;=0,0,IF(ROUND(AX277*(1+'Calc base'!L278),2)-MAX('Calc base'!G$12,ROUND('Calc base'!G$13*AX277,2))&lt;1,ROUND(AX277*(1+'Calc base'!L278),2),MAX('Calc base'!G$12,ROUND('Calc base'!G$13*AX277,2))))</f>
        <v>0</v>
      </c>
      <c r="O278">
        <f>IF(AY277&lt;=0,0,IF(ROUND(AY277*(1+'Calc base'!M278),2)-MAX('Calc base'!H$12,ROUND('Calc base'!H$13*AY277,2))&lt;1,ROUND(AY277*(1+'Calc base'!M278),2),MAX('Calc base'!H$12,ROUND('Calc base'!H$13*AY277,2))))</f>
        <v>0</v>
      </c>
      <c r="P278">
        <f>IF(AZ277&lt;=0,0,IF(ROUND(AZ277*(1+'Calc base'!N278),2)-MAX('Calc base'!I$12,ROUND('Calc base'!I$13*AZ277,2))&lt;1,ROUND(AZ277*(1+'Calc base'!N278),2),MAX('Calc base'!I$12,ROUND('Calc base'!I$13*AZ277,2))))</f>
        <v>0</v>
      </c>
      <c r="Q278">
        <f>IF(BA277&lt;=0,0,IF(ROUND(BA277*(1+'Calc base'!O278),2)-MAX('Calc base'!J$12,ROUND('Calc base'!J$13*BA277,2))&lt;1,ROUND(BA277*(1+'Calc base'!O278),2),MAX('Calc base'!J$12,ROUND('Calc base'!J$13*BA277,2))))</f>
        <v>0</v>
      </c>
      <c r="R278">
        <f>IF(BB277&lt;=0,0,IF(ROUND(BB277*(1+'Calc base'!P278),2)-MAX('Calc base'!K$12,ROUND('Calc base'!K$13*BB277,2))&lt;1,ROUND(BB277*(1+'Calc base'!P278),2),MAX('Calc base'!K$12,ROUND('Calc base'!K$13*BB277,2))))</f>
        <v>0</v>
      </c>
      <c r="S278">
        <f>IF(BC277&lt;=0,0,IF(ROUND(BC277*(1+'Calc base'!Q278),2)-MAX('Calc base'!L$12,ROUND('Calc base'!L$13*BC277,2))&lt;1,ROUND(BC277*(1+'Calc base'!Q278),2),MAX('Calc base'!L$12,ROUND('Calc base'!L$13*BC277,2))))</f>
        <v>0</v>
      </c>
      <c r="T278">
        <f>IF(BD277&lt;=0,0,IF(ROUND(BD277*(1+'Calc base'!R278),2)-MAX('Calc base'!M$12,ROUND('Calc base'!M$13*BD277,2))&lt;1,ROUND(BD277*(1+'Calc base'!R278),2),MAX('Calc base'!M$12,ROUND('Calc base'!M$13*BD277,2))))</f>
        <v>0</v>
      </c>
      <c r="U278">
        <f>IF(BE277&lt;=0,0,IF(ROUND(BE277*(1+'Calc base'!S278),2)-MAX('Calc base'!N$12,ROUND('Calc base'!N$13*BE277,2))&lt;1,ROUND(BE277*(1+'Calc base'!S278),2),MAX('Calc base'!N$12,ROUND('Calc base'!N$13*BE277,2))))</f>
        <v>0</v>
      </c>
      <c r="V278">
        <f>MAX(0,ROUND(AT277*(1+'Calc base'!H278),2)-J278-'Calc base'!T278)</f>
        <v>0</v>
      </c>
      <c r="W278">
        <f>MAX(0,ROUND(AU277*(1+'Calc base'!I278),2)-K278-'Calc base'!U278)</f>
        <v>0</v>
      </c>
      <c r="X278">
        <f>MAX(0,ROUND(AV277*(1+'Calc base'!J278),2)-L278-'Calc base'!V278)</f>
        <v>0</v>
      </c>
      <c r="Y278">
        <f>MAX(0,ROUND(AW277*(1+'Calc base'!K278),2)-M278-'Calc base'!W278)</f>
        <v>0</v>
      </c>
      <c r="Z278">
        <f>MAX(0,ROUND(AX277*(1+'Calc base'!L278),2)-N278-'Calc base'!X278)</f>
        <v>0</v>
      </c>
      <c r="AA278">
        <f>MAX(0,ROUND(AY277*(1+'Calc base'!M278),2)-O278-'Calc base'!Y278)</f>
        <v>0</v>
      </c>
      <c r="AB278">
        <f>MAX(0,ROUND(AZ277*(1+'Calc base'!N278),2)-P278-'Calc base'!Z278)</f>
        <v>0</v>
      </c>
      <c r="AC278">
        <f>MAX(0,ROUND(BA277*(1+'Calc base'!O278),2)-Q278-'Calc base'!AA278)</f>
        <v>0</v>
      </c>
      <c r="AD278">
        <f>MAX(0,ROUND(BB277*(1+'Calc base'!P278),2)-R278-'Calc base'!AB278)</f>
        <v>0</v>
      </c>
      <c r="AE278">
        <f>MAX(0,ROUND(BC277*(1+'Calc base'!Q278),2)-S278-'Calc base'!AC278)</f>
        <v>0</v>
      </c>
      <c r="AF278">
        <f>MAX(0,ROUND(BD277*(1+'Calc base'!R278),2)-T278-'Calc base'!AD278)</f>
        <v>0</v>
      </c>
      <c r="AG278">
        <f>MAX(0,ROUND(BE277*(1+'Calc base'!S278),2)-U278-'Calc base'!AE278)</f>
        <v>0</v>
      </c>
      <c r="AH278">
        <f>IF('Calc base'!C$14=0,0,MIN(V278,MAX(0,$E278-SUMIFS($V278:$AG278,'Calc base'!$C$19:$N$19,"&lt;"&amp;'Calc base'!C$19,'Calc base'!$C$14:$N$14,1))))</f>
        <v>0</v>
      </c>
      <c r="AI278">
        <f>IF('Calc base'!D$14=0,0,MIN(W278,MAX(0,$E278-SUMIFS($V278:$AG278,'Calc base'!$C$19:$N$19,"&lt;"&amp;'Calc base'!D$19,'Calc base'!$C$14:$N$14,1))))</f>
        <v>0</v>
      </c>
      <c r="AJ278">
        <f>IF('Calc base'!E$14=0,0,MIN(X278,MAX(0,$E278-SUMIFS($V278:$AG278,'Calc base'!$C$19:$N$19,"&lt;"&amp;'Calc base'!E$19,'Calc base'!$C$14:$N$14,1))))</f>
        <v>0</v>
      </c>
      <c r="AK278">
        <f>IF('Calc base'!F$14=0,0,MIN(Y278,MAX(0,$E278-SUMIFS($V278:$AG278,'Calc base'!$C$19:$N$19,"&lt;"&amp;'Calc base'!F$19,'Calc base'!$C$14:$N$14,1))))</f>
        <v>0</v>
      </c>
      <c r="AL278">
        <f>IF('Calc base'!G$14=0,0,MIN(Z278,MAX(0,$E278-SUMIFS($V278:$AG278,'Calc base'!$C$19:$N$19,"&lt;"&amp;'Calc base'!G$19,'Calc base'!$C$14:$N$14,1))))</f>
        <v>0</v>
      </c>
      <c r="AM278">
        <f>IF('Calc base'!H$14=0,0,MIN(AA278,MAX(0,$E278-SUMIFS($V278:$AG278,'Calc base'!$C$19:$N$19,"&lt;"&amp;'Calc base'!H$19,'Calc base'!$C$14:$N$14,1))))</f>
        <v>0</v>
      </c>
      <c r="AN278">
        <f>IF('Calc base'!I$14=0,0,MIN(AB278,MAX(0,$E278-SUMIFS($V278:$AG278,'Calc base'!$C$19:$N$19,"&lt;"&amp;'Calc base'!I$19,'Calc base'!$C$14:$N$14,1))))</f>
        <v>0</v>
      </c>
      <c r="AO278">
        <f>IF('Calc base'!J$14=0,0,MIN(AC278,MAX(0,$E278-SUMIFS($V278:$AG278,'Calc base'!$C$19:$N$19,"&lt;"&amp;'Calc base'!J$19,'Calc base'!$C$14:$N$14,1))))</f>
        <v>0</v>
      </c>
      <c r="AP278">
        <f>IF('Calc base'!K$14=0,0,MIN(AD278,MAX(0,$E278-SUMIFS($V278:$AG278,'Calc base'!$C$19:$N$19,"&lt;"&amp;'Calc base'!K$19,'Calc base'!$C$14:$N$14,1))))</f>
        <v>0</v>
      </c>
      <c r="AQ278">
        <f>IF('Calc base'!L$14=0,0,MIN(AE278,MAX(0,$E278-SUMIFS($V278:$AG278,'Calc base'!$C$19:$N$19,"&lt;"&amp;'Calc base'!L$19,'Calc base'!$C$14:$N$14,1))))</f>
        <v>0</v>
      </c>
      <c r="AR278">
        <f>IF('Calc base'!M$14=0,0,MIN(AF278,MAX(0,$E278-SUMIFS($V278:$AG278,'Calc base'!$C$19:$N$19,"&lt;"&amp;'Calc base'!M$19,'Calc base'!$C$14:$N$14,1))))</f>
        <v>0</v>
      </c>
      <c r="AS278">
        <f>IF('Calc base'!N$14=0,0,MIN(AG278,MAX(0,$E278-SUMIFS($V278:$AG278,'Calc base'!$C$19:$N$19,"&lt;"&amp;'Calc base'!N$19,'Calc base'!$C$14:$N$14,1))))</f>
        <v>0</v>
      </c>
      <c r="AT278">
        <f>V278-AH278</f>
        <v>0</v>
      </c>
      <c r="AU278">
        <f>W278-AI278</f>
        <v>0</v>
      </c>
      <c r="AV278">
        <f>X278-AJ278</f>
        <v>0</v>
      </c>
      <c r="AW278">
        <f>Y278-AK278</f>
        <v>0</v>
      </c>
      <c r="AX278">
        <f>Z278-AL278</f>
        <v>0</v>
      </c>
      <c r="AY278">
        <f>AA278-AM278</f>
        <v>0</v>
      </c>
      <c r="AZ278">
        <f>AB278-AN278</f>
        <v>0</v>
      </c>
      <c r="BA278">
        <f>AC278-AO278</f>
        <v>0</v>
      </c>
      <c r="BB278">
        <f>AD278-AP278</f>
        <v>0</v>
      </c>
      <c r="BC278">
        <f>AE278-AQ278</f>
        <v>0</v>
      </c>
      <c r="BD278">
        <f>AF278-AR278</f>
        <v>0</v>
      </c>
      <c r="BE278">
        <f>AG278-AS278</f>
        <v>0</v>
      </c>
    </row>
    <row r="279">
      <c r="A279" t="n">
        <v>249</v>
      </c>
      <c r="B279">
        <f>SUMPRODUCT(ROUND($AT278:$BE278*(1+'Calc base'!$H279:$S279),2))</f>
        <v>0</v>
      </c>
      <c r="C279">
        <f>SUM(J279:U279)</f>
        <v>0</v>
      </c>
      <c r="D279">
        <f>SUM(V279:AG279)</f>
        <v>0</v>
      </c>
      <c r="E279">
        <f>MAX(0,IF(Impostazioni!$B$7="No",'Calc base'!$C279-$C$31,'Calc base'!$C279-C279)+'Calc base'!$G279+'Calc base'!$F279-(B279-C279-D279))</f>
        <v>900</v>
      </c>
      <c r="F279">
        <f>SUM(AH279:AS279)</f>
        <v>0</v>
      </c>
      <c r="G279">
        <f>SUM(AT279:BE279)</f>
        <v>0</v>
      </c>
      <c r="H279">
        <f>B279-G278</f>
        <v>0</v>
      </c>
      <c r="I279">
        <f>B279-G279</f>
        <v>0</v>
      </c>
      <c r="J279">
        <f>IF(AT278&lt;=0,0,IF(ROUND(AT278*(1+'Calc base'!H279),2)-MAX('Calc base'!C$12,ROUND('Calc base'!C$13*AT278,2))&lt;1,ROUND(AT278*(1+'Calc base'!H279),2),MAX('Calc base'!C$12,ROUND('Calc base'!C$13*AT278,2))))</f>
        <v>0</v>
      </c>
      <c r="K279">
        <f>IF(AU278&lt;=0,0,IF(ROUND(AU278*(1+'Calc base'!I279),2)-MAX('Calc base'!D$12,ROUND('Calc base'!D$13*AU278,2))&lt;1,ROUND(AU278*(1+'Calc base'!I279),2),MAX('Calc base'!D$12,ROUND('Calc base'!D$13*AU278,2))))</f>
        <v>0</v>
      </c>
      <c r="L279">
        <f>IF(AV278&lt;=0,0,IF(ROUND(AV278*(1+'Calc base'!J279),2)-MAX('Calc base'!E$12,ROUND('Calc base'!E$13*AV278,2))&lt;1,ROUND(AV278*(1+'Calc base'!J279),2),MAX('Calc base'!E$12,ROUND('Calc base'!E$13*AV278,2))))</f>
        <v>0</v>
      </c>
      <c r="M279">
        <f>IF(AW278&lt;=0,0,IF(ROUND(AW278*(1+'Calc base'!K279),2)-MAX('Calc base'!F$12,ROUND('Calc base'!F$13*AW278,2))&lt;1,ROUND(AW278*(1+'Calc base'!K279),2),MAX('Calc base'!F$12,ROUND('Calc base'!F$13*AW278,2))))</f>
        <v>0</v>
      </c>
      <c r="N279">
        <f>IF(AX278&lt;=0,0,IF(ROUND(AX278*(1+'Calc base'!L279),2)-MAX('Calc base'!G$12,ROUND('Calc base'!G$13*AX278,2))&lt;1,ROUND(AX278*(1+'Calc base'!L279),2),MAX('Calc base'!G$12,ROUND('Calc base'!G$13*AX278,2))))</f>
        <v>0</v>
      </c>
      <c r="O279">
        <f>IF(AY278&lt;=0,0,IF(ROUND(AY278*(1+'Calc base'!M279),2)-MAX('Calc base'!H$12,ROUND('Calc base'!H$13*AY278,2))&lt;1,ROUND(AY278*(1+'Calc base'!M279),2),MAX('Calc base'!H$12,ROUND('Calc base'!H$13*AY278,2))))</f>
        <v>0</v>
      </c>
      <c r="P279">
        <f>IF(AZ278&lt;=0,0,IF(ROUND(AZ278*(1+'Calc base'!N279),2)-MAX('Calc base'!I$12,ROUND('Calc base'!I$13*AZ278,2))&lt;1,ROUND(AZ278*(1+'Calc base'!N279),2),MAX('Calc base'!I$12,ROUND('Calc base'!I$13*AZ278,2))))</f>
        <v>0</v>
      </c>
      <c r="Q279">
        <f>IF(BA278&lt;=0,0,IF(ROUND(BA278*(1+'Calc base'!O279),2)-MAX('Calc base'!J$12,ROUND('Calc base'!J$13*BA278,2))&lt;1,ROUND(BA278*(1+'Calc base'!O279),2),MAX('Calc base'!J$12,ROUND('Calc base'!J$13*BA278,2))))</f>
        <v>0</v>
      </c>
      <c r="R279">
        <f>IF(BB278&lt;=0,0,IF(ROUND(BB278*(1+'Calc base'!P279),2)-MAX('Calc base'!K$12,ROUND('Calc base'!K$13*BB278,2))&lt;1,ROUND(BB278*(1+'Calc base'!P279),2),MAX('Calc base'!K$12,ROUND('Calc base'!K$13*BB278,2))))</f>
        <v>0</v>
      </c>
      <c r="S279">
        <f>IF(BC278&lt;=0,0,IF(ROUND(BC278*(1+'Calc base'!Q279),2)-MAX('Calc base'!L$12,ROUND('Calc base'!L$13*BC278,2))&lt;1,ROUND(BC278*(1+'Calc base'!Q279),2),MAX('Calc base'!L$12,ROUND('Calc base'!L$13*BC278,2))))</f>
        <v>0</v>
      </c>
      <c r="T279">
        <f>IF(BD278&lt;=0,0,IF(ROUND(BD278*(1+'Calc base'!R279),2)-MAX('Calc base'!M$12,ROUND('Calc base'!M$13*BD278,2))&lt;1,ROUND(BD278*(1+'Calc base'!R279),2),MAX('Calc base'!M$12,ROUND('Calc base'!M$13*BD278,2))))</f>
        <v>0</v>
      </c>
      <c r="U279">
        <f>IF(BE278&lt;=0,0,IF(ROUND(BE278*(1+'Calc base'!S279),2)-MAX('Calc base'!N$12,ROUND('Calc base'!N$13*BE278,2))&lt;1,ROUND(BE278*(1+'Calc base'!S279),2),MAX('Calc base'!N$12,ROUND('Calc base'!N$13*BE278,2))))</f>
        <v>0</v>
      </c>
      <c r="V279">
        <f>MAX(0,ROUND(AT278*(1+'Calc base'!H279),2)-J279-'Calc base'!T279)</f>
        <v>0</v>
      </c>
      <c r="W279">
        <f>MAX(0,ROUND(AU278*(1+'Calc base'!I279),2)-K279-'Calc base'!U279)</f>
        <v>0</v>
      </c>
      <c r="X279">
        <f>MAX(0,ROUND(AV278*(1+'Calc base'!J279),2)-L279-'Calc base'!V279)</f>
        <v>0</v>
      </c>
      <c r="Y279">
        <f>MAX(0,ROUND(AW278*(1+'Calc base'!K279),2)-M279-'Calc base'!W279)</f>
        <v>0</v>
      </c>
      <c r="Z279">
        <f>MAX(0,ROUND(AX278*(1+'Calc base'!L279),2)-N279-'Calc base'!X279)</f>
        <v>0</v>
      </c>
      <c r="AA279">
        <f>MAX(0,ROUND(AY278*(1+'Calc base'!M279),2)-O279-'Calc base'!Y279)</f>
        <v>0</v>
      </c>
      <c r="AB279">
        <f>MAX(0,ROUND(AZ278*(1+'Calc base'!N279),2)-P279-'Calc base'!Z279)</f>
        <v>0</v>
      </c>
      <c r="AC279">
        <f>MAX(0,ROUND(BA278*(1+'Calc base'!O279),2)-Q279-'Calc base'!AA279)</f>
        <v>0</v>
      </c>
      <c r="AD279">
        <f>MAX(0,ROUND(BB278*(1+'Calc base'!P279),2)-R279-'Calc base'!AB279)</f>
        <v>0</v>
      </c>
      <c r="AE279">
        <f>MAX(0,ROUND(BC278*(1+'Calc base'!Q279),2)-S279-'Calc base'!AC279)</f>
        <v>0</v>
      </c>
      <c r="AF279">
        <f>MAX(0,ROUND(BD278*(1+'Calc base'!R279),2)-T279-'Calc base'!AD279)</f>
        <v>0</v>
      </c>
      <c r="AG279">
        <f>MAX(0,ROUND(BE278*(1+'Calc base'!S279),2)-U279-'Calc base'!AE279)</f>
        <v>0</v>
      </c>
      <c r="AH279">
        <f>IF('Calc base'!C$14=0,0,MIN(V279,MAX(0,$E279-SUMIFS($V279:$AG279,'Calc base'!$C$19:$N$19,"&lt;"&amp;'Calc base'!C$19,'Calc base'!$C$14:$N$14,1))))</f>
        <v>0</v>
      </c>
      <c r="AI279">
        <f>IF('Calc base'!D$14=0,0,MIN(W279,MAX(0,$E279-SUMIFS($V279:$AG279,'Calc base'!$C$19:$N$19,"&lt;"&amp;'Calc base'!D$19,'Calc base'!$C$14:$N$14,1))))</f>
        <v>0</v>
      </c>
      <c r="AJ279">
        <f>IF('Calc base'!E$14=0,0,MIN(X279,MAX(0,$E279-SUMIFS($V279:$AG279,'Calc base'!$C$19:$N$19,"&lt;"&amp;'Calc base'!E$19,'Calc base'!$C$14:$N$14,1))))</f>
        <v>0</v>
      </c>
      <c r="AK279">
        <f>IF('Calc base'!F$14=0,0,MIN(Y279,MAX(0,$E279-SUMIFS($V279:$AG279,'Calc base'!$C$19:$N$19,"&lt;"&amp;'Calc base'!F$19,'Calc base'!$C$14:$N$14,1))))</f>
        <v>0</v>
      </c>
      <c r="AL279">
        <f>IF('Calc base'!G$14=0,0,MIN(Z279,MAX(0,$E279-SUMIFS($V279:$AG279,'Calc base'!$C$19:$N$19,"&lt;"&amp;'Calc base'!G$19,'Calc base'!$C$14:$N$14,1))))</f>
        <v>0</v>
      </c>
      <c r="AM279">
        <f>IF('Calc base'!H$14=0,0,MIN(AA279,MAX(0,$E279-SUMIFS($V279:$AG279,'Calc base'!$C$19:$N$19,"&lt;"&amp;'Calc base'!H$19,'Calc base'!$C$14:$N$14,1))))</f>
        <v>0</v>
      </c>
      <c r="AN279">
        <f>IF('Calc base'!I$14=0,0,MIN(AB279,MAX(0,$E279-SUMIFS($V279:$AG279,'Calc base'!$C$19:$N$19,"&lt;"&amp;'Calc base'!I$19,'Calc base'!$C$14:$N$14,1))))</f>
        <v>0</v>
      </c>
      <c r="AO279">
        <f>IF('Calc base'!J$14=0,0,MIN(AC279,MAX(0,$E279-SUMIFS($V279:$AG279,'Calc base'!$C$19:$N$19,"&lt;"&amp;'Calc base'!J$19,'Calc base'!$C$14:$N$14,1))))</f>
        <v>0</v>
      </c>
      <c r="AP279">
        <f>IF('Calc base'!K$14=0,0,MIN(AD279,MAX(0,$E279-SUMIFS($V279:$AG279,'Calc base'!$C$19:$N$19,"&lt;"&amp;'Calc base'!K$19,'Calc base'!$C$14:$N$14,1))))</f>
        <v>0</v>
      </c>
      <c r="AQ279">
        <f>IF('Calc base'!L$14=0,0,MIN(AE279,MAX(0,$E279-SUMIFS($V279:$AG279,'Calc base'!$C$19:$N$19,"&lt;"&amp;'Calc base'!L$19,'Calc base'!$C$14:$N$14,1))))</f>
        <v>0</v>
      </c>
      <c r="AR279">
        <f>IF('Calc base'!M$14=0,0,MIN(AF279,MAX(0,$E279-SUMIFS($V279:$AG279,'Calc base'!$C$19:$N$19,"&lt;"&amp;'Calc base'!M$19,'Calc base'!$C$14:$N$14,1))))</f>
        <v>0</v>
      </c>
      <c r="AS279">
        <f>IF('Calc base'!N$14=0,0,MIN(AG279,MAX(0,$E279-SUMIFS($V279:$AG279,'Calc base'!$C$19:$N$19,"&lt;"&amp;'Calc base'!N$19,'Calc base'!$C$14:$N$14,1))))</f>
        <v>0</v>
      </c>
      <c r="AT279">
        <f>V279-AH279</f>
        <v>0</v>
      </c>
      <c r="AU279">
        <f>W279-AI279</f>
        <v>0</v>
      </c>
      <c r="AV279">
        <f>X279-AJ279</f>
        <v>0</v>
      </c>
      <c r="AW279">
        <f>Y279-AK279</f>
        <v>0</v>
      </c>
      <c r="AX279">
        <f>Z279-AL279</f>
        <v>0</v>
      </c>
      <c r="AY279">
        <f>AA279-AM279</f>
        <v>0</v>
      </c>
      <c r="AZ279">
        <f>AB279-AN279</f>
        <v>0</v>
      </c>
      <c r="BA279">
        <f>AC279-AO279</f>
        <v>0</v>
      </c>
      <c r="BB279">
        <f>AD279-AP279</f>
        <v>0</v>
      </c>
      <c r="BC279">
        <f>AE279-AQ279</f>
        <v>0</v>
      </c>
      <c r="BD279">
        <f>AF279-AR279</f>
        <v>0</v>
      </c>
      <c r="BE279">
        <f>AG279-AS279</f>
        <v>0</v>
      </c>
    </row>
    <row r="280">
      <c r="A280" t="n">
        <v>250</v>
      </c>
      <c r="B280">
        <f>SUMPRODUCT(ROUND($AT279:$BE279*(1+'Calc base'!$H280:$S280),2))</f>
        <v>0</v>
      </c>
      <c r="C280">
        <f>SUM(J280:U280)</f>
        <v>0</v>
      </c>
      <c r="D280">
        <f>SUM(V280:AG280)</f>
        <v>0</v>
      </c>
      <c r="E280">
        <f>MAX(0,IF(Impostazioni!$B$7="No",'Calc base'!$C280-$C$31,'Calc base'!$C280-C280)+'Calc base'!$G280+'Calc base'!$F280-(B280-C280-D280))</f>
        <v>900</v>
      </c>
      <c r="F280">
        <f>SUM(AH280:AS280)</f>
        <v>0</v>
      </c>
      <c r="G280">
        <f>SUM(AT280:BE280)</f>
        <v>0</v>
      </c>
      <c r="H280">
        <f>B280-G279</f>
        <v>0</v>
      </c>
      <c r="I280">
        <f>B280-G280</f>
        <v>0</v>
      </c>
      <c r="J280">
        <f>IF(AT279&lt;=0,0,IF(ROUND(AT279*(1+'Calc base'!H280),2)-MAX('Calc base'!C$12,ROUND('Calc base'!C$13*AT279,2))&lt;1,ROUND(AT279*(1+'Calc base'!H280),2),MAX('Calc base'!C$12,ROUND('Calc base'!C$13*AT279,2))))</f>
        <v>0</v>
      </c>
      <c r="K280">
        <f>IF(AU279&lt;=0,0,IF(ROUND(AU279*(1+'Calc base'!I280),2)-MAX('Calc base'!D$12,ROUND('Calc base'!D$13*AU279,2))&lt;1,ROUND(AU279*(1+'Calc base'!I280),2),MAX('Calc base'!D$12,ROUND('Calc base'!D$13*AU279,2))))</f>
        <v>0</v>
      </c>
      <c r="L280">
        <f>IF(AV279&lt;=0,0,IF(ROUND(AV279*(1+'Calc base'!J280),2)-MAX('Calc base'!E$12,ROUND('Calc base'!E$13*AV279,2))&lt;1,ROUND(AV279*(1+'Calc base'!J280),2),MAX('Calc base'!E$12,ROUND('Calc base'!E$13*AV279,2))))</f>
        <v>0</v>
      </c>
      <c r="M280">
        <f>IF(AW279&lt;=0,0,IF(ROUND(AW279*(1+'Calc base'!K280),2)-MAX('Calc base'!F$12,ROUND('Calc base'!F$13*AW279,2))&lt;1,ROUND(AW279*(1+'Calc base'!K280),2),MAX('Calc base'!F$12,ROUND('Calc base'!F$13*AW279,2))))</f>
        <v>0</v>
      </c>
      <c r="N280">
        <f>IF(AX279&lt;=0,0,IF(ROUND(AX279*(1+'Calc base'!L280),2)-MAX('Calc base'!G$12,ROUND('Calc base'!G$13*AX279,2))&lt;1,ROUND(AX279*(1+'Calc base'!L280),2),MAX('Calc base'!G$12,ROUND('Calc base'!G$13*AX279,2))))</f>
        <v>0</v>
      </c>
      <c r="O280">
        <f>IF(AY279&lt;=0,0,IF(ROUND(AY279*(1+'Calc base'!M280),2)-MAX('Calc base'!H$12,ROUND('Calc base'!H$13*AY279,2))&lt;1,ROUND(AY279*(1+'Calc base'!M280),2),MAX('Calc base'!H$12,ROUND('Calc base'!H$13*AY279,2))))</f>
        <v>0</v>
      </c>
      <c r="P280">
        <f>IF(AZ279&lt;=0,0,IF(ROUND(AZ279*(1+'Calc base'!N280),2)-MAX('Calc base'!I$12,ROUND('Calc base'!I$13*AZ279,2))&lt;1,ROUND(AZ279*(1+'Calc base'!N280),2),MAX('Calc base'!I$12,ROUND('Calc base'!I$13*AZ279,2))))</f>
        <v>0</v>
      </c>
      <c r="Q280">
        <f>IF(BA279&lt;=0,0,IF(ROUND(BA279*(1+'Calc base'!O280),2)-MAX('Calc base'!J$12,ROUND('Calc base'!J$13*BA279,2))&lt;1,ROUND(BA279*(1+'Calc base'!O280),2),MAX('Calc base'!J$12,ROUND('Calc base'!J$13*BA279,2))))</f>
        <v>0</v>
      </c>
      <c r="R280">
        <f>IF(BB279&lt;=0,0,IF(ROUND(BB279*(1+'Calc base'!P280),2)-MAX('Calc base'!K$12,ROUND('Calc base'!K$13*BB279,2))&lt;1,ROUND(BB279*(1+'Calc base'!P280),2),MAX('Calc base'!K$12,ROUND('Calc base'!K$13*BB279,2))))</f>
        <v>0</v>
      </c>
      <c r="S280">
        <f>IF(BC279&lt;=0,0,IF(ROUND(BC279*(1+'Calc base'!Q280),2)-MAX('Calc base'!L$12,ROUND('Calc base'!L$13*BC279,2))&lt;1,ROUND(BC279*(1+'Calc base'!Q280),2),MAX('Calc base'!L$12,ROUND('Calc base'!L$13*BC279,2))))</f>
        <v>0</v>
      </c>
      <c r="T280">
        <f>IF(BD279&lt;=0,0,IF(ROUND(BD279*(1+'Calc base'!R280),2)-MAX('Calc base'!M$12,ROUND('Calc base'!M$13*BD279,2))&lt;1,ROUND(BD279*(1+'Calc base'!R280),2),MAX('Calc base'!M$12,ROUND('Calc base'!M$13*BD279,2))))</f>
        <v>0</v>
      </c>
      <c r="U280">
        <f>IF(BE279&lt;=0,0,IF(ROUND(BE279*(1+'Calc base'!S280),2)-MAX('Calc base'!N$12,ROUND('Calc base'!N$13*BE279,2))&lt;1,ROUND(BE279*(1+'Calc base'!S280),2),MAX('Calc base'!N$12,ROUND('Calc base'!N$13*BE279,2))))</f>
        <v>0</v>
      </c>
      <c r="V280">
        <f>MAX(0,ROUND(AT279*(1+'Calc base'!H280),2)-J280-'Calc base'!T280)</f>
        <v>0</v>
      </c>
      <c r="W280">
        <f>MAX(0,ROUND(AU279*(1+'Calc base'!I280),2)-K280-'Calc base'!U280)</f>
        <v>0</v>
      </c>
      <c r="X280">
        <f>MAX(0,ROUND(AV279*(1+'Calc base'!J280),2)-L280-'Calc base'!V280)</f>
        <v>0</v>
      </c>
      <c r="Y280">
        <f>MAX(0,ROUND(AW279*(1+'Calc base'!K280),2)-M280-'Calc base'!W280)</f>
        <v>0</v>
      </c>
      <c r="Z280">
        <f>MAX(0,ROUND(AX279*(1+'Calc base'!L280),2)-N280-'Calc base'!X280)</f>
        <v>0</v>
      </c>
      <c r="AA280">
        <f>MAX(0,ROUND(AY279*(1+'Calc base'!M280),2)-O280-'Calc base'!Y280)</f>
        <v>0</v>
      </c>
      <c r="AB280">
        <f>MAX(0,ROUND(AZ279*(1+'Calc base'!N280),2)-P280-'Calc base'!Z280)</f>
        <v>0</v>
      </c>
      <c r="AC280">
        <f>MAX(0,ROUND(BA279*(1+'Calc base'!O280),2)-Q280-'Calc base'!AA280)</f>
        <v>0</v>
      </c>
      <c r="AD280">
        <f>MAX(0,ROUND(BB279*(1+'Calc base'!P280),2)-R280-'Calc base'!AB280)</f>
        <v>0</v>
      </c>
      <c r="AE280">
        <f>MAX(0,ROUND(BC279*(1+'Calc base'!Q280),2)-S280-'Calc base'!AC280)</f>
        <v>0</v>
      </c>
      <c r="AF280">
        <f>MAX(0,ROUND(BD279*(1+'Calc base'!R280),2)-T280-'Calc base'!AD280)</f>
        <v>0</v>
      </c>
      <c r="AG280">
        <f>MAX(0,ROUND(BE279*(1+'Calc base'!S280),2)-U280-'Calc base'!AE280)</f>
        <v>0</v>
      </c>
      <c r="AH280">
        <f>IF('Calc base'!C$14=0,0,MIN(V280,MAX(0,$E280-SUMIFS($V280:$AG280,'Calc base'!$C$19:$N$19,"&lt;"&amp;'Calc base'!C$19,'Calc base'!$C$14:$N$14,1))))</f>
        <v>0</v>
      </c>
      <c r="AI280">
        <f>IF('Calc base'!D$14=0,0,MIN(W280,MAX(0,$E280-SUMIFS($V280:$AG280,'Calc base'!$C$19:$N$19,"&lt;"&amp;'Calc base'!D$19,'Calc base'!$C$14:$N$14,1))))</f>
        <v>0</v>
      </c>
      <c r="AJ280">
        <f>IF('Calc base'!E$14=0,0,MIN(X280,MAX(0,$E280-SUMIFS($V280:$AG280,'Calc base'!$C$19:$N$19,"&lt;"&amp;'Calc base'!E$19,'Calc base'!$C$14:$N$14,1))))</f>
        <v>0</v>
      </c>
      <c r="AK280">
        <f>IF('Calc base'!F$14=0,0,MIN(Y280,MAX(0,$E280-SUMIFS($V280:$AG280,'Calc base'!$C$19:$N$19,"&lt;"&amp;'Calc base'!F$19,'Calc base'!$C$14:$N$14,1))))</f>
        <v>0</v>
      </c>
      <c r="AL280">
        <f>IF('Calc base'!G$14=0,0,MIN(Z280,MAX(0,$E280-SUMIFS($V280:$AG280,'Calc base'!$C$19:$N$19,"&lt;"&amp;'Calc base'!G$19,'Calc base'!$C$14:$N$14,1))))</f>
        <v>0</v>
      </c>
      <c r="AM280">
        <f>IF('Calc base'!H$14=0,0,MIN(AA280,MAX(0,$E280-SUMIFS($V280:$AG280,'Calc base'!$C$19:$N$19,"&lt;"&amp;'Calc base'!H$19,'Calc base'!$C$14:$N$14,1))))</f>
        <v>0</v>
      </c>
      <c r="AN280">
        <f>IF('Calc base'!I$14=0,0,MIN(AB280,MAX(0,$E280-SUMIFS($V280:$AG280,'Calc base'!$C$19:$N$19,"&lt;"&amp;'Calc base'!I$19,'Calc base'!$C$14:$N$14,1))))</f>
        <v>0</v>
      </c>
      <c r="AO280">
        <f>IF('Calc base'!J$14=0,0,MIN(AC280,MAX(0,$E280-SUMIFS($V280:$AG280,'Calc base'!$C$19:$N$19,"&lt;"&amp;'Calc base'!J$19,'Calc base'!$C$14:$N$14,1))))</f>
        <v>0</v>
      </c>
      <c r="AP280">
        <f>IF('Calc base'!K$14=0,0,MIN(AD280,MAX(0,$E280-SUMIFS($V280:$AG280,'Calc base'!$C$19:$N$19,"&lt;"&amp;'Calc base'!K$19,'Calc base'!$C$14:$N$14,1))))</f>
        <v>0</v>
      </c>
      <c r="AQ280">
        <f>IF('Calc base'!L$14=0,0,MIN(AE280,MAX(0,$E280-SUMIFS($V280:$AG280,'Calc base'!$C$19:$N$19,"&lt;"&amp;'Calc base'!L$19,'Calc base'!$C$14:$N$14,1))))</f>
        <v>0</v>
      </c>
      <c r="AR280">
        <f>IF('Calc base'!M$14=0,0,MIN(AF280,MAX(0,$E280-SUMIFS($V280:$AG280,'Calc base'!$C$19:$N$19,"&lt;"&amp;'Calc base'!M$19,'Calc base'!$C$14:$N$14,1))))</f>
        <v>0</v>
      </c>
      <c r="AS280">
        <f>IF('Calc base'!N$14=0,0,MIN(AG280,MAX(0,$E280-SUMIFS($V280:$AG280,'Calc base'!$C$19:$N$19,"&lt;"&amp;'Calc base'!N$19,'Calc base'!$C$14:$N$14,1))))</f>
        <v>0</v>
      </c>
      <c r="AT280">
        <f>V280-AH280</f>
        <v>0</v>
      </c>
      <c r="AU280">
        <f>W280-AI280</f>
        <v>0</v>
      </c>
      <c r="AV280">
        <f>X280-AJ280</f>
        <v>0</v>
      </c>
      <c r="AW280">
        <f>Y280-AK280</f>
        <v>0</v>
      </c>
      <c r="AX280">
        <f>Z280-AL280</f>
        <v>0</v>
      </c>
      <c r="AY280">
        <f>AA280-AM280</f>
        <v>0</v>
      </c>
      <c r="AZ280">
        <f>AB280-AN280</f>
        <v>0</v>
      </c>
      <c r="BA280">
        <f>AC280-AO280</f>
        <v>0</v>
      </c>
      <c r="BB280">
        <f>AD280-AP280</f>
        <v>0</v>
      </c>
      <c r="BC280">
        <f>AE280-AQ280</f>
        <v>0</v>
      </c>
      <c r="BD280">
        <f>AF280-AR280</f>
        <v>0</v>
      </c>
      <c r="BE280">
        <f>AG280-AS280</f>
        <v>0</v>
      </c>
    </row>
    <row r="281">
      <c r="A281" t="n">
        <v>251</v>
      </c>
      <c r="B281">
        <f>SUMPRODUCT(ROUND($AT280:$BE280*(1+'Calc base'!$H281:$S281),2))</f>
        <v>0</v>
      </c>
      <c r="C281">
        <f>SUM(J281:U281)</f>
        <v>0</v>
      </c>
      <c r="D281">
        <f>SUM(V281:AG281)</f>
        <v>0</v>
      </c>
      <c r="E281">
        <f>MAX(0,IF(Impostazioni!$B$7="No",'Calc base'!$C281-$C$31,'Calc base'!$C281-C281)+'Calc base'!$G281+'Calc base'!$F281-(B281-C281-D281))</f>
        <v>900</v>
      </c>
      <c r="F281">
        <f>SUM(AH281:AS281)</f>
        <v>0</v>
      </c>
      <c r="G281">
        <f>SUM(AT281:BE281)</f>
        <v>0</v>
      </c>
      <c r="H281">
        <f>B281-G280</f>
        <v>0</v>
      </c>
      <c r="I281">
        <f>B281-G281</f>
        <v>0</v>
      </c>
      <c r="J281">
        <f>IF(AT280&lt;=0,0,IF(ROUND(AT280*(1+'Calc base'!H281),2)-MAX('Calc base'!C$12,ROUND('Calc base'!C$13*AT280,2))&lt;1,ROUND(AT280*(1+'Calc base'!H281),2),MAX('Calc base'!C$12,ROUND('Calc base'!C$13*AT280,2))))</f>
        <v>0</v>
      </c>
      <c r="K281">
        <f>IF(AU280&lt;=0,0,IF(ROUND(AU280*(1+'Calc base'!I281),2)-MAX('Calc base'!D$12,ROUND('Calc base'!D$13*AU280,2))&lt;1,ROUND(AU280*(1+'Calc base'!I281),2),MAX('Calc base'!D$12,ROUND('Calc base'!D$13*AU280,2))))</f>
        <v>0</v>
      </c>
      <c r="L281">
        <f>IF(AV280&lt;=0,0,IF(ROUND(AV280*(1+'Calc base'!J281),2)-MAX('Calc base'!E$12,ROUND('Calc base'!E$13*AV280,2))&lt;1,ROUND(AV280*(1+'Calc base'!J281),2),MAX('Calc base'!E$12,ROUND('Calc base'!E$13*AV280,2))))</f>
        <v>0</v>
      </c>
      <c r="M281">
        <f>IF(AW280&lt;=0,0,IF(ROUND(AW280*(1+'Calc base'!K281),2)-MAX('Calc base'!F$12,ROUND('Calc base'!F$13*AW280,2))&lt;1,ROUND(AW280*(1+'Calc base'!K281),2),MAX('Calc base'!F$12,ROUND('Calc base'!F$13*AW280,2))))</f>
        <v>0</v>
      </c>
      <c r="N281">
        <f>IF(AX280&lt;=0,0,IF(ROUND(AX280*(1+'Calc base'!L281),2)-MAX('Calc base'!G$12,ROUND('Calc base'!G$13*AX280,2))&lt;1,ROUND(AX280*(1+'Calc base'!L281),2),MAX('Calc base'!G$12,ROUND('Calc base'!G$13*AX280,2))))</f>
        <v>0</v>
      </c>
      <c r="O281">
        <f>IF(AY280&lt;=0,0,IF(ROUND(AY280*(1+'Calc base'!M281),2)-MAX('Calc base'!H$12,ROUND('Calc base'!H$13*AY280,2))&lt;1,ROUND(AY280*(1+'Calc base'!M281),2),MAX('Calc base'!H$12,ROUND('Calc base'!H$13*AY280,2))))</f>
        <v>0</v>
      </c>
      <c r="P281">
        <f>IF(AZ280&lt;=0,0,IF(ROUND(AZ280*(1+'Calc base'!N281),2)-MAX('Calc base'!I$12,ROUND('Calc base'!I$13*AZ280,2))&lt;1,ROUND(AZ280*(1+'Calc base'!N281),2),MAX('Calc base'!I$12,ROUND('Calc base'!I$13*AZ280,2))))</f>
        <v>0</v>
      </c>
      <c r="Q281">
        <f>IF(BA280&lt;=0,0,IF(ROUND(BA280*(1+'Calc base'!O281),2)-MAX('Calc base'!J$12,ROUND('Calc base'!J$13*BA280,2))&lt;1,ROUND(BA280*(1+'Calc base'!O281),2),MAX('Calc base'!J$12,ROUND('Calc base'!J$13*BA280,2))))</f>
        <v>0</v>
      </c>
      <c r="R281">
        <f>IF(BB280&lt;=0,0,IF(ROUND(BB280*(1+'Calc base'!P281),2)-MAX('Calc base'!K$12,ROUND('Calc base'!K$13*BB280,2))&lt;1,ROUND(BB280*(1+'Calc base'!P281),2),MAX('Calc base'!K$12,ROUND('Calc base'!K$13*BB280,2))))</f>
        <v>0</v>
      </c>
      <c r="S281">
        <f>IF(BC280&lt;=0,0,IF(ROUND(BC280*(1+'Calc base'!Q281),2)-MAX('Calc base'!L$12,ROUND('Calc base'!L$13*BC280,2))&lt;1,ROUND(BC280*(1+'Calc base'!Q281),2),MAX('Calc base'!L$12,ROUND('Calc base'!L$13*BC280,2))))</f>
        <v>0</v>
      </c>
      <c r="T281">
        <f>IF(BD280&lt;=0,0,IF(ROUND(BD280*(1+'Calc base'!R281),2)-MAX('Calc base'!M$12,ROUND('Calc base'!M$13*BD280,2))&lt;1,ROUND(BD280*(1+'Calc base'!R281),2),MAX('Calc base'!M$12,ROUND('Calc base'!M$13*BD280,2))))</f>
        <v>0</v>
      </c>
      <c r="U281">
        <f>IF(BE280&lt;=0,0,IF(ROUND(BE280*(1+'Calc base'!S281),2)-MAX('Calc base'!N$12,ROUND('Calc base'!N$13*BE280,2))&lt;1,ROUND(BE280*(1+'Calc base'!S281),2),MAX('Calc base'!N$12,ROUND('Calc base'!N$13*BE280,2))))</f>
        <v>0</v>
      </c>
      <c r="V281">
        <f>MAX(0,ROUND(AT280*(1+'Calc base'!H281),2)-J281-'Calc base'!T281)</f>
        <v>0</v>
      </c>
      <c r="W281">
        <f>MAX(0,ROUND(AU280*(1+'Calc base'!I281),2)-K281-'Calc base'!U281)</f>
        <v>0</v>
      </c>
      <c r="X281">
        <f>MAX(0,ROUND(AV280*(1+'Calc base'!J281),2)-L281-'Calc base'!V281)</f>
        <v>0</v>
      </c>
      <c r="Y281">
        <f>MAX(0,ROUND(AW280*(1+'Calc base'!K281),2)-M281-'Calc base'!W281)</f>
        <v>0</v>
      </c>
      <c r="Z281">
        <f>MAX(0,ROUND(AX280*(1+'Calc base'!L281),2)-N281-'Calc base'!X281)</f>
        <v>0</v>
      </c>
      <c r="AA281">
        <f>MAX(0,ROUND(AY280*(1+'Calc base'!M281),2)-O281-'Calc base'!Y281)</f>
        <v>0</v>
      </c>
      <c r="AB281">
        <f>MAX(0,ROUND(AZ280*(1+'Calc base'!N281),2)-P281-'Calc base'!Z281)</f>
        <v>0</v>
      </c>
      <c r="AC281">
        <f>MAX(0,ROUND(BA280*(1+'Calc base'!O281),2)-Q281-'Calc base'!AA281)</f>
        <v>0</v>
      </c>
      <c r="AD281">
        <f>MAX(0,ROUND(BB280*(1+'Calc base'!P281),2)-R281-'Calc base'!AB281)</f>
        <v>0</v>
      </c>
      <c r="AE281">
        <f>MAX(0,ROUND(BC280*(1+'Calc base'!Q281),2)-S281-'Calc base'!AC281)</f>
        <v>0</v>
      </c>
      <c r="AF281">
        <f>MAX(0,ROUND(BD280*(1+'Calc base'!R281),2)-T281-'Calc base'!AD281)</f>
        <v>0</v>
      </c>
      <c r="AG281">
        <f>MAX(0,ROUND(BE280*(1+'Calc base'!S281),2)-U281-'Calc base'!AE281)</f>
        <v>0</v>
      </c>
      <c r="AH281">
        <f>IF('Calc base'!C$14=0,0,MIN(V281,MAX(0,$E281-SUMIFS($V281:$AG281,'Calc base'!$C$19:$N$19,"&lt;"&amp;'Calc base'!C$19,'Calc base'!$C$14:$N$14,1))))</f>
        <v>0</v>
      </c>
      <c r="AI281">
        <f>IF('Calc base'!D$14=0,0,MIN(W281,MAX(0,$E281-SUMIFS($V281:$AG281,'Calc base'!$C$19:$N$19,"&lt;"&amp;'Calc base'!D$19,'Calc base'!$C$14:$N$14,1))))</f>
        <v>0</v>
      </c>
      <c r="AJ281">
        <f>IF('Calc base'!E$14=0,0,MIN(X281,MAX(0,$E281-SUMIFS($V281:$AG281,'Calc base'!$C$19:$N$19,"&lt;"&amp;'Calc base'!E$19,'Calc base'!$C$14:$N$14,1))))</f>
        <v>0</v>
      </c>
      <c r="AK281">
        <f>IF('Calc base'!F$14=0,0,MIN(Y281,MAX(0,$E281-SUMIFS($V281:$AG281,'Calc base'!$C$19:$N$19,"&lt;"&amp;'Calc base'!F$19,'Calc base'!$C$14:$N$14,1))))</f>
        <v>0</v>
      </c>
      <c r="AL281">
        <f>IF('Calc base'!G$14=0,0,MIN(Z281,MAX(0,$E281-SUMIFS($V281:$AG281,'Calc base'!$C$19:$N$19,"&lt;"&amp;'Calc base'!G$19,'Calc base'!$C$14:$N$14,1))))</f>
        <v>0</v>
      </c>
      <c r="AM281">
        <f>IF('Calc base'!H$14=0,0,MIN(AA281,MAX(0,$E281-SUMIFS($V281:$AG281,'Calc base'!$C$19:$N$19,"&lt;"&amp;'Calc base'!H$19,'Calc base'!$C$14:$N$14,1))))</f>
        <v>0</v>
      </c>
      <c r="AN281">
        <f>IF('Calc base'!I$14=0,0,MIN(AB281,MAX(0,$E281-SUMIFS($V281:$AG281,'Calc base'!$C$19:$N$19,"&lt;"&amp;'Calc base'!I$19,'Calc base'!$C$14:$N$14,1))))</f>
        <v>0</v>
      </c>
      <c r="AO281">
        <f>IF('Calc base'!J$14=0,0,MIN(AC281,MAX(0,$E281-SUMIFS($V281:$AG281,'Calc base'!$C$19:$N$19,"&lt;"&amp;'Calc base'!J$19,'Calc base'!$C$14:$N$14,1))))</f>
        <v>0</v>
      </c>
      <c r="AP281">
        <f>IF('Calc base'!K$14=0,0,MIN(AD281,MAX(0,$E281-SUMIFS($V281:$AG281,'Calc base'!$C$19:$N$19,"&lt;"&amp;'Calc base'!K$19,'Calc base'!$C$14:$N$14,1))))</f>
        <v>0</v>
      </c>
      <c r="AQ281">
        <f>IF('Calc base'!L$14=0,0,MIN(AE281,MAX(0,$E281-SUMIFS($V281:$AG281,'Calc base'!$C$19:$N$19,"&lt;"&amp;'Calc base'!L$19,'Calc base'!$C$14:$N$14,1))))</f>
        <v>0</v>
      </c>
      <c r="AR281">
        <f>IF('Calc base'!M$14=0,0,MIN(AF281,MAX(0,$E281-SUMIFS($V281:$AG281,'Calc base'!$C$19:$N$19,"&lt;"&amp;'Calc base'!M$19,'Calc base'!$C$14:$N$14,1))))</f>
        <v>0</v>
      </c>
      <c r="AS281">
        <f>IF('Calc base'!N$14=0,0,MIN(AG281,MAX(0,$E281-SUMIFS($V281:$AG281,'Calc base'!$C$19:$N$19,"&lt;"&amp;'Calc base'!N$19,'Calc base'!$C$14:$N$14,1))))</f>
        <v>0</v>
      </c>
      <c r="AT281">
        <f>V281-AH281</f>
        <v>0</v>
      </c>
      <c r="AU281">
        <f>W281-AI281</f>
        <v>0</v>
      </c>
      <c r="AV281">
        <f>X281-AJ281</f>
        <v>0</v>
      </c>
      <c r="AW281">
        <f>Y281-AK281</f>
        <v>0</v>
      </c>
      <c r="AX281">
        <f>Z281-AL281</f>
        <v>0</v>
      </c>
      <c r="AY281">
        <f>AA281-AM281</f>
        <v>0</v>
      </c>
      <c r="AZ281">
        <f>AB281-AN281</f>
        <v>0</v>
      </c>
      <c r="BA281">
        <f>AC281-AO281</f>
        <v>0</v>
      </c>
      <c r="BB281">
        <f>AD281-AP281</f>
        <v>0</v>
      </c>
      <c r="BC281">
        <f>AE281-AQ281</f>
        <v>0</v>
      </c>
      <c r="BD281">
        <f>AF281-AR281</f>
        <v>0</v>
      </c>
      <c r="BE281">
        <f>AG281-AS281</f>
        <v>0</v>
      </c>
    </row>
    <row r="282">
      <c r="A282" t="n">
        <v>252</v>
      </c>
      <c r="B282">
        <f>SUMPRODUCT(ROUND($AT281:$BE281*(1+'Calc base'!$H282:$S282),2))</f>
        <v>0</v>
      </c>
      <c r="C282">
        <f>SUM(J282:U282)</f>
        <v>0</v>
      </c>
      <c r="D282">
        <f>SUM(V282:AG282)</f>
        <v>0</v>
      </c>
      <c r="E282">
        <f>MAX(0,IF(Impostazioni!$B$7="No",'Calc base'!$C282-$C$31,'Calc base'!$C282-C282)+'Calc base'!$G282+'Calc base'!$F282-(B282-C282-D282))</f>
        <v>900</v>
      </c>
      <c r="F282">
        <f>SUM(AH282:AS282)</f>
        <v>0</v>
      </c>
      <c r="G282">
        <f>SUM(AT282:BE282)</f>
        <v>0</v>
      </c>
      <c r="H282">
        <f>B282-G281</f>
        <v>0</v>
      </c>
      <c r="I282">
        <f>B282-G282</f>
        <v>0</v>
      </c>
      <c r="J282">
        <f>IF(AT281&lt;=0,0,IF(ROUND(AT281*(1+'Calc base'!H282),2)-MAX('Calc base'!C$12,ROUND('Calc base'!C$13*AT281,2))&lt;1,ROUND(AT281*(1+'Calc base'!H282),2),MAX('Calc base'!C$12,ROUND('Calc base'!C$13*AT281,2))))</f>
        <v>0</v>
      </c>
      <c r="K282">
        <f>IF(AU281&lt;=0,0,IF(ROUND(AU281*(1+'Calc base'!I282),2)-MAX('Calc base'!D$12,ROUND('Calc base'!D$13*AU281,2))&lt;1,ROUND(AU281*(1+'Calc base'!I282),2),MAX('Calc base'!D$12,ROUND('Calc base'!D$13*AU281,2))))</f>
        <v>0</v>
      </c>
      <c r="L282">
        <f>IF(AV281&lt;=0,0,IF(ROUND(AV281*(1+'Calc base'!J282),2)-MAX('Calc base'!E$12,ROUND('Calc base'!E$13*AV281,2))&lt;1,ROUND(AV281*(1+'Calc base'!J282),2),MAX('Calc base'!E$12,ROUND('Calc base'!E$13*AV281,2))))</f>
        <v>0</v>
      </c>
      <c r="M282">
        <f>IF(AW281&lt;=0,0,IF(ROUND(AW281*(1+'Calc base'!K282),2)-MAX('Calc base'!F$12,ROUND('Calc base'!F$13*AW281,2))&lt;1,ROUND(AW281*(1+'Calc base'!K282),2),MAX('Calc base'!F$12,ROUND('Calc base'!F$13*AW281,2))))</f>
        <v>0</v>
      </c>
      <c r="N282">
        <f>IF(AX281&lt;=0,0,IF(ROUND(AX281*(1+'Calc base'!L282),2)-MAX('Calc base'!G$12,ROUND('Calc base'!G$13*AX281,2))&lt;1,ROUND(AX281*(1+'Calc base'!L282),2),MAX('Calc base'!G$12,ROUND('Calc base'!G$13*AX281,2))))</f>
        <v>0</v>
      </c>
      <c r="O282">
        <f>IF(AY281&lt;=0,0,IF(ROUND(AY281*(1+'Calc base'!M282),2)-MAX('Calc base'!H$12,ROUND('Calc base'!H$13*AY281,2))&lt;1,ROUND(AY281*(1+'Calc base'!M282),2),MAX('Calc base'!H$12,ROUND('Calc base'!H$13*AY281,2))))</f>
        <v>0</v>
      </c>
      <c r="P282">
        <f>IF(AZ281&lt;=0,0,IF(ROUND(AZ281*(1+'Calc base'!N282),2)-MAX('Calc base'!I$12,ROUND('Calc base'!I$13*AZ281,2))&lt;1,ROUND(AZ281*(1+'Calc base'!N282),2),MAX('Calc base'!I$12,ROUND('Calc base'!I$13*AZ281,2))))</f>
        <v>0</v>
      </c>
      <c r="Q282">
        <f>IF(BA281&lt;=0,0,IF(ROUND(BA281*(1+'Calc base'!O282),2)-MAX('Calc base'!J$12,ROUND('Calc base'!J$13*BA281,2))&lt;1,ROUND(BA281*(1+'Calc base'!O282),2),MAX('Calc base'!J$12,ROUND('Calc base'!J$13*BA281,2))))</f>
        <v>0</v>
      </c>
      <c r="R282">
        <f>IF(BB281&lt;=0,0,IF(ROUND(BB281*(1+'Calc base'!P282),2)-MAX('Calc base'!K$12,ROUND('Calc base'!K$13*BB281,2))&lt;1,ROUND(BB281*(1+'Calc base'!P282),2),MAX('Calc base'!K$12,ROUND('Calc base'!K$13*BB281,2))))</f>
        <v>0</v>
      </c>
      <c r="S282">
        <f>IF(BC281&lt;=0,0,IF(ROUND(BC281*(1+'Calc base'!Q282),2)-MAX('Calc base'!L$12,ROUND('Calc base'!L$13*BC281,2))&lt;1,ROUND(BC281*(1+'Calc base'!Q282),2),MAX('Calc base'!L$12,ROUND('Calc base'!L$13*BC281,2))))</f>
        <v>0</v>
      </c>
      <c r="T282">
        <f>IF(BD281&lt;=0,0,IF(ROUND(BD281*(1+'Calc base'!R282),2)-MAX('Calc base'!M$12,ROUND('Calc base'!M$13*BD281,2))&lt;1,ROUND(BD281*(1+'Calc base'!R282),2),MAX('Calc base'!M$12,ROUND('Calc base'!M$13*BD281,2))))</f>
        <v>0</v>
      </c>
      <c r="U282">
        <f>IF(BE281&lt;=0,0,IF(ROUND(BE281*(1+'Calc base'!S282),2)-MAX('Calc base'!N$12,ROUND('Calc base'!N$13*BE281,2))&lt;1,ROUND(BE281*(1+'Calc base'!S282),2),MAX('Calc base'!N$12,ROUND('Calc base'!N$13*BE281,2))))</f>
        <v>0</v>
      </c>
      <c r="V282">
        <f>MAX(0,ROUND(AT281*(1+'Calc base'!H282),2)-J282-'Calc base'!T282)</f>
        <v>0</v>
      </c>
      <c r="W282">
        <f>MAX(0,ROUND(AU281*(1+'Calc base'!I282),2)-K282-'Calc base'!U282)</f>
        <v>0</v>
      </c>
      <c r="X282">
        <f>MAX(0,ROUND(AV281*(1+'Calc base'!J282),2)-L282-'Calc base'!V282)</f>
        <v>0</v>
      </c>
      <c r="Y282">
        <f>MAX(0,ROUND(AW281*(1+'Calc base'!K282),2)-M282-'Calc base'!W282)</f>
        <v>0</v>
      </c>
      <c r="Z282">
        <f>MAX(0,ROUND(AX281*(1+'Calc base'!L282),2)-N282-'Calc base'!X282)</f>
        <v>0</v>
      </c>
      <c r="AA282">
        <f>MAX(0,ROUND(AY281*(1+'Calc base'!M282),2)-O282-'Calc base'!Y282)</f>
        <v>0</v>
      </c>
      <c r="AB282">
        <f>MAX(0,ROUND(AZ281*(1+'Calc base'!N282),2)-P282-'Calc base'!Z282)</f>
        <v>0</v>
      </c>
      <c r="AC282">
        <f>MAX(0,ROUND(BA281*(1+'Calc base'!O282),2)-Q282-'Calc base'!AA282)</f>
        <v>0</v>
      </c>
      <c r="AD282">
        <f>MAX(0,ROUND(BB281*(1+'Calc base'!P282),2)-R282-'Calc base'!AB282)</f>
        <v>0</v>
      </c>
      <c r="AE282">
        <f>MAX(0,ROUND(BC281*(1+'Calc base'!Q282),2)-S282-'Calc base'!AC282)</f>
        <v>0</v>
      </c>
      <c r="AF282">
        <f>MAX(0,ROUND(BD281*(1+'Calc base'!R282),2)-T282-'Calc base'!AD282)</f>
        <v>0</v>
      </c>
      <c r="AG282">
        <f>MAX(0,ROUND(BE281*(1+'Calc base'!S282),2)-U282-'Calc base'!AE282)</f>
        <v>0</v>
      </c>
      <c r="AH282">
        <f>IF('Calc base'!C$14=0,0,MIN(V282,MAX(0,$E282-SUMIFS($V282:$AG282,'Calc base'!$C$19:$N$19,"&lt;"&amp;'Calc base'!C$19,'Calc base'!$C$14:$N$14,1))))</f>
        <v>0</v>
      </c>
      <c r="AI282">
        <f>IF('Calc base'!D$14=0,0,MIN(W282,MAX(0,$E282-SUMIFS($V282:$AG282,'Calc base'!$C$19:$N$19,"&lt;"&amp;'Calc base'!D$19,'Calc base'!$C$14:$N$14,1))))</f>
        <v>0</v>
      </c>
      <c r="AJ282">
        <f>IF('Calc base'!E$14=0,0,MIN(X282,MAX(0,$E282-SUMIFS($V282:$AG282,'Calc base'!$C$19:$N$19,"&lt;"&amp;'Calc base'!E$19,'Calc base'!$C$14:$N$14,1))))</f>
        <v>0</v>
      </c>
      <c r="AK282">
        <f>IF('Calc base'!F$14=0,0,MIN(Y282,MAX(0,$E282-SUMIFS($V282:$AG282,'Calc base'!$C$19:$N$19,"&lt;"&amp;'Calc base'!F$19,'Calc base'!$C$14:$N$14,1))))</f>
        <v>0</v>
      </c>
      <c r="AL282">
        <f>IF('Calc base'!G$14=0,0,MIN(Z282,MAX(0,$E282-SUMIFS($V282:$AG282,'Calc base'!$C$19:$N$19,"&lt;"&amp;'Calc base'!G$19,'Calc base'!$C$14:$N$14,1))))</f>
        <v>0</v>
      </c>
      <c r="AM282">
        <f>IF('Calc base'!H$14=0,0,MIN(AA282,MAX(0,$E282-SUMIFS($V282:$AG282,'Calc base'!$C$19:$N$19,"&lt;"&amp;'Calc base'!H$19,'Calc base'!$C$14:$N$14,1))))</f>
        <v>0</v>
      </c>
      <c r="AN282">
        <f>IF('Calc base'!I$14=0,0,MIN(AB282,MAX(0,$E282-SUMIFS($V282:$AG282,'Calc base'!$C$19:$N$19,"&lt;"&amp;'Calc base'!I$19,'Calc base'!$C$14:$N$14,1))))</f>
        <v>0</v>
      </c>
      <c r="AO282">
        <f>IF('Calc base'!J$14=0,0,MIN(AC282,MAX(0,$E282-SUMIFS($V282:$AG282,'Calc base'!$C$19:$N$19,"&lt;"&amp;'Calc base'!J$19,'Calc base'!$C$14:$N$14,1))))</f>
        <v>0</v>
      </c>
      <c r="AP282">
        <f>IF('Calc base'!K$14=0,0,MIN(AD282,MAX(0,$E282-SUMIFS($V282:$AG282,'Calc base'!$C$19:$N$19,"&lt;"&amp;'Calc base'!K$19,'Calc base'!$C$14:$N$14,1))))</f>
        <v>0</v>
      </c>
      <c r="AQ282">
        <f>IF('Calc base'!L$14=0,0,MIN(AE282,MAX(0,$E282-SUMIFS($V282:$AG282,'Calc base'!$C$19:$N$19,"&lt;"&amp;'Calc base'!L$19,'Calc base'!$C$14:$N$14,1))))</f>
        <v>0</v>
      </c>
      <c r="AR282">
        <f>IF('Calc base'!M$14=0,0,MIN(AF282,MAX(0,$E282-SUMIFS($V282:$AG282,'Calc base'!$C$19:$N$19,"&lt;"&amp;'Calc base'!M$19,'Calc base'!$C$14:$N$14,1))))</f>
        <v>0</v>
      </c>
      <c r="AS282">
        <f>IF('Calc base'!N$14=0,0,MIN(AG282,MAX(0,$E282-SUMIFS($V282:$AG282,'Calc base'!$C$19:$N$19,"&lt;"&amp;'Calc base'!N$19,'Calc base'!$C$14:$N$14,1))))</f>
        <v>0</v>
      </c>
      <c r="AT282">
        <f>V282-AH282</f>
        <v>0</v>
      </c>
      <c r="AU282">
        <f>W282-AI282</f>
        <v>0</v>
      </c>
      <c r="AV282">
        <f>X282-AJ282</f>
        <v>0</v>
      </c>
      <c r="AW282">
        <f>Y282-AK282</f>
        <v>0</v>
      </c>
      <c r="AX282">
        <f>Z282-AL282</f>
        <v>0</v>
      </c>
      <c r="AY282">
        <f>AA282-AM282</f>
        <v>0</v>
      </c>
      <c r="AZ282">
        <f>AB282-AN282</f>
        <v>0</v>
      </c>
      <c r="BA282">
        <f>AC282-AO282</f>
        <v>0</v>
      </c>
      <c r="BB282">
        <f>AD282-AP282</f>
        <v>0</v>
      </c>
      <c r="BC282">
        <f>AE282-AQ282</f>
        <v>0</v>
      </c>
      <c r="BD282">
        <f>AF282-AR282</f>
        <v>0</v>
      </c>
      <c r="BE282">
        <f>AG282-AS282</f>
        <v>0</v>
      </c>
    </row>
    <row r="283">
      <c r="A283" t="n">
        <v>253</v>
      </c>
      <c r="B283">
        <f>SUMPRODUCT(ROUND($AT282:$BE282*(1+'Calc base'!$H283:$S283),2))</f>
        <v>0</v>
      </c>
      <c r="C283">
        <f>SUM(J283:U283)</f>
        <v>0</v>
      </c>
      <c r="D283">
        <f>SUM(V283:AG283)</f>
        <v>0</v>
      </c>
      <c r="E283">
        <f>MAX(0,IF(Impostazioni!$B$7="No",'Calc base'!$C283-$C$31,'Calc base'!$C283-C283)+'Calc base'!$G283+'Calc base'!$F283-(B283-C283-D283))</f>
        <v>900</v>
      </c>
      <c r="F283">
        <f>SUM(AH283:AS283)</f>
        <v>0</v>
      </c>
      <c r="G283">
        <f>SUM(AT283:BE283)</f>
        <v>0</v>
      </c>
      <c r="H283">
        <f>B283-G282</f>
        <v>0</v>
      </c>
      <c r="I283">
        <f>B283-G283</f>
        <v>0</v>
      </c>
      <c r="J283">
        <f>IF(AT282&lt;=0,0,IF(ROUND(AT282*(1+'Calc base'!H283),2)-MAX('Calc base'!C$12,ROUND('Calc base'!C$13*AT282,2))&lt;1,ROUND(AT282*(1+'Calc base'!H283),2),MAX('Calc base'!C$12,ROUND('Calc base'!C$13*AT282,2))))</f>
        <v>0</v>
      </c>
      <c r="K283">
        <f>IF(AU282&lt;=0,0,IF(ROUND(AU282*(1+'Calc base'!I283),2)-MAX('Calc base'!D$12,ROUND('Calc base'!D$13*AU282,2))&lt;1,ROUND(AU282*(1+'Calc base'!I283),2),MAX('Calc base'!D$12,ROUND('Calc base'!D$13*AU282,2))))</f>
        <v>0</v>
      </c>
      <c r="L283">
        <f>IF(AV282&lt;=0,0,IF(ROUND(AV282*(1+'Calc base'!J283),2)-MAX('Calc base'!E$12,ROUND('Calc base'!E$13*AV282,2))&lt;1,ROUND(AV282*(1+'Calc base'!J283),2),MAX('Calc base'!E$12,ROUND('Calc base'!E$13*AV282,2))))</f>
        <v>0</v>
      </c>
      <c r="M283">
        <f>IF(AW282&lt;=0,0,IF(ROUND(AW282*(1+'Calc base'!K283),2)-MAX('Calc base'!F$12,ROUND('Calc base'!F$13*AW282,2))&lt;1,ROUND(AW282*(1+'Calc base'!K283),2),MAX('Calc base'!F$12,ROUND('Calc base'!F$13*AW282,2))))</f>
        <v>0</v>
      </c>
      <c r="N283">
        <f>IF(AX282&lt;=0,0,IF(ROUND(AX282*(1+'Calc base'!L283),2)-MAX('Calc base'!G$12,ROUND('Calc base'!G$13*AX282,2))&lt;1,ROUND(AX282*(1+'Calc base'!L283),2),MAX('Calc base'!G$12,ROUND('Calc base'!G$13*AX282,2))))</f>
        <v>0</v>
      </c>
      <c r="O283">
        <f>IF(AY282&lt;=0,0,IF(ROUND(AY282*(1+'Calc base'!M283),2)-MAX('Calc base'!H$12,ROUND('Calc base'!H$13*AY282,2))&lt;1,ROUND(AY282*(1+'Calc base'!M283),2),MAX('Calc base'!H$12,ROUND('Calc base'!H$13*AY282,2))))</f>
        <v>0</v>
      </c>
      <c r="P283">
        <f>IF(AZ282&lt;=0,0,IF(ROUND(AZ282*(1+'Calc base'!N283),2)-MAX('Calc base'!I$12,ROUND('Calc base'!I$13*AZ282,2))&lt;1,ROUND(AZ282*(1+'Calc base'!N283),2),MAX('Calc base'!I$12,ROUND('Calc base'!I$13*AZ282,2))))</f>
        <v>0</v>
      </c>
      <c r="Q283">
        <f>IF(BA282&lt;=0,0,IF(ROUND(BA282*(1+'Calc base'!O283),2)-MAX('Calc base'!J$12,ROUND('Calc base'!J$13*BA282,2))&lt;1,ROUND(BA282*(1+'Calc base'!O283),2),MAX('Calc base'!J$12,ROUND('Calc base'!J$13*BA282,2))))</f>
        <v>0</v>
      </c>
      <c r="R283">
        <f>IF(BB282&lt;=0,0,IF(ROUND(BB282*(1+'Calc base'!P283),2)-MAX('Calc base'!K$12,ROUND('Calc base'!K$13*BB282,2))&lt;1,ROUND(BB282*(1+'Calc base'!P283),2),MAX('Calc base'!K$12,ROUND('Calc base'!K$13*BB282,2))))</f>
        <v>0</v>
      </c>
      <c r="S283">
        <f>IF(BC282&lt;=0,0,IF(ROUND(BC282*(1+'Calc base'!Q283),2)-MAX('Calc base'!L$12,ROUND('Calc base'!L$13*BC282,2))&lt;1,ROUND(BC282*(1+'Calc base'!Q283),2),MAX('Calc base'!L$12,ROUND('Calc base'!L$13*BC282,2))))</f>
        <v>0</v>
      </c>
      <c r="T283">
        <f>IF(BD282&lt;=0,0,IF(ROUND(BD282*(1+'Calc base'!R283),2)-MAX('Calc base'!M$12,ROUND('Calc base'!M$13*BD282,2))&lt;1,ROUND(BD282*(1+'Calc base'!R283),2),MAX('Calc base'!M$12,ROUND('Calc base'!M$13*BD282,2))))</f>
        <v>0</v>
      </c>
      <c r="U283">
        <f>IF(BE282&lt;=0,0,IF(ROUND(BE282*(1+'Calc base'!S283),2)-MAX('Calc base'!N$12,ROUND('Calc base'!N$13*BE282,2))&lt;1,ROUND(BE282*(1+'Calc base'!S283),2),MAX('Calc base'!N$12,ROUND('Calc base'!N$13*BE282,2))))</f>
        <v>0</v>
      </c>
      <c r="V283">
        <f>MAX(0,ROUND(AT282*(1+'Calc base'!H283),2)-J283-'Calc base'!T283)</f>
        <v>0</v>
      </c>
      <c r="W283">
        <f>MAX(0,ROUND(AU282*(1+'Calc base'!I283),2)-K283-'Calc base'!U283)</f>
        <v>0</v>
      </c>
      <c r="X283">
        <f>MAX(0,ROUND(AV282*(1+'Calc base'!J283),2)-L283-'Calc base'!V283)</f>
        <v>0</v>
      </c>
      <c r="Y283">
        <f>MAX(0,ROUND(AW282*(1+'Calc base'!K283),2)-M283-'Calc base'!W283)</f>
        <v>0</v>
      </c>
      <c r="Z283">
        <f>MAX(0,ROUND(AX282*(1+'Calc base'!L283),2)-N283-'Calc base'!X283)</f>
        <v>0</v>
      </c>
      <c r="AA283">
        <f>MAX(0,ROUND(AY282*(1+'Calc base'!M283),2)-O283-'Calc base'!Y283)</f>
        <v>0</v>
      </c>
      <c r="AB283">
        <f>MAX(0,ROUND(AZ282*(1+'Calc base'!N283),2)-P283-'Calc base'!Z283)</f>
        <v>0</v>
      </c>
      <c r="AC283">
        <f>MAX(0,ROUND(BA282*(1+'Calc base'!O283),2)-Q283-'Calc base'!AA283)</f>
        <v>0</v>
      </c>
      <c r="AD283">
        <f>MAX(0,ROUND(BB282*(1+'Calc base'!P283),2)-R283-'Calc base'!AB283)</f>
        <v>0</v>
      </c>
      <c r="AE283">
        <f>MAX(0,ROUND(BC282*(1+'Calc base'!Q283),2)-S283-'Calc base'!AC283)</f>
        <v>0</v>
      </c>
      <c r="AF283">
        <f>MAX(0,ROUND(BD282*(1+'Calc base'!R283),2)-T283-'Calc base'!AD283)</f>
        <v>0</v>
      </c>
      <c r="AG283">
        <f>MAX(0,ROUND(BE282*(1+'Calc base'!S283),2)-U283-'Calc base'!AE283)</f>
        <v>0</v>
      </c>
      <c r="AH283">
        <f>IF('Calc base'!C$14=0,0,MIN(V283,MAX(0,$E283-SUMIFS($V283:$AG283,'Calc base'!$C$19:$N$19,"&lt;"&amp;'Calc base'!C$19,'Calc base'!$C$14:$N$14,1))))</f>
        <v>0</v>
      </c>
      <c r="AI283">
        <f>IF('Calc base'!D$14=0,0,MIN(W283,MAX(0,$E283-SUMIFS($V283:$AG283,'Calc base'!$C$19:$N$19,"&lt;"&amp;'Calc base'!D$19,'Calc base'!$C$14:$N$14,1))))</f>
        <v>0</v>
      </c>
      <c r="AJ283">
        <f>IF('Calc base'!E$14=0,0,MIN(X283,MAX(0,$E283-SUMIFS($V283:$AG283,'Calc base'!$C$19:$N$19,"&lt;"&amp;'Calc base'!E$19,'Calc base'!$C$14:$N$14,1))))</f>
        <v>0</v>
      </c>
      <c r="AK283">
        <f>IF('Calc base'!F$14=0,0,MIN(Y283,MAX(0,$E283-SUMIFS($V283:$AG283,'Calc base'!$C$19:$N$19,"&lt;"&amp;'Calc base'!F$19,'Calc base'!$C$14:$N$14,1))))</f>
        <v>0</v>
      </c>
      <c r="AL283">
        <f>IF('Calc base'!G$14=0,0,MIN(Z283,MAX(0,$E283-SUMIFS($V283:$AG283,'Calc base'!$C$19:$N$19,"&lt;"&amp;'Calc base'!G$19,'Calc base'!$C$14:$N$14,1))))</f>
        <v>0</v>
      </c>
      <c r="AM283">
        <f>IF('Calc base'!H$14=0,0,MIN(AA283,MAX(0,$E283-SUMIFS($V283:$AG283,'Calc base'!$C$19:$N$19,"&lt;"&amp;'Calc base'!H$19,'Calc base'!$C$14:$N$14,1))))</f>
        <v>0</v>
      </c>
      <c r="AN283">
        <f>IF('Calc base'!I$14=0,0,MIN(AB283,MAX(0,$E283-SUMIFS($V283:$AG283,'Calc base'!$C$19:$N$19,"&lt;"&amp;'Calc base'!I$19,'Calc base'!$C$14:$N$14,1))))</f>
        <v>0</v>
      </c>
      <c r="AO283">
        <f>IF('Calc base'!J$14=0,0,MIN(AC283,MAX(0,$E283-SUMIFS($V283:$AG283,'Calc base'!$C$19:$N$19,"&lt;"&amp;'Calc base'!J$19,'Calc base'!$C$14:$N$14,1))))</f>
        <v>0</v>
      </c>
      <c r="AP283">
        <f>IF('Calc base'!K$14=0,0,MIN(AD283,MAX(0,$E283-SUMIFS($V283:$AG283,'Calc base'!$C$19:$N$19,"&lt;"&amp;'Calc base'!K$19,'Calc base'!$C$14:$N$14,1))))</f>
        <v>0</v>
      </c>
      <c r="AQ283">
        <f>IF('Calc base'!L$14=0,0,MIN(AE283,MAX(0,$E283-SUMIFS($V283:$AG283,'Calc base'!$C$19:$N$19,"&lt;"&amp;'Calc base'!L$19,'Calc base'!$C$14:$N$14,1))))</f>
        <v>0</v>
      </c>
      <c r="AR283">
        <f>IF('Calc base'!M$14=0,0,MIN(AF283,MAX(0,$E283-SUMIFS($V283:$AG283,'Calc base'!$C$19:$N$19,"&lt;"&amp;'Calc base'!M$19,'Calc base'!$C$14:$N$14,1))))</f>
        <v>0</v>
      </c>
      <c r="AS283">
        <f>IF('Calc base'!N$14=0,0,MIN(AG283,MAX(0,$E283-SUMIFS($V283:$AG283,'Calc base'!$C$19:$N$19,"&lt;"&amp;'Calc base'!N$19,'Calc base'!$C$14:$N$14,1))))</f>
        <v>0</v>
      </c>
      <c r="AT283">
        <f>V283-AH283</f>
        <v>0</v>
      </c>
      <c r="AU283">
        <f>W283-AI283</f>
        <v>0</v>
      </c>
      <c r="AV283">
        <f>X283-AJ283</f>
        <v>0</v>
      </c>
      <c r="AW283">
        <f>Y283-AK283</f>
        <v>0</v>
      </c>
      <c r="AX283">
        <f>Z283-AL283</f>
        <v>0</v>
      </c>
      <c r="AY283">
        <f>AA283-AM283</f>
        <v>0</v>
      </c>
      <c r="AZ283">
        <f>AB283-AN283</f>
        <v>0</v>
      </c>
      <c r="BA283">
        <f>AC283-AO283</f>
        <v>0</v>
      </c>
      <c r="BB283">
        <f>AD283-AP283</f>
        <v>0</v>
      </c>
      <c r="BC283">
        <f>AE283-AQ283</f>
        <v>0</v>
      </c>
      <c r="BD283">
        <f>AF283-AR283</f>
        <v>0</v>
      </c>
      <c r="BE283">
        <f>AG283-AS283</f>
        <v>0</v>
      </c>
    </row>
    <row r="284">
      <c r="A284" t="n">
        <v>254</v>
      </c>
      <c r="B284">
        <f>SUMPRODUCT(ROUND($AT283:$BE283*(1+'Calc base'!$H284:$S284),2))</f>
        <v>0</v>
      </c>
      <c r="C284">
        <f>SUM(J284:U284)</f>
        <v>0</v>
      </c>
      <c r="D284">
        <f>SUM(V284:AG284)</f>
        <v>0</v>
      </c>
      <c r="E284">
        <f>MAX(0,IF(Impostazioni!$B$7="No",'Calc base'!$C284-$C$31,'Calc base'!$C284-C284)+'Calc base'!$G284+'Calc base'!$F284-(B284-C284-D284))</f>
        <v>900</v>
      </c>
      <c r="F284">
        <f>SUM(AH284:AS284)</f>
        <v>0</v>
      </c>
      <c r="G284">
        <f>SUM(AT284:BE284)</f>
        <v>0</v>
      </c>
      <c r="H284">
        <f>B284-G283</f>
        <v>0</v>
      </c>
      <c r="I284">
        <f>B284-G284</f>
        <v>0</v>
      </c>
      <c r="J284">
        <f>IF(AT283&lt;=0,0,IF(ROUND(AT283*(1+'Calc base'!H284),2)-MAX('Calc base'!C$12,ROUND('Calc base'!C$13*AT283,2))&lt;1,ROUND(AT283*(1+'Calc base'!H284),2),MAX('Calc base'!C$12,ROUND('Calc base'!C$13*AT283,2))))</f>
        <v>0</v>
      </c>
      <c r="K284">
        <f>IF(AU283&lt;=0,0,IF(ROUND(AU283*(1+'Calc base'!I284),2)-MAX('Calc base'!D$12,ROUND('Calc base'!D$13*AU283,2))&lt;1,ROUND(AU283*(1+'Calc base'!I284),2),MAX('Calc base'!D$12,ROUND('Calc base'!D$13*AU283,2))))</f>
        <v>0</v>
      </c>
      <c r="L284">
        <f>IF(AV283&lt;=0,0,IF(ROUND(AV283*(1+'Calc base'!J284),2)-MAX('Calc base'!E$12,ROUND('Calc base'!E$13*AV283,2))&lt;1,ROUND(AV283*(1+'Calc base'!J284),2),MAX('Calc base'!E$12,ROUND('Calc base'!E$13*AV283,2))))</f>
        <v>0</v>
      </c>
      <c r="M284">
        <f>IF(AW283&lt;=0,0,IF(ROUND(AW283*(1+'Calc base'!K284),2)-MAX('Calc base'!F$12,ROUND('Calc base'!F$13*AW283,2))&lt;1,ROUND(AW283*(1+'Calc base'!K284),2),MAX('Calc base'!F$12,ROUND('Calc base'!F$13*AW283,2))))</f>
        <v>0</v>
      </c>
      <c r="N284">
        <f>IF(AX283&lt;=0,0,IF(ROUND(AX283*(1+'Calc base'!L284),2)-MAX('Calc base'!G$12,ROUND('Calc base'!G$13*AX283,2))&lt;1,ROUND(AX283*(1+'Calc base'!L284),2),MAX('Calc base'!G$12,ROUND('Calc base'!G$13*AX283,2))))</f>
        <v>0</v>
      </c>
      <c r="O284">
        <f>IF(AY283&lt;=0,0,IF(ROUND(AY283*(1+'Calc base'!M284),2)-MAX('Calc base'!H$12,ROUND('Calc base'!H$13*AY283,2))&lt;1,ROUND(AY283*(1+'Calc base'!M284),2),MAX('Calc base'!H$12,ROUND('Calc base'!H$13*AY283,2))))</f>
        <v>0</v>
      </c>
      <c r="P284">
        <f>IF(AZ283&lt;=0,0,IF(ROUND(AZ283*(1+'Calc base'!N284),2)-MAX('Calc base'!I$12,ROUND('Calc base'!I$13*AZ283,2))&lt;1,ROUND(AZ283*(1+'Calc base'!N284),2),MAX('Calc base'!I$12,ROUND('Calc base'!I$13*AZ283,2))))</f>
        <v>0</v>
      </c>
      <c r="Q284">
        <f>IF(BA283&lt;=0,0,IF(ROUND(BA283*(1+'Calc base'!O284),2)-MAX('Calc base'!J$12,ROUND('Calc base'!J$13*BA283,2))&lt;1,ROUND(BA283*(1+'Calc base'!O284),2),MAX('Calc base'!J$12,ROUND('Calc base'!J$13*BA283,2))))</f>
        <v>0</v>
      </c>
      <c r="R284">
        <f>IF(BB283&lt;=0,0,IF(ROUND(BB283*(1+'Calc base'!P284),2)-MAX('Calc base'!K$12,ROUND('Calc base'!K$13*BB283,2))&lt;1,ROUND(BB283*(1+'Calc base'!P284),2),MAX('Calc base'!K$12,ROUND('Calc base'!K$13*BB283,2))))</f>
        <v>0</v>
      </c>
      <c r="S284">
        <f>IF(BC283&lt;=0,0,IF(ROUND(BC283*(1+'Calc base'!Q284),2)-MAX('Calc base'!L$12,ROUND('Calc base'!L$13*BC283,2))&lt;1,ROUND(BC283*(1+'Calc base'!Q284),2),MAX('Calc base'!L$12,ROUND('Calc base'!L$13*BC283,2))))</f>
        <v>0</v>
      </c>
      <c r="T284">
        <f>IF(BD283&lt;=0,0,IF(ROUND(BD283*(1+'Calc base'!R284),2)-MAX('Calc base'!M$12,ROUND('Calc base'!M$13*BD283,2))&lt;1,ROUND(BD283*(1+'Calc base'!R284),2),MAX('Calc base'!M$12,ROUND('Calc base'!M$13*BD283,2))))</f>
        <v>0</v>
      </c>
      <c r="U284">
        <f>IF(BE283&lt;=0,0,IF(ROUND(BE283*(1+'Calc base'!S284),2)-MAX('Calc base'!N$12,ROUND('Calc base'!N$13*BE283,2))&lt;1,ROUND(BE283*(1+'Calc base'!S284),2),MAX('Calc base'!N$12,ROUND('Calc base'!N$13*BE283,2))))</f>
        <v>0</v>
      </c>
      <c r="V284">
        <f>MAX(0,ROUND(AT283*(1+'Calc base'!H284),2)-J284-'Calc base'!T284)</f>
        <v>0</v>
      </c>
      <c r="W284">
        <f>MAX(0,ROUND(AU283*(1+'Calc base'!I284),2)-K284-'Calc base'!U284)</f>
        <v>0</v>
      </c>
      <c r="X284">
        <f>MAX(0,ROUND(AV283*(1+'Calc base'!J284),2)-L284-'Calc base'!V284)</f>
        <v>0</v>
      </c>
      <c r="Y284">
        <f>MAX(0,ROUND(AW283*(1+'Calc base'!K284),2)-M284-'Calc base'!W284)</f>
        <v>0</v>
      </c>
      <c r="Z284">
        <f>MAX(0,ROUND(AX283*(1+'Calc base'!L284),2)-N284-'Calc base'!X284)</f>
        <v>0</v>
      </c>
      <c r="AA284">
        <f>MAX(0,ROUND(AY283*(1+'Calc base'!M284),2)-O284-'Calc base'!Y284)</f>
        <v>0</v>
      </c>
      <c r="AB284">
        <f>MAX(0,ROUND(AZ283*(1+'Calc base'!N284),2)-P284-'Calc base'!Z284)</f>
        <v>0</v>
      </c>
      <c r="AC284">
        <f>MAX(0,ROUND(BA283*(1+'Calc base'!O284),2)-Q284-'Calc base'!AA284)</f>
        <v>0</v>
      </c>
      <c r="AD284">
        <f>MAX(0,ROUND(BB283*(1+'Calc base'!P284),2)-R284-'Calc base'!AB284)</f>
        <v>0</v>
      </c>
      <c r="AE284">
        <f>MAX(0,ROUND(BC283*(1+'Calc base'!Q284),2)-S284-'Calc base'!AC284)</f>
        <v>0</v>
      </c>
      <c r="AF284">
        <f>MAX(0,ROUND(BD283*(1+'Calc base'!R284),2)-T284-'Calc base'!AD284)</f>
        <v>0</v>
      </c>
      <c r="AG284">
        <f>MAX(0,ROUND(BE283*(1+'Calc base'!S284),2)-U284-'Calc base'!AE284)</f>
        <v>0</v>
      </c>
      <c r="AH284">
        <f>IF('Calc base'!C$14=0,0,MIN(V284,MAX(0,$E284-SUMIFS($V284:$AG284,'Calc base'!$C$19:$N$19,"&lt;"&amp;'Calc base'!C$19,'Calc base'!$C$14:$N$14,1))))</f>
        <v>0</v>
      </c>
      <c r="AI284">
        <f>IF('Calc base'!D$14=0,0,MIN(W284,MAX(0,$E284-SUMIFS($V284:$AG284,'Calc base'!$C$19:$N$19,"&lt;"&amp;'Calc base'!D$19,'Calc base'!$C$14:$N$14,1))))</f>
        <v>0</v>
      </c>
      <c r="AJ284">
        <f>IF('Calc base'!E$14=0,0,MIN(X284,MAX(0,$E284-SUMIFS($V284:$AG284,'Calc base'!$C$19:$N$19,"&lt;"&amp;'Calc base'!E$19,'Calc base'!$C$14:$N$14,1))))</f>
        <v>0</v>
      </c>
      <c r="AK284">
        <f>IF('Calc base'!F$14=0,0,MIN(Y284,MAX(0,$E284-SUMIFS($V284:$AG284,'Calc base'!$C$19:$N$19,"&lt;"&amp;'Calc base'!F$19,'Calc base'!$C$14:$N$14,1))))</f>
        <v>0</v>
      </c>
      <c r="AL284">
        <f>IF('Calc base'!G$14=0,0,MIN(Z284,MAX(0,$E284-SUMIFS($V284:$AG284,'Calc base'!$C$19:$N$19,"&lt;"&amp;'Calc base'!G$19,'Calc base'!$C$14:$N$14,1))))</f>
        <v>0</v>
      </c>
      <c r="AM284">
        <f>IF('Calc base'!H$14=0,0,MIN(AA284,MAX(0,$E284-SUMIFS($V284:$AG284,'Calc base'!$C$19:$N$19,"&lt;"&amp;'Calc base'!H$19,'Calc base'!$C$14:$N$14,1))))</f>
        <v>0</v>
      </c>
      <c r="AN284">
        <f>IF('Calc base'!I$14=0,0,MIN(AB284,MAX(0,$E284-SUMIFS($V284:$AG284,'Calc base'!$C$19:$N$19,"&lt;"&amp;'Calc base'!I$19,'Calc base'!$C$14:$N$14,1))))</f>
        <v>0</v>
      </c>
      <c r="AO284">
        <f>IF('Calc base'!J$14=0,0,MIN(AC284,MAX(0,$E284-SUMIFS($V284:$AG284,'Calc base'!$C$19:$N$19,"&lt;"&amp;'Calc base'!J$19,'Calc base'!$C$14:$N$14,1))))</f>
        <v>0</v>
      </c>
      <c r="AP284">
        <f>IF('Calc base'!K$14=0,0,MIN(AD284,MAX(0,$E284-SUMIFS($V284:$AG284,'Calc base'!$C$19:$N$19,"&lt;"&amp;'Calc base'!K$19,'Calc base'!$C$14:$N$14,1))))</f>
        <v>0</v>
      </c>
      <c r="AQ284">
        <f>IF('Calc base'!L$14=0,0,MIN(AE284,MAX(0,$E284-SUMIFS($V284:$AG284,'Calc base'!$C$19:$N$19,"&lt;"&amp;'Calc base'!L$19,'Calc base'!$C$14:$N$14,1))))</f>
        <v>0</v>
      </c>
      <c r="AR284">
        <f>IF('Calc base'!M$14=0,0,MIN(AF284,MAX(0,$E284-SUMIFS($V284:$AG284,'Calc base'!$C$19:$N$19,"&lt;"&amp;'Calc base'!M$19,'Calc base'!$C$14:$N$14,1))))</f>
        <v>0</v>
      </c>
      <c r="AS284">
        <f>IF('Calc base'!N$14=0,0,MIN(AG284,MAX(0,$E284-SUMIFS($V284:$AG284,'Calc base'!$C$19:$N$19,"&lt;"&amp;'Calc base'!N$19,'Calc base'!$C$14:$N$14,1))))</f>
        <v>0</v>
      </c>
      <c r="AT284">
        <f>V284-AH284</f>
        <v>0</v>
      </c>
      <c r="AU284">
        <f>W284-AI284</f>
        <v>0</v>
      </c>
      <c r="AV284">
        <f>X284-AJ284</f>
        <v>0</v>
      </c>
      <c r="AW284">
        <f>Y284-AK284</f>
        <v>0</v>
      </c>
      <c r="AX284">
        <f>Z284-AL284</f>
        <v>0</v>
      </c>
      <c r="AY284">
        <f>AA284-AM284</f>
        <v>0</v>
      </c>
      <c r="AZ284">
        <f>AB284-AN284</f>
        <v>0</v>
      </c>
      <c r="BA284">
        <f>AC284-AO284</f>
        <v>0</v>
      </c>
      <c r="BB284">
        <f>AD284-AP284</f>
        <v>0</v>
      </c>
      <c r="BC284">
        <f>AE284-AQ284</f>
        <v>0</v>
      </c>
      <c r="BD284">
        <f>AF284-AR284</f>
        <v>0</v>
      </c>
      <c r="BE284">
        <f>AG284-AS284</f>
        <v>0</v>
      </c>
    </row>
    <row r="285">
      <c r="A285" t="n">
        <v>255</v>
      </c>
      <c r="B285">
        <f>SUMPRODUCT(ROUND($AT284:$BE284*(1+'Calc base'!$H285:$S285),2))</f>
        <v>0</v>
      </c>
      <c r="C285">
        <f>SUM(J285:U285)</f>
        <v>0</v>
      </c>
      <c r="D285">
        <f>SUM(V285:AG285)</f>
        <v>0</v>
      </c>
      <c r="E285">
        <f>MAX(0,IF(Impostazioni!$B$7="No",'Calc base'!$C285-$C$31,'Calc base'!$C285-C285)+'Calc base'!$G285+'Calc base'!$F285-(B285-C285-D285))</f>
        <v>900</v>
      </c>
      <c r="F285">
        <f>SUM(AH285:AS285)</f>
        <v>0</v>
      </c>
      <c r="G285">
        <f>SUM(AT285:BE285)</f>
        <v>0</v>
      </c>
      <c r="H285">
        <f>B285-G284</f>
        <v>0</v>
      </c>
      <c r="I285">
        <f>B285-G285</f>
        <v>0</v>
      </c>
      <c r="J285">
        <f>IF(AT284&lt;=0,0,IF(ROUND(AT284*(1+'Calc base'!H285),2)-MAX('Calc base'!C$12,ROUND('Calc base'!C$13*AT284,2))&lt;1,ROUND(AT284*(1+'Calc base'!H285),2),MAX('Calc base'!C$12,ROUND('Calc base'!C$13*AT284,2))))</f>
        <v>0</v>
      </c>
      <c r="K285">
        <f>IF(AU284&lt;=0,0,IF(ROUND(AU284*(1+'Calc base'!I285),2)-MAX('Calc base'!D$12,ROUND('Calc base'!D$13*AU284,2))&lt;1,ROUND(AU284*(1+'Calc base'!I285),2),MAX('Calc base'!D$12,ROUND('Calc base'!D$13*AU284,2))))</f>
        <v>0</v>
      </c>
      <c r="L285">
        <f>IF(AV284&lt;=0,0,IF(ROUND(AV284*(1+'Calc base'!J285),2)-MAX('Calc base'!E$12,ROUND('Calc base'!E$13*AV284,2))&lt;1,ROUND(AV284*(1+'Calc base'!J285),2),MAX('Calc base'!E$12,ROUND('Calc base'!E$13*AV284,2))))</f>
        <v>0</v>
      </c>
      <c r="M285">
        <f>IF(AW284&lt;=0,0,IF(ROUND(AW284*(1+'Calc base'!K285),2)-MAX('Calc base'!F$12,ROUND('Calc base'!F$13*AW284,2))&lt;1,ROUND(AW284*(1+'Calc base'!K285),2),MAX('Calc base'!F$12,ROUND('Calc base'!F$13*AW284,2))))</f>
        <v>0</v>
      </c>
      <c r="N285">
        <f>IF(AX284&lt;=0,0,IF(ROUND(AX284*(1+'Calc base'!L285),2)-MAX('Calc base'!G$12,ROUND('Calc base'!G$13*AX284,2))&lt;1,ROUND(AX284*(1+'Calc base'!L285),2),MAX('Calc base'!G$12,ROUND('Calc base'!G$13*AX284,2))))</f>
        <v>0</v>
      </c>
      <c r="O285">
        <f>IF(AY284&lt;=0,0,IF(ROUND(AY284*(1+'Calc base'!M285),2)-MAX('Calc base'!H$12,ROUND('Calc base'!H$13*AY284,2))&lt;1,ROUND(AY284*(1+'Calc base'!M285),2),MAX('Calc base'!H$12,ROUND('Calc base'!H$13*AY284,2))))</f>
        <v>0</v>
      </c>
      <c r="P285">
        <f>IF(AZ284&lt;=0,0,IF(ROUND(AZ284*(1+'Calc base'!N285),2)-MAX('Calc base'!I$12,ROUND('Calc base'!I$13*AZ284,2))&lt;1,ROUND(AZ284*(1+'Calc base'!N285),2),MAX('Calc base'!I$12,ROUND('Calc base'!I$13*AZ284,2))))</f>
        <v>0</v>
      </c>
      <c r="Q285">
        <f>IF(BA284&lt;=0,0,IF(ROUND(BA284*(1+'Calc base'!O285),2)-MAX('Calc base'!J$12,ROUND('Calc base'!J$13*BA284,2))&lt;1,ROUND(BA284*(1+'Calc base'!O285),2),MAX('Calc base'!J$12,ROUND('Calc base'!J$13*BA284,2))))</f>
        <v>0</v>
      </c>
      <c r="R285">
        <f>IF(BB284&lt;=0,0,IF(ROUND(BB284*(1+'Calc base'!P285),2)-MAX('Calc base'!K$12,ROUND('Calc base'!K$13*BB284,2))&lt;1,ROUND(BB284*(1+'Calc base'!P285),2),MAX('Calc base'!K$12,ROUND('Calc base'!K$13*BB284,2))))</f>
        <v>0</v>
      </c>
      <c r="S285">
        <f>IF(BC284&lt;=0,0,IF(ROUND(BC284*(1+'Calc base'!Q285),2)-MAX('Calc base'!L$12,ROUND('Calc base'!L$13*BC284,2))&lt;1,ROUND(BC284*(1+'Calc base'!Q285),2),MAX('Calc base'!L$12,ROUND('Calc base'!L$13*BC284,2))))</f>
        <v>0</v>
      </c>
      <c r="T285">
        <f>IF(BD284&lt;=0,0,IF(ROUND(BD284*(1+'Calc base'!R285),2)-MAX('Calc base'!M$12,ROUND('Calc base'!M$13*BD284,2))&lt;1,ROUND(BD284*(1+'Calc base'!R285),2),MAX('Calc base'!M$12,ROUND('Calc base'!M$13*BD284,2))))</f>
        <v>0</v>
      </c>
      <c r="U285">
        <f>IF(BE284&lt;=0,0,IF(ROUND(BE284*(1+'Calc base'!S285),2)-MAX('Calc base'!N$12,ROUND('Calc base'!N$13*BE284,2))&lt;1,ROUND(BE284*(1+'Calc base'!S285),2),MAX('Calc base'!N$12,ROUND('Calc base'!N$13*BE284,2))))</f>
        <v>0</v>
      </c>
      <c r="V285">
        <f>MAX(0,ROUND(AT284*(1+'Calc base'!H285),2)-J285-'Calc base'!T285)</f>
        <v>0</v>
      </c>
      <c r="W285">
        <f>MAX(0,ROUND(AU284*(1+'Calc base'!I285),2)-K285-'Calc base'!U285)</f>
        <v>0</v>
      </c>
      <c r="X285">
        <f>MAX(0,ROUND(AV284*(1+'Calc base'!J285),2)-L285-'Calc base'!V285)</f>
        <v>0</v>
      </c>
      <c r="Y285">
        <f>MAX(0,ROUND(AW284*(1+'Calc base'!K285),2)-M285-'Calc base'!W285)</f>
        <v>0</v>
      </c>
      <c r="Z285">
        <f>MAX(0,ROUND(AX284*(1+'Calc base'!L285),2)-N285-'Calc base'!X285)</f>
        <v>0</v>
      </c>
      <c r="AA285">
        <f>MAX(0,ROUND(AY284*(1+'Calc base'!M285),2)-O285-'Calc base'!Y285)</f>
        <v>0</v>
      </c>
      <c r="AB285">
        <f>MAX(0,ROUND(AZ284*(1+'Calc base'!N285),2)-P285-'Calc base'!Z285)</f>
        <v>0</v>
      </c>
      <c r="AC285">
        <f>MAX(0,ROUND(BA284*(1+'Calc base'!O285),2)-Q285-'Calc base'!AA285)</f>
        <v>0</v>
      </c>
      <c r="AD285">
        <f>MAX(0,ROUND(BB284*(1+'Calc base'!P285),2)-R285-'Calc base'!AB285)</f>
        <v>0</v>
      </c>
      <c r="AE285">
        <f>MAX(0,ROUND(BC284*(1+'Calc base'!Q285),2)-S285-'Calc base'!AC285)</f>
        <v>0</v>
      </c>
      <c r="AF285">
        <f>MAX(0,ROUND(BD284*(1+'Calc base'!R285),2)-T285-'Calc base'!AD285)</f>
        <v>0</v>
      </c>
      <c r="AG285">
        <f>MAX(0,ROUND(BE284*(1+'Calc base'!S285),2)-U285-'Calc base'!AE285)</f>
        <v>0</v>
      </c>
      <c r="AH285">
        <f>IF('Calc base'!C$14=0,0,MIN(V285,MAX(0,$E285-SUMIFS($V285:$AG285,'Calc base'!$C$19:$N$19,"&lt;"&amp;'Calc base'!C$19,'Calc base'!$C$14:$N$14,1))))</f>
        <v>0</v>
      </c>
      <c r="AI285">
        <f>IF('Calc base'!D$14=0,0,MIN(W285,MAX(0,$E285-SUMIFS($V285:$AG285,'Calc base'!$C$19:$N$19,"&lt;"&amp;'Calc base'!D$19,'Calc base'!$C$14:$N$14,1))))</f>
        <v>0</v>
      </c>
      <c r="AJ285">
        <f>IF('Calc base'!E$14=0,0,MIN(X285,MAX(0,$E285-SUMIFS($V285:$AG285,'Calc base'!$C$19:$N$19,"&lt;"&amp;'Calc base'!E$19,'Calc base'!$C$14:$N$14,1))))</f>
        <v>0</v>
      </c>
      <c r="AK285">
        <f>IF('Calc base'!F$14=0,0,MIN(Y285,MAX(0,$E285-SUMIFS($V285:$AG285,'Calc base'!$C$19:$N$19,"&lt;"&amp;'Calc base'!F$19,'Calc base'!$C$14:$N$14,1))))</f>
        <v>0</v>
      </c>
      <c r="AL285">
        <f>IF('Calc base'!G$14=0,0,MIN(Z285,MAX(0,$E285-SUMIFS($V285:$AG285,'Calc base'!$C$19:$N$19,"&lt;"&amp;'Calc base'!G$19,'Calc base'!$C$14:$N$14,1))))</f>
        <v>0</v>
      </c>
      <c r="AM285">
        <f>IF('Calc base'!H$14=0,0,MIN(AA285,MAX(0,$E285-SUMIFS($V285:$AG285,'Calc base'!$C$19:$N$19,"&lt;"&amp;'Calc base'!H$19,'Calc base'!$C$14:$N$14,1))))</f>
        <v>0</v>
      </c>
      <c r="AN285">
        <f>IF('Calc base'!I$14=0,0,MIN(AB285,MAX(0,$E285-SUMIFS($V285:$AG285,'Calc base'!$C$19:$N$19,"&lt;"&amp;'Calc base'!I$19,'Calc base'!$C$14:$N$14,1))))</f>
        <v>0</v>
      </c>
      <c r="AO285">
        <f>IF('Calc base'!J$14=0,0,MIN(AC285,MAX(0,$E285-SUMIFS($V285:$AG285,'Calc base'!$C$19:$N$19,"&lt;"&amp;'Calc base'!J$19,'Calc base'!$C$14:$N$14,1))))</f>
        <v>0</v>
      </c>
      <c r="AP285">
        <f>IF('Calc base'!K$14=0,0,MIN(AD285,MAX(0,$E285-SUMIFS($V285:$AG285,'Calc base'!$C$19:$N$19,"&lt;"&amp;'Calc base'!K$19,'Calc base'!$C$14:$N$14,1))))</f>
        <v>0</v>
      </c>
      <c r="AQ285">
        <f>IF('Calc base'!L$14=0,0,MIN(AE285,MAX(0,$E285-SUMIFS($V285:$AG285,'Calc base'!$C$19:$N$19,"&lt;"&amp;'Calc base'!L$19,'Calc base'!$C$14:$N$14,1))))</f>
        <v>0</v>
      </c>
      <c r="AR285">
        <f>IF('Calc base'!M$14=0,0,MIN(AF285,MAX(0,$E285-SUMIFS($V285:$AG285,'Calc base'!$C$19:$N$19,"&lt;"&amp;'Calc base'!M$19,'Calc base'!$C$14:$N$14,1))))</f>
        <v>0</v>
      </c>
      <c r="AS285">
        <f>IF('Calc base'!N$14=0,0,MIN(AG285,MAX(0,$E285-SUMIFS($V285:$AG285,'Calc base'!$C$19:$N$19,"&lt;"&amp;'Calc base'!N$19,'Calc base'!$C$14:$N$14,1))))</f>
        <v>0</v>
      </c>
      <c r="AT285">
        <f>V285-AH285</f>
        <v>0</v>
      </c>
      <c r="AU285">
        <f>W285-AI285</f>
        <v>0</v>
      </c>
      <c r="AV285">
        <f>X285-AJ285</f>
        <v>0</v>
      </c>
      <c r="AW285">
        <f>Y285-AK285</f>
        <v>0</v>
      </c>
      <c r="AX285">
        <f>Z285-AL285</f>
        <v>0</v>
      </c>
      <c r="AY285">
        <f>AA285-AM285</f>
        <v>0</v>
      </c>
      <c r="AZ285">
        <f>AB285-AN285</f>
        <v>0</v>
      </c>
      <c r="BA285">
        <f>AC285-AO285</f>
        <v>0</v>
      </c>
      <c r="BB285">
        <f>AD285-AP285</f>
        <v>0</v>
      </c>
      <c r="BC285">
        <f>AE285-AQ285</f>
        <v>0</v>
      </c>
      <c r="BD285">
        <f>AF285-AR285</f>
        <v>0</v>
      </c>
      <c r="BE285">
        <f>AG285-AS285</f>
        <v>0</v>
      </c>
    </row>
    <row r="286">
      <c r="A286" t="n">
        <v>256</v>
      </c>
      <c r="B286">
        <f>SUMPRODUCT(ROUND($AT285:$BE285*(1+'Calc base'!$H286:$S286),2))</f>
        <v>0</v>
      </c>
      <c r="C286">
        <f>SUM(J286:U286)</f>
        <v>0</v>
      </c>
      <c r="D286">
        <f>SUM(V286:AG286)</f>
        <v>0</v>
      </c>
      <c r="E286">
        <f>MAX(0,IF(Impostazioni!$B$7="No",'Calc base'!$C286-$C$31,'Calc base'!$C286-C286)+'Calc base'!$G286+'Calc base'!$F286-(B286-C286-D286))</f>
        <v>900</v>
      </c>
      <c r="F286">
        <f>SUM(AH286:AS286)</f>
        <v>0</v>
      </c>
      <c r="G286">
        <f>SUM(AT286:BE286)</f>
        <v>0</v>
      </c>
      <c r="H286">
        <f>B286-G285</f>
        <v>0</v>
      </c>
      <c r="I286">
        <f>B286-G286</f>
        <v>0</v>
      </c>
      <c r="J286">
        <f>IF(AT285&lt;=0,0,IF(ROUND(AT285*(1+'Calc base'!H286),2)-MAX('Calc base'!C$12,ROUND('Calc base'!C$13*AT285,2))&lt;1,ROUND(AT285*(1+'Calc base'!H286),2),MAX('Calc base'!C$12,ROUND('Calc base'!C$13*AT285,2))))</f>
        <v>0</v>
      </c>
      <c r="K286">
        <f>IF(AU285&lt;=0,0,IF(ROUND(AU285*(1+'Calc base'!I286),2)-MAX('Calc base'!D$12,ROUND('Calc base'!D$13*AU285,2))&lt;1,ROUND(AU285*(1+'Calc base'!I286),2),MAX('Calc base'!D$12,ROUND('Calc base'!D$13*AU285,2))))</f>
        <v>0</v>
      </c>
      <c r="L286">
        <f>IF(AV285&lt;=0,0,IF(ROUND(AV285*(1+'Calc base'!J286),2)-MAX('Calc base'!E$12,ROUND('Calc base'!E$13*AV285,2))&lt;1,ROUND(AV285*(1+'Calc base'!J286),2),MAX('Calc base'!E$12,ROUND('Calc base'!E$13*AV285,2))))</f>
        <v>0</v>
      </c>
      <c r="M286">
        <f>IF(AW285&lt;=0,0,IF(ROUND(AW285*(1+'Calc base'!K286),2)-MAX('Calc base'!F$12,ROUND('Calc base'!F$13*AW285,2))&lt;1,ROUND(AW285*(1+'Calc base'!K286),2),MAX('Calc base'!F$12,ROUND('Calc base'!F$13*AW285,2))))</f>
        <v>0</v>
      </c>
      <c r="N286">
        <f>IF(AX285&lt;=0,0,IF(ROUND(AX285*(1+'Calc base'!L286),2)-MAX('Calc base'!G$12,ROUND('Calc base'!G$13*AX285,2))&lt;1,ROUND(AX285*(1+'Calc base'!L286),2),MAX('Calc base'!G$12,ROUND('Calc base'!G$13*AX285,2))))</f>
        <v>0</v>
      </c>
      <c r="O286">
        <f>IF(AY285&lt;=0,0,IF(ROUND(AY285*(1+'Calc base'!M286),2)-MAX('Calc base'!H$12,ROUND('Calc base'!H$13*AY285,2))&lt;1,ROUND(AY285*(1+'Calc base'!M286),2),MAX('Calc base'!H$12,ROUND('Calc base'!H$13*AY285,2))))</f>
        <v>0</v>
      </c>
      <c r="P286">
        <f>IF(AZ285&lt;=0,0,IF(ROUND(AZ285*(1+'Calc base'!N286),2)-MAX('Calc base'!I$12,ROUND('Calc base'!I$13*AZ285,2))&lt;1,ROUND(AZ285*(1+'Calc base'!N286),2),MAX('Calc base'!I$12,ROUND('Calc base'!I$13*AZ285,2))))</f>
        <v>0</v>
      </c>
      <c r="Q286">
        <f>IF(BA285&lt;=0,0,IF(ROUND(BA285*(1+'Calc base'!O286),2)-MAX('Calc base'!J$12,ROUND('Calc base'!J$13*BA285,2))&lt;1,ROUND(BA285*(1+'Calc base'!O286),2),MAX('Calc base'!J$12,ROUND('Calc base'!J$13*BA285,2))))</f>
        <v>0</v>
      </c>
      <c r="R286">
        <f>IF(BB285&lt;=0,0,IF(ROUND(BB285*(1+'Calc base'!P286),2)-MAX('Calc base'!K$12,ROUND('Calc base'!K$13*BB285,2))&lt;1,ROUND(BB285*(1+'Calc base'!P286),2),MAX('Calc base'!K$12,ROUND('Calc base'!K$13*BB285,2))))</f>
        <v>0</v>
      </c>
      <c r="S286">
        <f>IF(BC285&lt;=0,0,IF(ROUND(BC285*(1+'Calc base'!Q286),2)-MAX('Calc base'!L$12,ROUND('Calc base'!L$13*BC285,2))&lt;1,ROUND(BC285*(1+'Calc base'!Q286),2),MAX('Calc base'!L$12,ROUND('Calc base'!L$13*BC285,2))))</f>
        <v>0</v>
      </c>
      <c r="T286">
        <f>IF(BD285&lt;=0,0,IF(ROUND(BD285*(1+'Calc base'!R286),2)-MAX('Calc base'!M$12,ROUND('Calc base'!M$13*BD285,2))&lt;1,ROUND(BD285*(1+'Calc base'!R286),2),MAX('Calc base'!M$12,ROUND('Calc base'!M$13*BD285,2))))</f>
        <v>0</v>
      </c>
      <c r="U286">
        <f>IF(BE285&lt;=0,0,IF(ROUND(BE285*(1+'Calc base'!S286),2)-MAX('Calc base'!N$12,ROUND('Calc base'!N$13*BE285,2))&lt;1,ROUND(BE285*(1+'Calc base'!S286),2),MAX('Calc base'!N$12,ROUND('Calc base'!N$13*BE285,2))))</f>
        <v>0</v>
      </c>
      <c r="V286">
        <f>MAX(0,ROUND(AT285*(1+'Calc base'!H286),2)-J286-'Calc base'!T286)</f>
        <v>0</v>
      </c>
      <c r="W286">
        <f>MAX(0,ROUND(AU285*(1+'Calc base'!I286),2)-K286-'Calc base'!U286)</f>
        <v>0</v>
      </c>
      <c r="X286">
        <f>MAX(0,ROUND(AV285*(1+'Calc base'!J286),2)-L286-'Calc base'!V286)</f>
        <v>0</v>
      </c>
      <c r="Y286">
        <f>MAX(0,ROUND(AW285*(1+'Calc base'!K286),2)-M286-'Calc base'!W286)</f>
        <v>0</v>
      </c>
      <c r="Z286">
        <f>MAX(0,ROUND(AX285*(1+'Calc base'!L286),2)-N286-'Calc base'!X286)</f>
        <v>0</v>
      </c>
      <c r="AA286">
        <f>MAX(0,ROUND(AY285*(1+'Calc base'!M286),2)-O286-'Calc base'!Y286)</f>
        <v>0</v>
      </c>
      <c r="AB286">
        <f>MAX(0,ROUND(AZ285*(1+'Calc base'!N286),2)-P286-'Calc base'!Z286)</f>
        <v>0</v>
      </c>
      <c r="AC286">
        <f>MAX(0,ROUND(BA285*(1+'Calc base'!O286),2)-Q286-'Calc base'!AA286)</f>
        <v>0</v>
      </c>
      <c r="AD286">
        <f>MAX(0,ROUND(BB285*(1+'Calc base'!P286),2)-R286-'Calc base'!AB286)</f>
        <v>0</v>
      </c>
      <c r="AE286">
        <f>MAX(0,ROUND(BC285*(1+'Calc base'!Q286),2)-S286-'Calc base'!AC286)</f>
        <v>0</v>
      </c>
      <c r="AF286">
        <f>MAX(0,ROUND(BD285*(1+'Calc base'!R286),2)-T286-'Calc base'!AD286)</f>
        <v>0</v>
      </c>
      <c r="AG286">
        <f>MAX(0,ROUND(BE285*(1+'Calc base'!S286),2)-U286-'Calc base'!AE286)</f>
        <v>0</v>
      </c>
      <c r="AH286">
        <f>IF('Calc base'!C$14=0,0,MIN(V286,MAX(0,$E286-SUMIFS($V286:$AG286,'Calc base'!$C$19:$N$19,"&lt;"&amp;'Calc base'!C$19,'Calc base'!$C$14:$N$14,1))))</f>
        <v>0</v>
      </c>
      <c r="AI286">
        <f>IF('Calc base'!D$14=0,0,MIN(W286,MAX(0,$E286-SUMIFS($V286:$AG286,'Calc base'!$C$19:$N$19,"&lt;"&amp;'Calc base'!D$19,'Calc base'!$C$14:$N$14,1))))</f>
        <v>0</v>
      </c>
      <c r="AJ286">
        <f>IF('Calc base'!E$14=0,0,MIN(X286,MAX(0,$E286-SUMIFS($V286:$AG286,'Calc base'!$C$19:$N$19,"&lt;"&amp;'Calc base'!E$19,'Calc base'!$C$14:$N$14,1))))</f>
        <v>0</v>
      </c>
      <c r="AK286">
        <f>IF('Calc base'!F$14=0,0,MIN(Y286,MAX(0,$E286-SUMIFS($V286:$AG286,'Calc base'!$C$19:$N$19,"&lt;"&amp;'Calc base'!F$19,'Calc base'!$C$14:$N$14,1))))</f>
        <v>0</v>
      </c>
      <c r="AL286">
        <f>IF('Calc base'!G$14=0,0,MIN(Z286,MAX(0,$E286-SUMIFS($V286:$AG286,'Calc base'!$C$19:$N$19,"&lt;"&amp;'Calc base'!G$19,'Calc base'!$C$14:$N$14,1))))</f>
        <v>0</v>
      </c>
      <c r="AM286">
        <f>IF('Calc base'!H$14=0,0,MIN(AA286,MAX(0,$E286-SUMIFS($V286:$AG286,'Calc base'!$C$19:$N$19,"&lt;"&amp;'Calc base'!H$19,'Calc base'!$C$14:$N$14,1))))</f>
        <v>0</v>
      </c>
      <c r="AN286">
        <f>IF('Calc base'!I$14=0,0,MIN(AB286,MAX(0,$E286-SUMIFS($V286:$AG286,'Calc base'!$C$19:$N$19,"&lt;"&amp;'Calc base'!I$19,'Calc base'!$C$14:$N$14,1))))</f>
        <v>0</v>
      </c>
      <c r="AO286">
        <f>IF('Calc base'!J$14=0,0,MIN(AC286,MAX(0,$E286-SUMIFS($V286:$AG286,'Calc base'!$C$19:$N$19,"&lt;"&amp;'Calc base'!J$19,'Calc base'!$C$14:$N$14,1))))</f>
        <v>0</v>
      </c>
      <c r="AP286">
        <f>IF('Calc base'!K$14=0,0,MIN(AD286,MAX(0,$E286-SUMIFS($V286:$AG286,'Calc base'!$C$19:$N$19,"&lt;"&amp;'Calc base'!K$19,'Calc base'!$C$14:$N$14,1))))</f>
        <v>0</v>
      </c>
      <c r="AQ286">
        <f>IF('Calc base'!L$14=0,0,MIN(AE286,MAX(0,$E286-SUMIFS($V286:$AG286,'Calc base'!$C$19:$N$19,"&lt;"&amp;'Calc base'!L$19,'Calc base'!$C$14:$N$14,1))))</f>
        <v>0</v>
      </c>
      <c r="AR286">
        <f>IF('Calc base'!M$14=0,0,MIN(AF286,MAX(0,$E286-SUMIFS($V286:$AG286,'Calc base'!$C$19:$N$19,"&lt;"&amp;'Calc base'!M$19,'Calc base'!$C$14:$N$14,1))))</f>
        <v>0</v>
      </c>
      <c r="AS286">
        <f>IF('Calc base'!N$14=0,0,MIN(AG286,MAX(0,$E286-SUMIFS($V286:$AG286,'Calc base'!$C$19:$N$19,"&lt;"&amp;'Calc base'!N$19,'Calc base'!$C$14:$N$14,1))))</f>
        <v>0</v>
      </c>
      <c r="AT286">
        <f>V286-AH286</f>
        <v>0</v>
      </c>
      <c r="AU286">
        <f>W286-AI286</f>
        <v>0</v>
      </c>
      <c r="AV286">
        <f>X286-AJ286</f>
        <v>0</v>
      </c>
      <c r="AW286">
        <f>Y286-AK286</f>
        <v>0</v>
      </c>
      <c r="AX286">
        <f>Z286-AL286</f>
        <v>0</v>
      </c>
      <c r="AY286">
        <f>AA286-AM286</f>
        <v>0</v>
      </c>
      <c r="AZ286">
        <f>AB286-AN286</f>
        <v>0</v>
      </c>
      <c r="BA286">
        <f>AC286-AO286</f>
        <v>0</v>
      </c>
      <c r="BB286">
        <f>AD286-AP286</f>
        <v>0</v>
      </c>
      <c r="BC286">
        <f>AE286-AQ286</f>
        <v>0</v>
      </c>
      <c r="BD286">
        <f>AF286-AR286</f>
        <v>0</v>
      </c>
      <c r="BE286">
        <f>AG286-AS286</f>
        <v>0</v>
      </c>
    </row>
    <row r="287">
      <c r="A287" t="n">
        <v>257</v>
      </c>
      <c r="B287">
        <f>SUMPRODUCT(ROUND($AT286:$BE286*(1+'Calc base'!$H287:$S287),2))</f>
        <v>0</v>
      </c>
      <c r="C287">
        <f>SUM(J287:U287)</f>
        <v>0</v>
      </c>
      <c r="D287">
        <f>SUM(V287:AG287)</f>
        <v>0</v>
      </c>
      <c r="E287">
        <f>MAX(0,IF(Impostazioni!$B$7="No",'Calc base'!$C287-$C$31,'Calc base'!$C287-C287)+'Calc base'!$G287+'Calc base'!$F287-(B287-C287-D287))</f>
        <v>900</v>
      </c>
      <c r="F287">
        <f>SUM(AH287:AS287)</f>
        <v>0</v>
      </c>
      <c r="G287">
        <f>SUM(AT287:BE287)</f>
        <v>0</v>
      </c>
      <c r="H287">
        <f>B287-G286</f>
        <v>0</v>
      </c>
      <c r="I287">
        <f>B287-G287</f>
        <v>0</v>
      </c>
      <c r="J287">
        <f>IF(AT286&lt;=0,0,IF(ROUND(AT286*(1+'Calc base'!H287),2)-MAX('Calc base'!C$12,ROUND('Calc base'!C$13*AT286,2))&lt;1,ROUND(AT286*(1+'Calc base'!H287),2),MAX('Calc base'!C$12,ROUND('Calc base'!C$13*AT286,2))))</f>
        <v>0</v>
      </c>
      <c r="K287">
        <f>IF(AU286&lt;=0,0,IF(ROUND(AU286*(1+'Calc base'!I287),2)-MAX('Calc base'!D$12,ROUND('Calc base'!D$13*AU286,2))&lt;1,ROUND(AU286*(1+'Calc base'!I287),2),MAX('Calc base'!D$12,ROUND('Calc base'!D$13*AU286,2))))</f>
        <v>0</v>
      </c>
      <c r="L287">
        <f>IF(AV286&lt;=0,0,IF(ROUND(AV286*(1+'Calc base'!J287),2)-MAX('Calc base'!E$12,ROUND('Calc base'!E$13*AV286,2))&lt;1,ROUND(AV286*(1+'Calc base'!J287),2),MAX('Calc base'!E$12,ROUND('Calc base'!E$13*AV286,2))))</f>
        <v>0</v>
      </c>
      <c r="M287">
        <f>IF(AW286&lt;=0,0,IF(ROUND(AW286*(1+'Calc base'!K287),2)-MAX('Calc base'!F$12,ROUND('Calc base'!F$13*AW286,2))&lt;1,ROUND(AW286*(1+'Calc base'!K287),2),MAX('Calc base'!F$12,ROUND('Calc base'!F$13*AW286,2))))</f>
        <v>0</v>
      </c>
      <c r="N287">
        <f>IF(AX286&lt;=0,0,IF(ROUND(AX286*(1+'Calc base'!L287),2)-MAX('Calc base'!G$12,ROUND('Calc base'!G$13*AX286,2))&lt;1,ROUND(AX286*(1+'Calc base'!L287),2),MAX('Calc base'!G$12,ROUND('Calc base'!G$13*AX286,2))))</f>
        <v>0</v>
      </c>
      <c r="O287">
        <f>IF(AY286&lt;=0,0,IF(ROUND(AY286*(1+'Calc base'!M287),2)-MAX('Calc base'!H$12,ROUND('Calc base'!H$13*AY286,2))&lt;1,ROUND(AY286*(1+'Calc base'!M287),2),MAX('Calc base'!H$12,ROUND('Calc base'!H$13*AY286,2))))</f>
        <v>0</v>
      </c>
      <c r="P287">
        <f>IF(AZ286&lt;=0,0,IF(ROUND(AZ286*(1+'Calc base'!N287),2)-MAX('Calc base'!I$12,ROUND('Calc base'!I$13*AZ286,2))&lt;1,ROUND(AZ286*(1+'Calc base'!N287),2),MAX('Calc base'!I$12,ROUND('Calc base'!I$13*AZ286,2))))</f>
        <v>0</v>
      </c>
      <c r="Q287">
        <f>IF(BA286&lt;=0,0,IF(ROUND(BA286*(1+'Calc base'!O287),2)-MAX('Calc base'!J$12,ROUND('Calc base'!J$13*BA286,2))&lt;1,ROUND(BA286*(1+'Calc base'!O287),2),MAX('Calc base'!J$12,ROUND('Calc base'!J$13*BA286,2))))</f>
        <v>0</v>
      </c>
      <c r="R287">
        <f>IF(BB286&lt;=0,0,IF(ROUND(BB286*(1+'Calc base'!P287),2)-MAX('Calc base'!K$12,ROUND('Calc base'!K$13*BB286,2))&lt;1,ROUND(BB286*(1+'Calc base'!P287),2),MAX('Calc base'!K$12,ROUND('Calc base'!K$13*BB286,2))))</f>
        <v>0</v>
      </c>
      <c r="S287">
        <f>IF(BC286&lt;=0,0,IF(ROUND(BC286*(1+'Calc base'!Q287),2)-MAX('Calc base'!L$12,ROUND('Calc base'!L$13*BC286,2))&lt;1,ROUND(BC286*(1+'Calc base'!Q287),2),MAX('Calc base'!L$12,ROUND('Calc base'!L$13*BC286,2))))</f>
        <v>0</v>
      </c>
      <c r="T287">
        <f>IF(BD286&lt;=0,0,IF(ROUND(BD286*(1+'Calc base'!R287),2)-MAX('Calc base'!M$12,ROUND('Calc base'!M$13*BD286,2))&lt;1,ROUND(BD286*(1+'Calc base'!R287),2),MAX('Calc base'!M$12,ROUND('Calc base'!M$13*BD286,2))))</f>
        <v>0</v>
      </c>
      <c r="U287">
        <f>IF(BE286&lt;=0,0,IF(ROUND(BE286*(1+'Calc base'!S287),2)-MAX('Calc base'!N$12,ROUND('Calc base'!N$13*BE286,2))&lt;1,ROUND(BE286*(1+'Calc base'!S287),2),MAX('Calc base'!N$12,ROUND('Calc base'!N$13*BE286,2))))</f>
        <v>0</v>
      </c>
      <c r="V287">
        <f>MAX(0,ROUND(AT286*(1+'Calc base'!H287),2)-J287-'Calc base'!T287)</f>
        <v>0</v>
      </c>
      <c r="W287">
        <f>MAX(0,ROUND(AU286*(1+'Calc base'!I287),2)-K287-'Calc base'!U287)</f>
        <v>0</v>
      </c>
      <c r="X287">
        <f>MAX(0,ROUND(AV286*(1+'Calc base'!J287),2)-L287-'Calc base'!V287)</f>
        <v>0</v>
      </c>
      <c r="Y287">
        <f>MAX(0,ROUND(AW286*(1+'Calc base'!K287),2)-M287-'Calc base'!W287)</f>
        <v>0</v>
      </c>
      <c r="Z287">
        <f>MAX(0,ROUND(AX286*(1+'Calc base'!L287),2)-N287-'Calc base'!X287)</f>
        <v>0</v>
      </c>
      <c r="AA287">
        <f>MAX(0,ROUND(AY286*(1+'Calc base'!M287),2)-O287-'Calc base'!Y287)</f>
        <v>0</v>
      </c>
      <c r="AB287">
        <f>MAX(0,ROUND(AZ286*(1+'Calc base'!N287),2)-P287-'Calc base'!Z287)</f>
        <v>0</v>
      </c>
      <c r="AC287">
        <f>MAX(0,ROUND(BA286*(1+'Calc base'!O287),2)-Q287-'Calc base'!AA287)</f>
        <v>0</v>
      </c>
      <c r="AD287">
        <f>MAX(0,ROUND(BB286*(1+'Calc base'!P287),2)-R287-'Calc base'!AB287)</f>
        <v>0</v>
      </c>
      <c r="AE287">
        <f>MAX(0,ROUND(BC286*(1+'Calc base'!Q287),2)-S287-'Calc base'!AC287)</f>
        <v>0</v>
      </c>
      <c r="AF287">
        <f>MAX(0,ROUND(BD286*(1+'Calc base'!R287),2)-T287-'Calc base'!AD287)</f>
        <v>0</v>
      </c>
      <c r="AG287">
        <f>MAX(0,ROUND(BE286*(1+'Calc base'!S287),2)-U287-'Calc base'!AE287)</f>
        <v>0</v>
      </c>
      <c r="AH287">
        <f>IF('Calc base'!C$14=0,0,MIN(V287,MAX(0,$E287-SUMIFS($V287:$AG287,'Calc base'!$C$19:$N$19,"&lt;"&amp;'Calc base'!C$19,'Calc base'!$C$14:$N$14,1))))</f>
        <v>0</v>
      </c>
      <c r="AI287">
        <f>IF('Calc base'!D$14=0,0,MIN(W287,MAX(0,$E287-SUMIFS($V287:$AG287,'Calc base'!$C$19:$N$19,"&lt;"&amp;'Calc base'!D$19,'Calc base'!$C$14:$N$14,1))))</f>
        <v>0</v>
      </c>
      <c r="AJ287">
        <f>IF('Calc base'!E$14=0,0,MIN(X287,MAX(0,$E287-SUMIFS($V287:$AG287,'Calc base'!$C$19:$N$19,"&lt;"&amp;'Calc base'!E$19,'Calc base'!$C$14:$N$14,1))))</f>
        <v>0</v>
      </c>
      <c r="AK287">
        <f>IF('Calc base'!F$14=0,0,MIN(Y287,MAX(0,$E287-SUMIFS($V287:$AG287,'Calc base'!$C$19:$N$19,"&lt;"&amp;'Calc base'!F$19,'Calc base'!$C$14:$N$14,1))))</f>
        <v>0</v>
      </c>
      <c r="AL287">
        <f>IF('Calc base'!G$14=0,0,MIN(Z287,MAX(0,$E287-SUMIFS($V287:$AG287,'Calc base'!$C$19:$N$19,"&lt;"&amp;'Calc base'!G$19,'Calc base'!$C$14:$N$14,1))))</f>
        <v>0</v>
      </c>
      <c r="AM287">
        <f>IF('Calc base'!H$14=0,0,MIN(AA287,MAX(0,$E287-SUMIFS($V287:$AG287,'Calc base'!$C$19:$N$19,"&lt;"&amp;'Calc base'!H$19,'Calc base'!$C$14:$N$14,1))))</f>
        <v>0</v>
      </c>
      <c r="AN287">
        <f>IF('Calc base'!I$14=0,0,MIN(AB287,MAX(0,$E287-SUMIFS($V287:$AG287,'Calc base'!$C$19:$N$19,"&lt;"&amp;'Calc base'!I$19,'Calc base'!$C$14:$N$14,1))))</f>
        <v>0</v>
      </c>
      <c r="AO287">
        <f>IF('Calc base'!J$14=0,0,MIN(AC287,MAX(0,$E287-SUMIFS($V287:$AG287,'Calc base'!$C$19:$N$19,"&lt;"&amp;'Calc base'!J$19,'Calc base'!$C$14:$N$14,1))))</f>
        <v>0</v>
      </c>
      <c r="AP287">
        <f>IF('Calc base'!K$14=0,0,MIN(AD287,MAX(0,$E287-SUMIFS($V287:$AG287,'Calc base'!$C$19:$N$19,"&lt;"&amp;'Calc base'!K$19,'Calc base'!$C$14:$N$14,1))))</f>
        <v>0</v>
      </c>
      <c r="AQ287">
        <f>IF('Calc base'!L$14=0,0,MIN(AE287,MAX(0,$E287-SUMIFS($V287:$AG287,'Calc base'!$C$19:$N$19,"&lt;"&amp;'Calc base'!L$19,'Calc base'!$C$14:$N$14,1))))</f>
        <v>0</v>
      </c>
      <c r="AR287">
        <f>IF('Calc base'!M$14=0,0,MIN(AF287,MAX(0,$E287-SUMIFS($V287:$AG287,'Calc base'!$C$19:$N$19,"&lt;"&amp;'Calc base'!M$19,'Calc base'!$C$14:$N$14,1))))</f>
        <v>0</v>
      </c>
      <c r="AS287">
        <f>IF('Calc base'!N$14=0,0,MIN(AG287,MAX(0,$E287-SUMIFS($V287:$AG287,'Calc base'!$C$19:$N$19,"&lt;"&amp;'Calc base'!N$19,'Calc base'!$C$14:$N$14,1))))</f>
        <v>0</v>
      </c>
      <c r="AT287">
        <f>V287-AH287</f>
        <v>0</v>
      </c>
      <c r="AU287">
        <f>W287-AI287</f>
        <v>0</v>
      </c>
      <c r="AV287">
        <f>X287-AJ287</f>
        <v>0</v>
      </c>
      <c r="AW287">
        <f>Y287-AK287</f>
        <v>0</v>
      </c>
      <c r="AX287">
        <f>Z287-AL287</f>
        <v>0</v>
      </c>
      <c r="AY287">
        <f>AA287-AM287</f>
        <v>0</v>
      </c>
      <c r="AZ287">
        <f>AB287-AN287</f>
        <v>0</v>
      </c>
      <c r="BA287">
        <f>AC287-AO287</f>
        <v>0</v>
      </c>
      <c r="BB287">
        <f>AD287-AP287</f>
        <v>0</v>
      </c>
      <c r="BC287">
        <f>AE287-AQ287</f>
        <v>0</v>
      </c>
      <c r="BD287">
        <f>AF287-AR287</f>
        <v>0</v>
      </c>
      <c r="BE287">
        <f>AG287-AS287</f>
        <v>0</v>
      </c>
    </row>
    <row r="288">
      <c r="A288" t="n">
        <v>258</v>
      </c>
      <c r="B288">
        <f>SUMPRODUCT(ROUND($AT287:$BE287*(1+'Calc base'!$H288:$S288),2))</f>
        <v>0</v>
      </c>
      <c r="C288">
        <f>SUM(J288:U288)</f>
        <v>0</v>
      </c>
      <c r="D288">
        <f>SUM(V288:AG288)</f>
        <v>0</v>
      </c>
      <c r="E288">
        <f>MAX(0,IF(Impostazioni!$B$7="No",'Calc base'!$C288-$C$31,'Calc base'!$C288-C288)+'Calc base'!$G288+'Calc base'!$F288-(B288-C288-D288))</f>
        <v>900</v>
      </c>
      <c r="F288">
        <f>SUM(AH288:AS288)</f>
        <v>0</v>
      </c>
      <c r="G288">
        <f>SUM(AT288:BE288)</f>
        <v>0</v>
      </c>
      <c r="H288">
        <f>B288-G287</f>
        <v>0</v>
      </c>
      <c r="I288">
        <f>B288-G288</f>
        <v>0</v>
      </c>
      <c r="J288">
        <f>IF(AT287&lt;=0,0,IF(ROUND(AT287*(1+'Calc base'!H288),2)-MAX('Calc base'!C$12,ROUND('Calc base'!C$13*AT287,2))&lt;1,ROUND(AT287*(1+'Calc base'!H288),2),MAX('Calc base'!C$12,ROUND('Calc base'!C$13*AT287,2))))</f>
        <v>0</v>
      </c>
      <c r="K288">
        <f>IF(AU287&lt;=0,0,IF(ROUND(AU287*(1+'Calc base'!I288),2)-MAX('Calc base'!D$12,ROUND('Calc base'!D$13*AU287,2))&lt;1,ROUND(AU287*(1+'Calc base'!I288),2),MAX('Calc base'!D$12,ROUND('Calc base'!D$13*AU287,2))))</f>
        <v>0</v>
      </c>
      <c r="L288">
        <f>IF(AV287&lt;=0,0,IF(ROUND(AV287*(1+'Calc base'!J288),2)-MAX('Calc base'!E$12,ROUND('Calc base'!E$13*AV287,2))&lt;1,ROUND(AV287*(1+'Calc base'!J288),2),MAX('Calc base'!E$12,ROUND('Calc base'!E$13*AV287,2))))</f>
        <v>0</v>
      </c>
      <c r="M288">
        <f>IF(AW287&lt;=0,0,IF(ROUND(AW287*(1+'Calc base'!K288),2)-MAX('Calc base'!F$12,ROUND('Calc base'!F$13*AW287,2))&lt;1,ROUND(AW287*(1+'Calc base'!K288),2),MAX('Calc base'!F$12,ROUND('Calc base'!F$13*AW287,2))))</f>
        <v>0</v>
      </c>
      <c r="N288">
        <f>IF(AX287&lt;=0,0,IF(ROUND(AX287*(1+'Calc base'!L288),2)-MAX('Calc base'!G$12,ROUND('Calc base'!G$13*AX287,2))&lt;1,ROUND(AX287*(1+'Calc base'!L288),2),MAX('Calc base'!G$12,ROUND('Calc base'!G$13*AX287,2))))</f>
        <v>0</v>
      </c>
      <c r="O288">
        <f>IF(AY287&lt;=0,0,IF(ROUND(AY287*(1+'Calc base'!M288),2)-MAX('Calc base'!H$12,ROUND('Calc base'!H$13*AY287,2))&lt;1,ROUND(AY287*(1+'Calc base'!M288),2),MAX('Calc base'!H$12,ROUND('Calc base'!H$13*AY287,2))))</f>
        <v>0</v>
      </c>
      <c r="P288">
        <f>IF(AZ287&lt;=0,0,IF(ROUND(AZ287*(1+'Calc base'!N288),2)-MAX('Calc base'!I$12,ROUND('Calc base'!I$13*AZ287,2))&lt;1,ROUND(AZ287*(1+'Calc base'!N288),2),MAX('Calc base'!I$12,ROUND('Calc base'!I$13*AZ287,2))))</f>
        <v>0</v>
      </c>
      <c r="Q288">
        <f>IF(BA287&lt;=0,0,IF(ROUND(BA287*(1+'Calc base'!O288),2)-MAX('Calc base'!J$12,ROUND('Calc base'!J$13*BA287,2))&lt;1,ROUND(BA287*(1+'Calc base'!O288),2),MAX('Calc base'!J$12,ROUND('Calc base'!J$13*BA287,2))))</f>
        <v>0</v>
      </c>
      <c r="R288">
        <f>IF(BB287&lt;=0,0,IF(ROUND(BB287*(1+'Calc base'!P288),2)-MAX('Calc base'!K$12,ROUND('Calc base'!K$13*BB287,2))&lt;1,ROUND(BB287*(1+'Calc base'!P288),2),MAX('Calc base'!K$12,ROUND('Calc base'!K$13*BB287,2))))</f>
        <v>0</v>
      </c>
      <c r="S288">
        <f>IF(BC287&lt;=0,0,IF(ROUND(BC287*(1+'Calc base'!Q288),2)-MAX('Calc base'!L$12,ROUND('Calc base'!L$13*BC287,2))&lt;1,ROUND(BC287*(1+'Calc base'!Q288),2),MAX('Calc base'!L$12,ROUND('Calc base'!L$13*BC287,2))))</f>
        <v>0</v>
      </c>
      <c r="T288">
        <f>IF(BD287&lt;=0,0,IF(ROUND(BD287*(1+'Calc base'!R288),2)-MAX('Calc base'!M$12,ROUND('Calc base'!M$13*BD287,2))&lt;1,ROUND(BD287*(1+'Calc base'!R288),2),MAX('Calc base'!M$12,ROUND('Calc base'!M$13*BD287,2))))</f>
        <v>0</v>
      </c>
      <c r="U288">
        <f>IF(BE287&lt;=0,0,IF(ROUND(BE287*(1+'Calc base'!S288),2)-MAX('Calc base'!N$12,ROUND('Calc base'!N$13*BE287,2))&lt;1,ROUND(BE287*(1+'Calc base'!S288),2),MAX('Calc base'!N$12,ROUND('Calc base'!N$13*BE287,2))))</f>
        <v>0</v>
      </c>
      <c r="V288">
        <f>MAX(0,ROUND(AT287*(1+'Calc base'!H288),2)-J288-'Calc base'!T288)</f>
        <v>0</v>
      </c>
      <c r="W288">
        <f>MAX(0,ROUND(AU287*(1+'Calc base'!I288),2)-K288-'Calc base'!U288)</f>
        <v>0</v>
      </c>
      <c r="X288">
        <f>MAX(0,ROUND(AV287*(1+'Calc base'!J288),2)-L288-'Calc base'!V288)</f>
        <v>0</v>
      </c>
      <c r="Y288">
        <f>MAX(0,ROUND(AW287*(1+'Calc base'!K288),2)-M288-'Calc base'!W288)</f>
        <v>0</v>
      </c>
      <c r="Z288">
        <f>MAX(0,ROUND(AX287*(1+'Calc base'!L288),2)-N288-'Calc base'!X288)</f>
        <v>0</v>
      </c>
      <c r="AA288">
        <f>MAX(0,ROUND(AY287*(1+'Calc base'!M288),2)-O288-'Calc base'!Y288)</f>
        <v>0</v>
      </c>
      <c r="AB288">
        <f>MAX(0,ROUND(AZ287*(1+'Calc base'!N288),2)-P288-'Calc base'!Z288)</f>
        <v>0</v>
      </c>
      <c r="AC288">
        <f>MAX(0,ROUND(BA287*(1+'Calc base'!O288),2)-Q288-'Calc base'!AA288)</f>
        <v>0</v>
      </c>
      <c r="AD288">
        <f>MAX(0,ROUND(BB287*(1+'Calc base'!P288),2)-R288-'Calc base'!AB288)</f>
        <v>0</v>
      </c>
      <c r="AE288">
        <f>MAX(0,ROUND(BC287*(1+'Calc base'!Q288),2)-S288-'Calc base'!AC288)</f>
        <v>0</v>
      </c>
      <c r="AF288">
        <f>MAX(0,ROUND(BD287*(1+'Calc base'!R288),2)-T288-'Calc base'!AD288)</f>
        <v>0</v>
      </c>
      <c r="AG288">
        <f>MAX(0,ROUND(BE287*(1+'Calc base'!S288),2)-U288-'Calc base'!AE288)</f>
        <v>0</v>
      </c>
      <c r="AH288">
        <f>IF('Calc base'!C$14=0,0,MIN(V288,MAX(0,$E288-SUMIFS($V288:$AG288,'Calc base'!$C$19:$N$19,"&lt;"&amp;'Calc base'!C$19,'Calc base'!$C$14:$N$14,1))))</f>
        <v>0</v>
      </c>
      <c r="AI288">
        <f>IF('Calc base'!D$14=0,0,MIN(W288,MAX(0,$E288-SUMIFS($V288:$AG288,'Calc base'!$C$19:$N$19,"&lt;"&amp;'Calc base'!D$19,'Calc base'!$C$14:$N$14,1))))</f>
        <v>0</v>
      </c>
      <c r="AJ288">
        <f>IF('Calc base'!E$14=0,0,MIN(X288,MAX(0,$E288-SUMIFS($V288:$AG288,'Calc base'!$C$19:$N$19,"&lt;"&amp;'Calc base'!E$19,'Calc base'!$C$14:$N$14,1))))</f>
        <v>0</v>
      </c>
      <c r="AK288">
        <f>IF('Calc base'!F$14=0,0,MIN(Y288,MAX(0,$E288-SUMIFS($V288:$AG288,'Calc base'!$C$19:$N$19,"&lt;"&amp;'Calc base'!F$19,'Calc base'!$C$14:$N$14,1))))</f>
        <v>0</v>
      </c>
      <c r="AL288">
        <f>IF('Calc base'!G$14=0,0,MIN(Z288,MAX(0,$E288-SUMIFS($V288:$AG288,'Calc base'!$C$19:$N$19,"&lt;"&amp;'Calc base'!G$19,'Calc base'!$C$14:$N$14,1))))</f>
        <v>0</v>
      </c>
      <c r="AM288">
        <f>IF('Calc base'!H$14=0,0,MIN(AA288,MAX(0,$E288-SUMIFS($V288:$AG288,'Calc base'!$C$19:$N$19,"&lt;"&amp;'Calc base'!H$19,'Calc base'!$C$14:$N$14,1))))</f>
        <v>0</v>
      </c>
      <c r="AN288">
        <f>IF('Calc base'!I$14=0,0,MIN(AB288,MAX(0,$E288-SUMIFS($V288:$AG288,'Calc base'!$C$19:$N$19,"&lt;"&amp;'Calc base'!I$19,'Calc base'!$C$14:$N$14,1))))</f>
        <v>0</v>
      </c>
      <c r="AO288">
        <f>IF('Calc base'!J$14=0,0,MIN(AC288,MAX(0,$E288-SUMIFS($V288:$AG288,'Calc base'!$C$19:$N$19,"&lt;"&amp;'Calc base'!J$19,'Calc base'!$C$14:$N$14,1))))</f>
        <v>0</v>
      </c>
      <c r="AP288">
        <f>IF('Calc base'!K$14=0,0,MIN(AD288,MAX(0,$E288-SUMIFS($V288:$AG288,'Calc base'!$C$19:$N$19,"&lt;"&amp;'Calc base'!K$19,'Calc base'!$C$14:$N$14,1))))</f>
        <v>0</v>
      </c>
      <c r="AQ288">
        <f>IF('Calc base'!L$14=0,0,MIN(AE288,MAX(0,$E288-SUMIFS($V288:$AG288,'Calc base'!$C$19:$N$19,"&lt;"&amp;'Calc base'!L$19,'Calc base'!$C$14:$N$14,1))))</f>
        <v>0</v>
      </c>
      <c r="AR288">
        <f>IF('Calc base'!M$14=0,0,MIN(AF288,MAX(0,$E288-SUMIFS($V288:$AG288,'Calc base'!$C$19:$N$19,"&lt;"&amp;'Calc base'!M$19,'Calc base'!$C$14:$N$14,1))))</f>
        <v>0</v>
      </c>
      <c r="AS288">
        <f>IF('Calc base'!N$14=0,0,MIN(AG288,MAX(0,$E288-SUMIFS($V288:$AG288,'Calc base'!$C$19:$N$19,"&lt;"&amp;'Calc base'!N$19,'Calc base'!$C$14:$N$14,1))))</f>
        <v>0</v>
      </c>
      <c r="AT288">
        <f>V288-AH288</f>
        <v>0</v>
      </c>
      <c r="AU288">
        <f>W288-AI288</f>
        <v>0</v>
      </c>
      <c r="AV288">
        <f>X288-AJ288</f>
        <v>0</v>
      </c>
      <c r="AW288">
        <f>Y288-AK288</f>
        <v>0</v>
      </c>
      <c r="AX288">
        <f>Z288-AL288</f>
        <v>0</v>
      </c>
      <c r="AY288">
        <f>AA288-AM288</f>
        <v>0</v>
      </c>
      <c r="AZ288">
        <f>AB288-AN288</f>
        <v>0</v>
      </c>
      <c r="BA288">
        <f>AC288-AO288</f>
        <v>0</v>
      </c>
      <c r="BB288">
        <f>AD288-AP288</f>
        <v>0</v>
      </c>
      <c r="BC288">
        <f>AE288-AQ288</f>
        <v>0</v>
      </c>
      <c r="BD288">
        <f>AF288-AR288</f>
        <v>0</v>
      </c>
      <c r="BE288">
        <f>AG288-AS288</f>
        <v>0</v>
      </c>
    </row>
    <row r="289">
      <c r="A289" t="n">
        <v>259</v>
      </c>
      <c r="B289">
        <f>SUMPRODUCT(ROUND($AT288:$BE288*(1+'Calc base'!$H289:$S289),2))</f>
        <v>0</v>
      </c>
      <c r="C289">
        <f>SUM(J289:U289)</f>
        <v>0</v>
      </c>
      <c r="D289">
        <f>SUM(V289:AG289)</f>
        <v>0</v>
      </c>
      <c r="E289">
        <f>MAX(0,IF(Impostazioni!$B$7="No",'Calc base'!$C289-$C$31,'Calc base'!$C289-C289)+'Calc base'!$G289+'Calc base'!$F289-(B289-C289-D289))</f>
        <v>900</v>
      </c>
      <c r="F289">
        <f>SUM(AH289:AS289)</f>
        <v>0</v>
      </c>
      <c r="G289">
        <f>SUM(AT289:BE289)</f>
        <v>0</v>
      </c>
      <c r="H289">
        <f>B289-G288</f>
        <v>0</v>
      </c>
      <c r="I289">
        <f>B289-G289</f>
        <v>0</v>
      </c>
      <c r="J289">
        <f>IF(AT288&lt;=0,0,IF(ROUND(AT288*(1+'Calc base'!H289),2)-MAX('Calc base'!C$12,ROUND('Calc base'!C$13*AT288,2))&lt;1,ROUND(AT288*(1+'Calc base'!H289),2),MAX('Calc base'!C$12,ROUND('Calc base'!C$13*AT288,2))))</f>
        <v>0</v>
      </c>
      <c r="K289">
        <f>IF(AU288&lt;=0,0,IF(ROUND(AU288*(1+'Calc base'!I289),2)-MAX('Calc base'!D$12,ROUND('Calc base'!D$13*AU288,2))&lt;1,ROUND(AU288*(1+'Calc base'!I289),2),MAX('Calc base'!D$12,ROUND('Calc base'!D$13*AU288,2))))</f>
        <v>0</v>
      </c>
      <c r="L289">
        <f>IF(AV288&lt;=0,0,IF(ROUND(AV288*(1+'Calc base'!J289),2)-MAX('Calc base'!E$12,ROUND('Calc base'!E$13*AV288,2))&lt;1,ROUND(AV288*(1+'Calc base'!J289),2),MAX('Calc base'!E$12,ROUND('Calc base'!E$13*AV288,2))))</f>
        <v>0</v>
      </c>
      <c r="M289">
        <f>IF(AW288&lt;=0,0,IF(ROUND(AW288*(1+'Calc base'!K289),2)-MAX('Calc base'!F$12,ROUND('Calc base'!F$13*AW288,2))&lt;1,ROUND(AW288*(1+'Calc base'!K289),2),MAX('Calc base'!F$12,ROUND('Calc base'!F$13*AW288,2))))</f>
        <v>0</v>
      </c>
      <c r="N289">
        <f>IF(AX288&lt;=0,0,IF(ROUND(AX288*(1+'Calc base'!L289),2)-MAX('Calc base'!G$12,ROUND('Calc base'!G$13*AX288,2))&lt;1,ROUND(AX288*(1+'Calc base'!L289),2),MAX('Calc base'!G$12,ROUND('Calc base'!G$13*AX288,2))))</f>
        <v>0</v>
      </c>
      <c r="O289">
        <f>IF(AY288&lt;=0,0,IF(ROUND(AY288*(1+'Calc base'!M289),2)-MAX('Calc base'!H$12,ROUND('Calc base'!H$13*AY288,2))&lt;1,ROUND(AY288*(1+'Calc base'!M289),2),MAX('Calc base'!H$12,ROUND('Calc base'!H$13*AY288,2))))</f>
        <v>0</v>
      </c>
      <c r="P289">
        <f>IF(AZ288&lt;=0,0,IF(ROUND(AZ288*(1+'Calc base'!N289),2)-MAX('Calc base'!I$12,ROUND('Calc base'!I$13*AZ288,2))&lt;1,ROUND(AZ288*(1+'Calc base'!N289),2),MAX('Calc base'!I$12,ROUND('Calc base'!I$13*AZ288,2))))</f>
        <v>0</v>
      </c>
      <c r="Q289">
        <f>IF(BA288&lt;=0,0,IF(ROUND(BA288*(1+'Calc base'!O289),2)-MAX('Calc base'!J$12,ROUND('Calc base'!J$13*BA288,2))&lt;1,ROUND(BA288*(1+'Calc base'!O289),2),MAX('Calc base'!J$12,ROUND('Calc base'!J$13*BA288,2))))</f>
        <v>0</v>
      </c>
      <c r="R289">
        <f>IF(BB288&lt;=0,0,IF(ROUND(BB288*(1+'Calc base'!P289),2)-MAX('Calc base'!K$12,ROUND('Calc base'!K$13*BB288,2))&lt;1,ROUND(BB288*(1+'Calc base'!P289),2),MAX('Calc base'!K$12,ROUND('Calc base'!K$13*BB288,2))))</f>
        <v>0</v>
      </c>
      <c r="S289">
        <f>IF(BC288&lt;=0,0,IF(ROUND(BC288*(1+'Calc base'!Q289),2)-MAX('Calc base'!L$12,ROUND('Calc base'!L$13*BC288,2))&lt;1,ROUND(BC288*(1+'Calc base'!Q289),2),MAX('Calc base'!L$12,ROUND('Calc base'!L$13*BC288,2))))</f>
        <v>0</v>
      </c>
      <c r="T289">
        <f>IF(BD288&lt;=0,0,IF(ROUND(BD288*(1+'Calc base'!R289),2)-MAX('Calc base'!M$12,ROUND('Calc base'!M$13*BD288,2))&lt;1,ROUND(BD288*(1+'Calc base'!R289),2),MAX('Calc base'!M$12,ROUND('Calc base'!M$13*BD288,2))))</f>
        <v>0</v>
      </c>
      <c r="U289">
        <f>IF(BE288&lt;=0,0,IF(ROUND(BE288*(1+'Calc base'!S289),2)-MAX('Calc base'!N$12,ROUND('Calc base'!N$13*BE288,2))&lt;1,ROUND(BE288*(1+'Calc base'!S289),2),MAX('Calc base'!N$12,ROUND('Calc base'!N$13*BE288,2))))</f>
        <v>0</v>
      </c>
      <c r="V289">
        <f>MAX(0,ROUND(AT288*(1+'Calc base'!H289),2)-J289-'Calc base'!T289)</f>
        <v>0</v>
      </c>
      <c r="W289">
        <f>MAX(0,ROUND(AU288*(1+'Calc base'!I289),2)-K289-'Calc base'!U289)</f>
        <v>0</v>
      </c>
      <c r="X289">
        <f>MAX(0,ROUND(AV288*(1+'Calc base'!J289),2)-L289-'Calc base'!V289)</f>
        <v>0</v>
      </c>
      <c r="Y289">
        <f>MAX(0,ROUND(AW288*(1+'Calc base'!K289),2)-M289-'Calc base'!W289)</f>
        <v>0</v>
      </c>
      <c r="Z289">
        <f>MAX(0,ROUND(AX288*(1+'Calc base'!L289),2)-N289-'Calc base'!X289)</f>
        <v>0</v>
      </c>
      <c r="AA289">
        <f>MAX(0,ROUND(AY288*(1+'Calc base'!M289),2)-O289-'Calc base'!Y289)</f>
        <v>0</v>
      </c>
      <c r="AB289">
        <f>MAX(0,ROUND(AZ288*(1+'Calc base'!N289),2)-P289-'Calc base'!Z289)</f>
        <v>0</v>
      </c>
      <c r="AC289">
        <f>MAX(0,ROUND(BA288*(1+'Calc base'!O289),2)-Q289-'Calc base'!AA289)</f>
        <v>0</v>
      </c>
      <c r="AD289">
        <f>MAX(0,ROUND(BB288*(1+'Calc base'!P289),2)-R289-'Calc base'!AB289)</f>
        <v>0</v>
      </c>
      <c r="AE289">
        <f>MAX(0,ROUND(BC288*(1+'Calc base'!Q289),2)-S289-'Calc base'!AC289)</f>
        <v>0</v>
      </c>
      <c r="AF289">
        <f>MAX(0,ROUND(BD288*(1+'Calc base'!R289),2)-T289-'Calc base'!AD289)</f>
        <v>0</v>
      </c>
      <c r="AG289">
        <f>MAX(0,ROUND(BE288*(1+'Calc base'!S289),2)-U289-'Calc base'!AE289)</f>
        <v>0</v>
      </c>
      <c r="AH289">
        <f>IF('Calc base'!C$14=0,0,MIN(V289,MAX(0,$E289-SUMIFS($V289:$AG289,'Calc base'!$C$19:$N$19,"&lt;"&amp;'Calc base'!C$19,'Calc base'!$C$14:$N$14,1))))</f>
        <v>0</v>
      </c>
      <c r="AI289">
        <f>IF('Calc base'!D$14=0,0,MIN(W289,MAX(0,$E289-SUMIFS($V289:$AG289,'Calc base'!$C$19:$N$19,"&lt;"&amp;'Calc base'!D$19,'Calc base'!$C$14:$N$14,1))))</f>
        <v>0</v>
      </c>
      <c r="AJ289">
        <f>IF('Calc base'!E$14=0,0,MIN(X289,MAX(0,$E289-SUMIFS($V289:$AG289,'Calc base'!$C$19:$N$19,"&lt;"&amp;'Calc base'!E$19,'Calc base'!$C$14:$N$14,1))))</f>
        <v>0</v>
      </c>
      <c r="AK289">
        <f>IF('Calc base'!F$14=0,0,MIN(Y289,MAX(0,$E289-SUMIFS($V289:$AG289,'Calc base'!$C$19:$N$19,"&lt;"&amp;'Calc base'!F$19,'Calc base'!$C$14:$N$14,1))))</f>
        <v>0</v>
      </c>
      <c r="AL289">
        <f>IF('Calc base'!G$14=0,0,MIN(Z289,MAX(0,$E289-SUMIFS($V289:$AG289,'Calc base'!$C$19:$N$19,"&lt;"&amp;'Calc base'!G$19,'Calc base'!$C$14:$N$14,1))))</f>
        <v>0</v>
      </c>
      <c r="AM289">
        <f>IF('Calc base'!H$14=0,0,MIN(AA289,MAX(0,$E289-SUMIFS($V289:$AG289,'Calc base'!$C$19:$N$19,"&lt;"&amp;'Calc base'!H$19,'Calc base'!$C$14:$N$14,1))))</f>
        <v>0</v>
      </c>
      <c r="AN289">
        <f>IF('Calc base'!I$14=0,0,MIN(AB289,MAX(0,$E289-SUMIFS($V289:$AG289,'Calc base'!$C$19:$N$19,"&lt;"&amp;'Calc base'!I$19,'Calc base'!$C$14:$N$14,1))))</f>
        <v>0</v>
      </c>
      <c r="AO289">
        <f>IF('Calc base'!J$14=0,0,MIN(AC289,MAX(0,$E289-SUMIFS($V289:$AG289,'Calc base'!$C$19:$N$19,"&lt;"&amp;'Calc base'!J$19,'Calc base'!$C$14:$N$14,1))))</f>
        <v>0</v>
      </c>
      <c r="AP289">
        <f>IF('Calc base'!K$14=0,0,MIN(AD289,MAX(0,$E289-SUMIFS($V289:$AG289,'Calc base'!$C$19:$N$19,"&lt;"&amp;'Calc base'!K$19,'Calc base'!$C$14:$N$14,1))))</f>
        <v>0</v>
      </c>
      <c r="AQ289">
        <f>IF('Calc base'!L$14=0,0,MIN(AE289,MAX(0,$E289-SUMIFS($V289:$AG289,'Calc base'!$C$19:$N$19,"&lt;"&amp;'Calc base'!L$19,'Calc base'!$C$14:$N$14,1))))</f>
        <v>0</v>
      </c>
      <c r="AR289">
        <f>IF('Calc base'!M$14=0,0,MIN(AF289,MAX(0,$E289-SUMIFS($V289:$AG289,'Calc base'!$C$19:$N$19,"&lt;"&amp;'Calc base'!M$19,'Calc base'!$C$14:$N$14,1))))</f>
        <v>0</v>
      </c>
      <c r="AS289">
        <f>IF('Calc base'!N$14=0,0,MIN(AG289,MAX(0,$E289-SUMIFS($V289:$AG289,'Calc base'!$C$19:$N$19,"&lt;"&amp;'Calc base'!N$19,'Calc base'!$C$14:$N$14,1))))</f>
        <v>0</v>
      </c>
      <c r="AT289">
        <f>V289-AH289</f>
        <v>0</v>
      </c>
      <c r="AU289">
        <f>W289-AI289</f>
        <v>0</v>
      </c>
      <c r="AV289">
        <f>X289-AJ289</f>
        <v>0</v>
      </c>
      <c r="AW289">
        <f>Y289-AK289</f>
        <v>0</v>
      </c>
      <c r="AX289">
        <f>Z289-AL289</f>
        <v>0</v>
      </c>
      <c r="AY289">
        <f>AA289-AM289</f>
        <v>0</v>
      </c>
      <c r="AZ289">
        <f>AB289-AN289</f>
        <v>0</v>
      </c>
      <c r="BA289">
        <f>AC289-AO289</f>
        <v>0</v>
      </c>
      <c r="BB289">
        <f>AD289-AP289</f>
        <v>0</v>
      </c>
      <c r="BC289">
        <f>AE289-AQ289</f>
        <v>0</v>
      </c>
      <c r="BD289">
        <f>AF289-AR289</f>
        <v>0</v>
      </c>
      <c r="BE289">
        <f>AG289-AS289</f>
        <v>0</v>
      </c>
    </row>
    <row r="290">
      <c r="A290" t="n">
        <v>260</v>
      </c>
      <c r="B290">
        <f>SUMPRODUCT(ROUND($AT289:$BE289*(1+'Calc base'!$H290:$S290),2))</f>
        <v>0</v>
      </c>
      <c r="C290">
        <f>SUM(J290:U290)</f>
        <v>0</v>
      </c>
      <c r="D290">
        <f>SUM(V290:AG290)</f>
        <v>0</v>
      </c>
      <c r="E290">
        <f>MAX(0,IF(Impostazioni!$B$7="No",'Calc base'!$C290-$C$31,'Calc base'!$C290-C290)+'Calc base'!$G290+'Calc base'!$F290-(B290-C290-D290))</f>
        <v>900</v>
      </c>
      <c r="F290">
        <f>SUM(AH290:AS290)</f>
        <v>0</v>
      </c>
      <c r="G290">
        <f>SUM(AT290:BE290)</f>
        <v>0</v>
      </c>
      <c r="H290">
        <f>B290-G289</f>
        <v>0</v>
      </c>
      <c r="I290">
        <f>B290-G290</f>
        <v>0</v>
      </c>
      <c r="J290">
        <f>IF(AT289&lt;=0,0,IF(ROUND(AT289*(1+'Calc base'!H290),2)-MAX('Calc base'!C$12,ROUND('Calc base'!C$13*AT289,2))&lt;1,ROUND(AT289*(1+'Calc base'!H290),2),MAX('Calc base'!C$12,ROUND('Calc base'!C$13*AT289,2))))</f>
        <v>0</v>
      </c>
      <c r="K290">
        <f>IF(AU289&lt;=0,0,IF(ROUND(AU289*(1+'Calc base'!I290),2)-MAX('Calc base'!D$12,ROUND('Calc base'!D$13*AU289,2))&lt;1,ROUND(AU289*(1+'Calc base'!I290),2),MAX('Calc base'!D$12,ROUND('Calc base'!D$13*AU289,2))))</f>
        <v>0</v>
      </c>
      <c r="L290">
        <f>IF(AV289&lt;=0,0,IF(ROUND(AV289*(1+'Calc base'!J290),2)-MAX('Calc base'!E$12,ROUND('Calc base'!E$13*AV289,2))&lt;1,ROUND(AV289*(1+'Calc base'!J290),2),MAX('Calc base'!E$12,ROUND('Calc base'!E$13*AV289,2))))</f>
        <v>0</v>
      </c>
      <c r="M290">
        <f>IF(AW289&lt;=0,0,IF(ROUND(AW289*(1+'Calc base'!K290),2)-MAX('Calc base'!F$12,ROUND('Calc base'!F$13*AW289,2))&lt;1,ROUND(AW289*(1+'Calc base'!K290),2),MAX('Calc base'!F$12,ROUND('Calc base'!F$13*AW289,2))))</f>
        <v>0</v>
      </c>
      <c r="N290">
        <f>IF(AX289&lt;=0,0,IF(ROUND(AX289*(1+'Calc base'!L290),2)-MAX('Calc base'!G$12,ROUND('Calc base'!G$13*AX289,2))&lt;1,ROUND(AX289*(1+'Calc base'!L290),2),MAX('Calc base'!G$12,ROUND('Calc base'!G$13*AX289,2))))</f>
        <v>0</v>
      </c>
      <c r="O290">
        <f>IF(AY289&lt;=0,0,IF(ROUND(AY289*(1+'Calc base'!M290),2)-MAX('Calc base'!H$12,ROUND('Calc base'!H$13*AY289,2))&lt;1,ROUND(AY289*(1+'Calc base'!M290),2),MAX('Calc base'!H$12,ROUND('Calc base'!H$13*AY289,2))))</f>
        <v>0</v>
      </c>
      <c r="P290">
        <f>IF(AZ289&lt;=0,0,IF(ROUND(AZ289*(1+'Calc base'!N290),2)-MAX('Calc base'!I$12,ROUND('Calc base'!I$13*AZ289,2))&lt;1,ROUND(AZ289*(1+'Calc base'!N290),2),MAX('Calc base'!I$12,ROUND('Calc base'!I$13*AZ289,2))))</f>
        <v>0</v>
      </c>
      <c r="Q290">
        <f>IF(BA289&lt;=0,0,IF(ROUND(BA289*(1+'Calc base'!O290),2)-MAX('Calc base'!J$12,ROUND('Calc base'!J$13*BA289,2))&lt;1,ROUND(BA289*(1+'Calc base'!O290),2),MAX('Calc base'!J$12,ROUND('Calc base'!J$13*BA289,2))))</f>
        <v>0</v>
      </c>
      <c r="R290">
        <f>IF(BB289&lt;=0,0,IF(ROUND(BB289*(1+'Calc base'!P290),2)-MAX('Calc base'!K$12,ROUND('Calc base'!K$13*BB289,2))&lt;1,ROUND(BB289*(1+'Calc base'!P290),2),MAX('Calc base'!K$12,ROUND('Calc base'!K$13*BB289,2))))</f>
        <v>0</v>
      </c>
      <c r="S290">
        <f>IF(BC289&lt;=0,0,IF(ROUND(BC289*(1+'Calc base'!Q290),2)-MAX('Calc base'!L$12,ROUND('Calc base'!L$13*BC289,2))&lt;1,ROUND(BC289*(1+'Calc base'!Q290),2),MAX('Calc base'!L$12,ROUND('Calc base'!L$13*BC289,2))))</f>
        <v>0</v>
      </c>
      <c r="T290">
        <f>IF(BD289&lt;=0,0,IF(ROUND(BD289*(1+'Calc base'!R290),2)-MAX('Calc base'!M$12,ROUND('Calc base'!M$13*BD289,2))&lt;1,ROUND(BD289*(1+'Calc base'!R290),2),MAX('Calc base'!M$12,ROUND('Calc base'!M$13*BD289,2))))</f>
        <v>0</v>
      </c>
      <c r="U290">
        <f>IF(BE289&lt;=0,0,IF(ROUND(BE289*(1+'Calc base'!S290),2)-MAX('Calc base'!N$12,ROUND('Calc base'!N$13*BE289,2))&lt;1,ROUND(BE289*(1+'Calc base'!S290),2),MAX('Calc base'!N$12,ROUND('Calc base'!N$13*BE289,2))))</f>
        <v>0</v>
      </c>
      <c r="V290">
        <f>MAX(0,ROUND(AT289*(1+'Calc base'!H290),2)-J290-'Calc base'!T290)</f>
        <v>0</v>
      </c>
      <c r="W290">
        <f>MAX(0,ROUND(AU289*(1+'Calc base'!I290),2)-K290-'Calc base'!U290)</f>
        <v>0</v>
      </c>
      <c r="X290">
        <f>MAX(0,ROUND(AV289*(1+'Calc base'!J290),2)-L290-'Calc base'!V290)</f>
        <v>0</v>
      </c>
      <c r="Y290">
        <f>MAX(0,ROUND(AW289*(1+'Calc base'!K290),2)-M290-'Calc base'!W290)</f>
        <v>0</v>
      </c>
      <c r="Z290">
        <f>MAX(0,ROUND(AX289*(1+'Calc base'!L290),2)-N290-'Calc base'!X290)</f>
        <v>0</v>
      </c>
      <c r="AA290">
        <f>MAX(0,ROUND(AY289*(1+'Calc base'!M290),2)-O290-'Calc base'!Y290)</f>
        <v>0</v>
      </c>
      <c r="AB290">
        <f>MAX(0,ROUND(AZ289*(1+'Calc base'!N290),2)-P290-'Calc base'!Z290)</f>
        <v>0</v>
      </c>
      <c r="AC290">
        <f>MAX(0,ROUND(BA289*(1+'Calc base'!O290),2)-Q290-'Calc base'!AA290)</f>
        <v>0</v>
      </c>
      <c r="AD290">
        <f>MAX(0,ROUND(BB289*(1+'Calc base'!P290),2)-R290-'Calc base'!AB290)</f>
        <v>0</v>
      </c>
      <c r="AE290">
        <f>MAX(0,ROUND(BC289*(1+'Calc base'!Q290),2)-S290-'Calc base'!AC290)</f>
        <v>0</v>
      </c>
      <c r="AF290">
        <f>MAX(0,ROUND(BD289*(1+'Calc base'!R290),2)-T290-'Calc base'!AD290)</f>
        <v>0</v>
      </c>
      <c r="AG290">
        <f>MAX(0,ROUND(BE289*(1+'Calc base'!S290),2)-U290-'Calc base'!AE290)</f>
        <v>0</v>
      </c>
      <c r="AH290">
        <f>IF('Calc base'!C$14=0,0,MIN(V290,MAX(0,$E290-SUMIFS($V290:$AG290,'Calc base'!$C$19:$N$19,"&lt;"&amp;'Calc base'!C$19,'Calc base'!$C$14:$N$14,1))))</f>
        <v>0</v>
      </c>
      <c r="AI290">
        <f>IF('Calc base'!D$14=0,0,MIN(W290,MAX(0,$E290-SUMIFS($V290:$AG290,'Calc base'!$C$19:$N$19,"&lt;"&amp;'Calc base'!D$19,'Calc base'!$C$14:$N$14,1))))</f>
        <v>0</v>
      </c>
      <c r="AJ290">
        <f>IF('Calc base'!E$14=0,0,MIN(X290,MAX(0,$E290-SUMIFS($V290:$AG290,'Calc base'!$C$19:$N$19,"&lt;"&amp;'Calc base'!E$19,'Calc base'!$C$14:$N$14,1))))</f>
        <v>0</v>
      </c>
      <c r="AK290">
        <f>IF('Calc base'!F$14=0,0,MIN(Y290,MAX(0,$E290-SUMIFS($V290:$AG290,'Calc base'!$C$19:$N$19,"&lt;"&amp;'Calc base'!F$19,'Calc base'!$C$14:$N$14,1))))</f>
        <v>0</v>
      </c>
      <c r="AL290">
        <f>IF('Calc base'!G$14=0,0,MIN(Z290,MAX(0,$E290-SUMIFS($V290:$AG290,'Calc base'!$C$19:$N$19,"&lt;"&amp;'Calc base'!G$19,'Calc base'!$C$14:$N$14,1))))</f>
        <v>0</v>
      </c>
      <c r="AM290">
        <f>IF('Calc base'!H$14=0,0,MIN(AA290,MAX(0,$E290-SUMIFS($V290:$AG290,'Calc base'!$C$19:$N$19,"&lt;"&amp;'Calc base'!H$19,'Calc base'!$C$14:$N$14,1))))</f>
        <v>0</v>
      </c>
      <c r="AN290">
        <f>IF('Calc base'!I$14=0,0,MIN(AB290,MAX(0,$E290-SUMIFS($V290:$AG290,'Calc base'!$C$19:$N$19,"&lt;"&amp;'Calc base'!I$19,'Calc base'!$C$14:$N$14,1))))</f>
        <v>0</v>
      </c>
      <c r="AO290">
        <f>IF('Calc base'!J$14=0,0,MIN(AC290,MAX(0,$E290-SUMIFS($V290:$AG290,'Calc base'!$C$19:$N$19,"&lt;"&amp;'Calc base'!J$19,'Calc base'!$C$14:$N$14,1))))</f>
        <v>0</v>
      </c>
      <c r="AP290">
        <f>IF('Calc base'!K$14=0,0,MIN(AD290,MAX(0,$E290-SUMIFS($V290:$AG290,'Calc base'!$C$19:$N$19,"&lt;"&amp;'Calc base'!K$19,'Calc base'!$C$14:$N$14,1))))</f>
        <v>0</v>
      </c>
      <c r="AQ290">
        <f>IF('Calc base'!L$14=0,0,MIN(AE290,MAX(0,$E290-SUMIFS($V290:$AG290,'Calc base'!$C$19:$N$19,"&lt;"&amp;'Calc base'!L$19,'Calc base'!$C$14:$N$14,1))))</f>
        <v>0</v>
      </c>
      <c r="AR290">
        <f>IF('Calc base'!M$14=0,0,MIN(AF290,MAX(0,$E290-SUMIFS($V290:$AG290,'Calc base'!$C$19:$N$19,"&lt;"&amp;'Calc base'!M$19,'Calc base'!$C$14:$N$14,1))))</f>
        <v>0</v>
      </c>
      <c r="AS290">
        <f>IF('Calc base'!N$14=0,0,MIN(AG290,MAX(0,$E290-SUMIFS($V290:$AG290,'Calc base'!$C$19:$N$19,"&lt;"&amp;'Calc base'!N$19,'Calc base'!$C$14:$N$14,1))))</f>
        <v>0</v>
      </c>
      <c r="AT290">
        <f>V290-AH290</f>
        <v>0</v>
      </c>
      <c r="AU290">
        <f>W290-AI290</f>
        <v>0</v>
      </c>
      <c r="AV290">
        <f>X290-AJ290</f>
        <v>0</v>
      </c>
      <c r="AW290">
        <f>Y290-AK290</f>
        <v>0</v>
      </c>
      <c r="AX290">
        <f>Z290-AL290</f>
        <v>0</v>
      </c>
      <c r="AY290">
        <f>AA290-AM290</f>
        <v>0</v>
      </c>
      <c r="AZ290">
        <f>AB290-AN290</f>
        <v>0</v>
      </c>
      <c r="BA290">
        <f>AC290-AO290</f>
        <v>0</v>
      </c>
      <c r="BB290">
        <f>AD290-AP290</f>
        <v>0</v>
      </c>
      <c r="BC290">
        <f>AE290-AQ290</f>
        <v>0</v>
      </c>
      <c r="BD290">
        <f>AF290-AR290</f>
        <v>0</v>
      </c>
      <c r="BE290">
        <f>AG290-AS290</f>
        <v>0</v>
      </c>
    </row>
    <row r="291">
      <c r="A291" t="n">
        <v>261</v>
      </c>
      <c r="B291">
        <f>SUMPRODUCT(ROUND($AT290:$BE290*(1+'Calc base'!$H291:$S291),2))</f>
        <v>0</v>
      </c>
      <c r="C291">
        <f>SUM(J291:U291)</f>
        <v>0</v>
      </c>
      <c r="D291">
        <f>SUM(V291:AG291)</f>
        <v>0</v>
      </c>
      <c r="E291">
        <f>MAX(0,IF(Impostazioni!$B$7="No",'Calc base'!$C291-$C$31,'Calc base'!$C291-C291)+'Calc base'!$G291+'Calc base'!$F291-(B291-C291-D291))</f>
        <v>900</v>
      </c>
      <c r="F291">
        <f>SUM(AH291:AS291)</f>
        <v>0</v>
      </c>
      <c r="G291">
        <f>SUM(AT291:BE291)</f>
        <v>0</v>
      </c>
      <c r="H291">
        <f>B291-G290</f>
        <v>0</v>
      </c>
      <c r="I291">
        <f>B291-G291</f>
        <v>0</v>
      </c>
      <c r="J291">
        <f>IF(AT290&lt;=0,0,IF(ROUND(AT290*(1+'Calc base'!H291),2)-MAX('Calc base'!C$12,ROUND('Calc base'!C$13*AT290,2))&lt;1,ROUND(AT290*(1+'Calc base'!H291),2),MAX('Calc base'!C$12,ROUND('Calc base'!C$13*AT290,2))))</f>
        <v>0</v>
      </c>
      <c r="K291">
        <f>IF(AU290&lt;=0,0,IF(ROUND(AU290*(1+'Calc base'!I291),2)-MAX('Calc base'!D$12,ROUND('Calc base'!D$13*AU290,2))&lt;1,ROUND(AU290*(1+'Calc base'!I291),2),MAX('Calc base'!D$12,ROUND('Calc base'!D$13*AU290,2))))</f>
        <v>0</v>
      </c>
      <c r="L291">
        <f>IF(AV290&lt;=0,0,IF(ROUND(AV290*(1+'Calc base'!J291),2)-MAX('Calc base'!E$12,ROUND('Calc base'!E$13*AV290,2))&lt;1,ROUND(AV290*(1+'Calc base'!J291),2),MAX('Calc base'!E$12,ROUND('Calc base'!E$13*AV290,2))))</f>
        <v>0</v>
      </c>
      <c r="M291">
        <f>IF(AW290&lt;=0,0,IF(ROUND(AW290*(1+'Calc base'!K291),2)-MAX('Calc base'!F$12,ROUND('Calc base'!F$13*AW290,2))&lt;1,ROUND(AW290*(1+'Calc base'!K291),2),MAX('Calc base'!F$12,ROUND('Calc base'!F$13*AW290,2))))</f>
        <v>0</v>
      </c>
      <c r="N291">
        <f>IF(AX290&lt;=0,0,IF(ROUND(AX290*(1+'Calc base'!L291),2)-MAX('Calc base'!G$12,ROUND('Calc base'!G$13*AX290,2))&lt;1,ROUND(AX290*(1+'Calc base'!L291),2),MAX('Calc base'!G$12,ROUND('Calc base'!G$13*AX290,2))))</f>
        <v>0</v>
      </c>
      <c r="O291">
        <f>IF(AY290&lt;=0,0,IF(ROUND(AY290*(1+'Calc base'!M291),2)-MAX('Calc base'!H$12,ROUND('Calc base'!H$13*AY290,2))&lt;1,ROUND(AY290*(1+'Calc base'!M291),2),MAX('Calc base'!H$12,ROUND('Calc base'!H$13*AY290,2))))</f>
        <v>0</v>
      </c>
      <c r="P291">
        <f>IF(AZ290&lt;=0,0,IF(ROUND(AZ290*(1+'Calc base'!N291),2)-MAX('Calc base'!I$12,ROUND('Calc base'!I$13*AZ290,2))&lt;1,ROUND(AZ290*(1+'Calc base'!N291),2),MAX('Calc base'!I$12,ROUND('Calc base'!I$13*AZ290,2))))</f>
        <v>0</v>
      </c>
      <c r="Q291">
        <f>IF(BA290&lt;=0,0,IF(ROUND(BA290*(1+'Calc base'!O291),2)-MAX('Calc base'!J$12,ROUND('Calc base'!J$13*BA290,2))&lt;1,ROUND(BA290*(1+'Calc base'!O291),2),MAX('Calc base'!J$12,ROUND('Calc base'!J$13*BA290,2))))</f>
        <v>0</v>
      </c>
      <c r="R291">
        <f>IF(BB290&lt;=0,0,IF(ROUND(BB290*(1+'Calc base'!P291),2)-MAX('Calc base'!K$12,ROUND('Calc base'!K$13*BB290,2))&lt;1,ROUND(BB290*(1+'Calc base'!P291),2),MAX('Calc base'!K$12,ROUND('Calc base'!K$13*BB290,2))))</f>
        <v>0</v>
      </c>
      <c r="S291">
        <f>IF(BC290&lt;=0,0,IF(ROUND(BC290*(1+'Calc base'!Q291),2)-MAX('Calc base'!L$12,ROUND('Calc base'!L$13*BC290,2))&lt;1,ROUND(BC290*(1+'Calc base'!Q291),2),MAX('Calc base'!L$12,ROUND('Calc base'!L$13*BC290,2))))</f>
        <v>0</v>
      </c>
      <c r="T291">
        <f>IF(BD290&lt;=0,0,IF(ROUND(BD290*(1+'Calc base'!R291),2)-MAX('Calc base'!M$12,ROUND('Calc base'!M$13*BD290,2))&lt;1,ROUND(BD290*(1+'Calc base'!R291),2),MAX('Calc base'!M$12,ROUND('Calc base'!M$13*BD290,2))))</f>
        <v>0</v>
      </c>
      <c r="U291">
        <f>IF(BE290&lt;=0,0,IF(ROUND(BE290*(1+'Calc base'!S291),2)-MAX('Calc base'!N$12,ROUND('Calc base'!N$13*BE290,2))&lt;1,ROUND(BE290*(1+'Calc base'!S291),2),MAX('Calc base'!N$12,ROUND('Calc base'!N$13*BE290,2))))</f>
        <v>0</v>
      </c>
      <c r="V291">
        <f>MAX(0,ROUND(AT290*(1+'Calc base'!H291),2)-J291-'Calc base'!T291)</f>
        <v>0</v>
      </c>
      <c r="W291">
        <f>MAX(0,ROUND(AU290*(1+'Calc base'!I291),2)-K291-'Calc base'!U291)</f>
        <v>0</v>
      </c>
      <c r="X291">
        <f>MAX(0,ROUND(AV290*(1+'Calc base'!J291),2)-L291-'Calc base'!V291)</f>
        <v>0</v>
      </c>
      <c r="Y291">
        <f>MAX(0,ROUND(AW290*(1+'Calc base'!K291),2)-M291-'Calc base'!W291)</f>
        <v>0</v>
      </c>
      <c r="Z291">
        <f>MAX(0,ROUND(AX290*(1+'Calc base'!L291),2)-N291-'Calc base'!X291)</f>
        <v>0</v>
      </c>
      <c r="AA291">
        <f>MAX(0,ROUND(AY290*(1+'Calc base'!M291),2)-O291-'Calc base'!Y291)</f>
        <v>0</v>
      </c>
      <c r="AB291">
        <f>MAX(0,ROUND(AZ290*(1+'Calc base'!N291),2)-P291-'Calc base'!Z291)</f>
        <v>0</v>
      </c>
      <c r="AC291">
        <f>MAX(0,ROUND(BA290*(1+'Calc base'!O291),2)-Q291-'Calc base'!AA291)</f>
        <v>0</v>
      </c>
      <c r="AD291">
        <f>MAX(0,ROUND(BB290*(1+'Calc base'!P291),2)-R291-'Calc base'!AB291)</f>
        <v>0</v>
      </c>
      <c r="AE291">
        <f>MAX(0,ROUND(BC290*(1+'Calc base'!Q291),2)-S291-'Calc base'!AC291)</f>
        <v>0</v>
      </c>
      <c r="AF291">
        <f>MAX(0,ROUND(BD290*(1+'Calc base'!R291),2)-T291-'Calc base'!AD291)</f>
        <v>0</v>
      </c>
      <c r="AG291">
        <f>MAX(0,ROUND(BE290*(1+'Calc base'!S291),2)-U291-'Calc base'!AE291)</f>
        <v>0</v>
      </c>
      <c r="AH291">
        <f>IF('Calc base'!C$14=0,0,MIN(V291,MAX(0,$E291-SUMIFS($V291:$AG291,'Calc base'!$C$19:$N$19,"&lt;"&amp;'Calc base'!C$19,'Calc base'!$C$14:$N$14,1))))</f>
        <v>0</v>
      </c>
      <c r="AI291">
        <f>IF('Calc base'!D$14=0,0,MIN(W291,MAX(0,$E291-SUMIFS($V291:$AG291,'Calc base'!$C$19:$N$19,"&lt;"&amp;'Calc base'!D$19,'Calc base'!$C$14:$N$14,1))))</f>
        <v>0</v>
      </c>
      <c r="AJ291">
        <f>IF('Calc base'!E$14=0,0,MIN(X291,MAX(0,$E291-SUMIFS($V291:$AG291,'Calc base'!$C$19:$N$19,"&lt;"&amp;'Calc base'!E$19,'Calc base'!$C$14:$N$14,1))))</f>
        <v>0</v>
      </c>
      <c r="AK291">
        <f>IF('Calc base'!F$14=0,0,MIN(Y291,MAX(0,$E291-SUMIFS($V291:$AG291,'Calc base'!$C$19:$N$19,"&lt;"&amp;'Calc base'!F$19,'Calc base'!$C$14:$N$14,1))))</f>
        <v>0</v>
      </c>
      <c r="AL291">
        <f>IF('Calc base'!G$14=0,0,MIN(Z291,MAX(0,$E291-SUMIFS($V291:$AG291,'Calc base'!$C$19:$N$19,"&lt;"&amp;'Calc base'!G$19,'Calc base'!$C$14:$N$14,1))))</f>
        <v>0</v>
      </c>
      <c r="AM291">
        <f>IF('Calc base'!H$14=0,0,MIN(AA291,MAX(0,$E291-SUMIFS($V291:$AG291,'Calc base'!$C$19:$N$19,"&lt;"&amp;'Calc base'!H$19,'Calc base'!$C$14:$N$14,1))))</f>
        <v>0</v>
      </c>
      <c r="AN291">
        <f>IF('Calc base'!I$14=0,0,MIN(AB291,MAX(0,$E291-SUMIFS($V291:$AG291,'Calc base'!$C$19:$N$19,"&lt;"&amp;'Calc base'!I$19,'Calc base'!$C$14:$N$14,1))))</f>
        <v>0</v>
      </c>
      <c r="AO291">
        <f>IF('Calc base'!J$14=0,0,MIN(AC291,MAX(0,$E291-SUMIFS($V291:$AG291,'Calc base'!$C$19:$N$19,"&lt;"&amp;'Calc base'!J$19,'Calc base'!$C$14:$N$14,1))))</f>
        <v>0</v>
      </c>
      <c r="AP291">
        <f>IF('Calc base'!K$14=0,0,MIN(AD291,MAX(0,$E291-SUMIFS($V291:$AG291,'Calc base'!$C$19:$N$19,"&lt;"&amp;'Calc base'!K$19,'Calc base'!$C$14:$N$14,1))))</f>
        <v>0</v>
      </c>
      <c r="AQ291">
        <f>IF('Calc base'!L$14=0,0,MIN(AE291,MAX(0,$E291-SUMIFS($V291:$AG291,'Calc base'!$C$19:$N$19,"&lt;"&amp;'Calc base'!L$19,'Calc base'!$C$14:$N$14,1))))</f>
        <v>0</v>
      </c>
      <c r="AR291">
        <f>IF('Calc base'!M$14=0,0,MIN(AF291,MAX(0,$E291-SUMIFS($V291:$AG291,'Calc base'!$C$19:$N$19,"&lt;"&amp;'Calc base'!M$19,'Calc base'!$C$14:$N$14,1))))</f>
        <v>0</v>
      </c>
      <c r="AS291">
        <f>IF('Calc base'!N$14=0,0,MIN(AG291,MAX(0,$E291-SUMIFS($V291:$AG291,'Calc base'!$C$19:$N$19,"&lt;"&amp;'Calc base'!N$19,'Calc base'!$C$14:$N$14,1))))</f>
        <v>0</v>
      </c>
      <c r="AT291">
        <f>V291-AH291</f>
        <v>0</v>
      </c>
      <c r="AU291">
        <f>W291-AI291</f>
        <v>0</v>
      </c>
      <c r="AV291">
        <f>X291-AJ291</f>
        <v>0</v>
      </c>
      <c r="AW291">
        <f>Y291-AK291</f>
        <v>0</v>
      </c>
      <c r="AX291">
        <f>Z291-AL291</f>
        <v>0</v>
      </c>
      <c r="AY291">
        <f>AA291-AM291</f>
        <v>0</v>
      </c>
      <c r="AZ291">
        <f>AB291-AN291</f>
        <v>0</v>
      </c>
      <c r="BA291">
        <f>AC291-AO291</f>
        <v>0</v>
      </c>
      <c r="BB291">
        <f>AD291-AP291</f>
        <v>0</v>
      </c>
      <c r="BC291">
        <f>AE291-AQ291</f>
        <v>0</v>
      </c>
      <c r="BD291">
        <f>AF291-AR291</f>
        <v>0</v>
      </c>
      <c r="BE291">
        <f>AG291-AS291</f>
        <v>0</v>
      </c>
    </row>
    <row r="292">
      <c r="A292" t="n">
        <v>262</v>
      </c>
      <c r="B292">
        <f>SUMPRODUCT(ROUND($AT291:$BE291*(1+'Calc base'!$H292:$S292),2))</f>
        <v>0</v>
      </c>
      <c r="C292">
        <f>SUM(J292:U292)</f>
        <v>0</v>
      </c>
      <c r="D292">
        <f>SUM(V292:AG292)</f>
        <v>0</v>
      </c>
      <c r="E292">
        <f>MAX(0,IF(Impostazioni!$B$7="No",'Calc base'!$C292-$C$31,'Calc base'!$C292-C292)+'Calc base'!$G292+'Calc base'!$F292-(B292-C292-D292))</f>
        <v>900</v>
      </c>
      <c r="F292">
        <f>SUM(AH292:AS292)</f>
        <v>0</v>
      </c>
      <c r="G292">
        <f>SUM(AT292:BE292)</f>
        <v>0</v>
      </c>
      <c r="H292">
        <f>B292-G291</f>
        <v>0</v>
      </c>
      <c r="I292">
        <f>B292-G292</f>
        <v>0</v>
      </c>
      <c r="J292">
        <f>IF(AT291&lt;=0,0,IF(ROUND(AT291*(1+'Calc base'!H292),2)-MAX('Calc base'!C$12,ROUND('Calc base'!C$13*AT291,2))&lt;1,ROUND(AT291*(1+'Calc base'!H292),2),MAX('Calc base'!C$12,ROUND('Calc base'!C$13*AT291,2))))</f>
        <v>0</v>
      </c>
      <c r="K292">
        <f>IF(AU291&lt;=0,0,IF(ROUND(AU291*(1+'Calc base'!I292),2)-MAX('Calc base'!D$12,ROUND('Calc base'!D$13*AU291,2))&lt;1,ROUND(AU291*(1+'Calc base'!I292),2),MAX('Calc base'!D$12,ROUND('Calc base'!D$13*AU291,2))))</f>
        <v>0</v>
      </c>
      <c r="L292">
        <f>IF(AV291&lt;=0,0,IF(ROUND(AV291*(1+'Calc base'!J292),2)-MAX('Calc base'!E$12,ROUND('Calc base'!E$13*AV291,2))&lt;1,ROUND(AV291*(1+'Calc base'!J292),2),MAX('Calc base'!E$12,ROUND('Calc base'!E$13*AV291,2))))</f>
        <v>0</v>
      </c>
      <c r="M292">
        <f>IF(AW291&lt;=0,0,IF(ROUND(AW291*(1+'Calc base'!K292),2)-MAX('Calc base'!F$12,ROUND('Calc base'!F$13*AW291,2))&lt;1,ROUND(AW291*(1+'Calc base'!K292),2),MAX('Calc base'!F$12,ROUND('Calc base'!F$13*AW291,2))))</f>
        <v>0</v>
      </c>
      <c r="N292">
        <f>IF(AX291&lt;=0,0,IF(ROUND(AX291*(1+'Calc base'!L292),2)-MAX('Calc base'!G$12,ROUND('Calc base'!G$13*AX291,2))&lt;1,ROUND(AX291*(1+'Calc base'!L292),2),MAX('Calc base'!G$12,ROUND('Calc base'!G$13*AX291,2))))</f>
        <v>0</v>
      </c>
      <c r="O292">
        <f>IF(AY291&lt;=0,0,IF(ROUND(AY291*(1+'Calc base'!M292),2)-MAX('Calc base'!H$12,ROUND('Calc base'!H$13*AY291,2))&lt;1,ROUND(AY291*(1+'Calc base'!M292),2),MAX('Calc base'!H$12,ROUND('Calc base'!H$13*AY291,2))))</f>
        <v>0</v>
      </c>
      <c r="P292">
        <f>IF(AZ291&lt;=0,0,IF(ROUND(AZ291*(1+'Calc base'!N292),2)-MAX('Calc base'!I$12,ROUND('Calc base'!I$13*AZ291,2))&lt;1,ROUND(AZ291*(1+'Calc base'!N292),2),MAX('Calc base'!I$12,ROUND('Calc base'!I$13*AZ291,2))))</f>
        <v>0</v>
      </c>
      <c r="Q292">
        <f>IF(BA291&lt;=0,0,IF(ROUND(BA291*(1+'Calc base'!O292),2)-MAX('Calc base'!J$12,ROUND('Calc base'!J$13*BA291,2))&lt;1,ROUND(BA291*(1+'Calc base'!O292),2),MAX('Calc base'!J$12,ROUND('Calc base'!J$13*BA291,2))))</f>
        <v>0</v>
      </c>
      <c r="R292">
        <f>IF(BB291&lt;=0,0,IF(ROUND(BB291*(1+'Calc base'!P292),2)-MAX('Calc base'!K$12,ROUND('Calc base'!K$13*BB291,2))&lt;1,ROUND(BB291*(1+'Calc base'!P292),2),MAX('Calc base'!K$12,ROUND('Calc base'!K$13*BB291,2))))</f>
        <v>0</v>
      </c>
      <c r="S292">
        <f>IF(BC291&lt;=0,0,IF(ROUND(BC291*(1+'Calc base'!Q292),2)-MAX('Calc base'!L$12,ROUND('Calc base'!L$13*BC291,2))&lt;1,ROUND(BC291*(1+'Calc base'!Q292),2),MAX('Calc base'!L$12,ROUND('Calc base'!L$13*BC291,2))))</f>
        <v>0</v>
      </c>
      <c r="T292">
        <f>IF(BD291&lt;=0,0,IF(ROUND(BD291*(1+'Calc base'!R292),2)-MAX('Calc base'!M$12,ROUND('Calc base'!M$13*BD291,2))&lt;1,ROUND(BD291*(1+'Calc base'!R292),2),MAX('Calc base'!M$12,ROUND('Calc base'!M$13*BD291,2))))</f>
        <v>0</v>
      </c>
      <c r="U292">
        <f>IF(BE291&lt;=0,0,IF(ROUND(BE291*(1+'Calc base'!S292),2)-MAX('Calc base'!N$12,ROUND('Calc base'!N$13*BE291,2))&lt;1,ROUND(BE291*(1+'Calc base'!S292),2),MAX('Calc base'!N$12,ROUND('Calc base'!N$13*BE291,2))))</f>
        <v>0</v>
      </c>
      <c r="V292">
        <f>MAX(0,ROUND(AT291*(1+'Calc base'!H292),2)-J292-'Calc base'!T292)</f>
        <v>0</v>
      </c>
      <c r="W292">
        <f>MAX(0,ROUND(AU291*(1+'Calc base'!I292),2)-K292-'Calc base'!U292)</f>
        <v>0</v>
      </c>
      <c r="X292">
        <f>MAX(0,ROUND(AV291*(1+'Calc base'!J292),2)-L292-'Calc base'!V292)</f>
        <v>0</v>
      </c>
      <c r="Y292">
        <f>MAX(0,ROUND(AW291*(1+'Calc base'!K292),2)-M292-'Calc base'!W292)</f>
        <v>0</v>
      </c>
      <c r="Z292">
        <f>MAX(0,ROUND(AX291*(1+'Calc base'!L292),2)-N292-'Calc base'!X292)</f>
        <v>0</v>
      </c>
      <c r="AA292">
        <f>MAX(0,ROUND(AY291*(1+'Calc base'!M292),2)-O292-'Calc base'!Y292)</f>
        <v>0</v>
      </c>
      <c r="AB292">
        <f>MAX(0,ROUND(AZ291*(1+'Calc base'!N292),2)-P292-'Calc base'!Z292)</f>
        <v>0</v>
      </c>
      <c r="AC292">
        <f>MAX(0,ROUND(BA291*(1+'Calc base'!O292),2)-Q292-'Calc base'!AA292)</f>
        <v>0</v>
      </c>
      <c r="AD292">
        <f>MAX(0,ROUND(BB291*(1+'Calc base'!P292),2)-R292-'Calc base'!AB292)</f>
        <v>0</v>
      </c>
      <c r="AE292">
        <f>MAX(0,ROUND(BC291*(1+'Calc base'!Q292),2)-S292-'Calc base'!AC292)</f>
        <v>0</v>
      </c>
      <c r="AF292">
        <f>MAX(0,ROUND(BD291*(1+'Calc base'!R292),2)-T292-'Calc base'!AD292)</f>
        <v>0</v>
      </c>
      <c r="AG292">
        <f>MAX(0,ROUND(BE291*(1+'Calc base'!S292),2)-U292-'Calc base'!AE292)</f>
        <v>0</v>
      </c>
      <c r="AH292">
        <f>IF('Calc base'!C$14=0,0,MIN(V292,MAX(0,$E292-SUMIFS($V292:$AG292,'Calc base'!$C$19:$N$19,"&lt;"&amp;'Calc base'!C$19,'Calc base'!$C$14:$N$14,1))))</f>
        <v>0</v>
      </c>
      <c r="AI292">
        <f>IF('Calc base'!D$14=0,0,MIN(W292,MAX(0,$E292-SUMIFS($V292:$AG292,'Calc base'!$C$19:$N$19,"&lt;"&amp;'Calc base'!D$19,'Calc base'!$C$14:$N$14,1))))</f>
        <v>0</v>
      </c>
      <c r="AJ292">
        <f>IF('Calc base'!E$14=0,0,MIN(X292,MAX(0,$E292-SUMIFS($V292:$AG292,'Calc base'!$C$19:$N$19,"&lt;"&amp;'Calc base'!E$19,'Calc base'!$C$14:$N$14,1))))</f>
        <v>0</v>
      </c>
      <c r="AK292">
        <f>IF('Calc base'!F$14=0,0,MIN(Y292,MAX(0,$E292-SUMIFS($V292:$AG292,'Calc base'!$C$19:$N$19,"&lt;"&amp;'Calc base'!F$19,'Calc base'!$C$14:$N$14,1))))</f>
        <v>0</v>
      </c>
      <c r="AL292">
        <f>IF('Calc base'!G$14=0,0,MIN(Z292,MAX(0,$E292-SUMIFS($V292:$AG292,'Calc base'!$C$19:$N$19,"&lt;"&amp;'Calc base'!G$19,'Calc base'!$C$14:$N$14,1))))</f>
        <v>0</v>
      </c>
      <c r="AM292">
        <f>IF('Calc base'!H$14=0,0,MIN(AA292,MAX(0,$E292-SUMIFS($V292:$AG292,'Calc base'!$C$19:$N$19,"&lt;"&amp;'Calc base'!H$19,'Calc base'!$C$14:$N$14,1))))</f>
        <v>0</v>
      </c>
      <c r="AN292">
        <f>IF('Calc base'!I$14=0,0,MIN(AB292,MAX(0,$E292-SUMIFS($V292:$AG292,'Calc base'!$C$19:$N$19,"&lt;"&amp;'Calc base'!I$19,'Calc base'!$C$14:$N$14,1))))</f>
        <v>0</v>
      </c>
      <c r="AO292">
        <f>IF('Calc base'!J$14=0,0,MIN(AC292,MAX(0,$E292-SUMIFS($V292:$AG292,'Calc base'!$C$19:$N$19,"&lt;"&amp;'Calc base'!J$19,'Calc base'!$C$14:$N$14,1))))</f>
        <v>0</v>
      </c>
      <c r="AP292">
        <f>IF('Calc base'!K$14=0,0,MIN(AD292,MAX(0,$E292-SUMIFS($V292:$AG292,'Calc base'!$C$19:$N$19,"&lt;"&amp;'Calc base'!K$19,'Calc base'!$C$14:$N$14,1))))</f>
        <v>0</v>
      </c>
      <c r="AQ292">
        <f>IF('Calc base'!L$14=0,0,MIN(AE292,MAX(0,$E292-SUMIFS($V292:$AG292,'Calc base'!$C$19:$N$19,"&lt;"&amp;'Calc base'!L$19,'Calc base'!$C$14:$N$14,1))))</f>
        <v>0</v>
      </c>
      <c r="AR292">
        <f>IF('Calc base'!M$14=0,0,MIN(AF292,MAX(0,$E292-SUMIFS($V292:$AG292,'Calc base'!$C$19:$N$19,"&lt;"&amp;'Calc base'!M$19,'Calc base'!$C$14:$N$14,1))))</f>
        <v>0</v>
      </c>
      <c r="AS292">
        <f>IF('Calc base'!N$14=0,0,MIN(AG292,MAX(0,$E292-SUMIFS($V292:$AG292,'Calc base'!$C$19:$N$19,"&lt;"&amp;'Calc base'!N$19,'Calc base'!$C$14:$N$14,1))))</f>
        <v>0</v>
      </c>
      <c r="AT292">
        <f>V292-AH292</f>
        <v>0</v>
      </c>
      <c r="AU292">
        <f>W292-AI292</f>
        <v>0</v>
      </c>
      <c r="AV292">
        <f>X292-AJ292</f>
        <v>0</v>
      </c>
      <c r="AW292">
        <f>Y292-AK292</f>
        <v>0</v>
      </c>
      <c r="AX292">
        <f>Z292-AL292</f>
        <v>0</v>
      </c>
      <c r="AY292">
        <f>AA292-AM292</f>
        <v>0</v>
      </c>
      <c r="AZ292">
        <f>AB292-AN292</f>
        <v>0</v>
      </c>
      <c r="BA292">
        <f>AC292-AO292</f>
        <v>0</v>
      </c>
      <c r="BB292">
        <f>AD292-AP292</f>
        <v>0</v>
      </c>
      <c r="BC292">
        <f>AE292-AQ292</f>
        <v>0</v>
      </c>
      <c r="BD292">
        <f>AF292-AR292</f>
        <v>0</v>
      </c>
      <c r="BE292">
        <f>AG292-AS292</f>
        <v>0</v>
      </c>
    </row>
    <row r="293">
      <c r="A293" t="n">
        <v>263</v>
      </c>
      <c r="B293">
        <f>SUMPRODUCT(ROUND($AT292:$BE292*(1+'Calc base'!$H293:$S293),2))</f>
        <v>0</v>
      </c>
      <c r="C293">
        <f>SUM(J293:U293)</f>
        <v>0</v>
      </c>
      <c r="D293">
        <f>SUM(V293:AG293)</f>
        <v>0</v>
      </c>
      <c r="E293">
        <f>MAX(0,IF(Impostazioni!$B$7="No",'Calc base'!$C293-$C$31,'Calc base'!$C293-C293)+'Calc base'!$G293+'Calc base'!$F293-(B293-C293-D293))</f>
        <v>900</v>
      </c>
      <c r="F293">
        <f>SUM(AH293:AS293)</f>
        <v>0</v>
      </c>
      <c r="G293">
        <f>SUM(AT293:BE293)</f>
        <v>0</v>
      </c>
      <c r="H293">
        <f>B293-G292</f>
        <v>0</v>
      </c>
      <c r="I293">
        <f>B293-G293</f>
        <v>0</v>
      </c>
      <c r="J293">
        <f>IF(AT292&lt;=0,0,IF(ROUND(AT292*(1+'Calc base'!H293),2)-MAX('Calc base'!C$12,ROUND('Calc base'!C$13*AT292,2))&lt;1,ROUND(AT292*(1+'Calc base'!H293),2),MAX('Calc base'!C$12,ROUND('Calc base'!C$13*AT292,2))))</f>
        <v>0</v>
      </c>
      <c r="K293">
        <f>IF(AU292&lt;=0,0,IF(ROUND(AU292*(1+'Calc base'!I293),2)-MAX('Calc base'!D$12,ROUND('Calc base'!D$13*AU292,2))&lt;1,ROUND(AU292*(1+'Calc base'!I293),2),MAX('Calc base'!D$12,ROUND('Calc base'!D$13*AU292,2))))</f>
        <v>0</v>
      </c>
      <c r="L293">
        <f>IF(AV292&lt;=0,0,IF(ROUND(AV292*(1+'Calc base'!J293),2)-MAX('Calc base'!E$12,ROUND('Calc base'!E$13*AV292,2))&lt;1,ROUND(AV292*(1+'Calc base'!J293),2),MAX('Calc base'!E$12,ROUND('Calc base'!E$13*AV292,2))))</f>
        <v>0</v>
      </c>
      <c r="M293">
        <f>IF(AW292&lt;=0,0,IF(ROUND(AW292*(1+'Calc base'!K293),2)-MAX('Calc base'!F$12,ROUND('Calc base'!F$13*AW292,2))&lt;1,ROUND(AW292*(1+'Calc base'!K293),2),MAX('Calc base'!F$12,ROUND('Calc base'!F$13*AW292,2))))</f>
        <v>0</v>
      </c>
      <c r="N293">
        <f>IF(AX292&lt;=0,0,IF(ROUND(AX292*(1+'Calc base'!L293),2)-MAX('Calc base'!G$12,ROUND('Calc base'!G$13*AX292,2))&lt;1,ROUND(AX292*(1+'Calc base'!L293),2),MAX('Calc base'!G$12,ROUND('Calc base'!G$13*AX292,2))))</f>
        <v>0</v>
      </c>
      <c r="O293">
        <f>IF(AY292&lt;=0,0,IF(ROUND(AY292*(1+'Calc base'!M293),2)-MAX('Calc base'!H$12,ROUND('Calc base'!H$13*AY292,2))&lt;1,ROUND(AY292*(1+'Calc base'!M293),2),MAX('Calc base'!H$12,ROUND('Calc base'!H$13*AY292,2))))</f>
        <v>0</v>
      </c>
      <c r="P293">
        <f>IF(AZ292&lt;=0,0,IF(ROUND(AZ292*(1+'Calc base'!N293),2)-MAX('Calc base'!I$12,ROUND('Calc base'!I$13*AZ292,2))&lt;1,ROUND(AZ292*(1+'Calc base'!N293),2),MAX('Calc base'!I$12,ROUND('Calc base'!I$13*AZ292,2))))</f>
        <v>0</v>
      </c>
      <c r="Q293">
        <f>IF(BA292&lt;=0,0,IF(ROUND(BA292*(1+'Calc base'!O293),2)-MAX('Calc base'!J$12,ROUND('Calc base'!J$13*BA292,2))&lt;1,ROUND(BA292*(1+'Calc base'!O293),2),MAX('Calc base'!J$12,ROUND('Calc base'!J$13*BA292,2))))</f>
        <v>0</v>
      </c>
      <c r="R293">
        <f>IF(BB292&lt;=0,0,IF(ROUND(BB292*(1+'Calc base'!P293),2)-MAX('Calc base'!K$12,ROUND('Calc base'!K$13*BB292,2))&lt;1,ROUND(BB292*(1+'Calc base'!P293),2),MAX('Calc base'!K$12,ROUND('Calc base'!K$13*BB292,2))))</f>
        <v>0</v>
      </c>
      <c r="S293">
        <f>IF(BC292&lt;=0,0,IF(ROUND(BC292*(1+'Calc base'!Q293),2)-MAX('Calc base'!L$12,ROUND('Calc base'!L$13*BC292,2))&lt;1,ROUND(BC292*(1+'Calc base'!Q293),2),MAX('Calc base'!L$12,ROUND('Calc base'!L$13*BC292,2))))</f>
        <v>0</v>
      </c>
      <c r="T293">
        <f>IF(BD292&lt;=0,0,IF(ROUND(BD292*(1+'Calc base'!R293),2)-MAX('Calc base'!M$12,ROUND('Calc base'!M$13*BD292,2))&lt;1,ROUND(BD292*(1+'Calc base'!R293),2),MAX('Calc base'!M$12,ROUND('Calc base'!M$13*BD292,2))))</f>
        <v>0</v>
      </c>
      <c r="U293">
        <f>IF(BE292&lt;=0,0,IF(ROUND(BE292*(1+'Calc base'!S293),2)-MAX('Calc base'!N$12,ROUND('Calc base'!N$13*BE292,2))&lt;1,ROUND(BE292*(1+'Calc base'!S293),2),MAX('Calc base'!N$12,ROUND('Calc base'!N$13*BE292,2))))</f>
        <v>0</v>
      </c>
      <c r="V293">
        <f>MAX(0,ROUND(AT292*(1+'Calc base'!H293),2)-J293-'Calc base'!T293)</f>
        <v>0</v>
      </c>
      <c r="W293">
        <f>MAX(0,ROUND(AU292*(1+'Calc base'!I293),2)-K293-'Calc base'!U293)</f>
        <v>0</v>
      </c>
      <c r="X293">
        <f>MAX(0,ROUND(AV292*(1+'Calc base'!J293),2)-L293-'Calc base'!V293)</f>
        <v>0</v>
      </c>
      <c r="Y293">
        <f>MAX(0,ROUND(AW292*(1+'Calc base'!K293),2)-M293-'Calc base'!W293)</f>
        <v>0</v>
      </c>
      <c r="Z293">
        <f>MAX(0,ROUND(AX292*(1+'Calc base'!L293),2)-N293-'Calc base'!X293)</f>
        <v>0</v>
      </c>
      <c r="AA293">
        <f>MAX(0,ROUND(AY292*(1+'Calc base'!M293),2)-O293-'Calc base'!Y293)</f>
        <v>0</v>
      </c>
      <c r="AB293">
        <f>MAX(0,ROUND(AZ292*(1+'Calc base'!N293),2)-P293-'Calc base'!Z293)</f>
        <v>0</v>
      </c>
      <c r="AC293">
        <f>MAX(0,ROUND(BA292*(1+'Calc base'!O293),2)-Q293-'Calc base'!AA293)</f>
        <v>0</v>
      </c>
      <c r="AD293">
        <f>MAX(0,ROUND(BB292*(1+'Calc base'!P293),2)-R293-'Calc base'!AB293)</f>
        <v>0</v>
      </c>
      <c r="AE293">
        <f>MAX(0,ROUND(BC292*(1+'Calc base'!Q293),2)-S293-'Calc base'!AC293)</f>
        <v>0</v>
      </c>
      <c r="AF293">
        <f>MAX(0,ROUND(BD292*(1+'Calc base'!R293),2)-T293-'Calc base'!AD293)</f>
        <v>0</v>
      </c>
      <c r="AG293">
        <f>MAX(0,ROUND(BE292*(1+'Calc base'!S293),2)-U293-'Calc base'!AE293)</f>
        <v>0</v>
      </c>
      <c r="AH293">
        <f>IF('Calc base'!C$14=0,0,MIN(V293,MAX(0,$E293-SUMIFS($V293:$AG293,'Calc base'!$C$19:$N$19,"&lt;"&amp;'Calc base'!C$19,'Calc base'!$C$14:$N$14,1))))</f>
        <v>0</v>
      </c>
      <c r="AI293">
        <f>IF('Calc base'!D$14=0,0,MIN(W293,MAX(0,$E293-SUMIFS($V293:$AG293,'Calc base'!$C$19:$N$19,"&lt;"&amp;'Calc base'!D$19,'Calc base'!$C$14:$N$14,1))))</f>
        <v>0</v>
      </c>
      <c r="AJ293">
        <f>IF('Calc base'!E$14=0,0,MIN(X293,MAX(0,$E293-SUMIFS($V293:$AG293,'Calc base'!$C$19:$N$19,"&lt;"&amp;'Calc base'!E$19,'Calc base'!$C$14:$N$14,1))))</f>
        <v>0</v>
      </c>
      <c r="AK293">
        <f>IF('Calc base'!F$14=0,0,MIN(Y293,MAX(0,$E293-SUMIFS($V293:$AG293,'Calc base'!$C$19:$N$19,"&lt;"&amp;'Calc base'!F$19,'Calc base'!$C$14:$N$14,1))))</f>
        <v>0</v>
      </c>
      <c r="AL293">
        <f>IF('Calc base'!G$14=0,0,MIN(Z293,MAX(0,$E293-SUMIFS($V293:$AG293,'Calc base'!$C$19:$N$19,"&lt;"&amp;'Calc base'!G$19,'Calc base'!$C$14:$N$14,1))))</f>
        <v>0</v>
      </c>
      <c r="AM293">
        <f>IF('Calc base'!H$14=0,0,MIN(AA293,MAX(0,$E293-SUMIFS($V293:$AG293,'Calc base'!$C$19:$N$19,"&lt;"&amp;'Calc base'!H$19,'Calc base'!$C$14:$N$14,1))))</f>
        <v>0</v>
      </c>
      <c r="AN293">
        <f>IF('Calc base'!I$14=0,0,MIN(AB293,MAX(0,$E293-SUMIFS($V293:$AG293,'Calc base'!$C$19:$N$19,"&lt;"&amp;'Calc base'!I$19,'Calc base'!$C$14:$N$14,1))))</f>
        <v>0</v>
      </c>
      <c r="AO293">
        <f>IF('Calc base'!J$14=0,0,MIN(AC293,MAX(0,$E293-SUMIFS($V293:$AG293,'Calc base'!$C$19:$N$19,"&lt;"&amp;'Calc base'!J$19,'Calc base'!$C$14:$N$14,1))))</f>
        <v>0</v>
      </c>
      <c r="AP293">
        <f>IF('Calc base'!K$14=0,0,MIN(AD293,MAX(0,$E293-SUMIFS($V293:$AG293,'Calc base'!$C$19:$N$19,"&lt;"&amp;'Calc base'!K$19,'Calc base'!$C$14:$N$14,1))))</f>
        <v>0</v>
      </c>
      <c r="AQ293">
        <f>IF('Calc base'!L$14=0,0,MIN(AE293,MAX(0,$E293-SUMIFS($V293:$AG293,'Calc base'!$C$19:$N$19,"&lt;"&amp;'Calc base'!L$19,'Calc base'!$C$14:$N$14,1))))</f>
        <v>0</v>
      </c>
      <c r="AR293">
        <f>IF('Calc base'!M$14=0,0,MIN(AF293,MAX(0,$E293-SUMIFS($V293:$AG293,'Calc base'!$C$19:$N$19,"&lt;"&amp;'Calc base'!M$19,'Calc base'!$C$14:$N$14,1))))</f>
        <v>0</v>
      </c>
      <c r="AS293">
        <f>IF('Calc base'!N$14=0,0,MIN(AG293,MAX(0,$E293-SUMIFS($V293:$AG293,'Calc base'!$C$19:$N$19,"&lt;"&amp;'Calc base'!N$19,'Calc base'!$C$14:$N$14,1))))</f>
        <v>0</v>
      </c>
      <c r="AT293">
        <f>V293-AH293</f>
        <v>0</v>
      </c>
      <c r="AU293">
        <f>W293-AI293</f>
        <v>0</v>
      </c>
      <c r="AV293">
        <f>X293-AJ293</f>
        <v>0</v>
      </c>
      <c r="AW293">
        <f>Y293-AK293</f>
        <v>0</v>
      </c>
      <c r="AX293">
        <f>Z293-AL293</f>
        <v>0</v>
      </c>
      <c r="AY293">
        <f>AA293-AM293</f>
        <v>0</v>
      </c>
      <c r="AZ293">
        <f>AB293-AN293</f>
        <v>0</v>
      </c>
      <c r="BA293">
        <f>AC293-AO293</f>
        <v>0</v>
      </c>
      <c r="BB293">
        <f>AD293-AP293</f>
        <v>0</v>
      </c>
      <c r="BC293">
        <f>AE293-AQ293</f>
        <v>0</v>
      </c>
      <c r="BD293">
        <f>AF293-AR293</f>
        <v>0</v>
      </c>
      <c r="BE293">
        <f>AG293-AS293</f>
        <v>0</v>
      </c>
    </row>
    <row r="294">
      <c r="A294" t="n">
        <v>264</v>
      </c>
      <c r="B294">
        <f>SUMPRODUCT(ROUND($AT293:$BE293*(1+'Calc base'!$H294:$S294),2))</f>
        <v>0</v>
      </c>
      <c r="C294">
        <f>SUM(J294:U294)</f>
        <v>0</v>
      </c>
      <c r="D294">
        <f>SUM(V294:AG294)</f>
        <v>0</v>
      </c>
      <c r="E294">
        <f>MAX(0,IF(Impostazioni!$B$7="No",'Calc base'!$C294-$C$31,'Calc base'!$C294-C294)+'Calc base'!$G294+'Calc base'!$F294-(B294-C294-D294))</f>
        <v>900</v>
      </c>
      <c r="F294">
        <f>SUM(AH294:AS294)</f>
        <v>0</v>
      </c>
      <c r="G294">
        <f>SUM(AT294:BE294)</f>
        <v>0</v>
      </c>
      <c r="H294">
        <f>B294-G293</f>
        <v>0</v>
      </c>
      <c r="I294">
        <f>B294-G294</f>
        <v>0</v>
      </c>
      <c r="J294">
        <f>IF(AT293&lt;=0,0,IF(ROUND(AT293*(1+'Calc base'!H294),2)-MAX('Calc base'!C$12,ROUND('Calc base'!C$13*AT293,2))&lt;1,ROUND(AT293*(1+'Calc base'!H294),2),MAX('Calc base'!C$12,ROUND('Calc base'!C$13*AT293,2))))</f>
        <v>0</v>
      </c>
      <c r="K294">
        <f>IF(AU293&lt;=0,0,IF(ROUND(AU293*(1+'Calc base'!I294),2)-MAX('Calc base'!D$12,ROUND('Calc base'!D$13*AU293,2))&lt;1,ROUND(AU293*(1+'Calc base'!I294),2),MAX('Calc base'!D$12,ROUND('Calc base'!D$13*AU293,2))))</f>
        <v>0</v>
      </c>
      <c r="L294">
        <f>IF(AV293&lt;=0,0,IF(ROUND(AV293*(1+'Calc base'!J294),2)-MAX('Calc base'!E$12,ROUND('Calc base'!E$13*AV293,2))&lt;1,ROUND(AV293*(1+'Calc base'!J294),2),MAX('Calc base'!E$12,ROUND('Calc base'!E$13*AV293,2))))</f>
        <v>0</v>
      </c>
      <c r="M294">
        <f>IF(AW293&lt;=0,0,IF(ROUND(AW293*(1+'Calc base'!K294),2)-MAX('Calc base'!F$12,ROUND('Calc base'!F$13*AW293,2))&lt;1,ROUND(AW293*(1+'Calc base'!K294),2),MAX('Calc base'!F$12,ROUND('Calc base'!F$13*AW293,2))))</f>
        <v>0</v>
      </c>
      <c r="N294">
        <f>IF(AX293&lt;=0,0,IF(ROUND(AX293*(1+'Calc base'!L294),2)-MAX('Calc base'!G$12,ROUND('Calc base'!G$13*AX293,2))&lt;1,ROUND(AX293*(1+'Calc base'!L294),2),MAX('Calc base'!G$12,ROUND('Calc base'!G$13*AX293,2))))</f>
        <v>0</v>
      </c>
      <c r="O294">
        <f>IF(AY293&lt;=0,0,IF(ROUND(AY293*(1+'Calc base'!M294),2)-MAX('Calc base'!H$12,ROUND('Calc base'!H$13*AY293,2))&lt;1,ROUND(AY293*(1+'Calc base'!M294),2),MAX('Calc base'!H$12,ROUND('Calc base'!H$13*AY293,2))))</f>
        <v>0</v>
      </c>
      <c r="P294">
        <f>IF(AZ293&lt;=0,0,IF(ROUND(AZ293*(1+'Calc base'!N294),2)-MAX('Calc base'!I$12,ROUND('Calc base'!I$13*AZ293,2))&lt;1,ROUND(AZ293*(1+'Calc base'!N294),2),MAX('Calc base'!I$12,ROUND('Calc base'!I$13*AZ293,2))))</f>
        <v>0</v>
      </c>
      <c r="Q294">
        <f>IF(BA293&lt;=0,0,IF(ROUND(BA293*(1+'Calc base'!O294),2)-MAX('Calc base'!J$12,ROUND('Calc base'!J$13*BA293,2))&lt;1,ROUND(BA293*(1+'Calc base'!O294),2),MAX('Calc base'!J$12,ROUND('Calc base'!J$13*BA293,2))))</f>
        <v>0</v>
      </c>
      <c r="R294">
        <f>IF(BB293&lt;=0,0,IF(ROUND(BB293*(1+'Calc base'!P294),2)-MAX('Calc base'!K$12,ROUND('Calc base'!K$13*BB293,2))&lt;1,ROUND(BB293*(1+'Calc base'!P294),2),MAX('Calc base'!K$12,ROUND('Calc base'!K$13*BB293,2))))</f>
        <v>0</v>
      </c>
      <c r="S294">
        <f>IF(BC293&lt;=0,0,IF(ROUND(BC293*(1+'Calc base'!Q294),2)-MAX('Calc base'!L$12,ROUND('Calc base'!L$13*BC293,2))&lt;1,ROUND(BC293*(1+'Calc base'!Q294),2),MAX('Calc base'!L$12,ROUND('Calc base'!L$13*BC293,2))))</f>
        <v>0</v>
      </c>
      <c r="T294">
        <f>IF(BD293&lt;=0,0,IF(ROUND(BD293*(1+'Calc base'!R294),2)-MAX('Calc base'!M$12,ROUND('Calc base'!M$13*BD293,2))&lt;1,ROUND(BD293*(1+'Calc base'!R294),2),MAX('Calc base'!M$12,ROUND('Calc base'!M$13*BD293,2))))</f>
        <v>0</v>
      </c>
      <c r="U294">
        <f>IF(BE293&lt;=0,0,IF(ROUND(BE293*(1+'Calc base'!S294),2)-MAX('Calc base'!N$12,ROUND('Calc base'!N$13*BE293,2))&lt;1,ROUND(BE293*(1+'Calc base'!S294),2),MAX('Calc base'!N$12,ROUND('Calc base'!N$13*BE293,2))))</f>
        <v>0</v>
      </c>
      <c r="V294">
        <f>MAX(0,ROUND(AT293*(1+'Calc base'!H294),2)-J294-'Calc base'!T294)</f>
        <v>0</v>
      </c>
      <c r="W294">
        <f>MAX(0,ROUND(AU293*(1+'Calc base'!I294),2)-K294-'Calc base'!U294)</f>
        <v>0</v>
      </c>
      <c r="X294">
        <f>MAX(0,ROUND(AV293*(1+'Calc base'!J294),2)-L294-'Calc base'!V294)</f>
        <v>0</v>
      </c>
      <c r="Y294">
        <f>MAX(0,ROUND(AW293*(1+'Calc base'!K294),2)-M294-'Calc base'!W294)</f>
        <v>0</v>
      </c>
      <c r="Z294">
        <f>MAX(0,ROUND(AX293*(1+'Calc base'!L294),2)-N294-'Calc base'!X294)</f>
        <v>0</v>
      </c>
      <c r="AA294">
        <f>MAX(0,ROUND(AY293*(1+'Calc base'!M294),2)-O294-'Calc base'!Y294)</f>
        <v>0</v>
      </c>
      <c r="AB294">
        <f>MAX(0,ROUND(AZ293*(1+'Calc base'!N294),2)-P294-'Calc base'!Z294)</f>
        <v>0</v>
      </c>
      <c r="AC294">
        <f>MAX(0,ROUND(BA293*(1+'Calc base'!O294),2)-Q294-'Calc base'!AA294)</f>
        <v>0</v>
      </c>
      <c r="AD294">
        <f>MAX(0,ROUND(BB293*(1+'Calc base'!P294),2)-R294-'Calc base'!AB294)</f>
        <v>0</v>
      </c>
      <c r="AE294">
        <f>MAX(0,ROUND(BC293*(1+'Calc base'!Q294),2)-S294-'Calc base'!AC294)</f>
        <v>0</v>
      </c>
      <c r="AF294">
        <f>MAX(0,ROUND(BD293*(1+'Calc base'!R294),2)-T294-'Calc base'!AD294)</f>
        <v>0</v>
      </c>
      <c r="AG294">
        <f>MAX(0,ROUND(BE293*(1+'Calc base'!S294),2)-U294-'Calc base'!AE294)</f>
        <v>0</v>
      </c>
      <c r="AH294">
        <f>IF('Calc base'!C$14=0,0,MIN(V294,MAX(0,$E294-SUMIFS($V294:$AG294,'Calc base'!$C$19:$N$19,"&lt;"&amp;'Calc base'!C$19,'Calc base'!$C$14:$N$14,1))))</f>
        <v>0</v>
      </c>
      <c r="AI294">
        <f>IF('Calc base'!D$14=0,0,MIN(W294,MAX(0,$E294-SUMIFS($V294:$AG294,'Calc base'!$C$19:$N$19,"&lt;"&amp;'Calc base'!D$19,'Calc base'!$C$14:$N$14,1))))</f>
        <v>0</v>
      </c>
      <c r="AJ294">
        <f>IF('Calc base'!E$14=0,0,MIN(X294,MAX(0,$E294-SUMIFS($V294:$AG294,'Calc base'!$C$19:$N$19,"&lt;"&amp;'Calc base'!E$19,'Calc base'!$C$14:$N$14,1))))</f>
        <v>0</v>
      </c>
      <c r="AK294">
        <f>IF('Calc base'!F$14=0,0,MIN(Y294,MAX(0,$E294-SUMIFS($V294:$AG294,'Calc base'!$C$19:$N$19,"&lt;"&amp;'Calc base'!F$19,'Calc base'!$C$14:$N$14,1))))</f>
        <v>0</v>
      </c>
      <c r="AL294">
        <f>IF('Calc base'!G$14=0,0,MIN(Z294,MAX(0,$E294-SUMIFS($V294:$AG294,'Calc base'!$C$19:$N$19,"&lt;"&amp;'Calc base'!G$19,'Calc base'!$C$14:$N$14,1))))</f>
        <v>0</v>
      </c>
      <c r="AM294">
        <f>IF('Calc base'!H$14=0,0,MIN(AA294,MAX(0,$E294-SUMIFS($V294:$AG294,'Calc base'!$C$19:$N$19,"&lt;"&amp;'Calc base'!H$19,'Calc base'!$C$14:$N$14,1))))</f>
        <v>0</v>
      </c>
      <c r="AN294">
        <f>IF('Calc base'!I$14=0,0,MIN(AB294,MAX(0,$E294-SUMIFS($V294:$AG294,'Calc base'!$C$19:$N$19,"&lt;"&amp;'Calc base'!I$19,'Calc base'!$C$14:$N$14,1))))</f>
        <v>0</v>
      </c>
      <c r="AO294">
        <f>IF('Calc base'!J$14=0,0,MIN(AC294,MAX(0,$E294-SUMIFS($V294:$AG294,'Calc base'!$C$19:$N$19,"&lt;"&amp;'Calc base'!J$19,'Calc base'!$C$14:$N$14,1))))</f>
        <v>0</v>
      </c>
      <c r="AP294">
        <f>IF('Calc base'!K$14=0,0,MIN(AD294,MAX(0,$E294-SUMIFS($V294:$AG294,'Calc base'!$C$19:$N$19,"&lt;"&amp;'Calc base'!K$19,'Calc base'!$C$14:$N$14,1))))</f>
        <v>0</v>
      </c>
      <c r="AQ294">
        <f>IF('Calc base'!L$14=0,0,MIN(AE294,MAX(0,$E294-SUMIFS($V294:$AG294,'Calc base'!$C$19:$N$19,"&lt;"&amp;'Calc base'!L$19,'Calc base'!$C$14:$N$14,1))))</f>
        <v>0</v>
      </c>
      <c r="AR294">
        <f>IF('Calc base'!M$14=0,0,MIN(AF294,MAX(0,$E294-SUMIFS($V294:$AG294,'Calc base'!$C$19:$N$19,"&lt;"&amp;'Calc base'!M$19,'Calc base'!$C$14:$N$14,1))))</f>
        <v>0</v>
      </c>
      <c r="AS294">
        <f>IF('Calc base'!N$14=0,0,MIN(AG294,MAX(0,$E294-SUMIFS($V294:$AG294,'Calc base'!$C$19:$N$19,"&lt;"&amp;'Calc base'!N$19,'Calc base'!$C$14:$N$14,1))))</f>
        <v>0</v>
      </c>
      <c r="AT294">
        <f>V294-AH294</f>
        <v>0</v>
      </c>
      <c r="AU294">
        <f>W294-AI294</f>
        <v>0</v>
      </c>
      <c r="AV294">
        <f>X294-AJ294</f>
        <v>0</v>
      </c>
      <c r="AW294">
        <f>Y294-AK294</f>
        <v>0</v>
      </c>
      <c r="AX294">
        <f>Z294-AL294</f>
        <v>0</v>
      </c>
      <c r="AY294">
        <f>AA294-AM294</f>
        <v>0</v>
      </c>
      <c r="AZ294">
        <f>AB294-AN294</f>
        <v>0</v>
      </c>
      <c r="BA294">
        <f>AC294-AO294</f>
        <v>0</v>
      </c>
      <c r="BB294">
        <f>AD294-AP294</f>
        <v>0</v>
      </c>
      <c r="BC294">
        <f>AE294-AQ294</f>
        <v>0</v>
      </c>
      <c r="BD294">
        <f>AF294-AR294</f>
        <v>0</v>
      </c>
      <c r="BE294">
        <f>AG294-AS294</f>
        <v>0</v>
      </c>
    </row>
    <row r="295">
      <c r="A295" t="n">
        <v>265</v>
      </c>
      <c r="B295">
        <f>SUMPRODUCT(ROUND($AT294:$BE294*(1+'Calc base'!$H295:$S295),2))</f>
        <v>0</v>
      </c>
      <c r="C295">
        <f>SUM(J295:U295)</f>
        <v>0</v>
      </c>
      <c r="D295">
        <f>SUM(V295:AG295)</f>
        <v>0</v>
      </c>
      <c r="E295">
        <f>MAX(0,IF(Impostazioni!$B$7="No",'Calc base'!$C295-$C$31,'Calc base'!$C295-C295)+'Calc base'!$G295+'Calc base'!$F295-(B295-C295-D295))</f>
        <v>900</v>
      </c>
      <c r="F295">
        <f>SUM(AH295:AS295)</f>
        <v>0</v>
      </c>
      <c r="G295">
        <f>SUM(AT295:BE295)</f>
        <v>0</v>
      </c>
      <c r="H295">
        <f>B295-G294</f>
        <v>0</v>
      </c>
      <c r="I295">
        <f>B295-G295</f>
        <v>0</v>
      </c>
      <c r="J295">
        <f>IF(AT294&lt;=0,0,IF(ROUND(AT294*(1+'Calc base'!H295),2)-MAX('Calc base'!C$12,ROUND('Calc base'!C$13*AT294,2))&lt;1,ROUND(AT294*(1+'Calc base'!H295),2),MAX('Calc base'!C$12,ROUND('Calc base'!C$13*AT294,2))))</f>
        <v>0</v>
      </c>
      <c r="K295">
        <f>IF(AU294&lt;=0,0,IF(ROUND(AU294*(1+'Calc base'!I295),2)-MAX('Calc base'!D$12,ROUND('Calc base'!D$13*AU294,2))&lt;1,ROUND(AU294*(1+'Calc base'!I295),2),MAX('Calc base'!D$12,ROUND('Calc base'!D$13*AU294,2))))</f>
        <v>0</v>
      </c>
      <c r="L295">
        <f>IF(AV294&lt;=0,0,IF(ROUND(AV294*(1+'Calc base'!J295),2)-MAX('Calc base'!E$12,ROUND('Calc base'!E$13*AV294,2))&lt;1,ROUND(AV294*(1+'Calc base'!J295),2),MAX('Calc base'!E$12,ROUND('Calc base'!E$13*AV294,2))))</f>
        <v>0</v>
      </c>
      <c r="M295">
        <f>IF(AW294&lt;=0,0,IF(ROUND(AW294*(1+'Calc base'!K295),2)-MAX('Calc base'!F$12,ROUND('Calc base'!F$13*AW294,2))&lt;1,ROUND(AW294*(1+'Calc base'!K295),2),MAX('Calc base'!F$12,ROUND('Calc base'!F$13*AW294,2))))</f>
        <v>0</v>
      </c>
      <c r="N295">
        <f>IF(AX294&lt;=0,0,IF(ROUND(AX294*(1+'Calc base'!L295),2)-MAX('Calc base'!G$12,ROUND('Calc base'!G$13*AX294,2))&lt;1,ROUND(AX294*(1+'Calc base'!L295),2),MAX('Calc base'!G$12,ROUND('Calc base'!G$13*AX294,2))))</f>
        <v>0</v>
      </c>
      <c r="O295">
        <f>IF(AY294&lt;=0,0,IF(ROUND(AY294*(1+'Calc base'!M295),2)-MAX('Calc base'!H$12,ROUND('Calc base'!H$13*AY294,2))&lt;1,ROUND(AY294*(1+'Calc base'!M295),2),MAX('Calc base'!H$12,ROUND('Calc base'!H$13*AY294,2))))</f>
        <v>0</v>
      </c>
      <c r="P295">
        <f>IF(AZ294&lt;=0,0,IF(ROUND(AZ294*(1+'Calc base'!N295),2)-MAX('Calc base'!I$12,ROUND('Calc base'!I$13*AZ294,2))&lt;1,ROUND(AZ294*(1+'Calc base'!N295),2),MAX('Calc base'!I$12,ROUND('Calc base'!I$13*AZ294,2))))</f>
        <v>0</v>
      </c>
      <c r="Q295">
        <f>IF(BA294&lt;=0,0,IF(ROUND(BA294*(1+'Calc base'!O295),2)-MAX('Calc base'!J$12,ROUND('Calc base'!J$13*BA294,2))&lt;1,ROUND(BA294*(1+'Calc base'!O295),2),MAX('Calc base'!J$12,ROUND('Calc base'!J$13*BA294,2))))</f>
        <v>0</v>
      </c>
      <c r="R295">
        <f>IF(BB294&lt;=0,0,IF(ROUND(BB294*(1+'Calc base'!P295),2)-MAX('Calc base'!K$12,ROUND('Calc base'!K$13*BB294,2))&lt;1,ROUND(BB294*(1+'Calc base'!P295),2),MAX('Calc base'!K$12,ROUND('Calc base'!K$13*BB294,2))))</f>
        <v>0</v>
      </c>
      <c r="S295">
        <f>IF(BC294&lt;=0,0,IF(ROUND(BC294*(1+'Calc base'!Q295),2)-MAX('Calc base'!L$12,ROUND('Calc base'!L$13*BC294,2))&lt;1,ROUND(BC294*(1+'Calc base'!Q295),2),MAX('Calc base'!L$12,ROUND('Calc base'!L$13*BC294,2))))</f>
        <v>0</v>
      </c>
      <c r="T295">
        <f>IF(BD294&lt;=0,0,IF(ROUND(BD294*(1+'Calc base'!R295),2)-MAX('Calc base'!M$12,ROUND('Calc base'!M$13*BD294,2))&lt;1,ROUND(BD294*(1+'Calc base'!R295),2),MAX('Calc base'!M$12,ROUND('Calc base'!M$13*BD294,2))))</f>
        <v>0</v>
      </c>
      <c r="U295">
        <f>IF(BE294&lt;=0,0,IF(ROUND(BE294*(1+'Calc base'!S295),2)-MAX('Calc base'!N$12,ROUND('Calc base'!N$13*BE294,2))&lt;1,ROUND(BE294*(1+'Calc base'!S295),2),MAX('Calc base'!N$12,ROUND('Calc base'!N$13*BE294,2))))</f>
        <v>0</v>
      </c>
      <c r="V295">
        <f>MAX(0,ROUND(AT294*(1+'Calc base'!H295),2)-J295-'Calc base'!T295)</f>
        <v>0</v>
      </c>
      <c r="W295">
        <f>MAX(0,ROUND(AU294*(1+'Calc base'!I295),2)-K295-'Calc base'!U295)</f>
        <v>0</v>
      </c>
      <c r="X295">
        <f>MAX(0,ROUND(AV294*(1+'Calc base'!J295),2)-L295-'Calc base'!V295)</f>
        <v>0</v>
      </c>
      <c r="Y295">
        <f>MAX(0,ROUND(AW294*(1+'Calc base'!K295),2)-M295-'Calc base'!W295)</f>
        <v>0</v>
      </c>
      <c r="Z295">
        <f>MAX(0,ROUND(AX294*(1+'Calc base'!L295),2)-N295-'Calc base'!X295)</f>
        <v>0</v>
      </c>
      <c r="AA295">
        <f>MAX(0,ROUND(AY294*(1+'Calc base'!M295),2)-O295-'Calc base'!Y295)</f>
        <v>0</v>
      </c>
      <c r="AB295">
        <f>MAX(0,ROUND(AZ294*(1+'Calc base'!N295),2)-P295-'Calc base'!Z295)</f>
        <v>0</v>
      </c>
      <c r="AC295">
        <f>MAX(0,ROUND(BA294*(1+'Calc base'!O295),2)-Q295-'Calc base'!AA295)</f>
        <v>0</v>
      </c>
      <c r="AD295">
        <f>MAX(0,ROUND(BB294*(1+'Calc base'!P295),2)-R295-'Calc base'!AB295)</f>
        <v>0</v>
      </c>
      <c r="AE295">
        <f>MAX(0,ROUND(BC294*(1+'Calc base'!Q295),2)-S295-'Calc base'!AC295)</f>
        <v>0</v>
      </c>
      <c r="AF295">
        <f>MAX(0,ROUND(BD294*(1+'Calc base'!R295),2)-T295-'Calc base'!AD295)</f>
        <v>0</v>
      </c>
      <c r="AG295">
        <f>MAX(0,ROUND(BE294*(1+'Calc base'!S295),2)-U295-'Calc base'!AE295)</f>
        <v>0</v>
      </c>
      <c r="AH295">
        <f>IF('Calc base'!C$14=0,0,MIN(V295,MAX(0,$E295-SUMIFS($V295:$AG295,'Calc base'!$C$19:$N$19,"&lt;"&amp;'Calc base'!C$19,'Calc base'!$C$14:$N$14,1))))</f>
        <v>0</v>
      </c>
      <c r="AI295">
        <f>IF('Calc base'!D$14=0,0,MIN(W295,MAX(0,$E295-SUMIFS($V295:$AG295,'Calc base'!$C$19:$N$19,"&lt;"&amp;'Calc base'!D$19,'Calc base'!$C$14:$N$14,1))))</f>
        <v>0</v>
      </c>
      <c r="AJ295">
        <f>IF('Calc base'!E$14=0,0,MIN(X295,MAX(0,$E295-SUMIFS($V295:$AG295,'Calc base'!$C$19:$N$19,"&lt;"&amp;'Calc base'!E$19,'Calc base'!$C$14:$N$14,1))))</f>
        <v>0</v>
      </c>
      <c r="AK295">
        <f>IF('Calc base'!F$14=0,0,MIN(Y295,MAX(0,$E295-SUMIFS($V295:$AG295,'Calc base'!$C$19:$N$19,"&lt;"&amp;'Calc base'!F$19,'Calc base'!$C$14:$N$14,1))))</f>
        <v>0</v>
      </c>
      <c r="AL295">
        <f>IF('Calc base'!G$14=0,0,MIN(Z295,MAX(0,$E295-SUMIFS($V295:$AG295,'Calc base'!$C$19:$N$19,"&lt;"&amp;'Calc base'!G$19,'Calc base'!$C$14:$N$14,1))))</f>
        <v>0</v>
      </c>
      <c r="AM295">
        <f>IF('Calc base'!H$14=0,0,MIN(AA295,MAX(0,$E295-SUMIFS($V295:$AG295,'Calc base'!$C$19:$N$19,"&lt;"&amp;'Calc base'!H$19,'Calc base'!$C$14:$N$14,1))))</f>
        <v>0</v>
      </c>
      <c r="AN295">
        <f>IF('Calc base'!I$14=0,0,MIN(AB295,MAX(0,$E295-SUMIFS($V295:$AG295,'Calc base'!$C$19:$N$19,"&lt;"&amp;'Calc base'!I$19,'Calc base'!$C$14:$N$14,1))))</f>
        <v>0</v>
      </c>
      <c r="AO295">
        <f>IF('Calc base'!J$14=0,0,MIN(AC295,MAX(0,$E295-SUMIFS($V295:$AG295,'Calc base'!$C$19:$N$19,"&lt;"&amp;'Calc base'!J$19,'Calc base'!$C$14:$N$14,1))))</f>
        <v>0</v>
      </c>
      <c r="AP295">
        <f>IF('Calc base'!K$14=0,0,MIN(AD295,MAX(0,$E295-SUMIFS($V295:$AG295,'Calc base'!$C$19:$N$19,"&lt;"&amp;'Calc base'!K$19,'Calc base'!$C$14:$N$14,1))))</f>
        <v>0</v>
      </c>
      <c r="AQ295">
        <f>IF('Calc base'!L$14=0,0,MIN(AE295,MAX(0,$E295-SUMIFS($V295:$AG295,'Calc base'!$C$19:$N$19,"&lt;"&amp;'Calc base'!L$19,'Calc base'!$C$14:$N$14,1))))</f>
        <v>0</v>
      </c>
      <c r="AR295">
        <f>IF('Calc base'!M$14=0,0,MIN(AF295,MAX(0,$E295-SUMIFS($V295:$AG295,'Calc base'!$C$19:$N$19,"&lt;"&amp;'Calc base'!M$19,'Calc base'!$C$14:$N$14,1))))</f>
        <v>0</v>
      </c>
      <c r="AS295">
        <f>IF('Calc base'!N$14=0,0,MIN(AG295,MAX(0,$E295-SUMIFS($V295:$AG295,'Calc base'!$C$19:$N$19,"&lt;"&amp;'Calc base'!N$19,'Calc base'!$C$14:$N$14,1))))</f>
        <v>0</v>
      </c>
      <c r="AT295">
        <f>V295-AH295</f>
        <v>0</v>
      </c>
      <c r="AU295">
        <f>W295-AI295</f>
        <v>0</v>
      </c>
      <c r="AV295">
        <f>X295-AJ295</f>
        <v>0</v>
      </c>
      <c r="AW295">
        <f>Y295-AK295</f>
        <v>0</v>
      </c>
      <c r="AX295">
        <f>Z295-AL295</f>
        <v>0</v>
      </c>
      <c r="AY295">
        <f>AA295-AM295</f>
        <v>0</v>
      </c>
      <c r="AZ295">
        <f>AB295-AN295</f>
        <v>0</v>
      </c>
      <c r="BA295">
        <f>AC295-AO295</f>
        <v>0</v>
      </c>
      <c r="BB295">
        <f>AD295-AP295</f>
        <v>0</v>
      </c>
      <c r="BC295">
        <f>AE295-AQ295</f>
        <v>0</v>
      </c>
      <c r="BD295">
        <f>AF295-AR295</f>
        <v>0</v>
      </c>
      <c r="BE295">
        <f>AG295-AS295</f>
        <v>0</v>
      </c>
    </row>
    <row r="296">
      <c r="A296" t="n">
        <v>266</v>
      </c>
      <c r="B296">
        <f>SUMPRODUCT(ROUND($AT295:$BE295*(1+'Calc base'!$H296:$S296),2))</f>
        <v>0</v>
      </c>
      <c r="C296">
        <f>SUM(J296:U296)</f>
        <v>0</v>
      </c>
      <c r="D296">
        <f>SUM(V296:AG296)</f>
        <v>0</v>
      </c>
      <c r="E296">
        <f>MAX(0,IF(Impostazioni!$B$7="No",'Calc base'!$C296-$C$31,'Calc base'!$C296-C296)+'Calc base'!$G296+'Calc base'!$F296-(B296-C296-D296))</f>
        <v>900</v>
      </c>
      <c r="F296">
        <f>SUM(AH296:AS296)</f>
        <v>0</v>
      </c>
      <c r="G296">
        <f>SUM(AT296:BE296)</f>
        <v>0</v>
      </c>
      <c r="H296">
        <f>B296-G295</f>
        <v>0</v>
      </c>
      <c r="I296">
        <f>B296-G296</f>
        <v>0</v>
      </c>
      <c r="J296">
        <f>IF(AT295&lt;=0,0,IF(ROUND(AT295*(1+'Calc base'!H296),2)-MAX('Calc base'!C$12,ROUND('Calc base'!C$13*AT295,2))&lt;1,ROUND(AT295*(1+'Calc base'!H296),2),MAX('Calc base'!C$12,ROUND('Calc base'!C$13*AT295,2))))</f>
        <v>0</v>
      </c>
      <c r="K296">
        <f>IF(AU295&lt;=0,0,IF(ROUND(AU295*(1+'Calc base'!I296),2)-MAX('Calc base'!D$12,ROUND('Calc base'!D$13*AU295,2))&lt;1,ROUND(AU295*(1+'Calc base'!I296),2),MAX('Calc base'!D$12,ROUND('Calc base'!D$13*AU295,2))))</f>
        <v>0</v>
      </c>
      <c r="L296">
        <f>IF(AV295&lt;=0,0,IF(ROUND(AV295*(1+'Calc base'!J296),2)-MAX('Calc base'!E$12,ROUND('Calc base'!E$13*AV295,2))&lt;1,ROUND(AV295*(1+'Calc base'!J296),2),MAX('Calc base'!E$12,ROUND('Calc base'!E$13*AV295,2))))</f>
        <v>0</v>
      </c>
      <c r="M296">
        <f>IF(AW295&lt;=0,0,IF(ROUND(AW295*(1+'Calc base'!K296),2)-MAX('Calc base'!F$12,ROUND('Calc base'!F$13*AW295,2))&lt;1,ROUND(AW295*(1+'Calc base'!K296),2),MAX('Calc base'!F$12,ROUND('Calc base'!F$13*AW295,2))))</f>
        <v>0</v>
      </c>
      <c r="N296">
        <f>IF(AX295&lt;=0,0,IF(ROUND(AX295*(1+'Calc base'!L296),2)-MAX('Calc base'!G$12,ROUND('Calc base'!G$13*AX295,2))&lt;1,ROUND(AX295*(1+'Calc base'!L296),2),MAX('Calc base'!G$12,ROUND('Calc base'!G$13*AX295,2))))</f>
        <v>0</v>
      </c>
      <c r="O296">
        <f>IF(AY295&lt;=0,0,IF(ROUND(AY295*(1+'Calc base'!M296),2)-MAX('Calc base'!H$12,ROUND('Calc base'!H$13*AY295,2))&lt;1,ROUND(AY295*(1+'Calc base'!M296),2),MAX('Calc base'!H$12,ROUND('Calc base'!H$13*AY295,2))))</f>
        <v>0</v>
      </c>
      <c r="P296">
        <f>IF(AZ295&lt;=0,0,IF(ROUND(AZ295*(1+'Calc base'!N296),2)-MAX('Calc base'!I$12,ROUND('Calc base'!I$13*AZ295,2))&lt;1,ROUND(AZ295*(1+'Calc base'!N296),2),MAX('Calc base'!I$12,ROUND('Calc base'!I$13*AZ295,2))))</f>
        <v>0</v>
      </c>
      <c r="Q296">
        <f>IF(BA295&lt;=0,0,IF(ROUND(BA295*(1+'Calc base'!O296),2)-MAX('Calc base'!J$12,ROUND('Calc base'!J$13*BA295,2))&lt;1,ROUND(BA295*(1+'Calc base'!O296),2),MAX('Calc base'!J$12,ROUND('Calc base'!J$13*BA295,2))))</f>
        <v>0</v>
      </c>
      <c r="R296">
        <f>IF(BB295&lt;=0,0,IF(ROUND(BB295*(1+'Calc base'!P296),2)-MAX('Calc base'!K$12,ROUND('Calc base'!K$13*BB295,2))&lt;1,ROUND(BB295*(1+'Calc base'!P296),2),MAX('Calc base'!K$12,ROUND('Calc base'!K$13*BB295,2))))</f>
        <v>0</v>
      </c>
      <c r="S296">
        <f>IF(BC295&lt;=0,0,IF(ROUND(BC295*(1+'Calc base'!Q296),2)-MAX('Calc base'!L$12,ROUND('Calc base'!L$13*BC295,2))&lt;1,ROUND(BC295*(1+'Calc base'!Q296),2),MAX('Calc base'!L$12,ROUND('Calc base'!L$13*BC295,2))))</f>
        <v>0</v>
      </c>
      <c r="T296">
        <f>IF(BD295&lt;=0,0,IF(ROUND(BD295*(1+'Calc base'!R296),2)-MAX('Calc base'!M$12,ROUND('Calc base'!M$13*BD295,2))&lt;1,ROUND(BD295*(1+'Calc base'!R296),2),MAX('Calc base'!M$12,ROUND('Calc base'!M$13*BD295,2))))</f>
        <v>0</v>
      </c>
      <c r="U296">
        <f>IF(BE295&lt;=0,0,IF(ROUND(BE295*(1+'Calc base'!S296),2)-MAX('Calc base'!N$12,ROUND('Calc base'!N$13*BE295,2))&lt;1,ROUND(BE295*(1+'Calc base'!S296),2),MAX('Calc base'!N$12,ROUND('Calc base'!N$13*BE295,2))))</f>
        <v>0</v>
      </c>
      <c r="V296">
        <f>MAX(0,ROUND(AT295*(1+'Calc base'!H296),2)-J296-'Calc base'!T296)</f>
        <v>0</v>
      </c>
      <c r="W296">
        <f>MAX(0,ROUND(AU295*(1+'Calc base'!I296),2)-K296-'Calc base'!U296)</f>
        <v>0</v>
      </c>
      <c r="X296">
        <f>MAX(0,ROUND(AV295*(1+'Calc base'!J296),2)-L296-'Calc base'!V296)</f>
        <v>0</v>
      </c>
      <c r="Y296">
        <f>MAX(0,ROUND(AW295*(1+'Calc base'!K296),2)-M296-'Calc base'!W296)</f>
        <v>0</v>
      </c>
      <c r="Z296">
        <f>MAX(0,ROUND(AX295*(1+'Calc base'!L296),2)-N296-'Calc base'!X296)</f>
        <v>0</v>
      </c>
      <c r="AA296">
        <f>MAX(0,ROUND(AY295*(1+'Calc base'!M296),2)-O296-'Calc base'!Y296)</f>
        <v>0</v>
      </c>
      <c r="AB296">
        <f>MAX(0,ROUND(AZ295*(1+'Calc base'!N296),2)-P296-'Calc base'!Z296)</f>
        <v>0</v>
      </c>
      <c r="AC296">
        <f>MAX(0,ROUND(BA295*(1+'Calc base'!O296),2)-Q296-'Calc base'!AA296)</f>
        <v>0</v>
      </c>
      <c r="AD296">
        <f>MAX(0,ROUND(BB295*(1+'Calc base'!P296),2)-R296-'Calc base'!AB296)</f>
        <v>0</v>
      </c>
      <c r="AE296">
        <f>MAX(0,ROUND(BC295*(1+'Calc base'!Q296),2)-S296-'Calc base'!AC296)</f>
        <v>0</v>
      </c>
      <c r="AF296">
        <f>MAX(0,ROUND(BD295*(1+'Calc base'!R296),2)-T296-'Calc base'!AD296)</f>
        <v>0</v>
      </c>
      <c r="AG296">
        <f>MAX(0,ROUND(BE295*(1+'Calc base'!S296),2)-U296-'Calc base'!AE296)</f>
        <v>0</v>
      </c>
      <c r="AH296">
        <f>IF('Calc base'!C$14=0,0,MIN(V296,MAX(0,$E296-SUMIFS($V296:$AG296,'Calc base'!$C$19:$N$19,"&lt;"&amp;'Calc base'!C$19,'Calc base'!$C$14:$N$14,1))))</f>
        <v>0</v>
      </c>
      <c r="AI296">
        <f>IF('Calc base'!D$14=0,0,MIN(W296,MAX(0,$E296-SUMIFS($V296:$AG296,'Calc base'!$C$19:$N$19,"&lt;"&amp;'Calc base'!D$19,'Calc base'!$C$14:$N$14,1))))</f>
        <v>0</v>
      </c>
      <c r="AJ296">
        <f>IF('Calc base'!E$14=0,0,MIN(X296,MAX(0,$E296-SUMIFS($V296:$AG296,'Calc base'!$C$19:$N$19,"&lt;"&amp;'Calc base'!E$19,'Calc base'!$C$14:$N$14,1))))</f>
        <v>0</v>
      </c>
      <c r="AK296">
        <f>IF('Calc base'!F$14=0,0,MIN(Y296,MAX(0,$E296-SUMIFS($V296:$AG296,'Calc base'!$C$19:$N$19,"&lt;"&amp;'Calc base'!F$19,'Calc base'!$C$14:$N$14,1))))</f>
        <v>0</v>
      </c>
      <c r="AL296">
        <f>IF('Calc base'!G$14=0,0,MIN(Z296,MAX(0,$E296-SUMIFS($V296:$AG296,'Calc base'!$C$19:$N$19,"&lt;"&amp;'Calc base'!G$19,'Calc base'!$C$14:$N$14,1))))</f>
        <v>0</v>
      </c>
      <c r="AM296">
        <f>IF('Calc base'!H$14=0,0,MIN(AA296,MAX(0,$E296-SUMIFS($V296:$AG296,'Calc base'!$C$19:$N$19,"&lt;"&amp;'Calc base'!H$19,'Calc base'!$C$14:$N$14,1))))</f>
        <v>0</v>
      </c>
      <c r="AN296">
        <f>IF('Calc base'!I$14=0,0,MIN(AB296,MAX(0,$E296-SUMIFS($V296:$AG296,'Calc base'!$C$19:$N$19,"&lt;"&amp;'Calc base'!I$19,'Calc base'!$C$14:$N$14,1))))</f>
        <v>0</v>
      </c>
      <c r="AO296">
        <f>IF('Calc base'!J$14=0,0,MIN(AC296,MAX(0,$E296-SUMIFS($V296:$AG296,'Calc base'!$C$19:$N$19,"&lt;"&amp;'Calc base'!J$19,'Calc base'!$C$14:$N$14,1))))</f>
        <v>0</v>
      </c>
      <c r="AP296">
        <f>IF('Calc base'!K$14=0,0,MIN(AD296,MAX(0,$E296-SUMIFS($V296:$AG296,'Calc base'!$C$19:$N$19,"&lt;"&amp;'Calc base'!K$19,'Calc base'!$C$14:$N$14,1))))</f>
        <v>0</v>
      </c>
      <c r="AQ296">
        <f>IF('Calc base'!L$14=0,0,MIN(AE296,MAX(0,$E296-SUMIFS($V296:$AG296,'Calc base'!$C$19:$N$19,"&lt;"&amp;'Calc base'!L$19,'Calc base'!$C$14:$N$14,1))))</f>
        <v>0</v>
      </c>
      <c r="AR296">
        <f>IF('Calc base'!M$14=0,0,MIN(AF296,MAX(0,$E296-SUMIFS($V296:$AG296,'Calc base'!$C$19:$N$19,"&lt;"&amp;'Calc base'!M$19,'Calc base'!$C$14:$N$14,1))))</f>
        <v>0</v>
      </c>
      <c r="AS296">
        <f>IF('Calc base'!N$14=0,0,MIN(AG296,MAX(0,$E296-SUMIFS($V296:$AG296,'Calc base'!$C$19:$N$19,"&lt;"&amp;'Calc base'!N$19,'Calc base'!$C$14:$N$14,1))))</f>
        <v>0</v>
      </c>
      <c r="AT296">
        <f>V296-AH296</f>
        <v>0</v>
      </c>
      <c r="AU296">
        <f>W296-AI296</f>
        <v>0</v>
      </c>
      <c r="AV296">
        <f>X296-AJ296</f>
        <v>0</v>
      </c>
      <c r="AW296">
        <f>Y296-AK296</f>
        <v>0</v>
      </c>
      <c r="AX296">
        <f>Z296-AL296</f>
        <v>0</v>
      </c>
      <c r="AY296">
        <f>AA296-AM296</f>
        <v>0</v>
      </c>
      <c r="AZ296">
        <f>AB296-AN296</f>
        <v>0</v>
      </c>
      <c r="BA296">
        <f>AC296-AO296</f>
        <v>0</v>
      </c>
      <c r="BB296">
        <f>AD296-AP296</f>
        <v>0</v>
      </c>
      <c r="BC296">
        <f>AE296-AQ296</f>
        <v>0</v>
      </c>
      <c r="BD296">
        <f>AF296-AR296</f>
        <v>0</v>
      </c>
      <c r="BE296">
        <f>AG296-AS296</f>
        <v>0</v>
      </c>
    </row>
    <row r="297">
      <c r="A297" t="n">
        <v>267</v>
      </c>
      <c r="B297">
        <f>SUMPRODUCT(ROUND($AT296:$BE296*(1+'Calc base'!$H297:$S297),2))</f>
        <v>0</v>
      </c>
      <c r="C297">
        <f>SUM(J297:U297)</f>
        <v>0</v>
      </c>
      <c r="D297">
        <f>SUM(V297:AG297)</f>
        <v>0</v>
      </c>
      <c r="E297">
        <f>MAX(0,IF(Impostazioni!$B$7="No",'Calc base'!$C297-$C$31,'Calc base'!$C297-C297)+'Calc base'!$G297+'Calc base'!$F297-(B297-C297-D297))</f>
        <v>900</v>
      </c>
      <c r="F297">
        <f>SUM(AH297:AS297)</f>
        <v>0</v>
      </c>
      <c r="G297">
        <f>SUM(AT297:BE297)</f>
        <v>0</v>
      </c>
      <c r="H297">
        <f>B297-G296</f>
        <v>0</v>
      </c>
      <c r="I297">
        <f>B297-G297</f>
        <v>0</v>
      </c>
      <c r="J297">
        <f>IF(AT296&lt;=0,0,IF(ROUND(AT296*(1+'Calc base'!H297),2)-MAX('Calc base'!C$12,ROUND('Calc base'!C$13*AT296,2))&lt;1,ROUND(AT296*(1+'Calc base'!H297),2),MAX('Calc base'!C$12,ROUND('Calc base'!C$13*AT296,2))))</f>
        <v>0</v>
      </c>
      <c r="K297">
        <f>IF(AU296&lt;=0,0,IF(ROUND(AU296*(1+'Calc base'!I297),2)-MAX('Calc base'!D$12,ROUND('Calc base'!D$13*AU296,2))&lt;1,ROUND(AU296*(1+'Calc base'!I297),2),MAX('Calc base'!D$12,ROUND('Calc base'!D$13*AU296,2))))</f>
        <v>0</v>
      </c>
      <c r="L297">
        <f>IF(AV296&lt;=0,0,IF(ROUND(AV296*(1+'Calc base'!J297),2)-MAX('Calc base'!E$12,ROUND('Calc base'!E$13*AV296,2))&lt;1,ROUND(AV296*(1+'Calc base'!J297),2),MAX('Calc base'!E$12,ROUND('Calc base'!E$13*AV296,2))))</f>
        <v>0</v>
      </c>
      <c r="M297">
        <f>IF(AW296&lt;=0,0,IF(ROUND(AW296*(1+'Calc base'!K297),2)-MAX('Calc base'!F$12,ROUND('Calc base'!F$13*AW296,2))&lt;1,ROUND(AW296*(1+'Calc base'!K297),2),MAX('Calc base'!F$12,ROUND('Calc base'!F$13*AW296,2))))</f>
        <v>0</v>
      </c>
      <c r="N297">
        <f>IF(AX296&lt;=0,0,IF(ROUND(AX296*(1+'Calc base'!L297),2)-MAX('Calc base'!G$12,ROUND('Calc base'!G$13*AX296,2))&lt;1,ROUND(AX296*(1+'Calc base'!L297),2),MAX('Calc base'!G$12,ROUND('Calc base'!G$13*AX296,2))))</f>
        <v>0</v>
      </c>
      <c r="O297">
        <f>IF(AY296&lt;=0,0,IF(ROUND(AY296*(1+'Calc base'!M297),2)-MAX('Calc base'!H$12,ROUND('Calc base'!H$13*AY296,2))&lt;1,ROUND(AY296*(1+'Calc base'!M297),2),MAX('Calc base'!H$12,ROUND('Calc base'!H$13*AY296,2))))</f>
        <v>0</v>
      </c>
      <c r="P297">
        <f>IF(AZ296&lt;=0,0,IF(ROUND(AZ296*(1+'Calc base'!N297),2)-MAX('Calc base'!I$12,ROUND('Calc base'!I$13*AZ296,2))&lt;1,ROUND(AZ296*(1+'Calc base'!N297),2),MAX('Calc base'!I$12,ROUND('Calc base'!I$13*AZ296,2))))</f>
        <v>0</v>
      </c>
      <c r="Q297">
        <f>IF(BA296&lt;=0,0,IF(ROUND(BA296*(1+'Calc base'!O297),2)-MAX('Calc base'!J$12,ROUND('Calc base'!J$13*BA296,2))&lt;1,ROUND(BA296*(1+'Calc base'!O297),2),MAX('Calc base'!J$12,ROUND('Calc base'!J$13*BA296,2))))</f>
        <v>0</v>
      </c>
      <c r="R297">
        <f>IF(BB296&lt;=0,0,IF(ROUND(BB296*(1+'Calc base'!P297),2)-MAX('Calc base'!K$12,ROUND('Calc base'!K$13*BB296,2))&lt;1,ROUND(BB296*(1+'Calc base'!P297),2),MAX('Calc base'!K$12,ROUND('Calc base'!K$13*BB296,2))))</f>
        <v>0</v>
      </c>
      <c r="S297">
        <f>IF(BC296&lt;=0,0,IF(ROUND(BC296*(1+'Calc base'!Q297),2)-MAX('Calc base'!L$12,ROUND('Calc base'!L$13*BC296,2))&lt;1,ROUND(BC296*(1+'Calc base'!Q297),2),MAX('Calc base'!L$12,ROUND('Calc base'!L$13*BC296,2))))</f>
        <v>0</v>
      </c>
      <c r="T297">
        <f>IF(BD296&lt;=0,0,IF(ROUND(BD296*(1+'Calc base'!R297),2)-MAX('Calc base'!M$12,ROUND('Calc base'!M$13*BD296,2))&lt;1,ROUND(BD296*(1+'Calc base'!R297),2),MAX('Calc base'!M$12,ROUND('Calc base'!M$13*BD296,2))))</f>
        <v>0</v>
      </c>
      <c r="U297">
        <f>IF(BE296&lt;=0,0,IF(ROUND(BE296*(1+'Calc base'!S297),2)-MAX('Calc base'!N$12,ROUND('Calc base'!N$13*BE296,2))&lt;1,ROUND(BE296*(1+'Calc base'!S297),2),MAX('Calc base'!N$12,ROUND('Calc base'!N$13*BE296,2))))</f>
        <v>0</v>
      </c>
      <c r="V297">
        <f>MAX(0,ROUND(AT296*(1+'Calc base'!H297),2)-J297-'Calc base'!T297)</f>
        <v>0</v>
      </c>
      <c r="W297">
        <f>MAX(0,ROUND(AU296*(1+'Calc base'!I297),2)-K297-'Calc base'!U297)</f>
        <v>0</v>
      </c>
      <c r="X297">
        <f>MAX(0,ROUND(AV296*(1+'Calc base'!J297),2)-L297-'Calc base'!V297)</f>
        <v>0</v>
      </c>
      <c r="Y297">
        <f>MAX(0,ROUND(AW296*(1+'Calc base'!K297),2)-M297-'Calc base'!W297)</f>
        <v>0</v>
      </c>
      <c r="Z297">
        <f>MAX(0,ROUND(AX296*(1+'Calc base'!L297),2)-N297-'Calc base'!X297)</f>
        <v>0</v>
      </c>
      <c r="AA297">
        <f>MAX(0,ROUND(AY296*(1+'Calc base'!M297),2)-O297-'Calc base'!Y297)</f>
        <v>0</v>
      </c>
      <c r="AB297">
        <f>MAX(0,ROUND(AZ296*(1+'Calc base'!N297),2)-P297-'Calc base'!Z297)</f>
        <v>0</v>
      </c>
      <c r="AC297">
        <f>MAX(0,ROUND(BA296*(1+'Calc base'!O297),2)-Q297-'Calc base'!AA297)</f>
        <v>0</v>
      </c>
      <c r="AD297">
        <f>MAX(0,ROUND(BB296*(1+'Calc base'!P297),2)-R297-'Calc base'!AB297)</f>
        <v>0</v>
      </c>
      <c r="AE297">
        <f>MAX(0,ROUND(BC296*(1+'Calc base'!Q297),2)-S297-'Calc base'!AC297)</f>
        <v>0</v>
      </c>
      <c r="AF297">
        <f>MAX(0,ROUND(BD296*(1+'Calc base'!R297),2)-T297-'Calc base'!AD297)</f>
        <v>0</v>
      </c>
      <c r="AG297">
        <f>MAX(0,ROUND(BE296*(1+'Calc base'!S297),2)-U297-'Calc base'!AE297)</f>
        <v>0</v>
      </c>
      <c r="AH297">
        <f>IF('Calc base'!C$14=0,0,MIN(V297,MAX(0,$E297-SUMIFS($V297:$AG297,'Calc base'!$C$19:$N$19,"&lt;"&amp;'Calc base'!C$19,'Calc base'!$C$14:$N$14,1))))</f>
        <v>0</v>
      </c>
      <c r="AI297">
        <f>IF('Calc base'!D$14=0,0,MIN(W297,MAX(0,$E297-SUMIFS($V297:$AG297,'Calc base'!$C$19:$N$19,"&lt;"&amp;'Calc base'!D$19,'Calc base'!$C$14:$N$14,1))))</f>
        <v>0</v>
      </c>
      <c r="AJ297">
        <f>IF('Calc base'!E$14=0,0,MIN(X297,MAX(0,$E297-SUMIFS($V297:$AG297,'Calc base'!$C$19:$N$19,"&lt;"&amp;'Calc base'!E$19,'Calc base'!$C$14:$N$14,1))))</f>
        <v>0</v>
      </c>
      <c r="AK297">
        <f>IF('Calc base'!F$14=0,0,MIN(Y297,MAX(0,$E297-SUMIFS($V297:$AG297,'Calc base'!$C$19:$N$19,"&lt;"&amp;'Calc base'!F$19,'Calc base'!$C$14:$N$14,1))))</f>
        <v>0</v>
      </c>
      <c r="AL297">
        <f>IF('Calc base'!G$14=0,0,MIN(Z297,MAX(0,$E297-SUMIFS($V297:$AG297,'Calc base'!$C$19:$N$19,"&lt;"&amp;'Calc base'!G$19,'Calc base'!$C$14:$N$14,1))))</f>
        <v>0</v>
      </c>
      <c r="AM297">
        <f>IF('Calc base'!H$14=0,0,MIN(AA297,MAX(0,$E297-SUMIFS($V297:$AG297,'Calc base'!$C$19:$N$19,"&lt;"&amp;'Calc base'!H$19,'Calc base'!$C$14:$N$14,1))))</f>
        <v>0</v>
      </c>
      <c r="AN297">
        <f>IF('Calc base'!I$14=0,0,MIN(AB297,MAX(0,$E297-SUMIFS($V297:$AG297,'Calc base'!$C$19:$N$19,"&lt;"&amp;'Calc base'!I$19,'Calc base'!$C$14:$N$14,1))))</f>
        <v>0</v>
      </c>
      <c r="AO297">
        <f>IF('Calc base'!J$14=0,0,MIN(AC297,MAX(0,$E297-SUMIFS($V297:$AG297,'Calc base'!$C$19:$N$19,"&lt;"&amp;'Calc base'!J$19,'Calc base'!$C$14:$N$14,1))))</f>
        <v>0</v>
      </c>
      <c r="AP297">
        <f>IF('Calc base'!K$14=0,0,MIN(AD297,MAX(0,$E297-SUMIFS($V297:$AG297,'Calc base'!$C$19:$N$19,"&lt;"&amp;'Calc base'!K$19,'Calc base'!$C$14:$N$14,1))))</f>
        <v>0</v>
      </c>
      <c r="AQ297">
        <f>IF('Calc base'!L$14=0,0,MIN(AE297,MAX(0,$E297-SUMIFS($V297:$AG297,'Calc base'!$C$19:$N$19,"&lt;"&amp;'Calc base'!L$19,'Calc base'!$C$14:$N$14,1))))</f>
        <v>0</v>
      </c>
      <c r="AR297">
        <f>IF('Calc base'!M$14=0,0,MIN(AF297,MAX(0,$E297-SUMIFS($V297:$AG297,'Calc base'!$C$19:$N$19,"&lt;"&amp;'Calc base'!M$19,'Calc base'!$C$14:$N$14,1))))</f>
        <v>0</v>
      </c>
      <c r="AS297">
        <f>IF('Calc base'!N$14=0,0,MIN(AG297,MAX(0,$E297-SUMIFS($V297:$AG297,'Calc base'!$C$19:$N$19,"&lt;"&amp;'Calc base'!N$19,'Calc base'!$C$14:$N$14,1))))</f>
        <v>0</v>
      </c>
      <c r="AT297">
        <f>V297-AH297</f>
        <v>0</v>
      </c>
      <c r="AU297">
        <f>W297-AI297</f>
        <v>0</v>
      </c>
      <c r="AV297">
        <f>X297-AJ297</f>
        <v>0</v>
      </c>
      <c r="AW297">
        <f>Y297-AK297</f>
        <v>0</v>
      </c>
      <c r="AX297">
        <f>Z297-AL297</f>
        <v>0</v>
      </c>
      <c r="AY297">
        <f>AA297-AM297</f>
        <v>0</v>
      </c>
      <c r="AZ297">
        <f>AB297-AN297</f>
        <v>0</v>
      </c>
      <c r="BA297">
        <f>AC297-AO297</f>
        <v>0</v>
      </c>
      <c r="BB297">
        <f>AD297-AP297</f>
        <v>0</v>
      </c>
      <c r="BC297">
        <f>AE297-AQ297</f>
        <v>0</v>
      </c>
      <c r="BD297">
        <f>AF297-AR297</f>
        <v>0</v>
      </c>
      <c r="BE297">
        <f>AG297-AS297</f>
        <v>0</v>
      </c>
    </row>
    <row r="298">
      <c r="A298" t="n">
        <v>268</v>
      </c>
      <c r="B298">
        <f>SUMPRODUCT(ROUND($AT297:$BE297*(1+'Calc base'!$H298:$S298),2))</f>
        <v>0</v>
      </c>
      <c r="C298">
        <f>SUM(J298:U298)</f>
        <v>0</v>
      </c>
      <c r="D298">
        <f>SUM(V298:AG298)</f>
        <v>0</v>
      </c>
      <c r="E298">
        <f>MAX(0,IF(Impostazioni!$B$7="No",'Calc base'!$C298-$C$31,'Calc base'!$C298-C298)+'Calc base'!$G298+'Calc base'!$F298-(B298-C298-D298))</f>
        <v>900</v>
      </c>
      <c r="F298">
        <f>SUM(AH298:AS298)</f>
        <v>0</v>
      </c>
      <c r="G298">
        <f>SUM(AT298:BE298)</f>
        <v>0</v>
      </c>
      <c r="H298">
        <f>B298-G297</f>
        <v>0</v>
      </c>
      <c r="I298">
        <f>B298-G298</f>
        <v>0</v>
      </c>
      <c r="J298">
        <f>IF(AT297&lt;=0,0,IF(ROUND(AT297*(1+'Calc base'!H298),2)-MAX('Calc base'!C$12,ROUND('Calc base'!C$13*AT297,2))&lt;1,ROUND(AT297*(1+'Calc base'!H298),2),MAX('Calc base'!C$12,ROUND('Calc base'!C$13*AT297,2))))</f>
        <v>0</v>
      </c>
      <c r="K298">
        <f>IF(AU297&lt;=0,0,IF(ROUND(AU297*(1+'Calc base'!I298),2)-MAX('Calc base'!D$12,ROUND('Calc base'!D$13*AU297,2))&lt;1,ROUND(AU297*(1+'Calc base'!I298),2),MAX('Calc base'!D$12,ROUND('Calc base'!D$13*AU297,2))))</f>
        <v>0</v>
      </c>
      <c r="L298">
        <f>IF(AV297&lt;=0,0,IF(ROUND(AV297*(1+'Calc base'!J298),2)-MAX('Calc base'!E$12,ROUND('Calc base'!E$13*AV297,2))&lt;1,ROUND(AV297*(1+'Calc base'!J298),2),MAX('Calc base'!E$12,ROUND('Calc base'!E$13*AV297,2))))</f>
        <v>0</v>
      </c>
      <c r="M298">
        <f>IF(AW297&lt;=0,0,IF(ROUND(AW297*(1+'Calc base'!K298),2)-MAX('Calc base'!F$12,ROUND('Calc base'!F$13*AW297,2))&lt;1,ROUND(AW297*(1+'Calc base'!K298),2),MAX('Calc base'!F$12,ROUND('Calc base'!F$13*AW297,2))))</f>
        <v>0</v>
      </c>
      <c r="N298">
        <f>IF(AX297&lt;=0,0,IF(ROUND(AX297*(1+'Calc base'!L298),2)-MAX('Calc base'!G$12,ROUND('Calc base'!G$13*AX297,2))&lt;1,ROUND(AX297*(1+'Calc base'!L298),2),MAX('Calc base'!G$12,ROUND('Calc base'!G$13*AX297,2))))</f>
        <v>0</v>
      </c>
      <c r="O298">
        <f>IF(AY297&lt;=0,0,IF(ROUND(AY297*(1+'Calc base'!M298),2)-MAX('Calc base'!H$12,ROUND('Calc base'!H$13*AY297,2))&lt;1,ROUND(AY297*(1+'Calc base'!M298),2),MAX('Calc base'!H$12,ROUND('Calc base'!H$13*AY297,2))))</f>
        <v>0</v>
      </c>
      <c r="P298">
        <f>IF(AZ297&lt;=0,0,IF(ROUND(AZ297*(1+'Calc base'!N298),2)-MAX('Calc base'!I$12,ROUND('Calc base'!I$13*AZ297,2))&lt;1,ROUND(AZ297*(1+'Calc base'!N298),2),MAX('Calc base'!I$12,ROUND('Calc base'!I$13*AZ297,2))))</f>
        <v>0</v>
      </c>
      <c r="Q298">
        <f>IF(BA297&lt;=0,0,IF(ROUND(BA297*(1+'Calc base'!O298),2)-MAX('Calc base'!J$12,ROUND('Calc base'!J$13*BA297,2))&lt;1,ROUND(BA297*(1+'Calc base'!O298),2),MAX('Calc base'!J$12,ROUND('Calc base'!J$13*BA297,2))))</f>
        <v>0</v>
      </c>
      <c r="R298">
        <f>IF(BB297&lt;=0,0,IF(ROUND(BB297*(1+'Calc base'!P298),2)-MAX('Calc base'!K$12,ROUND('Calc base'!K$13*BB297,2))&lt;1,ROUND(BB297*(1+'Calc base'!P298),2),MAX('Calc base'!K$12,ROUND('Calc base'!K$13*BB297,2))))</f>
        <v>0</v>
      </c>
      <c r="S298">
        <f>IF(BC297&lt;=0,0,IF(ROUND(BC297*(1+'Calc base'!Q298),2)-MAX('Calc base'!L$12,ROUND('Calc base'!L$13*BC297,2))&lt;1,ROUND(BC297*(1+'Calc base'!Q298),2),MAX('Calc base'!L$12,ROUND('Calc base'!L$13*BC297,2))))</f>
        <v>0</v>
      </c>
      <c r="T298">
        <f>IF(BD297&lt;=0,0,IF(ROUND(BD297*(1+'Calc base'!R298),2)-MAX('Calc base'!M$12,ROUND('Calc base'!M$13*BD297,2))&lt;1,ROUND(BD297*(1+'Calc base'!R298),2),MAX('Calc base'!M$12,ROUND('Calc base'!M$13*BD297,2))))</f>
        <v>0</v>
      </c>
      <c r="U298">
        <f>IF(BE297&lt;=0,0,IF(ROUND(BE297*(1+'Calc base'!S298),2)-MAX('Calc base'!N$12,ROUND('Calc base'!N$13*BE297,2))&lt;1,ROUND(BE297*(1+'Calc base'!S298),2),MAX('Calc base'!N$12,ROUND('Calc base'!N$13*BE297,2))))</f>
        <v>0</v>
      </c>
      <c r="V298">
        <f>MAX(0,ROUND(AT297*(1+'Calc base'!H298),2)-J298-'Calc base'!T298)</f>
        <v>0</v>
      </c>
      <c r="W298">
        <f>MAX(0,ROUND(AU297*(1+'Calc base'!I298),2)-K298-'Calc base'!U298)</f>
        <v>0</v>
      </c>
      <c r="X298">
        <f>MAX(0,ROUND(AV297*(1+'Calc base'!J298),2)-L298-'Calc base'!V298)</f>
        <v>0</v>
      </c>
      <c r="Y298">
        <f>MAX(0,ROUND(AW297*(1+'Calc base'!K298),2)-M298-'Calc base'!W298)</f>
        <v>0</v>
      </c>
      <c r="Z298">
        <f>MAX(0,ROUND(AX297*(1+'Calc base'!L298),2)-N298-'Calc base'!X298)</f>
        <v>0</v>
      </c>
      <c r="AA298">
        <f>MAX(0,ROUND(AY297*(1+'Calc base'!M298),2)-O298-'Calc base'!Y298)</f>
        <v>0</v>
      </c>
      <c r="AB298">
        <f>MAX(0,ROUND(AZ297*(1+'Calc base'!N298),2)-P298-'Calc base'!Z298)</f>
        <v>0</v>
      </c>
      <c r="AC298">
        <f>MAX(0,ROUND(BA297*(1+'Calc base'!O298),2)-Q298-'Calc base'!AA298)</f>
        <v>0</v>
      </c>
      <c r="AD298">
        <f>MAX(0,ROUND(BB297*(1+'Calc base'!P298),2)-R298-'Calc base'!AB298)</f>
        <v>0</v>
      </c>
      <c r="AE298">
        <f>MAX(0,ROUND(BC297*(1+'Calc base'!Q298),2)-S298-'Calc base'!AC298)</f>
        <v>0</v>
      </c>
      <c r="AF298">
        <f>MAX(0,ROUND(BD297*(1+'Calc base'!R298),2)-T298-'Calc base'!AD298)</f>
        <v>0</v>
      </c>
      <c r="AG298">
        <f>MAX(0,ROUND(BE297*(1+'Calc base'!S298),2)-U298-'Calc base'!AE298)</f>
        <v>0</v>
      </c>
      <c r="AH298">
        <f>IF('Calc base'!C$14=0,0,MIN(V298,MAX(0,$E298-SUMIFS($V298:$AG298,'Calc base'!$C$19:$N$19,"&lt;"&amp;'Calc base'!C$19,'Calc base'!$C$14:$N$14,1))))</f>
        <v>0</v>
      </c>
      <c r="AI298">
        <f>IF('Calc base'!D$14=0,0,MIN(W298,MAX(0,$E298-SUMIFS($V298:$AG298,'Calc base'!$C$19:$N$19,"&lt;"&amp;'Calc base'!D$19,'Calc base'!$C$14:$N$14,1))))</f>
        <v>0</v>
      </c>
      <c r="AJ298">
        <f>IF('Calc base'!E$14=0,0,MIN(X298,MAX(0,$E298-SUMIFS($V298:$AG298,'Calc base'!$C$19:$N$19,"&lt;"&amp;'Calc base'!E$19,'Calc base'!$C$14:$N$14,1))))</f>
        <v>0</v>
      </c>
      <c r="AK298">
        <f>IF('Calc base'!F$14=0,0,MIN(Y298,MAX(0,$E298-SUMIFS($V298:$AG298,'Calc base'!$C$19:$N$19,"&lt;"&amp;'Calc base'!F$19,'Calc base'!$C$14:$N$14,1))))</f>
        <v>0</v>
      </c>
      <c r="AL298">
        <f>IF('Calc base'!G$14=0,0,MIN(Z298,MAX(0,$E298-SUMIFS($V298:$AG298,'Calc base'!$C$19:$N$19,"&lt;"&amp;'Calc base'!G$19,'Calc base'!$C$14:$N$14,1))))</f>
        <v>0</v>
      </c>
      <c r="AM298">
        <f>IF('Calc base'!H$14=0,0,MIN(AA298,MAX(0,$E298-SUMIFS($V298:$AG298,'Calc base'!$C$19:$N$19,"&lt;"&amp;'Calc base'!H$19,'Calc base'!$C$14:$N$14,1))))</f>
        <v>0</v>
      </c>
      <c r="AN298">
        <f>IF('Calc base'!I$14=0,0,MIN(AB298,MAX(0,$E298-SUMIFS($V298:$AG298,'Calc base'!$C$19:$N$19,"&lt;"&amp;'Calc base'!I$19,'Calc base'!$C$14:$N$14,1))))</f>
        <v>0</v>
      </c>
      <c r="AO298">
        <f>IF('Calc base'!J$14=0,0,MIN(AC298,MAX(0,$E298-SUMIFS($V298:$AG298,'Calc base'!$C$19:$N$19,"&lt;"&amp;'Calc base'!J$19,'Calc base'!$C$14:$N$14,1))))</f>
        <v>0</v>
      </c>
      <c r="AP298">
        <f>IF('Calc base'!K$14=0,0,MIN(AD298,MAX(0,$E298-SUMIFS($V298:$AG298,'Calc base'!$C$19:$N$19,"&lt;"&amp;'Calc base'!K$19,'Calc base'!$C$14:$N$14,1))))</f>
        <v>0</v>
      </c>
      <c r="AQ298">
        <f>IF('Calc base'!L$14=0,0,MIN(AE298,MAX(0,$E298-SUMIFS($V298:$AG298,'Calc base'!$C$19:$N$19,"&lt;"&amp;'Calc base'!L$19,'Calc base'!$C$14:$N$14,1))))</f>
        <v>0</v>
      </c>
      <c r="AR298">
        <f>IF('Calc base'!M$14=0,0,MIN(AF298,MAX(0,$E298-SUMIFS($V298:$AG298,'Calc base'!$C$19:$N$19,"&lt;"&amp;'Calc base'!M$19,'Calc base'!$C$14:$N$14,1))))</f>
        <v>0</v>
      </c>
      <c r="AS298">
        <f>IF('Calc base'!N$14=0,0,MIN(AG298,MAX(0,$E298-SUMIFS($V298:$AG298,'Calc base'!$C$19:$N$19,"&lt;"&amp;'Calc base'!N$19,'Calc base'!$C$14:$N$14,1))))</f>
        <v>0</v>
      </c>
      <c r="AT298">
        <f>V298-AH298</f>
        <v>0</v>
      </c>
      <c r="AU298">
        <f>W298-AI298</f>
        <v>0</v>
      </c>
      <c r="AV298">
        <f>X298-AJ298</f>
        <v>0</v>
      </c>
      <c r="AW298">
        <f>Y298-AK298</f>
        <v>0</v>
      </c>
      <c r="AX298">
        <f>Z298-AL298</f>
        <v>0</v>
      </c>
      <c r="AY298">
        <f>AA298-AM298</f>
        <v>0</v>
      </c>
      <c r="AZ298">
        <f>AB298-AN298</f>
        <v>0</v>
      </c>
      <c r="BA298">
        <f>AC298-AO298</f>
        <v>0</v>
      </c>
      <c r="BB298">
        <f>AD298-AP298</f>
        <v>0</v>
      </c>
      <c r="BC298">
        <f>AE298-AQ298</f>
        <v>0</v>
      </c>
      <c r="BD298">
        <f>AF298-AR298</f>
        <v>0</v>
      </c>
      <c r="BE298">
        <f>AG298-AS298</f>
        <v>0</v>
      </c>
    </row>
    <row r="299">
      <c r="A299" t="n">
        <v>269</v>
      </c>
      <c r="B299">
        <f>SUMPRODUCT(ROUND($AT298:$BE298*(1+'Calc base'!$H299:$S299),2))</f>
        <v>0</v>
      </c>
      <c r="C299">
        <f>SUM(J299:U299)</f>
        <v>0</v>
      </c>
      <c r="D299">
        <f>SUM(V299:AG299)</f>
        <v>0</v>
      </c>
      <c r="E299">
        <f>MAX(0,IF(Impostazioni!$B$7="No",'Calc base'!$C299-$C$31,'Calc base'!$C299-C299)+'Calc base'!$G299+'Calc base'!$F299-(B299-C299-D299))</f>
        <v>900</v>
      </c>
      <c r="F299">
        <f>SUM(AH299:AS299)</f>
        <v>0</v>
      </c>
      <c r="G299">
        <f>SUM(AT299:BE299)</f>
        <v>0</v>
      </c>
      <c r="H299">
        <f>B299-G298</f>
        <v>0</v>
      </c>
      <c r="I299">
        <f>B299-G299</f>
        <v>0</v>
      </c>
      <c r="J299">
        <f>IF(AT298&lt;=0,0,IF(ROUND(AT298*(1+'Calc base'!H299),2)-MAX('Calc base'!C$12,ROUND('Calc base'!C$13*AT298,2))&lt;1,ROUND(AT298*(1+'Calc base'!H299),2),MAX('Calc base'!C$12,ROUND('Calc base'!C$13*AT298,2))))</f>
        <v>0</v>
      </c>
      <c r="K299">
        <f>IF(AU298&lt;=0,0,IF(ROUND(AU298*(1+'Calc base'!I299),2)-MAX('Calc base'!D$12,ROUND('Calc base'!D$13*AU298,2))&lt;1,ROUND(AU298*(1+'Calc base'!I299),2),MAX('Calc base'!D$12,ROUND('Calc base'!D$13*AU298,2))))</f>
        <v>0</v>
      </c>
      <c r="L299">
        <f>IF(AV298&lt;=0,0,IF(ROUND(AV298*(1+'Calc base'!J299),2)-MAX('Calc base'!E$12,ROUND('Calc base'!E$13*AV298,2))&lt;1,ROUND(AV298*(1+'Calc base'!J299),2),MAX('Calc base'!E$12,ROUND('Calc base'!E$13*AV298,2))))</f>
        <v>0</v>
      </c>
      <c r="M299">
        <f>IF(AW298&lt;=0,0,IF(ROUND(AW298*(1+'Calc base'!K299),2)-MAX('Calc base'!F$12,ROUND('Calc base'!F$13*AW298,2))&lt;1,ROUND(AW298*(1+'Calc base'!K299),2),MAX('Calc base'!F$12,ROUND('Calc base'!F$13*AW298,2))))</f>
        <v>0</v>
      </c>
      <c r="N299">
        <f>IF(AX298&lt;=0,0,IF(ROUND(AX298*(1+'Calc base'!L299),2)-MAX('Calc base'!G$12,ROUND('Calc base'!G$13*AX298,2))&lt;1,ROUND(AX298*(1+'Calc base'!L299),2),MAX('Calc base'!G$12,ROUND('Calc base'!G$13*AX298,2))))</f>
        <v>0</v>
      </c>
      <c r="O299">
        <f>IF(AY298&lt;=0,0,IF(ROUND(AY298*(1+'Calc base'!M299),2)-MAX('Calc base'!H$12,ROUND('Calc base'!H$13*AY298,2))&lt;1,ROUND(AY298*(1+'Calc base'!M299),2),MAX('Calc base'!H$12,ROUND('Calc base'!H$13*AY298,2))))</f>
        <v>0</v>
      </c>
      <c r="P299">
        <f>IF(AZ298&lt;=0,0,IF(ROUND(AZ298*(1+'Calc base'!N299),2)-MAX('Calc base'!I$12,ROUND('Calc base'!I$13*AZ298,2))&lt;1,ROUND(AZ298*(1+'Calc base'!N299),2),MAX('Calc base'!I$12,ROUND('Calc base'!I$13*AZ298,2))))</f>
        <v>0</v>
      </c>
      <c r="Q299">
        <f>IF(BA298&lt;=0,0,IF(ROUND(BA298*(1+'Calc base'!O299),2)-MAX('Calc base'!J$12,ROUND('Calc base'!J$13*BA298,2))&lt;1,ROUND(BA298*(1+'Calc base'!O299),2),MAX('Calc base'!J$12,ROUND('Calc base'!J$13*BA298,2))))</f>
        <v>0</v>
      </c>
      <c r="R299">
        <f>IF(BB298&lt;=0,0,IF(ROUND(BB298*(1+'Calc base'!P299),2)-MAX('Calc base'!K$12,ROUND('Calc base'!K$13*BB298,2))&lt;1,ROUND(BB298*(1+'Calc base'!P299),2),MAX('Calc base'!K$12,ROUND('Calc base'!K$13*BB298,2))))</f>
        <v>0</v>
      </c>
      <c r="S299">
        <f>IF(BC298&lt;=0,0,IF(ROUND(BC298*(1+'Calc base'!Q299),2)-MAX('Calc base'!L$12,ROUND('Calc base'!L$13*BC298,2))&lt;1,ROUND(BC298*(1+'Calc base'!Q299),2),MAX('Calc base'!L$12,ROUND('Calc base'!L$13*BC298,2))))</f>
        <v>0</v>
      </c>
      <c r="T299">
        <f>IF(BD298&lt;=0,0,IF(ROUND(BD298*(1+'Calc base'!R299),2)-MAX('Calc base'!M$12,ROUND('Calc base'!M$13*BD298,2))&lt;1,ROUND(BD298*(1+'Calc base'!R299),2),MAX('Calc base'!M$12,ROUND('Calc base'!M$13*BD298,2))))</f>
        <v>0</v>
      </c>
      <c r="U299">
        <f>IF(BE298&lt;=0,0,IF(ROUND(BE298*(1+'Calc base'!S299),2)-MAX('Calc base'!N$12,ROUND('Calc base'!N$13*BE298,2))&lt;1,ROUND(BE298*(1+'Calc base'!S299),2),MAX('Calc base'!N$12,ROUND('Calc base'!N$13*BE298,2))))</f>
        <v>0</v>
      </c>
      <c r="V299">
        <f>MAX(0,ROUND(AT298*(1+'Calc base'!H299),2)-J299-'Calc base'!T299)</f>
        <v>0</v>
      </c>
      <c r="W299">
        <f>MAX(0,ROUND(AU298*(1+'Calc base'!I299),2)-K299-'Calc base'!U299)</f>
        <v>0</v>
      </c>
      <c r="X299">
        <f>MAX(0,ROUND(AV298*(1+'Calc base'!J299),2)-L299-'Calc base'!V299)</f>
        <v>0</v>
      </c>
      <c r="Y299">
        <f>MAX(0,ROUND(AW298*(1+'Calc base'!K299),2)-M299-'Calc base'!W299)</f>
        <v>0</v>
      </c>
      <c r="Z299">
        <f>MAX(0,ROUND(AX298*(1+'Calc base'!L299),2)-N299-'Calc base'!X299)</f>
        <v>0</v>
      </c>
      <c r="AA299">
        <f>MAX(0,ROUND(AY298*(1+'Calc base'!M299),2)-O299-'Calc base'!Y299)</f>
        <v>0</v>
      </c>
      <c r="AB299">
        <f>MAX(0,ROUND(AZ298*(1+'Calc base'!N299),2)-P299-'Calc base'!Z299)</f>
        <v>0</v>
      </c>
      <c r="AC299">
        <f>MAX(0,ROUND(BA298*(1+'Calc base'!O299),2)-Q299-'Calc base'!AA299)</f>
        <v>0</v>
      </c>
      <c r="AD299">
        <f>MAX(0,ROUND(BB298*(1+'Calc base'!P299),2)-R299-'Calc base'!AB299)</f>
        <v>0</v>
      </c>
      <c r="AE299">
        <f>MAX(0,ROUND(BC298*(1+'Calc base'!Q299),2)-S299-'Calc base'!AC299)</f>
        <v>0</v>
      </c>
      <c r="AF299">
        <f>MAX(0,ROUND(BD298*(1+'Calc base'!R299),2)-T299-'Calc base'!AD299)</f>
        <v>0</v>
      </c>
      <c r="AG299">
        <f>MAX(0,ROUND(BE298*(1+'Calc base'!S299),2)-U299-'Calc base'!AE299)</f>
        <v>0</v>
      </c>
      <c r="AH299">
        <f>IF('Calc base'!C$14=0,0,MIN(V299,MAX(0,$E299-SUMIFS($V299:$AG299,'Calc base'!$C$19:$N$19,"&lt;"&amp;'Calc base'!C$19,'Calc base'!$C$14:$N$14,1))))</f>
        <v>0</v>
      </c>
      <c r="AI299">
        <f>IF('Calc base'!D$14=0,0,MIN(W299,MAX(0,$E299-SUMIFS($V299:$AG299,'Calc base'!$C$19:$N$19,"&lt;"&amp;'Calc base'!D$19,'Calc base'!$C$14:$N$14,1))))</f>
        <v>0</v>
      </c>
      <c r="AJ299">
        <f>IF('Calc base'!E$14=0,0,MIN(X299,MAX(0,$E299-SUMIFS($V299:$AG299,'Calc base'!$C$19:$N$19,"&lt;"&amp;'Calc base'!E$19,'Calc base'!$C$14:$N$14,1))))</f>
        <v>0</v>
      </c>
      <c r="AK299">
        <f>IF('Calc base'!F$14=0,0,MIN(Y299,MAX(0,$E299-SUMIFS($V299:$AG299,'Calc base'!$C$19:$N$19,"&lt;"&amp;'Calc base'!F$19,'Calc base'!$C$14:$N$14,1))))</f>
        <v>0</v>
      </c>
      <c r="AL299">
        <f>IF('Calc base'!G$14=0,0,MIN(Z299,MAX(0,$E299-SUMIFS($V299:$AG299,'Calc base'!$C$19:$N$19,"&lt;"&amp;'Calc base'!G$19,'Calc base'!$C$14:$N$14,1))))</f>
        <v>0</v>
      </c>
      <c r="AM299">
        <f>IF('Calc base'!H$14=0,0,MIN(AA299,MAX(0,$E299-SUMIFS($V299:$AG299,'Calc base'!$C$19:$N$19,"&lt;"&amp;'Calc base'!H$19,'Calc base'!$C$14:$N$14,1))))</f>
        <v>0</v>
      </c>
      <c r="AN299">
        <f>IF('Calc base'!I$14=0,0,MIN(AB299,MAX(0,$E299-SUMIFS($V299:$AG299,'Calc base'!$C$19:$N$19,"&lt;"&amp;'Calc base'!I$19,'Calc base'!$C$14:$N$14,1))))</f>
        <v>0</v>
      </c>
      <c r="AO299">
        <f>IF('Calc base'!J$14=0,0,MIN(AC299,MAX(0,$E299-SUMIFS($V299:$AG299,'Calc base'!$C$19:$N$19,"&lt;"&amp;'Calc base'!J$19,'Calc base'!$C$14:$N$14,1))))</f>
        <v>0</v>
      </c>
      <c r="AP299">
        <f>IF('Calc base'!K$14=0,0,MIN(AD299,MAX(0,$E299-SUMIFS($V299:$AG299,'Calc base'!$C$19:$N$19,"&lt;"&amp;'Calc base'!K$19,'Calc base'!$C$14:$N$14,1))))</f>
        <v>0</v>
      </c>
      <c r="AQ299">
        <f>IF('Calc base'!L$14=0,0,MIN(AE299,MAX(0,$E299-SUMIFS($V299:$AG299,'Calc base'!$C$19:$N$19,"&lt;"&amp;'Calc base'!L$19,'Calc base'!$C$14:$N$14,1))))</f>
        <v>0</v>
      </c>
      <c r="AR299">
        <f>IF('Calc base'!M$14=0,0,MIN(AF299,MAX(0,$E299-SUMIFS($V299:$AG299,'Calc base'!$C$19:$N$19,"&lt;"&amp;'Calc base'!M$19,'Calc base'!$C$14:$N$14,1))))</f>
        <v>0</v>
      </c>
      <c r="AS299">
        <f>IF('Calc base'!N$14=0,0,MIN(AG299,MAX(0,$E299-SUMIFS($V299:$AG299,'Calc base'!$C$19:$N$19,"&lt;"&amp;'Calc base'!N$19,'Calc base'!$C$14:$N$14,1))))</f>
        <v>0</v>
      </c>
      <c r="AT299">
        <f>V299-AH299</f>
        <v>0</v>
      </c>
      <c r="AU299">
        <f>W299-AI299</f>
        <v>0</v>
      </c>
      <c r="AV299">
        <f>X299-AJ299</f>
        <v>0</v>
      </c>
      <c r="AW299">
        <f>Y299-AK299</f>
        <v>0</v>
      </c>
      <c r="AX299">
        <f>Z299-AL299</f>
        <v>0</v>
      </c>
      <c r="AY299">
        <f>AA299-AM299</f>
        <v>0</v>
      </c>
      <c r="AZ299">
        <f>AB299-AN299</f>
        <v>0</v>
      </c>
      <c r="BA299">
        <f>AC299-AO299</f>
        <v>0</v>
      </c>
      <c r="BB299">
        <f>AD299-AP299</f>
        <v>0</v>
      </c>
      <c r="BC299">
        <f>AE299-AQ299</f>
        <v>0</v>
      </c>
      <c r="BD299">
        <f>AF299-AR299</f>
        <v>0</v>
      </c>
      <c r="BE299">
        <f>AG299-AS299</f>
        <v>0</v>
      </c>
    </row>
    <row r="300">
      <c r="A300" t="n">
        <v>270</v>
      </c>
      <c r="B300">
        <f>SUMPRODUCT(ROUND($AT299:$BE299*(1+'Calc base'!$H300:$S300),2))</f>
        <v>0</v>
      </c>
      <c r="C300">
        <f>SUM(J300:U300)</f>
        <v>0</v>
      </c>
      <c r="D300">
        <f>SUM(V300:AG300)</f>
        <v>0</v>
      </c>
      <c r="E300">
        <f>MAX(0,IF(Impostazioni!$B$7="No",'Calc base'!$C300-$C$31,'Calc base'!$C300-C300)+'Calc base'!$G300+'Calc base'!$F300-(B300-C300-D300))</f>
        <v>900</v>
      </c>
      <c r="F300">
        <f>SUM(AH300:AS300)</f>
        <v>0</v>
      </c>
      <c r="G300">
        <f>SUM(AT300:BE300)</f>
        <v>0</v>
      </c>
      <c r="H300">
        <f>B300-G299</f>
        <v>0</v>
      </c>
      <c r="I300">
        <f>B300-G300</f>
        <v>0</v>
      </c>
      <c r="J300">
        <f>IF(AT299&lt;=0,0,IF(ROUND(AT299*(1+'Calc base'!H300),2)-MAX('Calc base'!C$12,ROUND('Calc base'!C$13*AT299,2))&lt;1,ROUND(AT299*(1+'Calc base'!H300),2),MAX('Calc base'!C$12,ROUND('Calc base'!C$13*AT299,2))))</f>
        <v>0</v>
      </c>
      <c r="K300">
        <f>IF(AU299&lt;=0,0,IF(ROUND(AU299*(1+'Calc base'!I300),2)-MAX('Calc base'!D$12,ROUND('Calc base'!D$13*AU299,2))&lt;1,ROUND(AU299*(1+'Calc base'!I300),2),MAX('Calc base'!D$12,ROUND('Calc base'!D$13*AU299,2))))</f>
        <v>0</v>
      </c>
      <c r="L300">
        <f>IF(AV299&lt;=0,0,IF(ROUND(AV299*(1+'Calc base'!J300),2)-MAX('Calc base'!E$12,ROUND('Calc base'!E$13*AV299,2))&lt;1,ROUND(AV299*(1+'Calc base'!J300),2),MAX('Calc base'!E$12,ROUND('Calc base'!E$13*AV299,2))))</f>
        <v>0</v>
      </c>
      <c r="M300">
        <f>IF(AW299&lt;=0,0,IF(ROUND(AW299*(1+'Calc base'!K300),2)-MAX('Calc base'!F$12,ROUND('Calc base'!F$13*AW299,2))&lt;1,ROUND(AW299*(1+'Calc base'!K300),2),MAX('Calc base'!F$12,ROUND('Calc base'!F$13*AW299,2))))</f>
        <v>0</v>
      </c>
      <c r="N300">
        <f>IF(AX299&lt;=0,0,IF(ROUND(AX299*(1+'Calc base'!L300),2)-MAX('Calc base'!G$12,ROUND('Calc base'!G$13*AX299,2))&lt;1,ROUND(AX299*(1+'Calc base'!L300),2),MAX('Calc base'!G$12,ROUND('Calc base'!G$13*AX299,2))))</f>
        <v>0</v>
      </c>
      <c r="O300">
        <f>IF(AY299&lt;=0,0,IF(ROUND(AY299*(1+'Calc base'!M300),2)-MAX('Calc base'!H$12,ROUND('Calc base'!H$13*AY299,2))&lt;1,ROUND(AY299*(1+'Calc base'!M300),2),MAX('Calc base'!H$12,ROUND('Calc base'!H$13*AY299,2))))</f>
        <v>0</v>
      </c>
      <c r="P300">
        <f>IF(AZ299&lt;=0,0,IF(ROUND(AZ299*(1+'Calc base'!N300),2)-MAX('Calc base'!I$12,ROUND('Calc base'!I$13*AZ299,2))&lt;1,ROUND(AZ299*(1+'Calc base'!N300),2),MAX('Calc base'!I$12,ROUND('Calc base'!I$13*AZ299,2))))</f>
        <v>0</v>
      </c>
      <c r="Q300">
        <f>IF(BA299&lt;=0,0,IF(ROUND(BA299*(1+'Calc base'!O300),2)-MAX('Calc base'!J$12,ROUND('Calc base'!J$13*BA299,2))&lt;1,ROUND(BA299*(1+'Calc base'!O300),2),MAX('Calc base'!J$12,ROUND('Calc base'!J$13*BA299,2))))</f>
        <v>0</v>
      </c>
      <c r="R300">
        <f>IF(BB299&lt;=0,0,IF(ROUND(BB299*(1+'Calc base'!P300),2)-MAX('Calc base'!K$12,ROUND('Calc base'!K$13*BB299,2))&lt;1,ROUND(BB299*(1+'Calc base'!P300),2),MAX('Calc base'!K$12,ROUND('Calc base'!K$13*BB299,2))))</f>
        <v>0</v>
      </c>
      <c r="S300">
        <f>IF(BC299&lt;=0,0,IF(ROUND(BC299*(1+'Calc base'!Q300),2)-MAX('Calc base'!L$12,ROUND('Calc base'!L$13*BC299,2))&lt;1,ROUND(BC299*(1+'Calc base'!Q300),2),MAX('Calc base'!L$12,ROUND('Calc base'!L$13*BC299,2))))</f>
        <v>0</v>
      </c>
      <c r="T300">
        <f>IF(BD299&lt;=0,0,IF(ROUND(BD299*(1+'Calc base'!R300),2)-MAX('Calc base'!M$12,ROUND('Calc base'!M$13*BD299,2))&lt;1,ROUND(BD299*(1+'Calc base'!R300),2),MAX('Calc base'!M$12,ROUND('Calc base'!M$13*BD299,2))))</f>
        <v>0</v>
      </c>
      <c r="U300">
        <f>IF(BE299&lt;=0,0,IF(ROUND(BE299*(1+'Calc base'!S300),2)-MAX('Calc base'!N$12,ROUND('Calc base'!N$13*BE299,2))&lt;1,ROUND(BE299*(1+'Calc base'!S300),2),MAX('Calc base'!N$12,ROUND('Calc base'!N$13*BE299,2))))</f>
        <v>0</v>
      </c>
      <c r="V300">
        <f>MAX(0,ROUND(AT299*(1+'Calc base'!H300),2)-J300-'Calc base'!T300)</f>
        <v>0</v>
      </c>
      <c r="W300">
        <f>MAX(0,ROUND(AU299*(1+'Calc base'!I300),2)-K300-'Calc base'!U300)</f>
        <v>0</v>
      </c>
      <c r="X300">
        <f>MAX(0,ROUND(AV299*(1+'Calc base'!J300),2)-L300-'Calc base'!V300)</f>
        <v>0</v>
      </c>
      <c r="Y300">
        <f>MAX(0,ROUND(AW299*(1+'Calc base'!K300),2)-M300-'Calc base'!W300)</f>
        <v>0</v>
      </c>
      <c r="Z300">
        <f>MAX(0,ROUND(AX299*(1+'Calc base'!L300),2)-N300-'Calc base'!X300)</f>
        <v>0</v>
      </c>
      <c r="AA300">
        <f>MAX(0,ROUND(AY299*(1+'Calc base'!M300),2)-O300-'Calc base'!Y300)</f>
        <v>0</v>
      </c>
      <c r="AB300">
        <f>MAX(0,ROUND(AZ299*(1+'Calc base'!N300),2)-P300-'Calc base'!Z300)</f>
        <v>0</v>
      </c>
      <c r="AC300">
        <f>MAX(0,ROUND(BA299*(1+'Calc base'!O300),2)-Q300-'Calc base'!AA300)</f>
        <v>0</v>
      </c>
      <c r="AD300">
        <f>MAX(0,ROUND(BB299*(1+'Calc base'!P300),2)-R300-'Calc base'!AB300)</f>
        <v>0</v>
      </c>
      <c r="AE300">
        <f>MAX(0,ROUND(BC299*(1+'Calc base'!Q300),2)-S300-'Calc base'!AC300)</f>
        <v>0</v>
      </c>
      <c r="AF300">
        <f>MAX(0,ROUND(BD299*(1+'Calc base'!R300),2)-T300-'Calc base'!AD300)</f>
        <v>0</v>
      </c>
      <c r="AG300">
        <f>MAX(0,ROUND(BE299*(1+'Calc base'!S300),2)-U300-'Calc base'!AE300)</f>
        <v>0</v>
      </c>
      <c r="AH300">
        <f>IF('Calc base'!C$14=0,0,MIN(V300,MAX(0,$E300-SUMIFS($V300:$AG300,'Calc base'!$C$19:$N$19,"&lt;"&amp;'Calc base'!C$19,'Calc base'!$C$14:$N$14,1))))</f>
        <v>0</v>
      </c>
      <c r="AI300">
        <f>IF('Calc base'!D$14=0,0,MIN(W300,MAX(0,$E300-SUMIFS($V300:$AG300,'Calc base'!$C$19:$N$19,"&lt;"&amp;'Calc base'!D$19,'Calc base'!$C$14:$N$14,1))))</f>
        <v>0</v>
      </c>
      <c r="AJ300">
        <f>IF('Calc base'!E$14=0,0,MIN(X300,MAX(0,$E300-SUMIFS($V300:$AG300,'Calc base'!$C$19:$N$19,"&lt;"&amp;'Calc base'!E$19,'Calc base'!$C$14:$N$14,1))))</f>
        <v>0</v>
      </c>
      <c r="AK300">
        <f>IF('Calc base'!F$14=0,0,MIN(Y300,MAX(0,$E300-SUMIFS($V300:$AG300,'Calc base'!$C$19:$N$19,"&lt;"&amp;'Calc base'!F$19,'Calc base'!$C$14:$N$14,1))))</f>
        <v>0</v>
      </c>
      <c r="AL300">
        <f>IF('Calc base'!G$14=0,0,MIN(Z300,MAX(0,$E300-SUMIFS($V300:$AG300,'Calc base'!$C$19:$N$19,"&lt;"&amp;'Calc base'!G$19,'Calc base'!$C$14:$N$14,1))))</f>
        <v>0</v>
      </c>
      <c r="AM300">
        <f>IF('Calc base'!H$14=0,0,MIN(AA300,MAX(0,$E300-SUMIFS($V300:$AG300,'Calc base'!$C$19:$N$19,"&lt;"&amp;'Calc base'!H$19,'Calc base'!$C$14:$N$14,1))))</f>
        <v>0</v>
      </c>
      <c r="AN300">
        <f>IF('Calc base'!I$14=0,0,MIN(AB300,MAX(0,$E300-SUMIFS($V300:$AG300,'Calc base'!$C$19:$N$19,"&lt;"&amp;'Calc base'!I$19,'Calc base'!$C$14:$N$14,1))))</f>
        <v>0</v>
      </c>
      <c r="AO300">
        <f>IF('Calc base'!J$14=0,0,MIN(AC300,MAX(0,$E300-SUMIFS($V300:$AG300,'Calc base'!$C$19:$N$19,"&lt;"&amp;'Calc base'!J$19,'Calc base'!$C$14:$N$14,1))))</f>
        <v>0</v>
      </c>
      <c r="AP300">
        <f>IF('Calc base'!K$14=0,0,MIN(AD300,MAX(0,$E300-SUMIFS($V300:$AG300,'Calc base'!$C$19:$N$19,"&lt;"&amp;'Calc base'!K$19,'Calc base'!$C$14:$N$14,1))))</f>
        <v>0</v>
      </c>
      <c r="AQ300">
        <f>IF('Calc base'!L$14=0,0,MIN(AE300,MAX(0,$E300-SUMIFS($V300:$AG300,'Calc base'!$C$19:$N$19,"&lt;"&amp;'Calc base'!L$19,'Calc base'!$C$14:$N$14,1))))</f>
        <v>0</v>
      </c>
      <c r="AR300">
        <f>IF('Calc base'!M$14=0,0,MIN(AF300,MAX(0,$E300-SUMIFS($V300:$AG300,'Calc base'!$C$19:$N$19,"&lt;"&amp;'Calc base'!M$19,'Calc base'!$C$14:$N$14,1))))</f>
        <v>0</v>
      </c>
      <c r="AS300">
        <f>IF('Calc base'!N$14=0,0,MIN(AG300,MAX(0,$E300-SUMIFS($V300:$AG300,'Calc base'!$C$19:$N$19,"&lt;"&amp;'Calc base'!N$19,'Calc base'!$C$14:$N$14,1))))</f>
        <v>0</v>
      </c>
      <c r="AT300">
        <f>V300-AH300</f>
        <v>0</v>
      </c>
      <c r="AU300">
        <f>W300-AI300</f>
        <v>0</v>
      </c>
      <c r="AV300">
        <f>X300-AJ300</f>
        <v>0</v>
      </c>
      <c r="AW300">
        <f>Y300-AK300</f>
        <v>0</v>
      </c>
      <c r="AX300">
        <f>Z300-AL300</f>
        <v>0</v>
      </c>
      <c r="AY300">
        <f>AA300-AM300</f>
        <v>0</v>
      </c>
      <c r="AZ300">
        <f>AB300-AN300</f>
        <v>0</v>
      </c>
      <c r="BA300">
        <f>AC300-AO300</f>
        <v>0</v>
      </c>
      <c r="BB300">
        <f>AD300-AP300</f>
        <v>0</v>
      </c>
      <c r="BC300">
        <f>AE300-AQ300</f>
        <v>0</v>
      </c>
      <c r="BD300">
        <f>AF300-AR300</f>
        <v>0</v>
      </c>
      <c r="BE300">
        <f>AG300-AS300</f>
        <v>0</v>
      </c>
    </row>
    <row r="301">
      <c r="A301" t="n">
        <v>271</v>
      </c>
      <c r="B301">
        <f>SUMPRODUCT(ROUND($AT300:$BE300*(1+'Calc base'!$H301:$S301),2))</f>
        <v>0</v>
      </c>
      <c r="C301">
        <f>SUM(J301:U301)</f>
        <v>0</v>
      </c>
      <c r="D301">
        <f>SUM(V301:AG301)</f>
        <v>0</v>
      </c>
      <c r="E301">
        <f>MAX(0,IF(Impostazioni!$B$7="No",'Calc base'!$C301-$C$31,'Calc base'!$C301-C301)+'Calc base'!$G301+'Calc base'!$F301-(B301-C301-D301))</f>
        <v>900</v>
      </c>
      <c r="F301">
        <f>SUM(AH301:AS301)</f>
        <v>0</v>
      </c>
      <c r="G301">
        <f>SUM(AT301:BE301)</f>
        <v>0</v>
      </c>
      <c r="H301">
        <f>B301-G300</f>
        <v>0</v>
      </c>
      <c r="I301">
        <f>B301-G301</f>
        <v>0</v>
      </c>
      <c r="J301">
        <f>IF(AT300&lt;=0,0,IF(ROUND(AT300*(1+'Calc base'!H301),2)-MAX('Calc base'!C$12,ROUND('Calc base'!C$13*AT300,2))&lt;1,ROUND(AT300*(1+'Calc base'!H301),2),MAX('Calc base'!C$12,ROUND('Calc base'!C$13*AT300,2))))</f>
        <v>0</v>
      </c>
      <c r="K301">
        <f>IF(AU300&lt;=0,0,IF(ROUND(AU300*(1+'Calc base'!I301),2)-MAX('Calc base'!D$12,ROUND('Calc base'!D$13*AU300,2))&lt;1,ROUND(AU300*(1+'Calc base'!I301),2),MAX('Calc base'!D$12,ROUND('Calc base'!D$13*AU300,2))))</f>
        <v>0</v>
      </c>
      <c r="L301">
        <f>IF(AV300&lt;=0,0,IF(ROUND(AV300*(1+'Calc base'!J301),2)-MAX('Calc base'!E$12,ROUND('Calc base'!E$13*AV300,2))&lt;1,ROUND(AV300*(1+'Calc base'!J301),2),MAX('Calc base'!E$12,ROUND('Calc base'!E$13*AV300,2))))</f>
        <v>0</v>
      </c>
      <c r="M301">
        <f>IF(AW300&lt;=0,0,IF(ROUND(AW300*(1+'Calc base'!K301),2)-MAX('Calc base'!F$12,ROUND('Calc base'!F$13*AW300,2))&lt;1,ROUND(AW300*(1+'Calc base'!K301),2),MAX('Calc base'!F$12,ROUND('Calc base'!F$13*AW300,2))))</f>
        <v>0</v>
      </c>
      <c r="N301">
        <f>IF(AX300&lt;=0,0,IF(ROUND(AX300*(1+'Calc base'!L301),2)-MAX('Calc base'!G$12,ROUND('Calc base'!G$13*AX300,2))&lt;1,ROUND(AX300*(1+'Calc base'!L301),2),MAX('Calc base'!G$12,ROUND('Calc base'!G$13*AX300,2))))</f>
        <v>0</v>
      </c>
      <c r="O301">
        <f>IF(AY300&lt;=0,0,IF(ROUND(AY300*(1+'Calc base'!M301),2)-MAX('Calc base'!H$12,ROUND('Calc base'!H$13*AY300,2))&lt;1,ROUND(AY300*(1+'Calc base'!M301),2),MAX('Calc base'!H$12,ROUND('Calc base'!H$13*AY300,2))))</f>
        <v>0</v>
      </c>
      <c r="P301">
        <f>IF(AZ300&lt;=0,0,IF(ROUND(AZ300*(1+'Calc base'!N301),2)-MAX('Calc base'!I$12,ROUND('Calc base'!I$13*AZ300,2))&lt;1,ROUND(AZ300*(1+'Calc base'!N301),2),MAX('Calc base'!I$12,ROUND('Calc base'!I$13*AZ300,2))))</f>
        <v>0</v>
      </c>
      <c r="Q301">
        <f>IF(BA300&lt;=0,0,IF(ROUND(BA300*(1+'Calc base'!O301),2)-MAX('Calc base'!J$12,ROUND('Calc base'!J$13*BA300,2))&lt;1,ROUND(BA300*(1+'Calc base'!O301),2),MAX('Calc base'!J$12,ROUND('Calc base'!J$13*BA300,2))))</f>
        <v>0</v>
      </c>
      <c r="R301">
        <f>IF(BB300&lt;=0,0,IF(ROUND(BB300*(1+'Calc base'!P301),2)-MAX('Calc base'!K$12,ROUND('Calc base'!K$13*BB300,2))&lt;1,ROUND(BB300*(1+'Calc base'!P301),2),MAX('Calc base'!K$12,ROUND('Calc base'!K$13*BB300,2))))</f>
        <v>0</v>
      </c>
      <c r="S301">
        <f>IF(BC300&lt;=0,0,IF(ROUND(BC300*(1+'Calc base'!Q301),2)-MAX('Calc base'!L$12,ROUND('Calc base'!L$13*BC300,2))&lt;1,ROUND(BC300*(1+'Calc base'!Q301),2),MAX('Calc base'!L$12,ROUND('Calc base'!L$13*BC300,2))))</f>
        <v>0</v>
      </c>
      <c r="T301">
        <f>IF(BD300&lt;=0,0,IF(ROUND(BD300*(1+'Calc base'!R301),2)-MAX('Calc base'!M$12,ROUND('Calc base'!M$13*BD300,2))&lt;1,ROUND(BD300*(1+'Calc base'!R301),2),MAX('Calc base'!M$12,ROUND('Calc base'!M$13*BD300,2))))</f>
        <v>0</v>
      </c>
      <c r="U301">
        <f>IF(BE300&lt;=0,0,IF(ROUND(BE300*(1+'Calc base'!S301),2)-MAX('Calc base'!N$12,ROUND('Calc base'!N$13*BE300,2))&lt;1,ROUND(BE300*(1+'Calc base'!S301),2),MAX('Calc base'!N$12,ROUND('Calc base'!N$13*BE300,2))))</f>
        <v>0</v>
      </c>
      <c r="V301">
        <f>MAX(0,ROUND(AT300*(1+'Calc base'!H301),2)-J301-'Calc base'!T301)</f>
        <v>0</v>
      </c>
      <c r="W301">
        <f>MAX(0,ROUND(AU300*(1+'Calc base'!I301),2)-K301-'Calc base'!U301)</f>
        <v>0</v>
      </c>
      <c r="X301">
        <f>MAX(0,ROUND(AV300*(1+'Calc base'!J301),2)-L301-'Calc base'!V301)</f>
        <v>0</v>
      </c>
      <c r="Y301">
        <f>MAX(0,ROUND(AW300*(1+'Calc base'!K301),2)-M301-'Calc base'!W301)</f>
        <v>0</v>
      </c>
      <c r="Z301">
        <f>MAX(0,ROUND(AX300*(1+'Calc base'!L301),2)-N301-'Calc base'!X301)</f>
        <v>0</v>
      </c>
      <c r="AA301">
        <f>MAX(0,ROUND(AY300*(1+'Calc base'!M301),2)-O301-'Calc base'!Y301)</f>
        <v>0</v>
      </c>
      <c r="AB301">
        <f>MAX(0,ROUND(AZ300*(1+'Calc base'!N301),2)-P301-'Calc base'!Z301)</f>
        <v>0</v>
      </c>
      <c r="AC301">
        <f>MAX(0,ROUND(BA300*(1+'Calc base'!O301),2)-Q301-'Calc base'!AA301)</f>
        <v>0</v>
      </c>
      <c r="AD301">
        <f>MAX(0,ROUND(BB300*(1+'Calc base'!P301),2)-R301-'Calc base'!AB301)</f>
        <v>0</v>
      </c>
      <c r="AE301">
        <f>MAX(0,ROUND(BC300*(1+'Calc base'!Q301),2)-S301-'Calc base'!AC301)</f>
        <v>0</v>
      </c>
      <c r="AF301">
        <f>MAX(0,ROUND(BD300*(1+'Calc base'!R301),2)-T301-'Calc base'!AD301)</f>
        <v>0</v>
      </c>
      <c r="AG301">
        <f>MAX(0,ROUND(BE300*(1+'Calc base'!S301),2)-U301-'Calc base'!AE301)</f>
        <v>0</v>
      </c>
      <c r="AH301">
        <f>IF('Calc base'!C$14=0,0,MIN(V301,MAX(0,$E301-SUMIFS($V301:$AG301,'Calc base'!$C$19:$N$19,"&lt;"&amp;'Calc base'!C$19,'Calc base'!$C$14:$N$14,1))))</f>
        <v>0</v>
      </c>
      <c r="AI301">
        <f>IF('Calc base'!D$14=0,0,MIN(W301,MAX(0,$E301-SUMIFS($V301:$AG301,'Calc base'!$C$19:$N$19,"&lt;"&amp;'Calc base'!D$19,'Calc base'!$C$14:$N$14,1))))</f>
        <v>0</v>
      </c>
      <c r="AJ301">
        <f>IF('Calc base'!E$14=0,0,MIN(X301,MAX(0,$E301-SUMIFS($V301:$AG301,'Calc base'!$C$19:$N$19,"&lt;"&amp;'Calc base'!E$19,'Calc base'!$C$14:$N$14,1))))</f>
        <v>0</v>
      </c>
      <c r="AK301">
        <f>IF('Calc base'!F$14=0,0,MIN(Y301,MAX(0,$E301-SUMIFS($V301:$AG301,'Calc base'!$C$19:$N$19,"&lt;"&amp;'Calc base'!F$19,'Calc base'!$C$14:$N$14,1))))</f>
        <v>0</v>
      </c>
      <c r="AL301">
        <f>IF('Calc base'!G$14=0,0,MIN(Z301,MAX(0,$E301-SUMIFS($V301:$AG301,'Calc base'!$C$19:$N$19,"&lt;"&amp;'Calc base'!G$19,'Calc base'!$C$14:$N$14,1))))</f>
        <v>0</v>
      </c>
      <c r="AM301">
        <f>IF('Calc base'!H$14=0,0,MIN(AA301,MAX(0,$E301-SUMIFS($V301:$AG301,'Calc base'!$C$19:$N$19,"&lt;"&amp;'Calc base'!H$19,'Calc base'!$C$14:$N$14,1))))</f>
        <v>0</v>
      </c>
      <c r="AN301">
        <f>IF('Calc base'!I$14=0,0,MIN(AB301,MAX(0,$E301-SUMIFS($V301:$AG301,'Calc base'!$C$19:$N$19,"&lt;"&amp;'Calc base'!I$19,'Calc base'!$C$14:$N$14,1))))</f>
        <v>0</v>
      </c>
      <c r="AO301">
        <f>IF('Calc base'!J$14=0,0,MIN(AC301,MAX(0,$E301-SUMIFS($V301:$AG301,'Calc base'!$C$19:$N$19,"&lt;"&amp;'Calc base'!J$19,'Calc base'!$C$14:$N$14,1))))</f>
        <v>0</v>
      </c>
      <c r="AP301">
        <f>IF('Calc base'!K$14=0,0,MIN(AD301,MAX(0,$E301-SUMIFS($V301:$AG301,'Calc base'!$C$19:$N$19,"&lt;"&amp;'Calc base'!K$19,'Calc base'!$C$14:$N$14,1))))</f>
        <v>0</v>
      </c>
      <c r="AQ301">
        <f>IF('Calc base'!L$14=0,0,MIN(AE301,MAX(0,$E301-SUMIFS($V301:$AG301,'Calc base'!$C$19:$N$19,"&lt;"&amp;'Calc base'!L$19,'Calc base'!$C$14:$N$14,1))))</f>
        <v>0</v>
      </c>
      <c r="AR301">
        <f>IF('Calc base'!M$14=0,0,MIN(AF301,MAX(0,$E301-SUMIFS($V301:$AG301,'Calc base'!$C$19:$N$19,"&lt;"&amp;'Calc base'!M$19,'Calc base'!$C$14:$N$14,1))))</f>
        <v>0</v>
      </c>
      <c r="AS301">
        <f>IF('Calc base'!N$14=0,0,MIN(AG301,MAX(0,$E301-SUMIFS($V301:$AG301,'Calc base'!$C$19:$N$19,"&lt;"&amp;'Calc base'!N$19,'Calc base'!$C$14:$N$14,1))))</f>
        <v>0</v>
      </c>
      <c r="AT301">
        <f>V301-AH301</f>
        <v>0</v>
      </c>
      <c r="AU301">
        <f>W301-AI301</f>
        <v>0</v>
      </c>
      <c r="AV301">
        <f>X301-AJ301</f>
        <v>0</v>
      </c>
      <c r="AW301">
        <f>Y301-AK301</f>
        <v>0</v>
      </c>
      <c r="AX301">
        <f>Z301-AL301</f>
        <v>0</v>
      </c>
      <c r="AY301">
        <f>AA301-AM301</f>
        <v>0</v>
      </c>
      <c r="AZ301">
        <f>AB301-AN301</f>
        <v>0</v>
      </c>
      <c r="BA301">
        <f>AC301-AO301</f>
        <v>0</v>
      </c>
      <c r="BB301">
        <f>AD301-AP301</f>
        <v>0</v>
      </c>
      <c r="BC301">
        <f>AE301-AQ301</f>
        <v>0</v>
      </c>
      <c r="BD301">
        <f>AF301-AR301</f>
        <v>0</v>
      </c>
      <c r="BE301">
        <f>AG301-AS301</f>
        <v>0</v>
      </c>
    </row>
    <row r="302">
      <c r="A302" t="n">
        <v>272</v>
      </c>
      <c r="B302">
        <f>SUMPRODUCT(ROUND($AT301:$BE301*(1+'Calc base'!$H302:$S302),2))</f>
        <v>0</v>
      </c>
      <c r="C302">
        <f>SUM(J302:U302)</f>
        <v>0</v>
      </c>
      <c r="D302">
        <f>SUM(V302:AG302)</f>
        <v>0</v>
      </c>
      <c r="E302">
        <f>MAX(0,IF(Impostazioni!$B$7="No",'Calc base'!$C302-$C$31,'Calc base'!$C302-C302)+'Calc base'!$G302+'Calc base'!$F302-(B302-C302-D302))</f>
        <v>900</v>
      </c>
      <c r="F302">
        <f>SUM(AH302:AS302)</f>
        <v>0</v>
      </c>
      <c r="G302">
        <f>SUM(AT302:BE302)</f>
        <v>0</v>
      </c>
      <c r="H302">
        <f>B302-G301</f>
        <v>0</v>
      </c>
      <c r="I302">
        <f>B302-G302</f>
        <v>0</v>
      </c>
      <c r="J302">
        <f>IF(AT301&lt;=0,0,IF(ROUND(AT301*(1+'Calc base'!H302),2)-MAX('Calc base'!C$12,ROUND('Calc base'!C$13*AT301,2))&lt;1,ROUND(AT301*(1+'Calc base'!H302),2),MAX('Calc base'!C$12,ROUND('Calc base'!C$13*AT301,2))))</f>
        <v>0</v>
      </c>
      <c r="K302">
        <f>IF(AU301&lt;=0,0,IF(ROUND(AU301*(1+'Calc base'!I302),2)-MAX('Calc base'!D$12,ROUND('Calc base'!D$13*AU301,2))&lt;1,ROUND(AU301*(1+'Calc base'!I302),2),MAX('Calc base'!D$12,ROUND('Calc base'!D$13*AU301,2))))</f>
        <v>0</v>
      </c>
      <c r="L302">
        <f>IF(AV301&lt;=0,0,IF(ROUND(AV301*(1+'Calc base'!J302),2)-MAX('Calc base'!E$12,ROUND('Calc base'!E$13*AV301,2))&lt;1,ROUND(AV301*(1+'Calc base'!J302),2),MAX('Calc base'!E$12,ROUND('Calc base'!E$13*AV301,2))))</f>
        <v>0</v>
      </c>
      <c r="M302">
        <f>IF(AW301&lt;=0,0,IF(ROUND(AW301*(1+'Calc base'!K302),2)-MAX('Calc base'!F$12,ROUND('Calc base'!F$13*AW301,2))&lt;1,ROUND(AW301*(1+'Calc base'!K302),2),MAX('Calc base'!F$12,ROUND('Calc base'!F$13*AW301,2))))</f>
        <v>0</v>
      </c>
      <c r="N302">
        <f>IF(AX301&lt;=0,0,IF(ROUND(AX301*(1+'Calc base'!L302),2)-MAX('Calc base'!G$12,ROUND('Calc base'!G$13*AX301,2))&lt;1,ROUND(AX301*(1+'Calc base'!L302),2),MAX('Calc base'!G$12,ROUND('Calc base'!G$13*AX301,2))))</f>
        <v>0</v>
      </c>
      <c r="O302">
        <f>IF(AY301&lt;=0,0,IF(ROUND(AY301*(1+'Calc base'!M302),2)-MAX('Calc base'!H$12,ROUND('Calc base'!H$13*AY301,2))&lt;1,ROUND(AY301*(1+'Calc base'!M302),2),MAX('Calc base'!H$12,ROUND('Calc base'!H$13*AY301,2))))</f>
        <v>0</v>
      </c>
      <c r="P302">
        <f>IF(AZ301&lt;=0,0,IF(ROUND(AZ301*(1+'Calc base'!N302),2)-MAX('Calc base'!I$12,ROUND('Calc base'!I$13*AZ301,2))&lt;1,ROUND(AZ301*(1+'Calc base'!N302),2),MAX('Calc base'!I$12,ROUND('Calc base'!I$13*AZ301,2))))</f>
        <v>0</v>
      </c>
      <c r="Q302">
        <f>IF(BA301&lt;=0,0,IF(ROUND(BA301*(1+'Calc base'!O302),2)-MAX('Calc base'!J$12,ROUND('Calc base'!J$13*BA301,2))&lt;1,ROUND(BA301*(1+'Calc base'!O302),2),MAX('Calc base'!J$12,ROUND('Calc base'!J$13*BA301,2))))</f>
        <v>0</v>
      </c>
      <c r="R302">
        <f>IF(BB301&lt;=0,0,IF(ROUND(BB301*(1+'Calc base'!P302),2)-MAX('Calc base'!K$12,ROUND('Calc base'!K$13*BB301,2))&lt;1,ROUND(BB301*(1+'Calc base'!P302),2),MAX('Calc base'!K$12,ROUND('Calc base'!K$13*BB301,2))))</f>
        <v>0</v>
      </c>
      <c r="S302">
        <f>IF(BC301&lt;=0,0,IF(ROUND(BC301*(1+'Calc base'!Q302),2)-MAX('Calc base'!L$12,ROUND('Calc base'!L$13*BC301,2))&lt;1,ROUND(BC301*(1+'Calc base'!Q302),2),MAX('Calc base'!L$12,ROUND('Calc base'!L$13*BC301,2))))</f>
        <v>0</v>
      </c>
      <c r="T302">
        <f>IF(BD301&lt;=0,0,IF(ROUND(BD301*(1+'Calc base'!R302),2)-MAX('Calc base'!M$12,ROUND('Calc base'!M$13*BD301,2))&lt;1,ROUND(BD301*(1+'Calc base'!R302),2),MAX('Calc base'!M$12,ROUND('Calc base'!M$13*BD301,2))))</f>
        <v>0</v>
      </c>
      <c r="U302">
        <f>IF(BE301&lt;=0,0,IF(ROUND(BE301*(1+'Calc base'!S302),2)-MAX('Calc base'!N$12,ROUND('Calc base'!N$13*BE301,2))&lt;1,ROUND(BE301*(1+'Calc base'!S302),2),MAX('Calc base'!N$12,ROUND('Calc base'!N$13*BE301,2))))</f>
        <v>0</v>
      </c>
      <c r="V302">
        <f>MAX(0,ROUND(AT301*(1+'Calc base'!H302),2)-J302-'Calc base'!T302)</f>
        <v>0</v>
      </c>
      <c r="W302">
        <f>MAX(0,ROUND(AU301*(1+'Calc base'!I302),2)-K302-'Calc base'!U302)</f>
        <v>0</v>
      </c>
      <c r="X302">
        <f>MAX(0,ROUND(AV301*(1+'Calc base'!J302),2)-L302-'Calc base'!V302)</f>
        <v>0</v>
      </c>
      <c r="Y302">
        <f>MAX(0,ROUND(AW301*(1+'Calc base'!K302),2)-M302-'Calc base'!W302)</f>
        <v>0</v>
      </c>
      <c r="Z302">
        <f>MAX(0,ROUND(AX301*(1+'Calc base'!L302),2)-N302-'Calc base'!X302)</f>
        <v>0</v>
      </c>
      <c r="AA302">
        <f>MAX(0,ROUND(AY301*(1+'Calc base'!M302),2)-O302-'Calc base'!Y302)</f>
        <v>0</v>
      </c>
      <c r="AB302">
        <f>MAX(0,ROUND(AZ301*(1+'Calc base'!N302),2)-P302-'Calc base'!Z302)</f>
        <v>0</v>
      </c>
      <c r="AC302">
        <f>MAX(0,ROUND(BA301*(1+'Calc base'!O302),2)-Q302-'Calc base'!AA302)</f>
        <v>0</v>
      </c>
      <c r="AD302">
        <f>MAX(0,ROUND(BB301*(1+'Calc base'!P302),2)-R302-'Calc base'!AB302)</f>
        <v>0</v>
      </c>
      <c r="AE302">
        <f>MAX(0,ROUND(BC301*(1+'Calc base'!Q302),2)-S302-'Calc base'!AC302)</f>
        <v>0</v>
      </c>
      <c r="AF302">
        <f>MAX(0,ROUND(BD301*(1+'Calc base'!R302),2)-T302-'Calc base'!AD302)</f>
        <v>0</v>
      </c>
      <c r="AG302">
        <f>MAX(0,ROUND(BE301*(1+'Calc base'!S302),2)-U302-'Calc base'!AE302)</f>
        <v>0</v>
      </c>
      <c r="AH302">
        <f>IF('Calc base'!C$14=0,0,MIN(V302,MAX(0,$E302-SUMIFS($V302:$AG302,'Calc base'!$C$19:$N$19,"&lt;"&amp;'Calc base'!C$19,'Calc base'!$C$14:$N$14,1))))</f>
        <v>0</v>
      </c>
      <c r="AI302">
        <f>IF('Calc base'!D$14=0,0,MIN(W302,MAX(0,$E302-SUMIFS($V302:$AG302,'Calc base'!$C$19:$N$19,"&lt;"&amp;'Calc base'!D$19,'Calc base'!$C$14:$N$14,1))))</f>
        <v>0</v>
      </c>
      <c r="AJ302">
        <f>IF('Calc base'!E$14=0,0,MIN(X302,MAX(0,$E302-SUMIFS($V302:$AG302,'Calc base'!$C$19:$N$19,"&lt;"&amp;'Calc base'!E$19,'Calc base'!$C$14:$N$14,1))))</f>
        <v>0</v>
      </c>
      <c r="AK302">
        <f>IF('Calc base'!F$14=0,0,MIN(Y302,MAX(0,$E302-SUMIFS($V302:$AG302,'Calc base'!$C$19:$N$19,"&lt;"&amp;'Calc base'!F$19,'Calc base'!$C$14:$N$14,1))))</f>
        <v>0</v>
      </c>
      <c r="AL302">
        <f>IF('Calc base'!G$14=0,0,MIN(Z302,MAX(0,$E302-SUMIFS($V302:$AG302,'Calc base'!$C$19:$N$19,"&lt;"&amp;'Calc base'!G$19,'Calc base'!$C$14:$N$14,1))))</f>
        <v>0</v>
      </c>
      <c r="AM302">
        <f>IF('Calc base'!H$14=0,0,MIN(AA302,MAX(0,$E302-SUMIFS($V302:$AG302,'Calc base'!$C$19:$N$19,"&lt;"&amp;'Calc base'!H$19,'Calc base'!$C$14:$N$14,1))))</f>
        <v>0</v>
      </c>
      <c r="AN302">
        <f>IF('Calc base'!I$14=0,0,MIN(AB302,MAX(0,$E302-SUMIFS($V302:$AG302,'Calc base'!$C$19:$N$19,"&lt;"&amp;'Calc base'!I$19,'Calc base'!$C$14:$N$14,1))))</f>
        <v>0</v>
      </c>
      <c r="AO302">
        <f>IF('Calc base'!J$14=0,0,MIN(AC302,MAX(0,$E302-SUMIFS($V302:$AG302,'Calc base'!$C$19:$N$19,"&lt;"&amp;'Calc base'!J$19,'Calc base'!$C$14:$N$14,1))))</f>
        <v>0</v>
      </c>
      <c r="AP302">
        <f>IF('Calc base'!K$14=0,0,MIN(AD302,MAX(0,$E302-SUMIFS($V302:$AG302,'Calc base'!$C$19:$N$19,"&lt;"&amp;'Calc base'!K$19,'Calc base'!$C$14:$N$14,1))))</f>
        <v>0</v>
      </c>
      <c r="AQ302">
        <f>IF('Calc base'!L$14=0,0,MIN(AE302,MAX(0,$E302-SUMIFS($V302:$AG302,'Calc base'!$C$19:$N$19,"&lt;"&amp;'Calc base'!L$19,'Calc base'!$C$14:$N$14,1))))</f>
        <v>0</v>
      </c>
      <c r="AR302">
        <f>IF('Calc base'!M$14=0,0,MIN(AF302,MAX(0,$E302-SUMIFS($V302:$AG302,'Calc base'!$C$19:$N$19,"&lt;"&amp;'Calc base'!M$19,'Calc base'!$C$14:$N$14,1))))</f>
        <v>0</v>
      </c>
      <c r="AS302">
        <f>IF('Calc base'!N$14=0,0,MIN(AG302,MAX(0,$E302-SUMIFS($V302:$AG302,'Calc base'!$C$19:$N$19,"&lt;"&amp;'Calc base'!N$19,'Calc base'!$C$14:$N$14,1))))</f>
        <v>0</v>
      </c>
      <c r="AT302">
        <f>V302-AH302</f>
        <v>0</v>
      </c>
      <c r="AU302">
        <f>W302-AI302</f>
        <v>0</v>
      </c>
      <c r="AV302">
        <f>X302-AJ302</f>
        <v>0</v>
      </c>
      <c r="AW302">
        <f>Y302-AK302</f>
        <v>0</v>
      </c>
      <c r="AX302">
        <f>Z302-AL302</f>
        <v>0</v>
      </c>
      <c r="AY302">
        <f>AA302-AM302</f>
        <v>0</v>
      </c>
      <c r="AZ302">
        <f>AB302-AN302</f>
        <v>0</v>
      </c>
      <c r="BA302">
        <f>AC302-AO302</f>
        <v>0</v>
      </c>
      <c r="BB302">
        <f>AD302-AP302</f>
        <v>0</v>
      </c>
      <c r="BC302">
        <f>AE302-AQ302</f>
        <v>0</v>
      </c>
      <c r="BD302">
        <f>AF302-AR302</f>
        <v>0</v>
      </c>
      <c r="BE302">
        <f>AG302-AS302</f>
        <v>0</v>
      </c>
    </row>
    <row r="303">
      <c r="A303" t="n">
        <v>273</v>
      </c>
      <c r="B303">
        <f>SUMPRODUCT(ROUND($AT302:$BE302*(1+'Calc base'!$H303:$S303),2))</f>
        <v>0</v>
      </c>
      <c r="C303">
        <f>SUM(J303:U303)</f>
        <v>0</v>
      </c>
      <c r="D303">
        <f>SUM(V303:AG303)</f>
        <v>0</v>
      </c>
      <c r="E303">
        <f>MAX(0,IF(Impostazioni!$B$7="No",'Calc base'!$C303-$C$31,'Calc base'!$C303-C303)+'Calc base'!$G303+'Calc base'!$F303-(B303-C303-D303))</f>
        <v>900</v>
      </c>
      <c r="F303">
        <f>SUM(AH303:AS303)</f>
        <v>0</v>
      </c>
      <c r="G303">
        <f>SUM(AT303:BE303)</f>
        <v>0</v>
      </c>
      <c r="H303">
        <f>B303-G302</f>
        <v>0</v>
      </c>
      <c r="I303">
        <f>B303-G303</f>
        <v>0</v>
      </c>
      <c r="J303">
        <f>IF(AT302&lt;=0,0,IF(ROUND(AT302*(1+'Calc base'!H303),2)-MAX('Calc base'!C$12,ROUND('Calc base'!C$13*AT302,2))&lt;1,ROUND(AT302*(1+'Calc base'!H303),2),MAX('Calc base'!C$12,ROUND('Calc base'!C$13*AT302,2))))</f>
        <v>0</v>
      </c>
      <c r="K303">
        <f>IF(AU302&lt;=0,0,IF(ROUND(AU302*(1+'Calc base'!I303),2)-MAX('Calc base'!D$12,ROUND('Calc base'!D$13*AU302,2))&lt;1,ROUND(AU302*(1+'Calc base'!I303),2),MAX('Calc base'!D$12,ROUND('Calc base'!D$13*AU302,2))))</f>
        <v>0</v>
      </c>
      <c r="L303">
        <f>IF(AV302&lt;=0,0,IF(ROUND(AV302*(1+'Calc base'!J303),2)-MAX('Calc base'!E$12,ROUND('Calc base'!E$13*AV302,2))&lt;1,ROUND(AV302*(1+'Calc base'!J303),2),MAX('Calc base'!E$12,ROUND('Calc base'!E$13*AV302,2))))</f>
        <v>0</v>
      </c>
      <c r="M303">
        <f>IF(AW302&lt;=0,0,IF(ROUND(AW302*(1+'Calc base'!K303),2)-MAX('Calc base'!F$12,ROUND('Calc base'!F$13*AW302,2))&lt;1,ROUND(AW302*(1+'Calc base'!K303),2),MAX('Calc base'!F$12,ROUND('Calc base'!F$13*AW302,2))))</f>
        <v>0</v>
      </c>
      <c r="N303">
        <f>IF(AX302&lt;=0,0,IF(ROUND(AX302*(1+'Calc base'!L303),2)-MAX('Calc base'!G$12,ROUND('Calc base'!G$13*AX302,2))&lt;1,ROUND(AX302*(1+'Calc base'!L303),2),MAX('Calc base'!G$12,ROUND('Calc base'!G$13*AX302,2))))</f>
        <v>0</v>
      </c>
      <c r="O303">
        <f>IF(AY302&lt;=0,0,IF(ROUND(AY302*(1+'Calc base'!M303),2)-MAX('Calc base'!H$12,ROUND('Calc base'!H$13*AY302,2))&lt;1,ROUND(AY302*(1+'Calc base'!M303),2),MAX('Calc base'!H$12,ROUND('Calc base'!H$13*AY302,2))))</f>
        <v>0</v>
      </c>
      <c r="P303">
        <f>IF(AZ302&lt;=0,0,IF(ROUND(AZ302*(1+'Calc base'!N303),2)-MAX('Calc base'!I$12,ROUND('Calc base'!I$13*AZ302,2))&lt;1,ROUND(AZ302*(1+'Calc base'!N303),2),MAX('Calc base'!I$12,ROUND('Calc base'!I$13*AZ302,2))))</f>
        <v>0</v>
      </c>
      <c r="Q303">
        <f>IF(BA302&lt;=0,0,IF(ROUND(BA302*(1+'Calc base'!O303),2)-MAX('Calc base'!J$12,ROUND('Calc base'!J$13*BA302,2))&lt;1,ROUND(BA302*(1+'Calc base'!O303),2),MAX('Calc base'!J$12,ROUND('Calc base'!J$13*BA302,2))))</f>
        <v>0</v>
      </c>
      <c r="R303">
        <f>IF(BB302&lt;=0,0,IF(ROUND(BB302*(1+'Calc base'!P303),2)-MAX('Calc base'!K$12,ROUND('Calc base'!K$13*BB302,2))&lt;1,ROUND(BB302*(1+'Calc base'!P303),2),MAX('Calc base'!K$12,ROUND('Calc base'!K$13*BB302,2))))</f>
        <v>0</v>
      </c>
      <c r="S303">
        <f>IF(BC302&lt;=0,0,IF(ROUND(BC302*(1+'Calc base'!Q303),2)-MAX('Calc base'!L$12,ROUND('Calc base'!L$13*BC302,2))&lt;1,ROUND(BC302*(1+'Calc base'!Q303),2),MAX('Calc base'!L$12,ROUND('Calc base'!L$13*BC302,2))))</f>
        <v>0</v>
      </c>
      <c r="T303">
        <f>IF(BD302&lt;=0,0,IF(ROUND(BD302*(1+'Calc base'!R303),2)-MAX('Calc base'!M$12,ROUND('Calc base'!M$13*BD302,2))&lt;1,ROUND(BD302*(1+'Calc base'!R303),2),MAX('Calc base'!M$12,ROUND('Calc base'!M$13*BD302,2))))</f>
        <v>0</v>
      </c>
      <c r="U303">
        <f>IF(BE302&lt;=0,0,IF(ROUND(BE302*(1+'Calc base'!S303),2)-MAX('Calc base'!N$12,ROUND('Calc base'!N$13*BE302,2))&lt;1,ROUND(BE302*(1+'Calc base'!S303),2),MAX('Calc base'!N$12,ROUND('Calc base'!N$13*BE302,2))))</f>
        <v>0</v>
      </c>
      <c r="V303">
        <f>MAX(0,ROUND(AT302*(1+'Calc base'!H303),2)-J303-'Calc base'!T303)</f>
        <v>0</v>
      </c>
      <c r="W303">
        <f>MAX(0,ROUND(AU302*(1+'Calc base'!I303),2)-K303-'Calc base'!U303)</f>
        <v>0</v>
      </c>
      <c r="X303">
        <f>MAX(0,ROUND(AV302*(1+'Calc base'!J303),2)-L303-'Calc base'!V303)</f>
        <v>0</v>
      </c>
      <c r="Y303">
        <f>MAX(0,ROUND(AW302*(1+'Calc base'!K303),2)-M303-'Calc base'!W303)</f>
        <v>0</v>
      </c>
      <c r="Z303">
        <f>MAX(0,ROUND(AX302*(1+'Calc base'!L303),2)-N303-'Calc base'!X303)</f>
        <v>0</v>
      </c>
      <c r="AA303">
        <f>MAX(0,ROUND(AY302*(1+'Calc base'!M303),2)-O303-'Calc base'!Y303)</f>
        <v>0</v>
      </c>
      <c r="AB303">
        <f>MAX(0,ROUND(AZ302*(1+'Calc base'!N303),2)-P303-'Calc base'!Z303)</f>
        <v>0</v>
      </c>
      <c r="AC303">
        <f>MAX(0,ROUND(BA302*(1+'Calc base'!O303),2)-Q303-'Calc base'!AA303)</f>
        <v>0</v>
      </c>
      <c r="AD303">
        <f>MAX(0,ROUND(BB302*(1+'Calc base'!P303),2)-R303-'Calc base'!AB303)</f>
        <v>0</v>
      </c>
      <c r="AE303">
        <f>MAX(0,ROUND(BC302*(1+'Calc base'!Q303),2)-S303-'Calc base'!AC303)</f>
        <v>0</v>
      </c>
      <c r="AF303">
        <f>MAX(0,ROUND(BD302*(1+'Calc base'!R303),2)-T303-'Calc base'!AD303)</f>
        <v>0</v>
      </c>
      <c r="AG303">
        <f>MAX(0,ROUND(BE302*(1+'Calc base'!S303),2)-U303-'Calc base'!AE303)</f>
        <v>0</v>
      </c>
      <c r="AH303">
        <f>IF('Calc base'!C$14=0,0,MIN(V303,MAX(0,$E303-SUMIFS($V303:$AG303,'Calc base'!$C$19:$N$19,"&lt;"&amp;'Calc base'!C$19,'Calc base'!$C$14:$N$14,1))))</f>
        <v>0</v>
      </c>
      <c r="AI303">
        <f>IF('Calc base'!D$14=0,0,MIN(W303,MAX(0,$E303-SUMIFS($V303:$AG303,'Calc base'!$C$19:$N$19,"&lt;"&amp;'Calc base'!D$19,'Calc base'!$C$14:$N$14,1))))</f>
        <v>0</v>
      </c>
      <c r="AJ303">
        <f>IF('Calc base'!E$14=0,0,MIN(X303,MAX(0,$E303-SUMIFS($V303:$AG303,'Calc base'!$C$19:$N$19,"&lt;"&amp;'Calc base'!E$19,'Calc base'!$C$14:$N$14,1))))</f>
        <v>0</v>
      </c>
      <c r="AK303">
        <f>IF('Calc base'!F$14=0,0,MIN(Y303,MAX(0,$E303-SUMIFS($V303:$AG303,'Calc base'!$C$19:$N$19,"&lt;"&amp;'Calc base'!F$19,'Calc base'!$C$14:$N$14,1))))</f>
        <v>0</v>
      </c>
      <c r="AL303">
        <f>IF('Calc base'!G$14=0,0,MIN(Z303,MAX(0,$E303-SUMIFS($V303:$AG303,'Calc base'!$C$19:$N$19,"&lt;"&amp;'Calc base'!G$19,'Calc base'!$C$14:$N$14,1))))</f>
        <v>0</v>
      </c>
      <c r="AM303">
        <f>IF('Calc base'!H$14=0,0,MIN(AA303,MAX(0,$E303-SUMIFS($V303:$AG303,'Calc base'!$C$19:$N$19,"&lt;"&amp;'Calc base'!H$19,'Calc base'!$C$14:$N$14,1))))</f>
        <v>0</v>
      </c>
      <c r="AN303">
        <f>IF('Calc base'!I$14=0,0,MIN(AB303,MAX(0,$E303-SUMIFS($V303:$AG303,'Calc base'!$C$19:$N$19,"&lt;"&amp;'Calc base'!I$19,'Calc base'!$C$14:$N$14,1))))</f>
        <v>0</v>
      </c>
      <c r="AO303">
        <f>IF('Calc base'!J$14=0,0,MIN(AC303,MAX(0,$E303-SUMIFS($V303:$AG303,'Calc base'!$C$19:$N$19,"&lt;"&amp;'Calc base'!J$19,'Calc base'!$C$14:$N$14,1))))</f>
        <v>0</v>
      </c>
      <c r="AP303">
        <f>IF('Calc base'!K$14=0,0,MIN(AD303,MAX(0,$E303-SUMIFS($V303:$AG303,'Calc base'!$C$19:$N$19,"&lt;"&amp;'Calc base'!K$19,'Calc base'!$C$14:$N$14,1))))</f>
        <v>0</v>
      </c>
      <c r="AQ303">
        <f>IF('Calc base'!L$14=0,0,MIN(AE303,MAX(0,$E303-SUMIFS($V303:$AG303,'Calc base'!$C$19:$N$19,"&lt;"&amp;'Calc base'!L$19,'Calc base'!$C$14:$N$14,1))))</f>
        <v>0</v>
      </c>
      <c r="AR303">
        <f>IF('Calc base'!M$14=0,0,MIN(AF303,MAX(0,$E303-SUMIFS($V303:$AG303,'Calc base'!$C$19:$N$19,"&lt;"&amp;'Calc base'!M$19,'Calc base'!$C$14:$N$14,1))))</f>
        <v>0</v>
      </c>
      <c r="AS303">
        <f>IF('Calc base'!N$14=0,0,MIN(AG303,MAX(0,$E303-SUMIFS($V303:$AG303,'Calc base'!$C$19:$N$19,"&lt;"&amp;'Calc base'!N$19,'Calc base'!$C$14:$N$14,1))))</f>
        <v>0</v>
      </c>
      <c r="AT303">
        <f>V303-AH303</f>
        <v>0</v>
      </c>
      <c r="AU303">
        <f>W303-AI303</f>
        <v>0</v>
      </c>
      <c r="AV303">
        <f>X303-AJ303</f>
        <v>0</v>
      </c>
      <c r="AW303">
        <f>Y303-AK303</f>
        <v>0</v>
      </c>
      <c r="AX303">
        <f>Z303-AL303</f>
        <v>0</v>
      </c>
      <c r="AY303">
        <f>AA303-AM303</f>
        <v>0</v>
      </c>
      <c r="AZ303">
        <f>AB303-AN303</f>
        <v>0</v>
      </c>
      <c r="BA303">
        <f>AC303-AO303</f>
        <v>0</v>
      </c>
      <c r="BB303">
        <f>AD303-AP303</f>
        <v>0</v>
      </c>
      <c r="BC303">
        <f>AE303-AQ303</f>
        <v>0</v>
      </c>
      <c r="BD303">
        <f>AF303-AR303</f>
        <v>0</v>
      </c>
      <c r="BE303">
        <f>AG303-AS303</f>
        <v>0</v>
      </c>
    </row>
    <row r="304">
      <c r="A304" t="n">
        <v>274</v>
      </c>
      <c r="B304">
        <f>SUMPRODUCT(ROUND($AT303:$BE303*(1+'Calc base'!$H304:$S304),2))</f>
        <v>0</v>
      </c>
      <c r="C304">
        <f>SUM(J304:U304)</f>
        <v>0</v>
      </c>
      <c r="D304">
        <f>SUM(V304:AG304)</f>
        <v>0</v>
      </c>
      <c r="E304">
        <f>MAX(0,IF(Impostazioni!$B$7="No",'Calc base'!$C304-$C$31,'Calc base'!$C304-C304)+'Calc base'!$G304+'Calc base'!$F304-(B304-C304-D304))</f>
        <v>900</v>
      </c>
      <c r="F304">
        <f>SUM(AH304:AS304)</f>
        <v>0</v>
      </c>
      <c r="G304">
        <f>SUM(AT304:BE304)</f>
        <v>0</v>
      </c>
      <c r="H304">
        <f>B304-G303</f>
        <v>0</v>
      </c>
      <c r="I304">
        <f>B304-G304</f>
        <v>0</v>
      </c>
      <c r="J304">
        <f>IF(AT303&lt;=0,0,IF(ROUND(AT303*(1+'Calc base'!H304),2)-MAX('Calc base'!C$12,ROUND('Calc base'!C$13*AT303,2))&lt;1,ROUND(AT303*(1+'Calc base'!H304),2),MAX('Calc base'!C$12,ROUND('Calc base'!C$13*AT303,2))))</f>
        <v>0</v>
      </c>
      <c r="K304">
        <f>IF(AU303&lt;=0,0,IF(ROUND(AU303*(1+'Calc base'!I304),2)-MAX('Calc base'!D$12,ROUND('Calc base'!D$13*AU303,2))&lt;1,ROUND(AU303*(1+'Calc base'!I304),2),MAX('Calc base'!D$12,ROUND('Calc base'!D$13*AU303,2))))</f>
        <v>0</v>
      </c>
      <c r="L304">
        <f>IF(AV303&lt;=0,0,IF(ROUND(AV303*(1+'Calc base'!J304),2)-MAX('Calc base'!E$12,ROUND('Calc base'!E$13*AV303,2))&lt;1,ROUND(AV303*(1+'Calc base'!J304),2),MAX('Calc base'!E$12,ROUND('Calc base'!E$13*AV303,2))))</f>
        <v>0</v>
      </c>
      <c r="M304">
        <f>IF(AW303&lt;=0,0,IF(ROUND(AW303*(1+'Calc base'!K304),2)-MAX('Calc base'!F$12,ROUND('Calc base'!F$13*AW303,2))&lt;1,ROUND(AW303*(1+'Calc base'!K304),2),MAX('Calc base'!F$12,ROUND('Calc base'!F$13*AW303,2))))</f>
        <v>0</v>
      </c>
      <c r="N304">
        <f>IF(AX303&lt;=0,0,IF(ROUND(AX303*(1+'Calc base'!L304),2)-MAX('Calc base'!G$12,ROUND('Calc base'!G$13*AX303,2))&lt;1,ROUND(AX303*(1+'Calc base'!L304),2),MAX('Calc base'!G$12,ROUND('Calc base'!G$13*AX303,2))))</f>
        <v>0</v>
      </c>
      <c r="O304">
        <f>IF(AY303&lt;=0,0,IF(ROUND(AY303*(1+'Calc base'!M304),2)-MAX('Calc base'!H$12,ROUND('Calc base'!H$13*AY303,2))&lt;1,ROUND(AY303*(1+'Calc base'!M304),2),MAX('Calc base'!H$12,ROUND('Calc base'!H$13*AY303,2))))</f>
        <v>0</v>
      </c>
      <c r="P304">
        <f>IF(AZ303&lt;=0,0,IF(ROUND(AZ303*(1+'Calc base'!N304),2)-MAX('Calc base'!I$12,ROUND('Calc base'!I$13*AZ303,2))&lt;1,ROUND(AZ303*(1+'Calc base'!N304),2),MAX('Calc base'!I$12,ROUND('Calc base'!I$13*AZ303,2))))</f>
        <v>0</v>
      </c>
      <c r="Q304">
        <f>IF(BA303&lt;=0,0,IF(ROUND(BA303*(1+'Calc base'!O304),2)-MAX('Calc base'!J$12,ROUND('Calc base'!J$13*BA303,2))&lt;1,ROUND(BA303*(1+'Calc base'!O304),2),MAX('Calc base'!J$12,ROUND('Calc base'!J$13*BA303,2))))</f>
        <v>0</v>
      </c>
      <c r="R304">
        <f>IF(BB303&lt;=0,0,IF(ROUND(BB303*(1+'Calc base'!P304),2)-MAX('Calc base'!K$12,ROUND('Calc base'!K$13*BB303,2))&lt;1,ROUND(BB303*(1+'Calc base'!P304),2),MAX('Calc base'!K$12,ROUND('Calc base'!K$13*BB303,2))))</f>
        <v>0</v>
      </c>
      <c r="S304">
        <f>IF(BC303&lt;=0,0,IF(ROUND(BC303*(1+'Calc base'!Q304),2)-MAX('Calc base'!L$12,ROUND('Calc base'!L$13*BC303,2))&lt;1,ROUND(BC303*(1+'Calc base'!Q304),2),MAX('Calc base'!L$12,ROUND('Calc base'!L$13*BC303,2))))</f>
        <v>0</v>
      </c>
      <c r="T304">
        <f>IF(BD303&lt;=0,0,IF(ROUND(BD303*(1+'Calc base'!R304),2)-MAX('Calc base'!M$12,ROUND('Calc base'!M$13*BD303,2))&lt;1,ROUND(BD303*(1+'Calc base'!R304),2),MAX('Calc base'!M$12,ROUND('Calc base'!M$13*BD303,2))))</f>
        <v>0</v>
      </c>
      <c r="U304">
        <f>IF(BE303&lt;=0,0,IF(ROUND(BE303*(1+'Calc base'!S304),2)-MAX('Calc base'!N$12,ROUND('Calc base'!N$13*BE303,2))&lt;1,ROUND(BE303*(1+'Calc base'!S304),2),MAX('Calc base'!N$12,ROUND('Calc base'!N$13*BE303,2))))</f>
        <v>0</v>
      </c>
      <c r="V304">
        <f>MAX(0,ROUND(AT303*(1+'Calc base'!H304),2)-J304-'Calc base'!T304)</f>
        <v>0</v>
      </c>
      <c r="W304">
        <f>MAX(0,ROUND(AU303*(1+'Calc base'!I304),2)-K304-'Calc base'!U304)</f>
        <v>0</v>
      </c>
      <c r="X304">
        <f>MAX(0,ROUND(AV303*(1+'Calc base'!J304),2)-L304-'Calc base'!V304)</f>
        <v>0</v>
      </c>
      <c r="Y304">
        <f>MAX(0,ROUND(AW303*(1+'Calc base'!K304),2)-M304-'Calc base'!W304)</f>
        <v>0</v>
      </c>
      <c r="Z304">
        <f>MAX(0,ROUND(AX303*(1+'Calc base'!L304),2)-N304-'Calc base'!X304)</f>
        <v>0</v>
      </c>
      <c r="AA304">
        <f>MAX(0,ROUND(AY303*(1+'Calc base'!M304),2)-O304-'Calc base'!Y304)</f>
        <v>0</v>
      </c>
      <c r="AB304">
        <f>MAX(0,ROUND(AZ303*(1+'Calc base'!N304),2)-P304-'Calc base'!Z304)</f>
        <v>0</v>
      </c>
      <c r="AC304">
        <f>MAX(0,ROUND(BA303*(1+'Calc base'!O304),2)-Q304-'Calc base'!AA304)</f>
        <v>0</v>
      </c>
      <c r="AD304">
        <f>MAX(0,ROUND(BB303*(1+'Calc base'!P304),2)-R304-'Calc base'!AB304)</f>
        <v>0</v>
      </c>
      <c r="AE304">
        <f>MAX(0,ROUND(BC303*(1+'Calc base'!Q304),2)-S304-'Calc base'!AC304)</f>
        <v>0</v>
      </c>
      <c r="AF304">
        <f>MAX(0,ROUND(BD303*(1+'Calc base'!R304),2)-T304-'Calc base'!AD304)</f>
        <v>0</v>
      </c>
      <c r="AG304">
        <f>MAX(0,ROUND(BE303*(1+'Calc base'!S304),2)-U304-'Calc base'!AE304)</f>
        <v>0</v>
      </c>
      <c r="AH304">
        <f>IF('Calc base'!C$14=0,0,MIN(V304,MAX(0,$E304-SUMIFS($V304:$AG304,'Calc base'!$C$19:$N$19,"&lt;"&amp;'Calc base'!C$19,'Calc base'!$C$14:$N$14,1))))</f>
        <v>0</v>
      </c>
      <c r="AI304">
        <f>IF('Calc base'!D$14=0,0,MIN(W304,MAX(0,$E304-SUMIFS($V304:$AG304,'Calc base'!$C$19:$N$19,"&lt;"&amp;'Calc base'!D$19,'Calc base'!$C$14:$N$14,1))))</f>
        <v>0</v>
      </c>
      <c r="AJ304">
        <f>IF('Calc base'!E$14=0,0,MIN(X304,MAX(0,$E304-SUMIFS($V304:$AG304,'Calc base'!$C$19:$N$19,"&lt;"&amp;'Calc base'!E$19,'Calc base'!$C$14:$N$14,1))))</f>
        <v>0</v>
      </c>
      <c r="AK304">
        <f>IF('Calc base'!F$14=0,0,MIN(Y304,MAX(0,$E304-SUMIFS($V304:$AG304,'Calc base'!$C$19:$N$19,"&lt;"&amp;'Calc base'!F$19,'Calc base'!$C$14:$N$14,1))))</f>
        <v>0</v>
      </c>
      <c r="AL304">
        <f>IF('Calc base'!G$14=0,0,MIN(Z304,MAX(0,$E304-SUMIFS($V304:$AG304,'Calc base'!$C$19:$N$19,"&lt;"&amp;'Calc base'!G$19,'Calc base'!$C$14:$N$14,1))))</f>
        <v>0</v>
      </c>
      <c r="AM304">
        <f>IF('Calc base'!H$14=0,0,MIN(AA304,MAX(0,$E304-SUMIFS($V304:$AG304,'Calc base'!$C$19:$N$19,"&lt;"&amp;'Calc base'!H$19,'Calc base'!$C$14:$N$14,1))))</f>
        <v>0</v>
      </c>
      <c r="AN304">
        <f>IF('Calc base'!I$14=0,0,MIN(AB304,MAX(0,$E304-SUMIFS($V304:$AG304,'Calc base'!$C$19:$N$19,"&lt;"&amp;'Calc base'!I$19,'Calc base'!$C$14:$N$14,1))))</f>
        <v>0</v>
      </c>
      <c r="AO304">
        <f>IF('Calc base'!J$14=0,0,MIN(AC304,MAX(0,$E304-SUMIFS($V304:$AG304,'Calc base'!$C$19:$N$19,"&lt;"&amp;'Calc base'!J$19,'Calc base'!$C$14:$N$14,1))))</f>
        <v>0</v>
      </c>
      <c r="AP304">
        <f>IF('Calc base'!K$14=0,0,MIN(AD304,MAX(0,$E304-SUMIFS($V304:$AG304,'Calc base'!$C$19:$N$19,"&lt;"&amp;'Calc base'!K$19,'Calc base'!$C$14:$N$14,1))))</f>
        <v>0</v>
      </c>
      <c r="AQ304">
        <f>IF('Calc base'!L$14=0,0,MIN(AE304,MAX(0,$E304-SUMIFS($V304:$AG304,'Calc base'!$C$19:$N$19,"&lt;"&amp;'Calc base'!L$19,'Calc base'!$C$14:$N$14,1))))</f>
        <v>0</v>
      </c>
      <c r="AR304">
        <f>IF('Calc base'!M$14=0,0,MIN(AF304,MAX(0,$E304-SUMIFS($V304:$AG304,'Calc base'!$C$19:$N$19,"&lt;"&amp;'Calc base'!M$19,'Calc base'!$C$14:$N$14,1))))</f>
        <v>0</v>
      </c>
      <c r="AS304">
        <f>IF('Calc base'!N$14=0,0,MIN(AG304,MAX(0,$E304-SUMIFS($V304:$AG304,'Calc base'!$C$19:$N$19,"&lt;"&amp;'Calc base'!N$19,'Calc base'!$C$14:$N$14,1))))</f>
        <v>0</v>
      </c>
      <c r="AT304">
        <f>V304-AH304</f>
        <v>0</v>
      </c>
      <c r="AU304">
        <f>W304-AI304</f>
        <v>0</v>
      </c>
      <c r="AV304">
        <f>X304-AJ304</f>
        <v>0</v>
      </c>
      <c r="AW304">
        <f>Y304-AK304</f>
        <v>0</v>
      </c>
      <c r="AX304">
        <f>Z304-AL304</f>
        <v>0</v>
      </c>
      <c r="AY304">
        <f>AA304-AM304</f>
        <v>0</v>
      </c>
      <c r="AZ304">
        <f>AB304-AN304</f>
        <v>0</v>
      </c>
      <c r="BA304">
        <f>AC304-AO304</f>
        <v>0</v>
      </c>
      <c r="BB304">
        <f>AD304-AP304</f>
        <v>0</v>
      </c>
      <c r="BC304">
        <f>AE304-AQ304</f>
        <v>0</v>
      </c>
      <c r="BD304">
        <f>AF304-AR304</f>
        <v>0</v>
      </c>
      <c r="BE304">
        <f>AG304-AS304</f>
        <v>0</v>
      </c>
    </row>
    <row r="305">
      <c r="A305" t="n">
        <v>275</v>
      </c>
      <c r="B305">
        <f>SUMPRODUCT(ROUND($AT304:$BE304*(1+'Calc base'!$H305:$S305),2))</f>
        <v>0</v>
      </c>
      <c r="C305">
        <f>SUM(J305:U305)</f>
        <v>0</v>
      </c>
      <c r="D305">
        <f>SUM(V305:AG305)</f>
        <v>0</v>
      </c>
      <c r="E305">
        <f>MAX(0,IF(Impostazioni!$B$7="No",'Calc base'!$C305-$C$31,'Calc base'!$C305-C305)+'Calc base'!$G305+'Calc base'!$F305-(B305-C305-D305))</f>
        <v>900</v>
      </c>
      <c r="F305">
        <f>SUM(AH305:AS305)</f>
        <v>0</v>
      </c>
      <c r="G305">
        <f>SUM(AT305:BE305)</f>
        <v>0</v>
      </c>
      <c r="H305">
        <f>B305-G304</f>
        <v>0</v>
      </c>
      <c r="I305">
        <f>B305-G305</f>
        <v>0</v>
      </c>
      <c r="J305">
        <f>IF(AT304&lt;=0,0,IF(ROUND(AT304*(1+'Calc base'!H305),2)-MAX('Calc base'!C$12,ROUND('Calc base'!C$13*AT304,2))&lt;1,ROUND(AT304*(1+'Calc base'!H305),2),MAX('Calc base'!C$12,ROUND('Calc base'!C$13*AT304,2))))</f>
        <v>0</v>
      </c>
      <c r="K305">
        <f>IF(AU304&lt;=0,0,IF(ROUND(AU304*(1+'Calc base'!I305),2)-MAX('Calc base'!D$12,ROUND('Calc base'!D$13*AU304,2))&lt;1,ROUND(AU304*(1+'Calc base'!I305),2),MAX('Calc base'!D$12,ROUND('Calc base'!D$13*AU304,2))))</f>
        <v>0</v>
      </c>
      <c r="L305">
        <f>IF(AV304&lt;=0,0,IF(ROUND(AV304*(1+'Calc base'!J305),2)-MAX('Calc base'!E$12,ROUND('Calc base'!E$13*AV304,2))&lt;1,ROUND(AV304*(1+'Calc base'!J305),2),MAX('Calc base'!E$12,ROUND('Calc base'!E$13*AV304,2))))</f>
        <v>0</v>
      </c>
      <c r="M305">
        <f>IF(AW304&lt;=0,0,IF(ROUND(AW304*(1+'Calc base'!K305),2)-MAX('Calc base'!F$12,ROUND('Calc base'!F$13*AW304,2))&lt;1,ROUND(AW304*(1+'Calc base'!K305),2),MAX('Calc base'!F$12,ROUND('Calc base'!F$13*AW304,2))))</f>
        <v>0</v>
      </c>
      <c r="N305">
        <f>IF(AX304&lt;=0,0,IF(ROUND(AX304*(1+'Calc base'!L305),2)-MAX('Calc base'!G$12,ROUND('Calc base'!G$13*AX304,2))&lt;1,ROUND(AX304*(1+'Calc base'!L305),2),MAX('Calc base'!G$12,ROUND('Calc base'!G$13*AX304,2))))</f>
        <v>0</v>
      </c>
      <c r="O305">
        <f>IF(AY304&lt;=0,0,IF(ROUND(AY304*(1+'Calc base'!M305),2)-MAX('Calc base'!H$12,ROUND('Calc base'!H$13*AY304,2))&lt;1,ROUND(AY304*(1+'Calc base'!M305),2),MAX('Calc base'!H$12,ROUND('Calc base'!H$13*AY304,2))))</f>
        <v>0</v>
      </c>
      <c r="P305">
        <f>IF(AZ304&lt;=0,0,IF(ROUND(AZ304*(1+'Calc base'!N305),2)-MAX('Calc base'!I$12,ROUND('Calc base'!I$13*AZ304,2))&lt;1,ROUND(AZ304*(1+'Calc base'!N305),2),MAX('Calc base'!I$12,ROUND('Calc base'!I$13*AZ304,2))))</f>
        <v>0</v>
      </c>
      <c r="Q305">
        <f>IF(BA304&lt;=0,0,IF(ROUND(BA304*(1+'Calc base'!O305),2)-MAX('Calc base'!J$12,ROUND('Calc base'!J$13*BA304,2))&lt;1,ROUND(BA304*(1+'Calc base'!O305),2),MAX('Calc base'!J$12,ROUND('Calc base'!J$13*BA304,2))))</f>
        <v>0</v>
      </c>
      <c r="R305">
        <f>IF(BB304&lt;=0,0,IF(ROUND(BB304*(1+'Calc base'!P305),2)-MAX('Calc base'!K$12,ROUND('Calc base'!K$13*BB304,2))&lt;1,ROUND(BB304*(1+'Calc base'!P305),2),MAX('Calc base'!K$12,ROUND('Calc base'!K$13*BB304,2))))</f>
        <v>0</v>
      </c>
      <c r="S305">
        <f>IF(BC304&lt;=0,0,IF(ROUND(BC304*(1+'Calc base'!Q305),2)-MAX('Calc base'!L$12,ROUND('Calc base'!L$13*BC304,2))&lt;1,ROUND(BC304*(1+'Calc base'!Q305),2),MAX('Calc base'!L$12,ROUND('Calc base'!L$13*BC304,2))))</f>
        <v>0</v>
      </c>
      <c r="T305">
        <f>IF(BD304&lt;=0,0,IF(ROUND(BD304*(1+'Calc base'!R305),2)-MAX('Calc base'!M$12,ROUND('Calc base'!M$13*BD304,2))&lt;1,ROUND(BD304*(1+'Calc base'!R305),2),MAX('Calc base'!M$12,ROUND('Calc base'!M$13*BD304,2))))</f>
        <v>0</v>
      </c>
      <c r="U305">
        <f>IF(BE304&lt;=0,0,IF(ROUND(BE304*(1+'Calc base'!S305),2)-MAX('Calc base'!N$12,ROUND('Calc base'!N$13*BE304,2))&lt;1,ROUND(BE304*(1+'Calc base'!S305),2),MAX('Calc base'!N$12,ROUND('Calc base'!N$13*BE304,2))))</f>
        <v>0</v>
      </c>
      <c r="V305">
        <f>MAX(0,ROUND(AT304*(1+'Calc base'!H305),2)-J305-'Calc base'!T305)</f>
        <v>0</v>
      </c>
      <c r="W305">
        <f>MAX(0,ROUND(AU304*(1+'Calc base'!I305),2)-K305-'Calc base'!U305)</f>
        <v>0</v>
      </c>
      <c r="X305">
        <f>MAX(0,ROUND(AV304*(1+'Calc base'!J305),2)-L305-'Calc base'!V305)</f>
        <v>0</v>
      </c>
      <c r="Y305">
        <f>MAX(0,ROUND(AW304*(1+'Calc base'!K305),2)-M305-'Calc base'!W305)</f>
        <v>0</v>
      </c>
      <c r="Z305">
        <f>MAX(0,ROUND(AX304*(1+'Calc base'!L305),2)-N305-'Calc base'!X305)</f>
        <v>0</v>
      </c>
      <c r="AA305">
        <f>MAX(0,ROUND(AY304*(1+'Calc base'!M305),2)-O305-'Calc base'!Y305)</f>
        <v>0</v>
      </c>
      <c r="AB305">
        <f>MAX(0,ROUND(AZ304*(1+'Calc base'!N305),2)-P305-'Calc base'!Z305)</f>
        <v>0</v>
      </c>
      <c r="AC305">
        <f>MAX(0,ROUND(BA304*(1+'Calc base'!O305),2)-Q305-'Calc base'!AA305)</f>
        <v>0</v>
      </c>
      <c r="AD305">
        <f>MAX(0,ROUND(BB304*(1+'Calc base'!P305),2)-R305-'Calc base'!AB305)</f>
        <v>0</v>
      </c>
      <c r="AE305">
        <f>MAX(0,ROUND(BC304*(1+'Calc base'!Q305),2)-S305-'Calc base'!AC305)</f>
        <v>0</v>
      </c>
      <c r="AF305">
        <f>MAX(0,ROUND(BD304*(1+'Calc base'!R305),2)-T305-'Calc base'!AD305)</f>
        <v>0</v>
      </c>
      <c r="AG305">
        <f>MAX(0,ROUND(BE304*(1+'Calc base'!S305),2)-U305-'Calc base'!AE305)</f>
        <v>0</v>
      </c>
      <c r="AH305">
        <f>IF('Calc base'!C$14=0,0,MIN(V305,MAX(0,$E305-SUMIFS($V305:$AG305,'Calc base'!$C$19:$N$19,"&lt;"&amp;'Calc base'!C$19,'Calc base'!$C$14:$N$14,1))))</f>
        <v>0</v>
      </c>
      <c r="AI305">
        <f>IF('Calc base'!D$14=0,0,MIN(W305,MAX(0,$E305-SUMIFS($V305:$AG305,'Calc base'!$C$19:$N$19,"&lt;"&amp;'Calc base'!D$19,'Calc base'!$C$14:$N$14,1))))</f>
        <v>0</v>
      </c>
      <c r="AJ305">
        <f>IF('Calc base'!E$14=0,0,MIN(X305,MAX(0,$E305-SUMIFS($V305:$AG305,'Calc base'!$C$19:$N$19,"&lt;"&amp;'Calc base'!E$19,'Calc base'!$C$14:$N$14,1))))</f>
        <v>0</v>
      </c>
      <c r="AK305">
        <f>IF('Calc base'!F$14=0,0,MIN(Y305,MAX(0,$E305-SUMIFS($V305:$AG305,'Calc base'!$C$19:$N$19,"&lt;"&amp;'Calc base'!F$19,'Calc base'!$C$14:$N$14,1))))</f>
        <v>0</v>
      </c>
      <c r="AL305">
        <f>IF('Calc base'!G$14=0,0,MIN(Z305,MAX(0,$E305-SUMIFS($V305:$AG305,'Calc base'!$C$19:$N$19,"&lt;"&amp;'Calc base'!G$19,'Calc base'!$C$14:$N$14,1))))</f>
        <v>0</v>
      </c>
      <c r="AM305">
        <f>IF('Calc base'!H$14=0,0,MIN(AA305,MAX(0,$E305-SUMIFS($V305:$AG305,'Calc base'!$C$19:$N$19,"&lt;"&amp;'Calc base'!H$19,'Calc base'!$C$14:$N$14,1))))</f>
        <v>0</v>
      </c>
      <c r="AN305">
        <f>IF('Calc base'!I$14=0,0,MIN(AB305,MAX(0,$E305-SUMIFS($V305:$AG305,'Calc base'!$C$19:$N$19,"&lt;"&amp;'Calc base'!I$19,'Calc base'!$C$14:$N$14,1))))</f>
        <v>0</v>
      </c>
      <c r="AO305">
        <f>IF('Calc base'!J$14=0,0,MIN(AC305,MAX(0,$E305-SUMIFS($V305:$AG305,'Calc base'!$C$19:$N$19,"&lt;"&amp;'Calc base'!J$19,'Calc base'!$C$14:$N$14,1))))</f>
        <v>0</v>
      </c>
      <c r="AP305">
        <f>IF('Calc base'!K$14=0,0,MIN(AD305,MAX(0,$E305-SUMIFS($V305:$AG305,'Calc base'!$C$19:$N$19,"&lt;"&amp;'Calc base'!K$19,'Calc base'!$C$14:$N$14,1))))</f>
        <v>0</v>
      </c>
      <c r="AQ305">
        <f>IF('Calc base'!L$14=0,0,MIN(AE305,MAX(0,$E305-SUMIFS($V305:$AG305,'Calc base'!$C$19:$N$19,"&lt;"&amp;'Calc base'!L$19,'Calc base'!$C$14:$N$14,1))))</f>
        <v>0</v>
      </c>
      <c r="AR305">
        <f>IF('Calc base'!M$14=0,0,MIN(AF305,MAX(0,$E305-SUMIFS($V305:$AG305,'Calc base'!$C$19:$N$19,"&lt;"&amp;'Calc base'!M$19,'Calc base'!$C$14:$N$14,1))))</f>
        <v>0</v>
      </c>
      <c r="AS305">
        <f>IF('Calc base'!N$14=0,0,MIN(AG305,MAX(0,$E305-SUMIFS($V305:$AG305,'Calc base'!$C$19:$N$19,"&lt;"&amp;'Calc base'!N$19,'Calc base'!$C$14:$N$14,1))))</f>
        <v>0</v>
      </c>
      <c r="AT305">
        <f>V305-AH305</f>
        <v>0</v>
      </c>
      <c r="AU305">
        <f>W305-AI305</f>
        <v>0</v>
      </c>
      <c r="AV305">
        <f>X305-AJ305</f>
        <v>0</v>
      </c>
      <c r="AW305">
        <f>Y305-AK305</f>
        <v>0</v>
      </c>
      <c r="AX305">
        <f>Z305-AL305</f>
        <v>0</v>
      </c>
      <c r="AY305">
        <f>AA305-AM305</f>
        <v>0</v>
      </c>
      <c r="AZ305">
        <f>AB305-AN305</f>
        <v>0</v>
      </c>
      <c r="BA305">
        <f>AC305-AO305</f>
        <v>0</v>
      </c>
      <c r="BB305">
        <f>AD305-AP305</f>
        <v>0</v>
      </c>
      <c r="BC305">
        <f>AE305-AQ305</f>
        <v>0</v>
      </c>
      <c r="BD305">
        <f>AF305-AR305</f>
        <v>0</v>
      </c>
      <c r="BE305">
        <f>AG305-AS305</f>
        <v>0</v>
      </c>
    </row>
    <row r="306">
      <c r="A306" t="n">
        <v>276</v>
      </c>
      <c r="B306">
        <f>SUMPRODUCT(ROUND($AT305:$BE305*(1+'Calc base'!$H306:$S306),2))</f>
        <v>0</v>
      </c>
      <c r="C306">
        <f>SUM(J306:U306)</f>
        <v>0</v>
      </c>
      <c r="D306">
        <f>SUM(V306:AG306)</f>
        <v>0</v>
      </c>
      <c r="E306">
        <f>MAX(0,IF(Impostazioni!$B$7="No",'Calc base'!$C306-$C$31,'Calc base'!$C306-C306)+'Calc base'!$G306+'Calc base'!$F306-(B306-C306-D306))</f>
        <v>900</v>
      </c>
      <c r="F306">
        <f>SUM(AH306:AS306)</f>
        <v>0</v>
      </c>
      <c r="G306">
        <f>SUM(AT306:BE306)</f>
        <v>0</v>
      </c>
      <c r="H306">
        <f>B306-G305</f>
        <v>0</v>
      </c>
      <c r="I306">
        <f>B306-G306</f>
        <v>0</v>
      </c>
      <c r="J306">
        <f>IF(AT305&lt;=0,0,IF(ROUND(AT305*(1+'Calc base'!H306),2)-MAX('Calc base'!C$12,ROUND('Calc base'!C$13*AT305,2))&lt;1,ROUND(AT305*(1+'Calc base'!H306),2),MAX('Calc base'!C$12,ROUND('Calc base'!C$13*AT305,2))))</f>
        <v>0</v>
      </c>
      <c r="K306">
        <f>IF(AU305&lt;=0,0,IF(ROUND(AU305*(1+'Calc base'!I306),2)-MAX('Calc base'!D$12,ROUND('Calc base'!D$13*AU305,2))&lt;1,ROUND(AU305*(1+'Calc base'!I306),2),MAX('Calc base'!D$12,ROUND('Calc base'!D$13*AU305,2))))</f>
        <v>0</v>
      </c>
      <c r="L306">
        <f>IF(AV305&lt;=0,0,IF(ROUND(AV305*(1+'Calc base'!J306),2)-MAX('Calc base'!E$12,ROUND('Calc base'!E$13*AV305,2))&lt;1,ROUND(AV305*(1+'Calc base'!J306),2),MAX('Calc base'!E$12,ROUND('Calc base'!E$13*AV305,2))))</f>
        <v>0</v>
      </c>
      <c r="M306">
        <f>IF(AW305&lt;=0,0,IF(ROUND(AW305*(1+'Calc base'!K306),2)-MAX('Calc base'!F$12,ROUND('Calc base'!F$13*AW305,2))&lt;1,ROUND(AW305*(1+'Calc base'!K306),2),MAX('Calc base'!F$12,ROUND('Calc base'!F$13*AW305,2))))</f>
        <v>0</v>
      </c>
      <c r="N306">
        <f>IF(AX305&lt;=0,0,IF(ROUND(AX305*(1+'Calc base'!L306),2)-MAX('Calc base'!G$12,ROUND('Calc base'!G$13*AX305,2))&lt;1,ROUND(AX305*(1+'Calc base'!L306),2),MAX('Calc base'!G$12,ROUND('Calc base'!G$13*AX305,2))))</f>
        <v>0</v>
      </c>
      <c r="O306">
        <f>IF(AY305&lt;=0,0,IF(ROUND(AY305*(1+'Calc base'!M306),2)-MAX('Calc base'!H$12,ROUND('Calc base'!H$13*AY305,2))&lt;1,ROUND(AY305*(1+'Calc base'!M306),2),MAX('Calc base'!H$12,ROUND('Calc base'!H$13*AY305,2))))</f>
        <v>0</v>
      </c>
      <c r="P306">
        <f>IF(AZ305&lt;=0,0,IF(ROUND(AZ305*(1+'Calc base'!N306),2)-MAX('Calc base'!I$12,ROUND('Calc base'!I$13*AZ305,2))&lt;1,ROUND(AZ305*(1+'Calc base'!N306),2),MAX('Calc base'!I$12,ROUND('Calc base'!I$13*AZ305,2))))</f>
        <v>0</v>
      </c>
      <c r="Q306">
        <f>IF(BA305&lt;=0,0,IF(ROUND(BA305*(1+'Calc base'!O306),2)-MAX('Calc base'!J$12,ROUND('Calc base'!J$13*BA305,2))&lt;1,ROUND(BA305*(1+'Calc base'!O306),2),MAX('Calc base'!J$12,ROUND('Calc base'!J$13*BA305,2))))</f>
        <v>0</v>
      </c>
      <c r="R306">
        <f>IF(BB305&lt;=0,0,IF(ROUND(BB305*(1+'Calc base'!P306),2)-MAX('Calc base'!K$12,ROUND('Calc base'!K$13*BB305,2))&lt;1,ROUND(BB305*(1+'Calc base'!P306),2),MAX('Calc base'!K$12,ROUND('Calc base'!K$13*BB305,2))))</f>
        <v>0</v>
      </c>
      <c r="S306">
        <f>IF(BC305&lt;=0,0,IF(ROUND(BC305*(1+'Calc base'!Q306),2)-MAX('Calc base'!L$12,ROUND('Calc base'!L$13*BC305,2))&lt;1,ROUND(BC305*(1+'Calc base'!Q306),2),MAX('Calc base'!L$12,ROUND('Calc base'!L$13*BC305,2))))</f>
        <v>0</v>
      </c>
      <c r="T306">
        <f>IF(BD305&lt;=0,0,IF(ROUND(BD305*(1+'Calc base'!R306),2)-MAX('Calc base'!M$12,ROUND('Calc base'!M$13*BD305,2))&lt;1,ROUND(BD305*(1+'Calc base'!R306),2),MAX('Calc base'!M$12,ROUND('Calc base'!M$13*BD305,2))))</f>
        <v>0</v>
      </c>
      <c r="U306">
        <f>IF(BE305&lt;=0,0,IF(ROUND(BE305*(1+'Calc base'!S306),2)-MAX('Calc base'!N$12,ROUND('Calc base'!N$13*BE305,2))&lt;1,ROUND(BE305*(1+'Calc base'!S306),2),MAX('Calc base'!N$12,ROUND('Calc base'!N$13*BE305,2))))</f>
        <v>0</v>
      </c>
      <c r="V306">
        <f>MAX(0,ROUND(AT305*(1+'Calc base'!H306),2)-J306-'Calc base'!T306)</f>
        <v>0</v>
      </c>
      <c r="W306">
        <f>MAX(0,ROUND(AU305*(1+'Calc base'!I306),2)-K306-'Calc base'!U306)</f>
        <v>0</v>
      </c>
      <c r="X306">
        <f>MAX(0,ROUND(AV305*(1+'Calc base'!J306),2)-L306-'Calc base'!V306)</f>
        <v>0</v>
      </c>
      <c r="Y306">
        <f>MAX(0,ROUND(AW305*(1+'Calc base'!K306),2)-M306-'Calc base'!W306)</f>
        <v>0</v>
      </c>
      <c r="Z306">
        <f>MAX(0,ROUND(AX305*(1+'Calc base'!L306),2)-N306-'Calc base'!X306)</f>
        <v>0</v>
      </c>
      <c r="AA306">
        <f>MAX(0,ROUND(AY305*(1+'Calc base'!M306),2)-O306-'Calc base'!Y306)</f>
        <v>0</v>
      </c>
      <c r="AB306">
        <f>MAX(0,ROUND(AZ305*(1+'Calc base'!N306),2)-P306-'Calc base'!Z306)</f>
        <v>0</v>
      </c>
      <c r="AC306">
        <f>MAX(0,ROUND(BA305*(1+'Calc base'!O306),2)-Q306-'Calc base'!AA306)</f>
        <v>0</v>
      </c>
      <c r="AD306">
        <f>MAX(0,ROUND(BB305*(1+'Calc base'!P306),2)-R306-'Calc base'!AB306)</f>
        <v>0</v>
      </c>
      <c r="AE306">
        <f>MAX(0,ROUND(BC305*(1+'Calc base'!Q306),2)-S306-'Calc base'!AC306)</f>
        <v>0</v>
      </c>
      <c r="AF306">
        <f>MAX(0,ROUND(BD305*(1+'Calc base'!R306),2)-T306-'Calc base'!AD306)</f>
        <v>0</v>
      </c>
      <c r="AG306">
        <f>MAX(0,ROUND(BE305*(1+'Calc base'!S306),2)-U306-'Calc base'!AE306)</f>
        <v>0</v>
      </c>
      <c r="AH306">
        <f>IF('Calc base'!C$14=0,0,MIN(V306,MAX(0,$E306-SUMIFS($V306:$AG306,'Calc base'!$C$19:$N$19,"&lt;"&amp;'Calc base'!C$19,'Calc base'!$C$14:$N$14,1))))</f>
        <v>0</v>
      </c>
      <c r="AI306">
        <f>IF('Calc base'!D$14=0,0,MIN(W306,MAX(0,$E306-SUMIFS($V306:$AG306,'Calc base'!$C$19:$N$19,"&lt;"&amp;'Calc base'!D$19,'Calc base'!$C$14:$N$14,1))))</f>
        <v>0</v>
      </c>
      <c r="AJ306">
        <f>IF('Calc base'!E$14=0,0,MIN(X306,MAX(0,$E306-SUMIFS($V306:$AG306,'Calc base'!$C$19:$N$19,"&lt;"&amp;'Calc base'!E$19,'Calc base'!$C$14:$N$14,1))))</f>
        <v>0</v>
      </c>
      <c r="AK306">
        <f>IF('Calc base'!F$14=0,0,MIN(Y306,MAX(0,$E306-SUMIFS($V306:$AG306,'Calc base'!$C$19:$N$19,"&lt;"&amp;'Calc base'!F$19,'Calc base'!$C$14:$N$14,1))))</f>
        <v>0</v>
      </c>
      <c r="AL306">
        <f>IF('Calc base'!G$14=0,0,MIN(Z306,MAX(0,$E306-SUMIFS($V306:$AG306,'Calc base'!$C$19:$N$19,"&lt;"&amp;'Calc base'!G$19,'Calc base'!$C$14:$N$14,1))))</f>
        <v>0</v>
      </c>
      <c r="AM306">
        <f>IF('Calc base'!H$14=0,0,MIN(AA306,MAX(0,$E306-SUMIFS($V306:$AG306,'Calc base'!$C$19:$N$19,"&lt;"&amp;'Calc base'!H$19,'Calc base'!$C$14:$N$14,1))))</f>
        <v>0</v>
      </c>
      <c r="AN306">
        <f>IF('Calc base'!I$14=0,0,MIN(AB306,MAX(0,$E306-SUMIFS($V306:$AG306,'Calc base'!$C$19:$N$19,"&lt;"&amp;'Calc base'!I$19,'Calc base'!$C$14:$N$14,1))))</f>
        <v>0</v>
      </c>
      <c r="AO306">
        <f>IF('Calc base'!J$14=0,0,MIN(AC306,MAX(0,$E306-SUMIFS($V306:$AG306,'Calc base'!$C$19:$N$19,"&lt;"&amp;'Calc base'!J$19,'Calc base'!$C$14:$N$14,1))))</f>
        <v>0</v>
      </c>
      <c r="AP306">
        <f>IF('Calc base'!K$14=0,0,MIN(AD306,MAX(0,$E306-SUMIFS($V306:$AG306,'Calc base'!$C$19:$N$19,"&lt;"&amp;'Calc base'!K$19,'Calc base'!$C$14:$N$14,1))))</f>
        <v>0</v>
      </c>
      <c r="AQ306">
        <f>IF('Calc base'!L$14=0,0,MIN(AE306,MAX(0,$E306-SUMIFS($V306:$AG306,'Calc base'!$C$19:$N$19,"&lt;"&amp;'Calc base'!L$19,'Calc base'!$C$14:$N$14,1))))</f>
        <v>0</v>
      </c>
      <c r="AR306">
        <f>IF('Calc base'!M$14=0,0,MIN(AF306,MAX(0,$E306-SUMIFS($V306:$AG306,'Calc base'!$C$19:$N$19,"&lt;"&amp;'Calc base'!M$19,'Calc base'!$C$14:$N$14,1))))</f>
        <v>0</v>
      </c>
      <c r="AS306">
        <f>IF('Calc base'!N$14=0,0,MIN(AG306,MAX(0,$E306-SUMIFS($V306:$AG306,'Calc base'!$C$19:$N$19,"&lt;"&amp;'Calc base'!N$19,'Calc base'!$C$14:$N$14,1))))</f>
        <v>0</v>
      </c>
      <c r="AT306">
        <f>V306-AH306</f>
        <v>0</v>
      </c>
      <c r="AU306">
        <f>W306-AI306</f>
        <v>0</v>
      </c>
      <c r="AV306">
        <f>X306-AJ306</f>
        <v>0</v>
      </c>
      <c r="AW306">
        <f>Y306-AK306</f>
        <v>0</v>
      </c>
      <c r="AX306">
        <f>Z306-AL306</f>
        <v>0</v>
      </c>
      <c r="AY306">
        <f>AA306-AM306</f>
        <v>0</v>
      </c>
      <c r="AZ306">
        <f>AB306-AN306</f>
        <v>0</v>
      </c>
      <c r="BA306">
        <f>AC306-AO306</f>
        <v>0</v>
      </c>
      <c r="BB306">
        <f>AD306-AP306</f>
        <v>0</v>
      </c>
      <c r="BC306">
        <f>AE306-AQ306</f>
        <v>0</v>
      </c>
      <c r="BD306">
        <f>AF306-AR306</f>
        <v>0</v>
      </c>
      <c r="BE306">
        <f>AG306-AS306</f>
        <v>0</v>
      </c>
    </row>
    <row r="307">
      <c r="A307" t="n">
        <v>277</v>
      </c>
      <c r="B307">
        <f>SUMPRODUCT(ROUND($AT306:$BE306*(1+'Calc base'!$H307:$S307),2))</f>
        <v>0</v>
      </c>
      <c r="C307">
        <f>SUM(J307:U307)</f>
        <v>0</v>
      </c>
      <c r="D307">
        <f>SUM(V307:AG307)</f>
        <v>0</v>
      </c>
      <c r="E307">
        <f>MAX(0,IF(Impostazioni!$B$7="No",'Calc base'!$C307-$C$31,'Calc base'!$C307-C307)+'Calc base'!$G307+'Calc base'!$F307-(B307-C307-D307))</f>
        <v>900</v>
      </c>
      <c r="F307">
        <f>SUM(AH307:AS307)</f>
        <v>0</v>
      </c>
      <c r="G307">
        <f>SUM(AT307:BE307)</f>
        <v>0</v>
      </c>
      <c r="H307">
        <f>B307-G306</f>
        <v>0</v>
      </c>
      <c r="I307">
        <f>B307-G307</f>
        <v>0</v>
      </c>
      <c r="J307">
        <f>IF(AT306&lt;=0,0,IF(ROUND(AT306*(1+'Calc base'!H307),2)-MAX('Calc base'!C$12,ROUND('Calc base'!C$13*AT306,2))&lt;1,ROUND(AT306*(1+'Calc base'!H307),2),MAX('Calc base'!C$12,ROUND('Calc base'!C$13*AT306,2))))</f>
        <v>0</v>
      </c>
      <c r="K307">
        <f>IF(AU306&lt;=0,0,IF(ROUND(AU306*(1+'Calc base'!I307),2)-MAX('Calc base'!D$12,ROUND('Calc base'!D$13*AU306,2))&lt;1,ROUND(AU306*(1+'Calc base'!I307),2),MAX('Calc base'!D$12,ROUND('Calc base'!D$13*AU306,2))))</f>
        <v>0</v>
      </c>
      <c r="L307">
        <f>IF(AV306&lt;=0,0,IF(ROUND(AV306*(1+'Calc base'!J307),2)-MAX('Calc base'!E$12,ROUND('Calc base'!E$13*AV306,2))&lt;1,ROUND(AV306*(1+'Calc base'!J307),2),MAX('Calc base'!E$12,ROUND('Calc base'!E$13*AV306,2))))</f>
        <v>0</v>
      </c>
      <c r="M307">
        <f>IF(AW306&lt;=0,0,IF(ROUND(AW306*(1+'Calc base'!K307),2)-MAX('Calc base'!F$12,ROUND('Calc base'!F$13*AW306,2))&lt;1,ROUND(AW306*(1+'Calc base'!K307),2),MAX('Calc base'!F$12,ROUND('Calc base'!F$13*AW306,2))))</f>
        <v>0</v>
      </c>
      <c r="N307">
        <f>IF(AX306&lt;=0,0,IF(ROUND(AX306*(1+'Calc base'!L307),2)-MAX('Calc base'!G$12,ROUND('Calc base'!G$13*AX306,2))&lt;1,ROUND(AX306*(1+'Calc base'!L307),2),MAX('Calc base'!G$12,ROUND('Calc base'!G$13*AX306,2))))</f>
        <v>0</v>
      </c>
      <c r="O307">
        <f>IF(AY306&lt;=0,0,IF(ROUND(AY306*(1+'Calc base'!M307),2)-MAX('Calc base'!H$12,ROUND('Calc base'!H$13*AY306,2))&lt;1,ROUND(AY306*(1+'Calc base'!M307),2),MAX('Calc base'!H$12,ROUND('Calc base'!H$13*AY306,2))))</f>
        <v>0</v>
      </c>
      <c r="P307">
        <f>IF(AZ306&lt;=0,0,IF(ROUND(AZ306*(1+'Calc base'!N307),2)-MAX('Calc base'!I$12,ROUND('Calc base'!I$13*AZ306,2))&lt;1,ROUND(AZ306*(1+'Calc base'!N307),2),MAX('Calc base'!I$12,ROUND('Calc base'!I$13*AZ306,2))))</f>
        <v>0</v>
      </c>
      <c r="Q307">
        <f>IF(BA306&lt;=0,0,IF(ROUND(BA306*(1+'Calc base'!O307),2)-MAX('Calc base'!J$12,ROUND('Calc base'!J$13*BA306,2))&lt;1,ROUND(BA306*(1+'Calc base'!O307),2),MAX('Calc base'!J$12,ROUND('Calc base'!J$13*BA306,2))))</f>
        <v>0</v>
      </c>
      <c r="R307">
        <f>IF(BB306&lt;=0,0,IF(ROUND(BB306*(1+'Calc base'!P307),2)-MAX('Calc base'!K$12,ROUND('Calc base'!K$13*BB306,2))&lt;1,ROUND(BB306*(1+'Calc base'!P307),2),MAX('Calc base'!K$12,ROUND('Calc base'!K$13*BB306,2))))</f>
        <v>0</v>
      </c>
      <c r="S307">
        <f>IF(BC306&lt;=0,0,IF(ROUND(BC306*(1+'Calc base'!Q307),2)-MAX('Calc base'!L$12,ROUND('Calc base'!L$13*BC306,2))&lt;1,ROUND(BC306*(1+'Calc base'!Q307),2),MAX('Calc base'!L$12,ROUND('Calc base'!L$13*BC306,2))))</f>
        <v>0</v>
      </c>
      <c r="T307">
        <f>IF(BD306&lt;=0,0,IF(ROUND(BD306*(1+'Calc base'!R307),2)-MAX('Calc base'!M$12,ROUND('Calc base'!M$13*BD306,2))&lt;1,ROUND(BD306*(1+'Calc base'!R307),2),MAX('Calc base'!M$12,ROUND('Calc base'!M$13*BD306,2))))</f>
        <v>0</v>
      </c>
      <c r="U307">
        <f>IF(BE306&lt;=0,0,IF(ROUND(BE306*(1+'Calc base'!S307),2)-MAX('Calc base'!N$12,ROUND('Calc base'!N$13*BE306,2))&lt;1,ROUND(BE306*(1+'Calc base'!S307),2),MAX('Calc base'!N$12,ROUND('Calc base'!N$13*BE306,2))))</f>
        <v>0</v>
      </c>
      <c r="V307">
        <f>MAX(0,ROUND(AT306*(1+'Calc base'!H307),2)-J307-'Calc base'!T307)</f>
        <v>0</v>
      </c>
      <c r="W307">
        <f>MAX(0,ROUND(AU306*(1+'Calc base'!I307),2)-K307-'Calc base'!U307)</f>
        <v>0</v>
      </c>
      <c r="X307">
        <f>MAX(0,ROUND(AV306*(1+'Calc base'!J307),2)-L307-'Calc base'!V307)</f>
        <v>0</v>
      </c>
      <c r="Y307">
        <f>MAX(0,ROUND(AW306*(1+'Calc base'!K307),2)-M307-'Calc base'!W307)</f>
        <v>0</v>
      </c>
      <c r="Z307">
        <f>MAX(0,ROUND(AX306*(1+'Calc base'!L307),2)-N307-'Calc base'!X307)</f>
        <v>0</v>
      </c>
      <c r="AA307">
        <f>MAX(0,ROUND(AY306*(1+'Calc base'!M307),2)-O307-'Calc base'!Y307)</f>
        <v>0</v>
      </c>
      <c r="AB307">
        <f>MAX(0,ROUND(AZ306*(1+'Calc base'!N307),2)-P307-'Calc base'!Z307)</f>
        <v>0</v>
      </c>
      <c r="AC307">
        <f>MAX(0,ROUND(BA306*(1+'Calc base'!O307),2)-Q307-'Calc base'!AA307)</f>
        <v>0</v>
      </c>
      <c r="AD307">
        <f>MAX(0,ROUND(BB306*(1+'Calc base'!P307),2)-R307-'Calc base'!AB307)</f>
        <v>0</v>
      </c>
      <c r="AE307">
        <f>MAX(0,ROUND(BC306*(1+'Calc base'!Q307),2)-S307-'Calc base'!AC307)</f>
        <v>0</v>
      </c>
      <c r="AF307">
        <f>MAX(0,ROUND(BD306*(1+'Calc base'!R307),2)-T307-'Calc base'!AD307)</f>
        <v>0</v>
      </c>
      <c r="AG307">
        <f>MAX(0,ROUND(BE306*(1+'Calc base'!S307),2)-U307-'Calc base'!AE307)</f>
        <v>0</v>
      </c>
      <c r="AH307">
        <f>IF('Calc base'!C$14=0,0,MIN(V307,MAX(0,$E307-SUMIFS($V307:$AG307,'Calc base'!$C$19:$N$19,"&lt;"&amp;'Calc base'!C$19,'Calc base'!$C$14:$N$14,1))))</f>
        <v>0</v>
      </c>
      <c r="AI307">
        <f>IF('Calc base'!D$14=0,0,MIN(W307,MAX(0,$E307-SUMIFS($V307:$AG307,'Calc base'!$C$19:$N$19,"&lt;"&amp;'Calc base'!D$19,'Calc base'!$C$14:$N$14,1))))</f>
        <v>0</v>
      </c>
      <c r="AJ307">
        <f>IF('Calc base'!E$14=0,0,MIN(X307,MAX(0,$E307-SUMIFS($V307:$AG307,'Calc base'!$C$19:$N$19,"&lt;"&amp;'Calc base'!E$19,'Calc base'!$C$14:$N$14,1))))</f>
        <v>0</v>
      </c>
      <c r="AK307">
        <f>IF('Calc base'!F$14=0,0,MIN(Y307,MAX(0,$E307-SUMIFS($V307:$AG307,'Calc base'!$C$19:$N$19,"&lt;"&amp;'Calc base'!F$19,'Calc base'!$C$14:$N$14,1))))</f>
        <v>0</v>
      </c>
      <c r="AL307">
        <f>IF('Calc base'!G$14=0,0,MIN(Z307,MAX(0,$E307-SUMIFS($V307:$AG307,'Calc base'!$C$19:$N$19,"&lt;"&amp;'Calc base'!G$19,'Calc base'!$C$14:$N$14,1))))</f>
        <v>0</v>
      </c>
      <c r="AM307">
        <f>IF('Calc base'!H$14=0,0,MIN(AA307,MAX(0,$E307-SUMIFS($V307:$AG307,'Calc base'!$C$19:$N$19,"&lt;"&amp;'Calc base'!H$19,'Calc base'!$C$14:$N$14,1))))</f>
        <v>0</v>
      </c>
      <c r="AN307">
        <f>IF('Calc base'!I$14=0,0,MIN(AB307,MAX(0,$E307-SUMIFS($V307:$AG307,'Calc base'!$C$19:$N$19,"&lt;"&amp;'Calc base'!I$19,'Calc base'!$C$14:$N$14,1))))</f>
        <v>0</v>
      </c>
      <c r="AO307">
        <f>IF('Calc base'!J$14=0,0,MIN(AC307,MAX(0,$E307-SUMIFS($V307:$AG307,'Calc base'!$C$19:$N$19,"&lt;"&amp;'Calc base'!J$19,'Calc base'!$C$14:$N$14,1))))</f>
        <v>0</v>
      </c>
      <c r="AP307">
        <f>IF('Calc base'!K$14=0,0,MIN(AD307,MAX(0,$E307-SUMIFS($V307:$AG307,'Calc base'!$C$19:$N$19,"&lt;"&amp;'Calc base'!K$19,'Calc base'!$C$14:$N$14,1))))</f>
        <v>0</v>
      </c>
      <c r="AQ307">
        <f>IF('Calc base'!L$14=0,0,MIN(AE307,MAX(0,$E307-SUMIFS($V307:$AG307,'Calc base'!$C$19:$N$19,"&lt;"&amp;'Calc base'!L$19,'Calc base'!$C$14:$N$14,1))))</f>
        <v>0</v>
      </c>
      <c r="AR307">
        <f>IF('Calc base'!M$14=0,0,MIN(AF307,MAX(0,$E307-SUMIFS($V307:$AG307,'Calc base'!$C$19:$N$19,"&lt;"&amp;'Calc base'!M$19,'Calc base'!$C$14:$N$14,1))))</f>
        <v>0</v>
      </c>
      <c r="AS307">
        <f>IF('Calc base'!N$14=0,0,MIN(AG307,MAX(0,$E307-SUMIFS($V307:$AG307,'Calc base'!$C$19:$N$19,"&lt;"&amp;'Calc base'!N$19,'Calc base'!$C$14:$N$14,1))))</f>
        <v>0</v>
      </c>
      <c r="AT307">
        <f>V307-AH307</f>
        <v>0</v>
      </c>
      <c r="AU307">
        <f>W307-AI307</f>
        <v>0</v>
      </c>
      <c r="AV307">
        <f>X307-AJ307</f>
        <v>0</v>
      </c>
      <c r="AW307">
        <f>Y307-AK307</f>
        <v>0</v>
      </c>
      <c r="AX307">
        <f>Z307-AL307</f>
        <v>0</v>
      </c>
      <c r="AY307">
        <f>AA307-AM307</f>
        <v>0</v>
      </c>
      <c r="AZ307">
        <f>AB307-AN307</f>
        <v>0</v>
      </c>
      <c r="BA307">
        <f>AC307-AO307</f>
        <v>0</v>
      </c>
      <c r="BB307">
        <f>AD307-AP307</f>
        <v>0</v>
      </c>
      <c r="BC307">
        <f>AE307-AQ307</f>
        <v>0</v>
      </c>
      <c r="BD307">
        <f>AF307-AR307</f>
        <v>0</v>
      </c>
      <c r="BE307">
        <f>AG307-AS307</f>
        <v>0</v>
      </c>
    </row>
    <row r="308">
      <c r="A308" t="n">
        <v>278</v>
      </c>
      <c r="B308">
        <f>SUMPRODUCT(ROUND($AT307:$BE307*(1+'Calc base'!$H308:$S308),2))</f>
        <v>0</v>
      </c>
      <c r="C308">
        <f>SUM(J308:U308)</f>
        <v>0</v>
      </c>
      <c r="D308">
        <f>SUM(V308:AG308)</f>
        <v>0</v>
      </c>
      <c r="E308">
        <f>MAX(0,IF(Impostazioni!$B$7="No",'Calc base'!$C308-$C$31,'Calc base'!$C308-C308)+'Calc base'!$G308+'Calc base'!$F308-(B308-C308-D308))</f>
        <v>900</v>
      </c>
      <c r="F308">
        <f>SUM(AH308:AS308)</f>
        <v>0</v>
      </c>
      <c r="G308">
        <f>SUM(AT308:BE308)</f>
        <v>0</v>
      </c>
      <c r="H308">
        <f>B308-G307</f>
        <v>0</v>
      </c>
      <c r="I308">
        <f>B308-G308</f>
        <v>0</v>
      </c>
      <c r="J308">
        <f>IF(AT307&lt;=0,0,IF(ROUND(AT307*(1+'Calc base'!H308),2)-MAX('Calc base'!C$12,ROUND('Calc base'!C$13*AT307,2))&lt;1,ROUND(AT307*(1+'Calc base'!H308),2),MAX('Calc base'!C$12,ROUND('Calc base'!C$13*AT307,2))))</f>
        <v>0</v>
      </c>
      <c r="K308">
        <f>IF(AU307&lt;=0,0,IF(ROUND(AU307*(1+'Calc base'!I308),2)-MAX('Calc base'!D$12,ROUND('Calc base'!D$13*AU307,2))&lt;1,ROUND(AU307*(1+'Calc base'!I308),2),MAX('Calc base'!D$12,ROUND('Calc base'!D$13*AU307,2))))</f>
        <v>0</v>
      </c>
      <c r="L308">
        <f>IF(AV307&lt;=0,0,IF(ROUND(AV307*(1+'Calc base'!J308),2)-MAX('Calc base'!E$12,ROUND('Calc base'!E$13*AV307,2))&lt;1,ROUND(AV307*(1+'Calc base'!J308),2),MAX('Calc base'!E$12,ROUND('Calc base'!E$13*AV307,2))))</f>
        <v>0</v>
      </c>
      <c r="M308">
        <f>IF(AW307&lt;=0,0,IF(ROUND(AW307*(1+'Calc base'!K308),2)-MAX('Calc base'!F$12,ROUND('Calc base'!F$13*AW307,2))&lt;1,ROUND(AW307*(1+'Calc base'!K308),2),MAX('Calc base'!F$12,ROUND('Calc base'!F$13*AW307,2))))</f>
        <v>0</v>
      </c>
      <c r="N308">
        <f>IF(AX307&lt;=0,0,IF(ROUND(AX307*(1+'Calc base'!L308),2)-MAX('Calc base'!G$12,ROUND('Calc base'!G$13*AX307,2))&lt;1,ROUND(AX307*(1+'Calc base'!L308),2),MAX('Calc base'!G$12,ROUND('Calc base'!G$13*AX307,2))))</f>
        <v>0</v>
      </c>
      <c r="O308">
        <f>IF(AY307&lt;=0,0,IF(ROUND(AY307*(1+'Calc base'!M308),2)-MAX('Calc base'!H$12,ROUND('Calc base'!H$13*AY307,2))&lt;1,ROUND(AY307*(1+'Calc base'!M308),2),MAX('Calc base'!H$12,ROUND('Calc base'!H$13*AY307,2))))</f>
        <v>0</v>
      </c>
      <c r="P308">
        <f>IF(AZ307&lt;=0,0,IF(ROUND(AZ307*(1+'Calc base'!N308),2)-MAX('Calc base'!I$12,ROUND('Calc base'!I$13*AZ307,2))&lt;1,ROUND(AZ307*(1+'Calc base'!N308),2),MAX('Calc base'!I$12,ROUND('Calc base'!I$13*AZ307,2))))</f>
        <v>0</v>
      </c>
      <c r="Q308">
        <f>IF(BA307&lt;=0,0,IF(ROUND(BA307*(1+'Calc base'!O308),2)-MAX('Calc base'!J$12,ROUND('Calc base'!J$13*BA307,2))&lt;1,ROUND(BA307*(1+'Calc base'!O308),2),MAX('Calc base'!J$12,ROUND('Calc base'!J$13*BA307,2))))</f>
        <v>0</v>
      </c>
      <c r="R308">
        <f>IF(BB307&lt;=0,0,IF(ROUND(BB307*(1+'Calc base'!P308),2)-MAX('Calc base'!K$12,ROUND('Calc base'!K$13*BB307,2))&lt;1,ROUND(BB307*(1+'Calc base'!P308),2),MAX('Calc base'!K$12,ROUND('Calc base'!K$13*BB307,2))))</f>
        <v>0</v>
      </c>
      <c r="S308">
        <f>IF(BC307&lt;=0,0,IF(ROUND(BC307*(1+'Calc base'!Q308),2)-MAX('Calc base'!L$12,ROUND('Calc base'!L$13*BC307,2))&lt;1,ROUND(BC307*(1+'Calc base'!Q308),2),MAX('Calc base'!L$12,ROUND('Calc base'!L$13*BC307,2))))</f>
        <v>0</v>
      </c>
      <c r="T308">
        <f>IF(BD307&lt;=0,0,IF(ROUND(BD307*(1+'Calc base'!R308),2)-MAX('Calc base'!M$12,ROUND('Calc base'!M$13*BD307,2))&lt;1,ROUND(BD307*(1+'Calc base'!R308),2),MAX('Calc base'!M$12,ROUND('Calc base'!M$13*BD307,2))))</f>
        <v>0</v>
      </c>
      <c r="U308">
        <f>IF(BE307&lt;=0,0,IF(ROUND(BE307*(1+'Calc base'!S308),2)-MAX('Calc base'!N$12,ROUND('Calc base'!N$13*BE307,2))&lt;1,ROUND(BE307*(1+'Calc base'!S308),2),MAX('Calc base'!N$12,ROUND('Calc base'!N$13*BE307,2))))</f>
        <v>0</v>
      </c>
      <c r="V308">
        <f>MAX(0,ROUND(AT307*(1+'Calc base'!H308),2)-J308-'Calc base'!T308)</f>
        <v>0</v>
      </c>
      <c r="W308">
        <f>MAX(0,ROUND(AU307*(1+'Calc base'!I308),2)-K308-'Calc base'!U308)</f>
        <v>0</v>
      </c>
      <c r="X308">
        <f>MAX(0,ROUND(AV307*(1+'Calc base'!J308),2)-L308-'Calc base'!V308)</f>
        <v>0</v>
      </c>
      <c r="Y308">
        <f>MAX(0,ROUND(AW307*(1+'Calc base'!K308),2)-M308-'Calc base'!W308)</f>
        <v>0</v>
      </c>
      <c r="Z308">
        <f>MAX(0,ROUND(AX307*(1+'Calc base'!L308),2)-N308-'Calc base'!X308)</f>
        <v>0</v>
      </c>
      <c r="AA308">
        <f>MAX(0,ROUND(AY307*(1+'Calc base'!M308),2)-O308-'Calc base'!Y308)</f>
        <v>0</v>
      </c>
      <c r="AB308">
        <f>MAX(0,ROUND(AZ307*(1+'Calc base'!N308),2)-P308-'Calc base'!Z308)</f>
        <v>0</v>
      </c>
      <c r="AC308">
        <f>MAX(0,ROUND(BA307*(1+'Calc base'!O308),2)-Q308-'Calc base'!AA308)</f>
        <v>0</v>
      </c>
      <c r="AD308">
        <f>MAX(0,ROUND(BB307*(1+'Calc base'!P308),2)-R308-'Calc base'!AB308)</f>
        <v>0</v>
      </c>
      <c r="AE308">
        <f>MAX(0,ROUND(BC307*(1+'Calc base'!Q308),2)-S308-'Calc base'!AC308)</f>
        <v>0</v>
      </c>
      <c r="AF308">
        <f>MAX(0,ROUND(BD307*(1+'Calc base'!R308),2)-T308-'Calc base'!AD308)</f>
        <v>0</v>
      </c>
      <c r="AG308">
        <f>MAX(0,ROUND(BE307*(1+'Calc base'!S308),2)-U308-'Calc base'!AE308)</f>
        <v>0</v>
      </c>
      <c r="AH308">
        <f>IF('Calc base'!C$14=0,0,MIN(V308,MAX(0,$E308-SUMIFS($V308:$AG308,'Calc base'!$C$19:$N$19,"&lt;"&amp;'Calc base'!C$19,'Calc base'!$C$14:$N$14,1))))</f>
        <v>0</v>
      </c>
      <c r="AI308">
        <f>IF('Calc base'!D$14=0,0,MIN(W308,MAX(0,$E308-SUMIFS($V308:$AG308,'Calc base'!$C$19:$N$19,"&lt;"&amp;'Calc base'!D$19,'Calc base'!$C$14:$N$14,1))))</f>
        <v>0</v>
      </c>
      <c r="AJ308">
        <f>IF('Calc base'!E$14=0,0,MIN(X308,MAX(0,$E308-SUMIFS($V308:$AG308,'Calc base'!$C$19:$N$19,"&lt;"&amp;'Calc base'!E$19,'Calc base'!$C$14:$N$14,1))))</f>
        <v>0</v>
      </c>
      <c r="AK308">
        <f>IF('Calc base'!F$14=0,0,MIN(Y308,MAX(0,$E308-SUMIFS($V308:$AG308,'Calc base'!$C$19:$N$19,"&lt;"&amp;'Calc base'!F$19,'Calc base'!$C$14:$N$14,1))))</f>
        <v>0</v>
      </c>
      <c r="AL308">
        <f>IF('Calc base'!G$14=0,0,MIN(Z308,MAX(0,$E308-SUMIFS($V308:$AG308,'Calc base'!$C$19:$N$19,"&lt;"&amp;'Calc base'!G$19,'Calc base'!$C$14:$N$14,1))))</f>
        <v>0</v>
      </c>
      <c r="AM308">
        <f>IF('Calc base'!H$14=0,0,MIN(AA308,MAX(0,$E308-SUMIFS($V308:$AG308,'Calc base'!$C$19:$N$19,"&lt;"&amp;'Calc base'!H$19,'Calc base'!$C$14:$N$14,1))))</f>
        <v>0</v>
      </c>
      <c r="AN308">
        <f>IF('Calc base'!I$14=0,0,MIN(AB308,MAX(0,$E308-SUMIFS($V308:$AG308,'Calc base'!$C$19:$N$19,"&lt;"&amp;'Calc base'!I$19,'Calc base'!$C$14:$N$14,1))))</f>
        <v>0</v>
      </c>
      <c r="AO308">
        <f>IF('Calc base'!J$14=0,0,MIN(AC308,MAX(0,$E308-SUMIFS($V308:$AG308,'Calc base'!$C$19:$N$19,"&lt;"&amp;'Calc base'!J$19,'Calc base'!$C$14:$N$14,1))))</f>
        <v>0</v>
      </c>
      <c r="AP308">
        <f>IF('Calc base'!K$14=0,0,MIN(AD308,MAX(0,$E308-SUMIFS($V308:$AG308,'Calc base'!$C$19:$N$19,"&lt;"&amp;'Calc base'!K$19,'Calc base'!$C$14:$N$14,1))))</f>
        <v>0</v>
      </c>
      <c r="AQ308">
        <f>IF('Calc base'!L$14=0,0,MIN(AE308,MAX(0,$E308-SUMIFS($V308:$AG308,'Calc base'!$C$19:$N$19,"&lt;"&amp;'Calc base'!L$19,'Calc base'!$C$14:$N$14,1))))</f>
        <v>0</v>
      </c>
      <c r="AR308">
        <f>IF('Calc base'!M$14=0,0,MIN(AF308,MAX(0,$E308-SUMIFS($V308:$AG308,'Calc base'!$C$19:$N$19,"&lt;"&amp;'Calc base'!M$19,'Calc base'!$C$14:$N$14,1))))</f>
        <v>0</v>
      </c>
      <c r="AS308">
        <f>IF('Calc base'!N$14=0,0,MIN(AG308,MAX(0,$E308-SUMIFS($V308:$AG308,'Calc base'!$C$19:$N$19,"&lt;"&amp;'Calc base'!N$19,'Calc base'!$C$14:$N$14,1))))</f>
        <v>0</v>
      </c>
      <c r="AT308">
        <f>V308-AH308</f>
        <v>0</v>
      </c>
      <c r="AU308">
        <f>W308-AI308</f>
        <v>0</v>
      </c>
      <c r="AV308">
        <f>X308-AJ308</f>
        <v>0</v>
      </c>
      <c r="AW308">
        <f>Y308-AK308</f>
        <v>0</v>
      </c>
      <c r="AX308">
        <f>Z308-AL308</f>
        <v>0</v>
      </c>
      <c r="AY308">
        <f>AA308-AM308</f>
        <v>0</v>
      </c>
      <c r="AZ308">
        <f>AB308-AN308</f>
        <v>0</v>
      </c>
      <c r="BA308">
        <f>AC308-AO308</f>
        <v>0</v>
      </c>
      <c r="BB308">
        <f>AD308-AP308</f>
        <v>0</v>
      </c>
      <c r="BC308">
        <f>AE308-AQ308</f>
        <v>0</v>
      </c>
      <c r="BD308">
        <f>AF308-AR308</f>
        <v>0</v>
      </c>
      <c r="BE308">
        <f>AG308-AS308</f>
        <v>0</v>
      </c>
    </row>
    <row r="309">
      <c r="A309" t="n">
        <v>279</v>
      </c>
      <c r="B309">
        <f>SUMPRODUCT(ROUND($AT308:$BE308*(1+'Calc base'!$H309:$S309),2))</f>
        <v>0</v>
      </c>
      <c r="C309">
        <f>SUM(J309:U309)</f>
        <v>0</v>
      </c>
      <c r="D309">
        <f>SUM(V309:AG309)</f>
        <v>0</v>
      </c>
      <c r="E309">
        <f>MAX(0,IF(Impostazioni!$B$7="No",'Calc base'!$C309-$C$31,'Calc base'!$C309-C309)+'Calc base'!$G309+'Calc base'!$F309-(B309-C309-D309))</f>
        <v>900</v>
      </c>
      <c r="F309">
        <f>SUM(AH309:AS309)</f>
        <v>0</v>
      </c>
      <c r="G309">
        <f>SUM(AT309:BE309)</f>
        <v>0</v>
      </c>
      <c r="H309">
        <f>B309-G308</f>
        <v>0</v>
      </c>
      <c r="I309">
        <f>B309-G309</f>
        <v>0</v>
      </c>
      <c r="J309">
        <f>IF(AT308&lt;=0,0,IF(ROUND(AT308*(1+'Calc base'!H309),2)-MAX('Calc base'!C$12,ROUND('Calc base'!C$13*AT308,2))&lt;1,ROUND(AT308*(1+'Calc base'!H309),2),MAX('Calc base'!C$12,ROUND('Calc base'!C$13*AT308,2))))</f>
        <v>0</v>
      </c>
      <c r="K309">
        <f>IF(AU308&lt;=0,0,IF(ROUND(AU308*(1+'Calc base'!I309),2)-MAX('Calc base'!D$12,ROUND('Calc base'!D$13*AU308,2))&lt;1,ROUND(AU308*(1+'Calc base'!I309),2),MAX('Calc base'!D$12,ROUND('Calc base'!D$13*AU308,2))))</f>
        <v>0</v>
      </c>
      <c r="L309">
        <f>IF(AV308&lt;=0,0,IF(ROUND(AV308*(1+'Calc base'!J309),2)-MAX('Calc base'!E$12,ROUND('Calc base'!E$13*AV308,2))&lt;1,ROUND(AV308*(1+'Calc base'!J309),2),MAX('Calc base'!E$12,ROUND('Calc base'!E$13*AV308,2))))</f>
        <v>0</v>
      </c>
      <c r="M309">
        <f>IF(AW308&lt;=0,0,IF(ROUND(AW308*(1+'Calc base'!K309),2)-MAX('Calc base'!F$12,ROUND('Calc base'!F$13*AW308,2))&lt;1,ROUND(AW308*(1+'Calc base'!K309),2),MAX('Calc base'!F$12,ROUND('Calc base'!F$13*AW308,2))))</f>
        <v>0</v>
      </c>
      <c r="N309">
        <f>IF(AX308&lt;=0,0,IF(ROUND(AX308*(1+'Calc base'!L309),2)-MAX('Calc base'!G$12,ROUND('Calc base'!G$13*AX308,2))&lt;1,ROUND(AX308*(1+'Calc base'!L309),2),MAX('Calc base'!G$12,ROUND('Calc base'!G$13*AX308,2))))</f>
        <v>0</v>
      </c>
      <c r="O309">
        <f>IF(AY308&lt;=0,0,IF(ROUND(AY308*(1+'Calc base'!M309),2)-MAX('Calc base'!H$12,ROUND('Calc base'!H$13*AY308,2))&lt;1,ROUND(AY308*(1+'Calc base'!M309),2),MAX('Calc base'!H$12,ROUND('Calc base'!H$13*AY308,2))))</f>
        <v>0</v>
      </c>
      <c r="P309">
        <f>IF(AZ308&lt;=0,0,IF(ROUND(AZ308*(1+'Calc base'!N309),2)-MAX('Calc base'!I$12,ROUND('Calc base'!I$13*AZ308,2))&lt;1,ROUND(AZ308*(1+'Calc base'!N309),2),MAX('Calc base'!I$12,ROUND('Calc base'!I$13*AZ308,2))))</f>
        <v>0</v>
      </c>
      <c r="Q309">
        <f>IF(BA308&lt;=0,0,IF(ROUND(BA308*(1+'Calc base'!O309),2)-MAX('Calc base'!J$12,ROUND('Calc base'!J$13*BA308,2))&lt;1,ROUND(BA308*(1+'Calc base'!O309),2),MAX('Calc base'!J$12,ROUND('Calc base'!J$13*BA308,2))))</f>
        <v>0</v>
      </c>
      <c r="R309">
        <f>IF(BB308&lt;=0,0,IF(ROUND(BB308*(1+'Calc base'!P309),2)-MAX('Calc base'!K$12,ROUND('Calc base'!K$13*BB308,2))&lt;1,ROUND(BB308*(1+'Calc base'!P309),2),MAX('Calc base'!K$12,ROUND('Calc base'!K$13*BB308,2))))</f>
        <v>0</v>
      </c>
      <c r="S309">
        <f>IF(BC308&lt;=0,0,IF(ROUND(BC308*(1+'Calc base'!Q309),2)-MAX('Calc base'!L$12,ROUND('Calc base'!L$13*BC308,2))&lt;1,ROUND(BC308*(1+'Calc base'!Q309),2),MAX('Calc base'!L$12,ROUND('Calc base'!L$13*BC308,2))))</f>
        <v>0</v>
      </c>
      <c r="T309">
        <f>IF(BD308&lt;=0,0,IF(ROUND(BD308*(1+'Calc base'!R309),2)-MAX('Calc base'!M$12,ROUND('Calc base'!M$13*BD308,2))&lt;1,ROUND(BD308*(1+'Calc base'!R309),2),MAX('Calc base'!M$12,ROUND('Calc base'!M$13*BD308,2))))</f>
        <v>0</v>
      </c>
      <c r="U309">
        <f>IF(BE308&lt;=0,0,IF(ROUND(BE308*(1+'Calc base'!S309),2)-MAX('Calc base'!N$12,ROUND('Calc base'!N$13*BE308,2))&lt;1,ROUND(BE308*(1+'Calc base'!S309),2),MAX('Calc base'!N$12,ROUND('Calc base'!N$13*BE308,2))))</f>
        <v>0</v>
      </c>
      <c r="V309">
        <f>MAX(0,ROUND(AT308*(1+'Calc base'!H309),2)-J309-'Calc base'!T309)</f>
        <v>0</v>
      </c>
      <c r="W309">
        <f>MAX(0,ROUND(AU308*(1+'Calc base'!I309),2)-K309-'Calc base'!U309)</f>
        <v>0</v>
      </c>
      <c r="X309">
        <f>MAX(0,ROUND(AV308*(1+'Calc base'!J309),2)-L309-'Calc base'!V309)</f>
        <v>0</v>
      </c>
      <c r="Y309">
        <f>MAX(0,ROUND(AW308*(1+'Calc base'!K309),2)-M309-'Calc base'!W309)</f>
        <v>0</v>
      </c>
      <c r="Z309">
        <f>MAX(0,ROUND(AX308*(1+'Calc base'!L309),2)-N309-'Calc base'!X309)</f>
        <v>0</v>
      </c>
      <c r="AA309">
        <f>MAX(0,ROUND(AY308*(1+'Calc base'!M309),2)-O309-'Calc base'!Y309)</f>
        <v>0</v>
      </c>
      <c r="AB309">
        <f>MAX(0,ROUND(AZ308*(1+'Calc base'!N309),2)-P309-'Calc base'!Z309)</f>
        <v>0</v>
      </c>
      <c r="AC309">
        <f>MAX(0,ROUND(BA308*(1+'Calc base'!O309),2)-Q309-'Calc base'!AA309)</f>
        <v>0</v>
      </c>
      <c r="AD309">
        <f>MAX(0,ROUND(BB308*(1+'Calc base'!P309),2)-R309-'Calc base'!AB309)</f>
        <v>0</v>
      </c>
      <c r="AE309">
        <f>MAX(0,ROUND(BC308*(1+'Calc base'!Q309),2)-S309-'Calc base'!AC309)</f>
        <v>0</v>
      </c>
      <c r="AF309">
        <f>MAX(0,ROUND(BD308*(1+'Calc base'!R309),2)-T309-'Calc base'!AD309)</f>
        <v>0</v>
      </c>
      <c r="AG309">
        <f>MAX(0,ROUND(BE308*(1+'Calc base'!S309),2)-U309-'Calc base'!AE309)</f>
        <v>0</v>
      </c>
      <c r="AH309">
        <f>IF('Calc base'!C$14=0,0,MIN(V309,MAX(0,$E309-SUMIFS($V309:$AG309,'Calc base'!$C$19:$N$19,"&lt;"&amp;'Calc base'!C$19,'Calc base'!$C$14:$N$14,1))))</f>
        <v>0</v>
      </c>
      <c r="AI309">
        <f>IF('Calc base'!D$14=0,0,MIN(W309,MAX(0,$E309-SUMIFS($V309:$AG309,'Calc base'!$C$19:$N$19,"&lt;"&amp;'Calc base'!D$19,'Calc base'!$C$14:$N$14,1))))</f>
        <v>0</v>
      </c>
      <c r="AJ309">
        <f>IF('Calc base'!E$14=0,0,MIN(X309,MAX(0,$E309-SUMIFS($V309:$AG309,'Calc base'!$C$19:$N$19,"&lt;"&amp;'Calc base'!E$19,'Calc base'!$C$14:$N$14,1))))</f>
        <v>0</v>
      </c>
      <c r="AK309">
        <f>IF('Calc base'!F$14=0,0,MIN(Y309,MAX(0,$E309-SUMIFS($V309:$AG309,'Calc base'!$C$19:$N$19,"&lt;"&amp;'Calc base'!F$19,'Calc base'!$C$14:$N$14,1))))</f>
        <v>0</v>
      </c>
      <c r="AL309">
        <f>IF('Calc base'!G$14=0,0,MIN(Z309,MAX(0,$E309-SUMIFS($V309:$AG309,'Calc base'!$C$19:$N$19,"&lt;"&amp;'Calc base'!G$19,'Calc base'!$C$14:$N$14,1))))</f>
        <v>0</v>
      </c>
      <c r="AM309">
        <f>IF('Calc base'!H$14=0,0,MIN(AA309,MAX(0,$E309-SUMIFS($V309:$AG309,'Calc base'!$C$19:$N$19,"&lt;"&amp;'Calc base'!H$19,'Calc base'!$C$14:$N$14,1))))</f>
        <v>0</v>
      </c>
      <c r="AN309">
        <f>IF('Calc base'!I$14=0,0,MIN(AB309,MAX(0,$E309-SUMIFS($V309:$AG309,'Calc base'!$C$19:$N$19,"&lt;"&amp;'Calc base'!I$19,'Calc base'!$C$14:$N$14,1))))</f>
        <v>0</v>
      </c>
      <c r="AO309">
        <f>IF('Calc base'!J$14=0,0,MIN(AC309,MAX(0,$E309-SUMIFS($V309:$AG309,'Calc base'!$C$19:$N$19,"&lt;"&amp;'Calc base'!J$19,'Calc base'!$C$14:$N$14,1))))</f>
        <v>0</v>
      </c>
      <c r="AP309">
        <f>IF('Calc base'!K$14=0,0,MIN(AD309,MAX(0,$E309-SUMIFS($V309:$AG309,'Calc base'!$C$19:$N$19,"&lt;"&amp;'Calc base'!K$19,'Calc base'!$C$14:$N$14,1))))</f>
        <v>0</v>
      </c>
      <c r="AQ309">
        <f>IF('Calc base'!L$14=0,0,MIN(AE309,MAX(0,$E309-SUMIFS($V309:$AG309,'Calc base'!$C$19:$N$19,"&lt;"&amp;'Calc base'!L$19,'Calc base'!$C$14:$N$14,1))))</f>
        <v>0</v>
      </c>
      <c r="AR309">
        <f>IF('Calc base'!M$14=0,0,MIN(AF309,MAX(0,$E309-SUMIFS($V309:$AG309,'Calc base'!$C$19:$N$19,"&lt;"&amp;'Calc base'!M$19,'Calc base'!$C$14:$N$14,1))))</f>
        <v>0</v>
      </c>
      <c r="AS309">
        <f>IF('Calc base'!N$14=0,0,MIN(AG309,MAX(0,$E309-SUMIFS($V309:$AG309,'Calc base'!$C$19:$N$19,"&lt;"&amp;'Calc base'!N$19,'Calc base'!$C$14:$N$14,1))))</f>
        <v>0</v>
      </c>
      <c r="AT309">
        <f>V309-AH309</f>
        <v>0</v>
      </c>
      <c r="AU309">
        <f>W309-AI309</f>
        <v>0</v>
      </c>
      <c r="AV309">
        <f>X309-AJ309</f>
        <v>0</v>
      </c>
      <c r="AW309">
        <f>Y309-AK309</f>
        <v>0</v>
      </c>
      <c r="AX309">
        <f>Z309-AL309</f>
        <v>0</v>
      </c>
      <c r="AY309">
        <f>AA309-AM309</f>
        <v>0</v>
      </c>
      <c r="AZ309">
        <f>AB309-AN309</f>
        <v>0</v>
      </c>
      <c r="BA309">
        <f>AC309-AO309</f>
        <v>0</v>
      </c>
      <c r="BB309">
        <f>AD309-AP309</f>
        <v>0</v>
      </c>
      <c r="BC309">
        <f>AE309-AQ309</f>
        <v>0</v>
      </c>
      <c r="BD309">
        <f>AF309-AR309</f>
        <v>0</v>
      </c>
      <c r="BE309">
        <f>AG309-AS309</f>
        <v>0</v>
      </c>
    </row>
    <row r="310">
      <c r="A310" t="n">
        <v>280</v>
      </c>
      <c r="B310">
        <f>SUMPRODUCT(ROUND($AT309:$BE309*(1+'Calc base'!$H310:$S310),2))</f>
        <v>0</v>
      </c>
      <c r="C310">
        <f>SUM(J310:U310)</f>
        <v>0</v>
      </c>
      <c r="D310">
        <f>SUM(V310:AG310)</f>
        <v>0</v>
      </c>
      <c r="E310">
        <f>MAX(0,IF(Impostazioni!$B$7="No",'Calc base'!$C310-$C$31,'Calc base'!$C310-C310)+'Calc base'!$G310+'Calc base'!$F310-(B310-C310-D310))</f>
        <v>900</v>
      </c>
      <c r="F310">
        <f>SUM(AH310:AS310)</f>
        <v>0</v>
      </c>
      <c r="G310">
        <f>SUM(AT310:BE310)</f>
        <v>0</v>
      </c>
      <c r="H310">
        <f>B310-G309</f>
        <v>0</v>
      </c>
      <c r="I310">
        <f>B310-G310</f>
        <v>0</v>
      </c>
      <c r="J310">
        <f>IF(AT309&lt;=0,0,IF(ROUND(AT309*(1+'Calc base'!H310),2)-MAX('Calc base'!C$12,ROUND('Calc base'!C$13*AT309,2))&lt;1,ROUND(AT309*(1+'Calc base'!H310),2),MAX('Calc base'!C$12,ROUND('Calc base'!C$13*AT309,2))))</f>
        <v>0</v>
      </c>
      <c r="K310">
        <f>IF(AU309&lt;=0,0,IF(ROUND(AU309*(1+'Calc base'!I310),2)-MAX('Calc base'!D$12,ROUND('Calc base'!D$13*AU309,2))&lt;1,ROUND(AU309*(1+'Calc base'!I310),2),MAX('Calc base'!D$12,ROUND('Calc base'!D$13*AU309,2))))</f>
        <v>0</v>
      </c>
      <c r="L310">
        <f>IF(AV309&lt;=0,0,IF(ROUND(AV309*(1+'Calc base'!J310),2)-MAX('Calc base'!E$12,ROUND('Calc base'!E$13*AV309,2))&lt;1,ROUND(AV309*(1+'Calc base'!J310),2),MAX('Calc base'!E$12,ROUND('Calc base'!E$13*AV309,2))))</f>
        <v>0</v>
      </c>
      <c r="M310">
        <f>IF(AW309&lt;=0,0,IF(ROUND(AW309*(1+'Calc base'!K310),2)-MAX('Calc base'!F$12,ROUND('Calc base'!F$13*AW309,2))&lt;1,ROUND(AW309*(1+'Calc base'!K310),2),MAX('Calc base'!F$12,ROUND('Calc base'!F$13*AW309,2))))</f>
        <v>0</v>
      </c>
      <c r="N310">
        <f>IF(AX309&lt;=0,0,IF(ROUND(AX309*(1+'Calc base'!L310),2)-MAX('Calc base'!G$12,ROUND('Calc base'!G$13*AX309,2))&lt;1,ROUND(AX309*(1+'Calc base'!L310),2),MAX('Calc base'!G$12,ROUND('Calc base'!G$13*AX309,2))))</f>
        <v>0</v>
      </c>
      <c r="O310">
        <f>IF(AY309&lt;=0,0,IF(ROUND(AY309*(1+'Calc base'!M310),2)-MAX('Calc base'!H$12,ROUND('Calc base'!H$13*AY309,2))&lt;1,ROUND(AY309*(1+'Calc base'!M310),2),MAX('Calc base'!H$12,ROUND('Calc base'!H$13*AY309,2))))</f>
        <v>0</v>
      </c>
      <c r="P310">
        <f>IF(AZ309&lt;=0,0,IF(ROUND(AZ309*(1+'Calc base'!N310),2)-MAX('Calc base'!I$12,ROUND('Calc base'!I$13*AZ309,2))&lt;1,ROUND(AZ309*(1+'Calc base'!N310),2),MAX('Calc base'!I$12,ROUND('Calc base'!I$13*AZ309,2))))</f>
        <v>0</v>
      </c>
      <c r="Q310">
        <f>IF(BA309&lt;=0,0,IF(ROUND(BA309*(1+'Calc base'!O310),2)-MAX('Calc base'!J$12,ROUND('Calc base'!J$13*BA309,2))&lt;1,ROUND(BA309*(1+'Calc base'!O310),2),MAX('Calc base'!J$12,ROUND('Calc base'!J$13*BA309,2))))</f>
        <v>0</v>
      </c>
      <c r="R310">
        <f>IF(BB309&lt;=0,0,IF(ROUND(BB309*(1+'Calc base'!P310),2)-MAX('Calc base'!K$12,ROUND('Calc base'!K$13*BB309,2))&lt;1,ROUND(BB309*(1+'Calc base'!P310),2),MAX('Calc base'!K$12,ROUND('Calc base'!K$13*BB309,2))))</f>
        <v>0</v>
      </c>
      <c r="S310">
        <f>IF(BC309&lt;=0,0,IF(ROUND(BC309*(1+'Calc base'!Q310),2)-MAX('Calc base'!L$12,ROUND('Calc base'!L$13*BC309,2))&lt;1,ROUND(BC309*(1+'Calc base'!Q310),2),MAX('Calc base'!L$12,ROUND('Calc base'!L$13*BC309,2))))</f>
        <v>0</v>
      </c>
      <c r="T310">
        <f>IF(BD309&lt;=0,0,IF(ROUND(BD309*(1+'Calc base'!R310),2)-MAX('Calc base'!M$12,ROUND('Calc base'!M$13*BD309,2))&lt;1,ROUND(BD309*(1+'Calc base'!R310),2),MAX('Calc base'!M$12,ROUND('Calc base'!M$13*BD309,2))))</f>
        <v>0</v>
      </c>
      <c r="U310">
        <f>IF(BE309&lt;=0,0,IF(ROUND(BE309*(1+'Calc base'!S310),2)-MAX('Calc base'!N$12,ROUND('Calc base'!N$13*BE309,2))&lt;1,ROUND(BE309*(1+'Calc base'!S310),2),MAX('Calc base'!N$12,ROUND('Calc base'!N$13*BE309,2))))</f>
        <v>0</v>
      </c>
      <c r="V310">
        <f>MAX(0,ROUND(AT309*(1+'Calc base'!H310),2)-J310-'Calc base'!T310)</f>
        <v>0</v>
      </c>
      <c r="W310">
        <f>MAX(0,ROUND(AU309*(1+'Calc base'!I310),2)-K310-'Calc base'!U310)</f>
        <v>0</v>
      </c>
      <c r="X310">
        <f>MAX(0,ROUND(AV309*(1+'Calc base'!J310),2)-L310-'Calc base'!V310)</f>
        <v>0</v>
      </c>
      <c r="Y310">
        <f>MAX(0,ROUND(AW309*(1+'Calc base'!K310),2)-M310-'Calc base'!W310)</f>
        <v>0</v>
      </c>
      <c r="Z310">
        <f>MAX(0,ROUND(AX309*(1+'Calc base'!L310),2)-N310-'Calc base'!X310)</f>
        <v>0</v>
      </c>
      <c r="AA310">
        <f>MAX(0,ROUND(AY309*(1+'Calc base'!M310),2)-O310-'Calc base'!Y310)</f>
        <v>0</v>
      </c>
      <c r="AB310">
        <f>MAX(0,ROUND(AZ309*(1+'Calc base'!N310),2)-P310-'Calc base'!Z310)</f>
        <v>0</v>
      </c>
      <c r="AC310">
        <f>MAX(0,ROUND(BA309*(1+'Calc base'!O310),2)-Q310-'Calc base'!AA310)</f>
        <v>0</v>
      </c>
      <c r="AD310">
        <f>MAX(0,ROUND(BB309*(1+'Calc base'!P310),2)-R310-'Calc base'!AB310)</f>
        <v>0</v>
      </c>
      <c r="AE310">
        <f>MAX(0,ROUND(BC309*(1+'Calc base'!Q310),2)-S310-'Calc base'!AC310)</f>
        <v>0</v>
      </c>
      <c r="AF310">
        <f>MAX(0,ROUND(BD309*(1+'Calc base'!R310),2)-T310-'Calc base'!AD310)</f>
        <v>0</v>
      </c>
      <c r="AG310">
        <f>MAX(0,ROUND(BE309*(1+'Calc base'!S310),2)-U310-'Calc base'!AE310)</f>
        <v>0</v>
      </c>
      <c r="AH310">
        <f>IF('Calc base'!C$14=0,0,MIN(V310,MAX(0,$E310-SUMIFS($V310:$AG310,'Calc base'!$C$19:$N$19,"&lt;"&amp;'Calc base'!C$19,'Calc base'!$C$14:$N$14,1))))</f>
        <v>0</v>
      </c>
      <c r="AI310">
        <f>IF('Calc base'!D$14=0,0,MIN(W310,MAX(0,$E310-SUMIFS($V310:$AG310,'Calc base'!$C$19:$N$19,"&lt;"&amp;'Calc base'!D$19,'Calc base'!$C$14:$N$14,1))))</f>
        <v>0</v>
      </c>
      <c r="AJ310">
        <f>IF('Calc base'!E$14=0,0,MIN(X310,MAX(0,$E310-SUMIFS($V310:$AG310,'Calc base'!$C$19:$N$19,"&lt;"&amp;'Calc base'!E$19,'Calc base'!$C$14:$N$14,1))))</f>
        <v>0</v>
      </c>
      <c r="AK310">
        <f>IF('Calc base'!F$14=0,0,MIN(Y310,MAX(0,$E310-SUMIFS($V310:$AG310,'Calc base'!$C$19:$N$19,"&lt;"&amp;'Calc base'!F$19,'Calc base'!$C$14:$N$14,1))))</f>
        <v>0</v>
      </c>
      <c r="AL310">
        <f>IF('Calc base'!G$14=0,0,MIN(Z310,MAX(0,$E310-SUMIFS($V310:$AG310,'Calc base'!$C$19:$N$19,"&lt;"&amp;'Calc base'!G$19,'Calc base'!$C$14:$N$14,1))))</f>
        <v>0</v>
      </c>
      <c r="AM310">
        <f>IF('Calc base'!H$14=0,0,MIN(AA310,MAX(0,$E310-SUMIFS($V310:$AG310,'Calc base'!$C$19:$N$19,"&lt;"&amp;'Calc base'!H$19,'Calc base'!$C$14:$N$14,1))))</f>
        <v>0</v>
      </c>
      <c r="AN310">
        <f>IF('Calc base'!I$14=0,0,MIN(AB310,MAX(0,$E310-SUMIFS($V310:$AG310,'Calc base'!$C$19:$N$19,"&lt;"&amp;'Calc base'!I$19,'Calc base'!$C$14:$N$14,1))))</f>
        <v>0</v>
      </c>
      <c r="AO310">
        <f>IF('Calc base'!J$14=0,0,MIN(AC310,MAX(0,$E310-SUMIFS($V310:$AG310,'Calc base'!$C$19:$N$19,"&lt;"&amp;'Calc base'!J$19,'Calc base'!$C$14:$N$14,1))))</f>
        <v>0</v>
      </c>
      <c r="AP310">
        <f>IF('Calc base'!K$14=0,0,MIN(AD310,MAX(0,$E310-SUMIFS($V310:$AG310,'Calc base'!$C$19:$N$19,"&lt;"&amp;'Calc base'!K$19,'Calc base'!$C$14:$N$14,1))))</f>
        <v>0</v>
      </c>
      <c r="AQ310">
        <f>IF('Calc base'!L$14=0,0,MIN(AE310,MAX(0,$E310-SUMIFS($V310:$AG310,'Calc base'!$C$19:$N$19,"&lt;"&amp;'Calc base'!L$19,'Calc base'!$C$14:$N$14,1))))</f>
        <v>0</v>
      </c>
      <c r="AR310">
        <f>IF('Calc base'!M$14=0,0,MIN(AF310,MAX(0,$E310-SUMIFS($V310:$AG310,'Calc base'!$C$19:$N$19,"&lt;"&amp;'Calc base'!M$19,'Calc base'!$C$14:$N$14,1))))</f>
        <v>0</v>
      </c>
      <c r="AS310">
        <f>IF('Calc base'!N$14=0,0,MIN(AG310,MAX(0,$E310-SUMIFS($V310:$AG310,'Calc base'!$C$19:$N$19,"&lt;"&amp;'Calc base'!N$19,'Calc base'!$C$14:$N$14,1))))</f>
        <v>0</v>
      </c>
      <c r="AT310">
        <f>V310-AH310</f>
        <v>0</v>
      </c>
      <c r="AU310">
        <f>W310-AI310</f>
        <v>0</v>
      </c>
      <c r="AV310">
        <f>X310-AJ310</f>
        <v>0</v>
      </c>
      <c r="AW310">
        <f>Y310-AK310</f>
        <v>0</v>
      </c>
      <c r="AX310">
        <f>Z310-AL310</f>
        <v>0</v>
      </c>
      <c r="AY310">
        <f>AA310-AM310</f>
        <v>0</v>
      </c>
      <c r="AZ310">
        <f>AB310-AN310</f>
        <v>0</v>
      </c>
      <c r="BA310">
        <f>AC310-AO310</f>
        <v>0</v>
      </c>
      <c r="BB310">
        <f>AD310-AP310</f>
        <v>0</v>
      </c>
      <c r="BC310">
        <f>AE310-AQ310</f>
        <v>0</v>
      </c>
      <c r="BD310">
        <f>AF310-AR310</f>
        <v>0</v>
      </c>
      <c r="BE310">
        <f>AG310-AS310</f>
        <v>0</v>
      </c>
    </row>
    <row r="311">
      <c r="A311" t="n">
        <v>281</v>
      </c>
      <c r="B311">
        <f>SUMPRODUCT(ROUND($AT310:$BE310*(1+'Calc base'!$H311:$S311),2))</f>
        <v>0</v>
      </c>
      <c r="C311">
        <f>SUM(J311:U311)</f>
        <v>0</v>
      </c>
      <c r="D311">
        <f>SUM(V311:AG311)</f>
        <v>0</v>
      </c>
      <c r="E311">
        <f>MAX(0,IF(Impostazioni!$B$7="No",'Calc base'!$C311-$C$31,'Calc base'!$C311-C311)+'Calc base'!$G311+'Calc base'!$F311-(B311-C311-D311))</f>
        <v>900</v>
      </c>
      <c r="F311">
        <f>SUM(AH311:AS311)</f>
        <v>0</v>
      </c>
      <c r="G311">
        <f>SUM(AT311:BE311)</f>
        <v>0</v>
      </c>
      <c r="H311">
        <f>B311-G310</f>
        <v>0</v>
      </c>
      <c r="I311">
        <f>B311-G311</f>
        <v>0</v>
      </c>
      <c r="J311">
        <f>IF(AT310&lt;=0,0,IF(ROUND(AT310*(1+'Calc base'!H311),2)-MAX('Calc base'!C$12,ROUND('Calc base'!C$13*AT310,2))&lt;1,ROUND(AT310*(1+'Calc base'!H311),2),MAX('Calc base'!C$12,ROUND('Calc base'!C$13*AT310,2))))</f>
        <v>0</v>
      </c>
      <c r="K311">
        <f>IF(AU310&lt;=0,0,IF(ROUND(AU310*(1+'Calc base'!I311),2)-MAX('Calc base'!D$12,ROUND('Calc base'!D$13*AU310,2))&lt;1,ROUND(AU310*(1+'Calc base'!I311),2),MAX('Calc base'!D$12,ROUND('Calc base'!D$13*AU310,2))))</f>
        <v>0</v>
      </c>
      <c r="L311">
        <f>IF(AV310&lt;=0,0,IF(ROUND(AV310*(1+'Calc base'!J311),2)-MAX('Calc base'!E$12,ROUND('Calc base'!E$13*AV310,2))&lt;1,ROUND(AV310*(1+'Calc base'!J311),2),MAX('Calc base'!E$12,ROUND('Calc base'!E$13*AV310,2))))</f>
        <v>0</v>
      </c>
      <c r="M311">
        <f>IF(AW310&lt;=0,0,IF(ROUND(AW310*(1+'Calc base'!K311),2)-MAX('Calc base'!F$12,ROUND('Calc base'!F$13*AW310,2))&lt;1,ROUND(AW310*(1+'Calc base'!K311),2),MAX('Calc base'!F$12,ROUND('Calc base'!F$13*AW310,2))))</f>
        <v>0</v>
      </c>
      <c r="N311">
        <f>IF(AX310&lt;=0,0,IF(ROUND(AX310*(1+'Calc base'!L311),2)-MAX('Calc base'!G$12,ROUND('Calc base'!G$13*AX310,2))&lt;1,ROUND(AX310*(1+'Calc base'!L311),2),MAX('Calc base'!G$12,ROUND('Calc base'!G$13*AX310,2))))</f>
        <v>0</v>
      </c>
      <c r="O311">
        <f>IF(AY310&lt;=0,0,IF(ROUND(AY310*(1+'Calc base'!M311),2)-MAX('Calc base'!H$12,ROUND('Calc base'!H$13*AY310,2))&lt;1,ROUND(AY310*(1+'Calc base'!M311),2),MAX('Calc base'!H$12,ROUND('Calc base'!H$13*AY310,2))))</f>
        <v>0</v>
      </c>
      <c r="P311">
        <f>IF(AZ310&lt;=0,0,IF(ROUND(AZ310*(1+'Calc base'!N311),2)-MAX('Calc base'!I$12,ROUND('Calc base'!I$13*AZ310,2))&lt;1,ROUND(AZ310*(1+'Calc base'!N311),2),MAX('Calc base'!I$12,ROUND('Calc base'!I$13*AZ310,2))))</f>
        <v>0</v>
      </c>
      <c r="Q311">
        <f>IF(BA310&lt;=0,0,IF(ROUND(BA310*(1+'Calc base'!O311),2)-MAX('Calc base'!J$12,ROUND('Calc base'!J$13*BA310,2))&lt;1,ROUND(BA310*(1+'Calc base'!O311),2),MAX('Calc base'!J$12,ROUND('Calc base'!J$13*BA310,2))))</f>
        <v>0</v>
      </c>
      <c r="R311">
        <f>IF(BB310&lt;=0,0,IF(ROUND(BB310*(1+'Calc base'!P311),2)-MAX('Calc base'!K$12,ROUND('Calc base'!K$13*BB310,2))&lt;1,ROUND(BB310*(1+'Calc base'!P311),2),MAX('Calc base'!K$12,ROUND('Calc base'!K$13*BB310,2))))</f>
        <v>0</v>
      </c>
      <c r="S311">
        <f>IF(BC310&lt;=0,0,IF(ROUND(BC310*(1+'Calc base'!Q311),2)-MAX('Calc base'!L$12,ROUND('Calc base'!L$13*BC310,2))&lt;1,ROUND(BC310*(1+'Calc base'!Q311),2),MAX('Calc base'!L$12,ROUND('Calc base'!L$13*BC310,2))))</f>
        <v>0</v>
      </c>
      <c r="T311">
        <f>IF(BD310&lt;=0,0,IF(ROUND(BD310*(1+'Calc base'!R311),2)-MAX('Calc base'!M$12,ROUND('Calc base'!M$13*BD310,2))&lt;1,ROUND(BD310*(1+'Calc base'!R311),2),MAX('Calc base'!M$12,ROUND('Calc base'!M$13*BD310,2))))</f>
        <v>0</v>
      </c>
      <c r="U311">
        <f>IF(BE310&lt;=0,0,IF(ROUND(BE310*(1+'Calc base'!S311),2)-MAX('Calc base'!N$12,ROUND('Calc base'!N$13*BE310,2))&lt;1,ROUND(BE310*(1+'Calc base'!S311),2),MAX('Calc base'!N$12,ROUND('Calc base'!N$13*BE310,2))))</f>
        <v>0</v>
      </c>
      <c r="V311">
        <f>MAX(0,ROUND(AT310*(1+'Calc base'!H311),2)-J311-'Calc base'!T311)</f>
        <v>0</v>
      </c>
      <c r="W311">
        <f>MAX(0,ROUND(AU310*(1+'Calc base'!I311),2)-K311-'Calc base'!U311)</f>
        <v>0</v>
      </c>
      <c r="X311">
        <f>MAX(0,ROUND(AV310*(1+'Calc base'!J311),2)-L311-'Calc base'!V311)</f>
        <v>0</v>
      </c>
      <c r="Y311">
        <f>MAX(0,ROUND(AW310*(1+'Calc base'!K311),2)-M311-'Calc base'!W311)</f>
        <v>0</v>
      </c>
      <c r="Z311">
        <f>MAX(0,ROUND(AX310*(1+'Calc base'!L311),2)-N311-'Calc base'!X311)</f>
        <v>0</v>
      </c>
      <c r="AA311">
        <f>MAX(0,ROUND(AY310*(1+'Calc base'!M311),2)-O311-'Calc base'!Y311)</f>
        <v>0</v>
      </c>
      <c r="AB311">
        <f>MAX(0,ROUND(AZ310*(1+'Calc base'!N311),2)-P311-'Calc base'!Z311)</f>
        <v>0</v>
      </c>
      <c r="AC311">
        <f>MAX(0,ROUND(BA310*(1+'Calc base'!O311),2)-Q311-'Calc base'!AA311)</f>
        <v>0</v>
      </c>
      <c r="AD311">
        <f>MAX(0,ROUND(BB310*(1+'Calc base'!P311),2)-R311-'Calc base'!AB311)</f>
        <v>0</v>
      </c>
      <c r="AE311">
        <f>MAX(0,ROUND(BC310*(1+'Calc base'!Q311),2)-S311-'Calc base'!AC311)</f>
        <v>0</v>
      </c>
      <c r="AF311">
        <f>MAX(0,ROUND(BD310*(1+'Calc base'!R311),2)-T311-'Calc base'!AD311)</f>
        <v>0</v>
      </c>
      <c r="AG311">
        <f>MAX(0,ROUND(BE310*(1+'Calc base'!S311),2)-U311-'Calc base'!AE311)</f>
        <v>0</v>
      </c>
      <c r="AH311">
        <f>IF('Calc base'!C$14=0,0,MIN(V311,MAX(0,$E311-SUMIFS($V311:$AG311,'Calc base'!$C$19:$N$19,"&lt;"&amp;'Calc base'!C$19,'Calc base'!$C$14:$N$14,1))))</f>
        <v>0</v>
      </c>
      <c r="AI311">
        <f>IF('Calc base'!D$14=0,0,MIN(W311,MAX(0,$E311-SUMIFS($V311:$AG311,'Calc base'!$C$19:$N$19,"&lt;"&amp;'Calc base'!D$19,'Calc base'!$C$14:$N$14,1))))</f>
        <v>0</v>
      </c>
      <c r="AJ311">
        <f>IF('Calc base'!E$14=0,0,MIN(X311,MAX(0,$E311-SUMIFS($V311:$AG311,'Calc base'!$C$19:$N$19,"&lt;"&amp;'Calc base'!E$19,'Calc base'!$C$14:$N$14,1))))</f>
        <v>0</v>
      </c>
      <c r="AK311">
        <f>IF('Calc base'!F$14=0,0,MIN(Y311,MAX(0,$E311-SUMIFS($V311:$AG311,'Calc base'!$C$19:$N$19,"&lt;"&amp;'Calc base'!F$19,'Calc base'!$C$14:$N$14,1))))</f>
        <v>0</v>
      </c>
      <c r="AL311">
        <f>IF('Calc base'!G$14=0,0,MIN(Z311,MAX(0,$E311-SUMIFS($V311:$AG311,'Calc base'!$C$19:$N$19,"&lt;"&amp;'Calc base'!G$19,'Calc base'!$C$14:$N$14,1))))</f>
        <v>0</v>
      </c>
      <c r="AM311">
        <f>IF('Calc base'!H$14=0,0,MIN(AA311,MAX(0,$E311-SUMIFS($V311:$AG311,'Calc base'!$C$19:$N$19,"&lt;"&amp;'Calc base'!H$19,'Calc base'!$C$14:$N$14,1))))</f>
        <v>0</v>
      </c>
      <c r="AN311">
        <f>IF('Calc base'!I$14=0,0,MIN(AB311,MAX(0,$E311-SUMIFS($V311:$AG311,'Calc base'!$C$19:$N$19,"&lt;"&amp;'Calc base'!I$19,'Calc base'!$C$14:$N$14,1))))</f>
        <v>0</v>
      </c>
      <c r="AO311">
        <f>IF('Calc base'!J$14=0,0,MIN(AC311,MAX(0,$E311-SUMIFS($V311:$AG311,'Calc base'!$C$19:$N$19,"&lt;"&amp;'Calc base'!J$19,'Calc base'!$C$14:$N$14,1))))</f>
        <v>0</v>
      </c>
      <c r="AP311">
        <f>IF('Calc base'!K$14=0,0,MIN(AD311,MAX(0,$E311-SUMIFS($V311:$AG311,'Calc base'!$C$19:$N$19,"&lt;"&amp;'Calc base'!K$19,'Calc base'!$C$14:$N$14,1))))</f>
        <v>0</v>
      </c>
      <c r="AQ311">
        <f>IF('Calc base'!L$14=0,0,MIN(AE311,MAX(0,$E311-SUMIFS($V311:$AG311,'Calc base'!$C$19:$N$19,"&lt;"&amp;'Calc base'!L$19,'Calc base'!$C$14:$N$14,1))))</f>
        <v>0</v>
      </c>
      <c r="AR311">
        <f>IF('Calc base'!M$14=0,0,MIN(AF311,MAX(0,$E311-SUMIFS($V311:$AG311,'Calc base'!$C$19:$N$19,"&lt;"&amp;'Calc base'!M$19,'Calc base'!$C$14:$N$14,1))))</f>
        <v>0</v>
      </c>
      <c r="AS311">
        <f>IF('Calc base'!N$14=0,0,MIN(AG311,MAX(0,$E311-SUMIFS($V311:$AG311,'Calc base'!$C$19:$N$19,"&lt;"&amp;'Calc base'!N$19,'Calc base'!$C$14:$N$14,1))))</f>
        <v>0</v>
      </c>
      <c r="AT311">
        <f>V311-AH311</f>
        <v>0</v>
      </c>
      <c r="AU311">
        <f>W311-AI311</f>
        <v>0</v>
      </c>
      <c r="AV311">
        <f>X311-AJ311</f>
        <v>0</v>
      </c>
      <c r="AW311">
        <f>Y311-AK311</f>
        <v>0</v>
      </c>
      <c r="AX311">
        <f>Z311-AL311</f>
        <v>0</v>
      </c>
      <c r="AY311">
        <f>AA311-AM311</f>
        <v>0</v>
      </c>
      <c r="AZ311">
        <f>AB311-AN311</f>
        <v>0</v>
      </c>
      <c r="BA311">
        <f>AC311-AO311</f>
        <v>0</v>
      </c>
      <c r="BB311">
        <f>AD311-AP311</f>
        <v>0</v>
      </c>
      <c r="BC311">
        <f>AE311-AQ311</f>
        <v>0</v>
      </c>
      <c r="BD311">
        <f>AF311-AR311</f>
        <v>0</v>
      </c>
      <c r="BE311">
        <f>AG311-AS311</f>
        <v>0</v>
      </c>
    </row>
    <row r="312">
      <c r="A312" t="n">
        <v>282</v>
      </c>
      <c r="B312">
        <f>SUMPRODUCT(ROUND($AT311:$BE311*(1+'Calc base'!$H312:$S312),2))</f>
        <v>0</v>
      </c>
      <c r="C312">
        <f>SUM(J312:U312)</f>
        <v>0</v>
      </c>
      <c r="D312">
        <f>SUM(V312:AG312)</f>
        <v>0</v>
      </c>
      <c r="E312">
        <f>MAX(0,IF(Impostazioni!$B$7="No",'Calc base'!$C312-$C$31,'Calc base'!$C312-C312)+'Calc base'!$G312+'Calc base'!$F312-(B312-C312-D312))</f>
        <v>900</v>
      </c>
      <c r="F312">
        <f>SUM(AH312:AS312)</f>
        <v>0</v>
      </c>
      <c r="G312">
        <f>SUM(AT312:BE312)</f>
        <v>0</v>
      </c>
      <c r="H312">
        <f>B312-G311</f>
        <v>0</v>
      </c>
      <c r="I312">
        <f>B312-G312</f>
        <v>0</v>
      </c>
      <c r="J312">
        <f>IF(AT311&lt;=0,0,IF(ROUND(AT311*(1+'Calc base'!H312),2)-MAX('Calc base'!C$12,ROUND('Calc base'!C$13*AT311,2))&lt;1,ROUND(AT311*(1+'Calc base'!H312),2),MAX('Calc base'!C$12,ROUND('Calc base'!C$13*AT311,2))))</f>
        <v>0</v>
      </c>
      <c r="K312">
        <f>IF(AU311&lt;=0,0,IF(ROUND(AU311*(1+'Calc base'!I312),2)-MAX('Calc base'!D$12,ROUND('Calc base'!D$13*AU311,2))&lt;1,ROUND(AU311*(1+'Calc base'!I312),2),MAX('Calc base'!D$12,ROUND('Calc base'!D$13*AU311,2))))</f>
        <v>0</v>
      </c>
      <c r="L312">
        <f>IF(AV311&lt;=0,0,IF(ROUND(AV311*(1+'Calc base'!J312),2)-MAX('Calc base'!E$12,ROUND('Calc base'!E$13*AV311,2))&lt;1,ROUND(AV311*(1+'Calc base'!J312),2),MAX('Calc base'!E$12,ROUND('Calc base'!E$13*AV311,2))))</f>
        <v>0</v>
      </c>
      <c r="M312">
        <f>IF(AW311&lt;=0,0,IF(ROUND(AW311*(1+'Calc base'!K312),2)-MAX('Calc base'!F$12,ROUND('Calc base'!F$13*AW311,2))&lt;1,ROUND(AW311*(1+'Calc base'!K312),2),MAX('Calc base'!F$12,ROUND('Calc base'!F$13*AW311,2))))</f>
        <v>0</v>
      </c>
      <c r="N312">
        <f>IF(AX311&lt;=0,0,IF(ROUND(AX311*(1+'Calc base'!L312),2)-MAX('Calc base'!G$12,ROUND('Calc base'!G$13*AX311,2))&lt;1,ROUND(AX311*(1+'Calc base'!L312),2),MAX('Calc base'!G$12,ROUND('Calc base'!G$13*AX311,2))))</f>
        <v>0</v>
      </c>
      <c r="O312">
        <f>IF(AY311&lt;=0,0,IF(ROUND(AY311*(1+'Calc base'!M312),2)-MAX('Calc base'!H$12,ROUND('Calc base'!H$13*AY311,2))&lt;1,ROUND(AY311*(1+'Calc base'!M312),2),MAX('Calc base'!H$12,ROUND('Calc base'!H$13*AY311,2))))</f>
        <v>0</v>
      </c>
      <c r="P312">
        <f>IF(AZ311&lt;=0,0,IF(ROUND(AZ311*(1+'Calc base'!N312),2)-MAX('Calc base'!I$12,ROUND('Calc base'!I$13*AZ311,2))&lt;1,ROUND(AZ311*(1+'Calc base'!N312),2),MAX('Calc base'!I$12,ROUND('Calc base'!I$13*AZ311,2))))</f>
        <v>0</v>
      </c>
      <c r="Q312">
        <f>IF(BA311&lt;=0,0,IF(ROUND(BA311*(1+'Calc base'!O312),2)-MAX('Calc base'!J$12,ROUND('Calc base'!J$13*BA311,2))&lt;1,ROUND(BA311*(1+'Calc base'!O312),2),MAX('Calc base'!J$12,ROUND('Calc base'!J$13*BA311,2))))</f>
        <v>0</v>
      </c>
      <c r="R312">
        <f>IF(BB311&lt;=0,0,IF(ROUND(BB311*(1+'Calc base'!P312),2)-MAX('Calc base'!K$12,ROUND('Calc base'!K$13*BB311,2))&lt;1,ROUND(BB311*(1+'Calc base'!P312),2),MAX('Calc base'!K$12,ROUND('Calc base'!K$13*BB311,2))))</f>
        <v>0</v>
      </c>
      <c r="S312">
        <f>IF(BC311&lt;=0,0,IF(ROUND(BC311*(1+'Calc base'!Q312),2)-MAX('Calc base'!L$12,ROUND('Calc base'!L$13*BC311,2))&lt;1,ROUND(BC311*(1+'Calc base'!Q312),2),MAX('Calc base'!L$12,ROUND('Calc base'!L$13*BC311,2))))</f>
        <v>0</v>
      </c>
      <c r="T312">
        <f>IF(BD311&lt;=0,0,IF(ROUND(BD311*(1+'Calc base'!R312),2)-MAX('Calc base'!M$12,ROUND('Calc base'!M$13*BD311,2))&lt;1,ROUND(BD311*(1+'Calc base'!R312),2),MAX('Calc base'!M$12,ROUND('Calc base'!M$13*BD311,2))))</f>
        <v>0</v>
      </c>
      <c r="U312">
        <f>IF(BE311&lt;=0,0,IF(ROUND(BE311*(1+'Calc base'!S312),2)-MAX('Calc base'!N$12,ROUND('Calc base'!N$13*BE311,2))&lt;1,ROUND(BE311*(1+'Calc base'!S312),2),MAX('Calc base'!N$12,ROUND('Calc base'!N$13*BE311,2))))</f>
        <v>0</v>
      </c>
      <c r="V312">
        <f>MAX(0,ROUND(AT311*(1+'Calc base'!H312),2)-J312-'Calc base'!T312)</f>
        <v>0</v>
      </c>
      <c r="W312">
        <f>MAX(0,ROUND(AU311*(1+'Calc base'!I312),2)-K312-'Calc base'!U312)</f>
        <v>0</v>
      </c>
      <c r="X312">
        <f>MAX(0,ROUND(AV311*(1+'Calc base'!J312),2)-L312-'Calc base'!V312)</f>
        <v>0</v>
      </c>
      <c r="Y312">
        <f>MAX(0,ROUND(AW311*(1+'Calc base'!K312),2)-M312-'Calc base'!W312)</f>
        <v>0</v>
      </c>
      <c r="Z312">
        <f>MAX(0,ROUND(AX311*(1+'Calc base'!L312),2)-N312-'Calc base'!X312)</f>
        <v>0</v>
      </c>
      <c r="AA312">
        <f>MAX(0,ROUND(AY311*(1+'Calc base'!M312),2)-O312-'Calc base'!Y312)</f>
        <v>0</v>
      </c>
      <c r="AB312">
        <f>MAX(0,ROUND(AZ311*(1+'Calc base'!N312),2)-P312-'Calc base'!Z312)</f>
        <v>0</v>
      </c>
      <c r="AC312">
        <f>MAX(0,ROUND(BA311*(1+'Calc base'!O312),2)-Q312-'Calc base'!AA312)</f>
        <v>0</v>
      </c>
      <c r="AD312">
        <f>MAX(0,ROUND(BB311*(1+'Calc base'!P312),2)-R312-'Calc base'!AB312)</f>
        <v>0</v>
      </c>
      <c r="AE312">
        <f>MAX(0,ROUND(BC311*(1+'Calc base'!Q312),2)-S312-'Calc base'!AC312)</f>
        <v>0</v>
      </c>
      <c r="AF312">
        <f>MAX(0,ROUND(BD311*(1+'Calc base'!R312),2)-T312-'Calc base'!AD312)</f>
        <v>0</v>
      </c>
      <c r="AG312">
        <f>MAX(0,ROUND(BE311*(1+'Calc base'!S312),2)-U312-'Calc base'!AE312)</f>
        <v>0</v>
      </c>
      <c r="AH312">
        <f>IF('Calc base'!C$14=0,0,MIN(V312,MAX(0,$E312-SUMIFS($V312:$AG312,'Calc base'!$C$19:$N$19,"&lt;"&amp;'Calc base'!C$19,'Calc base'!$C$14:$N$14,1))))</f>
        <v>0</v>
      </c>
      <c r="AI312">
        <f>IF('Calc base'!D$14=0,0,MIN(W312,MAX(0,$E312-SUMIFS($V312:$AG312,'Calc base'!$C$19:$N$19,"&lt;"&amp;'Calc base'!D$19,'Calc base'!$C$14:$N$14,1))))</f>
        <v>0</v>
      </c>
      <c r="AJ312">
        <f>IF('Calc base'!E$14=0,0,MIN(X312,MAX(0,$E312-SUMIFS($V312:$AG312,'Calc base'!$C$19:$N$19,"&lt;"&amp;'Calc base'!E$19,'Calc base'!$C$14:$N$14,1))))</f>
        <v>0</v>
      </c>
      <c r="AK312">
        <f>IF('Calc base'!F$14=0,0,MIN(Y312,MAX(0,$E312-SUMIFS($V312:$AG312,'Calc base'!$C$19:$N$19,"&lt;"&amp;'Calc base'!F$19,'Calc base'!$C$14:$N$14,1))))</f>
        <v>0</v>
      </c>
      <c r="AL312">
        <f>IF('Calc base'!G$14=0,0,MIN(Z312,MAX(0,$E312-SUMIFS($V312:$AG312,'Calc base'!$C$19:$N$19,"&lt;"&amp;'Calc base'!G$19,'Calc base'!$C$14:$N$14,1))))</f>
        <v>0</v>
      </c>
      <c r="AM312">
        <f>IF('Calc base'!H$14=0,0,MIN(AA312,MAX(0,$E312-SUMIFS($V312:$AG312,'Calc base'!$C$19:$N$19,"&lt;"&amp;'Calc base'!H$19,'Calc base'!$C$14:$N$14,1))))</f>
        <v>0</v>
      </c>
      <c r="AN312">
        <f>IF('Calc base'!I$14=0,0,MIN(AB312,MAX(0,$E312-SUMIFS($V312:$AG312,'Calc base'!$C$19:$N$19,"&lt;"&amp;'Calc base'!I$19,'Calc base'!$C$14:$N$14,1))))</f>
        <v>0</v>
      </c>
      <c r="AO312">
        <f>IF('Calc base'!J$14=0,0,MIN(AC312,MAX(0,$E312-SUMIFS($V312:$AG312,'Calc base'!$C$19:$N$19,"&lt;"&amp;'Calc base'!J$19,'Calc base'!$C$14:$N$14,1))))</f>
        <v>0</v>
      </c>
      <c r="AP312">
        <f>IF('Calc base'!K$14=0,0,MIN(AD312,MAX(0,$E312-SUMIFS($V312:$AG312,'Calc base'!$C$19:$N$19,"&lt;"&amp;'Calc base'!K$19,'Calc base'!$C$14:$N$14,1))))</f>
        <v>0</v>
      </c>
      <c r="AQ312">
        <f>IF('Calc base'!L$14=0,0,MIN(AE312,MAX(0,$E312-SUMIFS($V312:$AG312,'Calc base'!$C$19:$N$19,"&lt;"&amp;'Calc base'!L$19,'Calc base'!$C$14:$N$14,1))))</f>
        <v>0</v>
      </c>
      <c r="AR312">
        <f>IF('Calc base'!M$14=0,0,MIN(AF312,MAX(0,$E312-SUMIFS($V312:$AG312,'Calc base'!$C$19:$N$19,"&lt;"&amp;'Calc base'!M$19,'Calc base'!$C$14:$N$14,1))))</f>
        <v>0</v>
      </c>
      <c r="AS312">
        <f>IF('Calc base'!N$14=0,0,MIN(AG312,MAX(0,$E312-SUMIFS($V312:$AG312,'Calc base'!$C$19:$N$19,"&lt;"&amp;'Calc base'!N$19,'Calc base'!$C$14:$N$14,1))))</f>
        <v>0</v>
      </c>
      <c r="AT312">
        <f>V312-AH312</f>
        <v>0</v>
      </c>
      <c r="AU312">
        <f>W312-AI312</f>
        <v>0</v>
      </c>
      <c r="AV312">
        <f>X312-AJ312</f>
        <v>0</v>
      </c>
      <c r="AW312">
        <f>Y312-AK312</f>
        <v>0</v>
      </c>
      <c r="AX312">
        <f>Z312-AL312</f>
        <v>0</v>
      </c>
      <c r="AY312">
        <f>AA312-AM312</f>
        <v>0</v>
      </c>
      <c r="AZ312">
        <f>AB312-AN312</f>
        <v>0</v>
      </c>
      <c r="BA312">
        <f>AC312-AO312</f>
        <v>0</v>
      </c>
      <c r="BB312">
        <f>AD312-AP312</f>
        <v>0</v>
      </c>
      <c r="BC312">
        <f>AE312-AQ312</f>
        <v>0</v>
      </c>
      <c r="BD312">
        <f>AF312-AR312</f>
        <v>0</v>
      </c>
      <c r="BE312">
        <f>AG312-AS312</f>
        <v>0</v>
      </c>
    </row>
    <row r="313">
      <c r="A313" t="n">
        <v>283</v>
      </c>
      <c r="B313">
        <f>SUMPRODUCT(ROUND($AT312:$BE312*(1+'Calc base'!$H313:$S313),2))</f>
        <v>0</v>
      </c>
      <c r="C313">
        <f>SUM(J313:U313)</f>
        <v>0</v>
      </c>
      <c r="D313">
        <f>SUM(V313:AG313)</f>
        <v>0</v>
      </c>
      <c r="E313">
        <f>MAX(0,IF(Impostazioni!$B$7="No",'Calc base'!$C313-$C$31,'Calc base'!$C313-C313)+'Calc base'!$G313+'Calc base'!$F313-(B313-C313-D313))</f>
        <v>900</v>
      </c>
      <c r="F313">
        <f>SUM(AH313:AS313)</f>
        <v>0</v>
      </c>
      <c r="G313">
        <f>SUM(AT313:BE313)</f>
        <v>0</v>
      </c>
      <c r="H313">
        <f>B313-G312</f>
        <v>0</v>
      </c>
      <c r="I313">
        <f>B313-G313</f>
        <v>0</v>
      </c>
      <c r="J313">
        <f>IF(AT312&lt;=0,0,IF(ROUND(AT312*(1+'Calc base'!H313),2)-MAX('Calc base'!C$12,ROUND('Calc base'!C$13*AT312,2))&lt;1,ROUND(AT312*(1+'Calc base'!H313),2),MAX('Calc base'!C$12,ROUND('Calc base'!C$13*AT312,2))))</f>
        <v>0</v>
      </c>
      <c r="K313">
        <f>IF(AU312&lt;=0,0,IF(ROUND(AU312*(1+'Calc base'!I313),2)-MAX('Calc base'!D$12,ROUND('Calc base'!D$13*AU312,2))&lt;1,ROUND(AU312*(1+'Calc base'!I313),2),MAX('Calc base'!D$12,ROUND('Calc base'!D$13*AU312,2))))</f>
        <v>0</v>
      </c>
      <c r="L313">
        <f>IF(AV312&lt;=0,0,IF(ROUND(AV312*(1+'Calc base'!J313),2)-MAX('Calc base'!E$12,ROUND('Calc base'!E$13*AV312,2))&lt;1,ROUND(AV312*(1+'Calc base'!J313),2),MAX('Calc base'!E$12,ROUND('Calc base'!E$13*AV312,2))))</f>
        <v>0</v>
      </c>
      <c r="M313">
        <f>IF(AW312&lt;=0,0,IF(ROUND(AW312*(1+'Calc base'!K313),2)-MAX('Calc base'!F$12,ROUND('Calc base'!F$13*AW312,2))&lt;1,ROUND(AW312*(1+'Calc base'!K313),2),MAX('Calc base'!F$12,ROUND('Calc base'!F$13*AW312,2))))</f>
        <v>0</v>
      </c>
      <c r="N313">
        <f>IF(AX312&lt;=0,0,IF(ROUND(AX312*(1+'Calc base'!L313),2)-MAX('Calc base'!G$12,ROUND('Calc base'!G$13*AX312,2))&lt;1,ROUND(AX312*(1+'Calc base'!L313),2),MAX('Calc base'!G$12,ROUND('Calc base'!G$13*AX312,2))))</f>
        <v>0</v>
      </c>
      <c r="O313">
        <f>IF(AY312&lt;=0,0,IF(ROUND(AY312*(1+'Calc base'!M313),2)-MAX('Calc base'!H$12,ROUND('Calc base'!H$13*AY312,2))&lt;1,ROUND(AY312*(1+'Calc base'!M313),2),MAX('Calc base'!H$12,ROUND('Calc base'!H$13*AY312,2))))</f>
        <v>0</v>
      </c>
      <c r="P313">
        <f>IF(AZ312&lt;=0,0,IF(ROUND(AZ312*(1+'Calc base'!N313),2)-MAX('Calc base'!I$12,ROUND('Calc base'!I$13*AZ312,2))&lt;1,ROUND(AZ312*(1+'Calc base'!N313),2),MAX('Calc base'!I$12,ROUND('Calc base'!I$13*AZ312,2))))</f>
        <v>0</v>
      </c>
      <c r="Q313">
        <f>IF(BA312&lt;=0,0,IF(ROUND(BA312*(1+'Calc base'!O313),2)-MAX('Calc base'!J$12,ROUND('Calc base'!J$13*BA312,2))&lt;1,ROUND(BA312*(1+'Calc base'!O313),2),MAX('Calc base'!J$12,ROUND('Calc base'!J$13*BA312,2))))</f>
        <v>0</v>
      </c>
      <c r="R313">
        <f>IF(BB312&lt;=0,0,IF(ROUND(BB312*(1+'Calc base'!P313),2)-MAX('Calc base'!K$12,ROUND('Calc base'!K$13*BB312,2))&lt;1,ROUND(BB312*(1+'Calc base'!P313),2),MAX('Calc base'!K$12,ROUND('Calc base'!K$13*BB312,2))))</f>
        <v>0</v>
      </c>
      <c r="S313">
        <f>IF(BC312&lt;=0,0,IF(ROUND(BC312*(1+'Calc base'!Q313),2)-MAX('Calc base'!L$12,ROUND('Calc base'!L$13*BC312,2))&lt;1,ROUND(BC312*(1+'Calc base'!Q313),2),MAX('Calc base'!L$12,ROUND('Calc base'!L$13*BC312,2))))</f>
        <v>0</v>
      </c>
      <c r="T313">
        <f>IF(BD312&lt;=0,0,IF(ROUND(BD312*(1+'Calc base'!R313),2)-MAX('Calc base'!M$12,ROUND('Calc base'!M$13*BD312,2))&lt;1,ROUND(BD312*(1+'Calc base'!R313),2),MAX('Calc base'!M$12,ROUND('Calc base'!M$13*BD312,2))))</f>
        <v>0</v>
      </c>
      <c r="U313">
        <f>IF(BE312&lt;=0,0,IF(ROUND(BE312*(1+'Calc base'!S313),2)-MAX('Calc base'!N$12,ROUND('Calc base'!N$13*BE312,2))&lt;1,ROUND(BE312*(1+'Calc base'!S313),2),MAX('Calc base'!N$12,ROUND('Calc base'!N$13*BE312,2))))</f>
        <v>0</v>
      </c>
      <c r="V313">
        <f>MAX(0,ROUND(AT312*(1+'Calc base'!H313),2)-J313-'Calc base'!T313)</f>
        <v>0</v>
      </c>
      <c r="W313">
        <f>MAX(0,ROUND(AU312*(1+'Calc base'!I313),2)-K313-'Calc base'!U313)</f>
        <v>0</v>
      </c>
      <c r="X313">
        <f>MAX(0,ROUND(AV312*(1+'Calc base'!J313),2)-L313-'Calc base'!V313)</f>
        <v>0</v>
      </c>
      <c r="Y313">
        <f>MAX(0,ROUND(AW312*(1+'Calc base'!K313),2)-M313-'Calc base'!W313)</f>
        <v>0</v>
      </c>
      <c r="Z313">
        <f>MAX(0,ROUND(AX312*(1+'Calc base'!L313),2)-N313-'Calc base'!X313)</f>
        <v>0</v>
      </c>
      <c r="AA313">
        <f>MAX(0,ROUND(AY312*(1+'Calc base'!M313),2)-O313-'Calc base'!Y313)</f>
        <v>0</v>
      </c>
      <c r="AB313">
        <f>MAX(0,ROUND(AZ312*(1+'Calc base'!N313),2)-P313-'Calc base'!Z313)</f>
        <v>0</v>
      </c>
      <c r="AC313">
        <f>MAX(0,ROUND(BA312*(1+'Calc base'!O313),2)-Q313-'Calc base'!AA313)</f>
        <v>0</v>
      </c>
      <c r="AD313">
        <f>MAX(0,ROUND(BB312*(1+'Calc base'!P313),2)-R313-'Calc base'!AB313)</f>
        <v>0</v>
      </c>
      <c r="AE313">
        <f>MAX(0,ROUND(BC312*(1+'Calc base'!Q313),2)-S313-'Calc base'!AC313)</f>
        <v>0</v>
      </c>
      <c r="AF313">
        <f>MAX(0,ROUND(BD312*(1+'Calc base'!R313),2)-T313-'Calc base'!AD313)</f>
        <v>0</v>
      </c>
      <c r="AG313">
        <f>MAX(0,ROUND(BE312*(1+'Calc base'!S313),2)-U313-'Calc base'!AE313)</f>
        <v>0</v>
      </c>
      <c r="AH313">
        <f>IF('Calc base'!C$14=0,0,MIN(V313,MAX(0,$E313-SUMIFS($V313:$AG313,'Calc base'!$C$19:$N$19,"&lt;"&amp;'Calc base'!C$19,'Calc base'!$C$14:$N$14,1))))</f>
        <v>0</v>
      </c>
      <c r="AI313">
        <f>IF('Calc base'!D$14=0,0,MIN(W313,MAX(0,$E313-SUMIFS($V313:$AG313,'Calc base'!$C$19:$N$19,"&lt;"&amp;'Calc base'!D$19,'Calc base'!$C$14:$N$14,1))))</f>
        <v>0</v>
      </c>
      <c r="AJ313">
        <f>IF('Calc base'!E$14=0,0,MIN(X313,MAX(0,$E313-SUMIFS($V313:$AG313,'Calc base'!$C$19:$N$19,"&lt;"&amp;'Calc base'!E$19,'Calc base'!$C$14:$N$14,1))))</f>
        <v>0</v>
      </c>
      <c r="AK313">
        <f>IF('Calc base'!F$14=0,0,MIN(Y313,MAX(0,$E313-SUMIFS($V313:$AG313,'Calc base'!$C$19:$N$19,"&lt;"&amp;'Calc base'!F$19,'Calc base'!$C$14:$N$14,1))))</f>
        <v>0</v>
      </c>
      <c r="AL313">
        <f>IF('Calc base'!G$14=0,0,MIN(Z313,MAX(0,$E313-SUMIFS($V313:$AG313,'Calc base'!$C$19:$N$19,"&lt;"&amp;'Calc base'!G$19,'Calc base'!$C$14:$N$14,1))))</f>
        <v>0</v>
      </c>
      <c r="AM313">
        <f>IF('Calc base'!H$14=0,0,MIN(AA313,MAX(0,$E313-SUMIFS($V313:$AG313,'Calc base'!$C$19:$N$19,"&lt;"&amp;'Calc base'!H$19,'Calc base'!$C$14:$N$14,1))))</f>
        <v>0</v>
      </c>
      <c r="AN313">
        <f>IF('Calc base'!I$14=0,0,MIN(AB313,MAX(0,$E313-SUMIFS($V313:$AG313,'Calc base'!$C$19:$N$19,"&lt;"&amp;'Calc base'!I$19,'Calc base'!$C$14:$N$14,1))))</f>
        <v>0</v>
      </c>
      <c r="AO313">
        <f>IF('Calc base'!J$14=0,0,MIN(AC313,MAX(0,$E313-SUMIFS($V313:$AG313,'Calc base'!$C$19:$N$19,"&lt;"&amp;'Calc base'!J$19,'Calc base'!$C$14:$N$14,1))))</f>
        <v>0</v>
      </c>
      <c r="AP313">
        <f>IF('Calc base'!K$14=0,0,MIN(AD313,MAX(0,$E313-SUMIFS($V313:$AG313,'Calc base'!$C$19:$N$19,"&lt;"&amp;'Calc base'!K$19,'Calc base'!$C$14:$N$14,1))))</f>
        <v>0</v>
      </c>
      <c r="AQ313">
        <f>IF('Calc base'!L$14=0,0,MIN(AE313,MAX(0,$E313-SUMIFS($V313:$AG313,'Calc base'!$C$19:$N$19,"&lt;"&amp;'Calc base'!L$19,'Calc base'!$C$14:$N$14,1))))</f>
        <v>0</v>
      </c>
      <c r="AR313">
        <f>IF('Calc base'!M$14=0,0,MIN(AF313,MAX(0,$E313-SUMIFS($V313:$AG313,'Calc base'!$C$19:$N$19,"&lt;"&amp;'Calc base'!M$19,'Calc base'!$C$14:$N$14,1))))</f>
        <v>0</v>
      </c>
      <c r="AS313">
        <f>IF('Calc base'!N$14=0,0,MIN(AG313,MAX(0,$E313-SUMIFS($V313:$AG313,'Calc base'!$C$19:$N$19,"&lt;"&amp;'Calc base'!N$19,'Calc base'!$C$14:$N$14,1))))</f>
        <v>0</v>
      </c>
      <c r="AT313">
        <f>V313-AH313</f>
        <v>0</v>
      </c>
      <c r="AU313">
        <f>W313-AI313</f>
        <v>0</v>
      </c>
      <c r="AV313">
        <f>X313-AJ313</f>
        <v>0</v>
      </c>
      <c r="AW313">
        <f>Y313-AK313</f>
        <v>0</v>
      </c>
      <c r="AX313">
        <f>Z313-AL313</f>
        <v>0</v>
      </c>
      <c r="AY313">
        <f>AA313-AM313</f>
        <v>0</v>
      </c>
      <c r="AZ313">
        <f>AB313-AN313</f>
        <v>0</v>
      </c>
      <c r="BA313">
        <f>AC313-AO313</f>
        <v>0</v>
      </c>
      <c r="BB313">
        <f>AD313-AP313</f>
        <v>0</v>
      </c>
      <c r="BC313">
        <f>AE313-AQ313</f>
        <v>0</v>
      </c>
      <c r="BD313">
        <f>AF313-AR313</f>
        <v>0</v>
      </c>
      <c r="BE313">
        <f>AG313-AS313</f>
        <v>0</v>
      </c>
    </row>
    <row r="314">
      <c r="A314" t="n">
        <v>284</v>
      </c>
      <c r="B314">
        <f>SUMPRODUCT(ROUND($AT313:$BE313*(1+'Calc base'!$H314:$S314),2))</f>
        <v>0</v>
      </c>
      <c r="C314">
        <f>SUM(J314:U314)</f>
        <v>0</v>
      </c>
      <c r="D314">
        <f>SUM(V314:AG314)</f>
        <v>0</v>
      </c>
      <c r="E314">
        <f>MAX(0,IF(Impostazioni!$B$7="No",'Calc base'!$C314-$C$31,'Calc base'!$C314-C314)+'Calc base'!$G314+'Calc base'!$F314-(B314-C314-D314))</f>
        <v>900</v>
      </c>
      <c r="F314">
        <f>SUM(AH314:AS314)</f>
        <v>0</v>
      </c>
      <c r="G314">
        <f>SUM(AT314:BE314)</f>
        <v>0</v>
      </c>
      <c r="H314">
        <f>B314-G313</f>
        <v>0</v>
      </c>
      <c r="I314">
        <f>B314-G314</f>
        <v>0</v>
      </c>
      <c r="J314">
        <f>IF(AT313&lt;=0,0,IF(ROUND(AT313*(1+'Calc base'!H314),2)-MAX('Calc base'!C$12,ROUND('Calc base'!C$13*AT313,2))&lt;1,ROUND(AT313*(1+'Calc base'!H314),2),MAX('Calc base'!C$12,ROUND('Calc base'!C$13*AT313,2))))</f>
        <v>0</v>
      </c>
      <c r="K314">
        <f>IF(AU313&lt;=0,0,IF(ROUND(AU313*(1+'Calc base'!I314),2)-MAX('Calc base'!D$12,ROUND('Calc base'!D$13*AU313,2))&lt;1,ROUND(AU313*(1+'Calc base'!I314),2),MAX('Calc base'!D$12,ROUND('Calc base'!D$13*AU313,2))))</f>
        <v>0</v>
      </c>
      <c r="L314">
        <f>IF(AV313&lt;=0,0,IF(ROUND(AV313*(1+'Calc base'!J314),2)-MAX('Calc base'!E$12,ROUND('Calc base'!E$13*AV313,2))&lt;1,ROUND(AV313*(1+'Calc base'!J314),2),MAX('Calc base'!E$12,ROUND('Calc base'!E$13*AV313,2))))</f>
        <v>0</v>
      </c>
      <c r="M314">
        <f>IF(AW313&lt;=0,0,IF(ROUND(AW313*(1+'Calc base'!K314),2)-MAX('Calc base'!F$12,ROUND('Calc base'!F$13*AW313,2))&lt;1,ROUND(AW313*(1+'Calc base'!K314),2),MAX('Calc base'!F$12,ROUND('Calc base'!F$13*AW313,2))))</f>
        <v>0</v>
      </c>
      <c r="N314">
        <f>IF(AX313&lt;=0,0,IF(ROUND(AX313*(1+'Calc base'!L314),2)-MAX('Calc base'!G$12,ROUND('Calc base'!G$13*AX313,2))&lt;1,ROUND(AX313*(1+'Calc base'!L314),2),MAX('Calc base'!G$12,ROUND('Calc base'!G$13*AX313,2))))</f>
        <v>0</v>
      </c>
      <c r="O314">
        <f>IF(AY313&lt;=0,0,IF(ROUND(AY313*(1+'Calc base'!M314),2)-MAX('Calc base'!H$12,ROUND('Calc base'!H$13*AY313,2))&lt;1,ROUND(AY313*(1+'Calc base'!M314),2),MAX('Calc base'!H$12,ROUND('Calc base'!H$13*AY313,2))))</f>
        <v>0</v>
      </c>
      <c r="P314">
        <f>IF(AZ313&lt;=0,0,IF(ROUND(AZ313*(1+'Calc base'!N314),2)-MAX('Calc base'!I$12,ROUND('Calc base'!I$13*AZ313,2))&lt;1,ROUND(AZ313*(1+'Calc base'!N314),2),MAX('Calc base'!I$12,ROUND('Calc base'!I$13*AZ313,2))))</f>
        <v>0</v>
      </c>
      <c r="Q314">
        <f>IF(BA313&lt;=0,0,IF(ROUND(BA313*(1+'Calc base'!O314),2)-MAX('Calc base'!J$12,ROUND('Calc base'!J$13*BA313,2))&lt;1,ROUND(BA313*(1+'Calc base'!O314),2),MAX('Calc base'!J$12,ROUND('Calc base'!J$13*BA313,2))))</f>
        <v>0</v>
      </c>
      <c r="R314">
        <f>IF(BB313&lt;=0,0,IF(ROUND(BB313*(1+'Calc base'!P314),2)-MAX('Calc base'!K$12,ROUND('Calc base'!K$13*BB313,2))&lt;1,ROUND(BB313*(1+'Calc base'!P314),2),MAX('Calc base'!K$12,ROUND('Calc base'!K$13*BB313,2))))</f>
        <v>0</v>
      </c>
      <c r="S314">
        <f>IF(BC313&lt;=0,0,IF(ROUND(BC313*(1+'Calc base'!Q314),2)-MAX('Calc base'!L$12,ROUND('Calc base'!L$13*BC313,2))&lt;1,ROUND(BC313*(1+'Calc base'!Q314),2),MAX('Calc base'!L$12,ROUND('Calc base'!L$13*BC313,2))))</f>
        <v>0</v>
      </c>
      <c r="T314">
        <f>IF(BD313&lt;=0,0,IF(ROUND(BD313*(1+'Calc base'!R314),2)-MAX('Calc base'!M$12,ROUND('Calc base'!M$13*BD313,2))&lt;1,ROUND(BD313*(1+'Calc base'!R314),2),MAX('Calc base'!M$12,ROUND('Calc base'!M$13*BD313,2))))</f>
        <v>0</v>
      </c>
      <c r="U314">
        <f>IF(BE313&lt;=0,0,IF(ROUND(BE313*(1+'Calc base'!S314),2)-MAX('Calc base'!N$12,ROUND('Calc base'!N$13*BE313,2))&lt;1,ROUND(BE313*(1+'Calc base'!S314),2),MAX('Calc base'!N$12,ROUND('Calc base'!N$13*BE313,2))))</f>
        <v>0</v>
      </c>
      <c r="V314">
        <f>MAX(0,ROUND(AT313*(1+'Calc base'!H314),2)-J314-'Calc base'!T314)</f>
        <v>0</v>
      </c>
      <c r="W314">
        <f>MAX(0,ROUND(AU313*(1+'Calc base'!I314),2)-K314-'Calc base'!U314)</f>
        <v>0</v>
      </c>
      <c r="X314">
        <f>MAX(0,ROUND(AV313*(1+'Calc base'!J314),2)-L314-'Calc base'!V314)</f>
        <v>0</v>
      </c>
      <c r="Y314">
        <f>MAX(0,ROUND(AW313*(1+'Calc base'!K314),2)-M314-'Calc base'!W314)</f>
        <v>0</v>
      </c>
      <c r="Z314">
        <f>MAX(0,ROUND(AX313*(1+'Calc base'!L314),2)-N314-'Calc base'!X314)</f>
        <v>0</v>
      </c>
      <c r="AA314">
        <f>MAX(0,ROUND(AY313*(1+'Calc base'!M314),2)-O314-'Calc base'!Y314)</f>
        <v>0</v>
      </c>
      <c r="AB314">
        <f>MAX(0,ROUND(AZ313*(1+'Calc base'!N314),2)-P314-'Calc base'!Z314)</f>
        <v>0</v>
      </c>
      <c r="AC314">
        <f>MAX(0,ROUND(BA313*(1+'Calc base'!O314),2)-Q314-'Calc base'!AA314)</f>
        <v>0</v>
      </c>
      <c r="AD314">
        <f>MAX(0,ROUND(BB313*(1+'Calc base'!P314),2)-R314-'Calc base'!AB314)</f>
        <v>0</v>
      </c>
      <c r="AE314">
        <f>MAX(0,ROUND(BC313*(1+'Calc base'!Q314),2)-S314-'Calc base'!AC314)</f>
        <v>0</v>
      </c>
      <c r="AF314">
        <f>MAX(0,ROUND(BD313*(1+'Calc base'!R314),2)-T314-'Calc base'!AD314)</f>
        <v>0</v>
      </c>
      <c r="AG314">
        <f>MAX(0,ROUND(BE313*(1+'Calc base'!S314),2)-U314-'Calc base'!AE314)</f>
        <v>0</v>
      </c>
      <c r="AH314">
        <f>IF('Calc base'!C$14=0,0,MIN(V314,MAX(0,$E314-SUMIFS($V314:$AG314,'Calc base'!$C$19:$N$19,"&lt;"&amp;'Calc base'!C$19,'Calc base'!$C$14:$N$14,1))))</f>
        <v>0</v>
      </c>
      <c r="AI314">
        <f>IF('Calc base'!D$14=0,0,MIN(W314,MAX(0,$E314-SUMIFS($V314:$AG314,'Calc base'!$C$19:$N$19,"&lt;"&amp;'Calc base'!D$19,'Calc base'!$C$14:$N$14,1))))</f>
        <v>0</v>
      </c>
      <c r="AJ314">
        <f>IF('Calc base'!E$14=0,0,MIN(X314,MAX(0,$E314-SUMIFS($V314:$AG314,'Calc base'!$C$19:$N$19,"&lt;"&amp;'Calc base'!E$19,'Calc base'!$C$14:$N$14,1))))</f>
        <v>0</v>
      </c>
      <c r="AK314">
        <f>IF('Calc base'!F$14=0,0,MIN(Y314,MAX(0,$E314-SUMIFS($V314:$AG314,'Calc base'!$C$19:$N$19,"&lt;"&amp;'Calc base'!F$19,'Calc base'!$C$14:$N$14,1))))</f>
        <v>0</v>
      </c>
      <c r="AL314">
        <f>IF('Calc base'!G$14=0,0,MIN(Z314,MAX(0,$E314-SUMIFS($V314:$AG314,'Calc base'!$C$19:$N$19,"&lt;"&amp;'Calc base'!G$19,'Calc base'!$C$14:$N$14,1))))</f>
        <v>0</v>
      </c>
      <c r="AM314">
        <f>IF('Calc base'!H$14=0,0,MIN(AA314,MAX(0,$E314-SUMIFS($V314:$AG314,'Calc base'!$C$19:$N$19,"&lt;"&amp;'Calc base'!H$19,'Calc base'!$C$14:$N$14,1))))</f>
        <v>0</v>
      </c>
      <c r="AN314">
        <f>IF('Calc base'!I$14=0,0,MIN(AB314,MAX(0,$E314-SUMIFS($V314:$AG314,'Calc base'!$C$19:$N$19,"&lt;"&amp;'Calc base'!I$19,'Calc base'!$C$14:$N$14,1))))</f>
        <v>0</v>
      </c>
      <c r="AO314">
        <f>IF('Calc base'!J$14=0,0,MIN(AC314,MAX(0,$E314-SUMIFS($V314:$AG314,'Calc base'!$C$19:$N$19,"&lt;"&amp;'Calc base'!J$19,'Calc base'!$C$14:$N$14,1))))</f>
        <v>0</v>
      </c>
      <c r="AP314">
        <f>IF('Calc base'!K$14=0,0,MIN(AD314,MAX(0,$E314-SUMIFS($V314:$AG314,'Calc base'!$C$19:$N$19,"&lt;"&amp;'Calc base'!K$19,'Calc base'!$C$14:$N$14,1))))</f>
        <v>0</v>
      </c>
      <c r="AQ314">
        <f>IF('Calc base'!L$14=0,0,MIN(AE314,MAX(0,$E314-SUMIFS($V314:$AG314,'Calc base'!$C$19:$N$19,"&lt;"&amp;'Calc base'!L$19,'Calc base'!$C$14:$N$14,1))))</f>
        <v>0</v>
      </c>
      <c r="AR314">
        <f>IF('Calc base'!M$14=0,0,MIN(AF314,MAX(0,$E314-SUMIFS($V314:$AG314,'Calc base'!$C$19:$N$19,"&lt;"&amp;'Calc base'!M$19,'Calc base'!$C$14:$N$14,1))))</f>
        <v>0</v>
      </c>
      <c r="AS314">
        <f>IF('Calc base'!N$14=0,0,MIN(AG314,MAX(0,$E314-SUMIFS($V314:$AG314,'Calc base'!$C$19:$N$19,"&lt;"&amp;'Calc base'!N$19,'Calc base'!$C$14:$N$14,1))))</f>
        <v>0</v>
      </c>
      <c r="AT314">
        <f>V314-AH314</f>
        <v>0</v>
      </c>
      <c r="AU314">
        <f>W314-AI314</f>
        <v>0</v>
      </c>
      <c r="AV314">
        <f>X314-AJ314</f>
        <v>0</v>
      </c>
      <c r="AW314">
        <f>Y314-AK314</f>
        <v>0</v>
      </c>
      <c r="AX314">
        <f>Z314-AL314</f>
        <v>0</v>
      </c>
      <c r="AY314">
        <f>AA314-AM314</f>
        <v>0</v>
      </c>
      <c r="AZ314">
        <f>AB314-AN314</f>
        <v>0</v>
      </c>
      <c r="BA314">
        <f>AC314-AO314</f>
        <v>0</v>
      </c>
      <c r="BB314">
        <f>AD314-AP314</f>
        <v>0</v>
      </c>
      <c r="BC314">
        <f>AE314-AQ314</f>
        <v>0</v>
      </c>
      <c r="BD314">
        <f>AF314-AR314</f>
        <v>0</v>
      </c>
      <c r="BE314">
        <f>AG314-AS314</f>
        <v>0</v>
      </c>
    </row>
    <row r="315">
      <c r="A315" t="n">
        <v>285</v>
      </c>
      <c r="B315">
        <f>SUMPRODUCT(ROUND($AT314:$BE314*(1+'Calc base'!$H315:$S315),2))</f>
        <v>0</v>
      </c>
      <c r="C315">
        <f>SUM(J315:U315)</f>
        <v>0</v>
      </c>
      <c r="D315">
        <f>SUM(V315:AG315)</f>
        <v>0</v>
      </c>
      <c r="E315">
        <f>MAX(0,IF(Impostazioni!$B$7="No",'Calc base'!$C315-$C$31,'Calc base'!$C315-C315)+'Calc base'!$G315+'Calc base'!$F315-(B315-C315-D315))</f>
        <v>900</v>
      </c>
      <c r="F315">
        <f>SUM(AH315:AS315)</f>
        <v>0</v>
      </c>
      <c r="G315">
        <f>SUM(AT315:BE315)</f>
        <v>0</v>
      </c>
      <c r="H315">
        <f>B315-G314</f>
        <v>0</v>
      </c>
      <c r="I315">
        <f>B315-G315</f>
        <v>0</v>
      </c>
      <c r="J315">
        <f>IF(AT314&lt;=0,0,IF(ROUND(AT314*(1+'Calc base'!H315),2)-MAX('Calc base'!C$12,ROUND('Calc base'!C$13*AT314,2))&lt;1,ROUND(AT314*(1+'Calc base'!H315),2),MAX('Calc base'!C$12,ROUND('Calc base'!C$13*AT314,2))))</f>
        <v>0</v>
      </c>
      <c r="K315">
        <f>IF(AU314&lt;=0,0,IF(ROUND(AU314*(1+'Calc base'!I315),2)-MAX('Calc base'!D$12,ROUND('Calc base'!D$13*AU314,2))&lt;1,ROUND(AU314*(1+'Calc base'!I315),2),MAX('Calc base'!D$12,ROUND('Calc base'!D$13*AU314,2))))</f>
        <v>0</v>
      </c>
      <c r="L315">
        <f>IF(AV314&lt;=0,0,IF(ROUND(AV314*(1+'Calc base'!J315),2)-MAX('Calc base'!E$12,ROUND('Calc base'!E$13*AV314,2))&lt;1,ROUND(AV314*(1+'Calc base'!J315),2),MAX('Calc base'!E$12,ROUND('Calc base'!E$13*AV314,2))))</f>
        <v>0</v>
      </c>
      <c r="M315">
        <f>IF(AW314&lt;=0,0,IF(ROUND(AW314*(1+'Calc base'!K315),2)-MAX('Calc base'!F$12,ROUND('Calc base'!F$13*AW314,2))&lt;1,ROUND(AW314*(1+'Calc base'!K315),2),MAX('Calc base'!F$12,ROUND('Calc base'!F$13*AW314,2))))</f>
        <v>0</v>
      </c>
      <c r="N315">
        <f>IF(AX314&lt;=0,0,IF(ROUND(AX314*(1+'Calc base'!L315),2)-MAX('Calc base'!G$12,ROUND('Calc base'!G$13*AX314,2))&lt;1,ROUND(AX314*(1+'Calc base'!L315),2),MAX('Calc base'!G$12,ROUND('Calc base'!G$13*AX314,2))))</f>
        <v>0</v>
      </c>
      <c r="O315">
        <f>IF(AY314&lt;=0,0,IF(ROUND(AY314*(1+'Calc base'!M315),2)-MAX('Calc base'!H$12,ROUND('Calc base'!H$13*AY314,2))&lt;1,ROUND(AY314*(1+'Calc base'!M315),2),MAX('Calc base'!H$12,ROUND('Calc base'!H$13*AY314,2))))</f>
        <v>0</v>
      </c>
      <c r="P315">
        <f>IF(AZ314&lt;=0,0,IF(ROUND(AZ314*(1+'Calc base'!N315),2)-MAX('Calc base'!I$12,ROUND('Calc base'!I$13*AZ314,2))&lt;1,ROUND(AZ314*(1+'Calc base'!N315),2),MAX('Calc base'!I$12,ROUND('Calc base'!I$13*AZ314,2))))</f>
        <v>0</v>
      </c>
      <c r="Q315">
        <f>IF(BA314&lt;=0,0,IF(ROUND(BA314*(1+'Calc base'!O315),2)-MAX('Calc base'!J$12,ROUND('Calc base'!J$13*BA314,2))&lt;1,ROUND(BA314*(1+'Calc base'!O315),2),MAX('Calc base'!J$12,ROUND('Calc base'!J$13*BA314,2))))</f>
        <v>0</v>
      </c>
      <c r="R315">
        <f>IF(BB314&lt;=0,0,IF(ROUND(BB314*(1+'Calc base'!P315),2)-MAX('Calc base'!K$12,ROUND('Calc base'!K$13*BB314,2))&lt;1,ROUND(BB314*(1+'Calc base'!P315),2),MAX('Calc base'!K$12,ROUND('Calc base'!K$13*BB314,2))))</f>
        <v>0</v>
      </c>
      <c r="S315">
        <f>IF(BC314&lt;=0,0,IF(ROUND(BC314*(1+'Calc base'!Q315),2)-MAX('Calc base'!L$12,ROUND('Calc base'!L$13*BC314,2))&lt;1,ROUND(BC314*(1+'Calc base'!Q315),2),MAX('Calc base'!L$12,ROUND('Calc base'!L$13*BC314,2))))</f>
        <v>0</v>
      </c>
      <c r="T315">
        <f>IF(BD314&lt;=0,0,IF(ROUND(BD314*(1+'Calc base'!R315),2)-MAX('Calc base'!M$12,ROUND('Calc base'!M$13*BD314,2))&lt;1,ROUND(BD314*(1+'Calc base'!R315),2),MAX('Calc base'!M$12,ROUND('Calc base'!M$13*BD314,2))))</f>
        <v>0</v>
      </c>
      <c r="U315">
        <f>IF(BE314&lt;=0,0,IF(ROUND(BE314*(1+'Calc base'!S315),2)-MAX('Calc base'!N$12,ROUND('Calc base'!N$13*BE314,2))&lt;1,ROUND(BE314*(1+'Calc base'!S315),2),MAX('Calc base'!N$12,ROUND('Calc base'!N$13*BE314,2))))</f>
        <v>0</v>
      </c>
      <c r="V315">
        <f>MAX(0,ROUND(AT314*(1+'Calc base'!H315),2)-J315-'Calc base'!T315)</f>
        <v>0</v>
      </c>
      <c r="W315">
        <f>MAX(0,ROUND(AU314*(1+'Calc base'!I315),2)-K315-'Calc base'!U315)</f>
        <v>0</v>
      </c>
      <c r="X315">
        <f>MAX(0,ROUND(AV314*(1+'Calc base'!J315),2)-L315-'Calc base'!V315)</f>
        <v>0</v>
      </c>
      <c r="Y315">
        <f>MAX(0,ROUND(AW314*(1+'Calc base'!K315),2)-M315-'Calc base'!W315)</f>
        <v>0</v>
      </c>
      <c r="Z315">
        <f>MAX(0,ROUND(AX314*(1+'Calc base'!L315),2)-N315-'Calc base'!X315)</f>
        <v>0</v>
      </c>
      <c r="AA315">
        <f>MAX(0,ROUND(AY314*(1+'Calc base'!M315),2)-O315-'Calc base'!Y315)</f>
        <v>0</v>
      </c>
      <c r="AB315">
        <f>MAX(0,ROUND(AZ314*(1+'Calc base'!N315),2)-P315-'Calc base'!Z315)</f>
        <v>0</v>
      </c>
      <c r="AC315">
        <f>MAX(0,ROUND(BA314*(1+'Calc base'!O315),2)-Q315-'Calc base'!AA315)</f>
        <v>0</v>
      </c>
      <c r="AD315">
        <f>MAX(0,ROUND(BB314*(1+'Calc base'!P315),2)-R315-'Calc base'!AB315)</f>
        <v>0</v>
      </c>
      <c r="AE315">
        <f>MAX(0,ROUND(BC314*(1+'Calc base'!Q315),2)-S315-'Calc base'!AC315)</f>
        <v>0</v>
      </c>
      <c r="AF315">
        <f>MAX(0,ROUND(BD314*(1+'Calc base'!R315),2)-T315-'Calc base'!AD315)</f>
        <v>0</v>
      </c>
      <c r="AG315">
        <f>MAX(0,ROUND(BE314*(1+'Calc base'!S315),2)-U315-'Calc base'!AE315)</f>
        <v>0</v>
      </c>
      <c r="AH315">
        <f>IF('Calc base'!C$14=0,0,MIN(V315,MAX(0,$E315-SUMIFS($V315:$AG315,'Calc base'!$C$19:$N$19,"&lt;"&amp;'Calc base'!C$19,'Calc base'!$C$14:$N$14,1))))</f>
        <v>0</v>
      </c>
      <c r="AI315">
        <f>IF('Calc base'!D$14=0,0,MIN(W315,MAX(0,$E315-SUMIFS($V315:$AG315,'Calc base'!$C$19:$N$19,"&lt;"&amp;'Calc base'!D$19,'Calc base'!$C$14:$N$14,1))))</f>
        <v>0</v>
      </c>
      <c r="AJ315">
        <f>IF('Calc base'!E$14=0,0,MIN(X315,MAX(0,$E315-SUMIFS($V315:$AG315,'Calc base'!$C$19:$N$19,"&lt;"&amp;'Calc base'!E$19,'Calc base'!$C$14:$N$14,1))))</f>
        <v>0</v>
      </c>
      <c r="AK315">
        <f>IF('Calc base'!F$14=0,0,MIN(Y315,MAX(0,$E315-SUMIFS($V315:$AG315,'Calc base'!$C$19:$N$19,"&lt;"&amp;'Calc base'!F$19,'Calc base'!$C$14:$N$14,1))))</f>
        <v>0</v>
      </c>
      <c r="AL315">
        <f>IF('Calc base'!G$14=0,0,MIN(Z315,MAX(0,$E315-SUMIFS($V315:$AG315,'Calc base'!$C$19:$N$19,"&lt;"&amp;'Calc base'!G$19,'Calc base'!$C$14:$N$14,1))))</f>
        <v>0</v>
      </c>
      <c r="AM315">
        <f>IF('Calc base'!H$14=0,0,MIN(AA315,MAX(0,$E315-SUMIFS($V315:$AG315,'Calc base'!$C$19:$N$19,"&lt;"&amp;'Calc base'!H$19,'Calc base'!$C$14:$N$14,1))))</f>
        <v>0</v>
      </c>
      <c r="AN315">
        <f>IF('Calc base'!I$14=0,0,MIN(AB315,MAX(0,$E315-SUMIFS($V315:$AG315,'Calc base'!$C$19:$N$19,"&lt;"&amp;'Calc base'!I$19,'Calc base'!$C$14:$N$14,1))))</f>
        <v>0</v>
      </c>
      <c r="AO315">
        <f>IF('Calc base'!J$14=0,0,MIN(AC315,MAX(0,$E315-SUMIFS($V315:$AG315,'Calc base'!$C$19:$N$19,"&lt;"&amp;'Calc base'!J$19,'Calc base'!$C$14:$N$14,1))))</f>
        <v>0</v>
      </c>
      <c r="AP315">
        <f>IF('Calc base'!K$14=0,0,MIN(AD315,MAX(0,$E315-SUMIFS($V315:$AG315,'Calc base'!$C$19:$N$19,"&lt;"&amp;'Calc base'!K$19,'Calc base'!$C$14:$N$14,1))))</f>
        <v>0</v>
      </c>
      <c r="AQ315">
        <f>IF('Calc base'!L$14=0,0,MIN(AE315,MAX(0,$E315-SUMIFS($V315:$AG315,'Calc base'!$C$19:$N$19,"&lt;"&amp;'Calc base'!L$19,'Calc base'!$C$14:$N$14,1))))</f>
        <v>0</v>
      </c>
      <c r="AR315">
        <f>IF('Calc base'!M$14=0,0,MIN(AF315,MAX(0,$E315-SUMIFS($V315:$AG315,'Calc base'!$C$19:$N$19,"&lt;"&amp;'Calc base'!M$19,'Calc base'!$C$14:$N$14,1))))</f>
        <v>0</v>
      </c>
      <c r="AS315">
        <f>IF('Calc base'!N$14=0,0,MIN(AG315,MAX(0,$E315-SUMIFS($V315:$AG315,'Calc base'!$C$19:$N$19,"&lt;"&amp;'Calc base'!N$19,'Calc base'!$C$14:$N$14,1))))</f>
        <v>0</v>
      </c>
      <c r="AT315">
        <f>V315-AH315</f>
        <v>0</v>
      </c>
      <c r="AU315">
        <f>W315-AI315</f>
        <v>0</v>
      </c>
      <c r="AV315">
        <f>X315-AJ315</f>
        <v>0</v>
      </c>
      <c r="AW315">
        <f>Y315-AK315</f>
        <v>0</v>
      </c>
      <c r="AX315">
        <f>Z315-AL315</f>
        <v>0</v>
      </c>
      <c r="AY315">
        <f>AA315-AM315</f>
        <v>0</v>
      </c>
      <c r="AZ315">
        <f>AB315-AN315</f>
        <v>0</v>
      </c>
      <c r="BA315">
        <f>AC315-AO315</f>
        <v>0</v>
      </c>
      <c r="BB315">
        <f>AD315-AP315</f>
        <v>0</v>
      </c>
      <c r="BC315">
        <f>AE315-AQ315</f>
        <v>0</v>
      </c>
      <c r="BD315">
        <f>AF315-AR315</f>
        <v>0</v>
      </c>
      <c r="BE315">
        <f>AG315-AS315</f>
        <v>0</v>
      </c>
    </row>
    <row r="316">
      <c r="A316" t="n">
        <v>286</v>
      </c>
      <c r="B316">
        <f>SUMPRODUCT(ROUND($AT315:$BE315*(1+'Calc base'!$H316:$S316),2))</f>
        <v>0</v>
      </c>
      <c r="C316">
        <f>SUM(J316:U316)</f>
        <v>0</v>
      </c>
      <c r="D316">
        <f>SUM(V316:AG316)</f>
        <v>0</v>
      </c>
      <c r="E316">
        <f>MAX(0,IF(Impostazioni!$B$7="No",'Calc base'!$C316-$C$31,'Calc base'!$C316-C316)+'Calc base'!$G316+'Calc base'!$F316-(B316-C316-D316))</f>
        <v>900</v>
      </c>
      <c r="F316">
        <f>SUM(AH316:AS316)</f>
        <v>0</v>
      </c>
      <c r="G316">
        <f>SUM(AT316:BE316)</f>
        <v>0</v>
      </c>
      <c r="H316">
        <f>B316-G315</f>
        <v>0</v>
      </c>
      <c r="I316">
        <f>B316-G316</f>
        <v>0</v>
      </c>
      <c r="J316">
        <f>IF(AT315&lt;=0,0,IF(ROUND(AT315*(1+'Calc base'!H316),2)-MAX('Calc base'!C$12,ROUND('Calc base'!C$13*AT315,2))&lt;1,ROUND(AT315*(1+'Calc base'!H316),2),MAX('Calc base'!C$12,ROUND('Calc base'!C$13*AT315,2))))</f>
        <v>0</v>
      </c>
      <c r="K316">
        <f>IF(AU315&lt;=0,0,IF(ROUND(AU315*(1+'Calc base'!I316),2)-MAX('Calc base'!D$12,ROUND('Calc base'!D$13*AU315,2))&lt;1,ROUND(AU315*(1+'Calc base'!I316),2),MAX('Calc base'!D$12,ROUND('Calc base'!D$13*AU315,2))))</f>
        <v>0</v>
      </c>
      <c r="L316">
        <f>IF(AV315&lt;=0,0,IF(ROUND(AV315*(1+'Calc base'!J316),2)-MAX('Calc base'!E$12,ROUND('Calc base'!E$13*AV315,2))&lt;1,ROUND(AV315*(1+'Calc base'!J316),2),MAX('Calc base'!E$12,ROUND('Calc base'!E$13*AV315,2))))</f>
        <v>0</v>
      </c>
      <c r="M316">
        <f>IF(AW315&lt;=0,0,IF(ROUND(AW315*(1+'Calc base'!K316),2)-MAX('Calc base'!F$12,ROUND('Calc base'!F$13*AW315,2))&lt;1,ROUND(AW315*(1+'Calc base'!K316),2),MAX('Calc base'!F$12,ROUND('Calc base'!F$13*AW315,2))))</f>
        <v>0</v>
      </c>
      <c r="N316">
        <f>IF(AX315&lt;=0,0,IF(ROUND(AX315*(1+'Calc base'!L316),2)-MAX('Calc base'!G$12,ROUND('Calc base'!G$13*AX315,2))&lt;1,ROUND(AX315*(1+'Calc base'!L316),2),MAX('Calc base'!G$12,ROUND('Calc base'!G$13*AX315,2))))</f>
        <v>0</v>
      </c>
      <c r="O316">
        <f>IF(AY315&lt;=0,0,IF(ROUND(AY315*(1+'Calc base'!M316),2)-MAX('Calc base'!H$12,ROUND('Calc base'!H$13*AY315,2))&lt;1,ROUND(AY315*(1+'Calc base'!M316),2),MAX('Calc base'!H$12,ROUND('Calc base'!H$13*AY315,2))))</f>
        <v>0</v>
      </c>
      <c r="P316">
        <f>IF(AZ315&lt;=0,0,IF(ROUND(AZ315*(1+'Calc base'!N316),2)-MAX('Calc base'!I$12,ROUND('Calc base'!I$13*AZ315,2))&lt;1,ROUND(AZ315*(1+'Calc base'!N316),2),MAX('Calc base'!I$12,ROUND('Calc base'!I$13*AZ315,2))))</f>
        <v>0</v>
      </c>
      <c r="Q316">
        <f>IF(BA315&lt;=0,0,IF(ROUND(BA315*(1+'Calc base'!O316),2)-MAX('Calc base'!J$12,ROUND('Calc base'!J$13*BA315,2))&lt;1,ROUND(BA315*(1+'Calc base'!O316),2),MAX('Calc base'!J$12,ROUND('Calc base'!J$13*BA315,2))))</f>
        <v>0</v>
      </c>
      <c r="R316">
        <f>IF(BB315&lt;=0,0,IF(ROUND(BB315*(1+'Calc base'!P316),2)-MAX('Calc base'!K$12,ROUND('Calc base'!K$13*BB315,2))&lt;1,ROUND(BB315*(1+'Calc base'!P316),2),MAX('Calc base'!K$12,ROUND('Calc base'!K$13*BB315,2))))</f>
        <v>0</v>
      </c>
      <c r="S316">
        <f>IF(BC315&lt;=0,0,IF(ROUND(BC315*(1+'Calc base'!Q316),2)-MAX('Calc base'!L$12,ROUND('Calc base'!L$13*BC315,2))&lt;1,ROUND(BC315*(1+'Calc base'!Q316),2),MAX('Calc base'!L$12,ROUND('Calc base'!L$13*BC315,2))))</f>
        <v>0</v>
      </c>
      <c r="T316">
        <f>IF(BD315&lt;=0,0,IF(ROUND(BD315*(1+'Calc base'!R316),2)-MAX('Calc base'!M$12,ROUND('Calc base'!M$13*BD315,2))&lt;1,ROUND(BD315*(1+'Calc base'!R316),2),MAX('Calc base'!M$12,ROUND('Calc base'!M$13*BD315,2))))</f>
        <v>0</v>
      </c>
      <c r="U316">
        <f>IF(BE315&lt;=0,0,IF(ROUND(BE315*(1+'Calc base'!S316),2)-MAX('Calc base'!N$12,ROUND('Calc base'!N$13*BE315,2))&lt;1,ROUND(BE315*(1+'Calc base'!S316),2),MAX('Calc base'!N$12,ROUND('Calc base'!N$13*BE315,2))))</f>
        <v>0</v>
      </c>
      <c r="V316">
        <f>MAX(0,ROUND(AT315*(1+'Calc base'!H316),2)-J316-'Calc base'!T316)</f>
        <v>0</v>
      </c>
      <c r="W316">
        <f>MAX(0,ROUND(AU315*(1+'Calc base'!I316),2)-K316-'Calc base'!U316)</f>
        <v>0</v>
      </c>
      <c r="X316">
        <f>MAX(0,ROUND(AV315*(1+'Calc base'!J316),2)-L316-'Calc base'!V316)</f>
        <v>0</v>
      </c>
      <c r="Y316">
        <f>MAX(0,ROUND(AW315*(1+'Calc base'!K316),2)-M316-'Calc base'!W316)</f>
        <v>0</v>
      </c>
      <c r="Z316">
        <f>MAX(0,ROUND(AX315*(1+'Calc base'!L316),2)-N316-'Calc base'!X316)</f>
        <v>0</v>
      </c>
      <c r="AA316">
        <f>MAX(0,ROUND(AY315*(1+'Calc base'!M316),2)-O316-'Calc base'!Y316)</f>
        <v>0</v>
      </c>
      <c r="AB316">
        <f>MAX(0,ROUND(AZ315*(1+'Calc base'!N316),2)-P316-'Calc base'!Z316)</f>
        <v>0</v>
      </c>
      <c r="AC316">
        <f>MAX(0,ROUND(BA315*(1+'Calc base'!O316),2)-Q316-'Calc base'!AA316)</f>
        <v>0</v>
      </c>
      <c r="AD316">
        <f>MAX(0,ROUND(BB315*(1+'Calc base'!P316),2)-R316-'Calc base'!AB316)</f>
        <v>0</v>
      </c>
      <c r="AE316">
        <f>MAX(0,ROUND(BC315*(1+'Calc base'!Q316),2)-S316-'Calc base'!AC316)</f>
        <v>0</v>
      </c>
      <c r="AF316">
        <f>MAX(0,ROUND(BD315*(1+'Calc base'!R316),2)-T316-'Calc base'!AD316)</f>
        <v>0</v>
      </c>
      <c r="AG316">
        <f>MAX(0,ROUND(BE315*(1+'Calc base'!S316),2)-U316-'Calc base'!AE316)</f>
        <v>0</v>
      </c>
      <c r="AH316">
        <f>IF('Calc base'!C$14=0,0,MIN(V316,MAX(0,$E316-SUMIFS($V316:$AG316,'Calc base'!$C$19:$N$19,"&lt;"&amp;'Calc base'!C$19,'Calc base'!$C$14:$N$14,1))))</f>
        <v>0</v>
      </c>
      <c r="AI316">
        <f>IF('Calc base'!D$14=0,0,MIN(W316,MAX(0,$E316-SUMIFS($V316:$AG316,'Calc base'!$C$19:$N$19,"&lt;"&amp;'Calc base'!D$19,'Calc base'!$C$14:$N$14,1))))</f>
        <v>0</v>
      </c>
      <c r="AJ316">
        <f>IF('Calc base'!E$14=0,0,MIN(X316,MAX(0,$E316-SUMIFS($V316:$AG316,'Calc base'!$C$19:$N$19,"&lt;"&amp;'Calc base'!E$19,'Calc base'!$C$14:$N$14,1))))</f>
        <v>0</v>
      </c>
      <c r="AK316">
        <f>IF('Calc base'!F$14=0,0,MIN(Y316,MAX(0,$E316-SUMIFS($V316:$AG316,'Calc base'!$C$19:$N$19,"&lt;"&amp;'Calc base'!F$19,'Calc base'!$C$14:$N$14,1))))</f>
        <v>0</v>
      </c>
      <c r="AL316">
        <f>IF('Calc base'!G$14=0,0,MIN(Z316,MAX(0,$E316-SUMIFS($V316:$AG316,'Calc base'!$C$19:$N$19,"&lt;"&amp;'Calc base'!G$19,'Calc base'!$C$14:$N$14,1))))</f>
        <v>0</v>
      </c>
      <c r="AM316">
        <f>IF('Calc base'!H$14=0,0,MIN(AA316,MAX(0,$E316-SUMIFS($V316:$AG316,'Calc base'!$C$19:$N$19,"&lt;"&amp;'Calc base'!H$19,'Calc base'!$C$14:$N$14,1))))</f>
        <v>0</v>
      </c>
      <c r="AN316">
        <f>IF('Calc base'!I$14=0,0,MIN(AB316,MAX(0,$E316-SUMIFS($V316:$AG316,'Calc base'!$C$19:$N$19,"&lt;"&amp;'Calc base'!I$19,'Calc base'!$C$14:$N$14,1))))</f>
        <v>0</v>
      </c>
      <c r="AO316">
        <f>IF('Calc base'!J$14=0,0,MIN(AC316,MAX(0,$E316-SUMIFS($V316:$AG316,'Calc base'!$C$19:$N$19,"&lt;"&amp;'Calc base'!J$19,'Calc base'!$C$14:$N$14,1))))</f>
        <v>0</v>
      </c>
      <c r="AP316">
        <f>IF('Calc base'!K$14=0,0,MIN(AD316,MAX(0,$E316-SUMIFS($V316:$AG316,'Calc base'!$C$19:$N$19,"&lt;"&amp;'Calc base'!K$19,'Calc base'!$C$14:$N$14,1))))</f>
        <v>0</v>
      </c>
      <c r="AQ316">
        <f>IF('Calc base'!L$14=0,0,MIN(AE316,MAX(0,$E316-SUMIFS($V316:$AG316,'Calc base'!$C$19:$N$19,"&lt;"&amp;'Calc base'!L$19,'Calc base'!$C$14:$N$14,1))))</f>
        <v>0</v>
      </c>
      <c r="AR316">
        <f>IF('Calc base'!M$14=0,0,MIN(AF316,MAX(0,$E316-SUMIFS($V316:$AG316,'Calc base'!$C$19:$N$19,"&lt;"&amp;'Calc base'!M$19,'Calc base'!$C$14:$N$14,1))))</f>
        <v>0</v>
      </c>
      <c r="AS316">
        <f>IF('Calc base'!N$14=0,0,MIN(AG316,MAX(0,$E316-SUMIFS($V316:$AG316,'Calc base'!$C$19:$N$19,"&lt;"&amp;'Calc base'!N$19,'Calc base'!$C$14:$N$14,1))))</f>
        <v>0</v>
      </c>
      <c r="AT316">
        <f>V316-AH316</f>
        <v>0</v>
      </c>
      <c r="AU316">
        <f>W316-AI316</f>
        <v>0</v>
      </c>
      <c r="AV316">
        <f>X316-AJ316</f>
        <v>0</v>
      </c>
      <c r="AW316">
        <f>Y316-AK316</f>
        <v>0</v>
      </c>
      <c r="AX316">
        <f>Z316-AL316</f>
        <v>0</v>
      </c>
      <c r="AY316">
        <f>AA316-AM316</f>
        <v>0</v>
      </c>
      <c r="AZ316">
        <f>AB316-AN316</f>
        <v>0</v>
      </c>
      <c r="BA316">
        <f>AC316-AO316</f>
        <v>0</v>
      </c>
      <c r="BB316">
        <f>AD316-AP316</f>
        <v>0</v>
      </c>
      <c r="BC316">
        <f>AE316-AQ316</f>
        <v>0</v>
      </c>
      <c r="BD316">
        <f>AF316-AR316</f>
        <v>0</v>
      </c>
      <c r="BE316">
        <f>AG316-AS316</f>
        <v>0</v>
      </c>
    </row>
    <row r="317">
      <c r="A317" t="n">
        <v>287</v>
      </c>
      <c r="B317">
        <f>SUMPRODUCT(ROUND($AT316:$BE316*(1+'Calc base'!$H317:$S317),2))</f>
        <v>0</v>
      </c>
      <c r="C317">
        <f>SUM(J317:U317)</f>
        <v>0</v>
      </c>
      <c r="D317">
        <f>SUM(V317:AG317)</f>
        <v>0</v>
      </c>
      <c r="E317">
        <f>MAX(0,IF(Impostazioni!$B$7="No",'Calc base'!$C317-$C$31,'Calc base'!$C317-C317)+'Calc base'!$G317+'Calc base'!$F317-(B317-C317-D317))</f>
        <v>900</v>
      </c>
      <c r="F317">
        <f>SUM(AH317:AS317)</f>
        <v>0</v>
      </c>
      <c r="G317">
        <f>SUM(AT317:BE317)</f>
        <v>0</v>
      </c>
      <c r="H317">
        <f>B317-G316</f>
        <v>0</v>
      </c>
      <c r="I317">
        <f>B317-G317</f>
        <v>0</v>
      </c>
      <c r="J317">
        <f>IF(AT316&lt;=0,0,IF(ROUND(AT316*(1+'Calc base'!H317),2)-MAX('Calc base'!C$12,ROUND('Calc base'!C$13*AT316,2))&lt;1,ROUND(AT316*(1+'Calc base'!H317),2),MAX('Calc base'!C$12,ROUND('Calc base'!C$13*AT316,2))))</f>
        <v>0</v>
      </c>
      <c r="K317">
        <f>IF(AU316&lt;=0,0,IF(ROUND(AU316*(1+'Calc base'!I317),2)-MAX('Calc base'!D$12,ROUND('Calc base'!D$13*AU316,2))&lt;1,ROUND(AU316*(1+'Calc base'!I317),2),MAX('Calc base'!D$12,ROUND('Calc base'!D$13*AU316,2))))</f>
        <v>0</v>
      </c>
      <c r="L317">
        <f>IF(AV316&lt;=0,0,IF(ROUND(AV316*(1+'Calc base'!J317),2)-MAX('Calc base'!E$12,ROUND('Calc base'!E$13*AV316,2))&lt;1,ROUND(AV316*(1+'Calc base'!J317),2),MAX('Calc base'!E$12,ROUND('Calc base'!E$13*AV316,2))))</f>
        <v>0</v>
      </c>
      <c r="M317">
        <f>IF(AW316&lt;=0,0,IF(ROUND(AW316*(1+'Calc base'!K317),2)-MAX('Calc base'!F$12,ROUND('Calc base'!F$13*AW316,2))&lt;1,ROUND(AW316*(1+'Calc base'!K317),2),MAX('Calc base'!F$12,ROUND('Calc base'!F$13*AW316,2))))</f>
        <v>0</v>
      </c>
      <c r="N317">
        <f>IF(AX316&lt;=0,0,IF(ROUND(AX316*(1+'Calc base'!L317),2)-MAX('Calc base'!G$12,ROUND('Calc base'!G$13*AX316,2))&lt;1,ROUND(AX316*(1+'Calc base'!L317),2),MAX('Calc base'!G$12,ROUND('Calc base'!G$13*AX316,2))))</f>
        <v>0</v>
      </c>
      <c r="O317">
        <f>IF(AY316&lt;=0,0,IF(ROUND(AY316*(1+'Calc base'!M317),2)-MAX('Calc base'!H$12,ROUND('Calc base'!H$13*AY316,2))&lt;1,ROUND(AY316*(1+'Calc base'!M317),2),MAX('Calc base'!H$12,ROUND('Calc base'!H$13*AY316,2))))</f>
        <v>0</v>
      </c>
      <c r="P317">
        <f>IF(AZ316&lt;=0,0,IF(ROUND(AZ316*(1+'Calc base'!N317),2)-MAX('Calc base'!I$12,ROUND('Calc base'!I$13*AZ316,2))&lt;1,ROUND(AZ316*(1+'Calc base'!N317),2),MAX('Calc base'!I$12,ROUND('Calc base'!I$13*AZ316,2))))</f>
        <v>0</v>
      </c>
      <c r="Q317">
        <f>IF(BA316&lt;=0,0,IF(ROUND(BA316*(1+'Calc base'!O317),2)-MAX('Calc base'!J$12,ROUND('Calc base'!J$13*BA316,2))&lt;1,ROUND(BA316*(1+'Calc base'!O317),2),MAX('Calc base'!J$12,ROUND('Calc base'!J$13*BA316,2))))</f>
        <v>0</v>
      </c>
      <c r="R317">
        <f>IF(BB316&lt;=0,0,IF(ROUND(BB316*(1+'Calc base'!P317),2)-MAX('Calc base'!K$12,ROUND('Calc base'!K$13*BB316,2))&lt;1,ROUND(BB316*(1+'Calc base'!P317),2),MAX('Calc base'!K$12,ROUND('Calc base'!K$13*BB316,2))))</f>
        <v>0</v>
      </c>
      <c r="S317">
        <f>IF(BC316&lt;=0,0,IF(ROUND(BC316*(1+'Calc base'!Q317),2)-MAX('Calc base'!L$12,ROUND('Calc base'!L$13*BC316,2))&lt;1,ROUND(BC316*(1+'Calc base'!Q317),2),MAX('Calc base'!L$12,ROUND('Calc base'!L$13*BC316,2))))</f>
        <v>0</v>
      </c>
      <c r="T317">
        <f>IF(BD316&lt;=0,0,IF(ROUND(BD316*(1+'Calc base'!R317),2)-MAX('Calc base'!M$12,ROUND('Calc base'!M$13*BD316,2))&lt;1,ROUND(BD316*(1+'Calc base'!R317),2),MAX('Calc base'!M$12,ROUND('Calc base'!M$13*BD316,2))))</f>
        <v>0</v>
      </c>
      <c r="U317">
        <f>IF(BE316&lt;=0,0,IF(ROUND(BE316*(1+'Calc base'!S317),2)-MAX('Calc base'!N$12,ROUND('Calc base'!N$13*BE316,2))&lt;1,ROUND(BE316*(1+'Calc base'!S317),2),MAX('Calc base'!N$12,ROUND('Calc base'!N$13*BE316,2))))</f>
        <v>0</v>
      </c>
      <c r="V317">
        <f>MAX(0,ROUND(AT316*(1+'Calc base'!H317),2)-J317-'Calc base'!T317)</f>
        <v>0</v>
      </c>
      <c r="W317">
        <f>MAX(0,ROUND(AU316*(1+'Calc base'!I317),2)-K317-'Calc base'!U317)</f>
        <v>0</v>
      </c>
      <c r="X317">
        <f>MAX(0,ROUND(AV316*(1+'Calc base'!J317),2)-L317-'Calc base'!V317)</f>
        <v>0</v>
      </c>
      <c r="Y317">
        <f>MAX(0,ROUND(AW316*(1+'Calc base'!K317),2)-M317-'Calc base'!W317)</f>
        <v>0</v>
      </c>
      <c r="Z317">
        <f>MAX(0,ROUND(AX316*(1+'Calc base'!L317),2)-N317-'Calc base'!X317)</f>
        <v>0</v>
      </c>
      <c r="AA317">
        <f>MAX(0,ROUND(AY316*(1+'Calc base'!M317),2)-O317-'Calc base'!Y317)</f>
        <v>0</v>
      </c>
      <c r="AB317">
        <f>MAX(0,ROUND(AZ316*(1+'Calc base'!N317),2)-P317-'Calc base'!Z317)</f>
        <v>0</v>
      </c>
      <c r="AC317">
        <f>MAX(0,ROUND(BA316*(1+'Calc base'!O317),2)-Q317-'Calc base'!AA317)</f>
        <v>0</v>
      </c>
      <c r="AD317">
        <f>MAX(0,ROUND(BB316*(1+'Calc base'!P317),2)-R317-'Calc base'!AB317)</f>
        <v>0</v>
      </c>
      <c r="AE317">
        <f>MAX(0,ROUND(BC316*(1+'Calc base'!Q317),2)-S317-'Calc base'!AC317)</f>
        <v>0</v>
      </c>
      <c r="AF317">
        <f>MAX(0,ROUND(BD316*(1+'Calc base'!R317),2)-T317-'Calc base'!AD317)</f>
        <v>0</v>
      </c>
      <c r="AG317">
        <f>MAX(0,ROUND(BE316*(1+'Calc base'!S317),2)-U317-'Calc base'!AE317)</f>
        <v>0</v>
      </c>
      <c r="AH317">
        <f>IF('Calc base'!C$14=0,0,MIN(V317,MAX(0,$E317-SUMIFS($V317:$AG317,'Calc base'!$C$19:$N$19,"&lt;"&amp;'Calc base'!C$19,'Calc base'!$C$14:$N$14,1))))</f>
        <v>0</v>
      </c>
      <c r="AI317">
        <f>IF('Calc base'!D$14=0,0,MIN(W317,MAX(0,$E317-SUMIFS($V317:$AG317,'Calc base'!$C$19:$N$19,"&lt;"&amp;'Calc base'!D$19,'Calc base'!$C$14:$N$14,1))))</f>
        <v>0</v>
      </c>
      <c r="AJ317">
        <f>IF('Calc base'!E$14=0,0,MIN(X317,MAX(0,$E317-SUMIFS($V317:$AG317,'Calc base'!$C$19:$N$19,"&lt;"&amp;'Calc base'!E$19,'Calc base'!$C$14:$N$14,1))))</f>
        <v>0</v>
      </c>
      <c r="AK317">
        <f>IF('Calc base'!F$14=0,0,MIN(Y317,MAX(0,$E317-SUMIFS($V317:$AG317,'Calc base'!$C$19:$N$19,"&lt;"&amp;'Calc base'!F$19,'Calc base'!$C$14:$N$14,1))))</f>
        <v>0</v>
      </c>
      <c r="AL317">
        <f>IF('Calc base'!G$14=0,0,MIN(Z317,MAX(0,$E317-SUMIFS($V317:$AG317,'Calc base'!$C$19:$N$19,"&lt;"&amp;'Calc base'!G$19,'Calc base'!$C$14:$N$14,1))))</f>
        <v>0</v>
      </c>
      <c r="AM317">
        <f>IF('Calc base'!H$14=0,0,MIN(AA317,MAX(0,$E317-SUMIFS($V317:$AG317,'Calc base'!$C$19:$N$19,"&lt;"&amp;'Calc base'!H$19,'Calc base'!$C$14:$N$14,1))))</f>
        <v>0</v>
      </c>
      <c r="AN317">
        <f>IF('Calc base'!I$14=0,0,MIN(AB317,MAX(0,$E317-SUMIFS($V317:$AG317,'Calc base'!$C$19:$N$19,"&lt;"&amp;'Calc base'!I$19,'Calc base'!$C$14:$N$14,1))))</f>
        <v>0</v>
      </c>
      <c r="AO317">
        <f>IF('Calc base'!J$14=0,0,MIN(AC317,MAX(0,$E317-SUMIFS($V317:$AG317,'Calc base'!$C$19:$N$19,"&lt;"&amp;'Calc base'!J$19,'Calc base'!$C$14:$N$14,1))))</f>
        <v>0</v>
      </c>
      <c r="AP317">
        <f>IF('Calc base'!K$14=0,0,MIN(AD317,MAX(0,$E317-SUMIFS($V317:$AG317,'Calc base'!$C$19:$N$19,"&lt;"&amp;'Calc base'!K$19,'Calc base'!$C$14:$N$14,1))))</f>
        <v>0</v>
      </c>
      <c r="AQ317">
        <f>IF('Calc base'!L$14=0,0,MIN(AE317,MAX(0,$E317-SUMIFS($V317:$AG317,'Calc base'!$C$19:$N$19,"&lt;"&amp;'Calc base'!L$19,'Calc base'!$C$14:$N$14,1))))</f>
        <v>0</v>
      </c>
      <c r="AR317">
        <f>IF('Calc base'!M$14=0,0,MIN(AF317,MAX(0,$E317-SUMIFS($V317:$AG317,'Calc base'!$C$19:$N$19,"&lt;"&amp;'Calc base'!M$19,'Calc base'!$C$14:$N$14,1))))</f>
        <v>0</v>
      </c>
      <c r="AS317">
        <f>IF('Calc base'!N$14=0,0,MIN(AG317,MAX(0,$E317-SUMIFS($V317:$AG317,'Calc base'!$C$19:$N$19,"&lt;"&amp;'Calc base'!N$19,'Calc base'!$C$14:$N$14,1))))</f>
        <v>0</v>
      </c>
      <c r="AT317">
        <f>V317-AH317</f>
        <v>0</v>
      </c>
      <c r="AU317">
        <f>W317-AI317</f>
        <v>0</v>
      </c>
      <c r="AV317">
        <f>X317-AJ317</f>
        <v>0</v>
      </c>
      <c r="AW317">
        <f>Y317-AK317</f>
        <v>0</v>
      </c>
      <c r="AX317">
        <f>Z317-AL317</f>
        <v>0</v>
      </c>
      <c r="AY317">
        <f>AA317-AM317</f>
        <v>0</v>
      </c>
      <c r="AZ317">
        <f>AB317-AN317</f>
        <v>0</v>
      </c>
      <c r="BA317">
        <f>AC317-AO317</f>
        <v>0</v>
      </c>
      <c r="BB317">
        <f>AD317-AP317</f>
        <v>0</v>
      </c>
      <c r="BC317">
        <f>AE317-AQ317</f>
        <v>0</v>
      </c>
      <c r="BD317">
        <f>AF317-AR317</f>
        <v>0</v>
      </c>
      <c r="BE317">
        <f>AG317-AS317</f>
        <v>0</v>
      </c>
    </row>
    <row r="318">
      <c r="A318" t="n">
        <v>288</v>
      </c>
      <c r="B318">
        <f>SUMPRODUCT(ROUND($AT317:$BE317*(1+'Calc base'!$H318:$S318),2))</f>
        <v>0</v>
      </c>
      <c r="C318">
        <f>SUM(J318:U318)</f>
        <v>0</v>
      </c>
      <c r="D318">
        <f>SUM(V318:AG318)</f>
        <v>0</v>
      </c>
      <c r="E318">
        <f>MAX(0,IF(Impostazioni!$B$7="No",'Calc base'!$C318-$C$31,'Calc base'!$C318-C318)+'Calc base'!$G318+'Calc base'!$F318-(B318-C318-D318))</f>
        <v>900</v>
      </c>
      <c r="F318">
        <f>SUM(AH318:AS318)</f>
        <v>0</v>
      </c>
      <c r="G318">
        <f>SUM(AT318:BE318)</f>
        <v>0</v>
      </c>
      <c r="H318">
        <f>B318-G317</f>
        <v>0</v>
      </c>
      <c r="I318">
        <f>B318-G318</f>
        <v>0</v>
      </c>
      <c r="J318">
        <f>IF(AT317&lt;=0,0,IF(ROUND(AT317*(1+'Calc base'!H318),2)-MAX('Calc base'!C$12,ROUND('Calc base'!C$13*AT317,2))&lt;1,ROUND(AT317*(1+'Calc base'!H318),2),MAX('Calc base'!C$12,ROUND('Calc base'!C$13*AT317,2))))</f>
        <v>0</v>
      </c>
      <c r="K318">
        <f>IF(AU317&lt;=0,0,IF(ROUND(AU317*(1+'Calc base'!I318),2)-MAX('Calc base'!D$12,ROUND('Calc base'!D$13*AU317,2))&lt;1,ROUND(AU317*(1+'Calc base'!I318),2),MAX('Calc base'!D$12,ROUND('Calc base'!D$13*AU317,2))))</f>
        <v>0</v>
      </c>
      <c r="L318">
        <f>IF(AV317&lt;=0,0,IF(ROUND(AV317*(1+'Calc base'!J318),2)-MAX('Calc base'!E$12,ROUND('Calc base'!E$13*AV317,2))&lt;1,ROUND(AV317*(1+'Calc base'!J318),2),MAX('Calc base'!E$12,ROUND('Calc base'!E$13*AV317,2))))</f>
        <v>0</v>
      </c>
      <c r="M318">
        <f>IF(AW317&lt;=0,0,IF(ROUND(AW317*(1+'Calc base'!K318),2)-MAX('Calc base'!F$12,ROUND('Calc base'!F$13*AW317,2))&lt;1,ROUND(AW317*(1+'Calc base'!K318),2),MAX('Calc base'!F$12,ROUND('Calc base'!F$13*AW317,2))))</f>
        <v>0</v>
      </c>
      <c r="N318">
        <f>IF(AX317&lt;=0,0,IF(ROUND(AX317*(1+'Calc base'!L318),2)-MAX('Calc base'!G$12,ROUND('Calc base'!G$13*AX317,2))&lt;1,ROUND(AX317*(1+'Calc base'!L318),2),MAX('Calc base'!G$12,ROUND('Calc base'!G$13*AX317,2))))</f>
        <v>0</v>
      </c>
      <c r="O318">
        <f>IF(AY317&lt;=0,0,IF(ROUND(AY317*(1+'Calc base'!M318),2)-MAX('Calc base'!H$12,ROUND('Calc base'!H$13*AY317,2))&lt;1,ROUND(AY317*(1+'Calc base'!M318),2),MAX('Calc base'!H$12,ROUND('Calc base'!H$13*AY317,2))))</f>
        <v>0</v>
      </c>
      <c r="P318">
        <f>IF(AZ317&lt;=0,0,IF(ROUND(AZ317*(1+'Calc base'!N318),2)-MAX('Calc base'!I$12,ROUND('Calc base'!I$13*AZ317,2))&lt;1,ROUND(AZ317*(1+'Calc base'!N318),2),MAX('Calc base'!I$12,ROUND('Calc base'!I$13*AZ317,2))))</f>
        <v>0</v>
      </c>
      <c r="Q318">
        <f>IF(BA317&lt;=0,0,IF(ROUND(BA317*(1+'Calc base'!O318),2)-MAX('Calc base'!J$12,ROUND('Calc base'!J$13*BA317,2))&lt;1,ROUND(BA317*(1+'Calc base'!O318),2),MAX('Calc base'!J$12,ROUND('Calc base'!J$13*BA317,2))))</f>
        <v>0</v>
      </c>
      <c r="R318">
        <f>IF(BB317&lt;=0,0,IF(ROUND(BB317*(1+'Calc base'!P318),2)-MAX('Calc base'!K$12,ROUND('Calc base'!K$13*BB317,2))&lt;1,ROUND(BB317*(1+'Calc base'!P318),2),MAX('Calc base'!K$12,ROUND('Calc base'!K$13*BB317,2))))</f>
        <v>0</v>
      </c>
      <c r="S318">
        <f>IF(BC317&lt;=0,0,IF(ROUND(BC317*(1+'Calc base'!Q318),2)-MAX('Calc base'!L$12,ROUND('Calc base'!L$13*BC317,2))&lt;1,ROUND(BC317*(1+'Calc base'!Q318),2),MAX('Calc base'!L$12,ROUND('Calc base'!L$13*BC317,2))))</f>
        <v>0</v>
      </c>
      <c r="T318">
        <f>IF(BD317&lt;=0,0,IF(ROUND(BD317*(1+'Calc base'!R318),2)-MAX('Calc base'!M$12,ROUND('Calc base'!M$13*BD317,2))&lt;1,ROUND(BD317*(1+'Calc base'!R318),2),MAX('Calc base'!M$12,ROUND('Calc base'!M$13*BD317,2))))</f>
        <v>0</v>
      </c>
      <c r="U318">
        <f>IF(BE317&lt;=0,0,IF(ROUND(BE317*(1+'Calc base'!S318),2)-MAX('Calc base'!N$12,ROUND('Calc base'!N$13*BE317,2))&lt;1,ROUND(BE317*(1+'Calc base'!S318),2),MAX('Calc base'!N$12,ROUND('Calc base'!N$13*BE317,2))))</f>
        <v>0</v>
      </c>
      <c r="V318">
        <f>MAX(0,ROUND(AT317*(1+'Calc base'!H318),2)-J318-'Calc base'!T318)</f>
        <v>0</v>
      </c>
      <c r="W318">
        <f>MAX(0,ROUND(AU317*(1+'Calc base'!I318),2)-K318-'Calc base'!U318)</f>
        <v>0</v>
      </c>
      <c r="X318">
        <f>MAX(0,ROUND(AV317*(1+'Calc base'!J318),2)-L318-'Calc base'!V318)</f>
        <v>0</v>
      </c>
      <c r="Y318">
        <f>MAX(0,ROUND(AW317*(1+'Calc base'!K318),2)-M318-'Calc base'!W318)</f>
        <v>0</v>
      </c>
      <c r="Z318">
        <f>MAX(0,ROUND(AX317*(1+'Calc base'!L318),2)-N318-'Calc base'!X318)</f>
        <v>0</v>
      </c>
      <c r="AA318">
        <f>MAX(0,ROUND(AY317*(1+'Calc base'!M318),2)-O318-'Calc base'!Y318)</f>
        <v>0</v>
      </c>
      <c r="AB318">
        <f>MAX(0,ROUND(AZ317*(1+'Calc base'!N318),2)-P318-'Calc base'!Z318)</f>
        <v>0</v>
      </c>
      <c r="AC318">
        <f>MAX(0,ROUND(BA317*(1+'Calc base'!O318),2)-Q318-'Calc base'!AA318)</f>
        <v>0</v>
      </c>
      <c r="AD318">
        <f>MAX(0,ROUND(BB317*(1+'Calc base'!P318),2)-R318-'Calc base'!AB318)</f>
        <v>0</v>
      </c>
      <c r="AE318">
        <f>MAX(0,ROUND(BC317*(1+'Calc base'!Q318),2)-S318-'Calc base'!AC318)</f>
        <v>0</v>
      </c>
      <c r="AF318">
        <f>MAX(0,ROUND(BD317*(1+'Calc base'!R318),2)-T318-'Calc base'!AD318)</f>
        <v>0</v>
      </c>
      <c r="AG318">
        <f>MAX(0,ROUND(BE317*(1+'Calc base'!S318),2)-U318-'Calc base'!AE318)</f>
        <v>0</v>
      </c>
      <c r="AH318">
        <f>IF('Calc base'!C$14=0,0,MIN(V318,MAX(0,$E318-SUMIFS($V318:$AG318,'Calc base'!$C$19:$N$19,"&lt;"&amp;'Calc base'!C$19,'Calc base'!$C$14:$N$14,1))))</f>
        <v>0</v>
      </c>
      <c r="AI318">
        <f>IF('Calc base'!D$14=0,0,MIN(W318,MAX(0,$E318-SUMIFS($V318:$AG318,'Calc base'!$C$19:$N$19,"&lt;"&amp;'Calc base'!D$19,'Calc base'!$C$14:$N$14,1))))</f>
        <v>0</v>
      </c>
      <c r="AJ318">
        <f>IF('Calc base'!E$14=0,0,MIN(X318,MAX(0,$E318-SUMIFS($V318:$AG318,'Calc base'!$C$19:$N$19,"&lt;"&amp;'Calc base'!E$19,'Calc base'!$C$14:$N$14,1))))</f>
        <v>0</v>
      </c>
      <c r="AK318">
        <f>IF('Calc base'!F$14=0,0,MIN(Y318,MAX(0,$E318-SUMIFS($V318:$AG318,'Calc base'!$C$19:$N$19,"&lt;"&amp;'Calc base'!F$19,'Calc base'!$C$14:$N$14,1))))</f>
        <v>0</v>
      </c>
      <c r="AL318">
        <f>IF('Calc base'!G$14=0,0,MIN(Z318,MAX(0,$E318-SUMIFS($V318:$AG318,'Calc base'!$C$19:$N$19,"&lt;"&amp;'Calc base'!G$19,'Calc base'!$C$14:$N$14,1))))</f>
        <v>0</v>
      </c>
      <c r="AM318">
        <f>IF('Calc base'!H$14=0,0,MIN(AA318,MAX(0,$E318-SUMIFS($V318:$AG318,'Calc base'!$C$19:$N$19,"&lt;"&amp;'Calc base'!H$19,'Calc base'!$C$14:$N$14,1))))</f>
        <v>0</v>
      </c>
      <c r="AN318">
        <f>IF('Calc base'!I$14=0,0,MIN(AB318,MAX(0,$E318-SUMIFS($V318:$AG318,'Calc base'!$C$19:$N$19,"&lt;"&amp;'Calc base'!I$19,'Calc base'!$C$14:$N$14,1))))</f>
        <v>0</v>
      </c>
      <c r="AO318">
        <f>IF('Calc base'!J$14=0,0,MIN(AC318,MAX(0,$E318-SUMIFS($V318:$AG318,'Calc base'!$C$19:$N$19,"&lt;"&amp;'Calc base'!J$19,'Calc base'!$C$14:$N$14,1))))</f>
        <v>0</v>
      </c>
      <c r="AP318">
        <f>IF('Calc base'!K$14=0,0,MIN(AD318,MAX(0,$E318-SUMIFS($V318:$AG318,'Calc base'!$C$19:$N$19,"&lt;"&amp;'Calc base'!K$19,'Calc base'!$C$14:$N$14,1))))</f>
        <v>0</v>
      </c>
      <c r="AQ318">
        <f>IF('Calc base'!L$14=0,0,MIN(AE318,MAX(0,$E318-SUMIFS($V318:$AG318,'Calc base'!$C$19:$N$19,"&lt;"&amp;'Calc base'!L$19,'Calc base'!$C$14:$N$14,1))))</f>
        <v>0</v>
      </c>
      <c r="AR318">
        <f>IF('Calc base'!M$14=0,0,MIN(AF318,MAX(0,$E318-SUMIFS($V318:$AG318,'Calc base'!$C$19:$N$19,"&lt;"&amp;'Calc base'!M$19,'Calc base'!$C$14:$N$14,1))))</f>
        <v>0</v>
      </c>
      <c r="AS318">
        <f>IF('Calc base'!N$14=0,0,MIN(AG318,MAX(0,$E318-SUMIFS($V318:$AG318,'Calc base'!$C$19:$N$19,"&lt;"&amp;'Calc base'!N$19,'Calc base'!$C$14:$N$14,1))))</f>
        <v>0</v>
      </c>
      <c r="AT318">
        <f>V318-AH318</f>
        <v>0</v>
      </c>
      <c r="AU318">
        <f>W318-AI318</f>
        <v>0</v>
      </c>
      <c r="AV318">
        <f>X318-AJ318</f>
        <v>0</v>
      </c>
      <c r="AW318">
        <f>Y318-AK318</f>
        <v>0</v>
      </c>
      <c r="AX318">
        <f>Z318-AL318</f>
        <v>0</v>
      </c>
      <c r="AY318">
        <f>AA318-AM318</f>
        <v>0</v>
      </c>
      <c r="AZ318">
        <f>AB318-AN318</f>
        <v>0</v>
      </c>
      <c r="BA318">
        <f>AC318-AO318</f>
        <v>0</v>
      </c>
      <c r="BB318">
        <f>AD318-AP318</f>
        <v>0</v>
      </c>
      <c r="BC318">
        <f>AE318-AQ318</f>
        <v>0</v>
      </c>
      <c r="BD318">
        <f>AF318-AR318</f>
        <v>0</v>
      </c>
      <c r="BE318">
        <f>AG318-AS318</f>
        <v>0</v>
      </c>
    </row>
    <row r="319">
      <c r="A319" t="n">
        <v>289</v>
      </c>
      <c r="B319">
        <f>SUMPRODUCT(ROUND($AT318:$BE318*(1+'Calc base'!$H319:$S319),2))</f>
        <v>0</v>
      </c>
      <c r="C319">
        <f>SUM(J319:U319)</f>
        <v>0</v>
      </c>
      <c r="D319">
        <f>SUM(V319:AG319)</f>
        <v>0</v>
      </c>
      <c r="E319">
        <f>MAX(0,IF(Impostazioni!$B$7="No",'Calc base'!$C319-$C$31,'Calc base'!$C319-C319)+'Calc base'!$G319+'Calc base'!$F319-(B319-C319-D319))</f>
        <v>900</v>
      </c>
      <c r="F319">
        <f>SUM(AH319:AS319)</f>
        <v>0</v>
      </c>
      <c r="G319">
        <f>SUM(AT319:BE319)</f>
        <v>0</v>
      </c>
      <c r="H319">
        <f>B319-G318</f>
        <v>0</v>
      </c>
      <c r="I319">
        <f>B319-G319</f>
        <v>0</v>
      </c>
      <c r="J319">
        <f>IF(AT318&lt;=0,0,IF(ROUND(AT318*(1+'Calc base'!H319),2)-MAX('Calc base'!C$12,ROUND('Calc base'!C$13*AT318,2))&lt;1,ROUND(AT318*(1+'Calc base'!H319),2),MAX('Calc base'!C$12,ROUND('Calc base'!C$13*AT318,2))))</f>
        <v>0</v>
      </c>
      <c r="K319">
        <f>IF(AU318&lt;=0,0,IF(ROUND(AU318*(1+'Calc base'!I319),2)-MAX('Calc base'!D$12,ROUND('Calc base'!D$13*AU318,2))&lt;1,ROUND(AU318*(1+'Calc base'!I319),2),MAX('Calc base'!D$12,ROUND('Calc base'!D$13*AU318,2))))</f>
        <v>0</v>
      </c>
      <c r="L319">
        <f>IF(AV318&lt;=0,0,IF(ROUND(AV318*(1+'Calc base'!J319),2)-MAX('Calc base'!E$12,ROUND('Calc base'!E$13*AV318,2))&lt;1,ROUND(AV318*(1+'Calc base'!J319),2),MAX('Calc base'!E$12,ROUND('Calc base'!E$13*AV318,2))))</f>
        <v>0</v>
      </c>
      <c r="M319">
        <f>IF(AW318&lt;=0,0,IF(ROUND(AW318*(1+'Calc base'!K319),2)-MAX('Calc base'!F$12,ROUND('Calc base'!F$13*AW318,2))&lt;1,ROUND(AW318*(1+'Calc base'!K319),2),MAX('Calc base'!F$12,ROUND('Calc base'!F$13*AW318,2))))</f>
        <v>0</v>
      </c>
      <c r="N319">
        <f>IF(AX318&lt;=0,0,IF(ROUND(AX318*(1+'Calc base'!L319),2)-MAX('Calc base'!G$12,ROUND('Calc base'!G$13*AX318,2))&lt;1,ROUND(AX318*(1+'Calc base'!L319),2),MAX('Calc base'!G$12,ROUND('Calc base'!G$13*AX318,2))))</f>
        <v>0</v>
      </c>
      <c r="O319">
        <f>IF(AY318&lt;=0,0,IF(ROUND(AY318*(1+'Calc base'!M319),2)-MAX('Calc base'!H$12,ROUND('Calc base'!H$13*AY318,2))&lt;1,ROUND(AY318*(1+'Calc base'!M319),2),MAX('Calc base'!H$12,ROUND('Calc base'!H$13*AY318,2))))</f>
        <v>0</v>
      </c>
      <c r="P319">
        <f>IF(AZ318&lt;=0,0,IF(ROUND(AZ318*(1+'Calc base'!N319),2)-MAX('Calc base'!I$12,ROUND('Calc base'!I$13*AZ318,2))&lt;1,ROUND(AZ318*(1+'Calc base'!N319),2),MAX('Calc base'!I$12,ROUND('Calc base'!I$13*AZ318,2))))</f>
        <v>0</v>
      </c>
      <c r="Q319">
        <f>IF(BA318&lt;=0,0,IF(ROUND(BA318*(1+'Calc base'!O319),2)-MAX('Calc base'!J$12,ROUND('Calc base'!J$13*BA318,2))&lt;1,ROUND(BA318*(1+'Calc base'!O319),2),MAX('Calc base'!J$12,ROUND('Calc base'!J$13*BA318,2))))</f>
        <v>0</v>
      </c>
      <c r="R319">
        <f>IF(BB318&lt;=0,0,IF(ROUND(BB318*(1+'Calc base'!P319),2)-MAX('Calc base'!K$12,ROUND('Calc base'!K$13*BB318,2))&lt;1,ROUND(BB318*(1+'Calc base'!P319),2),MAX('Calc base'!K$12,ROUND('Calc base'!K$13*BB318,2))))</f>
        <v>0</v>
      </c>
      <c r="S319">
        <f>IF(BC318&lt;=0,0,IF(ROUND(BC318*(1+'Calc base'!Q319),2)-MAX('Calc base'!L$12,ROUND('Calc base'!L$13*BC318,2))&lt;1,ROUND(BC318*(1+'Calc base'!Q319),2),MAX('Calc base'!L$12,ROUND('Calc base'!L$13*BC318,2))))</f>
        <v>0</v>
      </c>
      <c r="T319">
        <f>IF(BD318&lt;=0,0,IF(ROUND(BD318*(1+'Calc base'!R319),2)-MAX('Calc base'!M$12,ROUND('Calc base'!M$13*BD318,2))&lt;1,ROUND(BD318*(1+'Calc base'!R319),2),MAX('Calc base'!M$12,ROUND('Calc base'!M$13*BD318,2))))</f>
        <v>0</v>
      </c>
      <c r="U319">
        <f>IF(BE318&lt;=0,0,IF(ROUND(BE318*(1+'Calc base'!S319),2)-MAX('Calc base'!N$12,ROUND('Calc base'!N$13*BE318,2))&lt;1,ROUND(BE318*(1+'Calc base'!S319),2),MAX('Calc base'!N$12,ROUND('Calc base'!N$13*BE318,2))))</f>
        <v>0</v>
      </c>
      <c r="V319">
        <f>MAX(0,ROUND(AT318*(1+'Calc base'!H319),2)-J319-'Calc base'!T319)</f>
        <v>0</v>
      </c>
      <c r="W319">
        <f>MAX(0,ROUND(AU318*(1+'Calc base'!I319),2)-K319-'Calc base'!U319)</f>
        <v>0</v>
      </c>
      <c r="X319">
        <f>MAX(0,ROUND(AV318*(1+'Calc base'!J319),2)-L319-'Calc base'!V319)</f>
        <v>0</v>
      </c>
      <c r="Y319">
        <f>MAX(0,ROUND(AW318*(1+'Calc base'!K319),2)-M319-'Calc base'!W319)</f>
        <v>0</v>
      </c>
      <c r="Z319">
        <f>MAX(0,ROUND(AX318*(1+'Calc base'!L319),2)-N319-'Calc base'!X319)</f>
        <v>0</v>
      </c>
      <c r="AA319">
        <f>MAX(0,ROUND(AY318*(1+'Calc base'!M319),2)-O319-'Calc base'!Y319)</f>
        <v>0</v>
      </c>
      <c r="AB319">
        <f>MAX(0,ROUND(AZ318*(1+'Calc base'!N319),2)-P319-'Calc base'!Z319)</f>
        <v>0</v>
      </c>
      <c r="AC319">
        <f>MAX(0,ROUND(BA318*(1+'Calc base'!O319),2)-Q319-'Calc base'!AA319)</f>
        <v>0</v>
      </c>
      <c r="AD319">
        <f>MAX(0,ROUND(BB318*(1+'Calc base'!P319),2)-R319-'Calc base'!AB319)</f>
        <v>0</v>
      </c>
      <c r="AE319">
        <f>MAX(0,ROUND(BC318*(1+'Calc base'!Q319),2)-S319-'Calc base'!AC319)</f>
        <v>0</v>
      </c>
      <c r="AF319">
        <f>MAX(0,ROUND(BD318*(1+'Calc base'!R319),2)-T319-'Calc base'!AD319)</f>
        <v>0</v>
      </c>
      <c r="AG319">
        <f>MAX(0,ROUND(BE318*(1+'Calc base'!S319),2)-U319-'Calc base'!AE319)</f>
        <v>0</v>
      </c>
      <c r="AH319">
        <f>IF('Calc base'!C$14=0,0,MIN(V319,MAX(0,$E319-SUMIFS($V319:$AG319,'Calc base'!$C$19:$N$19,"&lt;"&amp;'Calc base'!C$19,'Calc base'!$C$14:$N$14,1))))</f>
        <v>0</v>
      </c>
      <c r="AI319">
        <f>IF('Calc base'!D$14=0,0,MIN(W319,MAX(0,$E319-SUMIFS($V319:$AG319,'Calc base'!$C$19:$N$19,"&lt;"&amp;'Calc base'!D$19,'Calc base'!$C$14:$N$14,1))))</f>
        <v>0</v>
      </c>
      <c r="AJ319">
        <f>IF('Calc base'!E$14=0,0,MIN(X319,MAX(0,$E319-SUMIFS($V319:$AG319,'Calc base'!$C$19:$N$19,"&lt;"&amp;'Calc base'!E$19,'Calc base'!$C$14:$N$14,1))))</f>
        <v>0</v>
      </c>
      <c r="AK319">
        <f>IF('Calc base'!F$14=0,0,MIN(Y319,MAX(0,$E319-SUMIFS($V319:$AG319,'Calc base'!$C$19:$N$19,"&lt;"&amp;'Calc base'!F$19,'Calc base'!$C$14:$N$14,1))))</f>
        <v>0</v>
      </c>
      <c r="AL319">
        <f>IF('Calc base'!G$14=0,0,MIN(Z319,MAX(0,$E319-SUMIFS($V319:$AG319,'Calc base'!$C$19:$N$19,"&lt;"&amp;'Calc base'!G$19,'Calc base'!$C$14:$N$14,1))))</f>
        <v>0</v>
      </c>
      <c r="AM319">
        <f>IF('Calc base'!H$14=0,0,MIN(AA319,MAX(0,$E319-SUMIFS($V319:$AG319,'Calc base'!$C$19:$N$19,"&lt;"&amp;'Calc base'!H$19,'Calc base'!$C$14:$N$14,1))))</f>
        <v>0</v>
      </c>
      <c r="AN319">
        <f>IF('Calc base'!I$14=0,0,MIN(AB319,MAX(0,$E319-SUMIFS($V319:$AG319,'Calc base'!$C$19:$N$19,"&lt;"&amp;'Calc base'!I$19,'Calc base'!$C$14:$N$14,1))))</f>
        <v>0</v>
      </c>
      <c r="AO319">
        <f>IF('Calc base'!J$14=0,0,MIN(AC319,MAX(0,$E319-SUMIFS($V319:$AG319,'Calc base'!$C$19:$N$19,"&lt;"&amp;'Calc base'!J$19,'Calc base'!$C$14:$N$14,1))))</f>
        <v>0</v>
      </c>
      <c r="AP319">
        <f>IF('Calc base'!K$14=0,0,MIN(AD319,MAX(0,$E319-SUMIFS($V319:$AG319,'Calc base'!$C$19:$N$19,"&lt;"&amp;'Calc base'!K$19,'Calc base'!$C$14:$N$14,1))))</f>
        <v>0</v>
      </c>
      <c r="AQ319">
        <f>IF('Calc base'!L$14=0,0,MIN(AE319,MAX(0,$E319-SUMIFS($V319:$AG319,'Calc base'!$C$19:$N$19,"&lt;"&amp;'Calc base'!L$19,'Calc base'!$C$14:$N$14,1))))</f>
        <v>0</v>
      </c>
      <c r="AR319">
        <f>IF('Calc base'!M$14=0,0,MIN(AF319,MAX(0,$E319-SUMIFS($V319:$AG319,'Calc base'!$C$19:$N$19,"&lt;"&amp;'Calc base'!M$19,'Calc base'!$C$14:$N$14,1))))</f>
        <v>0</v>
      </c>
      <c r="AS319">
        <f>IF('Calc base'!N$14=0,0,MIN(AG319,MAX(0,$E319-SUMIFS($V319:$AG319,'Calc base'!$C$19:$N$19,"&lt;"&amp;'Calc base'!N$19,'Calc base'!$C$14:$N$14,1))))</f>
        <v>0</v>
      </c>
      <c r="AT319">
        <f>V319-AH319</f>
        <v>0</v>
      </c>
      <c r="AU319">
        <f>W319-AI319</f>
        <v>0</v>
      </c>
      <c r="AV319">
        <f>X319-AJ319</f>
        <v>0</v>
      </c>
      <c r="AW319">
        <f>Y319-AK319</f>
        <v>0</v>
      </c>
      <c r="AX319">
        <f>Z319-AL319</f>
        <v>0</v>
      </c>
      <c r="AY319">
        <f>AA319-AM319</f>
        <v>0</v>
      </c>
      <c r="AZ319">
        <f>AB319-AN319</f>
        <v>0</v>
      </c>
      <c r="BA319">
        <f>AC319-AO319</f>
        <v>0</v>
      </c>
      <c r="BB319">
        <f>AD319-AP319</f>
        <v>0</v>
      </c>
      <c r="BC319">
        <f>AE319-AQ319</f>
        <v>0</v>
      </c>
      <c r="BD319">
        <f>AF319-AR319</f>
        <v>0</v>
      </c>
      <c r="BE319">
        <f>AG319-AS319</f>
        <v>0</v>
      </c>
    </row>
    <row r="320">
      <c r="A320" t="n">
        <v>290</v>
      </c>
      <c r="B320">
        <f>SUMPRODUCT(ROUND($AT319:$BE319*(1+'Calc base'!$H320:$S320),2))</f>
        <v>0</v>
      </c>
      <c r="C320">
        <f>SUM(J320:U320)</f>
        <v>0</v>
      </c>
      <c r="D320">
        <f>SUM(V320:AG320)</f>
        <v>0</v>
      </c>
      <c r="E320">
        <f>MAX(0,IF(Impostazioni!$B$7="No",'Calc base'!$C320-$C$31,'Calc base'!$C320-C320)+'Calc base'!$G320+'Calc base'!$F320-(B320-C320-D320))</f>
        <v>900</v>
      </c>
      <c r="F320">
        <f>SUM(AH320:AS320)</f>
        <v>0</v>
      </c>
      <c r="G320">
        <f>SUM(AT320:BE320)</f>
        <v>0</v>
      </c>
      <c r="H320">
        <f>B320-G319</f>
        <v>0</v>
      </c>
      <c r="I320">
        <f>B320-G320</f>
        <v>0</v>
      </c>
      <c r="J320">
        <f>IF(AT319&lt;=0,0,IF(ROUND(AT319*(1+'Calc base'!H320),2)-MAX('Calc base'!C$12,ROUND('Calc base'!C$13*AT319,2))&lt;1,ROUND(AT319*(1+'Calc base'!H320),2),MAX('Calc base'!C$12,ROUND('Calc base'!C$13*AT319,2))))</f>
        <v>0</v>
      </c>
      <c r="K320">
        <f>IF(AU319&lt;=0,0,IF(ROUND(AU319*(1+'Calc base'!I320),2)-MAX('Calc base'!D$12,ROUND('Calc base'!D$13*AU319,2))&lt;1,ROUND(AU319*(1+'Calc base'!I320),2),MAX('Calc base'!D$12,ROUND('Calc base'!D$13*AU319,2))))</f>
        <v>0</v>
      </c>
      <c r="L320">
        <f>IF(AV319&lt;=0,0,IF(ROUND(AV319*(1+'Calc base'!J320),2)-MAX('Calc base'!E$12,ROUND('Calc base'!E$13*AV319,2))&lt;1,ROUND(AV319*(1+'Calc base'!J320),2),MAX('Calc base'!E$12,ROUND('Calc base'!E$13*AV319,2))))</f>
        <v>0</v>
      </c>
      <c r="M320">
        <f>IF(AW319&lt;=0,0,IF(ROUND(AW319*(1+'Calc base'!K320),2)-MAX('Calc base'!F$12,ROUND('Calc base'!F$13*AW319,2))&lt;1,ROUND(AW319*(1+'Calc base'!K320),2),MAX('Calc base'!F$12,ROUND('Calc base'!F$13*AW319,2))))</f>
        <v>0</v>
      </c>
      <c r="N320">
        <f>IF(AX319&lt;=0,0,IF(ROUND(AX319*(1+'Calc base'!L320),2)-MAX('Calc base'!G$12,ROUND('Calc base'!G$13*AX319,2))&lt;1,ROUND(AX319*(1+'Calc base'!L320),2),MAX('Calc base'!G$12,ROUND('Calc base'!G$13*AX319,2))))</f>
        <v>0</v>
      </c>
      <c r="O320">
        <f>IF(AY319&lt;=0,0,IF(ROUND(AY319*(1+'Calc base'!M320),2)-MAX('Calc base'!H$12,ROUND('Calc base'!H$13*AY319,2))&lt;1,ROUND(AY319*(1+'Calc base'!M320),2),MAX('Calc base'!H$12,ROUND('Calc base'!H$13*AY319,2))))</f>
        <v>0</v>
      </c>
      <c r="P320">
        <f>IF(AZ319&lt;=0,0,IF(ROUND(AZ319*(1+'Calc base'!N320),2)-MAX('Calc base'!I$12,ROUND('Calc base'!I$13*AZ319,2))&lt;1,ROUND(AZ319*(1+'Calc base'!N320),2),MAX('Calc base'!I$12,ROUND('Calc base'!I$13*AZ319,2))))</f>
        <v>0</v>
      </c>
      <c r="Q320">
        <f>IF(BA319&lt;=0,0,IF(ROUND(BA319*(1+'Calc base'!O320),2)-MAX('Calc base'!J$12,ROUND('Calc base'!J$13*BA319,2))&lt;1,ROUND(BA319*(1+'Calc base'!O320),2),MAX('Calc base'!J$12,ROUND('Calc base'!J$13*BA319,2))))</f>
        <v>0</v>
      </c>
      <c r="R320">
        <f>IF(BB319&lt;=0,0,IF(ROUND(BB319*(1+'Calc base'!P320),2)-MAX('Calc base'!K$12,ROUND('Calc base'!K$13*BB319,2))&lt;1,ROUND(BB319*(1+'Calc base'!P320),2),MAX('Calc base'!K$12,ROUND('Calc base'!K$13*BB319,2))))</f>
        <v>0</v>
      </c>
      <c r="S320">
        <f>IF(BC319&lt;=0,0,IF(ROUND(BC319*(1+'Calc base'!Q320),2)-MAX('Calc base'!L$12,ROUND('Calc base'!L$13*BC319,2))&lt;1,ROUND(BC319*(1+'Calc base'!Q320),2),MAX('Calc base'!L$12,ROUND('Calc base'!L$13*BC319,2))))</f>
        <v>0</v>
      </c>
      <c r="T320">
        <f>IF(BD319&lt;=0,0,IF(ROUND(BD319*(1+'Calc base'!R320),2)-MAX('Calc base'!M$12,ROUND('Calc base'!M$13*BD319,2))&lt;1,ROUND(BD319*(1+'Calc base'!R320),2),MAX('Calc base'!M$12,ROUND('Calc base'!M$13*BD319,2))))</f>
        <v>0</v>
      </c>
      <c r="U320">
        <f>IF(BE319&lt;=0,0,IF(ROUND(BE319*(1+'Calc base'!S320),2)-MAX('Calc base'!N$12,ROUND('Calc base'!N$13*BE319,2))&lt;1,ROUND(BE319*(1+'Calc base'!S320),2),MAX('Calc base'!N$12,ROUND('Calc base'!N$13*BE319,2))))</f>
        <v>0</v>
      </c>
      <c r="V320">
        <f>MAX(0,ROUND(AT319*(1+'Calc base'!H320),2)-J320-'Calc base'!T320)</f>
        <v>0</v>
      </c>
      <c r="W320">
        <f>MAX(0,ROUND(AU319*(1+'Calc base'!I320),2)-K320-'Calc base'!U320)</f>
        <v>0</v>
      </c>
      <c r="X320">
        <f>MAX(0,ROUND(AV319*(1+'Calc base'!J320),2)-L320-'Calc base'!V320)</f>
        <v>0</v>
      </c>
      <c r="Y320">
        <f>MAX(0,ROUND(AW319*(1+'Calc base'!K320),2)-M320-'Calc base'!W320)</f>
        <v>0</v>
      </c>
      <c r="Z320">
        <f>MAX(0,ROUND(AX319*(1+'Calc base'!L320),2)-N320-'Calc base'!X320)</f>
        <v>0</v>
      </c>
      <c r="AA320">
        <f>MAX(0,ROUND(AY319*(1+'Calc base'!M320),2)-O320-'Calc base'!Y320)</f>
        <v>0</v>
      </c>
      <c r="AB320">
        <f>MAX(0,ROUND(AZ319*(1+'Calc base'!N320),2)-P320-'Calc base'!Z320)</f>
        <v>0</v>
      </c>
      <c r="AC320">
        <f>MAX(0,ROUND(BA319*(1+'Calc base'!O320),2)-Q320-'Calc base'!AA320)</f>
        <v>0</v>
      </c>
      <c r="AD320">
        <f>MAX(0,ROUND(BB319*(1+'Calc base'!P320),2)-R320-'Calc base'!AB320)</f>
        <v>0</v>
      </c>
      <c r="AE320">
        <f>MAX(0,ROUND(BC319*(1+'Calc base'!Q320),2)-S320-'Calc base'!AC320)</f>
        <v>0</v>
      </c>
      <c r="AF320">
        <f>MAX(0,ROUND(BD319*(1+'Calc base'!R320),2)-T320-'Calc base'!AD320)</f>
        <v>0</v>
      </c>
      <c r="AG320">
        <f>MAX(0,ROUND(BE319*(1+'Calc base'!S320),2)-U320-'Calc base'!AE320)</f>
        <v>0</v>
      </c>
      <c r="AH320">
        <f>IF('Calc base'!C$14=0,0,MIN(V320,MAX(0,$E320-SUMIFS($V320:$AG320,'Calc base'!$C$19:$N$19,"&lt;"&amp;'Calc base'!C$19,'Calc base'!$C$14:$N$14,1))))</f>
        <v>0</v>
      </c>
      <c r="AI320">
        <f>IF('Calc base'!D$14=0,0,MIN(W320,MAX(0,$E320-SUMIFS($V320:$AG320,'Calc base'!$C$19:$N$19,"&lt;"&amp;'Calc base'!D$19,'Calc base'!$C$14:$N$14,1))))</f>
        <v>0</v>
      </c>
      <c r="AJ320">
        <f>IF('Calc base'!E$14=0,0,MIN(X320,MAX(0,$E320-SUMIFS($V320:$AG320,'Calc base'!$C$19:$N$19,"&lt;"&amp;'Calc base'!E$19,'Calc base'!$C$14:$N$14,1))))</f>
        <v>0</v>
      </c>
      <c r="AK320">
        <f>IF('Calc base'!F$14=0,0,MIN(Y320,MAX(0,$E320-SUMIFS($V320:$AG320,'Calc base'!$C$19:$N$19,"&lt;"&amp;'Calc base'!F$19,'Calc base'!$C$14:$N$14,1))))</f>
        <v>0</v>
      </c>
      <c r="AL320">
        <f>IF('Calc base'!G$14=0,0,MIN(Z320,MAX(0,$E320-SUMIFS($V320:$AG320,'Calc base'!$C$19:$N$19,"&lt;"&amp;'Calc base'!G$19,'Calc base'!$C$14:$N$14,1))))</f>
        <v>0</v>
      </c>
      <c r="AM320">
        <f>IF('Calc base'!H$14=0,0,MIN(AA320,MAX(0,$E320-SUMIFS($V320:$AG320,'Calc base'!$C$19:$N$19,"&lt;"&amp;'Calc base'!H$19,'Calc base'!$C$14:$N$14,1))))</f>
        <v>0</v>
      </c>
      <c r="AN320">
        <f>IF('Calc base'!I$14=0,0,MIN(AB320,MAX(0,$E320-SUMIFS($V320:$AG320,'Calc base'!$C$19:$N$19,"&lt;"&amp;'Calc base'!I$19,'Calc base'!$C$14:$N$14,1))))</f>
        <v>0</v>
      </c>
      <c r="AO320">
        <f>IF('Calc base'!J$14=0,0,MIN(AC320,MAX(0,$E320-SUMIFS($V320:$AG320,'Calc base'!$C$19:$N$19,"&lt;"&amp;'Calc base'!J$19,'Calc base'!$C$14:$N$14,1))))</f>
        <v>0</v>
      </c>
      <c r="AP320">
        <f>IF('Calc base'!K$14=0,0,MIN(AD320,MAX(0,$E320-SUMIFS($V320:$AG320,'Calc base'!$C$19:$N$19,"&lt;"&amp;'Calc base'!K$19,'Calc base'!$C$14:$N$14,1))))</f>
        <v>0</v>
      </c>
      <c r="AQ320">
        <f>IF('Calc base'!L$14=0,0,MIN(AE320,MAX(0,$E320-SUMIFS($V320:$AG320,'Calc base'!$C$19:$N$19,"&lt;"&amp;'Calc base'!L$19,'Calc base'!$C$14:$N$14,1))))</f>
        <v>0</v>
      </c>
      <c r="AR320">
        <f>IF('Calc base'!M$14=0,0,MIN(AF320,MAX(0,$E320-SUMIFS($V320:$AG320,'Calc base'!$C$19:$N$19,"&lt;"&amp;'Calc base'!M$19,'Calc base'!$C$14:$N$14,1))))</f>
        <v>0</v>
      </c>
      <c r="AS320">
        <f>IF('Calc base'!N$14=0,0,MIN(AG320,MAX(0,$E320-SUMIFS($V320:$AG320,'Calc base'!$C$19:$N$19,"&lt;"&amp;'Calc base'!N$19,'Calc base'!$C$14:$N$14,1))))</f>
        <v>0</v>
      </c>
      <c r="AT320">
        <f>V320-AH320</f>
        <v>0</v>
      </c>
      <c r="AU320">
        <f>W320-AI320</f>
        <v>0</v>
      </c>
      <c r="AV320">
        <f>X320-AJ320</f>
        <v>0</v>
      </c>
      <c r="AW320">
        <f>Y320-AK320</f>
        <v>0</v>
      </c>
      <c r="AX320">
        <f>Z320-AL320</f>
        <v>0</v>
      </c>
      <c r="AY320">
        <f>AA320-AM320</f>
        <v>0</v>
      </c>
      <c r="AZ320">
        <f>AB320-AN320</f>
        <v>0</v>
      </c>
      <c r="BA320">
        <f>AC320-AO320</f>
        <v>0</v>
      </c>
      <c r="BB320">
        <f>AD320-AP320</f>
        <v>0</v>
      </c>
      <c r="BC320">
        <f>AE320-AQ320</f>
        <v>0</v>
      </c>
      <c r="BD320">
        <f>AF320-AR320</f>
        <v>0</v>
      </c>
      <c r="BE320">
        <f>AG320-AS320</f>
        <v>0</v>
      </c>
    </row>
    <row r="321">
      <c r="A321" t="n">
        <v>291</v>
      </c>
      <c r="B321">
        <f>SUMPRODUCT(ROUND($AT320:$BE320*(1+'Calc base'!$H321:$S321),2))</f>
        <v>0</v>
      </c>
      <c r="C321">
        <f>SUM(J321:U321)</f>
        <v>0</v>
      </c>
      <c r="D321">
        <f>SUM(V321:AG321)</f>
        <v>0</v>
      </c>
      <c r="E321">
        <f>MAX(0,IF(Impostazioni!$B$7="No",'Calc base'!$C321-$C$31,'Calc base'!$C321-C321)+'Calc base'!$G321+'Calc base'!$F321-(B321-C321-D321))</f>
        <v>900</v>
      </c>
      <c r="F321">
        <f>SUM(AH321:AS321)</f>
        <v>0</v>
      </c>
      <c r="G321">
        <f>SUM(AT321:BE321)</f>
        <v>0</v>
      </c>
      <c r="H321">
        <f>B321-G320</f>
        <v>0</v>
      </c>
      <c r="I321">
        <f>B321-G321</f>
        <v>0</v>
      </c>
      <c r="J321">
        <f>IF(AT320&lt;=0,0,IF(ROUND(AT320*(1+'Calc base'!H321),2)-MAX('Calc base'!C$12,ROUND('Calc base'!C$13*AT320,2))&lt;1,ROUND(AT320*(1+'Calc base'!H321),2),MAX('Calc base'!C$12,ROUND('Calc base'!C$13*AT320,2))))</f>
        <v>0</v>
      </c>
      <c r="K321">
        <f>IF(AU320&lt;=0,0,IF(ROUND(AU320*(1+'Calc base'!I321),2)-MAX('Calc base'!D$12,ROUND('Calc base'!D$13*AU320,2))&lt;1,ROUND(AU320*(1+'Calc base'!I321),2),MAX('Calc base'!D$12,ROUND('Calc base'!D$13*AU320,2))))</f>
        <v>0</v>
      </c>
      <c r="L321">
        <f>IF(AV320&lt;=0,0,IF(ROUND(AV320*(1+'Calc base'!J321),2)-MAX('Calc base'!E$12,ROUND('Calc base'!E$13*AV320,2))&lt;1,ROUND(AV320*(1+'Calc base'!J321),2),MAX('Calc base'!E$12,ROUND('Calc base'!E$13*AV320,2))))</f>
        <v>0</v>
      </c>
      <c r="M321">
        <f>IF(AW320&lt;=0,0,IF(ROUND(AW320*(1+'Calc base'!K321),2)-MAX('Calc base'!F$12,ROUND('Calc base'!F$13*AW320,2))&lt;1,ROUND(AW320*(1+'Calc base'!K321),2),MAX('Calc base'!F$12,ROUND('Calc base'!F$13*AW320,2))))</f>
        <v>0</v>
      </c>
      <c r="N321">
        <f>IF(AX320&lt;=0,0,IF(ROUND(AX320*(1+'Calc base'!L321),2)-MAX('Calc base'!G$12,ROUND('Calc base'!G$13*AX320,2))&lt;1,ROUND(AX320*(1+'Calc base'!L321),2),MAX('Calc base'!G$12,ROUND('Calc base'!G$13*AX320,2))))</f>
        <v>0</v>
      </c>
      <c r="O321">
        <f>IF(AY320&lt;=0,0,IF(ROUND(AY320*(1+'Calc base'!M321),2)-MAX('Calc base'!H$12,ROUND('Calc base'!H$13*AY320,2))&lt;1,ROUND(AY320*(1+'Calc base'!M321),2),MAX('Calc base'!H$12,ROUND('Calc base'!H$13*AY320,2))))</f>
        <v>0</v>
      </c>
      <c r="P321">
        <f>IF(AZ320&lt;=0,0,IF(ROUND(AZ320*(1+'Calc base'!N321),2)-MAX('Calc base'!I$12,ROUND('Calc base'!I$13*AZ320,2))&lt;1,ROUND(AZ320*(1+'Calc base'!N321),2),MAX('Calc base'!I$12,ROUND('Calc base'!I$13*AZ320,2))))</f>
        <v>0</v>
      </c>
      <c r="Q321">
        <f>IF(BA320&lt;=0,0,IF(ROUND(BA320*(1+'Calc base'!O321),2)-MAX('Calc base'!J$12,ROUND('Calc base'!J$13*BA320,2))&lt;1,ROUND(BA320*(1+'Calc base'!O321),2),MAX('Calc base'!J$12,ROUND('Calc base'!J$13*BA320,2))))</f>
        <v>0</v>
      </c>
      <c r="R321">
        <f>IF(BB320&lt;=0,0,IF(ROUND(BB320*(1+'Calc base'!P321),2)-MAX('Calc base'!K$12,ROUND('Calc base'!K$13*BB320,2))&lt;1,ROUND(BB320*(1+'Calc base'!P321),2),MAX('Calc base'!K$12,ROUND('Calc base'!K$13*BB320,2))))</f>
        <v>0</v>
      </c>
      <c r="S321">
        <f>IF(BC320&lt;=0,0,IF(ROUND(BC320*(1+'Calc base'!Q321),2)-MAX('Calc base'!L$12,ROUND('Calc base'!L$13*BC320,2))&lt;1,ROUND(BC320*(1+'Calc base'!Q321),2),MAX('Calc base'!L$12,ROUND('Calc base'!L$13*BC320,2))))</f>
        <v>0</v>
      </c>
      <c r="T321">
        <f>IF(BD320&lt;=0,0,IF(ROUND(BD320*(1+'Calc base'!R321),2)-MAX('Calc base'!M$12,ROUND('Calc base'!M$13*BD320,2))&lt;1,ROUND(BD320*(1+'Calc base'!R321),2),MAX('Calc base'!M$12,ROUND('Calc base'!M$13*BD320,2))))</f>
        <v>0</v>
      </c>
      <c r="U321">
        <f>IF(BE320&lt;=0,0,IF(ROUND(BE320*(1+'Calc base'!S321),2)-MAX('Calc base'!N$12,ROUND('Calc base'!N$13*BE320,2))&lt;1,ROUND(BE320*(1+'Calc base'!S321),2),MAX('Calc base'!N$12,ROUND('Calc base'!N$13*BE320,2))))</f>
        <v>0</v>
      </c>
      <c r="V321">
        <f>MAX(0,ROUND(AT320*(1+'Calc base'!H321),2)-J321-'Calc base'!T321)</f>
        <v>0</v>
      </c>
      <c r="W321">
        <f>MAX(0,ROUND(AU320*(1+'Calc base'!I321),2)-K321-'Calc base'!U321)</f>
        <v>0</v>
      </c>
      <c r="X321">
        <f>MAX(0,ROUND(AV320*(1+'Calc base'!J321),2)-L321-'Calc base'!V321)</f>
        <v>0</v>
      </c>
      <c r="Y321">
        <f>MAX(0,ROUND(AW320*(1+'Calc base'!K321),2)-M321-'Calc base'!W321)</f>
        <v>0</v>
      </c>
      <c r="Z321">
        <f>MAX(0,ROUND(AX320*(1+'Calc base'!L321),2)-N321-'Calc base'!X321)</f>
        <v>0</v>
      </c>
      <c r="AA321">
        <f>MAX(0,ROUND(AY320*(1+'Calc base'!M321),2)-O321-'Calc base'!Y321)</f>
        <v>0</v>
      </c>
      <c r="AB321">
        <f>MAX(0,ROUND(AZ320*(1+'Calc base'!N321),2)-P321-'Calc base'!Z321)</f>
        <v>0</v>
      </c>
      <c r="AC321">
        <f>MAX(0,ROUND(BA320*(1+'Calc base'!O321),2)-Q321-'Calc base'!AA321)</f>
        <v>0</v>
      </c>
      <c r="AD321">
        <f>MAX(0,ROUND(BB320*(1+'Calc base'!P321),2)-R321-'Calc base'!AB321)</f>
        <v>0</v>
      </c>
      <c r="AE321">
        <f>MAX(0,ROUND(BC320*(1+'Calc base'!Q321),2)-S321-'Calc base'!AC321)</f>
        <v>0</v>
      </c>
      <c r="AF321">
        <f>MAX(0,ROUND(BD320*(1+'Calc base'!R321),2)-T321-'Calc base'!AD321)</f>
        <v>0</v>
      </c>
      <c r="AG321">
        <f>MAX(0,ROUND(BE320*(1+'Calc base'!S321),2)-U321-'Calc base'!AE321)</f>
        <v>0</v>
      </c>
      <c r="AH321">
        <f>IF('Calc base'!C$14=0,0,MIN(V321,MAX(0,$E321-SUMIFS($V321:$AG321,'Calc base'!$C$19:$N$19,"&lt;"&amp;'Calc base'!C$19,'Calc base'!$C$14:$N$14,1))))</f>
        <v>0</v>
      </c>
      <c r="AI321">
        <f>IF('Calc base'!D$14=0,0,MIN(W321,MAX(0,$E321-SUMIFS($V321:$AG321,'Calc base'!$C$19:$N$19,"&lt;"&amp;'Calc base'!D$19,'Calc base'!$C$14:$N$14,1))))</f>
        <v>0</v>
      </c>
      <c r="AJ321">
        <f>IF('Calc base'!E$14=0,0,MIN(X321,MAX(0,$E321-SUMIFS($V321:$AG321,'Calc base'!$C$19:$N$19,"&lt;"&amp;'Calc base'!E$19,'Calc base'!$C$14:$N$14,1))))</f>
        <v>0</v>
      </c>
      <c r="AK321">
        <f>IF('Calc base'!F$14=0,0,MIN(Y321,MAX(0,$E321-SUMIFS($V321:$AG321,'Calc base'!$C$19:$N$19,"&lt;"&amp;'Calc base'!F$19,'Calc base'!$C$14:$N$14,1))))</f>
        <v>0</v>
      </c>
      <c r="AL321">
        <f>IF('Calc base'!G$14=0,0,MIN(Z321,MAX(0,$E321-SUMIFS($V321:$AG321,'Calc base'!$C$19:$N$19,"&lt;"&amp;'Calc base'!G$19,'Calc base'!$C$14:$N$14,1))))</f>
        <v>0</v>
      </c>
      <c r="AM321">
        <f>IF('Calc base'!H$14=0,0,MIN(AA321,MAX(0,$E321-SUMIFS($V321:$AG321,'Calc base'!$C$19:$N$19,"&lt;"&amp;'Calc base'!H$19,'Calc base'!$C$14:$N$14,1))))</f>
        <v>0</v>
      </c>
      <c r="AN321">
        <f>IF('Calc base'!I$14=0,0,MIN(AB321,MAX(0,$E321-SUMIFS($V321:$AG321,'Calc base'!$C$19:$N$19,"&lt;"&amp;'Calc base'!I$19,'Calc base'!$C$14:$N$14,1))))</f>
        <v>0</v>
      </c>
      <c r="AO321">
        <f>IF('Calc base'!J$14=0,0,MIN(AC321,MAX(0,$E321-SUMIFS($V321:$AG321,'Calc base'!$C$19:$N$19,"&lt;"&amp;'Calc base'!J$19,'Calc base'!$C$14:$N$14,1))))</f>
        <v>0</v>
      </c>
      <c r="AP321">
        <f>IF('Calc base'!K$14=0,0,MIN(AD321,MAX(0,$E321-SUMIFS($V321:$AG321,'Calc base'!$C$19:$N$19,"&lt;"&amp;'Calc base'!K$19,'Calc base'!$C$14:$N$14,1))))</f>
        <v>0</v>
      </c>
      <c r="AQ321">
        <f>IF('Calc base'!L$14=0,0,MIN(AE321,MAX(0,$E321-SUMIFS($V321:$AG321,'Calc base'!$C$19:$N$19,"&lt;"&amp;'Calc base'!L$19,'Calc base'!$C$14:$N$14,1))))</f>
        <v>0</v>
      </c>
      <c r="AR321">
        <f>IF('Calc base'!M$14=0,0,MIN(AF321,MAX(0,$E321-SUMIFS($V321:$AG321,'Calc base'!$C$19:$N$19,"&lt;"&amp;'Calc base'!M$19,'Calc base'!$C$14:$N$14,1))))</f>
        <v>0</v>
      </c>
      <c r="AS321">
        <f>IF('Calc base'!N$14=0,0,MIN(AG321,MAX(0,$E321-SUMIFS($V321:$AG321,'Calc base'!$C$19:$N$19,"&lt;"&amp;'Calc base'!N$19,'Calc base'!$C$14:$N$14,1))))</f>
        <v>0</v>
      </c>
      <c r="AT321">
        <f>V321-AH321</f>
        <v>0</v>
      </c>
      <c r="AU321">
        <f>W321-AI321</f>
        <v>0</v>
      </c>
      <c r="AV321">
        <f>X321-AJ321</f>
        <v>0</v>
      </c>
      <c r="AW321">
        <f>Y321-AK321</f>
        <v>0</v>
      </c>
      <c r="AX321">
        <f>Z321-AL321</f>
        <v>0</v>
      </c>
      <c r="AY321">
        <f>AA321-AM321</f>
        <v>0</v>
      </c>
      <c r="AZ321">
        <f>AB321-AN321</f>
        <v>0</v>
      </c>
      <c r="BA321">
        <f>AC321-AO321</f>
        <v>0</v>
      </c>
      <c r="BB321">
        <f>AD321-AP321</f>
        <v>0</v>
      </c>
      <c r="BC321">
        <f>AE321-AQ321</f>
        <v>0</v>
      </c>
      <c r="BD321">
        <f>AF321-AR321</f>
        <v>0</v>
      </c>
      <c r="BE321">
        <f>AG321-AS321</f>
        <v>0</v>
      </c>
    </row>
    <row r="322">
      <c r="A322" t="n">
        <v>292</v>
      </c>
      <c r="B322">
        <f>SUMPRODUCT(ROUND($AT321:$BE321*(1+'Calc base'!$H322:$S322),2))</f>
        <v>0</v>
      </c>
      <c r="C322">
        <f>SUM(J322:U322)</f>
        <v>0</v>
      </c>
      <c r="D322">
        <f>SUM(V322:AG322)</f>
        <v>0</v>
      </c>
      <c r="E322">
        <f>MAX(0,IF(Impostazioni!$B$7="No",'Calc base'!$C322-$C$31,'Calc base'!$C322-C322)+'Calc base'!$G322+'Calc base'!$F322-(B322-C322-D322))</f>
        <v>900</v>
      </c>
      <c r="F322">
        <f>SUM(AH322:AS322)</f>
        <v>0</v>
      </c>
      <c r="G322">
        <f>SUM(AT322:BE322)</f>
        <v>0</v>
      </c>
      <c r="H322">
        <f>B322-G321</f>
        <v>0</v>
      </c>
      <c r="I322">
        <f>B322-G322</f>
        <v>0</v>
      </c>
      <c r="J322">
        <f>IF(AT321&lt;=0,0,IF(ROUND(AT321*(1+'Calc base'!H322),2)-MAX('Calc base'!C$12,ROUND('Calc base'!C$13*AT321,2))&lt;1,ROUND(AT321*(1+'Calc base'!H322),2),MAX('Calc base'!C$12,ROUND('Calc base'!C$13*AT321,2))))</f>
        <v>0</v>
      </c>
      <c r="K322">
        <f>IF(AU321&lt;=0,0,IF(ROUND(AU321*(1+'Calc base'!I322),2)-MAX('Calc base'!D$12,ROUND('Calc base'!D$13*AU321,2))&lt;1,ROUND(AU321*(1+'Calc base'!I322),2),MAX('Calc base'!D$12,ROUND('Calc base'!D$13*AU321,2))))</f>
        <v>0</v>
      </c>
      <c r="L322">
        <f>IF(AV321&lt;=0,0,IF(ROUND(AV321*(1+'Calc base'!J322),2)-MAX('Calc base'!E$12,ROUND('Calc base'!E$13*AV321,2))&lt;1,ROUND(AV321*(1+'Calc base'!J322),2),MAX('Calc base'!E$12,ROUND('Calc base'!E$13*AV321,2))))</f>
        <v>0</v>
      </c>
      <c r="M322">
        <f>IF(AW321&lt;=0,0,IF(ROUND(AW321*(1+'Calc base'!K322),2)-MAX('Calc base'!F$12,ROUND('Calc base'!F$13*AW321,2))&lt;1,ROUND(AW321*(1+'Calc base'!K322),2),MAX('Calc base'!F$12,ROUND('Calc base'!F$13*AW321,2))))</f>
        <v>0</v>
      </c>
      <c r="N322">
        <f>IF(AX321&lt;=0,0,IF(ROUND(AX321*(1+'Calc base'!L322),2)-MAX('Calc base'!G$12,ROUND('Calc base'!G$13*AX321,2))&lt;1,ROUND(AX321*(1+'Calc base'!L322),2),MAX('Calc base'!G$12,ROUND('Calc base'!G$13*AX321,2))))</f>
        <v>0</v>
      </c>
      <c r="O322">
        <f>IF(AY321&lt;=0,0,IF(ROUND(AY321*(1+'Calc base'!M322),2)-MAX('Calc base'!H$12,ROUND('Calc base'!H$13*AY321,2))&lt;1,ROUND(AY321*(1+'Calc base'!M322),2),MAX('Calc base'!H$12,ROUND('Calc base'!H$13*AY321,2))))</f>
        <v>0</v>
      </c>
      <c r="P322">
        <f>IF(AZ321&lt;=0,0,IF(ROUND(AZ321*(1+'Calc base'!N322),2)-MAX('Calc base'!I$12,ROUND('Calc base'!I$13*AZ321,2))&lt;1,ROUND(AZ321*(1+'Calc base'!N322),2),MAX('Calc base'!I$12,ROUND('Calc base'!I$13*AZ321,2))))</f>
        <v>0</v>
      </c>
      <c r="Q322">
        <f>IF(BA321&lt;=0,0,IF(ROUND(BA321*(1+'Calc base'!O322),2)-MAX('Calc base'!J$12,ROUND('Calc base'!J$13*BA321,2))&lt;1,ROUND(BA321*(1+'Calc base'!O322),2),MAX('Calc base'!J$12,ROUND('Calc base'!J$13*BA321,2))))</f>
        <v>0</v>
      </c>
      <c r="R322">
        <f>IF(BB321&lt;=0,0,IF(ROUND(BB321*(1+'Calc base'!P322),2)-MAX('Calc base'!K$12,ROUND('Calc base'!K$13*BB321,2))&lt;1,ROUND(BB321*(1+'Calc base'!P322),2),MAX('Calc base'!K$12,ROUND('Calc base'!K$13*BB321,2))))</f>
        <v>0</v>
      </c>
      <c r="S322">
        <f>IF(BC321&lt;=0,0,IF(ROUND(BC321*(1+'Calc base'!Q322),2)-MAX('Calc base'!L$12,ROUND('Calc base'!L$13*BC321,2))&lt;1,ROUND(BC321*(1+'Calc base'!Q322),2),MAX('Calc base'!L$12,ROUND('Calc base'!L$13*BC321,2))))</f>
        <v>0</v>
      </c>
      <c r="T322">
        <f>IF(BD321&lt;=0,0,IF(ROUND(BD321*(1+'Calc base'!R322),2)-MAX('Calc base'!M$12,ROUND('Calc base'!M$13*BD321,2))&lt;1,ROUND(BD321*(1+'Calc base'!R322),2),MAX('Calc base'!M$12,ROUND('Calc base'!M$13*BD321,2))))</f>
        <v>0</v>
      </c>
      <c r="U322">
        <f>IF(BE321&lt;=0,0,IF(ROUND(BE321*(1+'Calc base'!S322),2)-MAX('Calc base'!N$12,ROUND('Calc base'!N$13*BE321,2))&lt;1,ROUND(BE321*(1+'Calc base'!S322),2),MAX('Calc base'!N$12,ROUND('Calc base'!N$13*BE321,2))))</f>
        <v>0</v>
      </c>
      <c r="V322">
        <f>MAX(0,ROUND(AT321*(1+'Calc base'!H322),2)-J322-'Calc base'!T322)</f>
        <v>0</v>
      </c>
      <c r="W322">
        <f>MAX(0,ROUND(AU321*(1+'Calc base'!I322),2)-K322-'Calc base'!U322)</f>
        <v>0</v>
      </c>
      <c r="X322">
        <f>MAX(0,ROUND(AV321*(1+'Calc base'!J322),2)-L322-'Calc base'!V322)</f>
        <v>0</v>
      </c>
      <c r="Y322">
        <f>MAX(0,ROUND(AW321*(1+'Calc base'!K322),2)-M322-'Calc base'!W322)</f>
        <v>0</v>
      </c>
      <c r="Z322">
        <f>MAX(0,ROUND(AX321*(1+'Calc base'!L322),2)-N322-'Calc base'!X322)</f>
        <v>0</v>
      </c>
      <c r="AA322">
        <f>MAX(0,ROUND(AY321*(1+'Calc base'!M322),2)-O322-'Calc base'!Y322)</f>
        <v>0</v>
      </c>
      <c r="AB322">
        <f>MAX(0,ROUND(AZ321*(1+'Calc base'!N322),2)-P322-'Calc base'!Z322)</f>
        <v>0</v>
      </c>
      <c r="AC322">
        <f>MAX(0,ROUND(BA321*(1+'Calc base'!O322),2)-Q322-'Calc base'!AA322)</f>
        <v>0</v>
      </c>
      <c r="AD322">
        <f>MAX(0,ROUND(BB321*(1+'Calc base'!P322),2)-R322-'Calc base'!AB322)</f>
        <v>0</v>
      </c>
      <c r="AE322">
        <f>MAX(0,ROUND(BC321*(1+'Calc base'!Q322),2)-S322-'Calc base'!AC322)</f>
        <v>0</v>
      </c>
      <c r="AF322">
        <f>MAX(0,ROUND(BD321*(1+'Calc base'!R322),2)-T322-'Calc base'!AD322)</f>
        <v>0</v>
      </c>
      <c r="AG322">
        <f>MAX(0,ROUND(BE321*(1+'Calc base'!S322),2)-U322-'Calc base'!AE322)</f>
        <v>0</v>
      </c>
      <c r="AH322">
        <f>IF('Calc base'!C$14=0,0,MIN(V322,MAX(0,$E322-SUMIFS($V322:$AG322,'Calc base'!$C$19:$N$19,"&lt;"&amp;'Calc base'!C$19,'Calc base'!$C$14:$N$14,1))))</f>
        <v>0</v>
      </c>
      <c r="AI322">
        <f>IF('Calc base'!D$14=0,0,MIN(W322,MAX(0,$E322-SUMIFS($V322:$AG322,'Calc base'!$C$19:$N$19,"&lt;"&amp;'Calc base'!D$19,'Calc base'!$C$14:$N$14,1))))</f>
        <v>0</v>
      </c>
      <c r="AJ322">
        <f>IF('Calc base'!E$14=0,0,MIN(X322,MAX(0,$E322-SUMIFS($V322:$AG322,'Calc base'!$C$19:$N$19,"&lt;"&amp;'Calc base'!E$19,'Calc base'!$C$14:$N$14,1))))</f>
        <v>0</v>
      </c>
      <c r="AK322">
        <f>IF('Calc base'!F$14=0,0,MIN(Y322,MAX(0,$E322-SUMIFS($V322:$AG322,'Calc base'!$C$19:$N$19,"&lt;"&amp;'Calc base'!F$19,'Calc base'!$C$14:$N$14,1))))</f>
        <v>0</v>
      </c>
      <c r="AL322">
        <f>IF('Calc base'!G$14=0,0,MIN(Z322,MAX(0,$E322-SUMIFS($V322:$AG322,'Calc base'!$C$19:$N$19,"&lt;"&amp;'Calc base'!G$19,'Calc base'!$C$14:$N$14,1))))</f>
        <v>0</v>
      </c>
      <c r="AM322">
        <f>IF('Calc base'!H$14=0,0,MIN(AA322,MAX(0,$E322-SUMIFS($V322:$AG322,'Calc base'!$C$19:$N$19,"&lt;"&amp;'Calc base'!H$19,'Calc base'!$C$14:$N$14,1))))</f>
        <v>0</v>
      </c>
      <c r="AN322">
        <f>IF('Calc base'!I$14=0,0,MIN(AB322,MAX(0,$E322-SUMIFS($V322:$AG322,'Calc base'!$C$19:$N$19,"&lt;"&amp;'Calc base'!I$19,'Calc base'!$C$14:$N$14,1))))</f>
        <v>0</v>
      </c>
      <c r="AO322">
        <f>IF('Calc base'!J$14=0,0,MIN(AC322,MAX(0,$E322-SUMIFS($V322:$AG322,'Calc base'!$C$19:$N$19,"&lt;"&amp;'Calc base'!J$19,'Calc base'!$C$14:$N$14,1))))</f>
        <v>0</v>
      </c>
      <c r="AP322">
        <f>IF('Calc base'!K$14=0,0,MIN(AD322,MAX(0,$E322-SUMIFS($V322:$AG322,'Calc base'!$C$19:$N$19,"&lt;"&amp;'Calc base'!K$19,'Calc base'!$C$14:$N$14,1))))</f>
        <v>0</v>
      </c>
      <c r="AQ322">
        <f>IF('Calc base'!L$14=0,0,MIN(AE322,MAX(0,$E322-SUMIFS($V322:$AG322,'Calc base'!$C$19:$N$19,"&lt;"&amp;'Calc base'!L$19,'Calc base'!$C$14:$N$14,1))))</f>
        <v>0</v>
      </c>
      <c r="AR322">
        <f>IF('Calc base'!M$14=0,0,MIN(AF322,MAX(0,$E322-SUMIFS($V322:$AG322,'Calc base'!$C$19:$N$19,"&lt;"&amp;'Calc base'!M$19,'Calc base'!$C$14:$N$14,1))))</f>
        <v>0</v>
      </c>
      <c r="AS322">
        <f>IF('Calc base'!N$14=0,0,MIN(AG322,MAX(0,$E322-SUMIFS($V322:$AG322,'Calc base'!$C$19:$N$19,"&lt;"&amp;'Calc base'!N$19,'Calc base'!$C$14:$N$14,1))))</f>
        <v>0</v>
      </c>
      <c r="AT322">
        <f>V322-AH322</f>
        <v>0</v>
      </c>
      <c r="AU322">
        <f>W322-AI322</f>
        <v>0</v>
      </c>
      <c r="AV322">
        <f>X322-AJ322</f>
        <v>0</v>
      </c>
      <c r="AW322">
        <f>Y322-AK322</f>
        <v>0</v>
      </c>
      <c r="AX322">
        <f>Z322-AL322</f>
        <v>0</v>
      </c>
      <c r="AY322">
        <f>AA322-AM322</f>
        <v>0</v>
      </c>
      <c r="AZ322">
        <f>AB322-AN322</f>
        <v>0</v>
      </c>
      <c r="BA322">
        <f>AC322-AO322</f>
        <v>0</v>
      </c>
      <c r="BB322">
        <f>AD322-AP322</f>
        <v>0</v>
      </c>
      <c r="BC322">
        <f>AE322-AQ322</f>
        <v>0</v>
      </c>
      <c r="BD322">
        <f>AF322-AR322</f>
        <v>0</v>
      </c>
      <c r="BE322">
        <f>AG322-AS322</f>
        <v>0</v>
      </c>
    </row>
    <row r="323">
      <c r="A323" t="n">
        <v>293</v>
      </c>
      <c r="B323">
        <f>SUMPRODUCT(ROUND($AT322:$BE322*(1+'Calc base'!$H323:$S323),2))</f>
        <v>0</v>
      </c>
      <c r="C323">
        <f>SUM(J323:U323)</f>
        <v>0</v>
      </c>
      <c r="D323">
        <f>SUM(V323:AG323)</f>
        <v>0</v>
      </c>
      <c r="E323">
        <f>MAX(0,IF(Impostazioni!$B$7="No",'Calc base'!$C323-$C$31,'Calc base'!$C323-C323)+'Calc base'!$G323+'Calc base'!$F323-(B323-C323-D323))</f>
        <v>900</v>
      </c>
      <c r="F323">
        <f>SUM(AH323:AS323)</f>
        <v>0</v>
      </c>
      <c r="G323">
        <f>SUM(AT323:BE323)</f>
        <v>0</v>
      </c>
      <c r="H323">
        <f>B323-G322</f>
        <v>0</v>
      </c>
      <c r="I323">
        <f>B323-G323</f>
        <v>0</v>
      </c>
      <c r="J323">
        <f>IF(AT322&lt;=0,0,IF(ROUND(AT322*(1+'Calc base'!H323),2)-MAX('Calc base'!C$12,ROUND('Calc base'!C$13*AT322,2))&lt;1,ROUND(AT322*(1+'Calc base'!H323),2),MAX('Calc base'!C$12,ROUND('Calc base'!C$13*AT322,2))))</f>
        <v>0</v>
      </c>
      <c r="K323">
        <f>IF(AU322&lt;=0,0,IF(ROUND(AU322*(1+'Calc base'!I323),2)-MAX('Calc base'!D$12,ROUND('Calc base'!D$13*AU322,2))&lt;1,ROUND(AU322*(1+'Calc base'!I323),2),MAX('Calc base'!D$12,ROUND('Calc base'!D$13*AU322,2))))</f>
        <v>0</v>
      </c>
      <c r="L323">
        <f>IF(AV322&lt;=0,0,IF(ROUND(AV322*(1+'Calc base'!J323),2)-MAX('Calc base'!E$12,ROUND('Calc base'!E$13*AV322,2))&lt;1,ROUND(AV322*(1+'Calc base'!J323),2),MAX('Calc base'!E$12,ROUND('Calc base'!E$13*AV322,2))))</f>
        <v>0</v>
      </c>
      <c r="M323">
        <f>IF(AW322&lt;=0,0,IF(ROUND(AW322*(1+'Calc base'!K323),2)-MAX('Calc base'!F$12,ROUND('Calc base'!F$13*AW322,2))&lt;1,ROUND(AW322*(1+'Calc base'!K323),2),MAX('Calc base'!F$12,ROUND('Calc base'!F$13*AW322,2))))</f>
        <v>0</v>
      </c>
      <c r="N323">
        <f>IF(AX322&lt;=0,0,IF(ROUND(AX322*(1+'Calc base'!L323),2)-MAX('Calc base'!G$12,ROUND('Calc base'!G$13*AX322,2))&lt;1,ROUND(AX322*(1+'Calc base'!L323),2),MAX('Calc base'!G$12,ROUND('Calc base'!G$13*AX322,2))))</f>
        <v>0</v>
      </c>
      <c r="O323">
        <f>IF(AY322&lt;=0,0,IF(ROUND(AY322*(1+'Calc base'!M323),2)-MAX('Calc base'!H$12,ROUND('Calc base'!H$13*AY322,2))&lt;1,ROUND(AY322*(1+'Calc base'!M323),2),MAX('Calc base'!H$12,ROUND('Calc base'!H$13*AY322,2))))</f>
        <v>0</v>
      </c>
      <c r="P323">
        <f>IF(AZ322&lt;=0,0,IF(ROUND(AZ322*(1+'Calc base'!N323),2)-MAX('Calc base'!I$12,ROUND('Calc base'!I$13*AZ322,2))&lt;1,ROUND(AZ322*(1+'Calc base'!N323),2),MAX('Calc base'!I$12,ROUND('Calc base'!I$13*AZ322,2))))</f>
        <v>0</v>
      </c>
      <c r="Q323">
        <f>IF(BA322&lt;=0,0,IF(ROUND(BA322*(1+'Calc base'!O323),2)-MAX('Calc base'!J$12,ROUND('Calc base'!J$13*BA322,2))&lt;1,ROUND(BA322*(1+'Calc base'!O323),2),MAX('Calc base'!J$12,ROUND('Calc base'!J$13*BA322,2))))</f>
        <v>0</v>
      </c>
      <c r="R323">
        <f>IF(BB322&lt;=0,0,IF(ROUND(BB322*(1+'Calc base'!P323),2)-MAX('Calc base'!K$12,ROUND('Calc base'!K$13*BB322,2))&lt;1,ROUND(BB322*(1+'Calc base'!P323),2),MAX('Calc base'!K$12,ROUND('Calc base'!K$13*BB322,2))))</f>
        <v>0</v>
      </c>
      <c r="S323">
        <f>IF(BC322&lt;=0,0,IF(ROUND(BC322*(1+'Calc base'!Q323),2)-MAX('Calc base'!L$12,ROUND('Calc base'!L$13*BC322,2))&lt;1,ROUND(BC322*(1+'Calc base'!Q323),2),MAX('Calc base'!L$12,ROUND('Calc base'!L$13*BC322,2))))</f>
        <v>0</v>
      </c>
      <c r="T323">
        <f>IF(BD322&lt;=0,0,IF(ROUND(BD322*(1+'Calc base'!R323),2)-MAX('Calc base'!M$12,ROUND('Calc base'!M$13*BD322,2))&lt;1,ROUND(BD322*(1+'Calc base'!R323),2),MAX('Calc base'!M$12,ROUND('Calc base'!M$13*BD322,2))))</f>
        <v>0</v>
      </c>
      <c r="U323">
        <f>IF(BE322&lt;=0,0,IF(ROUND(BE322*(1+'Calc base'!S323),2)-MAX('Calc base'!N$12,ROUND('Calc base'!N$13*BE322,2))&lt;1,ROUND(BE322*(1+'Calc base'!S323),2),MAX('Calc base'!N$12,ROUND('Calc base'!N$13*BE322,2))))</f>
        <v>0</v>
      </c>
      <c r="V323">
        <f>MAX(0,ROUND(AT322*(1+'Calc base'!H323),2)-J323-'Calc base'!T323)</f>
        <v>0</v>
      </c>
      <c r="W323">
        <f>MAX(0,ROUND(AU322*(1+'Calc base'!I323),2)-K323-'Calc base'!U323)</f>
        <v>0</v>
      </c>
      <c r="X323">
        <f>MAX(0,ROUND(AV322*(1+'Calc base'!J323),2)-L323-'Calc base'!V323)</f>
        <v>0</v>
      </c>
      <c r="Y323">
        <f>MAX(0,ROUND(AW322*(1+'Calc base'!K323),2)-M323-'Calc base'!W323)</f>
        <v>0</v>
      </c>
      <c r="Z323">
        <f>MAX(0,ROUND(AX322*(1+'Calc base'!L323),2)-N323-'Calc base'!X323)</f>
        <v>0</v>
      </c>
      <c r="AA323">
        <f>MAX(0,ROUND(AY322*(1+'Calc base'!M323),2)-O323-'Calc base'!Y323)</f>
        <v>0</v>
      </c>
      <c r="AB323">
        <f>MAX(0,ROUND(AZ322*(1+'Calc base'!N323),2)-P323-'Calc base'!Z323)</f>
        <v>0</v>
      </c>
      <c r="AC323">
        <f>MAX(0,ROUND(BA322*(1+'Calc base'!O323),2)-Q323-'Calc base'!AA323)</f>
        <v>0</v>
      </c>
      <c r="AD323">
        <f>MAX(0,ROUND(BB322*(1+'Calc base'!P323),2)-R323-'Calc base'!AB323)</f>
        <v>0</v>
      </c>
      <c r="AE323">
        <f>MAX(0,ROUND(BC322*(1+'Calc base'!Q323),2)-S323-'Calc base'!AC323)</f>
        <v>0</v>
      </c>
      <c r="AF323">
        <f>MAX(0,ROUND(BD322*(1+'Calc base'!R323),2)-T323-'Calc base'!AD323)</f>
        <v>0</v>
      </c>
      <c r="AG323">
        <f>MAX(0,ROUND(BE322*(1+'Calc base'!S323),2)-U323-'Calc base'!AE323)</f>
        <v>0</v>
      </c>
      <c r="AH323">
        <f>IF('Calc base'!C$14=0,0,MIN(V323,MAX(0,$E323-SUMIFS($V323:$AG323,'Calc base'!$C$19:$N$19,"&lt;"&amp;'Calc base'!C$19,'Calc base'!$C$14:$N$14,1))))</f>
        <v>0</v>
      </c>
      <c r="AI323">
        <f>IF('Calc base'!D$14=0,0,MIN(W323,MAX(0,$E323-SUMIFS($V323:$AG323,'Calc base'!$C$19:$N$19,"&lt;"&amp;'Calc base'!D$19,'Calc base'!$C$14:$N$14,1))))</f>
        <v>0</v>
      </c>
      <c r="AJ323">
        <f>IF('Calc base'!E$14=0,0,MIN(X323,MAX(0,$E323-SUMIFS($V323:$AG323,'Calc base'!$C$19:$N$19,"&lt;"&amp;'Calc base'!E$19,'Calc base'!$C$14:$N$14,1))))</f>
        <v>0</v>
      </c>
      <c r="AK323">
        <f>IF('Calc base'!F$14=0,0,MIN(Y323,MAX(0,$E323-SUMIFS($V323:$AG323,'Calc base'!$C$19:$N$19,"&lt;"&amp;'Calc base'!F$19,'Calc base'!$C$14:$N$14,1))))</f>
        <v>0</v>
      </c>
      <c r="AL323">
        <f>IF('Calc base'!G$14=0,0,MIN(Z323,MAX(0,$E323-SUMIFS($V323:$AG323,'Calc base'!$C$19:$N$19,"&lt;"&amp;'Calc base'!G$19,'Calc base'!$C$14:$N$14,1))))</f>
        <v>0</v>
      </c>
      <c r="AM323">
        <f>IF('Calc base'!H$14=0,0,MIN(AA323,MAX(0,$E323-SUMIFS($V323:$AG323,'Calc base'!$C$19:$N$19,"&lt;"&amp;'Calc base'!H$19,'Calc base'!$C$14:$N$14,1))))</f>
        <v>0</v>
      </c>
      <c r="AN323">
        <f>IF('Calc base'!I$14=0,0,MIN(AB323,MAX(0,$E323-SUMIFS($V323:$AG323,'Calc base'!$C$19:$N$19,"&lt;"&amp;'Calc base'!I$19,'Calc base'!$C$14:$N$14,1))))</f>
        <v>0</v>
      </c>
      <c r="AO323">
        <f>IF('Calc base'!J$14=0,0,MIN(AC323,MAX(0,$E323-SUMIFS($V323:$AG323,'Calc base'!$C$19:$N$19,"&lt;"&amp;'Calc base'!J$19,'Calc base'!$C$14:$N$14,1))))</f>
        <v>0</v>
      </c>
      <c r="AP323">
        <f>IF('Calc base'!K$14=0,0,MIN(AD323,MAX(0,$E323-SUMIFS($V323:$AG323,'Calc base'!$C$19:$N$19,"&lt;"&amp;'Calc base'!K$19,'Calc base'!$C$14:$N$14,1))))</f>
        <v>0</v>
      </c>
      <c r="AQ323">
        <f>IF('Calc base'!L$14=0,0,MIN(AE323,MAX(0,$E323-SUMIFS($V323:$AG323,'Calc base'!$C$19:$N$19,"&lt;"&amp;'Calc base'!L$19,'Calc base'!$C$14:$N$14,1))))</f>
        <v>0</v>
      </c>
      <c r="AR323">
        <f>IF('Calc base'!M$14=0,0,MIN(AF323,MAX(0,$E323-SUMIFS($V323:$AG323,'Calc base'!$C$19:$N$19,"&lt;"&amp;'Calc base'!M$19,'Calc base'!$C$14:$N$14,1))))</f>
        <v>0</v>
      </c>
      <c r="AS323">
        <f>IF('Calc base'!N$14=0,0,MIN(AG323,MAX(0,$E323-SUMIFS($V323:$AG323,'Calc base'!$C$19:$N$19,"&lt;"&amp;'Calc base'!N$19,'Calc base'!$C$14:$N$14,1))))</f>
        <v>0</v>
      </c>
      <c r="AT323">
        <f>V323-AH323</f>
        <v>0</v>
      </c>
      <c r="AU323">
        <f>W323-AI323</f>
        <v>0</v>
      </c>
      <c r="AV323">
        <f>X323-AJ323</f>
        <v>0</v>
      </c>
      <c r="AW323">
        <f>Y323-AK323</f>
        <v>0</v>
      </c>
      <c r="AX323">
        <f>Z323-AL323</f>
        <v>0</v>
      </c>
      <c r="AY323">
        <f>AA323-AM323</f>
        <v>0</v>
      </c>
      <c r="AZ323">
        <f>AB323-AN323</f>
        <v>0</v>
      </c>
      <c r="BA323">
        <f>AC323-AO323</f>
        <v>0</v>
      </c>
      <c r="BB323">
        <f>AD323-AP323</f>
        <v>0</v>
      </c>
      <c r="BC323">
        <f>AE323-AQ323</f>
        <v>0</v>
      </c>
      <c r="BD323">
        <f>AF323-AR323</f>
        <v>0</v>
      </c>
      <c r="BE323">
        <f>AG323-AS323</f>
        <v>0</v>
      </c>
    </row>
    <row r="324">
      <c r="A324" t="n">
        <v>294</v>
      </c>
      <c r="B324">
        <f>SUMPRODUCT(ROUND($AT323:$BE323*(1+'Calc base'!$H324:$S324),2))</f>
        <v>0</v>
      </c>
      <c r="C324">
        <f>SUM(J324:U324)</f>
        <v>0</v>
      </c>
      <c r="D324">
        <f>SUM(V324:AG324)</f>
        <v>0</v>
      </c>
      <c r="E324">
        <f>MAX(0,IF(Impostazioni!$B$7="No",'Calc base'!$C324-$C$31,'Calc base'!$C324-C324)+'Calc base'!$G324+'Calc base'!$F324-(B324-C324-D324))</f>
        <v>900</v>
      </c>
      <c r="F324">
        <f>SUM(AH324:AS324)</f>
        <v>0</v>
      </c>
      <c r="G324">
        <f>SUM(AT324:BE324)</f>
        <v>0</v>
      </c>
      <c r="H324">
        <f>B324-G323</f>
        <v>0</v>
      </c>
      <c r="I324">
        <f>B324-G324</f>
        <v>0</v>
      </c>
      <c r="J324">
        <f>IF(AT323&lt;=0,0,IF(ROUND(AT323*(1+'Calc base'!H324),2)-MAX('Calc base'!C$12,ROUND('Calc base'!C$13*AT323,2))&lt;1,ROUND(AT323*(1+'Calc base'!H324),2),MAX('Calc base'!C$12,ROUND('Calc base'!C$13*AT323,2))))</f>
        <v>0</v>
      </c>
      <c r="K324">
        <f>IF(AU323&lt;=0,0,IF(ROUND(AU323*(1+'Calc base'!I324),2)-MAX('Calc base'!D$12,ROUND('Calc base'!D$13*AU323,2))&lt;1,ROUND(AU323*(1+'Calc base'!I324),2),MAX('Calc base'!D$12,ROUND('Calc base'!D$13*AU323,2))))</f>
        <v>0</v>
      </c>
      <c r="L324">
        <f>IF(AV323&lt;=0,0,IF(ROUND(AV323*(1+'Calc base'!J324),2)-MAX('Calc base'!E$12,ROUND('Calc base'!E$13*AV323,2))&lt;1,ROUND(AV323*(1+'Calc base'!J324),2),MAX('Calc base'!E$12,ROUND('Calc base'!E$13*AV323,2))))</f>
        <v>0</v>
      </c>
      <c r="M324">
        <f>IF(AW323&lt;=0,0,IF(ROUND(AW323*(1+'Calc base'!K324),2)-MAX('Calc base'!F$12,ROUND('Calc base'!F$13*AW323,2))&lt;1,ROUND(AW323*(1+'Calc base'!K324),2),MAX('Calc base'!F$12,ROUND('Calc base'!F$13*AW323,2))))</f>
        <v>0</v>
      </c>
      <c r="N324">
        <f>IF(AX323&lt;=0,0,IF(ROUND(AX323*(1+'Calc base'!L324),2)-MAX('Calc base'!G$12,ROUND('Calc base'!G$13*AX323,2))&lt;1,ROUND(AX323*(1+'Calc base'!L324),2),MAX('Calc base'!G$12,ROUND('Calc base'!G$13*AX323,2))))</f>
        <v>0</v>
      </c>
      <c r="O324">
        <f>IF(AY323&lt;=0,0,IF(ROUND(AY323*(1+'Calc base'!M324),2)-MAX('Calc base'!H$12,ROUND('Calc base'!H$13*AY323,2))&lt;1,ROUND(AY323*(1+'Calc base'!M324),2),MAX('Calc base'!H$12,ROUND('Calc base'!H$13*AY323,2))))</f>
        <v>0</v>
      </c>
      <c r="P324">
        <f>IF(AZ323&lt;=0,0,IF(ROUND(AZ323*(1+'Calc base'!N324),2)-MAX('Calc base'!I$12,ROUND('Calc base'!I$13*AZ323,2))&lt;1,ROUND(AZ323*(1+'Calc base'!N324),2),MAX('Calc base'!I$12,ROUND('Calc base'!I$13*AZ323,2))))</f>
        <v>0</v>
      </c>
      <c r="Q324">
        <f>IF(BA323&lt;=0,0,IF(ROUND(BA323*(1+'Calc base'!O324),2)-MAX('Calc base'!J$12,ROUND('Calc base'!J$13*BA323,2))&lt;1,ROUND(BA323*(1+'Calc base'!O324),2),MAX('Calc base'!J$12,ROUND('Calc base'!J$13*BA323,2))))</f>
        <v>0</v>
      </c>
      <c r="R324">
        <f>IF(BB323&lt;=0,0,IF(ROUND(BB323*(1+'Calc base'!P324),2)-MAX('Calc base'!K$12,ROUND('Calc base'!K$13*BB323,2))&lt;1,ROUND(BB323*(1+'Calc base'!P324),2),MAX('Calc base'!K$12,ROUND('Calc base'!K$13*BB323,2))))</f>
        <v>0</v>
      </c>
      <c r="S324">
        <f>IF(BC323&lt;=0,0,IF(ROUND(BC323*(1+'Calc base'!Q324),2)-MAX('Calc base'!L$12,ROUND('Calc base'!L$13*BC323,2))&lt;1,ROUND(BC323*(1+'Calc base'!Q324),2),MAX('Calc base'!L$12,ROUND('Calc base'!L$13*BC323,2))))</f>
        <v>0</v>
      </c>
      <c r="T324">
        <f>IF(BD323&lt;=0,0,IF(ROUND(BD323*(1+'Calc base'!R324),2)-MAX('Calc base'!M$12,ROUND('Calc base'!M$13*BD323,2))&lt;1,ROUND(BD323*(1+'Calc base'!R324),2),MAX('Calc base'!M$12,ROUND('Calc base'!M$13*BD323,2))))</f>
        <v>0</v>
      </c>
      <c r="U324">
        <f>IF(BE323&lt;=0,0,IF(ROUND(BE323*(1+'Calc base'!S324),2)-MAX('Calc base'!N$12,ROUND('Calc base'!N$13*BE323,2))&lt;1,ROUND(BE323*(1+'Calc base'!S324),2),MAX('Calc base'!N$12,ROUND('Calc base'!N$13*BE323,2))))</f>
        <v>0</v>
      </c>
      <c r="V324">
        <f>MAX(0,ROUND(AT323*(1+'Calc base'!H324),2)-J324-'Calc base'!T324)</f>
        <v>0</v>
      </c>
      <c r="W324">
        <f>MAX(0,ROUND(AU323*(1+'Calc base'!I324),2)-K324-'Calc base'!U324)</f>
        <v>0</v>
      </c>
      <c r="X324">
        <f>MAX(0,ROUND(AV323*(1+'Calc base'!J324),2)-L324-'Calc base'!V324)</f>
        <v>0</v>
      </c>
      <c r="Y324">
        <f>MAX(0,ROUND(AW323*(1+'Calc base'!K324),2)-M324-'Calc base'!W324)</f>
        <v>0</v>
      </c>
      <c r="Z324">
        <f>MAX(0,ROUND(AX323*(1+'Calc base'!L324),2)-N324-'Calc base'!X324)</f>
        <v>0</v>
      </c>
      <c r="AA324">
        <f>MAX(0,ROUND(AY323*(1+'Calc base'!M324),2)-O324-'Calc base'!Y324)</f>
        <v>0</v>
      </c>
      <c r="AB324">
        <f>MAX(0,ROUND(AZ323*(1+'Calc base'!N324),2)-P324-'Calc base'!Z324)</f>
        <v>0</v>
      </c>
      <c r="AC324">
        <f>MAX(0,ROUND(BA323*(1+'Calc base'!O324),2)-Q324-'Calc base'!AA324)</f>
        <v>0</v>
      </c>
      <c r="AD324">
        <f>MAX(0,ROUND(BB323*(1+'Calc base'!P324),2)-R324-'Calc base'!AB324)</f>
        <v>0</v>
      </c>
      <c r="AE324">
        <f>MAX(0,ROUND(BC323*(1+'Calc base'!Q324),2)-S324-'Calc base'!AC324)</f>
        <v>0</v>
      </c>
      <c r="AF324">
        <f>MAX(0,ROUND(BD323*(1+'Calc base'!R324),2)-T324-'Calc base'!AD324)</f>
        <v>0</v>
      </c>
      <c r="AG324">
        <f>MAX(0,ROUND(BE323*(1+'Calc base'!S324),2)-U324-'Calc base'!AE324)</f>
        <v>0</v>
      </c>
      <c r="AH324">
        <f>IF('Calc base'!C$14=0,0,MIN(V324,MAX(0,$E324-SUMIFS($V324:$AG324,'Calc base'!$C$19:$N$19,"&lt;"&amp;'Calc base'!C$19,'Calc base'!$C$14:$N$14,1))))</f>
        <v>0</v>
      </c>
      <c r="AI324">
        <f>IF('Calc base'!D$14=0,0,MIN(W324,MAX(0,$E324-SUMIFS($V324:$AG324,'Calc base'!$C$19:$N$19,"&lt;"&amp;'Calc base'!D$19,'Calc base'!$C$14:$N$14,1))))</f>
        <v>0</v>
      </c>
      <c r="AJ324">
        <f>IF('Calc base'!E$14=0,0,MIN(X324,MAX(0,$E324-SUMIFS($V324:$AG324,'Calc base'!$C$19:$N$19,"&lt;"&amp;'Calc base'!E$19,'Calc base'!$C$14:$N$14,1))))</f>
        <v>0</v>
      </c>
      <c r="AK324">
        <f>IF('Calc base'!F$14=0,0,MIN(Y324,MAX(0,$E324-SUMIFS($V324:$AG324,'Calc base'!$C$19:$N$19,"&lt;"&amp;'Calc base'!F$19,'Calc base'!$C$14:$N$14,1))))</f>
        <v>0</v>
      </c>
      <c r="AL324">
        <f>IF('Calc base'!G$14=0,0,MIN(Z324,MAX(0,$E324-SUMIFS($V324:$AG324,'Calc base'!$C$19:$N$19,"&lt;"&amp;'Calc base'!G$19,'Calc base'!$C$14:$N$14,1))))</f>
        <v>0</v>
      </c>
      <c r="AM324">
        <f>IF('Calc base'!H$14=0,0,MIN(AA324,MAX(0,$E324-SUMIFS($V324:$AG324,'Calc base'!$C$19:$N$19,"&lt;"&amp;'Calc base'!H$19,'Calc base'!$C$14:$N$14,1))))</f>
        <v>0</v>
      </c>
      <c r="AN324">
        <f>IF('Calc base'!I$14=0,0,MIN(AB324,MAX(0,$E324-SUMIFS($V324:$AG324,'Calc base'!$C$19:$N$19,"&lt;"&amp;'Calc base'!I$19,'Calc base'!$C$14:$N$14,1))))</f>
        <v>0</v>
      </c>
      <c r="AO324">
        <f>IF('Calc base'!J$14=0,0,MIN(AC324,MAX(0,$E324-SUMIFS($V324:$AG324,'Calc base'!$C$19:$N$19,"&lt;"&amp;'Calc base'!J$19,'Calc base'!$C$14:$N$14,1))))</f>
        <v>0</v>
      </c>
      <c r="AP324">
        <f>IF('Calc base'!K$14=0,0,MIN(AD324,MAX(0,$E324-SUMIFS($V324:$AG324,'Calc base'!$C$19:$N$19,"&lt;"&amp;'Calc base'!K$19,'Calc base'!$C$14:$N$14,1))))</f>
        <v>0</v>
      </c>
      <c r="AQ324">
        <f>IF('Calc base'!L$14=0,0,MIN(AE324,MAX(0,$E324-SUMIFS($V324:$AG324,'Calc base'!$C$19:$N$19,"&lt;"&amp;'Calc base'!L$19,'Calc base'!$C$14:$N$14,1))))</f>
        <v>0</v>
      </c>
      <c r="AR324">
        <f>IF('Calc base'!M$14=0,0,MIN(AF324,MAX(0,$E324-SUMIFS($V324:$AG324,'Calc base'!$C$19:$N$19,"&lt;"&amp;'Calc base'!M$19,'Calc base'!$C$14:$N$14,1))))</f>
        <v>0</v>
      </c>
      <c r="AS324">
        <f>IF('Calc base'!N$14=0,0,MIN(AG324,MAX(0,$E324-SUMIFS($V324:$AG324,'Calc base'!$C$19:$N$19,"&lt;"&amp;'Calc base'!N$19,'Calc base'!$C$14:$N$14,1))))</f>
        <v>0</v>
      </c>
      <c r="AT324">
        <f>V324-AH324</f>
        <v>0</v>
      </c>
      <c r="AU324">
        <f>W324-AI324</f>
        <v>0</v>
      </c>
      <c r="AV324">
        <f>X324-AJ324</f>
        <v>0</v>
      </c>
      <c r="AW324">
        <f>Y324-AK324</f>
        <v>0</v>
      </c>
      <c r="AX324">
        <f>Z324-AL324</f>
        <v>0</v>
      </c>
      <c r="AY324">
        <f>AA324-AM324</f>
        <v>0</v>
      </c>
      <c r="AZ324">
        <f>AB324-AN324</f>
        <v>0</v>
      </c>
      <c r="BA324">
        <f>AC324-AO324</f>
        <v>0</v>
      </c>
      <c r="BB324">
        <f>AD324-AP324</f>
        <v>0</v>
      </c>
      <c r="BC324">
        <f>AE324-AQ324</f>
        <v>0</v>
      </c>
      <c r="BD324">
        <f>AF324-AR324</f>
        <v>0</v>
      </c>
      <c r="BE324">
        <f>AG324-AS324</f>
        <v>0</v>
      </c>
    </row>
    <row r="325">
      <c r="A325" t="n">
        <v>295</v>
      </c>
      <c r="B325">
        <f>SUMPRODUCT(ROUND($AT324:$BE324*(1+'Calc base'!$H325:$S325),2))</f>
        <v>0</v>
      </c>
      <c r="C325">
        <f>SUM(J325:U325)</f>
        <v>0</v>
      </c>
      <c r="D325">
        <f>SUM(V325:AG325)</f>
        <v>0</v>
      </c>
      <c r="E325">
        <f>MAX(0,IF(Impostazioni!$B$7="No",'Calc base'!$C325-$C$31,'Calc base'!$C325-C325)+'Calc base'!$G325+'Calc base'!$F325-(B325-C325-D325))</f>
        <v>900</v>
      </c>
      <c r="F325">
        <f>SUM(AH325:AS325)</f>
        <v>0</v>
      </c>
      <c r="G325">
        <f>SUM(AT325:BE325)</f>
        <v>0</v>
      </c>
      <c r="H325">
        <f>B325-G324</f>
        <v>0</v>
      </c>
      <c r="I325">
        <f>B325-G325</f>
        <v>0</v>
      </c>
      <c r="J325">
        <f>IF(AT324&lt;=0,0,IF(ROUND(AT324*(1+'Calc base'!H325),2)-MAX('Calc base'!C$12,ROUND('Calc base'!C$13*AT324,2))&lt;1,ROUND(AT324*(1+'Calc base'!H325),2),MAX('Calc base'!C$12,ROUND('Calc base'!C$13*AT324,2))))</f>
        <v>0</v>
      </c>
      <c r="K325">
        <f>IF(AU324&lt;=0,0,IF(ROUND(AU324*(1+'Calc base'!I325),2)-MAX('Calc base'!D$12,ROUND('Calc base'!D$13*AU324,2))&lt;1,ROUND(AU324*(1+'Calc base'!I325),2),MAX('Calc base'!D$12,ROUND('Calc base'!D$13*AU324,2))))</f>
        <v>0</v>
      </c>
      <c r="L325">
        <f>IF(AV324&lt;=0,0,IF(ROUND(AV324*(1+'Calc base'!J325),2)-MAX('Calc base'!E$12,ROUND('Calc base'!E$13*AV324,2))&lt;1,ROUND(AV324*(1+'Calc base'!J325),2),MAX('Calc base'!E$12,ROUND('Calc base'!E$13*AV324,2))))</f>
        <v>0</v>
      </c>
      <c r="M325">
        <f>IF(AW324&lt;=0,0,IF(ROUND(AW324*(1+'Calc base'!K325),2)-MAX('Calc base'!F$12,ROUND('Calc base'!F$13*AW324,2))&lt;1,ROUND(AW324*(1+'Calc base'!K325),2),MAX('Calc base'!F$12,ROUND('Calc base'!F$13*AW324,2))))</f>
        <v>0</v>
      </c>
      <c r="N325">
        <f>IF(AX324&lt;=0,0,IF(ROUND(AX324*(1+'Calc base'!L325),2)-MAX('Calc base'!G$12,ROUND('Calc base'!G$13*AX324,2))&lt;1,ROUND(AX324*(1+'Calc base'!L325),2),MAX('Calc base'!G$12,ROUND('Calc base'!G$13*AX324,2))))</f>
        <v>0</v>
      </c>
      <c r="O325">
        <f>IF(AY324&lt;=0,0,IF(ROUND(AY324*(1+'Calc base'!M325),2)-MAX('Calc base'!H$12,ROUND('Calc base'!H$13*AY324,2))&lt;1,ROUND(AY324*(1+'Calc base'!M325),2),MAX('Calc base'!H$12,ROUND('Calc base'!H$13*AY324,2))))</f>
        <v>0</v>
      </c>
      <c r="P325">
        <f>IF(AZ324&lt;=0,0,IF(ROUND(AZ324*(1+'Calc base'!N325),2)-MAX('Calc base'!I$12,ROUND('Calc base'!I$13*AZ324,2))&lt;1,ROUND(AZ324*(1+'Calc base'!N325),2),MAX('Calc base'!I$12,ROUND('Calc base'!I$13*AZ324,2))))</f>
        <v>0</v>
      </c>
      <c r="Q325">
        <f>IF(BA324&lt;=0,0,IF(ROUND(BA324*(1+'Calc base'!O325),2)-MAX('Calc base'!J$12,ROUND('Calc base'!J$13*BA324,2))&lt;1,ROUND(BA324*(1+'Calc base'!O325),2),MAX('Calc base'!J$12,ROUND('Calc base'!J$13*BA324,2))))</f>
        <v>0</v>
      </c>
      <c r="R325">
        <f>IF(BB324&lt;=0,0,IF(ROUND(BB324*(1+'Calc base'!P325),2)-MAX('Calc base'!K$12,ROUND('Calc base'!K$13*BB324,2))&lt;1,ROUND(BB324*(1+'Calc base'!P325),2),MAX('Calc base'!K$12,ROUND('Calc base'!K$13*BB324,2))))</f>
        <v>0</v>
      </c>
      <c r="S325">
        <f>IF(BC324&lt;=0,0,IF(ROUND(BC324*(1+'Calc base'!Q325),2)-MAX('Calc base'!L$12,ROUND('Calc base'!L$13*BC324,2))&lt;1,ROUND(BC324*(1+'Calc base'!Q325),2),MAX('Calc base'!L$12,ROUND('Calc base'!L$13*BC324,2))))</f>
        <v>0</v>
      </c>
      <c r="T325">
        <f>IF(BD324&lt;=0,0,IF(ROUND(BD324*(1+'Calc base'!R325),2)-MAX('Calc base'!M$12,ROUND('Calc base'!M$13*BD324,2))&lt;1,ROUND(BD324*(1+'Calc base'!R325),2),MAX('Calc base'!M$12,ROUND('Calc base'!M$13*BD324,2))))</f>
        <v>0</v>
      </c>
      <c r="U325">
        <f>IF(BE324&lt;=0,0,IF(ROUND(BE324*(1+'Calc base'!S325),2)-MAX('Calc base'!N$12,ROUND('Calc base'!N$13*BE324,2))&lt;1,ROUND(BE324*(1+'Calc base'!S325),2),MAX('Calc base'!N$12,ROUND('Calc base'!N$13*BE324,2))))</f>
        <v>0</v>
      </c>
      <c r="V325">
        <f>MAX(0,ROUND(AT324*(1+'Calc base'!H325),2)-J325-'Calc base'!T325)</f>
        <v>0</v>
      </c>
      <c r="W325">
        <f>MAX(0,ROUND(AU324*(1+'Calc base'!I325),2)-K325-'Calc base'!U325)</f>
        <v>0</v>
      </c>
      <c r="X325">
        <f>MAX(0,ROUND(AV324*(1+'Calc base'!J325),2)-L325-'Calc base'!V325)</f>
        <v>0</v>
      </c>
      <c r="Y325">
        <f>MAX(0,ROUND(AW324*(1+'Calc base'!K325),2)-M325-'Calc base'!W325)</f>
        <v>0</v>
      </c>
      <c r="Z325">
        <f>MAX(0,ROUND(AX324*(1+'Calc base'!L325),2)-N325-'Calc base'!X325)</f>
        <v>0</v>
      </c>
      <c r="AA325">
        <f>MAX(0,ROUND(AY324*(1+'Calc base'!M325),2)-O325-'Calc base'!Y325)</f>
        <v>0</v>
      </c>
      <c r="AB325">
        <f>MAX(0,ROUND(AZ324*(1+'Calc base'!N325),2)-P325-'Calc base'!Z325)</f>
        <v>0</v>
      </c>
      <c r="AC325">
        <f>MAX(0,ROUND(BA324*(1+'Calc base'!O325),2)-Q325-'Calc base'!AA325)</f>
        <v>0</v>
      </c>
      <c r="AD325">
        <f>MAX(0,ROUND(BB324*(1+'Calc base'!P325),2)-R325-'Calc base'!AB325)</f>
        <v>0</v>
      </c>
      <c r="AE325">
        <f>MAX(0,ROUND(BC324*(1+'Calc base'!Q325),2)-S325-'Calc base'!AC325)</f>
        <v>0</v>
      </c>
      <c r="AF325">
        <f>MAX(0,ROUND(BD324*(1+'Calc base'!R325),2)-T325-'Calc base'!AD325)</f>
        <v>0</v>
      </c>
      <c r="AG325">
        <f>MAX(0,ROUND(BE324*(1+'Calc base'!S325),2)-U325-'Calc base'!AE325)</f>
        <v>0</v>
      </c>
      <c r="AH325">
        <f>IF('Calc base'!C$14=0,0,MIN(V325,MAX(0,$E325-SUMIFS($V325:$AG325,'Calc base'!$C$19:$N$19,"&lt;"&amp;'Calc base'!C$19,'Calc base'!$C$14:$N$14,1))))</f>
        <v>0</v>
      </c>
      <c r="AI325">
        <f>IF('Calc base'!D$14=0,0,MIN(W325,MAX(0,$E325-SUMIFS($V325:$AG325,'Calc base'!$C$19:$N$19,"&lt;"&amp;'Calc base'!D$19,'Calc base'!$C$14:$N$14,1))))</f>
        <v>0</v>
      </c>
      <c r="AJ325">
        <f>IF('Calc base'!E$14=0,0,MIN(X325,MAX(0,$E325-SUMIFS($V325:$AG325,'Calc base'!$C$19:$N$19,"&lt;"&amp;'Calc base'!E$19,'Calc base'!$C$14:$N$14,1))))</f>
        <v>0</v>
      </c>
      <c r="AK325">
        <f>IF('Calc base'!F$14=0,0,MIN(Y325,MAX(0,$E325-SUMIFS($V325:$AG325,'Calc base'!$C$19:$N$19,"&lt;"&amp;'Calc base'!F$19,'Calc base'!$C$14:$N$14,1))))</f>
        <v>0</v>
      </c>
      <c r="AL325">
        <f>IF('Calc base'!G$14=0,0,MIN(Z325,MAX(0,$E325-SUMIFS($V325:$AG325,'Calc base'!$C$19:$N$19,"&lt;"&amp;'Calc base'!G$19,'Calc base'!$C$14:$N$14,1))))</f>
        <v>0</v>
      </c>
      <c r="AM325">
        <f>IF('Calc base'!H$14=0,0,MIN(AA325,MAX(0,$E325-SUMIFS($V325:$AG325,'Calc base'!$C$19:$N$19,"&lt;"&amp;'Calc base'!H$19,'Calc base'!$C$14:$N$14,1))))</f>
        <v>0</v>
      </c>
      <c r="AN325">
        <f>IF('Calc base'!I$14=0,0,MIN(AB325,MAX(0,$E325-SUMIFS($V325:$AG325,'Calc base'!$C$19:$N$19,"&lt;"&amp;'Calc base'!I$19,'Calc base'!$C$14:$N$14,1))))</f>
        <v>0</v>
      </c>
      <c r="AO325">
        <f>IF('Calc base'!J$14=0,0,MIN(AC325,MAX(0,$E325-SUMIFS($V325:$AG325,'Calc base'!$C$19:$N$19,"&lt;"&amp;'Calc base'!J$19,'Calc base'!$C$14:$N$14,1))))</f>
        <v>0</v>
      </c>
      <c r="AP325">
        <f>IF('Calc base'!K$14=0,0,MIN(AD325,MAX(0,$E325-SUMIFS($V325:$AG325,'Calc base'!$C$19:$N$19,"&lt;"&amp;'Calc base'!K$19,'Calc base'!$C$14:$N$14,1))))</f>
        <v>0</v>
      </c>
      <c r="AQ325">
        <f>IF('Calc base'!L$14=0,0,MIN(AE325,MAX(0,$E325-SUMIFS($V325:$AG325,'Calc base'!$C$19:$N$19,"&lt;"&amp;'Calc base'!L$19,'Calc base'!$C$14:$N$14,1))))</f>
        <v>0</v>
      </c>
      <c r="AR325">
        <f>IF('Calc base'!M$14=0,0,MIN(AF325,MAX(0,$E325-SUMIFS($V325:$AG325,'Calc base'!$C$19:$N$19,"&lt;"&amp;'Calc base'!M$19,'Calc base'!$C$14:$N$14,1))))</f>
        <v>0</v>
      </c>
      <c r="AS325">
        <f>IF('Calc base'!N$14=0,0,MIN(AG325,MAX(0,$E325-SUMIFS($V325:$AG325,'Calc base'!$C$19:$N$19,"&lt;"&amp;'Calc base'!N$19,'Calc base'!$C$14:$N$14,1))))</f>
        <v>0</v>
      </c>
      <c r="AT325">
        <f>V325-AH325</f>
        <v>0</v>
      </c>
      <c r="AU325">
        <f>W325-AI325</f>
        <v>0</v>
      </c>
      <c r="AV325">
        <f>X325-AJ325</f>
        <v>0</v>
      </c>
      <c r="AW325">
        <f>Y325-AK325</f>
        <v>0</v>
      </c>
      <c r="AX325">
        <f>Z325-AL325</f>
        <v>0</v>
      </c>
      <c r="AY325">
        <f>AA325-AM325</f>
        <v>0</v>
      </c>
      <c r="AZ325">
        <f>AB325-AN325</f>
        <v>0</v>
      </c>
      <c r="BA325">
        <f>AC325-AO325</f>
        <v>0</v>
      </c>
      <c r="BB325">
        <f>AD325-AP325</f>
        <v>0</v>
      </c>
      <c r="BC325">
        <f>AE325-AQ325</f>
        <v>0</v>
      </c>
      <c r="BD325">
        <f>AF325-AR325</f>
        <v>0</v>
      </c>
      <c r="BE325">
        <f>AG325-AS325</f>
        <v>0</v>
      </c>
    </row>
    <row r="326">
      <c r="A326" t="n">
        <v>296</v>
      </c>
      <c r="B326">
        <f>SUMPRODUCT(ROUND($AT325:$BE325*(1+'Calc base'!$H326:$S326),2))</f>
        <v>0</v>
      </c>
      <c r="C326">
        <f>SUM(J326:U326)</f>
        <v>0</v>
      </c>
      <c r="D326">
        <f>SUM(V326:AG326)</f>
        <v>0</v>
      </c>
      <c r="E326">
        <f>MAX(0,IF(Impostazioni!$B$7="No",'Calc base'!$C326-$C$31,'Calc base'!$C326-C326)+'Calc base'!$G326+'Calc base'!$F326-(B326-C326-D326))</f>
        <v>900</v>
      </c>
      <c r="F326">
        <f>SUM(AH326:AS326)</f>
        <v>0</v>
      </c>
      <c r="G326">
        <f>SUM(AT326:BE326)</f>
        <v>0</v>
      </c>
      <c r="H326">
        <f>B326-G325</f>
        <v>0</v>
      </c>
      <c r="I326">
        <f>B326-G326</f>
        <v>0</v>
      </c>
      <c r="J326">
        <f>IF(AT325&lt;=0,0,IF(ROUND(AT325*(1+'Calc base'!H326),2)-MAX('Calc base'!C$12,ROUND('Calc base'!C$13*AT325,2))&lt;1,ROUND(AT325*(1+'Calc base'!H326),2),MAX('Calc base'!C$12,ROUND('Calc base'!C$13*AT325,2))))</f>
        <v>0</v>
      </c>
      <c r="K326">
        <f>IF(AU325&lt;=0,0,IF(ROUND(AU325*(1+'Calc base'!I326),2)-MAX('Calc base'!D$12,ROUND('Calc base'!D$13*AU325,2))&lt;1,ROUND(AU325*(1+'Calc base'!I326),2),MAX('Calc base'!D$12,ROUND('Calc base'!D$13*AU325,2))))</f>
        <v>0</v>
      </c>
      <c r="L326">
        <f>IF(AV325&lt;=0,0,IF(ROUND(AV325*(1+'Calc base'!J326),2)-MAX('Calc base'!E$12,ROUND('Calc base'!E$13*AV325,2))&lt;1,ROUND(AV325*(1+'Calc base'!J326),2),MAX('Calc base'!E$12,ROUND('Calc base'!E$13*AV325,2))))</f>
        <v>0</v>
      </c>
      <c r="M326">
        <f>IF(AW325&lt;=0,0,IF(ROUND(AW325*(1+'Calc base'!K326),2)-MAX('Calc base'!F$12,ROUND('Calc base'!F$13*AW325,2))&lt;1,ROUND(AW325*(1+'Calc base'!K326),2),MAX('Calc base'!F$12,ROUND('Calc base'!F$13*AW325,2))))</f>
        <v>0</v>
      </c>
      <c r="N326">
        <f>IF(AX325&lt;=0,0,IF(ROUND(AX325*(1+'Calc base'!L326),2)-MAX('Calc base'!G$12,ROUND('Calc base'!G$13*AX325,2))&lt;1,ROUND(AX325*(1+'Calc base'!L326),2),MAX('Calc base'!G$12,ROUND('Calc base'!G$13*AX325,2))))</f>
        <v>0</v>
      </c>
      <c r="O326">
        <f>IF(AY325&lt;=0,0,IF(ROUND(AY325*(1+'Calc base'!M326),2)-MAX('Calc base'!H$12,ROUND('Calc base'!H$13*AY325,2))&lt;1,ROUND(AY325*(1+'Calc base'!M326),2),MAX('Calc base'!H$12,ROUND('Calc base'!H$13*AY325,2))))</f>
        <v>0</v>
      </c>
      <c r="P326">
        <f>IF(AZ325&lt;=0,0,IF(ROUND(AZ325*(1+'Calc base'!N326),2)-MAX('Calc base'!I$12,ROUND('Calc base'!I$13*AZ325,2))&lt;1,ROUND(AZ325*(1+'Calc base'!N326),2),MAX('Calc base'!I$12,ROUND('Calc base'!I$13*AZ325,2))))</f>
        <v>0</v>
      </c>
      <c r="Q326">
        <f>IF(BA325&lt;=0,0,IF(ROUND(BA325*(1+'Calc base'!O326),2)-MAX('Calc base'!J$12,ROUND('Calc base'!J$13*BA325,2))&lt;1,ROUND(BA325*(1+'Calc base'!O326),2),MAX('Calc base'!J$12,ROUND('Calc base'!J$13*BA325,2))))</f>
        <v>0</v>
      </c>
      <c r="R326">
        <f>IF(BB325&lt;=0,0,IF(ROUND(BB325*(1+'Calc base'!P326),2)-MAX('Calc base'!K$12,ROUND('Calc base'!K$13*BB325,2))&lt;1,ROUND(BB325*(1+'Calc base'!P326),2),MAX('Calc base'!K$12,ROUND('Calc base'!K$13*BB325,2))))</f>
        <v>0</v>
      </c>
      <c r="S326">
        <f>IF(BC325&lt;=0,0,IF(ROUND(BC325*(1+'Calc base'!Q326),2)-MAX('Calc base'!L$12,ROUND('Calc base'!L$13*BC325,2))&lt;1,ROUND(BC325*(1+'Calc base'!Q326),2),MAX('Calc base'!L$12,ROUND('Calc base'!L$13*BC325,2))))</f>
        <v>0</v>
      </c>
      <c r="T326">
        <f>IF(BD325&lt;=0,0,IF(ROUND(BD325*(1+'Calc base'!R326),2)-MAX('Calc base'!M$12,ROUND('Calc base'!M$13*BD325,2))&lt;1,ROUND(BD325*(1+'Calc base'!R326),2),MAX('Calc base'!M$12,ROUND('Calc base'!M$13*BD325,2))))</f>
        <v>0</v>
      </c>
      <c r="U326">
        <f>IF(BE325&lt;=0,0,IF(ROUND(BE325*(1+'Calc base'!S326),2)-MAX('Calc base'!N$12,ROUND('Calc base'!N$13*BE325,2))&lt;1,ROUND(BE325*(1+'Calc base'!S326),2),MAX('Calc base'!N$12,ROUND('Calc base'!N$13*BE325,2))))</f>
        <v>0</v>
      </c>
      <c r="V326">
        <f>MAX(0,ROUND(AT325*(1+'Calc base'!H326),2)-J326-'Calc base'!T326)</f>
        <v>0</v>
      </c>
      <c r="W326">
        <f>MAX(0,ROUND(AU325*(1+'Calc base'!I326),2)-K326-'Calc base'!U326)</f>
        <v>0</v>
      </c>
      <c r="X326">
        <f>MAX(0,ROUND(AV325*(1+'Calc base'!J326),2)-L326-'Calc base'!V326)</f>
        <v>0</v>
      </c>
      <c r="Y326">
        <f>MAX(0,ROUND(AW325*(1+'Calc base'!K326),2)-M326-'Calc base'!W326)</f>
        <v>0</v>
      </c>
      <c r="Z326">
        <f>MAX(0,ROUND(AX325*(1+'Calc base'!L326),2)-N326-'Calc base'!X326)</f>
        <v>0</v>
      </c>
      <c r="AA326">
        <f>MAX(0,ROUND(AY325*(1+'Calc base'!M326),2)-O326-'Calc base'!Y326)</f>
        <v>0</v>
      </c>
      <c r="AB326">
        <f>MAX(0,ROUND(AZ325*(1+'Calc base'!N326),2)-P326-'Calc base'!Z326)</f>
        <v>0</v>
      </c>
      <c r="AC326">
        <f>MAX(0,ROUND(BA325*(1+'Calc base'!O326),2)-Q326-'Calc base'!AA326)</f>
        <v>0</v>
      </c>
      <c r="AD326">
        <f>MAX(0,ROUND(BB325*(1+'Calc base'!P326),2)-R326-'Calc base'!AB326)</f>
        <v>0</v>
      </c>
      <c r="AE326">
        <f>MAX(0,ROUND(BC325*(1+'Calc base'!Q326),2)-S326-'Calc base'!AC326)</f>
        <v>0</v>
      </c>
      <c r="AF326">
        <f>MAX(0,ROUND(BD325*(1+'Calc base'!R326),2)-T326-'Calc base'!AD326)</f>
        <v>0</v>
      </c>
      <c r="AG326">
        <f>MAX(0,ROUND(BE325*(1+'Calc base'!S326),2)-U326-'Calc base'!AE326)</f>
        <v>0</v>
      </c>
      <c r="AH326">
        <f>IF('Calc base'!C$14=0,0,MIN(V326,MAX(0,$E326-SUMIFS($V326:$AG326,'Calc base'!$C$19:$N$19,"&lt;"&amp;'Calc base'!C$19,'Calc base'!$C$14:$N$14,1))))</f>
        <v>0</v>
      </c>
      <c r="AI326">
        <f>IF('Calc base'!D$14=0,0,MIN(W326,MAX(0,$E326-SUMIFS($V326:$AG326,'Calc base'!$C$19:$N$19,"&lt;"&amp;'Calc base'!D$19,'Calc base'!$C$14:$N$14,1))))</f>
        <v>0</v>
      </c>
      <c r="AJ326">
        <f>IF('Calc base'!E$14=0,0,MIN(X326,MAX(0,$E326-SUMIFS($V326:$AG326,'Calc base'!$C$19:$N$19,"&lt;"&amp;'Calc base'!E$19,'Calc base'!$C$14:$N$14,1))))</f>
        <v>0</v>
      </c>
      <c r="AK326">
        <f>IF('Calc base'!F$14=0,0,MIN(Y326,MAX(0,$E326-SUMIFS($V326:$AG326,'Calc base'!$C$19:$N$19,"&lt;"&amp;'Calc base'!F$19,'Calc base'!$C$14:$N$14,1))))</f>
        <v>0</v>
      </c>
      <c r="AL326">
        <f>IF('Calc base'!G$14=0,0,MIN(Z326,MAX(0,$E326-SUMIFS($V326:$AG326,'Calc base'!$C$19:$N$19,"&lt;"&amp;'Calc base'!G$19,'Calc base'!$C$14:$N$14,1))))</f>
        <v>0</v>
      </c>
      <c r="AM326">
        <f>IF('Calc base'!H$14=0,0,MIN(AA326,MAX(0,$E326-SUMIFS($V326:$AG326,'Calc base'!$C$19:$N$19,"&lt;"&amp;'Calc base'!H$19,'Calc base'!$C$14:$N$14,1))))</f>
        <v>0</v>
      </c>
      <c r="AN326">
        <f>IF('Calc base'!I$14=0,0,MIN(AB326,MAX(0,$E326-SUMIFS($V326:$AG326,'Calc base'!$C$19:$N$19,"&lt;"&amp;'Calc base'!I$19,'Calc base'!$C$14:$N$14,1))))</f>
        <v>0</v>
      </c>
      <c r="AO326">
        <f>IF('Calc base'!J$14=0,0,MIN(AC326,MAX(0,$E326-SUMIFS($V326:$AG326,'Calc base'!$C$19:$N$19,"&lt;"&amp;'Calc base'!J$19,'Calc base'!$C$14:$N$14,1))))</f>
        <v>0</v>
      </c>
      <c r="AP326">
        <f>IF('Calc base'!K$14=0,0,MIN(AD326,MAX(0,$E326-SUMIFS($V326:$AG326,'Calc base'!$C$19:$N$19,"&lt;"&amp;'Calc base'!K$19,'Calc base'!$C$14:$N$14,1))))</f>
        <v>0</v>
      </c>
      <c r="AQ326">
        <f>IF('Calc base'!L$14=0,0,MIN(AE326,MAX(0,$E326-SUMIFS($V326:$AG326,'Calc base'!$C$19:$N$19,"&lt;"&amp;'Calc base'!L$19,'Calc base'!$C$14:$N$14,1))))</f>
        <v>0</v>
      </c>
      <c r="AR326">
        <f>IF('Calc base'!M$14=0,0,MIN(AF326,MAX(0,$E326-SUMIFS($V326:$AG326,'Calc base'!$C$19:$N$19,"&lt;"&amp;'Calc base'!M$19,'Calc base'!$C$14:$N$14,1))))</f>
        <v>0</v>
      </c>
      <c r="AS326">
        <f>IF('Calc base'!N$14=0,0,MIN(AG326,MAX(0,$E326-SUMIFS($V326:$AG326,'Calc base'!$C$19:$N$19,"&lt;"&amp;'Calc base'!N$19,'Calc base'!$C$14:$N$14,1))))</f>
        <v>0</v>
      </c>
      <c r="AT326">
        <f>V326-AH326</f>
        <v>0</v>
      </c>
      <c r="AU326">
        <f>W326-AI326</f>
        <v>0</v>
      </c>
      <c r="AV326">
        <f>X326-AJ326</f>
        <v>0</v>
      </c>
      <c r="AW326">
        <f>Y326-AK326</f>
        <v>0</v>
      </c>
      <c r="AX326">
        <f>Z326-AL326</f>
        <v>0</v>
      </c>
      <c r="AY326">
        <f>AA326-AM326</f>
        <v>0</v>
      </c>
      <c r="AZ326">
        <f>AB326-AN326</f>
        <v>0</v>
      </c>
      <c r="BA326">
        <f>AC326-AO326</f>
        <v>0</v>
      </c>
      <c r="BB326">
        <f>AD326-AP326</f>
        <v>0</v>
      </c>
      <c r="BC326">
        <f>AE326-AQ326</f>
        <v>0</v>
      </c>
      <c r="BD326">
        <f>AF326-AR326</f>
        <v>0</v>
      </c>
      <c r="BE326">
        <f>AG326-AS326</f>
        <v>0</v>
      </c>
    </row>
    <row r="327">
      <c r="A327" t="n">
        <v>297</v>
      </c>
      <c r="B327">
        <f>SUMPRODUCT(ROUND($AT326:$BE326*(1+'Calc base'!$H327:$S327),2))</f>
        <v>0</v>
      </c>
      <c r="C327">
        <f>SUM(J327:U327)</f>
        <v>0</v>
      </c>
      <c r="D327">
        <f>SUM(V327:AG327)</f>
        <v>0</v>
      </c>
      <c r="E327">
        <f>MAX(0,IF(Impostazioni!$B$7="No",'Calc base'!$C327-$C$31,'Calc base'!$C327-C327)+'Calc base'!$G327+'Calc base'!$F327-(B327-C327-D327))</f>
        <v>900</v>
      </c>
      <c r="F327">
        <f>SUM(AH327:AS327)</f>
        <v>0</v>
      </c>
      <c r="G327">
        <f>SUM(AT327:BE327)</f>
        <v>0</v>
      </c>
      <c r="H327">
        <f>B327-G326</f>
        <v>0</v>
      </c>
      <c r="I327">
        <f>B327-G327</f>
        <v>0</v>
      </c>
      <c r="J327">
        <f>IF(AT326&lt;=0,0,IF(ROUND(AT326*(1+'Calc base'!H327),2)-MAX('Calc base'!C$12,ROUND('Calc base'!C$13*AT326,2))&lt;1,ROUND(AT326*(1+'Calc base'!H327),2),MAX('Calc base'!C$12,ROUND('Calc base'!C$13*AT326,2))))</f>
        <v>0</v>
      </c>
      <c r="K327">
        <f>IF(AU326&lt;=0,0,IF(ROUND(AU326*(1+'Calc base'!I327),2)-MAX('Calc base'!D$12,ROUND('Calc base'!D$13*AU326,2))&lt;1,ROUND(AU326*(1+'Calc base'!I327),2),MAX('Calc base'!D$12,ROUND('Calc base'!D$13*AU326,2))))</f>
        <v>0</v>
      </c>
      <c r="L327">
        <f>IF(AV326&lt;=0,0,IF(ROUND(AV326*(1+'Calc base'!J327),2)-MAX('Calc base'!E$12,ROUND('Calc base'!E$13*AV326,2))&lt;1,ROUND(AV326*(1+'Calc base'!J327),2),MAX('Calc base'!E$12,ROUND('Calc base'!E$13*AV326,2))))</f>
        <v>0</v>
      </c>
      <c r="M327">
        <f>IF(AW326&lt;=0,0,IF(ROUND(AW326*(1+'Calc base'!K327),2)-MAX('Calc base'!F$12,ROUND('Calc base'!F$13*AW326,2))&lt;1,ROUND(AW326*(1+'Calc base'!K327),2),MAX('Calc base'!F$12,ROUND('Calc base'!F$13*AW326,2))))</f>
        <v>0</v>
      </c>
      <c r="N327">
        <f>IF(AX326&lt;=0,0,IF(ROUND(AX326*(1+'Calc base'!L327),2)-MAX('Calc base'!G$12,ROUND('Calc base'!G$13*AX326,2))&lt;1,ROUND(AX326*(1+'Calc base'!L327),2),MAX('Calc base'!G$12,ROUND('Calc base'!G$13*AX326,2))))</f>
        <v>0</v>
      </c>
      <c r="O327">
        <f>IF(AY326&lt;=0,0,IF(ROUND(AY326*(1+'Calc base'!M327),2)-MAX('Calc base'!H$12,ROUND('Calc base'!H$13*AY326,2))&lt;1,ROUND(AY326*(1+'Calc base'!M327),2),MAX('Calc base'!H$12,ROUND('Calc base'!H$13*AY326,2))))</f>
        <v>0</v>
      </c>
      <c r="P327">
        <f>IF(AZ326&lt;=0,0,IF(ROUND(AZ326*(1+'Calc base'!N327),2)-MAX('Calc base'!I$12,ROUND('Calc base'!I$13*AZ326,2))&lt;1,ROUND(AZ326*(1+'Calc base'!N327),2),MAX('Calc base'!I$12,ROUND('Calc base'!I$13*AZ326,2))))</f>
        <v>0</v>
      </c>
      <c r="Q327">
        <f>IF(BA326&lt;=0,0,IF(ROUND(BA326*(1+'Calc base'!O327),2)-MAX('Calc base'!J$12,ROUND('Calc base'!J$13*BA326,2))&lt;1,ROUND(BA326*(1+'Calc base'!O327),2),MAX('Calc base'!J$12,ROUND('Calc base'!J$13*BA326,2))))</f>
        <v>0</v>
      </c>
      <c r="R327">
        <f>IF(BB326&lt;=0,0,IF(ROUND(BB326*(1+'Calc base'!P327),2)-MAX('Calc base'!K$12,ROUND('Calc base'!K$13*BB326,2))&lt;1,ROUND(BB326*(1+'Calc base'!P327),2),MAX('Calc base'!K$12,ROUND('Calc base'!K$13*BB326,2))))</f>
        <v>0</v>
      </c>
      <c r="S327">
        <f>IF(BC326&lt;=0,0,IF(ROUND(BC326*(1+'Calc base'!Q327),2)-MAX('Calc base'!L$12,ROUND('Calc base'!L$13*BC326,2))&lt;1,ROUND(BC326*(1+'Calc base'!Q327),2),MAX('Calc base'!L$12,ROUND('Calc base'!L$13*BC326,2))))</f>
        <v>0</v>
      </c>
      <c r="T327">
        <f>IF(BD326&lt;=0,0,IF(ROUND(BD326*(1+'Calc base'!R327),2)-MAX('Calc base'!M$12,ROUND('Calc base'!M$13*BD326,2))&lt;1,ROUND(BD326*(1+'Calc base'!R327),2),MAX('Calc base'!M$12,ROUND('Calc base'!M$13*BD326,2))))</f>
        <v>0</v>
      </c>
      <c r="U327">
        <f>IF(BE326&lt;=0,0,IF(ROUND(BE326*(1+'Calc base'!S327),2)-MAX('Calc base'!N$12,ROUND('Calc base'!N$13*BE326,2))&lt;1,ROUND(BE326*(1+'Calc base'!S327),2),MAX('Calc base'!N$12,ROUND('Calc base'!N$13*BE326,2))))</f>
        <v>0</v>
      </c>
      <c r="V327">
        <f>MAX(0,ROUND(AT326*(1+'Calc base'!H327),2)-J327-'Calc base'!T327)</f>
        <v>0</v>
      </c>
      <c r="W327">
        <f>MAX(0,ROUND(AU326*(1+'Calc base'!I327),2)-K327-'Calc base'!U327)</f>
        <v>0</v>
      </c>
      <c r="X327">
        <f>MAX(0,ROUND(AV326*(1+'Calc base'!J327),2)-L327-'Calc base'!V327)</f>
        <v>0</v>
      </c>
      <c r="Y327">
        <f>MAX(0,ROUND(AW326*(1+'Calc base'!K327),2)-M327-'Calc base'!W327)</f>
        <v>0</v>
      </c>
      <c r="Z327">
        <f>MAX(0,ROUND(AX326*(1+'Calc base'!L327),2)-N327-'Calc base'!X327)</f>
        <v>0</v>
      </c>
      <c r="AA327">
        <f>MAX(0,ROUND(AY326*(1+'Calc base'!M327),2)-O327-'Calc base'!Y327)</f>
        <v>0</v>
      </c>
      <c r="AB327">
        <f>MAX(0,ROUND(AZ326*(1+'Calc base'!N327),2)-P327-'Calc base'!Z327)</f>
        <v>0</v>
      </c>
      <c r="AC327">
        <f>MAX(0,ROUND(BA326*(1+'Calc base'!O327),2)-Q327-'Calc base'!AA327)</f>
        <v>0</v>
      </c>
      <c r="AD327">
        <f>MAX(0,ROUND(BB326*(1+'Calc base'!P327),2)-R327-'Calc base'!AB327)</f>
        <v>0</v>
      </c>
      <c r="AE327">
        <f>MAX(0,ROUND(BC326*(1+'Calc base'!Q327),2)-S327-'Calc base'!AC327)</f>
        <v>0</v>
      </c>
      <c r="AF327">
        <f>MAX(0,ROUND(BD326*(1+'Calc base'!R327),2)-T327-'Calc base'!AD327)</f>
        <v>0</v>
      </c>
      <c r="AG327">
        <f>MAX(0,ROUND(BE326*(1+'Calc base'!S327),2)-U327-'Calc base'!AE327)</f>
        <v>0</v>
      </c>
      <c r="AH327">
        <f>IF('Calc base'!C$14=0,0,MIN(V327,MAX(0,$E327-SUMIFS($V327:$AG327,'Calc base'!$C$19:$N$19,"&lt;"&amp;'Calc base'!C$19,'Calc base'!$C$14:$N$14,1))))</f>
        <v>0</v>
      </c>
      <c r="AI327">
        <f>IF('Calc base'!D$14=0,0,MIN(W327,MAX(0,$E327-SUMIFS($V327:$AG327,'Calc base'!$C$19:$N$19,"&lt;"&amp;'Calc base'!D$19,'Calc base'!$C$14:$N$14,1))))</f>
        <v>0</v>
      </c>
      <c r="AJ327">
        <f>IF('Calc base'!E$14=0,0,MIN(X327,MAX(0,$E327-SUMIFS($V327:$AG327,'Calc base'!$C$19:$N$19,"&lt;"&amp;'Calc base'!E$19,'Calc base'!$C$14:$N$14,1))))</f>
        <v>0</v>
      </c>
      <c r="AK327">
        <f>IF('Calc base'!F$14=0,0,MIN(Y327,MAX(0,$E327-SUMIFS($V327:$AG327,'Calc base'!$C$19:$N$19,"&lt;"&amp;'Calc base'!F$19,'Calc base'!$C$14:$N$14,1))))</f>
        <v>0</v>
      </c>
      <c r="AL327">
        <f>IF('Calc base'!G$14=0,0,MIN(Z327,MAX(0,$E327-SUMIFS($V327:$AG327,'Calc base'!$C$19:$N$19,"&lt;"&amp;'Calc base'!G$19,'Calc base'!$C$14:$N$14,1))))</f>
        <v>0</v>
      </c>
      <c r="AM327">
        <f>IF('Calc base'!H$14=0,0,MIN(AA327,MAX(0,$E327-SUMIFS($V327:$AG327,'Calc base'!$C$19:$N$19,"&lt;"&amp;'Calc base'!H$19,'Calc base'!$C$14:$N$14,1))))</f>
        <v>0</v>
      </c>
      <c r="AN327">
        <f>IF('Calc base'!I$14=0,0,MIN(AB327,MAX(0,$E327-SUMIFS($V327:$AG327,'Calc base'!$C$19:$N$19,"&lt;"&amp;'Calc base'!I$19,'Calc base'!$C$14:$N$14,1))))</f>
        <v>0</v>
      </c>
      <c r="AO327">
        <f>IF('Calc base'!J$14=0,0,MIN(AC327,MAX(0,$E327-SUMIFS($V327:$AG327,'Calc base'!$C$19:$N$19,"&lt;"&amp;'Calc base'!J$19,'Calc base'!$C$14:$N$14,1))))</f>
        <v>0</v>
      </c>
      <c r="AP327">
        <f>IF('Calc base'!K$14=0,0,MIN(AD327,MAX(0,$E327-SUMIFS($V327:$AG327,'Calc base'!$C$19:$N$19,"&lt;"&amp;'Calc base'!K$19,'Calc base'!$C$14:$N$14,1))))</f>
        <v>0</v>
      </c>
      <c r="AQ327">
        <f>IF('Calc base'!L$14=0,0,MIN(AE327,MAX(0,$E327-SUMIFS($V327:$AG327,'Calc base'!$C$19:$N$19,"&lt;"&amp;'Calc base'!L$19,'Calc base'!$C$14:$N$14,1))))</f>
        <v>0</v>
      </c>
      <c r="AR327">
        <f>IF('Calc base'!M$14=0,0,MIN(AF327,MAX(0,$E327-SUMIFS($V327:$AG327,'Calc base'!$C$19:$N$19,"&lt;"&amp;'Calc base'!M$19,'Calc base'!$C$14:$N$14,1))))</f>
        <v>0</v>
      </c>
      <c r="AS327">
        <f>IF('Calc base'!N$14=0,0,MIN(AG327,MAX(0,$E327-SUMIFS($V327:$AG327,'Calc base'!$C$19:$N$19,"&lt;"&amp;'Calc base'!N$19,'Calc base'!$C$14:$N$14,1))))</f>
        <v>0</v>
      </c>
      <c r="AT327">
        <f>V327-AH327</f>
        <v>0</v>
      </c>
      <c r="AU327">
        <f>W327-AI327</f>
        <v>0</v>
      </c>
      <c r="AV327">
        <f>X327-AJ327</f>
        <v>0</v>
      </c>
      <c r="AW327">
        <f>Y327-AK327</f>
        <v>0</v>
      </c>
      <c r="AX327">
        <f>Z327-AL327</f>
        <v>0</v>
      </c>
      <c r="AY327">
        <f>AA327-AM327</f>
        <v>0</v>
      </c>
      <c r="AZ327">
        <f>AB327-AN327</f>
        <v>0</v>
      </c>
      <c r="BA327">
        <f>AC327-AO327</f>
        <v>0</v>
      </c>
      <c r="BB327">
        <f>AD327-AP327</f>
        <v>0</v>
      </c>
      <c r="BC327">
        <f>AE327-AQ327</f>
        <v>0</v>
      </c>
      <c r="BD327">
        <f>AF327-AR327</f>
        <v>0</v>
      </c>
      <c r="BE327">
        <f>AG327-AS327</f>
        <v>0</v>
      </c>
    </row>
    <row r="328">
      <c r="A328" t="n">
        <v>298</v>
      </c>
      <c r="B328">
        <f>SUMPRODUCT(ROUND($AT327:$BE327*(1+'Calc base'!$H328:$S328),2))</f>
        <v>0</v>
      </c>
      <c r="C328">
        <f>SUM(J328:U328)</f>
        <v>0</v>
      </c>
      <c r="D328">
        <f>SUM(V328:AG328)</f>
        <v>0</v>
      </c>
      <c r="E328">
        <f>MAX(0,IF(Impostazioni!$B$7="No",'Calc base'!$C328-$C$31,'Calc base'!$C328-C328)+'Calc base'!$G328+'Calc base'!$F328-(B328-C328-D328))</f>
        <v>900</v>
      </c>
      <c r="F328">
        <f>SUM(AH328:AS328)</f>
        <v>0</v>
      </c>
      <c r="G328">
        <f>SUM(AT328:BE328)</f>
        <v>0</v>
      </c>
      <c r="H328">
        <f>B328-G327</f>
        <v>0</v>
      </c>
      <c r="I328">
        <f>B328-G328</f>
        <v>0</v>
      </c>
      <c r="J328">
        <f>IF(AT327&lt;=0,0,IF(ROUND(AT327*(1+'Calc base'!H328),2)-MAX('Calc base'!C$12,ROUND('Calc base'!C$13*AT327,2))&lt;1,ROUND(AT327*(1+'Calc base'!H328),2),MAX('Calc base'!C$12,ROUND('Calc base'!C$13*AT327,2))))</f>
        <v>0</v>
      </c>
      <c r="K328">
        <f>IF(AU327&lt;=0,0,IF(ROUND(AU327*(1+'Calc base'!I328),2)-MAX('Calc base'!D$12,ROUND('Calc base'!D$13*AU327,2))&lt;1,ROUND(AU327*(1+'Calc base'!I328),2),MAX('Calc base'!D$12,ROUND('Calc base'!D$13*AU327,2))))</f>
        <v>0</v>
      </c>
      <c r="L328">
        <f>IF(AV327&lt;=0,0,IF(ROUND(AV327*(1+'Calc base'!J328),2)-MAX('Calc base'!E$12,ROUND('Calc base'!E$13*AV327,2))&lt;1,ROUND(AV327*(1+'Calc base'!J328),2),MAX('Calc base'!E$12,ROUND('Calc base'!E$13*AV327,2))))</f>
        <v>0</v>
      </c>
      <c r="M328">
        <f>IF(AW327&lt;=0,0,IF(ROUND(AW327*(1+'Calc base'!K328),2)-MAX('Calc base'!F$12,ROUND('Calc base'!F$13*AW327,2))&lt;1,ROUND(AW327*(1+'Calc base'!K328),2),MAX('Calc base'!F$12,ROUND('Calc base'!F$13*AW327,2))))</f>
        <v>0</v>
      </c>
      <c r="N328">
        <f>IF(AX327&lt;=0,0,IF(ROUND(AX327*(1+'Calc base'!L328),2)-MAX('Calc base'!G$12,ROUND('Calc base'!G$13*AX327,2))&lt;1,ROUND(AX327*(1+'Calc base'!L328),2),MAX('Calc base'!G$12,ROUND('Calc base'!G$13*AX327,2))))</f>
        <v>0</v>
      </c>
      <c r="O328">
        <f>IF(AY327&lt;=0,0,IF(ROUND(AY327*(1+'Calc base'!M328),2)-MAX('Calc base'!H$12,ROUND('Calc base'!H$13*AY327,2))&lt;1,ROUND(AY327*(1+'Calc base'!M328),2),MAX('Calc base'!H$12,ROUND('Calc base'!H$13*AY327,2))))</f>
        <v>0</v>
      </c>
      <c r="P328">
        <f>IF(AZ327&lt;=0,0,IF(ROUND(AZ327*(1+'Calc base'!N328),2)-MAX('Calc base'!I$12,ROUND('Calc base'!I$13*AZ327,2))&lt;1,ROUND(AZ327*(1+'Calc base'!N328),2),MAX('Calc base'!I$12,ROUND('Calc base'!I$13*AZ327,2))))</f>
        <v>0</v>
      </c>
      <c r="Q328">
        <f>IF(BA327&lt;=0,0,IF(ROUND(BA327*(1+'Calc base'!O328),2)-MAX('Calc base'!J$12,ROUND('Calc base'!J$13*BA327,2))&lt;1,ROUND(BA327*(1+'Calc base'!O328),2),MAX('Calc base'!J$12,ROUND('Calc base'!J$13*BA327,2))))</f>
        <v>0</v>
      </c>
      <c r="R328">
        <f>IF(BB327&lt;=0,0,IF(ROUND(BB327*(1+'Calc base'!P328),2)-MAX('Calc base'!K$12,ROUND('Calc base'!K$13*BB327,2))&lt;1,ROUND(BB327*(1+'Calc base'!P328),2),MAX('Calc base'!K$12,ROUND('Calc base'!K$13*BB327,2))))</f>
        <v>0</v>
      </c>
      <c r="S328">
        <f>IF(BC327&lt;=0,0,IF(ROUND(BC327*(1+'Calc base'!Q328),2)-MAX('Calc base'!L$12,ROUND('Calc base'!L$13*BC327,2))&lt;1,ROUND(BC327*(1+'Calc base'!Q328),2),MAX('Calc base'!L$12,ROUND('Calc base'!L$13*BC327,2))))</f>
        <v>0</v>
      </c>
      <c r="T328">
        <f>IF(BD327&lt;=0,0,IF(ROUND(BD327*(1+'Calc base'!R328),2)-MAX('Calc base'!M$12,ROUND('Calc base'!M$13*BD327,2))&lt;1,ROUND(BD327*(1+'Calc base'!R328),2),MAX('Calc base'!M$12,ROUND('Calc base'!M$13*BD327,2))))</f>
        <v>0</v>
      </c>
      <c r="U328">
        <f>IF(BE327&lt;=0,0,IF(ROUND(BE327*(1+'Calc base'!S328),2)-MAX('Calc base'!N$12,ROUND('Calc base'!N$13*BE327,2))&lt;1,ROUND(BE327*(1+'Calc base'!S328),2),MAX('Calc base'!N$12,ROUND('Calc base'!N$13*BE327,2))))</f>
        <v>0</v>
      </c>
      <c r="V328">
        <f>MAX(0,ROUND(AT327*(1+'Calc base'!H328),2)-J328-'Calc base'!T328)</f>
        <v>0</v>
      </c>
      <c r="W328">
        <f>MAX(0,ROUND(AU327*(1+'Calc base'!I328),2)-K328-'Calc base'!U328)</f>
        <v>0</v>
      </c>
      <c r="X328">
        <f>MAX(0,ROUND(AV327*(1+'Calc base'!J328),2)-L328-'Calc base'!V328)</f>
        <v>0</v>
      </c>
      <c r="Y328">
        <f>MAX(0,ROUND(AW327*(1+'Calc base'!K328),2)-M328-'Calc base'!W328)</f>
        <v>0</v>
      </c>
      <c r="Z328">
        <f>MAX(0,ROUND(AX327*(1+'Calc base'!L328),2)-N328-'Calc base'!X328)</f>
        <v>0</v>
      </c>
      <c r="AA328">
        <f>MAX(0,ROUND(AY327*(1+'Calc base'!M328),2)-O328-'Calc base'!Y328)</f>
        <v>0</v>
      </c>
      <c r="AB328">
        <f>MAX(0,ROUND(AZ327*(1+'Calc base'!N328),2)-P328-'Calc base'!Z328)</f>
        <v>0</v>
      </c>
      <c r="AC328">
        <f>MAX(0,ROUND(BA327*(1+'Calc base'!O328),2)-Q328-'Calc base'!AA328)</f>
        <v>0</v>
      </c>
      <c r="AD328">
        <f>MAX(0,ROUND(BB327*(1+'Calc base'!P328),2)-R328-'Calc base'!AB328)</f>
        <v>0</v>
      </c>
      <c r="AE328">
        <f>MAX(0,ROUND(BC327*(1+'Calc base'!Q328),2)-S328-'Calc base'!AC328)</f>
        <v>0</v>
      </c>
      <c r="AF328">
        <f>MAX(0,ROUND(BD327*(1+'Calc base'!R328),2)-T328-'Calc base'!AD328)</f>
        <v>0</v>
      </c>
      <c r="AG328">
        <f>MAX(0,ROUND(BE327*(1+'Calc base'!S328),2)-U328-'Calc base'!AE328)</f>
        <v>0</v>
      </c>
      <c r="AH328">
        <f>IF('Calc base'!C$14=0,0,MIN(V328,MAX(0,$E328-SUMIFS($V328:$AG328,'Calc base'!$C$19:$N$19,"&lt;"&amp;'Calc base'!C$19,'Calc base'!$C$14:$N$14,1))))</f>
        <v>0</v>
      </c>
      <c r="AI328">
        <f>IF('Calc base'!D$14=0,0,MIN(W328,MAX(0,$E328-SUMIFS($V328:$AG328,'Calc base'!$C$19:$N$19,"&lt;"&amp;'Calc base'!D$19,'Calc base'!$C$14:$N$14,1))))</f>
        <v>0</v>
      </c>
      <c r="AJ328">
        <f>IF('Calc base'!E$14=0,0,MIN(X328,MAX(0,$E328-SUMIFS($V328:$AG328,'Calc base'!$C$19:$N$19,"&lt;"&amp;'Calc base'!E$19,'Calc base'!$C$14:$N$14,1))))</f>
        <v>0</v>
      </c>
      <c r="AK328">
        <f>IF('Calc base'!F$14=0,0,MIN(Y328,MAX(0,$E328-SUMIFS($V328:$AG328,'Calc base'!$C$19:$N$19,"&lt;"&amp;'Calc base'!F$19,'Calc base'!$C$14:$N$14,1))))</f>
        <v>0</v>
      </c>
      <c r="AL328">
        <f>IF('Calc base'!G$14=0,0,MIN(Z328,MAX(0,$E328-SUMIFS($V328:$AG328,'Calc base'!$C$19:$N$19,"&lt;"&amp;'Calc base'!G$19,'Calc base'!$C$14:$N$14,1))))</f>
        <v>0</v>
      </c>
      <c r="AM328">
        <f>IF('Calc base'!H$14=0,0,MIN(AA328,MAX(0,$E328-SUMIFS($V328:$AG328,'Calc base'!$C$19:$N$19,"&lt;"&amp;'Calc base'!H$19,'Calc base'!$C$14:$N$14,1))))</f>
        <v>0</v>
      </c>
      <c r="AN328">
        <f>IF('Calc base'!I$14=0,0,MIN(AB328,MAX(0,$E328-SUMIFS($V328:$AG328,'Calc base'!$C$19:$N$19,"&lt;"&amp;'Calc base'!I$19,'Calc base'!$C$14:$N$14,1))))</f>
        <v>0</v>
      </c>
      <c r="AO328">
        <f>IF('Calc base'!J$14=0,0,MIN(AC328,MAX(0,$E328-SUMIFS($V328:$AG328,'Calc base'!$C$19:$N$19,"&lt;"&amp;'Calc base'!J$19,'Calc base'!$C$14:$N$14,1))))</f>
        <v>0</v>
      </c>
      <c r="AP328">
        <f>IF('Calc base'!K$14=0,0,MIN(AD328,MAX(0,$E328-SUMIFS($V328:$AG328,'Calc base'!$C$19:$N$19,"&lt;"&amp;'Calc base'!K$19,'Calc base'!$C$14:$N$14,1))))</f>
        <v>0</v>
      </c>
      <c r="AQ328">
        <f>IF('Calc base'!L$14=0,0,MIN(AE328,MAX(0,$E328-SUMIFS($V328:$AG328,'Calc base'!$C$19:$N$19,"&lt;"&amp;'Calc base'!L$19,'Calc base'!$C$14:$N$14,1))))</f>
        <v>0</v>
      </c>
      <c r="AR328">
        <f>IF('Calc base'!M$14=0,0,MIN(AF328,MAX(0,$E328-SUMIFS($V328:$AG328,'Calc base'!$C$19:$N$19,"&lt;"&amp;'Calc base'!M$19,'Calc base'!$C$14:$N$14,1))))</f>
        <v>0</v>
      </c>
      <c r="AS328">
        <f>IF('Calc base'!N$14=0,0,MIN(AG328,MAX(0,$E328-SUMIFS($V328:$AG328,'Calc base'!$C$19:$N$19,"&lt;"&amp;'Calc base'!N$19,'Calc base'!$C$14:$N$14,1))))</f>
        <v>0</v>
      </c>
      <c r="AT328">
        <f>V328-AH328</f>
        <v>0</v>
      </c>
      <c r="AU328">
        <f>W328-AI328</f>
        <v>0</v>
      </c>
      <c r="AV328">
        <f>X328-AJ328</f>
        <v>0</v>
      </c>
      <c r="AW328">
        <f>Y328-AK328</f>
        <v>0</v>
      </c>
      <c r="AX328">
        <f>Z328-AL328</f>
        <v>0</v>
      </c>
      <c r="AY328">
        <f>AA328-AM328</f>
        <v>0</v>
      </c>
      <c r="AZ328">
        <f>AB328-AN328</f>
        <v>0</v>
      </c>
      <c r="BA328">
        <f>AC328-AO328</f>
        <v>0</v>
      </c>
      <c r="BB328">
        <f>AD328-AP328</f>
        <v>0</v>
      </c>
      <c r="BC328">
        <f>AE328-AQ328</f>
        <v>0</v>
      </c>
      <c r="BD328">
        <f>AF328-AR328</f>
        <v>0</v>
      </c>
      <c r="BE328">
        <f>AG328-AS328</f>
        <v>0</v>
      </c>
    </row>
    <row r="329">
      <c r="A329" t="n">
        <v>299</v>
      </c>
      <c r="B329">
        <f>SUMPRODUCT(ROUND($AT328:$BE328*(1+'Calc base'!$H329:$S329),2))</f>
        <v>0</v>
      </c>
      <c r="C329">
        <f>SUM(J329:U329)</f>
        <v>0</v>
      </c>
      <c r="D329">
        <f>SUM(V329:AG329)</f>
        <v>0</v>
      </c>
      <c r="E329">
        <f>MAX(0,IF(Impostazioni!$B$7="No",'Calc base'!$C329-$C$31,'Calc base'!$C329-C329)+'Calc base'!$G329+'Calc base'!$F329-(B329-C329-D329))</f>
        <v>900</v>
      </c>
      <c r="F329">
        <f>SUM(AH329:AS329)</f>
        <v>0</v>
      </c>
      <c r="G329">
        <f>SUM(AT329:BE329)</f>
        <v>0</v>
      </c>
      <c r="H329">
        <f>B329-G328</f>
        <v>0</v>
      </c>
      <c r="I329">
        <f>B329-G329</f>
        <v>0</v>
      </c>
      <c r="J329">
        <f>IF(AT328&lt;=0,0,IF(ROUND(AT328*(1+'Calc base'!H329),2)-MAX('Calc base'!C$12,ROUND('Calc base'!C$13*AT328,2))&lt;1,ROUND(AT328*(1+'Calc base'!H329),2),MAX('Calc base'!C$12,ROUND('Calc base'!C$13*AT328,2))))</f>
        <v>0</v>
      </c>
      <c r="K329">
        <f>IF(AU328&lt;=0,0,IF(ROUND(AU328*(1+'Calc base'!I329),2)-MAX('Calc base'!D$12,ROUND('Calc base'!D$13*AU328,2))&lt;1,ROUND(AU328*(1+'Calc base'!I329),2),MAX('Calc base'!D$12,ROUND('Calc base'!D$13*AU328,2))))</f>
        <v>0</v>
      </c>
      <c r="L329">
        <f>IF(AV328&lt;=0,0,IF(ROUND(AV328*(1+'Calc base'!J329),2)-MAX('Calc base'!E$12,ROUND('Calc base'!E$13*AV328,2))&lt;1,ROUND(AV328*(1+'Calc base'!J329),2),MAX('Calc base'!E$12,ROUND('Calc base'!E$13*AV328,2))))</f>
        <v>0</v>
      </c>
      <c r="M329">
        <f>IF(AW328&lt;=0,0,IF(ROUND(AW328*(1+'Calc base'!K329),2)-MAX('Calc base'!F$12,ROUND('Calc base'!F$13*AW328,2))&lt;1,ROUND(AW328*(1+'Calc base'!K329),2),MAX('Calc base'!F$12,ROUND('Calc base'!F$13*AW328,2))))</f>
        <v>0</v>
      </c>
      <c r="N329">
        <f>IF(AX328&lt;=0,0,IF(ROUND(AX328*(1+'Calc base'!L329),2)-MAX('Calc base'!G$12,ROUND('Calc base'!G$13*AX328,2))&lt;1,ROUND(AX328*(1+'Calc base'!L329),2),MAX('Calc base'!G$12,ROUND('Calc base'!G$13*AX328,2))))</f>
        <v>0</v>
      </c>
      <c r="O329">
        <f>IF(AY328&lt;=0,0,IF(ROUND(AY328*(1+'Calc base'!M329),2)-MAX('Calc base'!H$12,ROUND('Calc base'!H$13*AY328,2))&lt;1,ROUND(AY328*(1+'Calc base'!M329),2),MAX('Calc base'!H$12,ROUND('Calc base'!H$13*AY328,2))))</f>
        <v>0</v>
      </c>
      <c r="P329">
        <f>IF(AZ328&lt;=0,0,IF(ROUND(AZ328*(1+'Calc base'!N329),2)-MAX('Calc base'!I$12,ROUND('Calc base'!I$13*AZ328,2))&lt;1,ROUND(AZ328*(1+'Calc base'!N329),2),MAX('Calc base'!I$12,ROUND('Calc base'!I$13*AZ328,2))))</f>
        <v>0</v>
      </c>
      <c r="Q329">
        <f>IF(BA328&lt;=0,0,IF(ROUND(BA328*(1+'Calc base'!O329),2)-MAX('Calc base'!J$12,ROUND('Calc base'!J$13*BA328,2))&lt;1,ROUND(BA328*(1+'Calc base'!O329),2),MAX('Calc base'!J$12,ROUND('Calc base'!J$13*BA328,2))))</f>
        <v>0</v>
      </c>
      <c r="R329">
        <f>IF(BB328&lt;=0,0,IF(ROUND(BB328*(1+'Calc base'!P329),2)-MAX('Calc base'!K$12,ROUND('Calc base'!K$13*BB328,2))&lt;1,ROUND(BB328*(1+'Calc base'!P329),2),MAX('Calc base'!K$12,ROUND('Calc base'!K$13*BB328,2))))</f>
        <v>0</v>
      </c>
      <c r="S329">
        <f>IF(BC328&lt;=0,0,IF(ROUND(BC328*(1+'Calc base'!Q329),2)-MAX('Calc base'!L$12,ROUND('Calc base'!L$13*BC328,2))&lt;1,ROUND(BC328*(1+'Calc base'!Q329),2),MAX('Calc base'!L$12,ROUND('Calc base'!L$13*BC328,2))))</f>
        <v>0</v>
      </c>
      <c r="T329">
        <f>IF(BD328&lt;=0,0,IF(ROUND(BD328*(1+'Calc base'!R329),2)-MAX('Calc base'!M$12,ROUND('Calc base'!M$13*BD328,2))&lt;1,ROUND(BD328*(1+'Calc base'!R329),2),MAX('Calc base'!M$12,ROUND('Calc base'!M$13*BD328,2))))</f>
        <v>0</v>
      </c>
      <c r="U329">
        <f>IF(BE328&lt;=0,0,IF(ROUND(BE328*(1+'Calc base'!S329),2)-MAX('Calc base'!N$12,ROUND('Calc base'!N$13*BE328,2))&lt;1,ROUND(BE328*(1+'Calc base'!S329),2),MAX('Calc base'!N$12,ROUND('Calc base'!N$13*BE328,2))))</f>
        <v>0</v>
      </c>
      <c r="V329">
        <f>MAX(0,ROUND(AT328*(1+'Calc base'!H329),2)-J329-'Calc base'!T329)</f>
        <v>0</v>
      </c>
      <c r="W329">
        <f>MAX(0,ROUND(AU328*(1+'Calc base'!I329),2)-K329-'Calc base'!U329)</f>
        <v>0</v>
      </c>
      <c r="X329">
        <f>MAX(0,ROUND(AV328*(1+'Calc base'!J329),2)-L329-'Calc base'!V329)</f>
        <v>0</v>
      </c>
      <c r="Y329">
        <f>MAX(0,ROUND(AW328*(1+'Calc base'!K329),2)-M329-'Calc base'!W329)</f>
        <v>0</v>
      </c>
      <c r="Z329">
        <f>MAX(0,ROUND(AX328*(1+'Calc base'!L329),2)-N329-'Calc base'!X329)</f>
        <v>0</v>
      </c>
      <c r="AA329">
        <f>MAX(0,ROUND(AY328*(1+'Calc base'!M329),2)-O329-'Calc base'!Y329)</f>
        <v>0</v>
      </c>
      <c r="AB329">
        <f>MAX(0,ROUND(AZ328*(1+'Calc base'!N329),2)-P329-'Calc base'!Z329)</f>
        <v>0</v>
      </c>
      <c r="AC329">
        <f>MAX(0,ROUND(BA328*(1+'Calc base'!O329),2)-Q329-'Calc base'!AA329)</f>
        <v>0</v>
      </c>
      <c r="AD329">
        <f>MAX(0,ROUND(BB328*(1+'Calc base'!P329),2)-R329-'Calc base'!AB329)</f>
        <v>0</v>
      </c>
      <c r="AE329">
        <f>MAX(0,ROUND(BC328*(1+'Calc base'!Q329),2)-S329-'Calc base'!AC329)</f>
        <v>0</v>
      </c>
      <c r="AF329">
        <f>MAX(0,ROUND(BD328*(1+'Calc base'!R329),2)-T329-'Calc base'!AD329)</f>
        <v>0</v>
      </c>
      <c r="AG329">
        <f>MAX(0,ROUND(BE328*(1+'Calc base'!S329),2)-U329-'Calc base'!AE329)</f>
        <v>0</v>
      </c>
      <c r="AH329">
        <f>IF('Calc base'!C$14=0,0,MIN(V329,MAX(0,$E329-SUMIFS($V329:$AG329,'Calc base'!$C$19:$N$19,"&lt;"&amp;'Calc base'!C$19,'Calc base'!$C$14:$N$14,1))))</f>
        <v>0</v>
      </c>
      <c r="AI329">
        <f>IF('Calc base'!D$14=0,0,MIN(W329,MAX(0,$E329-SUMIFS($V329:$AG329,'Calc base'!$C$19:$N$19,"&lt;"&amp;'Calc base'!D$19,'Calc base'!$C$14:$N$14,1))))</f>
        <v>0</v>
      </c>
      <c r="AJ329">
        <f>IF('Calc base'!E$14=0,0,MIN(X329,MAX(0,$E329-SUMIFS($V329:$AG329,'Calc base'!$C$19:$N$19,"&lt;"&amp;'Calc base'!E$19,'Calc base'!$C$14:$N$14,1))))</f>
        <v>0</v>
      </c>
      <c r="AK329">
        <f>IF('Calc base'!F$14=0,0,MIN(Y329,MAX(0,$E329-SUMIFS($V329:$AG329,'Calc base'!$C$19:$N$19,"&lt;"&amp;'Calc base'!F$19,'Calc base'!$C$14:$N$14,1))))</f>
        <v>0</v>
      </c>
      <c r="AL329">
        <f>IF('Calc base'!G$14=0,0,MIN(Z329,MAX(0,$E329-SUMIFS($V329:$AG329,'Calc base'!$C$19:$N$19,"&lt;"&amp;'Calc base'!G$19,'Calc base'!$C$14:$N$14,1))))</f>
        <v>0</v>
      </c>
      <c r="AM329">
        <f>IF('Calc base'!H$14=0,0,MIN(AA329,MAX(0,$E329-SUMIFS($V329:$AG329,'Calc base'!$C$19:$N$19,"&lt;"&amp;'Calc base'!H$19,'Calc base'!$C$14:$N$14,1))))</f>
        <v>0</v>
      </c>
      <c r="AN329">
        <f>IF('Calc base'!I$14=0,0,MIN(AB329,MAX(0,$E329-SUMIFS($V329:$AG329,'Calc base'!$C$19:$N$19,"&lt;"&amp;'Calc base'!I$19,'Calc base'!$C$14:$N$14,1))))</f>
        <v>0</v>
      </c>
      <c r="AO329">
        <f>IF('Calc base'!J$14=0,0,MIN(AC329,MAX(0,$E329-SUMIFS($V329:$AG329,'Calc base'!$C$19:$N$19,"&lt;"&amp;'Calc base'!J$19,'Calc base'!$C$14:$N$14,1))))</f>
        <v>0</v>
      </c>
      <c r="AP329">
        <f>IF('Calc base'!K$14=0,0,MIN(AD329,MAX(0,$E329-SUMIFS($V329:$AG329,'Calc base'!$C$19:$N$19,"&lt;"&amp;'Calc base'!K$19,'Calc base'!$C$14:$N$14,1))))</f>
        <v>0</v>
      </c>
      <c r="AQ329">
        <f>IF('Calc base'!L$14=0,0,MIN(AE329,MAX(0,$E329-SUMIFS($V329:$AG329,'Calc base'!$C$19:$N$19,"&lt;"&amp;'Calc base'!L$19,'Calc base'!$C$14:$N$14,1))))</f>
        <v>0</v>
      </c>
      <c r="AR329">
        <f>IF('Calc base'!M$14=0,0,MIN(AF329,MAX(0,$E329-SUMIFS($V329:$AG329,'Calc base'!$C$19:$N$19,"&lt;"&amp;'Calc base'!M$19,'Calc base'!$C$14:$N$14,1))))</f>
        <v>0</v>
      </c>
      <c r="AS329">
        <f>IF('Calc base'!N$14=0,0,MIN(AG329,MAX(0,$E329-SUMIFS($V329:$AG329,'Calc base'!$C$19:$N$19,"&lt;"&amp;'Calc base'!N$19,'Calc base'!$C$14:$N$14,1))))</f>
        <v>0</v>
      </c>
      <c r="AT329">
        <f>V329-AH329</f>
        <v>0</v>
      </c>
      <c r="AU329">
        <f>W329-AI329</f>
        <v>0</v>
      </c>
      <c r="AV329">
        <f>X329-AJ329</f>
        <v>0</v>
      </c>
      <c r="AW329">
        <f>Y329-AK329</f>
        <v>0</v>
      </c>
      <c r="AX329">
        <f>Z329-AL329</f>
        <v>0</v>
      </c>
      <c r="AY329">
        <f>AA329-AM329</f>
        <v>0</v>
      </c>
      <c r="AZ329">
        <f>AB329-AN329</f>
        <v>0</v>
      </c>
      <c r="BA329">
        <f>AC329-AO329</f>
        <v>0</v>
      </c>
      <c r="BB329">
        <f>AD329-AP329</f>
        <v>0</v>
      </c>
      <c r="BC329">
        <f>AE329-AQ329</f>
        <v>0</v>
      </c>
      <c r="BD329">
        <f>AF329-AR329</f>
        <v>0</v>
      </c>
      <c r="BE329">
        <f>AG329-AS329</f>
        <v>0</v>
      </c>
    </row>
    <row r="330">
      <c r="A330" t="n">
        <v>300</v>
      </c>
      <c r="B330">
        <f>SUMPRODUCT(ROUND($AT329:$BE329*(1+'Calc base'!$H330:$S330),2))</f>
        <v>0</v>
      </c>
      <c r="C330">
        <f>SUM(J330:U330)</f>
        <v>0</v>
      </c>
      <c r="D330">
        <f>SUM(V330:AG330)</f>
        <v>0</v>
      </c>
      <c r="E330">
        <f>MAX(0,IF(Impostazioni!$B$7="No",'Calc base'!$C330-$C$31,'Calc base'!$C330-C330)+'Calc base'!$G330+'Calc base'!$F330-(B330-C330-D330))</f>
        <v>900</v>
      </c>
      <c r="F330">
        <f>SUM(AH330:AS330)</f>
        <v>0</v>
      </c>
      <c r="G330">
        <f>SUM(AT330:BE330)</f>
        <v>0</v>
      </c>
      <c r="H330">
        <f>B330-G329</f>
        <v>0</v>
      </c>
      <c r="I330">
        <f>B330-G330</f>
        <v>0</v>
      </c>
      <c r="J330">
        <f>IF(AT329&lt;=0,0,IF(ROUND(AT329*(1+'Calc base'!H330),2)-MAX('Calc base'!C$12,ROUND('Calc base'!C$13*AT329,2))&lt;1,ROUND(AT329*(1+'Calc base'!H330),2),MAX('Calc base'!C$12,ROUND('Calc base'!C$13*AT329,2))))</f>
        <v>0</v>
      </c>
      <c r="K330">
        <f>IF(AU329&lt;=0,0,IF(ROUND(AU329*(1+'Calc base'!I330),2)-MAX('Calc base'!D$12,ROUND('Calc base'!D$13*AU329,2))&lt;1,ROUND(AU329*(1+'Calc base'!I330),2),MAX('Calc base'!D$12,ROUND('Calc base'!D$13*AU329,2))))</f>
        <v>0</v>
      </c>
      <c r="L330">
        <f>IF(AV329&lt;=0,0,IF(ROUND(AV329*(1+'Calc base'!J330),2)-MAX('Calc base'!E$12,ROUND('Calc base'!E$13*AV329,2))&lt;1,ROUND(AV329*(1+'Calc base'!J330),2),MAX('Calc base'!E$12,ROUND('Calc base'!E$13*AV329,2))))</f>
        <v>0</v>
      </c>
      <c r="M330">
        <f>IF(AW329&lt;=0,0,IF(ROUND(AW329*(1+'Calc base'!K330),2)-MAX('Calc base'!F$12,ROUND('Calc base'!F$13*AW329,2))&lt;1,ROUND(AW329*(1+'Calc base'!K330),2),MAX('Calc base'!F$12,ROUND('Calc base'!F$13*AW329,2))))</f>
        <v>0</v>
      </c>
      <c r="N330">
        <f>IF(AX329&lt;=0,0,IF(ROUND(AX329*(1+'Calc base'!L330),2)-MAX('Calc base'!G$12,ROUND('Calc base'!G$13*AX329,2))&lt;1,ROUND(AX329*(1+'Calc base'!L330),2),MAX('Calc base'!G$12,ROUND('Calc base'!G$13*AX329,2))))</f>
        <v>0</v>
      </c>
      <c r="O330">
        <f>IF(AY329&lt;=0,0,IF(ROUND(AY329*(1+'Calc base'!M330),2)-MAX('Calc base'!H$12,ROUND('Calc base'!H$13*AY329,2))&lt;1,ROUND(AY329*(1+'Calc base'!M330),2),MAX('Calc base'!H$12,ROUND('Calc base'!H$13*AY329,2))))</f>
        <v>0</v>
      </c>
      <c r="P330">
        <f>IF(AZ329&lt;=0,0,IF(ROUND(AZ329*(1+'Calc base'!N330),2)-MAX('Calc base'!I$12,ROUND('Calc base'!I$13*AZ329,2))&lt;1,ROUND(AZ329*(1+'Calc base'!N330),2),MAX('Calc base'!I$12,ROUND('Calc base'!I$13*AZ329,2))))</f>
        <v>0</v>
      </c>
      <c r="Q330">
        <f>IF(BA329&lt;=0,0,IF(ROUND(BA329*(1+'Calc base'!O330),2)-MAX('Calc base'!J$12,ROUND('Calc base'!J$13*BA329,2))&lt;1,ROUND(BA329*(1+'Calc base'!O330),2),MAX('Calc base'!J$12,ROUND('Calc base'!J$13*BA329,2))))</f>
        <v>0</v>
      </c>
      <c r="R330">
        <f>IF(BB329&lt;=0,0,IF(ROUND(BB329*(1+'Calc base'!P330),2)-MAX('Calc base'!K$12,ROUND('Calc base'!K$13*BB329,2))&lt;1,ROUND(BB329*(1+'Calc base'!P330),2),MAX('Calc base'!K$12,ROUND('Calc base'!K$13*BB329,2))))</f>
        <v>0</v>
      </c>
      <c r="S330">
        <f>IF(BC329&lt;=0,0,IF(ROUND(BC329*(1+'Calc base'!Q330),2)-MAX('Calc base'!L$12,ROUND('Calc base'!L$13*BC329,2))&lt;1,ROUND(BC329*(1+'Calc base'!Q330),2),MAX('Calc base'!L$12,ROUND('Calc base'!L$13*BC329,2))))</f>
        <v>0</v>
      </c>
      <c r="T330">
        <f>IF(BD329&lt;=0,0,IF(ROUND(BD329*(1+'Calc base'!R330),2)-MAX('Calc base'!M$12,ROUND('Calc base'!M$13*BD329,2))&lt;1,ROUND(BD329*(1+'Calc base'!R330),2),MAX('Calc base'!M$12,ROUND('Calc base'!M$13*BD329,2))))</f>
        <v>0</v>
      </c>
      <c r="U330">
        <f>IF(BE329&lt;=0,0,IF(ROUND(BE329*(1+'Calc base'!S330),2)-MAX('Calc base'!N$12,ROUND('Calc base'!N$13*BE329,2))&lt;1,ROUND(BE329*(1+'Calc base'!S330),2),MAX('Calc base'!N$12,ROUND('Calc base'!N$13*BE329,2))))</f>
        <v>0</v>
      </c>
      <c r="V330">
        <f>MAX(0,ROUND(AT329*(1+'Calc base'!H330),2)-J330-'Calc base'!T330)</f>
        <v>0</v>
      </c>
      <c r="W330">
        <f>MAX(0,ROUND(AU329*(1+'Calc base'!I330),2)-K330-'Calc base'!U330)</f>
        <v>0</v>
      </c>
      <c r="X330">
        <f>MAX(0,ROUND(AV329*(1+'Calc base'!J330),2)-L330-'Calc base'!V330)</f>
        <v>0</v>
      </c>
      <c r="Y330">
        <f>MAX(0,ROUND(AW329*(1+'Calc base'!K330),2)-M330-'Calc base'!W330)</f>
        <v>0</v>
      </c>
      <c r="Z330">
        <f>MAX(0,ROUND(AX329*(1+'Calc base'!L330),2)-N330-'Calc base'!X330)</f>
        <v>0</v>
      </c>
      <c r="AA330">
        <f>MAX(0,ROUND(AY329*(1+'Calc base'!M330),2)-O330-'Calc base'!Y330)</f>
        <v>0</v>
      </c>
      <c r="AB330">
        <f>MAX(0,ROUND(AZ329*(1+'Calc base'!N330),2)-P330-'Calc base'!Z330)</f>
        <v>0</v>
      </c>
      <c r="AC330">
        <f>MAX(0,ROUND(BA329*(1+'Calc base'!O330),2)-Q330-'Calc base'!AA330)</f>
        <v>0</v>
      </c>
      <c r="AD330">
        <f>MAX(0,ROUND(BB329*(1+'Calc base'!P330),2)-R330-'Calc base'!AB330)</f>
        <v>0</v>
      </c>
      <c r="AE330">
        <f>MAX(0,ROUND(BC329*(1+'Calc base'!Q330),2)-S330-'Calc base'!AC330)</f>
        <v>0</v>
      </c>
      <c r="AF330">
        <f>MAX(0,ROUND(BD329*(1+'Calc base'!R330),2)-T330-'Calc base'!AD330)</f>
        <v>0</v>
      </c>
      <c r="AG330">
        <f>MAX(0,ROUND(BE329*(1+'Calc base'!S330),2)-U330-'Calc base'!AE330)</f>
        <v>0</v>
      </c>
      <c r="AH330">
        <f>IF('Calc base'!C$14=0,0,MIN(V330,MAX(0,$E330-SUMIFS($V330:$AG330,'Calc base'!$C$19:$N$19,"&lt;"&amp;'Calc base'!C$19,'Calc base'!$C$14:$N$14,1))))</f>
        <v>0</v>
      </c>
      <c r="AI330">
        <f>IF('Calc base'!D$14=0,0,MIN(W330,MAX(0,$E330-SUMIFS($V330:$AG330,'Calc base'!$C$19:$N$19,"&lt;"&amp;'Calc base'!D$19,'Calc base'!$C$14:$N$14,1))))</f>
        <v>0</v>
      </c>
      <c r="AJ330">
        <f>IF('Calc base'!E$14=0,0,MIN(X330,MAX(0,$E330-SUMIFS($V330:$AG330,'Calc base'!$C$19:$N$19,"&lt;"&amp;'Calc base'!E$19,'Calc base'!$C$14:$N$14,1))))</f>
        <v>0</v>
      </c>
      <c r="AK330">
        <f>IF('Calc base'!F$14=0,0,MIN(Y330,MAX(0,$E330-SUMIFS($V330:$AG330,'Calc base'!$C$19:$N$19,"&lt;"&amp;'Calc base'!F$19,'Calc base'!$C$14:$N$14,1))))</f>
        <v>0</v>
      </c>
      <c r="AL330">
        <f>IF('Calc base'!G$14=0,0,MIN(Z330,MAX(0,$E330-SUMIFS($V330:$AG330,'Calc base'!$C$19:$N$19,"&lt;"&amp;'Calc base'!G$19,'Calc base'!$C$14:$N$14,1))))</f>
        <v>0</v>
      </c>
      <c r="AM330">
        <f>IF('Calc base'!H$14=0,0,MIN(AA330,MAX(0,$E330-SUMIFS($V330:$AG330,'Calc base'!$C$19:$N$19,"&lt;"&amp;'Calc base'!H$19,'Calc base'!$C$14:$N$14,1))))</f>
        <v>0</v>
      </c>
      <c r="AN330">
        <f>IF('Calc base'!I$14=0,0,MIN(AB330,MAX(0,$E330-SUMIFS($V330:$AG330,'Calc base'!$C$19:$N$19,"&lt;"&amp;'Calc base'!I$19,'Calc base'!$C$14:$N$14,1))))</f>
        <v>0</v>
      </c>
      <c r="AO330">
        <f>IF('Calc base'!J$14=0,0,MIN(AC330,MAX(0,$E330-SUMIFS($V330:$AG330,'Calc base'!$C$19:$N$19,"&lt;"&amp;'Calc base'!J$19,'Calc base'!$C$14:$N$14,1))))</f>
        <v>0</v>
      </c>
      <c r="AP330">
        <f>IF('Calc base'!K$14=0,0,MIN(AD330,MAX(0,$E330-SUMIFS($V330:$AG330,'Calc base'!$C$19:$N$19,"&lt;"&amp;'Calc base'!K$19,'Calc base'!$C$14:$N$14,1))))</f>
        <v>0</v>
      </c>
      <c r="AQ330">
        <f>IF('Calc base'!L$14=0,0,MIN(AE330,MAX(0,$E330-SUMIFS($V330:$AG330,'Calc base'!$C$19:$N$19,"&lt;"&amp;'Calc base'!L$19,'Calc base'!$C$14:$N$14,1))))</f>
        <v>0</v>
      </c>
      <c r="AR330">
        <f>IF('Calc base'!M$14=0,0,MIN(AF330,MAX(0,$E330-SUMIFS($V330:$AG330,'Calc base'!$C$19:$N$19,"&lt;"&amp;'Calc base'!M$19,'Calc base'!$C$14:$N$14,1))))</f>
        <v>0</v>
      </c>
      <c r="AS330">
        <f>IF('Calc base'!N$14=0,0,MIN(AG330,MAX(0,$E330-SUMIFS($V330:$AG330,'Calc base'!$C$19:$N$19,"&lt;"&amp;'Calc base'!N$19,'Calc base'!$C$14:$N$14,1))))</f>
        <v>0</v>
      </c>
      <c r="AT330">
        <f>V330-AH330</f>
        <v>0</v>
      </c>
      <c r="AU330">
        <f>W330-AI330</f>
        <v>0</v>
      </c>
      <c r="AV330">
        <f>X330-AJ330</f>
        <v>0</v>
      </c>
      <c r="AW330">
        <f>Y330-AK330</f>
        <v>0</v>
      </c>
      <c r="AX330">
        <f>Z330-AL330</f>
        <v>0</v>
      </c>
      <c r="AY330">
        <f>AA330-AM330</f>
        <v>0</v>
      </c>
      <c r="AZ330">
        <f>AB330-AN330</f>
        <v>0</v>
      </c>
      <c r="BA330">
        <f>AC330-AO330</f>
        <v>0</v>
      </c>
      <c r="BB330">
        <f>AD330-AP330</f>
        <v>0</v>
      </c>
      <c r="BC330">
        <f>AE330-AQ330</f>
        <v>0</v>
      </c>
      <c r="BD330">
        <f>AF330-AR330</f>
        <v>0</v>
      </c>
      <c r="BE330">
        <f>AG330-AS330</f>
        <v>0</v>
      </c>
    </row>
    <row r="331">
      <c r="A331" t="n">
        <v>301</v>
      </c>
      <c r="B331">
        <f>SUMPRODUCT(ROUND($AT330:$BE330*(1+'Calc base'!$H331:$S331),2))</f>
        <v>0</v>
      </c>
      <c r="C331">
        <f>SUM(J331:U331)</f>
        <v>0</v>
      </c>
      <c r="D331">
        <f>SUM(V331:AG331)</f>
        <v>0</v>
      </c>
      <c r="E331">
        <f>MAX(0,IF(Impostazioni!$B$7="No",'Calc base'!$C331-$C$31,'Calc base'!$C331-C331)+'Calc base'!$G331+'Calc base'!$F331-(B331-C331-D331))</f>
        <v>900</v>
      </c>
      <c r="F331">
        <f>SUM(AH331:AS331)</f>
        <v>0</v>
      </c>
      <c r="G331">
        <f>SUM(AT331:BE331)</f>
        <v>0</v>
      </c>
      <c r="H331">
        <f>B331-G330</f>
        <v>0</v>
      </c>
      <c r="I331">
        <f>B331-G331</f>
        <v>0</v>
      </c>
      <c r="J331">
        <f>IF(AT330&lt;=0,0,IF(ROUND(AT330*(1+'Calc base'!H331),2)-MAX('Calc base'!C$12,ROUND('Calc base'!C$13*AT330,2))&lt;1,ROUND(AT330*(1+'Calc base'!H331),2),MAX('Calc base'!C$12,ROUND('Calc base'!C$13*AT330,2))))</f>
        <v>0</v>
      </c>
      <c r="K331">
        <f>IF(AU330&lt;=0,0,IF(ROUND(AU330*(1+'Calc base'!I331),2)-MAX('Calc base'!D$12,ROUND('Calc base'!D$13*AU330,2))&lt;1,ROUND(AU330*(1+'Calc base'!I331),2),MAX('Calc base'!D$12,ROUND('Calc base'!D$13*AU330,2))))</f>
        <v>0</v>
      </c>
      <c r="L331">
        <f>IF(AV330&lt;=0,0,IF(ROUND(AV330*(1+'Calc base'!J331),2)-MAX('Calc base'!E$12,ROUND('Calc base'!E$13*AV330,2))&lt;1,ROUND(AV330*(1+'Calc base'!J331),2),MAX('Calc base'!E$12,ROUND('Calc base'!E$13*AV330,2))))</f>
        <v>0</v>
      </c>
      <c r="M331">
        <f>IF(AW330&lt;=0,0,IF(ROUND(AW330*(1+'Calc base'!K331),2)-MAX('Calc base'!F$12,ROUND('Calc base'!F$13*AW330,2))&lt;1,ROUND(AW330*(1+'Calc base'!K331),2),MAX('Calc base'!F$12,ROUND('Calc base'!F$13*AW330,2))))</f>
        <v>0</v>
      </c>
      <c r="N331">
        <f>IF(AX330&lt;=0,0,IF(ROUND(AX330*(1+'Calc base'!L331),2)-MAX('Calc base'!G$12,ROUND('Calc base'!G$13*AX330,2))&lt;1,ROUND(AX330*(1+'Calc base'!L331),2),MAX('Calc base'!G$12,ROUND('Calc base'!G$13*AX330,2))))</f>
        <v>0</v>
      </c>
      <c r="O331">
        <f>IF(AY330&lt;=0,0,IF(ROUND(AY330*(1+'Calc base'!M331),2)-MAX('Calc base'!H$12,ROUND('Calc base'!H$13*AY330,2))&lt;1,ROUND(AY330*(1+'Calc base'!M331),2),MAX('Calc base'!H$12,ROUND('Calc base'!H$13*AY330,2))))</f>
        <v>0</v>
      </c>
      <c r="P331">
        <f>IF(AZ330&lt;=0,0,IF(ROUND(AZ330*(1+'Calc base'!N331),2)-MAX('Calc base'!I$12,ROUND('Calc base'!I$13*AZ330,2))&lt;1,ROUND(AZ330*(1+'Calc base'!N331),2),MAX('Calc base'!I$12,ROUND('Calc base'!I$13*AZ330,2))))</f>
        <v>0</v>
      </c>
      <c r="Q331">
        <f>IF(BA330&lt;=0,0,IF(ROUND(BA330*(1+'Calc base'!O331),2)-MAX('Calc base'!J$12,ROUND('Calc base'!J$13*BA330,2))&lt;1,ROUND(BA330*(1+'Calc base'!O331),2),MAX('Calc base'!J$12,ROUND('Calc base'!J$13*BA330,2))))</f>
        <v>0</v>
      </c>
      <c r="R331">
        <f>IF(BB330&lt;=0,0,IF(ROUND(BB330*(1+'Calc base'!P331),2)-MAX('Calc base'!K$12,ROUND('Calc base'!K$13*BB330,2))&lt;1,ROUND(BB330*(1+'Calc base'!P331),2),MAX('Calc base'!K$12,ROUND('Calc base'!K$13*BB330,2))))</f>
        <v>0</v>
      </c>
      <c r="S331">
        <f>IF(BC330&lt;=0,0,IF(ROUND(BC330*(1+'Calc base'!Q331),2)-MAX('Calc base'!L$12,ROUND('Calc base'!L$13*BC330,2))&lt;1,ROUND(BC330*(1+'Calc base'!Q331),2),MAX('Calc base'!L$12,ROUND('Calc base'!L$13*BC330,2))))</f>
        <v>0</v>
      </c>
      <c r="T331">
        <f>IF(BD330&lt;=0,0,IF(ROUND(BD330*(1+'Calc base'!R331),2)-MAX('Calc base'!M$12,ROUND('Calc base'!M$13*BD330,2))&lt;1,ROUND(BD330*(1+'Calc base'!R331),2),MAX('Calc base'!M$12,ROUND('Calc base'!M$13*BD330,2))))</f>
        <v>0</v>
      </c>
      <c r="U331">
        <f>IF(BE330&lt;=0,0,IF(ROUND(BE330*(1+'Calc base'!S331),2)-MAX('Calc base'!N$12,ROUND('Calc base'!N$13*BE330,2))&lt;1,ROUND(BE330*(1+'Calc base'!S331),2),MAX('Calc base'!N$12,ROUND('Calc base'!N$13*BE330,2))))</f>
        <v>0</v>
      </c>
      <c r="V331">
        <f>MAX(0,ROUND(AT330*(1+'Calc base'!H331),2)-J331-'Calc base'!T331)</f>
        <v>0</v>
      </c>
      <c r="W331">
        <f>MAX(0,ROUND(AU330*(1+'Calc base'!I331),2)-K331-'Calc base'!U331)</f>
        <v>0</v>
      </c>
      <c r="X331">
        <f>MAX(0,ROUND(AV330*(1+'Calc base'!J331),2)-L331-'Calc base'!V331)</f>
        <v>0</v>
      </c>
      <c r="Y331">
        <f>MAX(0,ROUND(AW330*(1+'Calc base'!K331),2)-M331-'Calc base'!W331)</f>
        <v>0</v>
      </c>
      <c r="Z331">
        <f>MAX(0,ROUND(AX330*(1+'Calc base'!L331),2)-N331-'Calc base'!X331)</f>
        <v>0</v>
      </c>
      <c r="AA331">
        <f>MAX(0,ROUND(AY330*(1+'Calc base'!M331),2)-O331-'Calc base'!Y331)</f>
        <v>0</v>
      </c>
      <c r="AB331">
        <f>MAX(0,ROUND(AZ330*(1+'Calc base'!N331),2)-P331-'Calc base'!Z331)</f>
        <v>0</v>
      </c>
      <c r="AC331">
        <f>MAX(0,ROUND(BA330*(1+'Calc base'!O331),2)-Q331-'Calc base'!AA331)</f>
        <v>0</v>
      </c>
      <c r="AD331">
        <f>MAX(0,ROUND(BB330*(1+'Calc base'!P331),2)-R331-'Calc base'!AB331)</f>
        <v>0</v>
      </c>
      <c r="AE331">
        <f>MAX(0,ROUND(BC330*(1+'Calc base'!Q331),2)-S331-'Calc base'!AC331)</f>
        <v>0</v>
      </c>
      <c r="AF331">
        <f>MAX(0,ROUND(BD330*(1+'Calc base'!R331),2)-T331-'Calc base'!AD331)</f>
        <v>0</v>
      </c>
      <c r="AG331">
        <f>MAX(0,ROUND(BE330*(1+'Calc base'!S331),2)-U331-'Calc base'!AE331)</f>
        <v>0</v>
      </c>
      <c r="AH331">
        <f>IF('Calc base'!C$14=0,0,MIN(V331,MAX(0,$E331-SUMIFS($V331:$AG331,'Calc base'!$C$19:$N$19,"&lt;"&amp;'Calc base'!C$19,'Calc base'!$C$14:$N$14,1))))</f>
        <v>0</v>
      </c>
      <c r="AI331">
        <f>IF('Calc base'!D$14=0,0,MIN(W331,MAX(0,$E331-SUMIFS($V331:$AG331,'Calc base'!$C$19:$N$19,"&lt;"&amp;'Calc base'!D$19,'Calc base'!$C$14:$N$14,1))))</f>
        <v>0</v>
      </c>
      <c r="AJ331">
        <f>IF('Calc base'!E$14=0,0,MIN(X331,MAX(0,$E331-SUMIFS($V331:$AG331,'Calc base'!$C$19:$N$19,"&lt;"&amp;'Calc base'!E$19,'Calc base'!$C$14:$N$14,1))))</f>
        <v>0</v>
      </c>
      <c r="AK331">
        <f>IF('Calc base'!F$14=0,0,MIN(Y331,MAX(0,$E331-SUMIFS($V331:$AG331,'Calc base'!$C$19:$N$19,"&lt;"&amp;'Calc base'!F$19,'Calc base'!$C$14:$N$14,1))))</f>
        <v>0</v>
      </c>
      <c r="AL331">
        <f>IF('Calc base'!G$14=0,0,MIN(Z331,MAX(0,$E331-SUMIFS($V331:$AG331,'Calc base'!$C$19:$N$19,"&lt;"&amp;'Calc base'!G$19,'Calc base'!$C$14:$N$14,1))))</f>
        <v>0</v>
      </c>
      <c r="AM331">
        <f>IF('Calc base'!H$14=0,0,MIN(AA331,MAX(0,$E331-SUMIFS($V331:$AG331,'Calc base'!$C$19:$N$19,"&lt;"&amp;'Calc base'!H$19,'Calc base'!$C$14:$N$14,1))))</f>
        <v>0</v>
      </c>
      <c r="AN331">
        <f>IF('Calc base'!I$14=0,0,MIN(AB331,MAX(0,$E331-SUMIFS($V331:$AG331,'Calc base'!$C$19:$N$19,"&lt;"&amp;'Calc base'!I$19,'Calc base'!$C$14:$N$14,1))))</f>
        <v>0</v>
      </c>
      <c r="AO331">
        <f>IF('Calc base'!J$14=0,0,MIN(AC331,MAX(0,$E331-SUMIFS($V331:$AG331,'Calc base'!$C$19:$N$19,"&lt;"&amp;'Calc base'!J$19,'Calc base'!$C$14:$N$14,1))))</f>
        <v>0</v>
      </c>
      <c r="AP331">
        <f>IF('Calc base'!K$14=0,0,MIN(AD331,MAX(0,$E331-SUMIFS($V331:$AG331,'Calc base'!$C$19:$N$19,"&lt;"&amp;'Calc base'!K$19,'Calc base'!$C$14:$N$14,1))))</f>
        <v>0</v>
      </c>
      <c r="AQ331">
        <f>IF('Calc base'!L$14=0,0,MIN(AE331,MAX(0,$E331-SUMIFS($V331:$AG331,'Calc base'!$C$19:$N$19,"&lt;"&amp;'Calc base'!L$19,'Calc base'!$C$14:$N$14,1))))</f>
        <v>0</v>
      </c>
      <c r="AR331">
        <f>IF('Calc base'!M$14=0,0,MIN(AF331,MAX(0,$E331-SUMIFS($V331:$AG331,'Calc base'!$C$19:$N$19,"&lt;"&amp;'Calc base'!M$19,'Calc base'!$C$14:$N$14,1))))</f>
        <v>0</v>
      </c>
      <c r="AS331">
        <f>IF('Calc base'!N$14=0,0,MIN(AG331,MAX(0,$E331-SUMIFS($V331:$AG331,'Calc base'!$C$19:$N$19,"&lt;"&amp;'Calc base'!N$19,'Calc base'!$C$14:$N$14,1))))</f>
        <v>0</v>
      </c>
      <c r="AT331">
        <f>V331-AH331</f>
        <v>0</v>
      </c>
      <c r="AU331">
        <f>W331-AI331</f>
        <v>0</v>
      </c>
      <c r="AV331">
        <f>X331-AJ331</f>
        <v>0</v>
      </c>
      <c r="AW331">
        <f>Y331-AK331</f>
        <v>0</v>
      </c>
      <c r="AX331">
        <f>Z331-AL331</f>
        <v>0</v>
      </c>
      <c r="AY331">
        <f>AA331-AM331</f>
        <v>0</v>
      </c>
      <c r="AZ331">
        <f>AB331-AN331</f>
        <v>0</v>
      </c>
      <c r="BA331">
        <f>AC331-AO331</f>
        <v>0</v>
      </c>
      <c r="BB331">
        <f>AD331-AP331</f>
        <v>0</v>
      </c>
      <c r="BC331">
        <f>AE331-AQ331</f>
        <v>0</v>
      </c>
      <c r="BD331">
        <f>AF331-AR331</f>
        <v>0</v>
      </c>
      <c r="BE331">
        <f>AG331-AS331</f>
        <v>0</v>
      </c>
    </row>
    <row r="332">
      <c r="A332" t="n">
        <v>302</v>
      </c>
      <c r="B332">
        <f>SUMPRODUCT(ROUND($AT331:$BE331*(1+'Calc base'!$H332:$S332),2))</f>
        <v>0</v>
      </c>
      <c r="C332">
        <f>SUM(J332:U332)</f>
        <v>0</v>
      </c>
      <c r="D332">
        <f>SUM(V332:AG332)</f>
        <v>0</v>
      </c>
      <c r="E332">
        <f>MAX(0,IF(Impostazioni!$B$7="No",'Calc base'!$C332-$C$31,'Calc base'!$C332-C332)+'Calc base'!$G332+'Calc base'!$F332-(B332-C332-D332))</f>
        <v>900</v>
      </c>
      <c r="F332">
        <f>SUM(AH332:AS332)</f>
        <v>0</v>
      </c>
      <c r="G332">
        <f>SUM(AT332:BE332)</f>
        <v>0</v>
      </c>
      <c r="H332">
        <f>B332-G331</f>
        <v>0</v>
      </c>
      <c r="I332">
        <f>B332-G332</f>
        <v>0</v>
      </c>
      <c r="J332">
        <f>IF(AT331&lt;=0,0,IF(ROUND(AT331*(1+'Calc base'!H332),2)-MAX('Calc base'!C$12,ROUND('Calc base'!C$13*AT331,2))&lt;1,ROUND(AT331*(1+'Calc base'!H332),2),MAX('Calc base'!C$12,ROUND('Calc base'!C$13*AT331,2))))</f>
        <v>0</v>
      </c>
      <c r="K332">
        <f>IF(AU331&lt;=0,0,IF(ROUND(AU331*(1+'Calc base'!I332),2)-MAX('Calc base'!D$12,ROUND('Calc base'!D$13*AU331,2))&lt;1,ROUND(AU331*(1+'Calc base'!I332),2),MAX('Calc base'!D$12,ROUND('Calc base'!D$13*AU331,2))))</f>
        <v>0</v>
      </c>
      <c r="L332">
        <f>IF(AV331&lt;=0,0,IF(ROUND(AV331*(1+'Calc base'!J332),2)-MAX('Calc base'!E$12,ROUND('Calc base'!E$13*AV331,2))&lt;1,ROUND(AV331*(1+'Calc base'!J332),2),MAX('Calc base'!E$12,ROUND('Calc base'!E$13*AV331,2))))</f>
        <v>0</v>
      </c>
      <c r="M332">
        <f>IF(AW331&lt;=0,0,IF(ROUND(AW331*(1+'Calc base'!K332),2)-MAX('Calc base'!F$12,ROUND('Calc base'!F$13*AW331,2))&lt;1,ROUND(AW331*(1+'Calc base'!K332),2),MAX('Calc base'!F$12,ROUND('Calc base'!F$13*AW331,2))))</f>
        <v>0</v>
      </c>
      <c r="N332">
        <f>IF(AX331&lt;=0,0,IF(ROUND(AX331*(1+'Calc base'!L332),2)-MAX('Calc base'!G$12,ROUND('Calc base'!G$13*AX331,2))&lt;1,ROUND(AX331*(1+'Calc base'!L332),2),MAX('Calc base'!G$12,ROUND('Calc base'!G$13*AX331,2))))</f>
        <v>0</v>
      </c>
      <c r="O332">
        <f>IF(AY331&lt;=0,0,IF(ROUND(AY331*(1+'Calc base'!M332),2)-MAX('Calc base'!H$12,ROUND('Calc base'!H$13*AY331,2))&lt;1,ROUND(AY331*(1+'Calc base'!M332),2),MAX('Calc base'!H$12,ROUND('Calc base'!H$13*AY331,2))))</f>
        <v>0</v>
      </c>
      <c r="P332">
        <f>IF(AZ331&lt;=0,0,IF(ROUND(AZ331*(1+'Calc base'!N332),2)-MAX('Calc base'!I$12,ROUND('Calc base'!I$13*AZ331,2))&lt;1,ROUND(AZ331*(1+'Calc base'!N332),2),MAX('Calc base'!I$12,ROUND('Calc base'!I$13*AZ331,2))))</f>
        <v>0</v>
      </c>
      <c r="Q332">
        <f>IF(BA331&lt;=0,0,IF(ROUND(BA331*(1+'Calc base'!O332),2)-MAX('Calc base'!J$12,ROUND('Calc base'!J$13*BA331,2))&lt;1,ROUND(BA331*(1+'Calc base'!O332),2),MAX('Calc base'!J$12,ROUND('Calc base'!J$13*BA331,2))))</f>
        <v>0</v>
      </c>
      <c r="R332">
        <f>IF(BB331&lt;=0,0,IF(ROUND(BB331*(1+'Calc base'!P332),2)-MAX('Calc base'!K$12,ROUND('Calc base'!K$13*BB331,2))&lt;1,ROUND(BB331*(1+'Calc base'!P332),2),MAX('Calc base'!K$12,ROUND('Calc base'!K$13*BB331,2))))</f>
        <v>0</v>
      </c>
      <c r="S332">
        <f>IF(BC331&lt;=0,0,IF(ROUND(BC331*(1+'Calc base'!Q332),2)-MAX('Calc base'!L$12,ROUND('Calc base'!L$13*BC331,2))&lt;1,ROUND(BC331*(1+'Calc base'!Q332),2),MAX('Calc base'!L$12,ROUND('Calc base'!L$13*BC331,2))))</f>
        <v>0</v>
      </c>
      <c r="T332">
        <f>IF(BD331&lt;=0,0,IF(ROUND(BD331*(1+'Calc base'!R332),2)-MAX('Calc base'!M$12,ROUND('Calc base'!M$13*BD331,2))&lt;1,ROUND(BD331*(1+'Calc base'!R332),2),MAX('Calc base'!M$12,ROUND('Calc base'!M$13*BD331,2))))</f>
        <v>0</v>
      </c>
      <c r="U332">
        <f>IF(BE331&lt;=0,0,IF(ROUND(BE331*(1+'Calc base'!S332),2)-MAX('Calc base'!N$12,ROUND('Calc base'!N$13*BE331,2))&lt;1,ROUND(BE331*(1+'Calc base'!S332),2),MAX('Calc base'!N$12,ROUND('Calc base'!N$13*BE331,2))))</f>
        <v>0</v>
      </c>
      <c r="V332">
        <f>MAX(0,ROUND(AT331*(1+'Calc base'!H332),2)-J332-'Calc base'!T332)</f>
        <v>0</v>
      </c>
      <c r="W332">
        <f>MAX(0,ROUND(AU331*(1+'Calc base'!I332),2)-K332-'Calc base'!U332)</f>
        <v>0</v>
      </c>
      <c r="X332">
        <f>MAX(0,ROUND(AV331*(1+'Calc base'!J332),2)-L332-'Calc base'!V332)</f>
        <v>0</v>
      </c>
      <c r="Y332">
        <f>MAX(0,ROUND(AW331*(1+'Calc base'!K332),2)-M332-'Calc base'!W332)</f>
        <v>0</v>
      </c>
      <c r="Z332">
        <f>MAX(0,ROUND(AX331*(1+'Calc base'!L332),2)-N332-'Calc base'!X332)</f>
        <v>0</v>
      </c>
      <c r="AA332">
        <f>MAX(0,ROUND(AY331*(1+'Calc base'!M332),2)-O332-'Calc base'!Y332)</f>
        <v>0</v>
      </c>
      <c r="AB332">
        <f>MAX(0,ROUND(AZ331*(1+'Calc base'!N332),2)-P332-'Calc base'!Z332)</f>
        <v>0</v>
      </c>
      <c r="AC332">
        <f>MAX(0,ROUND(BA331*(1+'Calc base'!O332),2)-Q332-'Calc base'!AA332)</f>
        <v>0</v>
      </c>
      <c r="AD332">
        <f>MAX(0,ROUND(BB331*(1+'Calc base'!P332),2)-R332-'Calc base'!AB332)</f>
        <v>0</v>
      </c>
      <c r="AE332">
        <f>MAX(0,ROUND(BC331*(1+'Calc base'!Q332),2)-S332-'Calc base'!AC332)</f>
        <v>0</v>
      </c>
      <c r="AF332">
        <f>MAX(0,ROUND(BD331*(1+'Calc base'!R332),2)-T332-'Calc base'!AD332)</f>
        <v>0</v>
      </c>
      <c r="AG332">
        <f>MAX(0,ROUND(BE331*(1+'Calc base'!S332),2)-U332-'Calc base'!AE332)</f>
        <v>0</v>
      </c>
      <c r="AH332">
        <f>IF('Calc base'!C$14=0,0,MIN(V332,MAX(0,$E332-SUMIFS($V332:$AG332,'Calc base'!$C$19:$N$19,"&lt;"&amp;'Calc base'!C$19,'Calc base'!$C$14:$N$14,1))))</f>
        <v>0</v>
      </c>
      <c r="AI332">
        <f>IF('Calc base'!D$14=0,0,MIN(W332,MAX(0,$E332-SUMIFS($V332:$AG332,'Calc base'!$C$19:$N$19,"&lt;"&amp;'Calc base'!D$19,'Calc base'!$C$14:$N$14,1))))</f>
        <v>0</v>
      </c>
      <c r="AJ332">
        <f>IF('Calc base'!E$14=0,0,MIN(X332,MAX(0,$E332-SUMIFS($V332:$AG332,'Calc base'!$C$19:$N$19,"&lt;"&amp;'Calc base'!E$19,'Calc base'!$C$14:$N$14,1))))</f>
        <v>0</v>
      </c>
      <c r="AK332">
        <f>IF('Calc base'!F$14=0,0,MIN(Y332,MAX(0,$E332-SUMIFS($V332:$AG332,'Calc base'!$C$19:$N$19,"&lt;"&amp;'Calc base'!F$19,'Calc base'!$C$14:$N$14,1))))</f>
        <v>0</v>
      </c>
      <c r="AL332">
        <f>IF('Calc base'!G$14=0,0,MIN(Z332,MAX(0,$E332-SUMIFS($V332:$AG332,'Calc base'!$C$19:$N$19,"&lt;"&amp;'Calc base'!G$19,'Calc base'!$C$14:$N$14,1))))</f>
        <v>0</v>
      </c>
      <c r="AM332">
        <f>IF('Calc base'!H$14=0,0,MIN(AA332,MAX(0,$E332-SUMIFS($V332:$AG332,'Calc base'!$C$19:$N$19,"&lt;"&amp;'Calc base'!H$19,'Calc base'!$C$14:$N$14,1))))</f>
        <v>0</v>
      </c>
      <c r="AN332">
        <f>IF('Calc base'!I$14=0,0,MIN(AB332,MAX(0,$E332-SUMIFS($V332:$AG332,'Calc base'!$C$19:$N$19,"&lt;"&amp;'Calc base'!I$19,'Calc base'!$C$14:$N$14,1))))</f>
        <v>0</v>
      </c>
      <c r="AO332">
        <f>IF('Calc base'!J$14=0,0,MIN(AC332,MAX(0,$E332-SUMIFS($V332:$AG332,'Calc base'!$C$19:$N$19,"&lt;"&amp;'Calc base'!J$19,'Calc base'!$C$14:$N$14,1))))</f>
        <v>0</v>
      </c>
      <c r="AP332">
        <f>IF('Calc base'!K$14=0,0,MIN(AD332,MAX(0,$E332-SUMIFS($V332:$AG332,'Calc base'!$C$19:$N$19,"&lt;"&amp;'Calc base'!K$19,'Calc base'!$C$14:$N$14,1))))</f>
        <v>0</v>
      </c>
      <c r="AQ332">
        <f>IF('Calc base'!L$14=0,0,MIN(AE332,MAX(0,$E332-SUMIFS($V332:$AG332,'Calc base'!$C$19:$N$19,"&lt;"&amp;'Calc base'!L$19,'Calc base'!$C$14:$N$14,1))))</f>
        <v>0</v>
      </c>
      <c r="AR332">
        <f>IF('Calc base'!M$14=0,0,MIN(AF332,MAX(0,$E332-SUMIFS($V332:$AG332,'Calc base'!$C$19:$N$19,"&lt;"&amp;'Calc base'!M$19,'Calc base'!$C$14:$N$14,1))))</f>
        <v>0</v>
      </c>
      <c r="AS332">
        <f>IF('Calc base'!N$14=0,0,MIN(AG332,MAX(0,$E332-SUMIFS($V332:$AG332,'Calc base'!$C$19:$N$19,"&lt;"&amp;'Calc base'!N$19,'Calc base'!$C$14:$N$14,1))))</f>
        <v>0</v>
      </c>
      <c r="AT332">
        <f>V332-AH332</f>
        <v>0</v>
      </c>
      <c r="AU332">
        <f>W332-AI332</f>
        <v>0</v>
      </c>
      <c r="AV332">
        <f>X332-AJ332</f>
        <v>0</v>
      </c>
      <c r="AW332">
        <f>Y332-AK332</f>
        <v>0</v>
      </c>
      <c r="AX332">
        <f>Z332-AL332</f>
        <v>0</v>
      </c>
      <c r="AY332">
        <f>AA332-AM332</f>
        <v>0</v>
      </c>
      <c r="AZ332">
        <f>AB332-AN332</f>
        <v>0</v>
      </c>
      <c r="BA332">
        <f>AC332-AO332</f>
        <v>0</v>
      </c>
      <c r="BB332">
        <f>AD332-AP332</f>
        <v>0</v>
      </c>
      <c r="BC332">
        <f>AE332-AQ332</f>
        <v>0</v>
      </c>
      <c r="BD332">
        <f>AF332-AR332</f>
        <v>0</v>
      </c>
      <c r="BE332">
        <f>AG332-AS332</f>
        <v>0</v>
      </c>
    </row>
    <row r="333">
      <c r="A333" t="n">
        <v>303</v>
      </c>
      <c r="B333">
        <f>SUMPRODUCT(ROUND($AT332:$BE332*(1+'Calc base'!$H333:$S333),2))</f>
        <v>0</v>
      </c>
      <c r="C333">
        <f>SUM(J333:U333)</f>
        <v>0</v>
      </c>
      <c r="D333">
        <f>SUM(V333:AG333)</f>
        <v>0</v>
      </c>
      <c r="E333">
        <f>MAX(0,IF(Impostazioni!$B$7="No",'Calc base'!$C333-$C$31,'Calc base'!$C333-C333)+'Calc base'!$G333+'Calc base'!$F333-(B333-C333-D333))</f>
        <v>900</v>
      </c>
      <c r="F333">
        <f>SUM(AH333:AS333)</f>
        <v>0</v>
      </c>
      <c r="G333">
        <f>SUM(AT333:BE333)</f>
        <v>0</v>
      </c>
      <c r="H333">
        <f>B333-G332</f>
        <v>0</v>
      </c>
      <c r="I333">
        <f>B333-G333</f>
        <v>0</v>
      </c>
      <c r="J333">
        <f>IF(AT332&lt;=0,0,IF(ROUND(AT332*(1+'Calc base'!H333),2)-MAX('Calc base'!C$12,ROUND('Calc base'!C$13*AT332,2))&lt;1,ROUND(AT332*(1+'Calc base'!H333),2),MAX('Calc base'!C$12,ROUND('Calc base'!C$13*AT332,2))))</f>
        <v>0</v>
      </c>
      <c r="K333">
        <f>IF(AU332&lt;=0,0,IF(ROUND(AU332*(1+'Calc base'!I333),2)-MAX('Calc base'!D$12,ROUND('Calc base'!D$13*AU332,2))&lt;1,ROUND(AU332*(1+'Calc base'!I333),2),MAX('Calc base'!D$12,ROUND('Calc base'!D$13*AU332,2))))</f>
        <v>0</v>
      </c>
      <c r="L333">
        <f>IF(AV332&lt;=0,0,IF(ROUND(AV332*(1+'Calc base'!J333),2)-MAX('Calc base'!E$12,ROUND('Calc base'!E$13*AV332,2))&lt;1,ROUND(AV332*(1+'Calc base'!J333),2),MAX('Calc base'!E$12,ROUND('Calc base'!E$13*AV332,2))))</f>
        <v>0</v>
      </c>
      <c r="M333">
        <f>IF(AW332&lt;=0,0,IF(ROUND(AW332*(1+'Calc base'!K333),2)-MAX('Calc base'!F$12,ROUND('Calc base'!F$13*AW332,2))&lt;1,ROUND(AW332*(1+'Calc base'!K333),2),MAX('Calc base'!F$12,ROUND('Calc base'!F$13*AW332,2))))</f>
        <v>0</v>
      </c>
      <c r="N333">
        <f>IF(AX332&lt;=0,0,IF(ROUND(AX332*(1+'Calc base'!L333),2)-MAX('Calc base'!G$12,ROUND('Calc base'!G$13*AX332,2))&lt;1,ROUND(AX332*(1+'Calc base'!L333),2),MAX('Calc base'!G$12,ROUND('Calc base'!G$13*AX332,2))))</f>
        <v>0</v>
      </c>
      <c r="O333">
        <f>IF(AY332&lt;=0,0,IF(ROUND(AY332*(1+'Calc base'!M333),2)-MAX('Calc base'!H$12,ROUND('Calc base'!H$13*AY332,2))&lt;1,ROUND(AY332*(1+'Calc base'!M333),2),MAX('Calc base'!H$12,ROUND('Calc base'!H$13*AY332,2))))</f>
        <v>0</v>
      </c>
      <c r="P333">
        <f>IF(AZ332&lt;=0,0,IF(ROUND(AZ332*(1+'Calc base'!N333),2)-MAX('Calc base'!I$12,ROUND('Calc base'!I$13*AZ332,2))&lt;1,ROUND(AZ332*(1+'Calc base'!N333),2),MAX('Calc base'!I$12,ROUND('Calc base'!I$13*AZ332,2))))</f>
        <v>0</v>
      </c>
      <c r="Q333">
        <f>IF(BA332&lt;=0,0,IF(ROUND(BA332*(1+'Calc base'!O333),2)-MAX('Calc base'!J$12,ROUND('Calc base'!J$13*BA332,2))&lt;1,ROUND(BA332*(1+'Calc base'!O333),2),MAX('Calc base'!J$12,ROUND('Calc base'!J$13*BA332,2))))</f>
        <v>0</v>
      </c>
      <c r="R333">
        <f>IF(BB332&lt;=0,0,IF(ROUND(BB332*(1+'Calc base'!P333),2)-MAX('Calc base'!K$12,ROUND('Calc base'!K$13*BB332,2))&lt;1,ROUND(BB332*(1+'Calc base'!P333),2),MAX('Calc base'!K$12,ROUND('Calc base'!K$13*BB332,2))))</f>
        <v>0</v>
      </c>
      <c r="S333">
        <f>IF(BC332&lt;=0,0,IF(ROUND(BC332*(1+'Calc base'!Q333),2)-MAX('Calc base'!L$12,ROUND('Calc base'!L$13*BC332,2))&lt;1,ROUND(BC332*(1+'Calc base'!Q333),2),MAX('Calc base'!L$12,ROUND('Calc base'!L$13*BC332,2))))</f>
        <v>0</v>
      </c>
      <c r="T333">
        <f>IF(BD332&lt;=0,0,IF(ROUND(BD332*(1+'Calc base'!R333),2)-MAX('Calc base'!M$12,ROUND('Calc base'!M$13*BD332,2))&lt;1,ROUND(BD332*(1+'Calc base'!R333),2),MAX('Calc base'!M$12,ROUND('Calc base'!M$13*BD332,2))))</f>
        <v>0</v>
      </c>
      <c r="U333">
        <f>IF(BE332&lt;=0,0,IF(ROUND(BE332*(1+'Calc base'!S333),2)-MAX('Calc base'!N$12,ROUND('Calc base'!N$13*BE332,2))&lt;1,ROUND(BE332*(1+'Calc base'!S333),2),MAX('Calc base'!N$12,ROUND('Calc base'!N$13*BE332,2))))</f>
        <v>0</v>
      </c>
      <c r="V333">
        <f>MAX(0,ROUND(AT332*(1+'Calc base'!H333),2)-J333-'Calc base'!T333)</f>
        <v>0</v>
      </c>
      <c r="W333">
        <f>MAX(0,ROUND(AU332*(1+'Calc base'!I333),2)-K333-'Calc base'!U333)</f>
        <v>0</v>
      </c>
      <c r="X333">
        <f>MAX(0,ROUND(AV332*(1+'Calc base'!J333),2)-L333-'Calc base'!V333)</f>
        <v>0</v>
      </c>
      <c r="Y333">
        <f>MAX(0,ROUND(AW332*(1+'Calc base'!K333),2)-M333-'Calc base'!W333)</f>
        <v>0</v>
      </c>
      <c r="Z333">
        <f>MAX(0,ROUND(AX332*(1+'Calc base'!L333),2)-N333-'Calc base'!X333)</f>
        <v>0</v>
      </c>
      <c r="AA333">
        <f>MAX(0,ROUND(AY332*(1+'Calc base'!M333),2)-O333-'Calc base'!Y333)</f>
        <v>0</v>
      </c>
      <c r="AB333">
        <f>MAX(0,ROUND(AZ332*(1+'Calc base'!N333),2)-P333-'Calc base'!Z333)</f>
        <v>0</v>
      </c>
      <c r="AC333">
        <f>MAX(0,ROUND(BA332*(1+'Calc base'!O333),2)-Q333-'Calc base'!AA333)</f>
        <v>0</v>
      </c>
      <c r="AD333">
        <f>MAX(0,ROUND(BB332*(1+'Calc base'!P333),2)-R333-'Calc base'!AB333)</f>
        <v>0</v>
      </c>
      <c r="AE333">
        <f>MAX(0,ROUND(BC332*(1+'Calc base'!Q333),2)-S333-'Calc base'!AC333)</f>
        <v>0</v>
      </c>
      <c r="AF333">
        <f>MAX(0,ROUND(BD332*(1+'Calc base'!R333),2)-T333-'Calc base'!AD333)</f>
        <v>0</v>
      </c>
      <c r="AG333">
        <f>MAX(0,ROUND(BE332*(1+'Calc base'!S333),2)-U333-'Calc base'!AE333)</f>
        <v>0</v>
      </c>
      <c r="AH333">
        <f>IF('Calc base'!C$14=0,0,MIN(V333,MAX(0,$E333-SUMIFS($V333:$AG333,'Calc base'!$C$19:$N$19,"&lt;"&amp;'Calc base'!C$19,'Calc base'!$C$14:$N$14,1))))</f>
        <v>0</v>
      </c>
      <c r="AI333">
        <f>IF('Calc base'!D$14=0,0,MIN(W333,MAX(0,$E333-SUMIFS($V333:$AG333,'Calc base'!$C$19:$N$19,"&lt;"&amp;'Calc base'!D$19,'Calc base'!$C$14:$N$14,1))))</f>
        <v>0</v>
      </c>
      <c r="AJ333">
        <f>IF('Calc base'!E$14=0,0,MIN(X333,MAX(0,$E333-SUMIFS($V333:$AG333,'Calc base'!$C$19:$N$19,"&lt;"&amp;'Calc base'!E$19,'Calc base'!$C$14:$N$14,1))))</f>
        <v>0</v>
      </c>
      <c r="AK333">
        <f>IF('Calc base'!F$14=0,0,MIN(Y333,MAX(0,$E333-SUMIFS($V333:$AG333,'Calc base'!$C$19:$N$19,"&lt;"&amp;'Calc base'!F$19,'Calc base'!$C$14:$N$14,1))))</f>
        <v>0</v>
      </c>
      <c r="AL333">
        <f>IF('Calc base'!G$14=0,0,MIN(Z333,MAX(0,$E333-SUMIFS($V333:$AG333,'Calc base'!$C$19:$N$19,"&lt;"&amp;'Calc base'!G$19,'Calc base'!$C$14:$N$14,1))))</f>
        <v>0</v>
      </c>
      <c r="AM333">
        <f>IF('Calc base'!H$14=0,0,MIN(AA333,MAX(0,$E333-SUMIFS($V333:$AG333,'Calc base'!$C$19:$N$19,"&lt;"&amp;'Calc base'!H$19,'Calc base'!$C$14:$N$14,1))))</f>
        <v>0</v>
      </c>
      <c r="AN333">
        <f>IF('Calc base'!I$14=0,0,MIN(AB333,MAX(0,$E333-SUMIFS($V333:$AG333,'Calc base'!$C$19:$N$19,"&lt;"&amp;'Calc base'!I$19,'Calc base'!$C$14:$N$14,1))))</f>
        <v>0</v>
      </c>
      <c r="AO333">
        <f>IF('Calc base'!J$14=0,0,MIN(AC333,MAX(0,$E333-SUMIFS($V333:$AG333,'Calc base'!$C$19:$N$19,"&lt;"&amp;'Calc base'!J$19,'Calc base'!$C$14:$N$14,1))))</f>
        <v>0</v>
      </c>
      <c r="AP333">
        <f>IF('Calc base'!K$14=0,0,MIN(AD333,MAX(0,$E333-SUMIFS($V333:$AG333,'Calc base'!$C$19:$N$19,"&lt;"&amp;'Calc base'!K$19,'Calc base'!$C$14:$N$14,1))))</f>
        <v>0</v>
      </c>
      <c r="AQ333">
        <f>IF('Calc base'!L$14=0,0,MIN(AE333,MAX(0,$E333-SUMIFS($V333:$AG333,'Calc base'!$C$19:$N$19,"&lt;"&amp;'Calc base'!L$19,'Calc base'!$C$14:$N$14,1))))</f>
        <v>0</v>
      </c>
      <c r="AR333">
        <f>IF('Calc base'!M$14=0,0,MIN(AF333,MAX(0,$E333-SUMIFS($V333:$AG333,'Calc base'!$C$19:$N$19,"&lt;"&amp;'Calc base'!M$19,'Calc base'!$C$14:$N$14,1))))</f>
        <v>0</v>
      </c>
      <c r="AS333">
        <f>IF('Calc base'!N$14=0,0,MIN(AG333,MAX(0,$E333-SUMIFS($V333:$AG333,'Calc base'!$C$19:$N$19,"&lt;"&amp;'Calc base'!N$19,'Calc base'!$C$14:$N$14,1))))</f>
        <v>0</v>
      </c>
      <c r="AT333">
        <f>V333-AH333</f>
        <v>0</v>
      </c>
      <c r="AU333">
        <f>W333-AI333</f>
        <v>0</v>
      </c>
      <c r="AV333">
        <f>X333-AJ333</f>
        <v>0</v>
      </c>
      <c r="AW333">
        <f>Y333-AK333</f>
        <v>0</v>
      </c>
      <c r="AX333">
        <f>Z333-AL333</f>
        <v>0</v>
      </c>
      <c r="AY333">
        <f>AA333-AM333</f>
        <v>0</v>
      </c>
      <c r="AZ333">
        <f>AB333-AN333</f>
        <v>0</v>
      </c>
      <c r="BA333">
        <f>AC333-AO333</f>
        <v>0</v>
      </c>
      <c r="BB333">
        <f>AD333-AP333</f>
        <v>0</v>
      </c>
      <c r="BC333">
        <f>AE333-AQ333</f>
        <v>0</v>
      </c>
      <c r="BD333">
        <f>AF333-AR333</f>
        <v>0</v>
      </c>
      <c r="BE333">
        <f>AG333-AS333</f>
        <v>0</v>
      </c>
    </row>
    <row r="334">
      <c r="A334" t="n">
        <v>304</v>
      </c>
      <c r="B334">
        <f>SUMPRODUCT(ROUND($AT333:$BE333*(1+'Calc base'!$H334:$S334),2))</f>
        <v>0</v>
      </c>
      <c r="C334">
        <f>SUM(J334:U334)</f>
        <v>0</v>
      </c>
      <c r="D334">
        <f>SUM(V334:AG334)</f>
        <v>0</v>
      </c>
      <c r="E334">
        <f>MAX(0,IF(Impostazioni!$B$7="No",'Calc base'!$C334-$C$31,'Calc base'!$C334-C334)+'Calc base'!$G334+'Calc base'!$F334-(B334-C334-D334))</f>
        <v>900</v>
      </c>
      <c r="F334">
        <f>SUM(AH334:AS334)</f>
        <v>0</v>
      </c>
      <c r="G334">
        <f>SUM(AT334:BE334)</f>
        <v>0</v>
      </c>
      <c r="H334">
        <f>B334-G333</f>
        <v>0</v>
      </c>
      <c r="I334">
        <f>B334-G334</f>
        <v>0</v>
      </c>
      <c r="J334">
        <f>IF(AT333&lt;=0,0,IF(ROUND(AT333*(1+'Calc base'!H334),2)-MAX('Calc base'!C$12,ROUND('Calc base'!C$13*AT333,2))&lt;1,ROUND(AT333*(1+'Calc base'!H334),2),MAX('Calc base'!C$12,ROUND('Calc base'!C$13*AT333,2))))</f>
        <v>0</v>
      </c>
      <c r="K334">
        <f>IF(AU333&lt;=0,0,IF(ROUND(AU333*(1+'Calc base'!I334),2)-MAX('Calc base'!D$12,ROUND('Calc base'!D$13*AU333,2))&lt;1,ROUND(AU333*(1+'Calc base'!I334),2),MAX('Calc base'!D$12,ROUND('Calc base'!D$13*AU333,2))))</f>
        <v>0</v>
      </c>
      <c r="L334">
        <f>IF(AV333&lt;=0,0,IF(ROUND(AV333*(1+'Calc base'!J334),2)-MAX('Calc base'!E$12,ROUND('Calc base'!E$13*AV333,2))&lt;1,ROUND(AV333*(1+'Calc base'!J334),2),MAX('Calc base'!E$12,ROUND('Calc base'!E$13*AV333,2))))</f>
        <v>0</v>
      </c>
      <c r="M334">
        <f>IF(AW333&lt;=0,0,IF(ROUND(AW333*(1+'Calc base'!K334),2)-MAX('Calc base'!F$12,ROUND('Calc base'!F$13*AW333,2))&lt;1,ROUND(AW333*(1+'Calc base'!K334),2),MAX('Calc base'!F$12,ROUND('Calc base'!F$13*AW333,2))))</f>
        <v>0</v>
      </c>
      <c r="N334">
        <f>IF(AX333&lt;=0,0,IF(ROUND(AX333*(1+'Calc base'!L334),2)-MAX('Calc base'!G$12,ROUND('Calc base'!G$13*AX333,2))&lt;1,ROUND(AX333*(1+'Calc base'!L334),2),MAX('Calc base'!G$12,ROUND('Calc base'!G$13*AX333,2))))</f>
        <v>0</v>
      </c>
      <c r="O334">
        <f>IF(AY333&lt;=0,0,IF(ROUND(AY333*(1+'Calc base'!M334),2)-MAX('Calc base'!H$12,ROUND('Calc base'!H$13*AY333,2))&lt;1,ROUND(AY333*(1+'Calc base'!M334),2),MAX('Calc base'!H$12,ROUND('Calc base'!H$13*AY333,2))))</f>
        <v>0</v>
      </c>
      <c r="P334">
        <f>IF(AZ333&lt;=0,0,IF(ROUND(AZ333*(1+'Calc base'!N334),2)-MAX('Calc base'!I$12,ROUND('Calc base'!I$13*AZ333,2))&lt;1,ROUND(AZ333*(1+'Calc base'!N334),2),MAX('Calc base'!I$12,ROUND('Calc base'!I$13*AZ333,2))))</f>
        <v>0</v>
      </c>
      <c r="Q334">
        <f>IF(BA333&lt;=0,0,IF(ROUND(BA333*(1+'Calc base'!O334),2)-MAX('Calc base'!J$12,ROUND('Calc base'!J$13*BA333,2))&lt;1,ROUND(BA333*(1+'Calc base'!O334),2),MAX('Calc base'!J$12,ROUND('Calc base'!J$13*BA333,2))))</f>
        <v>0</v>
      </c>
      <c r="R334">
        <f>IF(BB333&lt;=0,0,IF(ROUND(BB333*(1+'Calc base'!P334),2)-MAX('Calc base'!K$12,ROUND('Calc base'!K$13*BB333,2))&lt;1,ROUND(BB333*(1+'Calc base'!P334),2),MAX('Calc base'!K$12,ROUND('Calc base'!K$13*BB333,2))))</f>
        <v>0</v>
      </c>
      <c r="S334">
        <f>IF(BC333&lt;=0,0,IF(ROUND(BC333*(1+'Calc base'!Q334),2)-MAX('Calc base'!L$12,ROUND('Calc base'!L$13*BC333,2))&lt;1,ROUND(BC333*(1+'Calc base'!Q334),2),MAX('Calc base'!L$12,ROUND('Calc base'!L$13*BC333,2))))</f>
        <v>0</v>
      </c>
      <c r="T334">
        <f>IF(BD333&lt;=0,0,IF(ROUND(BD333*(1+'Calc base'!R334),2)-MAX('Calc base'!M$12,ROUND('Calc base'!M$13*BD333,2))&lt;1,ROUND(BD333*(1+'Calc base'!R334),2),MAX('Calc base'!M$12,ROUND('Calc base'!M$13*BD333,2))))</f>
        <v>0</v>
      </c>
      <c r="U334">
        <f>IF(BE333&lt;=0,0,IF(ROUND(BE333*(1+'Calc base'!S334),2)-MAX('Calc base'!N$12,ROUND('Calc base'!N$13*BE333,2))&lt;1,ROUND(BE333*(1+'Calc base'!S334),2),MAX('Calc base'!N$12,ROUND('Calc base'!N$13*BE333,2))))</f>
        <v>0</v>
      </c>
      <c r="V334">
        <f>MAX(0,ROUND(AT333*(1+'Calc base'!H334),2)-J334-'Calc base'!T334)</f>
        <v>0</v>
      </c>
      <c r="W334">
        <f>MAX(0,ROUND(AU333*(1+'Calc base'!I334),2)-K334-'Calc base'!U334)</f>
        <v>0</v>
      </c>
      <c r="X334">
        <f>MAX(0,ROUND(AV333*(1+'Calc base'!J334),2)-L334-'Calc base'!V334)</f>
        <v>0</v>
      </c>
      <c r="Y334">
        <f>MAX(0,ROUND(AW333*(1+'Calc base'!K334),2)-M334-'Calc base'!W334)</f>
        <v>0</v>
      </c>
      <c r="Z334">
        <f>MAX(0,ROUND(AX333*(1+'Calc base'!L334),2)-N334-'Calc base'!X334)</f>
        <v>0</v>
      </c>
      <c r="AA334">
        <f>MAX(0,ROUND(AY333*(1+'Calc base'!M334),2)-O334-'Calc base'!Y334)</f>
        <v>0</v>
      </c>
      <c r="AB334">
        <f>MAX(0,ROUND(AZ333*(1+'Calc base'!N334),2)-P334-'Calc base'!Z334)</f>
        <v>0</v>
      </c>
      <c r="AC334">
        <f>MAX(0,ROUND(BA333*(1+'Calc base'!O334),2)-Q334-'Calc base'!AA334)</f>
        <v>0</v>
      </c>
      <c r="AD334">
        <f>MAX(0,ROUND(BB333*(1+'Calc base'!P334),2)-R334-'Calc base'!AB334)</f>
        <v>0</v>
      </c>
      <c r="AE334">
        <f>MAX(0,ROUND(BC333*(1+'Calc base'!Q334),2)-S334-'Calc base'!AC334)</f>
        <v>0</v>
      </c>
      <c r="AF334">
        <f>MAX(0,ROUND(BD333*(1+'Calc base'!R334),2)-T334-'Calc base'!AD334)</f>
        <v>0</v>
      </c>
      <c r="AG334">
        <f>MAX(0,ROUND(BE333*(1+'Calc base'!S334),2)-U334-'Calc base'!AE334)</f>
        <v>0</v>
      </c>
      <c r="AH334">
        <f>IF('Calc base'!C$14=0,0,MIN(V334,MAX(0,$E334-SUMIFS($V334:$AG334,'Calc base'!$C$19:$N$19,"&lt;"&amp;'Calc base'!C$19,'Calc base'!$C$14:$N$14,1))))</f>
        <v>0</v>
      </c>
      <c r="AI334">
        <f>IF('Calc base'!D$14=0,0,MIN(W334,MAX(0,$E334-SUMIFS($V334:$AG334,'Calc base'!$C$19:$N$19,"&lt;"&amp;'Calc base'!D$19,'Calc base'!$C$14:$N$14,1))))</f>
        <v>0</v>
      </c>
      <c r="AJ334">
        <f>IF('Calc base'!E$14=0,0,MIN(X334,MAX(0,$E334-SUMIFS($V334:$AG334,'Calc base'!$C$19:$N$19,"&lt;"&amp;'Calc base'!E$19,'Calc base'!$C$14:$N$14,1))))</f>
        <v>0</v>
      </c>
      <c r="AK334">
        <f>IF('Calc base'!F$14=0,0,MIN(Y334,MAX(0,$E334-SUMIFS($V334:$AG334,'Calc base'!$C$19:$N$19,"&lt;"&amp;'Calc base'!F$19,'Calc base'!$C$14:$N$14,1))))</f>
        <v>0</v>
      </c>
      <c r="AL334">
        <f>IF('Calc base'!G$14=0,0,MIN(Z334,MAX(0,$E334-SUMIFS($V334:$AG334,'Calc base'!$C$19:$N$19,"&lt;"&amp;'Calc base'!G$19,'Calc base'!$C$14:$N$14,1))))</f>
        <v>0</v>
      </c>
      <c r="AM334">
        <f>IF('Calc base'!H$14=0,0,MIN(AA334,MAX(0,$E334-SUMIFS($V334:$AG334,'Calc base'!$C$19:$N$19,"&lt;"&amp;'Calc base'!H$19,'Calc base'!$C$14:$N$14,1))))</f>
        <v>0</v>
      </c>
      <c r="AN334">
        <f>IF('Calc base'!I$14=0,0,MIN(AB334,MAX(0,$E334-SUMIFS($V334:$AG334,'Calc base'!$C$19:$N$19,"&lt;"&amp;'Calc base'!I$19,'Calc base'!$C$14:$N$14,1))))</f>
        <v>0</v>
      </c>
      <c r="AO334">
        <f>IF('Calc base'!J$14=0,0,MIN(AC334,MAX(0,$E334-SUMIFS($V334:$AG334,'Calc base'!$C$19:$N$19,"&lt;"&amp;'Calc base'!J$19,'Calc base'!$C$14:$N$14,1))))</f>
        <v>0</v>
      </c>
      <c r="AP334">
        <f>IF('Calc base'!K$14=0,0,MIN(AD334,MAX(0,$E334-SUMIFS($V334:$AG334,'Calc base'!$C$19:$N$19,"&lt;"&amp;'Calc base'!K$19,'Calc base'!$C$14:$N$14,1))))</f>
        <v>0</v>
      </c>
      <c r="AQ334">
        <f>IF('Calc base'!L$14=0,0,MIN(AE334,MAX(0,$E334-SUMIFS($V334:$AG334,'Calc base'!$C$19:$N$19,"&lt;"&amp;'Calc base'!L$19,'Calc base'!$C$14:$N$14,1))))</f>
        <v>0</v>
      </c>
      <c r="AR334">
        <f>IF('Calc base'!M$14=0,0,MIN(AF334,MAX(0,$E334-SUMIFS($V334:$AG334,'Calc base'!$C$19:$N$19,"&lt;"&amp;'Calc base'!M$19,'Calc base'!$C$14:$N$14,1))))</f>
        <v>0</v>
      </c>
      <c r="AS334">
        <f>IF('Calc base'!N$14=0,0,MIN(AG334,MAX(0,$E334-SUMIFS($V334:$AG334,'Calc base'!$C$19:$N$19,"&lt;"&amp;'Calc base'!N$19,'Calc base'!$C$14:$N$14,1))))</f>
        <v>0</v>
      </c>
      <c r="AT334">
        <f>V334-AH334</f>
        <v>0</v>
      </c>
      <c r="AU334">
        <f>W334-AI334</f>
        <v>0</v>
      </c>
      <c r="AV334">
        <f>X334-AJ334</f>
        <v>0</v>
      </c>
      <c r="AW334">
        <f>Y334-AK334</f>
        <v>0</v>
      </c>
      <c r="AX334">
        <f>Z334-AL334</f>
        <v>0</v>
      </c>
      <c r="AY334">
        <f>AA334-AM334</f>
        <v>0</v>
      </c>
      <c r="AZ334">
        <f>AB334-AN334</f>
        <v>0</v>
      </c>
      <c r="BA334">
        <f>AC334-AO334</f>
        <v>0</v>
      </c>
      <c r="BB334">
        <f>AD334-AP334</f>
        <v>0</v>
      </c>
      <c r="BC334">
        <f>AE334-AQ334</f>
        <v>0</v>
      </c>
      <c r="BD334">
        <f>AF334-AR334</f>
        <v>0</v>
      </c>
      <c r="BE334">
        <f>AG334-AS334</f>
        <v>0</v>
      </c>
    </row>
    <row r="335">
      <c r="A335" t="n">
        <v>305</v>
      </c>
      <c r="B335">
        <f>SUMPRODUCT(ROUND($AT334:$BE334*(1+'Calc base'!$H335:$S335),2))</f>
        <v>0</v>
      </c>
      <c r="C335">
        <f>SUM(J335:U335)</f>
        <v>0</v>
      </c>
      <c r="D335">
        <f>SUM(V335:AG335)</f>
        <v>0</v>
      </c>
      <c r="E335">
        <f>MAX(0,IF(Impostazioni!$B$7="No",'Calc base'!$C335-$C$31,'Calc base'!$C335-C335)+'Calc base'!$G335+'Calc base'!$F335-(B335-C335-D335))</f>
        <v>900</v>
      </c>
      <c r="F335">
        <f>SUM(AH335:AS335)</f>
        <v>0</v>
      </c>
      <c r="G335">
        <f>SUM(AT335:BE335)</f>
        <v>0</v>
      </c>
      <c r="H335">
        <f>B335-G334</f>
        <v>0</v>
      </c>
      <c r="I335">
        <f>B335-G335</f>
        <v>0</v>
      </c>
      <c r="J335">
        <f>IF(AT334&lt;=0,0,IF(ROUND(AT334*(1+'Calc base'!H335),2)-MAX('Calc base'!C$12,ROUND('Calc base'!C$13*AT334,2))&lt;1,ROUND(AT334*(1+'Calc base'!H335),2),MAX('Calc base'!C$12,ROUND('Calc base'!C$13*AT334,2))))</f>
        <v>0</v>
      </c>
      <c r="K335">
        <f>IF(AU334&lt;=0,0,IF(ROUND(AU334*(1+'Calc base'!I335),2)-MAX('Calc base'!D$12,ROUND('Calc base'!D$13*AU334,2))&lt;1,ROUND(AU334*(1+'Calc base'!I335),2),MAX('Calc base'!D$12,ROUND('Calc base'!D$13*AU334,2))))</f>
        <v>0</v>
      </c>
      <c r="L335">
        <f>IF(AV334&lt;=0,0,IF(ROUND(AV334*(1+'Calc base'!J335),2)-MAX('Calc base'!E$12,ROUND('Calc base'!E$13*AV334,2))&lt;1,ROUND(AV334*(1+'Calc base'!J335),2),MAX('Calc base'!E$12,ROUND('Calc base'!E$13*AV334,2))))</f>
        <v>0</v>
      </c>
      <c r="M335">
        <f>IF(AW334&lt;=0,0,IF(ROUND(AW334*(1+'Calc base'!K335),2)-MAX('Calc base'!F$12,ROUND('Calc base'!F$13*AW334,2))&lt;1,ROUND(AW334*(1+'Calc base'!K335),2),MAX('Calc base'!F$12,ROUND('Calc base'!F$13*AW334,2))))</f>
        <v>0</v>
      </c>
      <c r="N335">
        <f>IF(AX334&lt;=0,0,IF(ROUND(AX334*(1+'Calc base'!L335),2)-MAX('Calc base'!G$12,ROUND('Calc base'!G$13*AX334,2))&lt;1,ROUND(AX334*(1+'Calc base'!L335),2),MAX('Calc base'!G$12,ROUND('Calc base'!G$13*AX334,2))))</f>
        <v>0</v>
      </c>
      <c r="O335">
        <f>IF(AY334&lt;=0,0,IF(ROUND(AY334*(1+'Calc base'!M335),2)-MAX('Calc base'!H$12,ROUND('Calc base'!H$13*AY334,2))&lt;1,ROUND(AY334*(1+'Calc base'!M335),2),MAX('Calc base'!H$12,ROUND('Calc base'!H$13*AY334,2))))</f>
        <v>0</v>
      </c>
      <c r="P335">
        <f>IF(AZ334&lt;=0,0,IF(ROUND(AZ334*(1+'Calc base'!N335),2)-MAX('Calc base'!I$12,ROUND('Calc base'!I$13*AZ334,2))&lt;1,ROUND(AZ334*(1+'Calc base'!N335),2),MAX('Calc base'!I$12,ROUND('Calc base'!I$13*AZ334,2))))</f>
        <v>0</v>
      </c>
      <c r="Q335">
        <f>IF(BA334&lt;=0,0,IF(ROUND(BA334*(1+'Calc base'!O335),2)-MAX('Calc base'!J$12,ROUND('Calc base'!J$13*BA334,2))&lt;1,ROUND(BA334*(1+'Calc base'!O335),2),MAX('Calc base'!J$12,ROUND('Calc base'!J$13*BA334,2))))</f>
        <v>0</v>
      </c>
      <c r="R335">
        <f>IF(BB334&lt;=0,0,IF(ROUND(BB334*(1+'Calc base'!P335),2)-MAX('Calc base'!K$12,ROUND('Calc base'!K$13*BB334,2))&lt;1,ROUND(BB334*(1+'Calc base'!P335),2),MAX('Calc base'!K$12,ROUND('Calc base'!K$13*BB334,2))))</f>
        <v>0</v>
      </c>
      <c r="S335">
        <f>IF(BC334&lt;=0,0,IF(ROUND(BC334*(1+'Calc base'!Q335),2)-MAX('Calc base'!L$12,ROUND('Calc base'!L$13*BC334,2))&lt;1,ROUND(BC334*(1+'Calc base'!Q335),2),MAX('Calc base'!L$12,ROUND('Calc base'!L$13*BC334,2))))</f>
        <v>0</v>
      </c>
      <c r="T335">
        <f>IF(BD334&lt;=0,0,IF(ROUND(BD334*(1+'Calc base'!R335),2)-MAX('Calc base'!M$12,ROUND('Calc base'!M$13*BD334,2))&lt;1,ROUND(BD334*(1+'Calc base'!R335),2),MAX('Calc base'!M$12,ROUND('Calc base'!M$13*BD334,2))))</f>
        <v>0</v>
      </c>
      <c r="U335">
        <f>IF(BE334&lt;=0,0,IF(ROUND(BE334*(1+'Calc base'!S335),2)-MAX('Calc base'!N$12,ROUND('Calc base'!N$13*BE334,2))&lt;1,ROUND(BE334*(1+'Calc base'!S335),2),MAX('Calc base'!N$12,ROUND('Calc base'!N$13*BE334,2))))</f>
        <v>0</v>
      </c>
      <c r="V335">
        <f>MAX(0,ROUND(AT334*(1+'Calc base'!H335),2)-J335-'Calc base'!T335)</f>
        <v>0</v>
      </c>
      <c r="W335">
        <f>MAX(0,ROUND(AU334*(1+'Calc base'!I335),2)-K335-'Calc base'!U335)</f>
        <v>0</v>
      </c>
      <c r="X335">
        <f>MAX(0,ROUND(AV334*(1+'Calc base'!J335),2)-L335-'Calc base'!V335)</f>
        <v>0</v>
      </c>
      <c r="Y335">
        <f>MAX(0,ROUND(AW334*(1+'Calc base'!K335),2)-M335-'Calc base'!W335)</f>
        <v>0</v>
      </c>
      <c r="Z335">
        <f>MAX(0,ROUND(AX334*(1+'Calc base'!L335),2)-N335-'Calc base'!X335)</f>
        <v>0</v>
      </c>
      <c r="AA335">
        <f>MAX(0,ROUND(AY334*(1+'Calc base'!M335),2)-O335-'Calc base'!Y335)</f>
        <v>0</v>
      </c>
      <c r="AB335">
        <f>MAX(0,ROUND(AZ334*(1+'Calc base'!N335),2)-P335-'Calc base'!Z335)</f>
        <v>0</v>
      </c>
      <c r="AC335">
        <f>MAX(0,ROUND(BA334*(1+'Calc base'!O335),2)-Q335-'Calc base'!AA335)</f>
        <v>0</v>
      </c>
      <c r="AD335">
        <f>MAX(0,ROUND(BB334*(1+'Calc base'!P335),2)-R335-'Calc base'!AB335)</f>
        <v>0</v>
      </c>
      <c r="AE335">
        <f>MAX(0,ROUND(BC334*(1+'Calc base'!Q335),2)-S335-'Calc base'!AC335)</f>
        <v>0</v>
      </c>
      <c r="AF335">
        <f>MAX(0,ROUND(BD334*(1+'Calc base'!R335),2)-T335-'Calc base'!AD335)</f>
        <v>0</v>
      </c>
      <c r="AG335">
        <f>MAX(0,ROUND(BE334*(1+'Calc base'!S335),2)-U335-'Calc base'!AE335)</f>
        <v>0</v>
      </c>
      <c r="AH335">
        <f>IF('Calc base'!C$14=0,0,MIN(V335,MAX(0,$E335-SUMIFS($V335:$AG335,'Calc base'!$C$19:$N$19,"&lt;"&amp;'Calc base'!C$19,'Calc base'!$C$14:$N$14,1))))</f>
        <v>0</v>
      </c>
      <c r="AI335">
        <f>IF('Calc base'!D$14=0,0,MIN(W335,MAX(0,$E335-SUMIFS($V335:$AG335,'Calc base'!$C$19:$N$19,"&lt;"&amp;'Calc base'!D$19,'Calc base'!$C$14:$N$14,1))))</f>
        <v>0</v>
      </c>
      <c r="AJ335">
        <f>IF('Calc base'!E$14=0,0,MIN(X335,MAX(0,$E335-SUMIFS($V335:$AG335,'Calc base'!$C$19:$N$19,"&lt;"&amp;'Calc base'!E$19,'Calc base'!$C$14:$N$14,1))))</f>
        <v>0</v>
      </c>
      <c r="AK335">
        <f>IF('Calc base'!F$14=0,0,MIN(Y335,MAX(0,$E335-SUMIFS($V335:$AG335,'Calc base'!$C$19:$N$19,"&lt;"&amp;'Calc base'!F$19,'Calc base'!$C$14:$N$14,1))))</f>
        <v>0</v>
      </c>
      <c r="AL335">
        <f>IF('Calc base'!G$14=0,0,MIN(Z335,MAX(0,$E335-SUMIFS($V335:$AG335,'Calc base'!$C$19:$N$19,"&lt;"&amp;'Calc base'!G$19,'Calc base'!$C$14:$N$14,1))))</f>
        <v>0</v>
      </c>
      <c r="AM335">
        <f>IF('Calc base'!H$14=0,0,MIN(AA335,MAX(0,$E335-SUMIFS($V335:$AG335,'Calc base'!$C$19:$N$19,"&lt;"&amp;'Calc base'!H$19,'Calc base'!$C$14:$N$14,1))))</f>
        <v>0</v>
      </c>
      <c r="AN335">
        <f>IF('Calc base'!I$14=0,0,MIN(AB335,MAX(0,$E335-SUMIFS($V335:$AG335,'Calc base'!$C$19:$N$19,"&lt;"&amp;'Calc base'!I$19,'Calc base'!$C$14:$N$14,1))))</f>
        <v>0</v>
      </c>
      <c r="AO335">
        <f>IF('Calc base'!J$14=0,0,MIN(AC335,MAX(0,$E335-SUMIFS($V335:$AG335,'Calc base'!$C$19:$N$19,"&lt;"&amp;'Calc base'!J$19,'Calc base'!$C$14:$N$14,1))))</f>
        <v>0</v>
      </c>
      <c r="AP335">
        <f>IF('Calc base'!K$14=0,0,MIN(AD335,MAX(0,$E335-SUMIFS($V335:$AG335,'Calc base'!$C$19:$N$19,"&lt;"&amp;'Calc base'!K$19,'Calc base'!$C$14:$N$14,1))))</f>
        <v>0</v>
      </c>
      <c r="AQ335">
        <f>IF('Calc base'!L$14=0,0,MIN(AE335,MAX(0,$E335-SUMIFS($V335:$AG335,'Calc base'!$C$19:$N$19,"&lt;"&amp;'Calc base'!L$19,'Calc base'!$C$14:$N$14,1))))</f>
        <v>0</v>
      </c>
      <c r="AR335">
        <f>IF('Calc base'!M$14=0,0,MIN(AF335,MAX(0,$E335-SUMIFS($V335:$AG335,'Calc base'!$C$19:$N$19,"&lt;"&amp;'Calc base'!M$19,'Calc base'!$C$14:$N$14,1))))</f>
        <v>0</v>
      </c>
      <c r="AS335">
        <f>IF('Calc base'!N$14=0,0,MIN(AG335,MAX(0,$E335-SUMIFS($V335:$AG335,'Calc base'!$C$19:$N$19,"&lt;"&amp;'Calc base'!N$19,'Calc base'!$C$14:$N$14,1))))</f>
        <v>0</v>
      </c>
      <c r="AT335">
        <f>V335-AH335</f>
        <v>0</v>
      </c>
      <c r="AU335">
        <f>W335-AI335</f>
        <v>0</v>
      </c>
      <c r="AV335">
        <f>X335-AJ335</f>
        <v>0</v>
      </c>
      <c r="AW335">
        <f>Y335-AK335</f>
        <v>0</v>
      </c>
      <c r="AX335">
        <f>Z335-AL335</f>
        <v>0</v>
      </c>
      <c r="AY335">
        <f>AA335-AM335</f>
        <v>0</v>
      </c>
      <c r="AZ335">
        <f>AB335-AN335</f>
        <v>0</v>
      </c>
      <c r="BA335">
        <f>AC335-AO335</f>
        <v>0</v>
      </c>
      <c r="BB335">
        <f>AD335-AP335</f>
        <v>0</v>
      </c>
      <c r="BC335">
        <f>AE335-AQ335</f>
        <v>0</v>
      </c>
      <c r="BD335">
        <f>AF335-AR335</f>
        <v>0</v>
      </c>
      <c r="BE335">
        <f>AG335-AS335</f>
        <v>0</v>
      </c>
    </row>
    <row r="336">
      <c r="A336" t="n">
        <v>306</v>
      </c>
      <c r="B336">
        <f>SUMPRODUCT(ROUND($AT335:$BE335*(1+'Calc base'!$H336:$S336),2))</f>
        <v>0</v>
      </c>
      <c r="C336">
        <f>SUM(J336:U336)</f>
        <v>0</v>
      </c>
      <c r="D336">
        <f>SUM(V336:AG336)</f>
        <v>0</v>
      </c>
      <c r="E336">
        <f>MAX(0,IF(Impostazioni!$B$7="No",'Calc base'!$C336-$C$31,'Calc base'!$C336-C336)+'Calc base'!$G336+'Calc base'!$F336-(B336-C336-D336))</f>
        <v>900</v>
      </c>
      <c r="F336">
        <f>SUM(AH336:AS336)</f>
        <v>0</v>
      </c>
      <c r="G336">
        <f>SUM(AT336:BE336)</f>
        <v>0</v>
      </c>
      <c r="H336">
        <f>B336-G335</f>
        <v>0</v>
      </c>
      <c r="I336">
        <f>B336-G336</f>
        <v>0</v>
      </c>
      <c r="J336">
        <f>IF(AT335&lt;=0,0,IF(ROUND(AT335*(1+'Calc base'!H336),2)-MAX('Calc base'!C$12,ROUND('Calc base'!C$13*AT335,2))&lt;1,ROUND(AT335*(1+'Calc base'!H336),2),MAX('Calc base'!C$12,ROUND('Calc base'!C$13*AT335,2))))</f>
        <v>0</v>
      </c>
      <c r="K336">
        <f>IF(AU335&lt;=0,0,IF(ROUND(AU335*(1+'Calc base'!I336),2)-MAX('Calc base'!D$12,ROUND('Calc base'!D$13*AU335,2))&lt;1,ROUND(AU335*(1+'Calc base'!I336),2),MAX('Calc base'!D$12,ROUND('Calc base'!D$13*AU335,2))))</f>
        <v>0</v>
      </c>
      <c r="L336">
        <f>IF(AV335&lt;=0,0,IF(ROUND(AV335*(1+'Calc base'!J336),2)-MAX('Calc base'!E$12,ROUND('Calc base'!E$13*AV335,2))&lt;1,ROUND(AV335*(1+'Calc base'!J336),2),MAX('Calc base'!E$12,ROUND('Calc base'!E$13*AV335,2))))</f>
        <v>0</v>
      </c>
      <c r="M336">
        <f>IF(AW335&lt;=0,0,IF(ROUND(AW335*(1+'Calc base'!K336),2)-MAX('Calc base'!F$12,ROUND('Calc base'!F$13*AW335,2))&lt;1,ROUND(AW335*(1+'Calc base'!K336),2),MAX('Calc base'!F$12,ROUND('Calc base'!F$13*AW335,2))))</f>
        <v>0</v>
      </c>
      <c r="N336">
        <f>IF(AX335&lt;=0,0,IF(ROUND(AX335*(1+'Calc base'!L336),2)-MAX('Calc base'!G$12,ROUND('Calc base'!G$13*AX335,2))&lt;1,ROUND(AX335*(1+'Calc base'!L336),2),MAX('Calc base'!G$12,ROUND('Calc base'!G$13*AX335,2))))</f>
        <v>0</v>
      </c>
      <c r="O336">
        <f>IF(AY335&lt;=0,0,IF(ROUND(AY335*(1+'Calc base'!M336),2)-MAX('Calc base'!H$12,ROUND('Calc base'!H$13*AY335,2))&lt;1,ROUND(AY335*(1+'Calc base'!M336),2),MAX('Calc base'!H$12,ROUND('Calc base'!H$13*AY335,2))))</f>
        <v>0</v>
      </c>
      <c r="P336">
        <f>IF(AZ335&lt;=0,0,IF(ROUND(AZ335*(1+'Calc base'!N336),2)-MAX('Calc base'!I$12,ROUND('Calc base'!I$13*AZ335,2))&lt;1,ROUND(AZ335*(1+'Calc base'!N336),2),MAX('Calc base'!I$12,ROUND('Calc base'!I$13*AZ335,2))))</f>
        <v>0</v>
      </c>
      <c r="Q336">
        <f>IF(BA335&lt;=0,0,IF(ROUND(BA335*(1+'Calc base'!O336),2)-MAX('Calc base'!J$12,ROUND('Calc base'!J$13*BA335,2))&lt;1,ROUND(BA335*(1+'Calc base'!O336),2),MAX('Calc base'!J$12,ROUND('Calc base'!J$13*BA335,2))))</f>
        <v>0</v>
      </c>
      <c r="R336">
        <f>IF(BB335&lt;=0,0,IF(ROUND(BB335*(1+'Calc base'!P336),2)-MAX('Calc base'!K$12,ROUND('Calc base'!K$13*BB335,2))&lt;1,ROUND(BB335*(1+'Calc base'!P336),2),MAX('Calc base'!K$12,ROUND('Calc base'!K$13*BB335,2))))</f>
        <v>0</v>
      </c>
      <c r="S336">
        <f>IF(BC335&lt;=0,0,IF(ROUND(BC335*(1+'Calc base'!Q336),2)-MAX('Calc base'!L$12,ROUND('Calc base'!L$13*BC335,2))&lt;1,ROUND(BC335*(1+'Calc base'!Q336),2),MAX('Calc base'!L$12,ROUND('Calc base'!L$13*BC335,2))))</f>
        <v>0</v>
      </c>
      <c r="T336">
        <f>IF(BD335&lt;=0,0,IF(ROUND(BD335*(1+'Calc base'!R336),2)-MAX('Calc base'!M$12,ROUND('Calc base'!M$13*BD335,2))&lt;1,ROUND(BD335*(1+'Calc base'!R336),2),MAX('Calc base'!M$12,ROUND('Calc base'!M$13*BD335,2))))</f>
        <v>0</v>
      </c>
      <c r="U336">
        <f>IF(BE335&lt;=0,0,IF(ROUND(BE335*(1+'Calc base'!S336),2)-MAX('Calc base'!N$12,ROUND('Calc base'!N$13*BE335,2))&lt;1,ROUND(BE335*(1+'Calc base'!S336),2),MAX('Calc base'!N$12,ROUND('Calc base'!N$13*BE335,2))))</f>
        <v>0</v>
      </c>
      <c r="V336">
        <f>MAX(0,ROUND(AT335*(1+'Calc base'!H336),2)-J336-'Calc base'!T336)</f>
        <v>0</v>
      </c>
      <c r="W336">
        <f>MAX(0,ROUND(AU335*(1+'Calc base'!I336),2)-K336-'Calc base'!U336)</f>
        <v>0</v>
      </c>
      <c r="X336">
        <f>MAX(0,ROUND(AV335*(1+'Calc base'!J336),2)-L336-'Calc base'!V336)</f>
        <v>0</v>
      </c>
      <c r="Y336">
        <f>MAX(0,ROUND(AW335*(1+'Calc base'!K336),2)-M336-'Calc base'!W336)</f>
        <v>0</v>
      </c>
      <c r="Z336">
        <f>MAX(0,ROUND(AX335*(1+'Calc base'!L336),2)-N336-'Calc base'!X336)</f>
        <v>0</v>
      </c>
      <c r="AA336">
        <f>MAX(0,ROUND(AY335*(1+'Calc base'!M336),2)-O336-'Calc base'!Y336)</f>
        <v>0</v>
      </c>
      <c r="AB336">
        <f>MAX(0,ROUND(AZ335*(1+'Calc base'!N336),2)-P336-'Calc base'!Z336)</f>
        <v>0</v>
      </c>
      <c r="AC336">
        <f>MAX(0,ROUND(BA335*(1+'Calc base'!O336),2)-Q336-'Calc base'!AA336)</f>
        <v>0</v>
      </c>
      <c r="AD336">
        <f>MAX(0,ROUND(BB335*(1+'Calc base'!P336),2)-R336-'Calc base'!AB336)</f>
        <v>0</v>
      </c>
      <c r="AE336">
        <f>MAX(0,ROUND(BC335*(1+'Calc base'!Q336),2)-S336-'Calc base'!AC336)</f>
        <v>0</v>
      </c>
      <c r="AF336">
        <f>MAX(0,ROUND(BD335*(1+'Calc base'!R336),2)-T336-'Calc base'!AD336)</f>
        <v>0</v>
      </c>
      <c r="AG336">
        <f>MAX(0,ROUND(BE335*(1+'Calc base'!S336),2)-U336-'Calc base'!AE336)</f>
        <v>0</v>
      </c>
      <c r="AH336">
        <f>IF('Calc base'!C$14=0,0,MIN(V336,MAX(0,$E336-SUMIFS($V336:$AG336,'Calc base'!$C$19:$N$19,"&lt;"&amp;'Calc base'!C$19,'Calc base'!$C$14:$N$14,1))))</f>
        <v>0</v>
      </c>
      <c r="AI336">
        <f>IF('Calc base'!D$14=0,0,MIN(W336,MAX(0,$E336-SUMIFS($V336:$AG336,'Calc base'!$C$19:$N$19,"&lt;"&amp;'Calc base'!D$19,'Calc base'!$C$14:$N$14,1))))</f>
        <v>0</v>
      </c>
      <c r="AJ336">
        <f>IF('Calc base'!E$14=0,0,MIN(X336,MAX(0,$E336-SUMIFS($V336:$AG336,'Calc base'!$C$19:$N$19,"&lt;"&amp;'Calc base'!E$19,'Calc base'!$C$14:$N$14,1))))</f>
        <v>0</v>
      </c>
      <c r="AK336">
        <f>IF('Calc base'!F$14=0,0,MIN(Y336,MAX(0,$E336-SUMIFS($V336:$AG336,'Calc base'!$C$19:$N$19,"&lt;"&amp;'Calc base'!F$19,'Calc base'!$C$14:$N$14,1))))</f>
        <v>0</v>
      </c>
      <c r="AL336">
        <f>IF('Calc base'!G$14=0,0,MIN(Z336,MAX(0,$E336-SUMIFS($V336:$AG336,'Calc base'!$C$19:$N$19,"&lt;"&amp;'Calc base'!G$19,'Calc base'!$C$14:$N$14,1))))</f>
        <v>0</v>
      </c>
      <c r="AM336">
        <f>IF('Calc base'!H$14=0,0,MIN(AA336,MAX(0,$E336-SUMIFS($V336:$AG336,'Calc base'!$C$19:$N$19,"&lt;"&amp;'Calc base'!H$19,'Calc base'!$C$14:$N$14,1))))</f>
        <v>0</v>
      </c>
      <c r="AN336">
        <f>IF('Calc base'!I$14=0,0,MIN(AB336,MAX(0,$E336-SUMIFS($V336:$AG336,'Calc base'!$C$19:$N$19,"&lt;"&amp;'Calc base'!I$19,'Calc base'!$C$14:$N$14,1))))</f>
        <v>0</v>
      </c>
      <c r="AO336">
        <f>IF('Calc base'!J$14=0,0,MIN(AC336,MAX(0,$E336-SUMIFS($V336:$AG336,'Calc base'!$C$19:$N$19,"&lt;"&amp;'Calc base'!J$19,'Calc base'!$C$14:$N$14,1))))</f>
        <v>0</v>
      </c>
      <c r="AP336">
        <f>IF('Calc base'!K$14=0,0,MIN(AD336,MAX(0,$E336-SUMIFS($V336:$AG336,'Calc base'!$C$19:$N$19,"&lt;"&amp;'Calc base'!K$19,'Calc base'!$C$14:$N$14,1))))</f>
        <v>0</v>
      </c>
      <c r="AQ336">
        <f>IF('Calc base'!L$14=0,0,MIN(AE336,MAX(0,$E336-SUMIFS($V336:$AG336,'Calc base'!$C$19:$N$19,"&lt;"&amp;'Calc base'!L$19,'Calc base'!$C$14:$N$14,1))))</f>
        <v>0</v>
      </c>
      <c r="AR336">
        <f>IF('Calc base'!M$14=0,0,MIN(AF336,MAX(0,$E336-SUMIFS($V336:$AG336,'Calc base'!$C$19:$N$19,"&lt;"&amp;'Calc base'!M$19,'Calc base'!$C$14:$N$14,1))))</f>
        <v>0</v>
      </c>
      <c r="AS336">
        <f>IF('Calc base'!N$14=0,0,MIN(AG336,MAX(0,$E336-SUMIFS($V336:$AG336,'Calc base'!$C$19:$N$19,"&lt;"&amp;'Calc base'!N$19,'Calc base'!$C$14:$N$14,1))))</f>
        <v>0</v>
      </c>
      <c r="AT336">
        <f>V336-AH336</f>
        <v>0</v>
      </c>
      <c r="AU336">
        <f>W336-AI336</f>
        <v>0</v>
      </c>
      <c r="AV336">
        <f>X336-AJ336</f>
        <v>0</v>
      </c>
      <c r="AW336">
        <f>Y336-AK336</f>
        <v>0</v>
      </c>
      <c r="AX336">
        <f>Z336-AL336</f>
        <v>0</v>
      </c>
      <c r="AY336">
        <f>AA336-AM336</f>
        <v>0</v>
      </c>
      <c r="AZ336">
        <f>AB336-AN336</f>
        <v>0</v>
      </c>
      <c r="BA336">
        <f>AC336-AO336</f>
        <v>0</v>
      </c>
      <c r="BB336">
        <f>AD336-AP336</f>
        <v>0</v>
      </c>
      <c r="BC336">
        <f>AE336-AQ336</f>
        <v>0</v>
      </c>
      <c r="BD336">
        <f>AF336-AR336</f>
        <v>0</v>
      </c>
      <c r="BE336">
        <f>AG336-AS336</f>
        <v>0</v>
      </c>
    </row>
    <row r="337">
      <c r="A337" t="n">
        <v>307</v>
      </c>
      <c r="B337">
        <f>SUMPRODUCT(ROUND($AT336:$BE336*(1+'Calc base'!$H337:$S337),2))</f>
        <v>0</v>
      </c>
      <c r="C337">
        <f>SUM(J337:U337)</f>
        <v>0</v>
      </c>
      <c r="D337">
        <f>SUM(V337:AG337)</f>
        <v>0</v>
      </c>
      <c r="E337">
        <f>MAX(0,IF(Impostazioni!$B$7="No",'Calc base'!$C337-$C$31,'Calc base'!$C337-C337)+'Calc base'!$G337+'Calc base'!$F337-(B337-C337-D337))</f>
        <v>900</v>
      </c>
      <c r="F337">
        <f>SUM(AH337:AS337)</f>
        <v>0</v>
      </c>
      <c r="G337">
        <f>SUM(AT337:BE337)</f>
        <v>0</v>
      </c>
      <c r="H337">
        <f>B337-G336</f>
        <v>0</v>
      </c>
      <c r="I337">
        <f>B337-G337</f>
        <v>0</v>
      </c>
      <c r="J337">
        <f>IF(AT336&lt;=0,0,IF(ROUND(AT336*(1+'Calc base'!H337),2)-MAX('Calc base'!C$12,ROUND('Calc base'!C$13*AT336,2))&lt;1,ROUND(AT336*(1+'Calc base'!H337),2),MAX('Calc base'!C$12,ROUND('Calc base'!C$13*AT336,2))))</f>
        <v>0</v>
      </c>
      <c r="K337">
        <f>IF(AU336&lt;=0,0,IF(ROUND(AU336*(1+'Calc base'!I337),2)-MAX('Calc base'!D$12,ROUND('Calc base'!D$13*AU336,2))&lt;1,ROUND(AU336*(1+'Calc base'!I337),2),MAX('Calc base'!D$12,ROUND('Calc base'!D$13*AU336,2))))</f>
        <v>0</v>
      </c>
      <c r="L337">
        <f>IF(AV336&lt;=0,0,IF(ROUND(AV336*(1+'Calc base'!J337),2)-MAX('Calc base'!E$12,ROUND('Calc base'!E$13*AV336,2))&lt;1,ROUND(AV336*(1+'Calc base'!J337),2),MAX('Calc base'!E$12,ROUND('Calc base'!E$13*AV336,2))))</f>
        <v>0</v>
      </c>
      <c r="M337">
        <f>IF(AW336&lt;=0,0,IF(ROUND(AW336*(1+'Calc base'!K337),2)-MAX('Calc base'!F$12,ROUND('Calc base'!F$13*AW336,2))&lt;1,ROUND(AW336*(1+'Calc base'!K337),2),MAX('Calc base'!F$12,ROUND('Calc base'!F$13*AW336,2))))</f>
        <v>0</v>
      </c>
      <c r="N337">
        <f>IF(AX336&lt;=0,0,IF(ROUND(AX336*(1+'Calc base'!L337),2)-MAX('Calc base'!G$12,ROUND('Calc base'!G$13*AX336,2))&lt;1,ROUND(AX336*(1+'Calc base'!L337),2),MAX('Calc base'!G$12,ROUND('Calc base'!G$13*AX336,2))))</f>
        <v>0</v>
      </c>
      <c r="O337">
        <f>IF(AY336&lt;=0,0,IF(ROUND(AY336*(1+'Calc base'!M337),2)-MAX('Calc base'!H$12,ROUND('Calc base'!H$13*AY336,2))&lt;1,ROUND(AY336*(1+'Calc base'!M337),2),MAX('Calc base'!H$12,ROUND('Calc base'!H$13*AY336,2))))</f>
        <v>0</v>
      </c>
      <c r="P337">
        <f>IF(AZ336&lt;=0,0,IF(ROUND(AZ336*(1+'Calc base'!N337),2)-MAX('Calc base'!I$12,ROUND('Calc base'!I$13*AZ336,2))&lt;1,ROUND(AZ336*(1+'Calc base'!N337),2),MAX('Calc base'!I$12,ROUND('Calc base'!I$13*AZ336,2))))</f>
        <v>0</v>
      </c>
      <c r="Q337">
        <f>IF(BA336&lt;=0,0,IF(ROUND(BA336*(1+'Calc base'!O337),2)-MAX('Calc base'!J$12,ROUND('Calc base'!J$13*BA336,2))&lt;1,ROUND(BA336*(1+'Calc base'!O337),2),MAX('Calc base'!J$12,ROUND('Calc base'!J$13*BA336,2))))</f>
        <v>0</v>
      </c>
      <c r="R337">
        <f>IF(BB336&lt;=0,0,IF(ROUND(BB336*(1+'Calc base'!P337),2)-MAX('Calc base'!K$12,ROUND('Calc base'!K$13*BB336,2))&lt;1,ROUND(BB336*(1+'Calc base'!P337),2),MAX('Calc base'!K$12,ROUND('Calc base'!K$13*BB336,2))))</f>
        <v>0</v>
      </c>
      <c r="S337">
        <f>IF(BC336&lt;=0,0,IF(ROUND(BC336*(1+'Calc base'!Q337),2)-MAX('Calc base'!L$12,ROUND('Calc base'!L$13*BC336,2))&lt;1,ROUND(BC336*(1+'Calc base'!Q337),2),MAX('Calc base'!L$12,ROUND('Calc base'!L$13*BC336,2))))</f>
        <v>0</v>
      </c>
      <c r="T337">
        <f>IF(BD336&lt;=0,0,IF(ROUND(BD336*(1+'Calc base'!R337),2)-MAX('Calc base'!M$12,ROUND('Calc base'!M$13*BD336,2))&lt;1,ROUND(BD336*(1+'Calc base'!R337),2),MAX('Calc base'!M$12,ROUND('Calc base'!M$13*BD336,2))))</f>
        <v>0</v>
      </c>
      <c r="U337">
        <f>IF(BE336&lt;=0,0,IF(ROUND(BE336*(1+'Calc base'!S337),2)-MAX('Calc base'!N$12,ROUND('Calc base'!N$13*BE336,2))&lt;1,ROUND(BE336*(1+'Calc base'!S337),2),MAX('Calc base'!N$12,ROUND('Calc base'!N$13*BE336,2))))</f>
        <v>0</v>
      </c>
      <c r="V337">
        <f>MAX(0,ROUND(AT336*(1+'Calc base'!H337),2)-J337-'Calc base'!T337)</f>
        <v>0</v>
      </c>
      <c r="W337">
        <f>MAX(0,ROUND(AU336*(1+'Calc base'!I337),2)-K337-'Calc base'!U337)</f>
        <v>0</v>
      </c>
      <c r="X337">
        <f>MAX(0,ROUND(AV336*(1+'Calc base'!J337),2)-L337-'Calc base'!V337)</f>
        <v>0</v>
      </c>
      <c r="Y337">
        <f>MAX(0,ROUND(AW336*(1+'Calc base'!K337),2)-M337-'Calc base'!W337)</f>
        <v>0</v>
      </c>
      <c r="Z337">
        <f>MAX(0,ROUND(AX336*(1+'Calc base'!L337),2)-N337-'Calc base'!X337)</f>
        <v>0</v>
      </c>
      <c r="AA337">
        <f>MAX(0,ROUND(AY336*(1+'Calc base'!M337),2)-O337-'Calc base'!Y337)</f>
        <v>0</v>
      </c>
      <c r="AB337">
        <f>MAX(0,ROUND(AZ336*(1+'Calc base'!N337),2)-P337-'Calc base'!Z337)</f>
        <v>0</v>
      </c>
      <c r="AC337">
        <f>MAX(0,ROUND(BA336*(1+'Calc base'!O337),2)-Q337-'Calc base'!AA337)</f>
        <v>0</v>
      </c>
      <c r="AD337">
        <f>MAX(0,ROUND(BB336*(1+'Calc base'!P337),2)-R337-'Calc base'!AB337)</f>
        <v>0</v>
      </c>
      <c r="AE337">
        <f>MAX(0,ROUND(BC336*(1+'Calc base'!Q337),2)-S337-'Calc base'!AC337)</f>
        <v>0</v>
      </c>
      <c r="AF337">
        <f>MAX(0,ROUND(BD336*(1+'Calc base'!R337),2)-T337-'Calc base'!AD337)</f>
        <v>0</v>
      </c>
      <c r="AG337">
        <f>MAX(0,ROUND(BE336*(1+'Calc base'!S337),2)-U337-'Calc base'!AE337)</f>
        <v>0</v>
      </c>
      <c r="AH337">
        <f>IF('Calc base'!C$14=0,0,MIN(V337,MAX(0,$E337-SUMIFS($V337:$AG337,'Calc base'!$C$19:$N$19,"&lt;"&amp;'Calc base'!C$19,'Calc base'!$C$14:$N$14,1))))</f>
        <v>0</v>
      </c>
      <c r="AI337">
        <f>IF('Calc base'!D$14=0,0,MIN(W337,MAX(0,$E337-SUMIFS($V337:$AG337,'Calc base'!$C$19:$N$19,"&lt;"&amp;'Calc base'!D$19,'Calc base'!$C$14:$N$14,1))))</f>
        <v>0</v>
      </c>
      <c r="AJ337">
        <f>IF('Calc base'!E$14=0,0,MIN(X337,MAX(0,$E337-SUMIFS($V337:$AG337,'Calc base'!$C$19:$N$19,"&lt;"&amp;'Calc base'!E$19,'Calc base'!$C$14:$N$14,1))))</f>
        <v>0</v>
      </c>
      <c r="AK337">
        <f>IF('Calc base'!F$14=0,0,MIN(Y337,MAX(0,$E337-SUMIFS($V337:$AG337,'Calc base'!$C$19:$N$19,"&lt;"&amp;'Calc base'!F$19,'Calc base'!$C$14:$N$14,1))))</f>
        <v>0</v>
      </c>
      <c r="AL337">
        <f>IF('Calc base'!G$14=0,0,MIN(Z337,MAX(0,$E337-SUMIFS($V337:$AG337,'Calc base'!$C$19:$N$19,"&lt;"&amp;'Calc base'!G$19,'Calc base'!$C$14:$N$14,1))))</f>
        <v>0</v>
      </c>
      <c r="AM337">
        <f>IF('Calc base'!H$14=0,0,MIN(AA337,MAX(0,$E337-SUMIFS($V337:$AG337,'Calc base'!$C$19:$N$19,"&lt;"&amp;'Calc base'!H$19,'Calc base'!$C$14:$N$14,1))))</f>
        <v>0</v>
      </c>
      <c r="AN337">
        <f>IF('Calc base'!I$14=0,0,MIN(AB337,MAX(0,$E337-SUMIFS($V337:$AG337,'Calc base'!$C$19:$N$19,"&lt;"&amp;'Calc base'!I$19,'Calc base'!$C$14:$N$14,1))))</f>
        <v>0</v>
      </c>
      <c r="AO337">
        <f>IF('Calc base'!J$14=0,0,MIN(AC337,MAX(0,$E337-SUMIFS($V337:$AG337,'Calc base'!$C$19:$N$19,"&lt;"&amp;'Calc base'!J$19,'Calc base'!$C$14:$N$14,1))))</f>
        <v>0</v>
      </c>
      <c r="AP337">
        <f>IF('Calc base'!K$14=0,0,MIN(AD337,MAX(0,$E337-SUMIFS($V337:$AG337,'Calc base'!$C$19:$N$19,"&lt;"&amp;'Calc base'!K$19,'Calc base'!$C$14:$N$14,1))))</f>
        <v>0</v>
      </c>
      <c r="AQ337">
        <f>IF('Calc base'!L$14=0,0,MIN(AE337,MAX(0,$E337-SUMIFS($V337:$AG337,'Calc base'!$C$19:$N$19,"&lt;"&amp;'Calc base'!L$19,'Calc base'!$C$14:$N$14,1))))</f>
        <v>0</v>
      </c>
      <c r="AR337">
        <f>IF('Calc base'!M$14=0,0,MIN(AF337,MAX(0,$E337-SUMIFS($V337:$AG337,'Calc base'!$C$19:$N$19,"&lt;"&amp;'Calc base'!M$19,'Calc base'!$C$14:$N$14,1))))</f>
        <v>0</v>
      </c>
      <c r="AS337">
        <f>IF('Calc base'!N$14=0,0,MIN(AG337,MAX(0,$E337-SUMIFS($V337:$AG337,'Calc base'!$C$19:$N$19,"&lt;"&amp;'Calc base'!N$19,'Calc base'!$C$14:$N$14,1))))</f>
        <v>0</v>
      </c>
      <c r="AT337">
        <f>V337-AH337</f>
        <v>0</v>
      </c>
      <c r="AU337">
        <f>W337-AI337</f>
        <v>0</v>
      </c>
      <c r="AV337">
        <f>X337-AJ337</f>
        <v>0</v>
      </c>
      <c r="AW337">
        <f>Y337-AK337</f>
        <v>0</v>
      </c>
      <c r="AX337">
        <f>Z337-AL337</f>
        <v>0</v>
      </c>
      <c r="AY337">
        <f>AA337-AM337</f>
        <v>0</v>
      </c>
      <c r="AZ337">
        <f>AB337-AN337</f>
        <v>0</v>
      </c>
      <c r="BA337">
        <f>AC337-AO337</f>
        <v>0</v>
      </c>
      <c r="BB337">
        <f>AD337-AP337</f>
        <v>0</v>
      </c>
      <c r="BC337">
        <f>AE337-AQ337</f>
        <v>0</v>
      </c>
      <c r="BD337">
        <f>AF337-AR337</f>
        <v>0</v>
      </c>
      <c r="BE337">
        <f>AG337-AS337</f>
        <v>0</v>
      </c>
    </row>
    <row r="338">
      <c r="A338" t="n">
        <v>308</v>
      </c>
      <c r="B338">
        <f>SUMPRODUCT(ROUND($AT337:$BE337*(1+'Calc base'!$H338:$S338),2))</f>
        <v>0</v>
      </c>
      <c r="C338">
        <f>SUM(J338:U338)</f>
        <v>0</v>
      </c>
      <c r="D338">
        <f>SUM(V338:AG338)</f>
        <v>0</v>
      </c>
      <c r="E338">
        <f>MAX(0,IF(Impostazioni!$B$7="No",'Calc base'!$C338-$C$31,'Calc base'!$C338-C338)+'Calc base'!$G338+'Calc base'!$F338-(B338-C338-D338))</f>
        <v>900</v>
      </c>
      <c r="F338">
        <f>SUM(AH338:AS338)</f>
        <v>0</v>
      </c>
      <c r="G338">
        <f>SUM(AT338:BE338)</f>
        <v>0</v>
      </c>
      <c r="H338">
        <f>B338-G337</f>
        <v>0</v>
      </c>
      <c r="I338">
        <f>B338-G338</f>
        <v>0</v>
      </c>
      <c r="J338">
        <f>IF(AT337&lt;=0,0,IF(ROUND(AT337*(1+'Calc base'!H338),2)-MAX('Calc base'!C$12,ROUND('Calc base'!C$13*AT337,2))&lt;1,ROUND(AT337*(1+'Calc base'!H338),2),MAX('Calc base'!C$12,ROUND('Calc base'!C$13*AT337,2))))</f>
        <v>0</v>
      </c>
      <c r="K338">
        <f>IF(AU337&lt;=0,0,IF(ROUND(AU337*(1+'Calc base'!I338),2)-MAX('Calc base'!D$12,ROUND('Calc base'!D$13*AU337,2))&lt;1,ROUND(AU337*(1+'Calc base'!I338),2),MAX('Calc base'!D$12,ROUND('Calc base'!D$13*AU337,2))))</f>
        <v>0</v>
      </c>
      <c r="L338">
        <f>IF(AV337&lt;=0,0,IF(ROUND(AV337*(1+'Calc base'!J338),2)-MAX('Calc base'!E$12,ROUND('Calc base'!E$13*AV337,2))&lt;1,ROUND(AV337*(1+'Calc base'!J338),2),MAX('Calc base'!E$12,ROUND('Calc base'!E$13*AV337,2))))</f>
        <v>0</v>
      </c>
      <c r="M338">
        <f>IF(AW337&lt;=0,0,IF(ROUND(AW337*(1+'Calc base'!K338),2)-MAX('Calc base'!F$12,ROUND('Calc base'!F$13*AW337,2))&lt;1,ROUND(AW337*(1+'Calc base'!K338),2),MAX('Calc base'!F$12,ROUND('Calc base'!F$13*AW337,2))))</f>
        <v>0</v>
      </c>
      <c r="N338">
        <f>IF(AX337&lt;=0,0,IF(ROUND(AX337*(1+'Calc base'!L338),2)-MAX('Calc base'!G$12,ROUND('Calc base'!G$13*AX337,2))&lt;1,ROUND(AX337*(1+'Calc base'!L338),2),MAX('Calc base'!G$12,ROUND('Calc base'!G$13*AX337,2))))</f>
        <v>0</v>
      </c>
      <c r="O338">
        <f>IF(AY337&lt;=0,0,IF(ROUND(AY337*(1+'Calc base'!M338),2)-MAX('Calc base'!H$12,ROUND('Calc base'!H$13*AY337,2))&lt;1,ROUND(AY337*(1+'Calc base'!M338),2),MAX('Calc base'!H$12,ROUND('Calc base'!H$13*AY337,2))))</f>
        <v>0</v>
      </c>
      <c r="P338">
        <f>IF(AZ337&lt;=0,0,IF(ROUND(AZ337*(1+'Calc base'!N338),2)-MAX('Calc base'!I$12,ROUND('Calc base'!I$13*AZ337,2))&lt;1,ROUND(AZ337*(1+'Calc base'!N338),2),MAX('Calc base'!I$12,ROUND('Calc base'!I$13*AZ337,2))))</f>
        <v>0</v>
      </c>
      <c r="Q338">
        <f>IF(BA337&lt;=0,0,IF(ROUND(BA337*(1+'Calc base'!O338),2)-MAX('Calc base'!J$12,ROUND('Calc base'!J$13*BA337,2))&lt;1,ROUND(BA337*(1+'Calc base'!O338),2),MAX('Calc base'!J$12,ROUND('Calc base'!J$13*BA337,2))))</f>
        <v>0</v>
      </c>
      <c r="R338">
        <f>IF(BB337&lt;=0,0,IF(ROUND(BB337*(1+'Calc base'!P338),2)-MAX('Calc base'!K$12,ROUND('Calc base'!K$13*BB337,2))&lt;1,ROUND(BB337*(1+'Calc base'!P338),2),MAX('Calc base'!K$12,ROUND('Calc base'!K$13*BB337,2))))</f>
        <v>0</v>
      </c>
      <c r="S338">
        <f>IF(BC337&lt;=0,0,IF(ROUND(BC337*(1+'Calc base'!Q338),2)-MAX('Calc base'!L$12,ROUND('Calc base'!L$13*BC337,2))&lt;1,ROUND(BC337*(1+'Calc base'!Q338),2),MAX('Calc base'!L$12,ROUND('Calc base'!L$13*BC337,2))))</f>
        <v>0</v>
      </c>
      <c r="T338">
        <f>IF(BD337&lt;=0,0,IF(ROUND(BD337*(1+'Calc base'!R338),2)-MAX('Calc base'!M$12,ROUND('Calc base'!M$13*BD337,2))&lt;1,ROUND(BD337*(1+'Calc base'!R338),2),MAX('Calc base'!M$12,ROUND('Calc base'!M$13*BD337,2))))</f>
        <v>0</v>
      </c>
      <c r="U338">
        <f>IF(BE337&lt;=0,0,IF(ROUND(BE337*(1+'Calc base'!S338),2)-MAX('Calc base'!N$12,ROUND('Calc base'!N$13*BE337,2))&lt;1,ROUND(BE337*(1+'Calc base'!S338),2),MAX('Calc base'!N$12,ROUND('Calc base'!N$13*BE337,2))))</f>
        <v>0</v>
      </c>
      <c r="V338">
        <f>MAX(0,ROUND(AT337*(1+'Calc base'!H338),2)-J338-'Calc base'!T338)</f>
        <v>0</v>
      </c>
      <c r="W338">
        <f>MAX(0,ROUND(AU337*(1+'Calc base'!I338),2)-K338-'Calc base'!U338)</f>
        <v>0</v>
      </c>
      <c r="X338">
        <f>MAX(0,ROUND(AV337*(1+'Calc base'!J338),2)-L338-'Calc base'!V338)</f>
        <v>0</v>
      </c>
      <c r="Y338">
        <f>MAX(0,ROUND(AW337*(1+'Calc base'!K338),2)-M338-'Calc base'!W338)</f>
        <v>0</v>
      </c>
      <c r="Z338">
        <f>MAX(0,ROUND(AX337*(1+'Calc base'!L338),2)-N338-'Calc base'!X338)</f>
        <v>0</v>
      </c>
      <c r="AA338">
        <f>MAX(0,ROUND(AY337*(1+'Calc base'!M338),2)-O338-'Calc base'!Y338)</f>
        <v>0</v>
      </c>
      <c r="AB338">
        <f>MAX(0,ROUND(AZ337*(1+'Calc base'!N338),2)-P338-'Calc base'!Z338)</f>
        <v>0</v>
      </c>
      <c r="AC338">
        <f>MAX(0,ROUND(BA337*(1+'Calc base'!O338),2)-Q338-'Calc base'!AA338)</f>
        <v>0</v>
      </c>
      <c r="AD338">
        <f>MAX(0,ROUND(BB337*(1+'Calc base'!P338),2)-R338-'Calc base'!AB338)</f>
        <v>0</v>
      </c>
      <c r="AE338">
        <f>MAX(0,ROUND(BC337*(1+'Calc base'!Q338),2)-S338-'Calc base'!AC338)</f>
        <v>0</v>
      </c>
      <c r="AF338">
        <f>MAX(0,ROUND(BD337*(1+'Calc base'!R338),2)-T338-'Calc base'!AD338)</f>
        <v>0</v>
      </c>
      <c r="AG338">
        <f>MAX(0,ROUND(BE337*(1+'Calc base'!S338),2)-U338-'Calc base'!AE338)</f>
        <v>0</v>
      </c>
      <c r="AH338">
        <f>IF('Calc base'!C$14=0,0,MIN(V338,MAX(0,$E338-SUMIFS($V338:$AG338,'Calc base'!$C$19:$N$19,"&lt;"&amp;'Calc base'!C$19,'Calc base'!$C$14:$N$14,1))))</f>
        <v>0</v>
      </c>
      <c r="AI338">
        <f>IF('Calc base'!D$14=0,0,MIN(W338,MAX(0,$E338-SUMIFS($V338:$AG338,'Calc base'!$C$19:$N$19,"&lt;"&amp;'Calc base'!D$19,'Calc base'!$C$14:$N$14,1))))</f>
        <v>0</v>
      </c>
      <c r="AJ338">
        <f>IF('Calc base'!E$14=0,0,MIN(X338,MAX(0,$E338-SUMIFS($V338:$AG338,'Calc base'!$C$19:$N$19,"&lt;"&amp;'Calc base'!E$19,'Calc base'!$C$14:$N$14,1))))</f>
        <v>0</v>
      </c>
      <c r="AK338">
        <f>IF('Calc base'!F$14=0,0,MIN(Y338,MAX(0,$E338-SUMIFS($V338:$AG338,'Calc base'!$C$19:$N$19,"&lt;"&amp;'Calc base'!F$19,'Calc base'!$C$14:$N$14,1))))</f>
        <v>0</v>
      </c>
      <c r="AL338">
        <f>IF('Calc base'!G$14=0,0,MIN(Z338,MAX(0,$E338-SUMIFS($V338:$AG338,'Calc base'!$C$19:$N$19,"&lt;"&amp;'Calc base'!G$19,'Calc base'!$C$14:$N$14,1))))</f>
        <v>0</v>
      </c>
      <c r="AM338">
        <f>IF('Calc base'!H$14=0,0,MIN(AA338,MAX(0,$E338-SUMIFS($V338:$AG338,'Calc base'!$C$19:$N$19,"&lt;"&amp;'Calc base'!H$19,'Calc base'!$C$14:$N$14,1))))</f>
        <v>0</v>
      </c>
      <c r="AN338">
        <f>IF('Calc base'!I$14=0,0,MIN(AB338,MAX(0,$E338-SUMIFS($V338:$AG338,'Calc base'!$C$19:$N$19,"&lt;"&amp;'Calc base'!I$19,'Calc base'!$C$14:$N$14,1))))</f>
        <v>0</v>
      </c>
      <c r="AO338">
        <f>IF('Calc base'!J$14=0,0,MIN(AC338,MAX(0,$E338-SUMIFS($V338:$AG338,'Calc base'!$C$19:$N$19,"&lt;"&amp;'Calc base'!J$19,'Calc base'!$C$14:$N$14,1))))</f>
        <v>0</v>
      </c>
      <c r="AP338">
        <f>IF('Calc base'!K$14=0,0,MIN(AD338,MAX(0,$E338-SUMIFS($V338:$AG338,'Calc base'!$C$19:$N$19,"&lt;"&amp;'Calc base'!K$19,'Calc base'!$C$14:$N$14,1))))</f>
        <v>0</v>
      </c>
      <c r="AQ338">
        <f>IF('Calc base'!L$14=0,0,MIN(AE338,MAX(0,$E338-SUMIFS($V338:$AG338,'Calc base'!$C$19:$N$19,"&lt;"&amp;'Calc base'!L$19,'Calc base'!$C$14:$N$14,1))))</f>
        <v>0</v>
      </c>
      <c r="AR338">
        <f>IF('Calc base'!M$14=0,0,MIN(AF338,MAX(0,$E338-SUMIFS($V338:$AG338,'Calc base'!$C$19:$N$19,"&lt;"&amp;'Calc base'!M$19,'Calc base'!$C$14:$N$14,1))))</f>
        <v>0</v>
      </c>
      <c r="AS338">
        <f>IF('Calc base'!N$14=0,0,MIN(AG338,MAX(0,$E338-SUMIFS($V338:$AG338,'Calc base'!$C$19:$N$19,"&lt;"&amp;'Calc base'!N$19,'Calc base'!$C$14:$N$14,1))))</f>
        <v>0</v>
      </c>
      <c r="AT338">
        <f>V338-AH338</f>
        <v>0</v>
      </c>
      <c r="AU338">
        <f>W338-AI338</f>
        <v>0</v>
      </c>
      <c r="AV338">
        <f>X338-AJ338</f>
        <v>0</v>
      </c>
      <c r="AW338">
        <f>Y338-AK338</f>
        <v>0</v>
      </c>
      <c r="AX338">
        <f>Z338-AL338</f>
        <v>0</v>
      </c>
      <c r="AY338">
        <f>AA338-AM338</f>
        <v>0</v>
      </c>
      <c r="AZ338">
        <f>AB338-AN338</f>
        <v>0</v>
      </c>
      <c r="BA338">
        <f>AC338-AO338</f>
        <v>0</v>
      </c>
      <c r="BB338">
        <f>AD338-AP338</f>
        <v>0</v>
      </c>
      <c r="BC338">
        <f>AE338-AQ338</f>
        <v>0</v>
      </c>
      <c r="BD338">
        <f>AF338-AR338</f>
        <v>0</v>
      </c>
      <c r="BE338">
        <f>AG338-AS338</f>
        <v>0</v>
      </c>
    </row>
    <row r="339">
      <c r="A339" t="n">
        <v>309</v>
      </c>
      <c r="B339">
        <f>SUMPRODUCT(ROUND($AT338:$BE338*(1+'Calc base'!$H339:$S339),2))</f>
        <v>0</v>
      </c>
      <c r="C339">
        <f>SUM(J339:U339)</f>
        <v>0</v>
      </c>
      <c r="D339">
        <f>SUM(V339:AG339)</f>
        <v>0</v>
      </c>
      <c r="E339">
        <f>MAX(0,IF(Impostazioni!$B$7="No",'Calc base'!$C339-$C$31,'Calc base'!$C339-C339)+'Calc base'!$G339+'Calc base'!$F339-(B339-C339-D339))</f>
        <v>900</v>
      </c>
      <c r="F339">
        <f>SUM(AH339:AS339)</f>
        <v>0</v>
      </c>
      <c r="G339">
        <f>SUM(AT339:BE339)</f>
        <v>0</v>
      </c>
      <c r="H339">
        <f>B339-G338</f>
        <v>0</v>
      </c>
      <c r="I339">
        <f>B339-G339</f>
        <v>0</v>
      </c>
      <c r="J339">
        <f>IF(AT338&lt;=0,0,IF(ROUND(AT338*(1+'Calc base'!H339),2)-MAX('Calc base'!C$12,ROUND('Calc base'!C$13*AT338,2))&lt;1,ROUND(AT338*(1+'Calc base'!H339),2),MAX('Calc base'!C$12,ROUND('Calc base'!C$13*AT338,2))))</f>
        <v>0</v>
      </c>
      <c r="K339">
        <f>IF(AU338&lt;=0,0,IF(ROUND(AU338*(1+'Calc base'!I339),2)-MAX('Calc base'!D$12,ROUND('Calc base'!D$13*AU338,2))&lt;1,ROUND(AU338*(1+'Calc base'!I339),2),MAX('Calc base'!D$12,ROUND('Calc base'!D$13*AU338,2))))</f>
        <v>0</v>
      </c>
      <c r="L339">
        <f>IF(AV338&lt;=0,0,IF(ROUND(AV338*(1+'Calc base'!J339),2)-MAX('Calc base'!E$12,ROUND('Calc base'!E$13*AV338,2))&lt;1,ROUND(AV338*(1+'Calc base'!J339),2),MAX('Calc base'!E$12,ROUND('Calc base'!E$13*AV338,2))))</f>
        <v>0</v>
      </c>
      <c r="M339">
        <f>IF(AW338&lt;=0,0,IF(ROUND(AW338*(1+'Calc base'!K339),2)-MAX('Calc base'!F$12,ROUND('Calc base'!F$13*AW338,2))&lt;1,ROUND(AW338*(1+'Calc base'!K339),2),MAX('Calc base'!F$12,ROUND('Calc base'!F$13*AW338,2))))</f>
        <v>0</v>
      </c>
      <c r="N339">
        <f>IF(AX338&lt;=0,0,IF(ROUND(AX338*(1+'Calc base'!L339),2)-MAX('Calc base'!G$12,ROUND('Calc base'!G$13*AX338,2))&lt;1,ROUND(AX338*(1+'Calc base'!L339),2),MAX('Calc base'!G$12,ROUND('Calc base'!G$13*AX338,2))))</f>
        <v>0</v>
      </c>
      <c r="O339">
        <f>IF(AY338&lt;=0,0,IF(ROUND(AY338*(1+'Calc base'!M339),2)-MAX('Calc base'!H$12,ROUND('Calc base'!H$13*AY338,2))&lt;1,ROUND(AY338*(1+'Calc base'!M339),2),MAX('Calc base'!H$12,ROUND('Calc base'!H$13*AY338,2))))</f>
        <v>0</v>
      </c>
      <c r="P339">
        <f>IF(AZ338&lt;=0,0,IF(ROUND(AZ338*(1+'Calc base'!N339),2)-MAX('Calc base'!I$12,ROUND('Calc base'!I$13*AZ338,2))&lt;1,ROUND(AZ338*(1+'Calc base'!N339),2),MAX('Calc base'!I$12,ROUND('Calc base'!I$13*AZ338,2))))</f>
        <v>0</v>
      </c>
      <c r="Q339">
        <f>IF(BA338&lt;=0,0,IF(ROUND(BA338*(1+'Calc base'!O339),2)-MAX('Calc base'!J$12,ROUND('Calc base'!J$13*BA338,2))&lt;1,ROUND(BA338*(1+'Calc base'!O339),2),MAX('Calc base'!J$12,ROUND('Calc base'!J$13*BA338,2))))</f>
        <v>0</v>
      </c>
      <c r="R339">
        <f>IF(BB338&lt;=0,0,IF(ROUND(BB338*(1+'Calc base'!P339),2)-MAX('Calc base'!K$12,ROUND('Calc base'!K$13*BB338,2))&lt;1,ROUND(BB338*(1+'Calc base'!P339),2),MAX('Calc base'!K$12,ROUND('Calc base'!K$13*BB338,2))))</f>
        <v>0</v>
      </c>
      <c r="S339">
        <f>IF(BC338&lt;=0,0,IF(ROUND(BC338*(1+'Calc base'!Q339),2)-MAX('Calc base'!L$12,ROUND('Calc base'!L$13*BC338,2))&lt;1,ROUND(BC338*(1+'Calc base'!Q339),2),MAX('Calc base'!L$12,ROUND('Calc base'!L$13*BC338,2))))</f>
        <v>0</v>
      </c>
      <c r="T339">
        <f>IF(BD338&lt;=0,0,IF(ROUND(BD338*(1+'Calc base'!R339),2)-MAX('Calc base'!M$12,ROUND('Calc base'!M$13*BD338,2))&lt;1,ROUND(BD338*(1+'Calc base'!R339),2),MAX('Calc base'!M$12,ROUND('Calc base'!M$13*BD338,2))))</f>
        <v>0</v>
      </c>
      <c r="U339">
        <f>IF(BE338&lt;=0,0,IF(ROUND(BE338*(1+'Calc base'!S339),2)-MAX('Calc base'!N$12,ROUND('Calc base'!N$13*BE338,2))&lt;1,ROUND(BE338*(1+'Calc base'!S339),2),MAX('Calc base'!N$12,ROUND('Calc base'!N$13*BE338,2))))</f>
        <v>0</v>
      </c>
      <c r="V339">
        <f>MAX(0,ROUND(AT338*(1+'Calc base'!H339),2)-J339-'Calc base'!T339)</f>
        <v>0</v>
      </c>
      <c r="W339">
        <f>MAX(0,ROUND(AU338*(1+'Calc base'!I339),2)-K339-'Calc base'!U339)</f>
        <v>0</v>
      </c>
      <c r="X339">
        <f>MAX(0,ROUND(AV338*(1+'Calc base'!J339),2)-L339-'Calc base'!V339)</f>
        <v>0</v>
      </c>
      <c r="Y339">
        <f>MAX(0,ROUND(AW338*(1+'Calc base'!K339),2)-M339-'Calc base'!W339)</f>
        <v>0</v>
      </c>
      <c r="Z339">
        <f>MAX(0,ROUND(AX338*(1+'Calc base'!L339),2)-N339-'Calc base'!X339)</f>
        <v>0</v>
      </c>
      <c r="AA339">
        <f>MAX(0,ROUND(AY338*(1+'Calc base'!M339),2)-O339-'Calc base'!Y339)</f>
        <v>0</v>
      </c>
      <c r="AB339">
        <f>MAX(0,ROUND(AZ338*(1+'Calc base'!N339),2)-P339-'Calc base'!Z339)</f>
        <v>0</v>
      </c>
      <c r="AC339">
        <f>MAX(0,ROUND(BA338*(1+'Calc base'!O339),2)-Q339-'Calc base'!AA339)</f>
        <v>0</v>
      </c>
      <c r="AD339">
        <f>MAX(0,ROUND(BB338*(1+'Calc base'!P339),2)-R339-'Calc base'!AB339)</f>
        <v>0</v>
      </c>
      <c r="AE339">
        <f>MAX(0,ROUND(BC338*(1+'Calc base'!Q339),2)-S339-'Calc base'!AC339)</f>
        <v>0</v>
      </c>
      <c r="AF339">
        <f>MAX(0,ROUND(BD338*(1+'Calc base'!R339),2)-T339-'Calc base'!AD339)</f>
        <v>0</v>
      </c>
      <c r="AG339">
        <f>MAX(0,ROUND(BE338*(1+'Calc base'!S339),2)-U339-'Calc base'!AE339)</f>
        <v>0</v>
      </c>
      <c r="AH339">
        <f>IF('Calc base'!C$14=0,0,MIN(V339,MAX(0,$E339-SUMIFS($V339:$AG339,'Calc base'!$C$19:$N$19,"&lt;"&amp;'Calc base'!C$19,'Calc base'!$C$14:$N$14,1))))</f>
        <v>0</v>
      </c>
      <c r="AI339">
        <f>IF('Calc base'!D$14=0,0,MIN(W339,MAX(0,$E339-SUMIFS($V339:$AG339,'Calc base'!$C$19:$N$19,"&lt;"&amp;'Calc base'!D$19,'Calc base'!$C$14:$N$14,1))))</f>
        <v>0</v>
      </c>
      <c r="AJ339">
        <f>IF('Calc base'!E$14=0,0,MIN(X339,MAX(0,$E339-SUMIFS($V339:$AG339,'Calc base'!$C$19:$N$19,"&lt;"&amp;'Calc base'!E$19,'Calc base'!$C$14:$N$14,1))))</f>
        <v>0</v>
      </c>
      <c r="AK339">
        <f>IF('Calc base'!F$14=0,0,MIN(Y339,MAX(0,$E339-SUMIFS($V339:$AG339,'Calc base'!$C$19:$N$19,"&lt;"&amp;'Calc base'!F$19,'Calc base'!$C$14:$N$14,1))))</f>
        <v>0</v>
      </c>
      <c r="AL339">
        <f>IF('Calc base'!G$14=0,0,MIN(Z339,MAX(0,$E339-SUMIFS($V339:$AG339,'Calc base'!$C$19:$N$19,"&lt;"&amp;'Calc base'!G$19,'Calc base'!$C$14:$N$14,1))))</f>
        <v>0</v>
      </c>
      <c r="AM339">
        <f>IF('Calc base'!H$14=0,0,MIN(AA339,MAX(0,$E339-SUMIFS($V339:$AG339,'Calc base'!$C$19:$N$19,"&lt;"&amp;'Calc base'!H$19,'Calc base'!$C$14:$N$14,1))))</f>
        <v>0</v>
      </c>
      <c r="AN339">
        <f>IF('Calc base'!I$14=0,0,MIN(AB339,MAX(0,$E339-SUMIFS($V339:$AG339,'Calc base'!$C$19:$N$19,"&lt;"&amp;'Calc base'!I$19,'Calc base'!$C$14:$N$14,1))))</f>
        <v>0</v>
      </c>
      <c r="AO339">
        <f>IF('Calc base'!J$14=0,0,MIN(AC339,MAX(0,$E339-SUMIFS($V339:$AG339,'Calc base'!$C$19:$N$19,"&lt;"&amp;'Calc base'!J$19,'Calc base'!$C$14:$N$14,1))))</f>
        <v>0</v>
      </c>
      <c r="AP339">
        <f>IF('Calc base'!K$14=0,0,MIN(AD339,MAX(0,$E339-SUMIFS($V339:$AG339,'Calc base'!$C$19:$N$19,"&lt;"&amp;'Calc base'!K$19,'Calc base'!$C$14:$N$14,1))))</f>
        <v>0</v>
      </c>
      <c r="AQ339">
        <f>IF('Calc base'!L$14=0,0,MIN(AE339,MAX(0,$E339-SUMIFS($V339:$AG339,'Calc base'!$C$19:$N$19,"&lt;"&amp;'Calc base'!L$19,'Calc base'!$C$14:$N$14,1))))</f>
        <v>0</v>
      </c>
      <c r="AR339">
        <f>IF('Calc base'!M$14=0,0,MIN(AF339,MAX(0,$E339-SUMIFS($V339:$AG339,'Calc base'!$C$19:$N$19,"&lt;"&amp;'Calc base'!M$19,'Calc base'!$C$14:$N$14,1))))</f>
        <v>0</v>
      </c>
      <c r="AS339">
        <f>IF('Calc base'!N$14=0,0,MIN(AG339,MAX(0,$E339-SUMIFS($V339:$AG339,'Calc base'!$C$19:$N$19,"&lt;"&amp;'Calc base'!N$19,'Calc base'!$C$14:$N$14,1))))</f>
        <v>0</v>
      </c>
      <c r="AT339">
        <f>V339-AH339</f>
        <v>0</v>
      </c>
      <c r="AU339">
        <f>W339-AI339</f>
        <v>0</v>
      </c>
      <c r="AV339">
        <f>X339-AJ339</f>
        <v>0</v>
      </c>
      <c r="AW339">
        <f>Y339-AK339</f>
        <v>0</v>
      </c>
      <c r="AX339">
        <f>Z339-AL339</f>
        <v>0</v>
      </c>
      <c r="AY339">
        <f>AA339-AM339</f>
        <v>0</v>
      </c>
      <c r="AZ339">
        <f>AB339-AN339</f>
        <v>0</v>
      </c>
      <c r="BA339">
        <f>AC339-AO339</f>
        <v>0</v>
      </c>
      <c r="BB339">
        <f>AD339-AP339</f>
        <v>0</v>
      </c>
      <c r="BC339">
        <f>AE339-AQ339</f>
        <v>0</v>
      </c>
      <c r="BD339">
        <f>AF339-AR339</f>
        <v>0</v>
      </c>
      <c r="BE339">
        <f>AG339-AS339</f>
        <v>0</v>
      </c>
    </row>
    <row r="340">
      <c r="A340" t="n">
        <v>310</v>
      </c>
      <c r="B340">
        <f>SUMPRODUCT(ROUND($AT339:$BE339*(1+'Calc base'!$H340:$S340),2))</f>
        <v>0</v>
      </c>
      <c r="C340">
        <f>SUM(J340:U340)</f>
        <v>0</v>
      </c>
      <c r="D340">
        <f>SUM(V340:AG340)</f>
        <v>0</v>
      </c>
      <c r="E340">
        <f>MAX(0,IF(Impostazioni!$B$7="No",'Calc base'!$C340-$C$31,'Calc base'!$C340-C340)+'Calc base'!$G340+'Calc base'!$F340-(B340-C340-D340))</f>
        <v>900</v>
      </c>
      <c r="F340">
        <f>SUM(AH340:AS340)</f>
        <v>0</v>
      </c>
      <c r="G340">
        <f>SUM(AT340:BE340)</f>
        <v>0</v>
      </c>
      <c r="H340">
        <f>B340-G339</f>
        <v>0</v>
      </c>
      <c r="I340">
        <f>B340-G340</f>
        <v>0</v>
      </c>
      <c r="J340">
        <f>IF(AT339&lt;=0,0,IF(ROUND(AT339*(1+'Calc base'!H340),2)-MAX('Calc base'!C$12,ROUND('Calc base'!C$13*AT339,2))&lt;1,ROUND(AT339*(1+'Calc base'!H340),2),MAX('Calc base'!C$12,ROUND('Calc base'!C$13*AT339,2))))</f>
        <v>0</v>
      </c>
      <c r="K340">
        <f>IF(AU339&lt;=0,0,IF(ROUND(AU339*(1+'Calc base'!I340),2)-MAX('Calc base'!D$12,ROUND('Calc base'!D$13*AU339,2))&lt;1,ROUND(AU339*(1+'Calc base'!I340),2),MAX('Calc base'!D$12,ROUND('Calc base'!D$13*AU339,2))))</f>
        <v>0</v>
      </c>
      <c r="L340">
        <f>IF(AV339&lt;=0,0,IF(ROUND(AV339*(1+'Calc base'!J340),2)-MAX('Calc base'!E$12,ROUND('Calc base'!E$13*AV339,2))&lt;1,ROUND(AV339*(1+'Calc base'!J340),2),MAX('Calc base'!E$12,ROUND('Calc base'!E$13*AV339,2))))</f>
        <v>0</v>
      </c>
      <c r="M340">
        <f>IF(AW339&lt;=0,0,IF(ROUND(AW339*(1+'Calc base'!K340),2)-MAX('Calc base'!F$12,ROUND('Calc base'!F$13*AW339,2))&lt;1,ROUND(AW339*(1+'Calc base'!K340),2),MAX('Calc base'!F$12,ROUND('Calc base'!F$13*AW339,2))))</f>
        <v>0</v>
      </c>
      <c r="N340">
        <f>IF(AX339&lt;=0,0,IF(ROUND(AX339*(1+'Calc base'!L340),2)-MAX('Calc base'!G$12,ROUND('Calc base'!G$13*AX339,2))&lt;1,ROUND(AX339*(1+'Calc base'!L340),2),MAX('Calc base'!G$12,ROUND('Calc base'!G$13*AX339,2))))</f>
        <v>0</v>
      </c>
      <c r="O340">
        <f>IF(AY339&lt;=0,0,IF(ROUND(AY339*(1+'Calc base'!M340),2)-MAX('Calc base'!H$12,ROUND('Calc base'!H$13*AY339,2))&lt;1,ROUND(AY339*(1+'Calc base'!M340),2),MAX('Calc base'!H$12,ROUND('Calc base'!H$13*AY339,2))))</f>
        <v>0</v>
      </c>
      <c r="P340">
        <f>IF(AZ339&lt;=0,0,IF(ROUND(AZ339*(1+'Calc base'!N340),2)-MAX('Calc base'!I$12,ROUND('Calc base'!I$13*AZ339,2))&lt;1,ROUND(AZ339*(1+'Calc base'!N340),2),MAX('Calc base'!I$12,ROUND('Calc base'!I$13*AZ339,2))))</f>
        <v>0</v>
      </c>
      <c r="Q340">
        <f>IF(BA339&lt;=0,0,IF(ROUND(BA339*(1+'Calc base'!O340),2)-MAX('Calc base'!J$12,ROUND('Calc base'!J$13*BA339,2))&lt;1,ROUND(BA339*(1+'Calc base'!O340),2),MAX('Calc base'!J$12,ROUND('Calc base'!J$13*BA339,2))))</f>
        <v>0</v>
      </c>
      <c r="R340">
        <f>IF(BB339&lt;=0,0,IF(ROUND(BB339*(1+'Calc base'!P340),2)-MAX('Calc base'!K$12,ROUND('Calc base'!K$13*BB339,2))&lt;1,ROUND(BB339*(1+'Calc base'!P340),2),MAX('Calc base'!K$12,ROUND('Calc base'!K$13*BB339,2))))</f>
        <v>0</v>
      </c>
      <c r="S340">
        <f>IF(BC339&lt;=0,0,IF(ROUND(BC339*(1+'Calc base'!Q340),2)-MAX('Calc base'!L$12,ROUND('Calc base'!L$13*BC339,2))&lt;1,ROUND(BC339*(1+'Calc base'!Q340),2),MAX('Calc base'!L$12,ROUND('Calc base'!L$13*BC339,2))))</f>
        <v>0</v>
      </c>
      <c r="T340">
        <f>IF(BD339&lt;=0,0,IF(ROUND(BD339*(1+'Calc base'!R340),2)-MAX('Calc base'!M$12,ROUND('Calc base'!M$13*BD339,2))&lt;1,ROUND(BD339*(1+'Calc base'!R340),2),MAX('Calc base'!M$12,ROUND('Calc base'!M$13*BD339,2))))</f>
        <v>0</v>
      </c>
      <c r="U340">
        <f>IF(BE339&lt;=0,0,IF(ROUND(BE339*(1+'Calc base'!S340),2)-MAX('Calc base'!N$12,ROUND('Calc base'!N$13*BE339,2))&lt;1,ROUND(BE339*(1+'Calc base'!S340),2),MAX('Calc base'!N$12,ROUND('Calc base'!N$13*BE339,2))))</f>
        <v>0</v>
      </c>
      <c r="V340">
        <f>MAX(0,ROUND(AT339*(1+'Calc base'!H340),2)-J340-'Calc base'!T340)</f>
        <v>0</v>
      </c>
      <c r="W340">
        <f>MAX(0,ROUND(AU339*(1+'Calc base'!I340),2)-K340-'Calc base'!U340)</f>
        <v>0</v>
      </c>
      <c r="X340">
        <f>MAX(0,ROUND(AV339*(1+'Calc base'!J340),2)-L340-'Calc base'!V340)</f>
        <v>0</v>
      </c>
      <c r="Y340">
        <f>MAX(0,ROUND(AW339*(1+'Calc base'!K340),2)-M340-'Calc base'!W340)</f>
        <v>0</v>
      </c>
      <c r="Z340">
        <f>MAX(0,ROUND(AX339*(1+'Calc base'!L340),2)-N340-'Calc base'!X340)</f>
        <v>0</v>
      </c>
      <c r="AA340">
        <f>MAX(0,ROUND(AY339*(1+'Calc base'!M340),2)-O340-'Calc base'!Y340)</f>
        <v>0</v>
      </c>
      <c r="AB340">
        <f>MAX(0,ROUND(AZ339*(1+'Calc base'!N340),2)-P340-'Calc base'!Z340)</f>
        <v>0</v>
      </c>
      <c r="AC340">
        <f>MAX(0,ROUND(BA339*(1+'Calc base'!O340),2)-Q340-'Calc base'!AA340)</f>
        <v>0</v>
      </c>
      <c r="AD340">
        <f>MAX(0,ROUND(BB339*(1+'Calc base'!P340),2)-R340-'Calc base'!AB340)</f>
        <v>0</v>
      </c>
      <c r="AE340">
        <f>MAX(0,ROUND(BC339*(1+'Calc base'!Q340),2)-S340-'Calc base'!AC340)</f>
        <v>0</v>
      </c>
      <c r="AF340">
        <f>MAX(0,ROUND(BD339*(1+'Calc base'!R340),2)-T340-'Calc base'!AD340)</f>
        <v>0</v>
      </c>
      <c r="AG340">
        <f>MAX(0,ROUND(BE339*(1+'Calc base'!S340),2)-U340-'Calc base'!AE340)</f>
        <v>0</v>
      </c>
      <c r="AH340">
        <f>IF('Calc base'!C$14=0,0,MIN(V340,MAX(0,$E340-SUMIFS($V340:$AG340,'Calc base'!$C$19:$N$19,"&lt;"&amp;'Calc base'!C$19,'Calc base'!$C$14:$N$14,1))))</f>
        <v>0</v>
      </c>
      <c r="AI340">
        <f>IF('Calc base'!D$14=0,0,MIN(W340,MAX(0,$E340-SUMIFS($V340:$AG340,'Calc base'!$C$19:$N$19,"&lt;"&amp;'Calc base'!D$19,'Calc base'!$C$14:$N$14,1))))</f>
        <v>0</v>
      </c>
      <c r="AJ340">
        <f>IF('Calc base'!E$14=0,0,MIN(X340,MAX(0,$E340-SUMIFS($V340:$AG340,'Calc base'!$C$19:$N$19,"&lt;"&amp;'Calc base'!E$19,'Calc base'!$C$14:$N$14,1))))</f>
        <v>0</v>
      </c>
      <c r="AK340">
        <f>IF('Calc base'!F$14=0,0,MIN(Y340,MAX(0,$E340-SUMIFS($V340:$AG340,'Calc base'!$C$19:$N$19,"&lt;"&amp;'Calc base'!F$19,'Calc base'!$C$14:$N$14,1))))</f>
        <v>0</v>
      </c>
      <c r="AL340">
        <f>IF('Calc base'!G$14=0,0,MIN(Z340,MAX(0,$E340-SUMIFS($V340:$AG340,'Calc base'!$C$19:$N$19,"&lt;"&amp;'Calc base'!G$19,'Calc base'!$C$14:$N$14,1))))</f>
        <v>0</v>
      </c>
      <c r="AM340">
        <f>IF('Calc base'!H$14=0,0,MIN(AA340,MAX(0,$E340-SUMIFS($V340:$AG340,'Calc base'!$C$19:$N$19,"&lt;"&amp;'Calc base'!H$19,'Calc base'!$C$14:$N$14,1))))</f>
        <v>0</v>
      </c>
      <c r="AN340">
        <f>IF('Calc base'!I$14=0,0,MIN(AB340,MAX(0,$E340-SUMIFS($V340:$AG340,'Calc base'!$C$19:$N$19,"&lt;"&amp;'Calc base'!I$19,'Calc base'!$C$14:$N$14,1))))</f>
        <v>0</v>
      </c>
      <c r="AO340">
        <f>IF('Calc base'!J$14=0,0,MIN(AC340,MAX(0,$E340-SUMIFS($V340:$AG340,'Calc base'!$C$19:$N$19,"&lt;"&amp;'Calc base'!J$19,'Calc base'!$C$14:$N$14,1))))</f>
        <v>0</v>
      </c>
      <c r="AP340">
        <f>IF('Calc base'!K$14=0,0,MIN(AD340,MAX(0,$E340-SUMIFS($V340:$AG340,'Calc base'!$C$19:$N$19,"&lt;"&amp;'Calc base'!K$19,'Calc base'!$C$14:$N$14,1))))</f>
        <v>0</v>
      </c>
      <c r="AQ340">
        <f>IF('Calc base'!L$14=0,0,MIN(AE340,MAX(0,$E340-SUMIFS($V340:$AG340,'Calc base'!$C$19:$N$19,"&lt;"&amp;'Calc base'!L$19,'Calc base'!$C$14:$N$14,1))))</f>
        <v>0</v>
      </c>
      <c r="AR340">
        <f>IF('Calc base'!M$14=0,0,MIN(AF340,MAX(0,$E340-SUMIFS($V340:$AG340,'Calc base'!$C$19:$N$19,"&lt;"&amp;'Calc base'!M$19,'Calc base'!$C$14:$N$14,1))))</f>
        <v>0</v>
      </c>
      <c r="AS340">
        <f>IF('Calc base'!N$14=0,0,MIN(AG340,MAX(0,$E340-SUMIFS($V340:$AG340,'Calc base'!$C$19:$N$19,"&lt;"&amp;'Calc base'!N$19,'Calc base'!$C$14:$N$14,1))))</f>
        <v>0</v>
      </c>
      <c r="AT340">
        <f>V340-AH340</f>
        <v>0</v>
      </c>
      <c r="AU340">
        <f>W340-AI340</f>
        <v>0</v>
      </c>
      <c r="AV340">
        <f>X340-AJ340</f>
        <v>0</v>
      </c>
      <c r="AW340">
        <f>Y340-AK340</f>
        <v>0</v>
      </c>
      <c r="AX340">
        <f>Z340-AL340</f>
        <v>0</v>
      </c>
      <c r="AY340">
        <f>AA340-AM340</f>
        <v>0</v>
      </c>
      <c r="AZ340">
        <f>AB340-AN340</f>
        <v>0</v>
      </c>
      <c r="BA340">
        <f>AC340-AO340</f>
        <v>0</v>
      </c>
      <c r="BB340">
        <f>AD340-AP340</f>
        <v>0</v>
      </c>
      <c r="BC340">
        <f>AE340-AQ340</f>
        <v>0</v>
      </c>
      <c r="BD340">
        <f>AF340-AR340</f>
        <v>0</v>
      </c>
      <c r="BE340">
        <f>AG340-AS340</f>
        <v>0</v>
      </c>
    </row>
    <row r="341">
      <c r="A341" t="n">
        <v>311</v>
      </c>
      <c r="B341">
        <f>SUMPRODUCT(ROUND($AT340:$BE340*(1+'Calc base'!$H341:$S341),2))</f>
        <v>0</v>
      </c>
      <c r="C341">
        <f>SUM(J341:U341)</f>
        <v>0</v>
      </c>
      <c r="D341">
        <f>SUM(V341:AG341)</f>
        <v>0</v>
      </c>
      <c r="E341">
        <f>MAX(0,IF(Impostazioni!$B$7="No",'Calc base'!$C341-$C$31,'Calc base'!$C341-C341)+'Calc base'!$G341+'Calc base'!$F341-(B341-C341-D341))</f>
        <v>900</v>
      </c>
      <c r="F341">
        <f>SUM(AH341:AS341)</f>
        <v>0</v>
      </c>
      <c r="G341">
        <f>SUM(AT341:BE341)</f>
        <v>0</v>
      </c>
      <c r="H341">
        <f>B341-G340</f>
        <v>0</v>
      </c>
      <c r="I341">
        <f>B341-G341</f>
        <v>0</v>
      </c>
      <c r="J341">
        <f>IF(AT340&lt;=0,0,IF(ROUND(AT340*(1+'Calc base'!H341),2)-MAX('Calc base'!C$12,ROUND('Calc base'!C$13*AT340,2))&lt;1,ROUND(AT340*(1+'Calc base'!H341),2),MAX('Calc base'!C$12,ROUND('Calc base'!C$13*AT340,2))))</f>
        <v>0</v>
      </c>
      <c r="K341">
        <f>IF(AU340&lt;=0,0,IF(ROUND(AU340*(1+'Calc base'!I341),2)-MAX('Calc base'!D$12,ROUND('Calc base'!D$13*AU340,2))&lt;1,ROUND(AU340*(1+'Calc base'!I341),2),MAX('Calc base'!D$12,ROUND('Calc base'!D$13*AU340,2))))</f>
        <v>0</v>
      </c>
      <c r="L341">
        <f>IF(AV340&lt;=0,0,IF(ROUND(AV340*(1+'Calc base'!J341),2)-MAX('Calc base'!E$12,ROUND('Calc base'!E$13*AV340,2))&lt;1,ROUND(AV340*(1+'Calc base'!J341),2),MAX('Calc base'!E$12,ROUND('Calc base'!E$13*AV340,2))))</f>
        <v>0</v>
      </c>
      <c r="M341">
        <f>IF(AW340&lt;=0,0,IF(ROUND(AW340*(1+'Calc base'!K341),2)-MAX('Calc base'!F$12,ROUND('Calc base'!F$13*AW340,2))&lt;1,ROUND(AW340*(1+'Calc base'!K341),2),MAX('Calc base'!F$12,ROUND('Calc base'!F$13*AW340,2))))</f>
        <v>0</v>
      </c>
      <c r="N341">
        <f>IF(AX340&lt;=0,0,IF(ROUND(AX340*(1+'Calc base'!L341),2)-MAX('Calc base'!G$12,ROUND('Calc base'!G$13*AX340,2))&lt;1,ROUND(AX340*(1+'Calc base'!L341),2),MAX('Calc base'!G$12,ROUND('Calc base'!G$13*AX340,2))))</f>
        <v>0</v>
      </c>
      <c r="O341">
        <f>IF(AY340&lt;=0,0,IF(ROUND(AY340*(1+'Calc base'!M341),2)-MAX('Calc base'!H$12,ROUND('Calc base'!H$13*AY340,2))&lt;1,ROUND(AY340*(1+'Calc base'!M341),2),MAX('Calc base'!H$12,ROUND('Calc base'!H$13*AY340,2))))</f>
        <v>0</v>
      </c>
      <c r="P341">
        <f>IF(AZ340&lt;=0,0,IF(ROUND(AZ340*(1+'Calc base'!N341),2)-MAX('Calc base'!I$12,ROUND('Calc base'!I$13*AZ340,2))&lt;1,ROUND(AZ340*(1+'Calc base'!N341),2),MAX('Calc base'!I$12,ROUND('Calc base'!I$13*AZ340,2))))</f>
        <v>0</v>
      </c>
      <c r="Q341">
        <f>IF(BA340&lt;=0,0,IF(ROUND(BA340*(1+'Calc base'!O341),2)-MAX('Calc base'!J$12,ROUND('Calc base'!J$13*BA340,2))&lt;1,ROUND(BA340*(1+'Calc base'!O341),2),MAX('Calc base'!J$12,ROUND('Calc base'!J$13*BA340,2))))</f>
        <v>0</v>
      </c>
      <c r="R341">
        <f>IF(BB340&lt;=0,0,IF(ROUND(BB340*(1+'Calc base'!P341),2)-MAX('Calc base'!K$12,ROUND('Calc base'!K$13*BB340,2))&lt;1,ROUND(BB340*(1+'Calc base'!P341),2),MAX('Calc base'!K$12,ROUND('Calc base'!K$13*BB340,2))))</f>
        <v>0</v>
      </c>
      <c r="S341">
        <f>IF(BC340&lt;=0,0,IF(ROUND(BC340*(1+'Calc base'!Q341),2)-MAX('Calc base'!L$12,ROUND('Calc base'!L$13*BC340,2))&lt;1,ROUND(BC340*(1+'Calc base'!Q341),2),MAX('Calc base'!L$12,ROUND('Calc base'!L$13*BC340,2))))</f>
        <v>0</v>
      </c>
      <c r="T341">
        <f>IF(BD340&lt;=0,0,IF(ROUND(BD340*(1+'Calc base'!R341),2)-MAX('Calc base'!M$12,ROUND('Calc base'!M$13*BD340,2))&lt;1,ROUND(BD340*(1+'Calc base'!R341),2),MAX('Calc base'!M$12,ROUND('Calc base'!M$13*BD340,2))))</f>
        <v>0</v>
      </c>
      <c r="U341">
        <f>IF(BE340&lt;=0,0,IF(ROUND(BE340*(1+'Calc base'!S341),2)-MAX('Calc base'!N$12,ROUND('Calc base'!N$13*BE340,2))&lt;1,ROUND(BE340*(1+'Calc base'!S341),2),MAX('Calc base'!N$12,ROUND('Calc base'!N$13*BE340,2))))</f>
        <v>0</v>
      </c>
      <c r="V341">
        <f>MAX(0,ROUND(AT340*(1+'Calc base'!H341),2)-J341-'Calc base'!T341)</f>
        <v>0</v>
      </c>
      <c r="W341">
        <f>MAX(0,ROUND(AU340*(1+'Calc base'!I341),2)-K341-'Calc base'!U341)</f>
        <v>0</v>
      </c>
      <c r="X341">
        <f>MAX(0,ROUND(AV340*(1+'Calc base'!J341),2)-L341-'Calc base'!V341)</f>
        <v>0</v>
      </c>
      <c r="Y341">
        <f>MAX(0,ROUND(AW340*(1+'Calc base'!K341),2)-M341-'Calc base'!W341)</f>
        <v>0</v>
      </c>
      <c r="Z341">
        <f>MAX(0,ROUND(AX340*(1+'Calc base'!L341),2)-N341-'Calc base'!X341)</f>
        <v>0</v>
      </c>
      <c r="AA341">
        <f>MAX(0,ROUND(AY340*(1+'Calc base'!M341),2)-O341-'Calc base'!Y341)</f>
        <v>0</v>
      </c>
      <c r="AB341">
        <f>MAX(0,ROUND(AZ340*(1+'Calc base'!N341),2)-P341-'Calc base'!Z341)</f>
        <v>0</v>
      </c>
      <c r="AC341">
        <f>MAX(0,ROUND(BA340*(1+'Calc base'!O341),2)-Q341-'Calc base'!AA341)</f>
        <v>0</v>
      </c>
      <c r="AD341">
        <f>MAX(0,ROUND(BB340*(1+'Calc base'!P341),2)-R341-'Calc base'!AB341)</f>
        <v>0</v>
      </c>
      <c r="AE341">
        <f>MAX(0,ROUND(BC340*(1+'Calc base'!Q341),2)-S341-'Calc base'!AC341)</f>
        <v>0</v>
      </c>
      <c r="AF341">
        <f>MAX(0,ROUND(BD340*(1+'Calc base'!R341),2)-T341-'Calc base'!AD341)</f>
        <v>0</v>
      </c>
      <c r="AG341">
        <f>MAX(0,ROUND(BE340*(1+'Calc base'!S341),2)-U341-'Calc base'!AE341)</f>
        <v>0</v>
      </c>
      <c r="AH341">
        <f>IF('Calc base'!C$14=0,0,MIN(V341,MAX(0,$E341-SUMIFS($V341:$AG341,'Calc base'!$C$19:$N$19,"&lt;"&amp;'Calc base'!C$19,'Calc base'!$C$14:$N$14,1))))</f>
        <v>0</v>
      </c>
      <c r="AI341">
        <f>IF('Calc base'!D$14=0,0,MIN(W341,MAX(0,$E341-SUMIFS($V341:$AG341,'Calc base'!$C$19:$N$19,"&lt;"&amp;'Calc base'!D$19,'Calc base'!$C$14:$N$14,1))))</f>
        <v>0</v>
      </c>
      <c r="AJ341">
        <f>IF('Calc base'!E$14=0,0,MIN(X341,MAX(0,$E341-SUMIFS($V341:$AG341,'Calc base'!$C$19:$N$19,"&lt;"&amp;'Calc base'!E$19,'Calc base'!$C$14:$N$14,1))))</f>
        <v>0</v>
      </c>
      <c r="AK341">
        <f>IF('Calc base'!F$14=0,0,MIN(Y341,MAX(0,$E341-SUMIFS($V341:$AG341,'Calc base'!$C$19:$N$19,"&lt;"&amp;'Calc base'!F$19,'Calc base'!$C$14:$N$14,1))))</f>
        <v>0</v>
      </c>
      <c r="AL341">
        <f>IF('Calc base'!G$14=0,0,MIN(Z341,MAX(0,$E341-SUMIFS($V341:$AG341,'Calc base'!$C$19:$N$19,"&lt;"&amp;'Calc base'!G$19,'Calc base'!$C$14:$N$14,1))))</f>
        <v>0</v>
      </c>
      <c r="AM341">
        <f>IF('Calc base'!H$14=0,0,MIN(AA341,MAX(0,$E341-SUMIFS($V341:$AG341,'Calc base'!$C$19:$N$19,"&lt;"&amp;'Calc base'!H$19,'Calc base'!$C$14:$N$14,1))))</f>
        <v>0</v>
      </c>
      <c r="AN341">
        <f>IF('Calc base'!I$14=0,0,MIN(AB341,MAX(0,$E341-SUMIFS($V341:$AG341,'Calc base'!$C$19:$N$19,"&lt;"&amp;'Calc base'!I$19,'Calc base'!$C$14:$N$14,1))))</f>
        <v>0</v>
      </c>
      <c r="AO341">
        <f>IF('Calc base'!J$14=0,0,MIN(AC341,MAX(0,$E341-SUMIFS($V341:$AG341,'Calc base'!$C$19:$N$19,"&lt;"&amp;'Calc base'!J$19,'Calc base'!$C$14:$N$14,1))))</f>
        <v>0</v>
      </c>
      <c r="AP341">
        <f>IF('Calc base'!K$14=0,0,MIN(AD341,MAX(0,$E341-SUMIFS($V341:$AG341,'Calc base'!$C$19:$N$19,"&lt;"&amp;'Calc base'!K$19,'Calc base'!$C$14:$N$14,1))))</f>
        <v>0</v>
      </c>
      <c r="AQ341">
        <f>IF('Calc base'!L$14=0,0,MIN(AE341,MAX(0,$E341-SUMIFS($V341:$AG341,'Calc base'!$C$19:$N$19,"&lt;"&amp;'Calc base'!L$19,'Calc base'!$C$14:$N$14,1))))</f>
        <v>0</v>
      </c>
      <c r="AR341">
        <f>IF('Calc base'!M$14=0,0,MIN(AF341,MAX(0,$E341-SUMIFS($V341:$AG341,'Calc base'!$C$19:$N$19,"&lt;"&amp;'Calc base'!M$19,'Calc base'!$C$14:$N$14,1))))</f>
        <v>0</v>
      </c>
      <c r="AS341">
        <f>IF('Calc base'!N$14=0,0,MIN(AG341,MAX(0,$E341-SUMIFS($V341:$AG341,'Calc base'!$C$19:$N$19,"&lt;"&amp;'Calc base'!N$19,'Calc base'!$C$14:$N$14,1))))</f>
        <v>0</v>
      </c>
      <c r="AT341">
        <f>V341-AH341</f>
        <v>0</v>
      </c>
      <c r="AU341">
        <f>W341-AI341</f>
        <v>0</v>
      </c>
      <c r="AV341">
        <f>X341-AJ341</f>
        <v>0</v>
      </c>
      <c r="AW341">
        <f>Y341-AK341</f>
        <v>0</v>
      </c>
      <c r="AX341">
        <f>Z341-AL341</f>
        <v>0</v>
      </c>
      <c r="AY341">
        <f>AA341-AM341</f>
        <v>0</v>
      </c>
      <c r="AZ341">
        <f>AB341-AN341</f>
        <v>0</v>
      </c>
      <c r="BA341">
        <f>AC341-AO341</f>
        <v>0</v>
      </c>
      <c r="BB341">
        <f>AD341-AP341</f>
        <v>0</v>
      </c>
      <c r="BC341">
        <f>AE341-AQ341</f>
        <v>0</v>
      </c>
      <c r="BD341">
        <f>AF341-AR341</f>
        <v>0</v>
      </c>
      <c r="BE341">
        <f>AG341-AS341</f>
        <v>0</v>
      </c>
    </row>
    <row r="342">
      <c r="A342" t="n">
        <v>312</v>
      </c>
      <c r="B342">
        <f>SUMPRODUCT(ROUND($AT341:$BE341*(1+'Calc base'!$H342:$S342),2))</f>
        <v>0</v>
      </c>
      <c r="C342">
        <f>SUM(J342:U342)</f>
        <v>0</v>
      </c>
      <c r="D342">
        <f>SUM(V342:AG342)</f>
        <v>0</v>
      </c>
      <c r="E342">
        <f>MAX(0,IF(Impostazioni!$B$7="No",'Calc base'!$C342-$C$31,'Calc base'!$C342-C342)+'Calc base'!$G342+'Calc base'!$F342-(B342-C342-D342))</f>
        <v>900</v>
      </c>
      <c r="F342">
        <f>SUM(AH342:AS342)</f>
        <v>0</v>
      </c>
      <c r="G342">
        <f>SUM(AT342:BE342)</f>
        <v>0</v>
      </c>
      <c r="H342">
        <f>B342-G341</f>
        <v>0</v>
      </c>
      <c r="I342">
        <f>B342-G342</f>
        <v>0</v>
      </c>
      <c r="J342">
        <f>IF(AT341&lt;=0,0,IF(ROUND(AT341*(1+'Calc base'!H342),2)-MAX('Calc base'!C$12,ROUND('Calc base'!C$13*AT341,2))&lt;1,ROUND(AT341*(1+'Calc base'!H342),2),MAX('Calc base'!C$12,ROUND('Calc base'!C$13*AT341,2))))</f>
        <v>0</v>
      </c>
      <c r="K342">
        <f>IF(AU341&lt;=0,0,IF(ROUND(AU341*(1+'Calc base'!I342),2)-MAX('Calc base'!D$12,ROUND('Calc base'!D$13*AU341,2))&lt;1,ROUND(AU341*(1+'Calc base'!I342),2),MAX('Calc base'!D$12,ROUND('Calc base'!D$13*AU341,2))))</f>
        <v>0</v>
      </c>
      <c r="L342">
        <f>IF(AV341&lt;=0,0,IF(ROUND(AV341*(1+'Calc base'!J342),2)-MAX('Calc base'!E$12,ROUND('Calc base'!E$13*AV341,2))&lt;1,ROUND(AV341*(1+'Calc base'!J342),2),MAX('Calc base'!E$12,ROUND('Calc base'!E$13*AV341,2))))</f>
        <v>0</v>
      </c>
      <c r="M342">
        <f>IF(AW341&lt;=0,0,IF(ROUND(AW341*(1+'Calc base'!K342),2)-MAX('Calc base'!F$12,ROUND('Calc base'!F$13*AW341,2))&lt;1,ROUND(AW341*(1+'Calc base'!K342),2),MAX('Calc base'!F$12,ROUND('Calc base'!F$13*AW341,2))))</f>
        <v>0</v>
      </c>
      <c r="N342">
        <f>IF(AX341&lt;=0,0,IF(ROUND(AX341*(1+'Calc base'!L342),2)-MAX('Calc base'!G$12,ROUND('Calc base'!G$13*AX341,2))&lt;1,ROUND(AX341*(1+'Calc base'!L342),2),MAX('Calc base'!G$12,ROUND('Calc base'!G$13*AX341,2))))</f>
        <v>0</v>
      </c>
      <c r="O342">
        <f>IF(AY341&lt;=0,0,IF(ROUND(AY341*(1+'Calc base'!M342),2)-MAX('Calc base'!H$12,ROUND('Calc base'!H$13*AY341,2))&lt;1,ROUND(AY341*(1+'Calc base'!M342),2),MAX('Calc base'!H$12,ROUND('Calc base'!H$13*AY341,2))))</f>
        <v>0</v>
      </c>
      <c r="P342">
        <f>IF(AZ341&lt;=0,0,IF(ROUND(AZ341*(1+'Calc base'!N342),2)-MAX('Calc base'!I$12,ROUND('Calc base'!I$13*AZ341,2))&lt;1,ROUND(AZ341*(1+'Calc base'!N342),2),MAX('Calc base'!I$12,ROUND('Calc base'!I$13*AZ341,2))))</f>
        <v>0</v>
      </c>
      <c r="Q342">
        <f>IF(BA341&lt;=0,0,IF(ROUND(BA341*(1+'Calc base'!O342),2)-MAX('Calc base'!J$12,ROUND('Calc base'!J$13*BA341,2))&lt;1,ROUND(BA341*(1+'Calc base'!O342),2),MAX('Calc base'!J$12,ROUND('Calc base'!J$13*BA341,2))))</f>
        <v>0</v>
      </c>
      <c r="R342">
        <f>IF(BB341&lt;=0,0,IF(ROUND(BB341*(1+'Calc base'!P342),2)-MAX('Calc base'!K$12,ROUND('Calc base'!K$13*BB341,2))&lt;1,ROUND(BB341*(1+'Calc base'!P342),2),MAX('Calc base'!K$12,ROUND('Calc base'!K$13*BB341,2))))</f>
        <v>0</v>
      </c>
      <c r="S342">
        <f>IF(BC341&lt;=0,0,IF(ROUND(BC341*(1+'Calc base'!Q342),2)-MAX('Calc base'!L$12,ROUND('Calc base'!L$13*BC341,2))&lt;1,ROUND(BC341*(1+'Calc base'!Q342),2),MAX('Calc base'!L$12,ROUND('Calc base'!L$13*BC341,2))))</f>
        <v>0</v>
      </c>
      <c r="T342">
        <f>IF(BD341&lt;=0,0,IF(ROUND(BD341*(1+'Calc base'!R342),2)-MAX('Calc base'!M$12,ROUND('Calc base'!M$13*BD341,2))&lt;1,ROUND(BD341*(1+'Calc base'!R342),2),MAX('Calc base'!M$12,ROUND('Calc base'!M$13*BD341,2))))</f>
        <v>0</v>
      </c>
      <c r="U342">
        <f>IF(BE341&lt;=0,0,IF(ROUND(BE341*(1+'Calc base'!S342),2)-MAX('Calc base'!N$12,ROUND('Calc base'!N$13*BE341,2))&lt;1,ROUND(BE341*(1+'Calc base'!S342),2),MAX('Calc base'!N$12,ROUND('Calc base'!N$13*BE341,2))))</f>
        <v>0</v>
      </c>
      <c r="V342">
        <f>MAX(0,ROUND(AT341*(1+'Calc base'!H342),2)-J342-'Calc base'!T342)</f>
        <v>0</v>
      </c>
      <c r="W342">
        <f>MAX(0,ROUND(AU341*(1+'Calc base'!I342),2)-K342-'Calc base'!U342)</f>
        <v>0</v>
      </c>
      <c r="X342">
        <f>MAX(0,ROUND(AV341*(1+'Calc base'!J342),2)-L342-'Calc base'!V342)</f>
        <v>0</v>
      </c>
      <c r="Y342">
        <f>MAX(0,ROUND(AW341*(1+'Calc base'!K342),2)-M342-'Calc base'!W342)</f>
        <v>0</v>
      </c>
      <c r="Z342">
        <f>MAX(0,ROUND(AX341*(1+'Calc base'!L342),2)-N342-'Calc base'!X342)</f>
        <v>0</v>
      </c>
      <c r="AA342">
        <f>MAX(0,ROUND(AY341*(1+'Calc base'!M342),2)-O342-'Calc base'!Y342)</f>
        <v>0</v>
      </c>
      <c r="AB342">
        <f>MAX(0,ROUND(AZ341*(1+'Calc base'!N342),2)-P342-'Calc base'!Z342)</f>
        <v>0</v>
      </c>
      <c r="AC342">
        <f>MAX(0,ROUND(BA341*(1+'Calc base'!O342),2)-Q342-'Calc base'!AA342)</f>
        <v>0</v>
      </c>
      <c r="AD342">
        <f>MAX(0,ROUND(BB341*(1+'Calc base'!P342),2)-R342-'Calc base'!AB342)</f>
        <v>0</v>
      </c>
      <c r="AE342">
        <f>MAX(0,ROUND(BC341*(1+'Calc base'!Q342),2)-S342-'Calc base'!AC342)</f>
        <v>0</v>
      </c>
      <c r="AF342">
        <f>MAX(0,ROUND(BD341*(1+'Calc base'!R342),2)-T342-'Calc base'!AD342)</f>
        <v>0</v>
      </c>
      <c r="AG342">
        <f>MAX(0,ROUND(BE341*(1+'Calc base'!S342),2)-U342-'Calc base'!AE342)</f>
        <v>0</v>
      </c>
      <c r="AH342">
        <f>IF('Calc base'!C$14=0,0,MIN(V342,MAX(0,$E342-SUMIFS($V342:$AG342,'Calc base'!$C$19:$N$19,"&lt;"&amp;'Calc base'!C$19,'Calc base'!$C$14:$N$14,1))))</f>
        <v>0</v>
      </c>
      <c r="AI342">
        <f>IF('Calc base'!D$14=0,0,MIN(W342,MAX(0,$E342-SUMIFS($V342:$AG342,'Calc base'!$C$19:$N$19,"&lt;"&amp;'Calc base'!D$19,'Calc base'!$C$14:$N$14,1))))</f>
        <v>0</v>
      </c>
      <c r="AJ342">
        <f>IF('Calc base'!E$14=0,0,MIN(X342,MAX(0,$E342-SUMIFS($V342:$AG342,'Calc base'!$C$19:$N$19,"&lt;"&amp;'Calc base'!E$19,'Calc base'!$C$14:$N$14,1))))</f>
        <v>0</v>
      </c>
      <c r="AK342">
        <f>IF('Calc base'!F$14=0,0,MIN(Y342,MAX(0,$E342-SUMIFS($V342:$AG342,'Calc base'!$C$19:$N$19,"&lt;"&amp;'Calc base'!F$19,'Calc base'!$C$14:$N$14,1))))</f>
        <v>0</v>
      </c>
      <c r="AL342">
        <f>IF('Calc base'!G$14=0,0,MIN(Z342,MAX(0,$E342-SUMIFS($V342:$AG342,'Calc base'!$C$19:$N$19,"&lt;"&amp;'Calc base'!G$19,'Calc base'!$C$14:$N$14,1))))</f>
        <v>0</v>
      </c>
      <c r="AM342">
        <f>IF('Calc base'!H$14=0,0,MIN(AA342,MAX(0,$E342-SUMIFS($V342:$AG342,'Calc base'!$C$19:$N$19,"&lt;"&amp;'Calc base'!H$19,'Calc base'!$C$14:$N$14,1))))</f>
        <v>0</v>
      </c>
      <c r="AN342">
        <f>IF('Calc base'!I$14=0,0,MIN(AB342,MAX(0,$E342-SUMIFS($V342:$AG342,'Calc base'!$C$19:$N$19,"&lt;"&amp;'Calc base'!I$19,'Calc base'!$C$14:$N$14,1))))</f>
        <v>0</v>
      </c>
      <c r="AO342">
        <f>IF('Calc base'!J$14=0,0,MIN(AC342,MAX(0,$E342-SUMIFS($V342:$AG342,'Calc base'!$C$19:$N$19,"&lt;"&amp;'Calc base'!J$19,'Calc base'!$C$14:$N$14,1))))</f>
        <v>0</v>
      </c>
      <c r="AP342">
        <f>IF('Calc base'!K$14=0,0,MIN(AD342,MAX(0,$E342-SUMIFS($V342:$AG342,'Calc base'!$C$19:$N$19,"&lt;"&amp;'Calc base'!K$19,'Calc base'!$C$14:$N$14,1))))</f>
        <v>0</v>
      </c>
      <c r="AQ342">
        <f>IF('Calc base'!L$14=0,0,MIN(AE342,MAX(0,$E342-SUMIFS($V342:$AG342,'Calc base'!$C$19:$N$19,"&lt;"&amp;'Calc base'!L$19,'Calc base'!$C$14:$N$14,1))))</f>
        <v>0</v>
      </c>
      <c r="AR342">
        <f>IF('Calc base'!M$14=0,0,MIN(AF342,MAX(0,$E342-SUMIFS($V342:$AG342,'Calc base'!$C$19:$N$19,"&lt;"&amp;'Calc base'!M$19,'Calc base'!$C$14:$N$14,1))))</f>
        <v>0</v>
      </c>
      <c r="AS342">
        <f>IF('Calc base'!N$14=0,0,MIN(AG342,MAX(0,$E342-SUMIFS($V342:$AG342,'Calc base'!$C$19:$N$19,"&lt;"&amp;'Calc base'!N$19,'Calc base'!$C$14:$N$14,1))))</f>
        <v>0</v>
      </c>
      <c r="AT342">
        <f>V342-AH342</f>
        <v>0</v>
      </c>
      <c r="AU342">
        <f>W342-AI342</f>
        <v>0</v>
      </c>
      <c r="AV342">
        <f>X342-AJ342</f>
        <v>0</v>
      </c>
      <c r="AW342">
        <f>Y342-AK342</f>
        <v>0</v>
      </c>
      <c r="AX342">
        <f>Z342-AL342</f>
        <v>0</v>
      </c>
      <c r="AY342">
        <f>AA342-AM342</f>
        <v>0</v>
      </c>
      <c r="AZ342">
        <f>AB342-AN342</f>
        <v>0</v>
      </c>
      <c r="BA342">
        <f>AC342-AO342</f>
        <v>0</v>
      </c>
      <c r="BB342">
        <f>AD342-AP342</f>
        <v>0</v>
      </c>
      <c r="BC342">
        <f>AE342-AQ342</f>
        <v>0</v>
      </c>
      <c r="BD342">
        <f>AF342-AR342</f>
        <v>0</v>
      </c>
      <c r="BE342">
        <f>AG342-AS342</f>
        <v>0</v>
      </c>
    </row>
    <row r="343">
      <c r="A343" t="n">
        <v>313</v>
      </c>
      <c r="B343">
        <f>SUMPRODUCT(ROUND($AT342:$BE342*(1+'Calc base'!$H343:$S343),2))</f>
        <v>0</v>
      </c>
      <c r="C343">
        <f>SUM(J343:U343)</f>
        <v>0</v>
      </c>
      <c r="D343">
        <f>SUM(V343:AG343)</f>
        <v>0</v>
      </c>
      <c r="E343">
        <f>MAX(0,IF(Impostazioni!$B$7="No",'Calc base'!$C343-$C$31,'Calc base'!$C343-C343)+'Calc base'!$G343+'Calc base'!$F343-(B343-C343-D343))</f>
        <v>900</v>
      </c>
      <c r="F343">
        <f>SUM(AH343:AS343)</f>
        <v>0</v>
      </c>
      <c r="G343">
        <f>SUM(AT343:BE343)</f>
        <v>0</v>
      </c>
      <c r="H343">
        <f>B343-G342</f>
        <v>0</v>
      </c>
      <c r="I343">
        <f>B343-G343</f>
        <v>0</v>
      </c>
      <c r="J343">
        <f>IF(AT342&lt;=0,0,IF(ROUND(AT342*(1+'Calc base'!H343),2)-MAX('Calc base'!C$12,ROUND('Calc base'!C$13*AT342,2))&lt;1,ROUND(AT342*(1+'Calc base'!H343),2),MAX('Calc base'!C$12,ROUND('Calc base'!C$13*AT342,2))))</f>
        <v>0</v>
      </c>
      <c r="K343">
        <f>IF(AU342&lt;=0,0,IF(ROUND(AU342*(1+'Calc base'!I343),2)-MAX('Calc base'!D$12,ROUND('Calc base'!D$13*AU342,2))&lt;1,ROUND(AU342*(1+'Calc base'!I343),2),MAX('Calc base'!D$12,ROUND('Calc base'!D$13*AU342,2))))</f>
        <v>0</v>
      </c>
      <c r="L343">
        <f>IF(AV342&lt;=0,0,IF(ROUND(AV342*(1+'Calc base'!J343),2)-MAX('Calc base'!E$12,ROUND('Calc base'!E$13*AV342,2))&lt;1,ROUND(AV342*(1+'Calc base'!J343),2),MAX('Calc base'!E$12,ROUND('Calc base'!E$13*AV342,2))))</f>
        <v>0</v>
      </c>
      <c r="M343">
        <f>IF(AW342&lt;=0,0,IF(ROUND(AW342*(1+'Calc base'!K343),2)-MAX('Calc base'!F$12,ROUND('Calc base'!F$13*AW342,2))&lt;1,ROUND(AW342*(1+'Calc base'!K343),2),MAX('Calc base'!F$12,ROUND('Calc base'!F$13*AW342,2))))</f>
        <v>0</v>
      </c>
      <c r="N343">
        <f>IF(AX342&lt;=0,0,IF(ROUND(AX342*(1+'Calc base'!L343),2)-MAX('Calc base'!G$12,ROUND('Calc base'!G$13*AX342,2))&lt;1,ROUND(AX342*(1+'Calc base'!L343),2),MAX('Calc base'!G$12,ROUND('Calc base'!G$13*AX342,2))))</f>
        <v>0</v>
      </c>
      <c r="O343">
        <f>IF(AY342&lt;=0,0,IF(ROUND(AY342*(1+'Calc base'!M343),2)-MAX('Calc base'!H$12,ROUND('Calc base'!H$13*AY342,2))&lt;1,ROUND(AY342*(1+'Calc base'!M343),2),MAX('Calc base'!H$12,ROUND('Calc base'!H$13*AY342,2))))</f>
        <v>0</v>
      </c>
      <c r="P343">
        <f>IF(AZ342&lt;=0,0,IF(ROUND(AZ342*(1+'Calc base'!N343),2)-MAX('Calc base'!I$12,ROUND('Calc base'!I$13*AZ342,2))&lt;1,ROUND(AZ342*(1+'Calc base'!N343),2),MAX('Calc base'!I$12,ROUND('Calc base'!I$13*AZ342,2))))</f>
        <v>0</v>
      </c>
      <c r="Q343">
        <f>IF(BA342&lt;=0,0,IF(ROUND(BA342*(1+'Calc base'!O343),2)-MAX('Calc base'!J$12,ROUND('Calc base'!J$13*BA342,2))&lt;1,ROUND(BA342*(1+'Calc base'!O343),2),MAX('Calc base'!J$12,ROUND('Calc base'!J$13*BA342,2))))</f>
        <v>0</v>
      </c>
      <c r="R343">
        <f>IF(BB342&lt;=0,0,IF(ROUND(BB342*(1+'Calc base'!P343),2)-MAX('Calc base'!K$12,ROUND('Calc base'!K$13*BB342,2))&lt;1,ROUND(BB342*(1+'Calc base'!P343),2),MAX('Calc base'!K$12,ROUND('Calc base'!K$13*BB342,2))))</f>
        <v>0</v>
      </c>
      <c r="S343">
        <f>IF(BC342&lt;=0,0,IF(ROUND(BC342*(1+'Calc base'!Q343),2)-MAX('Calc base'!L$12,ROUND('Calc base'!L$13*BC342,2))&lt;1,ROUND(BC342*(1+'Calc base'!Q343),2),MAX('Calc base'!L$12,ROUND('Calc base'!L$13*BC342,2))))</f>
        <v>0</v>
      </c>
      <c r="T343">
        <f>IF(BD342&lt;=0,0,IF(ROUND(BD342*(1+'Calc base'!R343),2)-MAX('Calc base'!M$12,ROUND('Calc base'!M$13*BD342,2))&lt;1,ROUND(BD342*(1+'Calc base'!R343),2),MAX('Calc base'!M$12,ROUND('Calc base'!M$13*BD342,2))))</f>
        <v>0</v>
      </c>
      <c r="U343">
        <f>IF(BE342&lt;=0,0,IF(ROUND(BE342*(1+'Calc base'!S343),2)-MAX('Calc base'!N$12,ROUND('Calc base'!N$13*BE342,2))&lt;1,ROUND(BE342*(1+'Calc base'!S343),2),MAX('Calc base'!N$12,ROUND('Calc base'!N$13*BE342,2))))</f>
        <v>0</v>
      </c>
      <c r="V343">
        <f>MAX(0,ROUND(AT342*(1+'Calc base'!H343),2)-J343-'Calc base'!T343)</f>
        <v>0</v>
      </c>
      <c r="W343">
        <f>MAX(0,ROUND(AU342*(1+'Calc base'!I343),2)-K343-'Calc base'!U343)</f>
        <v>0</v>
      </c>
      <c r="X343">
        <f>MAX(0,ROUND(AV342*(1+'Calc base'!J343),2)-L343-'Calc base'!V343)</f>
        <v>0</v>
      </c>
      <c r="Y343">
        <f>MAX(0,ROUND(AW342*(1+'Calc base'!K343),2)-M343-'Calc base'!W343)</f>
        <v>0</v>
      </c>
      <c r="Z343">
        <f>MAX(0,ROUND(AX342*(1+'Calc base'!L343),2)-N343-'Calc base'!X343)</f>
        <v>0</v>
      </c>
      <c r="AA343">
        <f>MAX(0,ROUND(AY342*(1+'Calc base'!M343),2)-O343-'Calc base'!Y343)</f>
        <v>0</v>
      </c>
      <c r="AB343">
        <f>MAX(0,ROUND(AZ342*(1+'Calc base'!N343),2)-P343-'Calc base'!Z343)</f>
        <v>0</v>
      </c>
      <c r="AC343">
        <f>MAX(0,ROUND(BA342*(1+'Calc base'!O343),2)-Q343-'Calc base'!AA343)</f>
        <v>0</v>
      </c>
      <c r="AD343">
        <f>MAX(0,ROUND(BB342*(1+'Calc base'!P343),2)-R343-'Calc base'!AB343)</f>
        <v>0</v>
      </c>
      <c r="AE343">
        <f>MAX(0,ROUND(BC342*(1+'Calc base'!Q343),2)-S343-'Calc base'!AC343)</f>
        <v>0</v>
      </c>
      <c r="AF343">
        <f>MAX(0,ROUND(BD342*(1+'Calc base'!R343),2)-T343-'Calc base'!AD343)</f>
        <v>0</v>
      </c>
      <c r="AG343">
        <f>MAX(0,ROUND(BE342*(1+'Calc base'!S343),2)-U343-'Calc base'!AE343)</f>
        <v>0</v>
      </c>
      <c r="AH343">
        <f>IF('Calc base'!C$14=0,0,MIN(V343,MAX(0,$E343-SUMIFS($V343:$AG343,'Calc base'!$C$19:$N$19,"&lt;"&amp;'Calc base'!C$19,'Calc base'!$C$14:$N$14,1))))</f>
        <v>0</v>
      </c>
      <c r="AI343">
        <f>IF('Calc base'!D$14=0,0,MIN(W343,MAX(0,$E343-SUMIFS($V343:$AG343,'Calc base'!$C$19:$N$19,"&lt;"&amp;'Calc base'!D$19,'Calc base'!$C$14:$N$14,1))))</f>
        <v>0</v>
      </c>
      <c r="AJ343">
        <f>IF('Calc base'!E$14=0,0,MIN(X343,MAX(0,$E343-SUMIFS($V343:$AG343,'Calc base'!$C$19:$N$19,"&lt;"&amp;'Calc base'!E$19,'Calc base'!$C$14:$N$14,1))))</f>
        <v>0</v>
      </c>
      <c r="AK343">
        <f>IF('Calc base'!F$14=0,0,MIN(Y343,MAX(0,$E343-SUMIFS($V343:$AG343,'Calc base'!$C$19:$N$19,"&lt;"&amp;'Calc base'!F$19,'Calc base'!$C$14:$N$14,1))))</f>
        <v>0</v>
      </c>
      <c r="AL343">
        <f>IF('Calc base'!G$14=0,0,MIN(Z343,MAX(0,$E343-SUMIFS($V343:$AG343,'Calc base'!$C$19:$N$19,"&lt;"&amp;'Calc base'!G$19,'Calc base'!$C$14:$N$14,1))))</f>
        <v>0</v>
      </c>
      <c r="AM343">
        <f>IF('Calc base'!H$14=0,0,MIN(AA343,MAX(0,$E343-SUMIFS($V343:$AG343,'Calc base'!$C$19:$N$19,"&lt;"&amp;'Calc base'!H$19,'Calc base'!$C$14:$N$14,1))))</f>
        <v>0</v>
      </c>
      <c r="AN343">
        <f>IF('Calc base'!I$14=0,0,MIN(AB343,MAX(0,$E343-SUMIFS($V343:$AG343,'Calc base'!$C$19:$N$19,"&lt;"&amp;'Calc base'!I$19,'Calc base'!$C$14:$N$14,1))))</f>
        <v>0</v>
      </c>
      <c r="AO343">
        <f>IF('Calc base'!J$14=0,0,MIN(AC343,MAX(0,$E343-SUMIFS($V343:$AG343,'Calc base'!$C$19:$N$19,"&lt;"&amp;'Calc base'!J$19,'Calc base'!$C$14:$N$14,1))))</f>
        <v>0</v>
      </c>
      <c r="AP343">
        <f>IF('Calc base'!K$14=0,0,MIN(AD343,MAX(0,$E343-SUMIFS($V343:$AG343,'Calc base'!$C$19:$N$19,"&lt;"&amp;'Calc base'!K$19,'Calc base'!$C$14:$N$14,1))))</f>
        <v>0</v>
      </c>
      <c r="AQ343">
        <f>IF('Calc base'!L$14=0,0,MIN(AE343,MAX(0,$E343-SUMIFS($V343:$AG343,'Calc base'!$C$19:$N$19,"&lt;"&amp;'Calc base'!L$19,'Calc base'!$C$14:$N$14,1))))</f>
        <v>0</v>
      </c>
      <c r="AR343">
        <f>IF('Calc base'!M$14=0,0,MIN(AF343,MAX(0,$E343-SUMIFS($V343:$AG343,'Calc base'!$C$19:$N$19,"&lt;"&amp;'Calc base'!M$19,'Calc base'!$C$14:$N$14,1))))</f>
        <v>0</v>
      </c>
      <c r="AS343">
        <f>IF('Calc base'!N$14=0,0,MIN(AG343,MAX(0,$E343-SUMIFS($V343:$AG343,'Calc base'!$C$19:$N$19,"&lt;"&amp;'Calc base'!N$19,'Calc base'!$C$14:$N$14,1))))</f>
        <v>0</v>
      </c>
      <c r="AT343">
        <f>V343-AH343</f>
        <v>0</v>
      </c>
      <c r="AU343">
        <f>W343-AI343</f>
        <v>0</v>
      </c>
      <c r="AV343">
        <f>X343-AJ343</f>
        <v>0</v>
      </c>
      <c r="AW343">
        <f>Y343-AK343</f>
        <v>0</v>
      </c>
      <c r="AX343">
        <f>Z343-AL343</f>
        <v>0</v>
      </c>
      <c r="AY343">
        <f>AA343-AM343</f>
        <v>0</v>
      </c>
      <c r="AZ343">
        <f>AB343-AN343</f>
        <v>0</v>
      </c>
      <c r="BA343">
        <f>AC343-AO343</f>
        <v>0</v>
      </c>
      <c r="BB343">
        <f>AD343-AP343</f>
        <v>0</v>
      </c>
      <c r="BC343">
        <f>AE343-AQ343</f>
        <v>0</v>
      </c>
      <c r="BD343">
        <f>AF343-AR343</f>
        <v>0</v>
      </c>
      <c r="BE343">
        <f>AG343-AS343</f>
        <v>0</v>
      </c>
    </row>
    <row r="344">
      <c r="A344" t="n">
        <v>314</v>
      </c>
      <c r="B344">
        <f>SUMPRODUCT(ROUND($AT343:$BE343*(1+'Calc base'!$H344:$S344),2))</f>
        <v>0</v>
      </c>
      <c r="C344">
        <f>SUM(J344:U344)</f>
        <v>0</v>
      </c>
      <c r="D344">
        <f>SUM(V344:AG344)</f>
        <v>0</v>
      </c>
      <c r="E344">
        <f>MAX(0,IF(Impostazioni!$B$7="No",'Calc base'!$C344-$C$31,'Calc base'!$C344-C344)+'Calc base'!$G344+'Calc base'!$F344-(B344-C344-D344))</f>
        <v>900</v>
      </c>
      <c r="F344">
        <f>SUM(AH344:AS344)</f>
        <v>0</v>
      </c>
      <c r="G344">
        <f>SUM(AT344:BE344)</f>
        <v>0</v>
      </c>
      <c r="H344">
        <f>B344-G343</f>
        <v>0</v>
      </c>
      <c r="I344">
        <f>B344-G344</f>
        <v>0</v>
      </c>
      <c r="J344">
        <f>IF(AT343&lt;=0,0,IF(ROUND(AT343*(1+'Calc base'!H344),2)-MAX('Calc base'!C$12,ROUND('Calc base'!C$13*AT343,2))&lt;1,ROUND(AT343*(1+'Calc base'!H344),2),MAX('Calc base'!C$12,ROUND('Calc base'!C$13*AT343,2))))</f>
        <v>0</v>
      </c>
      <c r="K344">
        <f>IF(AU343&lt;=0,0,IF(ROUND(AU343*(1+'Calc base'!I344),2)-MAX('Calc base'!D$12,ROUND('Calc base'!D$13*AU343,2))&lt;1,ROUND(AU343*(1+'Calc base'!I344),2),MAX('Calc base'!D$12,ROUND('Calc base'!D$13*AU343,2))))</f>
        <v>0</v>
      </c>
      <c r="L344">
        <f>IF(AV343&lt;=0,0,IF(ROUND(AV343*(1+'Calc base'!J344),2)-MAX('Calc base'!E$12,ROUND('Calc base'!E$13*AV343,2))&lt;1,ROUND(AV343*(1+'Calc base'!J344),2),MAX('Calc base'!E$12,ROUND('Calc base'!E$13*AV343,2))))</f>
        <v>0</v>
      </c>
      <c r="M344">
        <f>IF(AW343&lt;=0,0,IF(ROUND(AW343*(1+'Calc base'!K344),2)-MAX('Calc base'!F$12,ROUND('Calc base'!F$13*AW343,2))&lt;1,ROUND(AW343*(1+'Calc base'!K344),2),MAX('Calc base'!F$12,ROUND('Calc base'!F$13*AW343,2))))</f>
        <v>0</v>
      </c>
      <c r="N344">
        <f>IF(AX343&lt;=0,0,IF(ROUND(AX343*(1+'Calc base'!L344),2)-MAX('Calc base'!G$12,ROUND('Calc base'!G$13*AX343,2))&lt;1,ROUND(AX343*(1+'Calc base'!L344),2),MAX('Calc base'!G$12,ROUND('Calc base'!G$13*AX343,2))))</f>
        <v>0</v>
      </c>
      <c r="O344">
        <f>IF(AY343&lt;=0,0,IF(ROUND(AY343*(1+'Calc base'!M344),2)-MAX('Calc base'!H$12,ROUND('Calc base'!H$13*AY343,2))&lt;1,ROUND(AY343*(1+'Calc base'!M344),2),MAX('Calc base'!H$12,ROUND('Calc base'!H$13*AY343,2))))</f>
        <v>0</v>
      </c>
      <c r="P344">
        <f>IF(AZ343&lt;=0,0,IF(ROUND(AZ343*(1+'Calc base'!N344),2)-MAX('Calc base'!I$12,ROUND('Calc base'!I$13*AZ343,2))&lt;1,ROUND(AZ343*(1+'Calc base'!N344),2),MAX('Calc base'!I$12,ROUND('Calc base'!I$13*AZ343,2))))</f>
        <v>0</v>
      </c>
      <c r="Q344">
        <f>IF(BA343&lt;=0,0,IF(ROUND(BA343*(1+'Calc base'!O344),2)-MAX('Calc base'!J$12,ROUND('Calc base'!J$13*BA343,2))&lt;1,ROUND(BA343*(1+'Calc base'!O344),2),MAX('Calc base'!J$12,ROUND('Calc base'!J$13*BA343,2))))</f>
        <v>0</v>
      </c>
      <c r="R344">
        <f>IF(BB343&lt;=0,0,IF(ROUND(BB343*(1+'Calc base'!P344),2)-MAX('Calc base'!K$12,ROUND('Calc base'!K$13*BB343,2))&lt;1,ROUND(BB343*(1+'Calc base'!P344),2),MAX('Calc base'!K$12,ROUND('Calc base'!K$13*BB343,2))))</f>
        <v>0</v>
      </c>
      <c r="S344">
        <f>IF(BC343&lt;=0,0,IF(ROUND(BC343*(1+'Calc base'!Q344),2)-MAX('Calc base'!L$12,ROUND('Calc base'!L$13*BC343,2))&lt;1,ROUND(BC343*(1+'Calc base'!Q344),2),MAX('Calc base'!L$12,ROUND('Calc base'!L$13*BC343,2))))</f>
        <v>0</v>
      </c>
      <c r="T344">
        <f>IF(BD343&lt;=0,0,IF(ROUND(BD343*(1+'Calc base'!R344),2)-MAX('Calc base'!M$12,ROUND('Calc base'!M$13*BD343,2))&lt;1,ROUND(BD343*(1+'Calc base'!R344),2),MAX('Calc base'!M$12,ROUND('Calc base'!M$13*BD343,2))))</f>
        <v>0</v>
      </c>
      <c r="U344">
        <f>IF(BE343&lt;=0,0,IF(ROUND(BE343*(1+'Calc base'!S344),2)-MAX('Calc base'!N$12,ROUND('Calc base'!N$13*BE343,2))&lt;1,ROUND(BE343*(1+'Calc base'!S344),2),MAX('Calc base'!N$12,ROUND('Calc base'!N$13*BE343,2))))</f>
        <v>0</v>
      </c>
      <c r="V344">
        <f>MAX(0,ROUND(AT343*(1+'Calc base'!H344),2)-J344-'Calc base'!T344)</f>
        <v>0</v>
      </c>
      <c r="W344">
        <f>MAX(0,ROUND(AU343*(1+'Calc base'!I344),2)-K344-'Calc base'!U344)</f>
        <v>0</v>
      </c>
      <c r="X344">
        <f>MAX(0,ROUND(AV343*(1+'Calc base'!J344),2)-L344-'Calc base'!V344)</f>
        <v>0</v>
      </c>
      <c r="Y344">
        <f>MAX(0,ROUND(AW343*(1+'Calc base'!K344),2)-M344-'Calc base'!W344)</f>
        <v>0</v>
      </c>
      <c r="Z344">
        <f>MAX(0,ROUND(AX343*(1+'Calc base'!L344),2)-N344-'Calc base'!X344)</f>
        <v>0</v>
      </c>
      <c r="AA344">
        <f>MAX(0,ROUND(AY343*(1+'Calc base'!M344),2)-O344-'Calc base'!Y344)</f>
        <v>0</v>
      </c>
      <c r="AB344">
        <f>MAX(0,ROUND(AZ343*(1+'Calc base'!N344),2)-P344-'Calc base'!Z344)</f>
        <v>0</v>
      </c>
      <c r="AC344">
        <f>MAX(0,ROUND(BA343*(1+'Calc base'!O344),2)-Q344-'Calc base'!AA344)</f>
        <v>0</v>
      </c>
      <c r="AD344">
        <f>MAX(0,ROUND(BB343*(1+'Calc base'!P344),2)-R344-'Calc base'!AB344)</f>
        <v>0</v>
      </c>
      <c r="AE344">
        <f>MAX(0,ROUND(BC343*(1+'Calc base'!Q344),2)-S344-'Calc base'!AC344)</f>
        <v>0</v>
      </c>
      <c r="AF344">
        <f>MAX(0,ROUND(BD343*(1+'Calc base'!R344),2)-T344-'Calc base'!AD344)</f>
        <v>0</v>
      </c>
      <c r="AG344">
        <f>MAX(0,ROUND(BE343*(1+'Calc base'!S344),2)-U344-'Calc base'!AE344)</f>
        <v>0</v>
      </c>
      <c r="AH344">
        <f>IF('Calc base'!C$14=0,0,MIN(V344,MAX(0,$E344-SUMIFS($V344:$AG344,'Calc base'!$C$19:$N$19,"&lt;"&amp;'Calc base'!C$19,'Calc base'!$C$14:$N$14,1))))</f>
        <v>0</v>
      </c>
      <c r="AI344">
        <f>IF('Calc base'!D$14=0,0,MIN(W344,MAX(0,$E344-SUMIFS($V344:$AG344,'Calc base'!$C$19:$N$19,"&lt;"&amp;'Calc base'!D$19,'Calc base'!$C$14:$N$14,1))))</f>
        <v>0</v>
      </c>
      <c r="AJ344">
        <f>IF('Calc base'!E$14=0,0,MIN(X344,MAX(0,$E344-SUMIFS($V344:$AG344,'Calc base'!$C$19:$N$19,"&lt;"&amp;'Calc base'!E$19,'Calc base'!$C$14:$N$14,1))))</f>
        <v>0</v>
      </c>
      <c r="AK344">
        <f>IF('Calc base'!F$14=0,0,MIN(Y344,MAX(0,$E344-SUMIFS($V344:$AG344,'Calc base'!$C$19:$N$19,"&lt;"&amp;'Calc base'!F$19,'Calc base'!$C$14:$N$14,1))))</f>
        <v>0</v>
      </c>
      <c r="AL344">
        <f>IF('Calc base'!G$14=0,0,MIN(Z344,MAX(0,$E344-SUMIFS($V344:$AG344,'Calc base'!$C$19:$N$19,"&lt;"&amp;'Calc base'!G$19,'Calc base'!$C$14:$N$14,1))))</f>
        <v>0</v>
      </c>
      <c r="AM344">
        <f>IF('Calc base'!H$14=0,0,MIN(AA344,MAX(0,$E344-SUMIFS($V344:$AG344,'Calc base'!$C$19:$N$19,"&lt;"&amp;'Calc base'!H$19,'Calc base'!$C$14:$N$14,1))))</f>
        <v>0</v>
      </c>
      <c r="AN344">
        <f>IF('Calc base'!I$14=0,0,MIN(AB344,MAX(0,$E344-SUMIFS($V344:$AG344,'Calc base'!$C$19:$N$19,"&lt;"&amp;'Calc base'!I$19,'Calc base'!$C$14:$N$14,1))))</f>
        <v>0</v>
      </c>
      <c r="AO344">
        <f>IF('Calc base'!J$14=0,0,MIN(AC344,MAX(0,$E344-SUMIFS($V344:$AG344,'Calc base'!$C$19:$N$19,"&lt;"&amp;'Calc base'!J$19,'Calc base'!$C$14:$N$14,1))))</f>
        <v>0</v>
      </c>
      <c r="AP344">
        <f>IF('Calc base'!K$14=0,0,MIN(AD344,MAX(0,$E344-SUMIFS($V344:$AG344,'Calc base'!$C$19:$N$19,"&lt;"&amp;'Calc base'!K$19,'Calc base'!$C$14:$N$14,1))))</f>
        <v>0</v>
      </c>
      <c r="AQ344">
        <f>IF('Calc base'!L$14=0,0,MIN(AE344,MAX(0,$E344-SUMIFS($V344:$AG344,'Calc base'!$C$19:$N$19,"&lt;"&amp;'Calc base'!L$19,'Calc base'!$C$14:$N$14,1))))</f>
        <v>0</v>
      </c>
      <c r="AR344">
        <f>IF('Calc base'!M$14=0,0,MIN(AF344,MAX(0,$E344-SUMIFS($V344:$AG344,'Calc base'!$C$19:$N$19,"&lt;"&amp;'Calc base'!M$19,'Calc base'!$C$14:$N$14,1))))</f>
        <v>0</v>
      </c>
      <c r="AS344">
        <f>IF('Calc base'!N$14=0,0,MIN(AG344,MAX(0,$E344-SUMIFS($V344:$AG344,'Calc base'!$C$19:$N$19,"&lt;"&amp;'Calc base'!N$19,'Calc base'!$C$14:$N$14,1))))</f>
        <v>0</v>
      </c>
      <c r="AT344">
        <f>V344-AH344</f>
        <v>0</v>
      </c>
      <c r="AU344">
        <f>W344-AI344</f>
        <v>0</v>
      </c>
      <c r="AV344">
        <f>X344-AJ344</f>
        <v>0</v>
      </c>
      <c r="AW344">
        <f>Y344-AK344</f>
        <v>0</v>
      </c>
      <c r="AX344">
        <f>Z344-AL344</f>
        <v>0</v>
      </c>
      <c r="AY344">
        <f>AA344-AM344</f>
        <v>0</v>
      </c>
      <c r="AZ344">
        <f>AB344-AN344</f>
        <v>0</v>
      </c>
      <c r="BA344">
        <f>AC344-AO344</f>
        <v>0</v>
      </c>
      <c r="BB344">
        <f>AD344-AP344</f>
        <v>0</v>
      </c>
      <c r="BC344">
        <f>AE344-AQ344</f>
        <v>0</v>
      </c>
      <c r="BD344">
        <f>AF344-AR344</f>
        <v>0</v>
      </c>
      <c r="BE344">
        <f>AG344-AS344</f>
        <v>0</v>
      </c>
    </row>
    <row r="345">
      <c r="A345" t="n">
        <v>315</v>
      </c>
      <c r="B345">
        <f>SUMPRODUCT(ROUND($AT344:$BE344*(1+'Calc base'!$H345:$S345),2))</f>
        <v>0</v>
      </c>
      <c r="C345">
        <f>SUM(J345:U345)</f>
        <v>0</v>
      </c>
      <c r="D345">
        <f>SUM(V345:AG345)</f>
        <v>0</v>
      </c>
      <c r="E345">
        <f>MAX(0,IF(Impostazioni!$B$7="No",'Calc base'!$C345-$C$31,'Calc base'!$C345-C345)+'Calc base'!$G345+'Calc base'!$F345-(B345-C345-D345))</f>
        <v>900</v>
      </c>
      <c r="F345">
        <f>SUM(AH345:AS345)</f>
        <v>0</v>
      </c>
      <c r="G345">
        <f>SUM(AT345:BE345)</f>
        <v>0</v>
      </c>
      <c r="H345">
        <f>B345-G344</f>
        <v>0</v>
      </c>
      <c r="I345">
        <f>B345-G345</f>
        <v>0</v>
      </c>
      <c r="J345">
        <f>IF(AT344&lt;=0,0,IF(ROUND(AT344*(1+'Calc base'!H345),2)-MAX('Calc base'!C$12,ROUND('Calc base'!C$13*AT344,2))&lt;1,ROUND(AT344*(1+'Calc base'!H345),2),MAX('Calc base'!C$12,ROUND('Calc base'!C$13*AT344,2))))</f>
        <v>0</v>
      </c>
      <c r="K345">
        <f>IF(AU344&lt;=0,0,IF(ROUND(AU344*(1+'Calc base'!I345),2)-MAX('Calc base'!D$12,ROUND('Calc base'!D$13*AU344,2))&lt;1,ROUND(AU344*(1+'Calc base'!I345),2),MAX('Calc base'!D$12,ROUND('Calc base'!D$13*AU344,2))))</f>
        <v>0</v>
      </c>
      <c r="L345">
        <f>IF(AV344&lt;=0,0,IF(ROUND(AV344*(1+'Calc base'!J345),2)-MAX('Calc base'!E$12,ROUND('Calc base'!E$13*AV344,2))&lt;1,ROUND(AV344*(1+'Calc base'!J345),2),MAX('Calc base'!E$12,ROUND('Calc base'!E$13*AV344,2))))</f>
        <v>0</v>
      </c>
      <c r="M345">
        <f>IF(AW344&lt;=0,0,IF(ROUND(AW344*(1+'Calc base'!K345),2)-MAX('Calc base'!F$12,ROUND('Calc base'!F$13*AW344,2))&lt;1,ROUND(AW344*(1+'Calc base'!K345),2),MAX('Calc base'!F$12,ROUND('Calc base'!F$13*AW344,2))))</f>
        <v>0</v>
      </c>
      <c r="N345">
        <f>IF(AX344&lt;=0,0,IF(ROUND(AX344*(1+'Calc base'!L345),2)-MAX('Calc base'!G$12,ROUND('Calc base'!G$13*AX344,2))&lt;1,ROUND(AX344*(1+'Calc base'!L345),2),MAX('Calc base'!G$12,ROUND('Calc base'!G$13*AX344,2))))</f>
        <v>0</v>
      </c>
      <c r="O345">
        <f>IF(AY344&lt;=0,0,IF(ROUND(AY344*(1+'Calc base'!M345),2)-MAX('Calc base'!H$12,ROUND('Calc base'!H$13*AY344,2))&lt;1,ROUND(AY344*(1+'Calc base'!M345),2),MAX('Calc base'!H$12,ROUND('Calc base'!H$13*AY344,2))))</f>
        <v>0</v>
      </c>
      <c r="P345">
        <f>IF(AZ344&lt;=0,0,IF(ROUND(AZ344*(1+'Calc base'!N345),2)-MAX('Calc base'!I$12,ROUND('Calc base'!I$13*AZ344,2))&lt;1,ROUND(AZ344*(1+'Calc base'!N345),2),MAX('Calc base'!I$12,ROUND('Calc base'!I$13*AZ344,2))))</f>
        <v>0</v>
      </c>
      <c r="Q345">
        <f>IF(BA344&lt;=0,0,IF(ROUND(BA344*(1+'Calc base'!O345),2)-MAX('Calc base'!J$12,ROUND('Calc base'!J$13*BA344,2))&lt;1,ROUND(BA344*(1+'Calc base'!O345),2),MAX('Calc base'!J$12,ROUND('Calc base'!J$13*BA344,2))))</f>
        <v>0</v>
      </c>
      <c r="R345">
        <f>IF(BB344&lt;=0,0,IF(ROUND(BB344*(1+'Calc base'!P345),2)-MAX('Calc base'!K$12,ROUND('Calc base'!K$13*BB344,2))&lt;1,ROUND(BB344*(1+'Calc base'!P345),2),MAX('Calc base'!K$12,ROUND('Calc base'!K$13*BB344,2))))</f>
        <v>0</v>
      </c>
      <c r="S345">
        <f>IF(BC344&lt;=0,0,IF(ROUND(BC344*(1+'Calc base'!Q345),2)-MAX('Calc base'!L$12,ROUND('Calc base'!L$13*BC344,2))&lt;1,ROUND(BC344*(1+'Calc base'!Q345),2),MAX('Calc base'!L$12,ROUND('Calc base'!L$13*BC344,2))))</f>
        <v>0</v>
      </c>
      <c r="T345">
        <f>IF(BD344&lt;=0,0,IF(ROUND(BD344*(1+'Calc base'!R345),2)-MAX('Calc base'!M$12,ROUND('Calc base'!M$13*BD344,2))&lt;1,ROUND(BD344*(1+'Calc base'!R345),2),MAX('Calc base'!M$12,ROUND('Calc base'!M$13*BD344,2))))</f>
        <v>0</v>
      </c>
      <c r="U345">
        <f>IF(BE344&lt;=0,0,IF(ROUND(BE344*(1+'Calc base'!S345),2)-MAX('Calc base'!N$12,ROUND('Calc base'!N$13*BE344,2))&lt;1,ROUND(BE344*(1+'Calc base'!S345),2),MAX('Calc base'!N$12,ROUND('Calc base'!N$13*BE344,2))))</f>
        <v>0</v>
      </c>
      <c r="V345">
        <f>MAX(0,ROUND(AT344*(1+'Calc base'!H345),2)-J345-'Calc base'!T345)</f>
        <v>0</v>
      </c>
      <c r="W345">
        <f>MAX(0,ROUND(AU344*(1+'Calc base'!I345),2)-K345-'Calc base'!U345)</f>
        <v>0</v>
      </c>
      <c r="X345">
        <f>MAX(0,ROUND(AV344*(1+'Calc base'!J345),2)-L345-'Calc base'!V345)</f>
        <v>0</v>
      </c>
      <c r="Y345">
        <f>MAX(0,ROUND(AW344*(1+'Calc base'!K345),2)-M345-'Calc base'!W345)</f>
        <v>0</v>
      </c>
      <c r="Z345">
        <f>MAX(0,ROUND(AX344*(1+'Calc base'!L345),2)-N345-'Calc base'!X345)</f>
        <v>0</v>
      </c>
      <c r="AA345">
        <f>MAX(0,ROUND(AY344*(1+'Calc base'!M345),2)-O345-'Calc base'!Y345)</f>
        <v>0</v>
      </c>
      <c r="AB345">
        <f>MAX(0,ROUND(AZ344*(1+'Calc base'!N345),2)-P345-'Calc base'!Z345)</f>
        <v>0</v>
      </c>
      <c r="AC345">
        <f>MAX(0,ROUND(BA344*(1+'Calc base'!O345),2)-Q345-'Calc base'!AA345)</f>
        <v>0</v>
      </c>
      <c r="AD345">
        <f>MAX(0,ROUND(BB344*(1+'Calc base'!P345),2)-R345-'Calc base'!AB345)</f>
        <v>0</v>
      </c>
      <c r="AE345">
        <f>MAX(0,ROUND(BC344*(1+'Calc base'!Q345),2)-S345-'Calc base'!AC345)</f>
        <v>0</v>
      </c>
      <c r="AF345">
        <f>MAX(0,ROUND(BD344*(1+'Calc base'!R345),2)-T345-'Calc base'!AD345)</f>
        <v>0</v>
      </c>
      <c r="AG345">
        <f>MAX(0,ROUND(BE344*(1+'Calc base'!S345),2)-U345-'Calc base'!AE345)</f>
        <v>0</v>
      </c>
      <c r="AH345">
        <f>IF('Calc base'!C$14=0,0,MIN(V345,MAX(0,$E345-SUMIFS($V345:$AG345,'Calc base'!$C$19:$N$19,"&lt;"&amp;'Calc base'!C$19,'Calc base'!$C$14:$N$14,1))))</f>
        <v>0</v>
      </c>
      <c r="AI345">
        <f>IF('Calc base'!D$14=0,0,MIN(W345,MAX(0,$E345-SUMIFS($V345:$AG345,'Calc base'!$C$19:$N$19,"&lt;"&amp;'Calc base'!D$19,'Calc base'!$C$14:$N$14,1))))</f>
        <v>0</v>
      </c>
      <c r="AJ345">
        <f>IF('Calc base'!E$14=0,0,MIN(X345,MAX(0,$E345-SUMIFS($V345:$AG345,'Calc base'!$C$19:$N$19,"&lt;"&amp;'Calc base'!E$19,'Calc base'!$C$14:$N$14,1))))</f>
        <v>0</v>
      </c>
      <c r="AK345">
        <f>IF('Calc base'!F$14=0,0,MIN(Y345,MAX(0,$E345-SUMIFS($V345:$AG345,'Calc base'!$C$19:$N$19,"&lt;"&amp;'Calc base'!F$19,'Calc base'!$C$14:$N$14,1))))</f>
        <v>0</v>
      </c>
      <c r="AL345">
        <f>IF('Calc base'!G$14=0,0,MIN(Z345,MAX(0,$E345-SUMIFS($V345:$AG345,'Calc base'!$C$19:$N$19,"&lt;"&amp;'Calc base'!G$19,'Calc base'!$C$14:$N$14,1))))</f>
        <v>0</v>
      </c>
      <c r="AM345">
        <f>IF('Calc base'!H$14=0,0,MIN(AA345,MAX(0,$E345-SUMIFS($V345:$AG345,'Calc base'!$C$19:$N$19,"&lt;"&amp;'Calc base'!H$19,'Calc base'!$C$14:$N$14,1))))</f>
        <v>0</v>
      </c>
      <c r="AN345">
        <f>IF('Calc base'!I$14=0,0,MIN(AB345,MAX(0,$E345-SUMIFS($V345:$AG345,'Calc base'!$C$19:$N$19,"&lt;"&amp;'Calc base'!I$19,'Calc base'!$C$14:$N$14,1))))</f>
        <v>0</v>
      </c>
      <c r="AO345">
        <f>IF('Calc base'!J$14=0,0,MIN(AC345,MAX(0,$E345-SUMIFS($V345:$AG345,'Calc base'!$C$19:$N$19,"&lt;"&amp;'Calc base'!J$19,'Calc base'!$C$14:$N$14,1))))</f>
        <v>0</v>
      </c>
      <c r="AP345">
        <f>IF('Calc base'!K$14=0,0,MIN(AD345,MAX(0,$E345-SUMIFS($V345:$AG345,'Calc base'!$C$19:$N$19,"&lt;"&amp;'Calc base'!K$19,'Calc base'!$C$14:$N$14,1))))</f>
        <v>0</v>
      </c>
      <c r="AQ345">
        <f>IF('Calc base'!L$14=0,0,MIN(AE345,MAX(0,$E345-SUMIFS($V345:$AG345,'Calc base'!$C$19:$N$19,"&lt;"&amp;'Calc base'!L$19,'Calc base'!$C$14:$N$14,1))))</f>
        <v>0</v>
      </c>
      <c r="AR345">
        <f>IF('Calc base'!M$14=0,0,MIN(AF345,MAX(0,$E345-SUMIFS($V345:$AG345,'Calc base'!$C$19:$N$19,"&lt;"&amp;'Calc base'!M$19,'Calc base'!$C$14:$N$14,1))))</f>
        <v>0</v>
      </c>
      <c r="AS345">
        <f>IF('Calc base'!N$14=0,0,MIN(AG345,MAX(0,$E345-SUMIFS($V345:$AG345,'Calc base'!$C$19:$N$19,"&lt;"&amp;'Calc base'!N$19,'Calc base'!$C$14:$N$14,1))))</f>
        <v>0</v>
      </c>
      <c r="AT345">
        <f>V345-AH345</f>
        <v>0</v>
      </c>
      <c r="AU345">
        <f>W345-AI345</f>
        <v>0</v>
      </c>
      <c r="AV345">
        <f>X345-AJ345</f>
        <v>0</v>
      </c>
      <c r="AW345">
        <f>Y345-AK345</f>
        <v>0</v>
      </c>
      <c r="AX345">
        <f>Z345-AL345</f>
        <v>0</v>
      </c>
      <c r="AY345">
        <f>AA345-AM345</f>
        <v>0</v>
      </c>
      <c r="AZ345">
        <f>AB345-AN345</f>
        <v>0</v>
      </c>
      <c r="BA345">
        <f>AC345-AO345</f>
        <v>0</v>
      </c>
      <c r="BB345">
        <f>AD345-AP345</f>
        <v>0</v>
      </c>
      <c r="BC345">
        <f>AE345-AQ345</f>
        <v>0</v>
      </c>
      <c r="BD345">
        <f>AF345-AR345</f>
        <v>0</v>
      </c>
      <c r="BE345">
        <f>AG345-AS345</f>
        <v>0</v>
      </c>
    </row>
    <row r="346">
      <c r="A346" t="n">
        <v>316</v>
      </c>
      <c r="B346">
        <f>SUMPRODUCT(ROUND($AT345:$BE345*(1+'Calc base'!$H346:$S346),2))</f>
        <v>0</v>
      </c>
      <c r="C346">
        <f>SUM(J346:U346)</f>
        <v>0</v>
      </c>
      <c r="D346">
        <f>SUM(V346:AG346)</f>
        <v>0</v>
      </c>
      <c r="E346">
        <f>MAX(0,IF(Impostazioni!$B$7="No",'Calc base'!$C346-$C$31,'Calc base'!$C346-C346)+'Calc base'!$G346+'Calc base'!$F346-(B346-C346-D346))</f>
        <v>900</v>
      </c>
      <c r="F346">
        <f>SUM(AH346:AS346)</f>
        <v>0</v>
      </c>
      <c r="G346">
        <f>SUM(AT346:BE346)</f>
        <v>0</v>
      </c>
      <c r="H346">
        <f>B346-G345</f>
        <v>0</v>
      </c>
      <c r="I346">
        <f>B346-G346</f>
        <v>0</v>
      </c>
      <c r="J346">
        <f>IF(AT345&lt;=0,0,IF(ROUND(AT345*(1+'Calc base'!H346),2)-MAX('Calc base'!C$12,ROUND('Calc base'!C$13*AT345,2))&lt;1,ROUND(AT345*(1+'Calc base'!H346),2),MAX('Calc base'!C$12,ROUND('Calc base'!C$13*AT345,2))))</f>
        <v>0</v>
      </c>
      <c r="K346">
        <f>IF(AU345&lt;=0,0,IF(ROUND(AU345*(1+'Calc base'!I346),2)-MAX('Calc base'!D$12,ROUND('Calc base'!D$13*AU345,2))&lt;1,ROUND(AU345*(1+'Calc base'!I346),2),MAX('Calc base'!D$12,ROUND('Calc base'!D$13*AU345,2))))</f>
        <v>0</v>
      </c>
      <c r="L346">
        <f>IF(AV345&lt;=0,0,IF(ROUND(AV345*(1+'Calc base'!J346),2)-MAX('Calc base'!E$12,ROUND('Calc base'!E$13*AV345,2))&lt;1,ROUND(AV345*(1+'Calc base'!J346),2),MAX('Calc base'!E$12,ROUND('Calc base'!E$13*AV345,2))))</f>
        <v>0</v>
      </c>
      <c r="M346">
        <f>IF(AW345&lt;=0,0,IF(ROUND(AW345*(1+'Calc base'!K346),2)-MAX('Calc base'!F$12,ROUND('Calc base'!F$13*AW345,2))&lt;1,ROUND(AW345*(1+'Calc base'!K346),2),MAX('Calc base'!F$12,ROUND('Calc base'!F$13*AW345,2))))</f>
        <v>0</v>
      </c>
      <c r="N346">
        <f>IF(AX345&lt;=0,0,IF(ROUND(AX345*(1+'Calc base'!L346),2)-MAX('Calc base'!G$12,ROUND('Calc base'!G$13*AX345,2))&lt;1,ROUND(AX345*(1+'Calc base'!L346),2),MAX('Calc base'!G$12,ROUND('Calc base'!G$13*AX345,2))))</f>
        <v>0</v>
      </c>
      <c r="O346">
        <f>IF(AY345&lt;=0,0,IF(ROUND(AY345*(1+'Calc base'!M346),2)-MAX('Calc base'!H$12,ROUND('Calc base'!H$13*AY345,2))&lt;1,ROUND(AY345*(1+'Calc base'!M346),2),MAX('Calc base'!H$12,ROUND('Calc base'!H$13*AY345,2))))</f>
        <v>0</v>
      </c>
      <c r="P346">
        <f>IF(AZ345&lt;=0,0,IF(ROUND(AZ345*(1+'Calc base'!N346),2)-MAX('Calc base'!I$12,ROUND('Calc base'!I$13*AZ345,2))&lt;1,ROUND(AZ345*(1+'Calc base'!N346),2),MAX('Calc base'!I$12,ROUND('Calc base'!I$13*AZ345,2))))</f>
        <v>0</v>
      </c>
      <c r="Q346">
        <f>IF(BA345&lt;=0,0,IF(ROUND(BA345*(1+'Calc base'!O346),2)-MAX('Calc base'!J$12,ROUND('Calc base'!J$13*BA345,2))&lt;1,ROUND(BA345*(1+'Calc base'!O346),2),MAX('Calc base'!J$12,ROUND('Calc base'!J$13*BA345,2))))</f>
        <v>0</v>
      </c>
      <c r="R346">
        <f>IF(BB345&lt;=0,0,IF(ROUND(BB345*(1+'Calc base'!P346),2)-MAX('Calc base'!K$12,ROUND('Calc base'!K$13*BB345,2))&lt;1,ROUND(BB345*(1+'Calc base'!P346),2),MAX('Calc base'!K$12,ROUND('Calc base'!K$13*BB345,2))))</f>
        <v>0</v>
      </c>
      <c r="S346">
        <f>IF(BC345&lt;=0,0,IF(ROUND(BC345*(1+'Calc base'!Q346),2)-MAX('Calc base'!L$12,ROUND('Calc base'!L$13*BC345,2))&lt;1,ROUND(BC345*(1+'Calc base'!Q346),2),MAX('Calc base'!L$12,ROUND('Calc base'!L$13*BC345,2))))</f>
        <v>0</v>
      </c>
      <c r="T346">
        <f>IF(BD345&lt;=0,0,IF(ROUND(BD345*(1+'Calc base'!R346),2)-MAX('Calc base'!M$12,ROUND('Calc base'!M$13*BD345,2))&lt;1,ROUND(BD345*(1+'Calc base'!R346),2),MAX('Calc base'!M$12,ROUND('Calc base'!M$13*BD345,2))))</f>
        <v>0</v>
      </c>
      <c r="U346">
        <f>IF(BE345&lt;=0,0,IF(ROUND(BE345*(1+'Calc base'!S346),2)-MAX('Calc base'!N$12,ROUND('Calc base'!N$13*BE345,2))&lt;1,ROUND(BE345*(1+'Calc base'!S346),2),MAX('Calc base'!N$12,ROUND('Calc base'!N$13*BE345,2))))</f>
        <v>0</v>
      </c>
      <c r="V346">
        <f>MAX(0,ROUND(AT345*(1+'Calc base'!H346),2)-J346-'Calc base'!T346)</f>
        <v>0</v>
      </c>
      <c r="W346">
        <f>MAX(0,ROUND(AU345*(1+'Calc base'!I346),2)-K346-'Calc base'!U346)</f>
        <v>0</v>
      </c>
      <c r="X346">
        <f>MAX(0,ROUND(AV345*(1+'Calc base'!J346),2)-L346-'Calc base'!V346)</f>
        <v>0</v>
      </c>
      <c r="Y346">
        <f>MAX(0,ROUND(AW345*(1+'Calc base'!K346),2)-M346-'Calc base'!W346)</f>
        <v>0</v>
      </c>
      <c r="Z346">
        <f>MAX(0,ROUND(AX345*(1+'Calc base'!L346),2)-N346-'Calc base'!X346)</f>
        <v>0</v>
      </c>
      <c r="AA346">
        <f>MAX(0,ROUND(AY345*(1+'Calc base'!M346),2)-O346-'Calc base'!Y346)</f>
        <v>0</v>
      </c>
      <c r="AB346">
        <f>MAX(0,ROUND(AZ345*(1+'Calc base'!N346),2)-P346-'Calc base'!Z346)</f>
        <v>0</v>
      </c>
      <c r="AC346">
        <f>MAX(0,ROUND(BA345*(1+'Calc base'!O346),2)-Q346-'Calc base'!AA346)</f>
        <v>0</v>
      </c>
      <c r="AD346">
        <f>MAX(0,ROUND(BB345*(1+'Calc base'!P346),2)-R346-'Calc base'!AB346)</f>
        <v>0</v>
      </c>
      <c r="AE346">
        <f>MAX(0,ROUND(BC345*(1+'Calc base'!Q346),2)-S346-'Calc base'!AC346)</f>
        <v>0</v>
      </c>
      <c r="AF346">
        <f>MAX(0,ROUND(BD345*(1+'Calc base'!R346),2)-T346-'Calc base'!AD346)</f>
        <v>0</v>
      </c>
      <c r="AG346">
        <f>MAX(0,ROUND(BE345*(1+'Calc base'!S346),2)-U346-'Calc base'!AE346)</f>
        <v>0</v>
      </c>
      <c r="AH346">
        <f>IF('Calc base'!C$14=0,0,MIN(V346,MAX(0,$E346-SUMIFS($V346:$AG346,'Calc base'!$C$19:$N$19,"&lt;"&amp;'Calc base'!C$19,'Calc base'!$C$14:$N$14,1))))</f>
        <v>0</v>
      </c>
      <c r="AI346">
        <f>IF('Calc base'!D$14=0,0,MIN(W346,MAX(0,$E346-SUMIFS($V346:$AG346,'Calc base'!$C$19:$N$19,"&lt;"&amp;'Calc base'!D$19,'Calc base'!$C$14:$N$14,1))))</f>
        <v>0</v>
      </c>
      <c r="AJ346">
        <f>IF('Calc base'!E$14=0,0,MIN(X346,MAX(0,$E346-SUMIFS($V346:$AG346,'Calc base'!$C$19:$N$19,"&lt;"&amp;'Calc base'!E$19,'Calc base'!$C$14:$N$14,1))))</f>
        <v>0</v>
      </c>
      <c r="AK346">
        <f>IF('Calc base'!F$14=0,0,MIN(Y346,MAX(0,$E346-SUMIFS($V346:$AG346,'Calc base'!$C$19:$N$19,"&lt;"&amp;'Calc base'!F$19,'Calc base'!$C$14:$N$14,1))))</f>
        <v>0</v>
      </c>
      <c r="AL346">
        <f>IF('Calc base'!G$14=0,0,MIN(Z346,MAX(0,$E346-SUMIFS($V346:$AG346,'Calc base'!$C$19:$N$19,"&lt;"&amp;'Calc base'!G$19,'Calc base'!$C$14:$N$14,1))))</f>
        <v>0</v>
      </c>
      <c r="AM346">
        <f>IF('Calc base'!H$14=0,0,MIN(AA346,MAX(0,$E346-SUMIFS($V346:$AG346,'Calc base'!$C$19:$N$19,"&lt;"&amp;'Calc base'!H$19,'Calc base'!$C$14:$N$14,1))))</f>
        <v>0</v>
      </c>
      <c r="AN346">
        <f>IF('Calc base'!I$14=0,0,MIN(AB346,MAX(0,$E346-SUMIFS($V346:$AG346,'Calc base'!$C$19:$N$19,"&lt;"&amp;'Calc base'!I$19,'Calc base'!$C$14:$N$14,1))))</f>
        <v>0</v>
      </c>
      <c r="AO346">
        <f>IF('Calc base'!J$14=0,0,MIN(AC346,MAX(0,$E346-SUMIFS($V346:$AG346,'Calc base'!$C$19:$N$19,"&lt;"&amp;'Calc base'!J$19,'Calc base'!$C$14:$N$14,1))))</f>
        <v>0</v>
      </c>
      <c r="AP346">
        <f>IF('Calc base'!K$14=0,0,MIN(AD346,MAX(0,$E346-SUMIFS($V346:$AG346,'Calc base'!$C$19:$N$19,"&lt;"&amp;'Calc base'!K$19,'Calc base'!$C$14:$N$14,1))))</f>
        <v>0</v>
      </c>
      <c r="AQ346">
        <f>IF('Calc base'!L$14=0,0,MIN(AE346,MAX(0,$E346-SUMIFS($V346:$AG346,'Calc base'!$C$19:$N$19,"&lt;"&amp;'Calc base'!L$19,'Calc base'!$C$14:$N$14,1))))</f>
        <v>0</v>
      </c>
      <c r="AR346">
        <f>IF('Calc base'!M$14=0,0,MIN(AF346,MAX(0,$E346-SUMIFS($V346:$AG346,'Calc base'!$C$19:$N$19,"&lt;"&amp;'Calc base'!M$19,'Calc base'!$C$14:$N$14,1))))</f>
        <v>0</v>
      </c>
      <c r="AS346">
        <f>IF('Calc base'!N$14=0,0,MIN(AG346,MAX(0,$E346-SUMIFS($V346:$AG346,'Calc base'!$C$19:$N$19,"&lt;"&amp;'Calc base'!N$19,'Calc base'!$C$14:$N$14,1))))</f>
        <v>0</v>
      </c>
      <c r="AT346">
        <f>V346-AH346</f>
        <v>0</v>
      </c>
      <c r="AU346">
        <f>W346-AI346</f>
        <v>0</v>
      </c>
      <c r="AV346">
        <f>X346-AJ346</f>
        <v>0</v>
      </c>
      <c r="AW346">
        <f>Y346-AK346</f>
        <v>0</v>
      </c>
      <c r="AX346">
        <f>Z346-AL346</f>
        <v>0</v>
      </c>
      <c r="AY346">
        <f>AA346-AM346</f>
        <v>0</v>
      </c>
      <c r="AZ346">
        <f>AB346-AN346</f>
        <v>0</v>
      </c>
      <c r="BA346">
        <f>AC346-AO346</f>
        <v>0</v>
      </c>
      <c r="BB346">
        <f>AD346-AP346</f>
        <v>0</v>
      </c>
      <c r="BC346">
        <f>AE346-AQ346</f>
        <v>0</v>
      </c>
      <c r="BD346">
        <f>AF346-AR346</f>
        <v>0</v>
      </c>
      <c r="BE346">
        <f>AG346-AS346</f>
        <v>0</v>
      </c>
    </row>
    <row r="347">
      <c r="A347" t="n">
        <v>317</v>
      </c>
      <c r="B347">
        <f>SUMPRODUCT(ROUND($AT346:$BE346*(1+'Calc base'!$H347:$S347),2))</f>
        <v>0</v>
      </c>
      <c r="C347">
        <f>SUM(J347:U347)</f>
        <v>0</v>
      </c>
      <c r="D347">
        <f>SUM(V347:AG347)</f>
        <v>0</v>
      </c>
      <c r="E347">
        <f>MAX(0,IF(Impostazioni!$B$7="No",'Calc base'!$C347-$C$31,'Calc base'!$C347-C347)+'Calc base'!$G347+'Calc base'!$F347-(B347-C347-D347))</f>
        <v>900</v>
      </c>
      <c r="F347">
        <f>SUM(AH347:AS347)</f>
        <v>0</v>
      </c>
      <c r="G347">
        <f>SUM(AT347:BE347)</f>
        <v>0</v>
      </c>
      <c r="H347">
        <f>B347-G346</f>
        <v>0</v>
      </c>
      <c r="I347">
        <f>B347-G347</f>
        <v>0</v>
      </c>
      <c r="J347">
        <f>IF(AT346&lt;=0,0,IF(ROUND(AT346*(1+'Calc base'!H347),2)-MAX('Calc base'!C$12,ROUND('Calc base'!C$13*AT346,2))&lt;1,ROUND(AT346*(1+'Calc base'!H347),2),MAX('Calc base'!C$12,ROUND('Calc base'!C$13*AT346,2))))</f>
        <v>0</v>
      </c>
      <c r="K347">
        <f>IF(AU346&lt;=0,0,IF(ROUND(AU346*(1+'Calc base'!I347),2)-MAX('Calc base'!D$12,ROUND('Calc base'!D$13*AU346,2))&lt;1,ROUND(AU346*(1+'Calc base'!I347),2),MAX('Calc base'!D$12,ROUND('Calc base'!D$13*AU346,2))))</f>
        <v>0</v>
      </c>
      <c r="L347">
        <f>IF(AV346&lt;=0,0,IF(ROUND(AV346*(1+'Calc base'!J347),2)-MAX('Calc base'!E$12,ROUND('Calc base'!E$13*AV346,2))&lt;1,ROUND(AV346*(1+'Calc base'!J347),2),MAX('Calc base'!E$12,ROUND('Calc base'!E$13*AV346,2))))</f>
        <v>0</v>
      </c>
      <c r="M347">
        <f>IF(AW346&lt;=0,0,IF(ROUND(AW346*(1+'Calc base'!K347),2)-MAX('Calc base'!F$12,ROUND('Calc base'!F$13*AW346,2))&lt;1,ROUND(AW346*(1+'Calc base'!K347),2),MAX('Calc base'!F$12,ROUND('Calc base'!F$13*AW346,2))))</f>
        <v>0</v>
      </c>
      <c r="N347">
        <f>IF(AX346&lt;=0,0,IF(ROUND(AX346*(1+'Calc base'!L347),2)-MAX('Calc base'!G$12,ROUND('Calc base'!G$13*AX346,2))&lt;1,ROUND(AX346*(1+'Calc base'!L347),2),MAX('Calc base'!G$12,ROUND('Calc base'!G$13*AX346,2))))</f>
        <v>0</v>
      </c>
      <c r="O347">
        <f>IF(AY346&lt;=0,0,IF(ROUND(AY346*(1+'Calc base'!M347),2)-MAX('Calc base'!H$12,ROUND('Calc base'!H$13*AY346,2))&lt;1,ROUND(AY346*(1+'Calc base'!M347),2),MAX('Calc base'!H$12,ROUND('Calc base'!H$13*AY346,2))))</f>
        <v>0</v>
      </c>
      <c r="P347">
        <f>IF(AZ346&lt;=0,0,IF(ROUND(AZ346*(1+'Calc base'!N347),2)-MAX('Calc base'!I$12,ROUND('Calc base'!I$13*AZ346,2))&lt;1,ROUND(AZ346*(1+'Calc base'!N347),2),MAX('Calc base'!I$12,ROUND('Calc base'!I$13*AZ346,2))))</f>
        <v>0</v>
      </c>
      <c r="Q347">
        <f>IF(BA346&lt;=0,0,IF(ROUND(BA346*(1+'Calc base'!O347),2)-MAX('Calc base'!J$12,ROUND('Calc base'!J$13*BA346,2))&lt;1,ROUND(BA346*(1+'Calc base'!O347),2),MAX('Calc base'!J$12,ROUND('Calc base'!J$13*BA346,2))))</f>
        <v>0</v>
      </c>
      <c r="R347">
        <f>IF(BB346&lt;=0,0,IF(ROUND(BB346*(1+'Calc base'!P347),2)-MAX('Calc base'!K$12,ROUND('Calc base'!K$13*BB346,2))&lt;1,ROUND(BB346*(1+'Calc base'!P347),2),MAX('Calc base'!K$12,ROUND('Calc base'!K$13*BB346,2))))</f>
        <v>0</v>
      </c>
      <c r="S347">
        <f>IF(BC346&lt;=0,0,IF(ROUND(BC346*(1+'Calc base'!Q347),2)-MAX('Calc base'!L$12,ROUND('Calc base'!L$13*BC346,2))&lt;1,ROUND(BC346*(1+'Calc base'!Q347),2),MAX('Calc base'!L$12,ROUND('Calc base'!L$13*BC346,2))))</f>
        <v>0</v>
      </c>
      <c r="T347">
        <f>IF(BD346&lt;=0,0,IF(ROUND(BD346*(1+'Calc base'!R347),2)-MAX('Calc base'!M$12,ROUND('Calc base'!M$13*BD346,2))&lt;1,ROUND(BD346*(1+'Calc base'!R347),2),MAX('Calc base'!M$12,ROUND('Calc base'!M$13*BD346,2))))</f>
        <v>0</v>
      </c>
      <c r="U347">
        <f>IF(BE346&lt;=0,0,IF(ROUND(BE346*(1+'Calc base'!S347),2)-MAX('Calc base'!N$12,ROUND('Calc base'!N$13*BE346,2))&lt;1,ROUND(BE346*(1+'Calc base'!S347),2),MAX('Calc base'!N$12,ROUND('Calc base'!N$13*BE346,2))))</f>
        <v>0</v>
      </c>
      <c r="V347">
        <f>MAX(0,ROUND(AT346*(1+'Calc base'!H347),2)-J347-'Calc base'!T347)</f>
        <v>0</v>
      </c>
      <c r="W347">
        <f>MAX(0,ROUND(AU346*(1+'Calc base'!I347),2)-K347-'Calc base'!U347)</f>
        <v>0</v>
      </c>
      <c r="X347">
        <f>MAX(0,ROUND(AV346*(1+'Calc base'!J347),2)-L347-'Calc base'!V347)</f>
        <v>0</v>
      </c>
      <c r="Y347">
        <f>MAX(0,ROUND(AW346*(1+'Calc base'!K347),2)-M347-'Calc base'!W347)</f>
        <v>0</v>
      </c>
      <c r="Z347">
        <f>MAX(0,ROUND(AX346*(1+'Calc base'!L347),2)-N347-'Calc base'!X347)</f>
        <v>0</v>
      </c>
      <c r="AA347">
        <f>MAX(0,ROUND(AY346*(1+'Calc base'!M347),2)-O347-'Calc base'!Y347)</f>
        <v>0</v>
      </c>
      <c r="AB347">
        <f>MAX(0,ROUND(AZ346*(1+'Calc base'!N347),2)-P347-'Calc base'!Z347)</f>
        <v>0</v>
      </c>
      <c r="AC347">
        <f>MAX(0,ROUND(BA346*(1+'Calc base'!O347),2)-Q347-'Calc base'!AA347)</f>
        <v>0</v>
      </c>
      <c r="AD347">
        <f>MAX(0,ROUND(BB346*(1+'Calc base'!P347),2)-R347-'Calc base'!AB347)</f>
        <v>0</v>
      </c>
      <c r="AE347">
        <f>MAX(0,ROUND(BC346*(1+'Calc base'!Q347),2)-S347-'Calc base'!AC347)</f>
        <v>0</v>
      </c>
      <c r="AF347">
        <f>MAX(0,ROUND(BD346*(1+'Calc base'!R347),2)-T347-'Calc base'!AD347)</f>
        <v>0</v>
      </c>
      <c r="AG347">
        <f>MAX(0,ROUND(BE346*(1+'Calc base'!S347),2)-U347-'Calc base'!AE347)</f>
        <v>0</v>
      </c>
      <c r="AH347">
        <f>IF('Calc base'!C$14=0,0,MIN(V347,MAX(0,$E347-SUMIFS($V347:$AG347,'Calc base'!$C$19:$N$19,"&lt;"&amp;'Calc base'!C$19,'Calc base'!$C$14:$N$14,1))))</f>
        <v>0</v>
      </c>
      <c r="AI347">
        <f>IF('Calc base'!D$14=0,0,MIN(W347,MAX(0,$E347-SUMIFS($V347:$AG347,'Calc base'!$C$19:$N$19,"&lt;"&amp;'Calc base'!D$19,'Calc base'!$C$14:$N$14,1))))</f>
        <v>0</v>
      </c>
      <c r="AJ347">
        <f>IF('Calc base'!E$14=0,0,MIN(X347,MAX(0,$E347-SUMIFS($V347:$AG347,'Calc base'!$C$19:$N$19,"&lt;"&amp;'Calc base'!E$19,'Calc base'!$C$14:$N$14,1))))</f>
        <v>0</v>
      </c>
      <c r="AK347">
        <f>IF('Calc base'!F$14=0,0,MIN(Y347,MAX(0,$E347-SUMIFS($V347:$AG347,'Calc base'!$C$19:$N$19,"&lt;"&amp;'Calc base'!F$19,'Calc base'!$C$14:$N$14,1))))</f>
        <v>0</v>
      </c>
      <c r="AL347">
        <f>IF('Calc base'!G$14=0,0,MIN(Z347,MAX(0,$E347-SUMIFS($V347:$AG347,'Calc base'!$C$19:$N$19,"&lt;"&amp;'Calc base'!G$19,'Calc base'!$C$14:$N$14,1))))</f>
        <v>0</v>
      </c>
      <c r="AM347">
        <f>IF('Calc base'!H$14=0,0,MIN(AA347,MAX(0,$E347-SUMIFS($V347:$AG347,'Calc base'!$C$19:$N$19,"&lt;"&amp;'Calc base'!H$19,'Calc base'!$C$14:$N$14,1))))</f>
        <v>0</v>
      </c>
      <c r="AN347">
        <f>IF('Calc base'!I$14=0,0,MIN(AB347,MAX(0,$E347-SUMIFS($V347:$AG347,'Calc base'!$C$19:$N$19,"&lt;"&amp;'Calc base'!I$19,'Calc base'!$C$14:$N$14,1))))</f>
        <v>0</v>
      </c>
      <c r="AO347">
        <f>IF('Calc base'!J$14=0,0,MIN(AC347,MAX(0,$E347-SUMIFS($V347:$AG347,'Calc base'!$C$19:$N$19,"&lt;"&amp;'Calc base'!J$19,'Calc base'!$C$14:$N$14,1))))</f>
        <v>0</v>
      </c>
      <c r="AP347">
        <f>IF('Calc base'!K$14=0,0,MIN(AD347,MAX(0,$E347-SUMIFS($V347:$AG347,'Calc base'!$C$19:$N$19,"&lt;"&amp;'Calc base'!K$19,'Calc base'!$C$14:$N$14,1))))</f>
        <v>0</v>
      </c>
      <c r="AQ347">
        <f>IF('Calc base'!L$14=0,0,MIN(AE347,MAX(0,$E347-SUMIFS($V347:$AG347,'Calc base'!$C$19:$N$19,"&lt;"&amp;'Calc base'!L$19,'Calc base'!$C$14:$N$14,1))))</f>
        <v>0</v>
      </c>
      <c r="AR347">
        <f>IF('Calc base'!M$14=0,0,MIN(AF347,MAX(0,$E347-SUMIFS($V347:$AG347,'Calc base'!$C$19:$N$19,"&lt;"&amp;'Calc base'!M$19,'Calc base'!$C$14:$N$14,1))))</f>
        <v>0</v>
      </c>
      <c r="AS347">
        <f>IF('Calc base'!N$14=0,0,MIN(AG347,MAX(0,$E347-SUMIFS($V347:$AG347,'Calc base'!$C$19:$N$19,"&lt;"&amp;'Calc base'!N$19,'Calc base'!$C$14:$N$14,1))))</f>
        <v>0</v>
      </c>
      <c r="AT347">
        <f>V347-AH347</f>
        <v>0</v>
      </c>
      <c r="AU347">
        <f>W347-AI347</f>
        <v>0</v>
      </c>
      <c r="AV347">
        <f>X347-AJ347</f>
        <v>0</v>
      </c>
      <c r="AW347">
        <f>Y347-AK347</f>
        <v>0</v>
      </c>
      <c r="AX347">
        <f>Z347-AL347</f>
        <v>0</v>
      </c>
      <c r="AY347">
        <f>AA347-AM347</f>
        <v>0</v>
      </c>
      <c r="AZ347">
        <f>AB347-AN347</f>
        <v>0</v>
      </c>
      <c r="BA347">
        <f>AC347-AO347</f>
        <v>0</v>
      </c>
      <c r="BB347">
        <f>AD347-AP347</f>
        <v>0</v>
      </c>
      <c r="BC347">
        <f>AE347-AQ347</f>
        <v>0</v>
      </c>
      <c r="BD347">
        <f>AF347-AR347</f>
        <v>0</v>
      </c>
      <c r="BE347">
        <f>AG347-AS347</f>
        <v>0</v>
      </c>
    </row>
    <row r="348">
      <c r="A348" t="n">
        <v>318</v>
      </c>
      <c r="B348">
        <f>SUMPRODUCT(ROUND($AT347:$BE347*(1+'Calc base'!$H348:$S348),2))</f>
        <v>0</v>
      </c>
      <c r="C348">
        <f>SUM(J348:U348)</f>
        <v>0</v>
      </c>
      <c r="D348">
        <f>SUM(V348:AG348)</f>
        <v>0</v>
      </c>
      <c r="E348">
        <f>MAX(0,IF(Impostazioni!$B$7="No",'Calc base'!$C348-$C$31,'Calc base'!$C348-C348)+'Calc base'!$G348+'Calc base'!$F348-(B348-C348-D348))</f>
        <v>900</v>
      </c>
      <c r="F348">
        <f>SUM(AH348:AS348)</f>
        <v>0</v>
      </c>
      <c r="G348">
        <f>SUM(AT348:BE348)</f>
        <v>0</v>
      </c>
      <c r="H348">
        <f>B348-G347</f>
        <v>0</v>
      </c>
      <c r="I348">
        <f>B348-G348</f>
        <v>0</v>
      </c>
      <c r="J348">
        <f>IF(AT347&lt;=0,0,IF(ROUND(AT347*(1+'Calc base'!H348),2)-MAX('Calc base'!C$12,ROUND('Calc base'!C$13*AT347,2))&lt;1,ROUND(AT347*(1+'Calc base'!H348),2),MAX('Calc base'!C$12,ROUND('Calc base'!C$13*AT347,2))))</f>
        <v>0</v>
      </c>
      <c r="K348">
        <f>IF(AU347&lt;=0,0,IF(ROUND(AU347*(1+'Calc base'!I348),2)-MAX('Calc base'!D$12,ROUND('Calc base'!D$13*AU347,2))&lt;1,ROUND(AU347*(1+'Calc base'!I348),2),MAX('Calc base'!D$12,ROUND('Calc base'!D$13*AU347,2))))</f>
        <v>0</v>
      </c>
      <c r="L348">
        <f>IF(AV347&lt;=0,0,IF(ROUND(AV347*(1+'Calc base'!J348),2)-MAX('Calc base'!E$12,ROUND('Calc base'!E$13*AV347,2))&lt;1,ROUND(AV347*(1+'Calc base'!J348),2),MAX('Calc base'!E$12,ROUND('Calc base'!E$13*AV347,2))))</f>
        <v>0</v>
      </c>
      <c r="M348">
        <f>IF(AW347&lt;=0,0,IF(ROUND(AW347*(1+'Calc base'!K348),2)-MAX('Calc base'!F$12,ROUND('Calc base'!F$13*AW347,2))&lt;1,ROUND(AW347*(1+'Calc base'!K348),2),MAX('Calc base'!F$12,ROUND('Calc base'!F$13*AW347,2))))</f>
        <v>0</v>
      </c>
      <c r="N348">
        <f>IF(AX347&lt;=0,0,IF(ROUND(AX347*(1+'Calc base'!L348),2)-MAX('Calc base'!G$12,ROUND('Calc base'!G$13*AX347,2))&lt;1,ROUND(AX347*(1+'Calc base'!L348),2),MAX('Calc base'!G$12,ROUND('Calc base'!G$13*AX347,2))))</f>
        <v>0</v>
      </c>
      <c r="O348">
        <f>IF(AY347&lt;=0,0,IF(ROUND(AY347*(1+'Calc base'!M348),2)-MAX('Calc base'!H$12,ROUND('Calc base'!H$13*AY347,2))&lt;1,ROUND(AY347*(1+'Calc base'!M348),2),MAX('Calc base'!H$12,ROUND('Calc base'!H$13*AY347,2))))</f>
        <v>0</v>
      </c>
      <c r="P348">
        <f>IF(AZ347&lt;=0,0,IF(ROUND(AZ347*(1+'Calc base'!N348),2)-MAX('Calc base'!I$12,ROUND('Calc base'!I$13*AZ347,2))&lt;1,ROUND(AZ347*(1+'Calc base'!N348),2),MAX('Calc base'!I$12,ROUND('Calc base'!I$13*AZ347,2))))</f>
        <v>0</v>
      </c>
      <c r="Q348">
        <f>IF(BA347&lt;=0,0,IF(ROUND(BA347*(1+'Calc base'!O348),2)-MAX('Calc base'!J$12,ROUND('Calc base'!J$13*BA347,2))&lt;1,ROUND(BA347*(1+'Calc base'!O348),2),MAX('Calc base'!J$12,ROUND('Calc base'!J$13*BA347,2))))</f>
        <v>0</v>
      </c>
      <c r="R348">
        <f>IF(BB347&lt;=0,0,IF(ROUND(BB347*(1+'Calc base'!P348),2)-MAX('Calc base'!K$12,ROUND('Calc base'!K$13*BB347,2))&lt;1,ROUND(BB347*(1+'Calc base'!P348),2),MAX('Calc base'!K$12,ROUND('Calc base'!K$13*BB347,2))))</f>
        <v>0</v>
      </c>
      <c r="S348">
        <f>IF(BC347&lt;=0,0,IF(ROUND(BC347*(1+'Calc base'!Q348),2)-MAX('Calc base'!L$12,ROUND('Calc base'!L$13*BC347,2))&lt;1,ROUND(BC347*(1+'Calc base'!Q348),2),MAX('Calc base'!L$12,ROUND('Calc base'!L$13*BC347,2))))</f>
        <v>0</v>
      </c>
      <c r="T348">
        <f>IF(BD347&lt;=0,0,IF(ROUND(BD347*(1+'Calc base'!R348),2)-MAX('Calc base'!M$12,ROUND('Calc base'!M$13*BD347,2))&lt;1,ROUND(BD347*(1+'Calc base'!R348),2),MAX('Calc base'!M$12,ROUND('Calc base'!M$13*BD347,2))))</f>
        <v>0</v>
      </c>
      <c r="U348">
        <f>IF(BE347&lt;=0,0,IF(ROUND(BE347*(1+'Calc base'!S348),2)-MAX('Calc base'!N$12,ROUND('Calc base'!N$13*BE347,2))&lt;1,ROUND(BE347*(1+'Calc base'!S348),2),MAX('Calc base'!N$12,ROUND('Calc base'!N$13*BE347,2))))</f>
        <v>0</v>
      </c>
      <c r="V348">
        <f>MAX(0,ROUND(AT347*(1+'Calc base'!H348),2)-J348-'Calc base'!T348)</f>
        <v>0</v>
      </c>
      <c r="W348">
        <f>MAX(0,ROUND(AU347*(1+'Calc base'!I348),2)-K348-'Calc base'!U348)</f>
        <v>0</v>
      </c>
      <c r="X348">
        <f>MAX(0,ROUND(AV347*(1+'Calc base'!J348),2)-L348-'Calc base'!V348)</f>
        <v>0</v>
      </c>
      <c r="Y348">
        <f>MAX(0,ROUND(AW347*(1+'Calc base'!K348),2)-M348-'Calc base'!W348)</f>
        <v>0</v>
      </c>
      <c r="Z348">
        <f>MAX(0,ROUND(AX347*(1+'Calc base'!L348),2)-N348-'Calc base'!X348)</f>
        <v>0</v>
      </c>
      <c r="AA348">
        <f>MAX(0,ROUND(AY347*(1+'Calc base'!M348),2)-O348-'Calc base'!Y348)</f>
        <v>0</v>
      </c>
      <c r="AB348">
        <f>MAX(0,ROUND(AZ347*(1+'Calc base'!N348),2)-P348-'Calc base'!Z348)</f>
        <v>0</v>
      </c>
      <c r="AC348">
        <f>MAX(0,ROUND(BA347*(1+'Calc base'!O348),2)-Q348-'Calc base'!AA348)</f>
        <v>0</v>
      </c>
      <c r="AD348">
        <f>MAX(0,ROUND(BB347*(1+'Calc base'!P348),2)-R348-'Calc base'!AB348)</f>
        <v>0</v>
      </c>
      <c r="AE348">
        <f>MAX(0,ROUND(BC347*(1+'Calc base'!Q348),2)-S348-'Calc base'!AC348)</f>
        <v>0</v>
      </c>
      <c r="AF348">
        <f>MAX(0,ROUND(BD347*(1+'Calc base'!R348),2)-T348-'Calc base'!AD348)</f>
        <v>0</v>
      </c>
      <c r="AG348">
        <f>MAX(0,ROUND(BE347*(1+'Calc base'!S348),2)-U348-'Calc base'!AE348)</f>
        <v>0</v>
      </c>
      <c r="AH348">
        <f>IF('Calc base'!C$14=0,0,MIN(V348,MAX(0,$E348-SUMIFS($V348:$AG348,'Calc base'!$C$19:$N$19,"&lt;"&amp;'Calc base'!C$19,'Calc base'!$C$14:$N$14,1))))</f>
        <v>0</v>
      </c>
      <c r="AI348">
        <f>IF('Calc base'!D$14=0,0,MIN(W348,MAX(0,$E348-SUMIFS($V348:$AG348,'Calc base'!$C$19:$N$19,"&lt;"&amp;'Calc base'!D$19,'Calc base'!$C$14:$N$14,1))))</f>
        <v>0</v>
      </c>
      <c r="AJ348">
        <f>IF('Calc base'!E$14=0,0,MIN(X348,MAX(0,$E348-SUMIFS($V348:$AG348,'Calc base'!$C$19:$N$19,"&lt;"&amp;'Calc base'!E$19,'Calc base'!$C$14:$N$14,1))))</f>
        <v>0</v>
      </c>
      <c r="AK348">
        <f>IF('Calc base'!F$14=0,0,MIN(Y348,MAX(0,$E348-SUMIFS($V348:$AG348,'Calc base'!$C$19:$N$19,"&lt;"&amp;'Calc base'!F$19,'Calc base'!$C$14:$N$14,1))))</f>
        <v>0</v>
      </c>
      <c r="AL348">
        <f>IF('Calc base'!G$14=0,0,MIN(Z348,MAX(0,$E348-SUMIFS($V348:$AG348,'Calc base'!$C$19:$N$19,"&lt;"&amp;'Calc base'!G$19,'Calc base'!$C$14:$N$14,1))))</f>
        <v>0</v>
      </c>
      <c r="AM348">
        <f>IF('Calc base'!H$14=0,0,MIN(AA348,MAX(0,$E348-SUMIFS($V348:$AG348,'Calc base'!$C$19:$N$19,"&lt;"&amp;'Calc base'!H$19,'Calc base'!$C$14:$N$14,1))))</f>
        <v>0</v>
      </c>
      <c r="AN348">
        <f>IF('Calc base'!I$14=0,0,MIN(AB348,MAX(0,$E348-SUMIFS($V348:$AG348,'Calc base'!$C$19:$N$19,"&lt;"&amp;'Calc base'!I$19,'Calc base'!$C$14:$N$14,1))))</f>
        <v>0</v>
      </c>
      <c r="AO348">
        <f>IF('Calc base'!J$14=0,0,MIN(AC348,MAX(0,$E348-SUMIFS($V348:$AG348,'Calc base'!$C$19:$N$19,"&lt;"&amp;'Calc base'!J$19,'Calc base'!$C$14:$N$14,1))))</f>
        <v>0</v>
      </c>
      <c r="AP348">
        <f>IF('Calc base'!K$14=0,0,MIN(AD348,MAX(0,$E348-SUMIFS($V348:$AG348,'Calc base'!$C$19:$N$19,"&lt;"&amp;'Calc base'!K$19,'Calc base'!$C$14:$N$14,1))))</f>
        <v>0</v>
      </c>
      <c r="AQ348">
        <f>IF('Calc base'!L$14=0,0,MIN(AE348,MAX(0,$E348-SUMIFS($V348:$AG348,'Calc base'!$C$19:$N$19,"&lt;"&amp;'Calc base'!L$19,'Calc base'!$C$14:$N$14,1))))</f>
        <v>0</v>
      </c>
      <c r="AR348">
        <f>IF('Calc base'!M$14=0,0,MIN(AF348,MAX(0,$E348-SUMIFS($V348:$AG348,'Calc base'!$C$19:$N$19,"&lt;"&amp;'Calc base'!M$19,'Calc base'!$C$14:$N$14,1))))</f>
        <v>0</v>
      </c>
      <c r="AS348">
        <f>IF('Calc base'!N$14=0,0,MIN(AG348,MAX(0,$E348-SUMIFS($V348:$AG348,'Calc base'!$C$19:$N$19,"&lt;"&amp;'Calc base'!N$19,'Calc base'!$C$14:$N$14,1))))</f>
        <v>0</v>
      </c>
      <c r="AT348">
        <f>V348-AH348</f>
        <v>0</v>
      </c>
      <c r="AU348">
        <f>W348-AI348</f>
        <v>0</v>
      </c>
      <c r="AV348">
        <f>X348-AJ348</f>
        <v>0</v>
      </c>
      <c r="AW348">
        <f>Y348-AK348</f>
        <v>0</v>
      </c>
      <c r="AX348">
        <f>Z348-AL348</f>
        <v>0</v>
      </c>
      <c r="AY348">
        <f>AA348-AM348</f>
        <v>0</v>
      </c>
      <c r="AZ348">
        <f>AB348-AN348</f>
        <v>0</v>
      </c>
      <c r="BA348">
        <f>AC348-AO348</f>
        <v>0</v>
      </c>
      <c r="BB348">
        <f>AD348-AP348</f>
        <v>0</v>
      </c>
      <c r="BC348">
        <f>AE348-AQ348</f>
        <v>0</v>
      </c>
      <c r="BD348">
        <f>AF348-AR348</f>
        <v>0</v>
      </c>
      <c r="BE348">
        <f>AG348-AS348</f>
        <v>0</v>
      </c>
    </row>
    <row r="349">
      <c r="A349" t="n">
        <v>319</v>
      </c>
      <c r="B349">
        <f>SUMPRODUCT(ROUND($AT348:$BE348*(1+'Calc base'!$H349:$S349),2))</f>
        <v>0</v>
      </c>
      <c r="C349">
        <f>SUM(J349:U349)</f>
        <v>0</v>
      </c>
      <c r="D349">
        <f>SUM(V349:AG349)</f>
        <v>0</v>
      </c>
      <c r="E349">
        <f>MAX(0,IF(Impostazioni!$B$7="No",'Calc base'!$C349-$C$31,'Calc base'!$C349-C349)+'Calc base'!$G349+'Calc base'!$F349-(B349-C349-D349))</f>
        <v>900</v>
      </c>
      <c r="F349">
        <f>SUM(AH349:AS349)</f>
        <v>0</v>
      </c>
      <c r="G349">
        <f>SUM(AT349:BE349)</f>
        <v>0</v>
      </c>
      <c r="H349">
        <f>B349-G348</f>
        <v>0</v>
      </c>
      <c r="I349">
        <f>B349-G349</f>
        <v>0</v>
      </c>
      <c r="J349">
        <f>IF(AT348&lt;=0,0,IF(ROUND(AT348*(1+'Calc base'!H349),2)-MAX('Calc base'!C$12,ROUND('Calc base'!C$13*AT348,2))&lt;1,ROUND(AT348*(1+'Calc base'!H349),2),MAX('Calc base'!C$12,ROUND('Calc base'!C$13*AT348,2))))</f>
        <v>0</v>
      </c>
      <c r="K349">
        <f>IF(AU348&lt;=0,0,IF(ROUND(AU348*(1+'Calc base'!I349),2)-MAX('Calc base'!D$12,ROUND('Calc base'!D$13*AU348,2))&lt;1,ROUND(AU348*(1+'Calc base'!I349),2),MAX('Calc base'!D$12,ROUND('Calc base'!D$13*AU348,2))))</f>
        <v>0</v>
      </c>
      <c r="L349">
        <f>IF(AV348&lt;=0,0,IF(ROUND(AV348*(1+'Calc base'!J349),2)-MAX('Calc base'!E$12,ROUND('Calc base'!E$13*AV348,2))&lt;1,ROUND(AV348*(1+'Calc base'!J349),2),MAX('Calc base'!E$12,ROUND('Calc base'!E$13*AV348,2))))</f>
        <v>0</v>
      </c>
      <c r="M349">
        <f>IF(AW348&lt;=0,0,IF(ROUND(AW348*(1+'Calc base'!K349),2)-MAX('Calc base'!F$12,ROUND('Calc base'!F$13*AW348,2))&lt;1,ROUND(AW348*(1+'Calc base'!K349),2),MAX('Calc base'!F$12,ROUND('Calc base'!F$13*AW348,2))))</f>
        <v>0</v>
      </c>
      <c r="N349">
        <f>IF(AX348&lt;=0,0,IF(ROUND(AX348*(1+'Calc base'!L349),2)-MAX('Calc base'!G$12,ROUND('Calc base'!G$13*AX348,2))&lt;1,ROUND(AX348*(1+'Calc base'!L349),2),MAX('Calc base'!G$12,ROUND('Calc base'!G$13*AX348,2))))</f>
        <v>0</v>
      </c>
      <c r="O349">
        <f>IF(AY348&lt;=0,0,IF(ROUND(AY348*(1+'Calc base'!M349),2)-MAX('Calc base'!H$12,ROUND('Calc base'!H$13*AY348,2))&lt;1,ROUND(AY348*(1+'Calc base'!M349),2),MAX('Calc base'!H$12,ROUND('Calc base'!H$13*AY348,2))))</f>
        <v>0</v>
      </c>
      <c r="P349">
        <f>IF(AZ348&lt;=0,0,IF(ROUND(AZ348*(1+'Calc base'!N349),2)-MAX('Calc base'!I$12,ROUND('Calc base'!I$13*AZ348,2))&lt;1,ROUND(AZ348*(1+'Calc base'!N349),2),MAX('Calc base'!I$12,ROUND('Calc base'!I$13*AZ348,2))))</f>
        <v>0</v>
      </c>
      <c r="Q349">
        <f>IF(BA348&lt;=0,0,IF(ROUND(BA348*(1+'Calc base'!O349),2)-MAX('Calc base'!J$12,ROUND('Calc base'!J$13*BA348,2))&lt;1,ROUND(BA348*(1+'Calc base'!O349),2),MAX('Calc base'!J$12,ROUND('Calc base'!J$13*BA348,2))))</f>
        <v>0</v>
      </c>
      <c r="R349">
        <f>IF(BB348&lt;=0,0,IF(ROUND(BB348*(1+'Calc base'!P349),2)-MAX('Calc base'!K$12,ROUND('Calc base'!K$13*BB348,2))&lt;1,ROUND(BB348*(1+'Calc base'!P349),2),MAX('Calc base'!K$12,ROUND('Calc base'!K$13*BB348,2))))</f>
        <v>0</v>
      </c>
      <c r="S349">
        <f>IF(BC348&lt;=0,0,IF(ROUND(BC348*(1+'Calc base'!Q349),2)-MAX('Calc base'!L$12,ROUND('Calc base'!L$13*BC348,2))&lt;1,ROUND(BC348*(1+'Calc base'!Q349),2),MAX('Calc base'!L$12,ROUND('Calc base'!L$13*BC348,2))))</f>
        <v>0</v>
      </c>
      <c r="T349">
        <f>IF(BD348&lt;=0,0,IF(ROUND(BD348*(1+'Calc base'!R349),2)-MAX('Calc base'!M$12,ROUND('Calc base'!M$13*BD348,2))&lt;1,ROUND(BD348*(1+'Calc base'!R349),2),MAX('Calc base'!M$12,ROUND('Calc base'!M$13*BD348,2))))</f>
        <v>0</v>
      </c>
      <c r="U349">
        <f>IF(BE348&lt;=0,0,IF(ROUND(BE348*(1+'Calc base'!S349),2)-MAX('Calc base'!N$12,ROUND('Calc base'!N$13*BE348,2))&lt;1,ROUND(BE348*(1+'Calc base'!S349),2),MAX('Calc base'!N$12,ROUND('Calc base'!N$13*BE348,2))))</f>
        <v>0</v>
      </c>
      <c r="V349">
        <f>MAX(0,ROUND(AT348*(1+'Calc base'!H349),2)-J349-'Calc base'!T349)</f>
        <v>0</v>
      </c>
      <c r="W349">
        <f>MAX(0,ROUND(AU348*(1+'Calc base'!I349),2)-K349-'Calc base'!U349)</f>
        <v>0</v>
      </c>
      <c r="X349">
        <f>MAX(0,ROUND(AV348*(1+'Calc base'!J349),2)-L349-'Calc base'!V349)</f>
        <v>0</v>
      </c>
      <c r="Y349">
        <f>MAX(0,ROUND(AW348*(1+'Calc base'!K349),2)-M349-'Calc base'!W349)</f>
        <v>0</v>
      </c>
      <c r="Z349">
        <f>MAX(0,ROUND(AX348*(1+'Calc base'!L349),2)-N349-'Calc base'!X349)</f>
        <v>0</v>
      </c>
      <c r="AA349">
        <f>MAX(0,ROUND(AY348*(1+'Calc base'!M349),2)-O349-'Calc base'!Y349)</f>
        <v>0</v>
      </c>
      <c r="AB349">
        <f>MAX(0,ROUND(AZ348*(1+'Calc base'!N349),2)-P349-'Calc base'!Z349)</f>
        <v>0</v>
      </c>
      <c r="AC349">
        <f>MAX(0,ROUND(BA348*(1+'Calc base'!O349),2)-Q349-'Calc base'!AA349)</f>
        <v>0</v>
      </c>
      <c r="AD349">
        <f>MAX(0,ROUND(BB348*(1+'Calc base'!P349),2)-R349-'Calc base'!AB349)</f>
        <v>0</v>
      </c>
      <c r="AE349">
        <f>MAX(0,ROUND(BC348*(1+'Calc base'!Q349),2)-S349-'Calc base'!AC349)</f>
        <v>0</v>
      </c>
      <c r="AF349">
        <f>MAX(0,ROUND(BD348*(1+'Calc base'!R349),2)-T349-'Calc base'!AD349)</f>
        <v>0</v>
      </c>
      <c r="AG349">
        <f>MAX(0,ROUND(BE348*(1+'Calc base'!S349),2)-U349-'Calc base'!AE349)</f>
        <v>0</v>
      </c>
      <c r="AH349">
        <f>IF('Calc base'!C$14=0,0,MIN(V349,MAX(0,$E349-SUMIFS($V349:$AG349,'Calc base'!$C$19:$N$19,"&lt;"&amp;'Calc base'!C$19,'Calc base'!$C$14:$N$14,1))))</f>
        <v>0</v>
      </c>
      <c r="AI349">
        <f>IF('Calc base'!D$14=0,0,MIN(W349,MAX(0,$E349-SUMIFS($V349:$AG349,'Calc base'!$C$19:$N$19,"&lt;"&amp;'Calc base'!D$19,'Calc base'!$C$14:$N$14,1))))</f>
        <v>0</v>
      </c>
      <c r="AJ349">
        <f>IF('Calc base'!E$14=0,0,MIN(X349,MAX(0,$E349-SUMIFS($V349:$AG349,'Calc base'!$C$19:$N$19,"&lt;"&amp;'Calc base'!E$19,'Calc base'!$C$14:$N$14,1))))</f>
        <v>0</v>
      </c>
      <c r="AK349">
        <f>IF('Calc base'!F$14=0,0,MIN(Y349,MAX(0,$E349-SUMIFS($V349:$AG349,'Calc base'!$C$19:$N$19,"&lt;"&amp;'Calc base'!F$19,'Calc base'!$C$14:$N$14,1))))</f>
        <v>0</v>
      </c>
      <c r="AL349">
        <f>IF('Calc base'!G$14=0,0,MIN(Z349,MAX(0,$E349-SUMIFS($V349:$AG349,'Calc base'!$C$19:$N$19,"&lt;"&amp;'Calc base'!G$19,'Calc base'!$C$14:$N$14,1))))</f>
        <v>0</v>
      </c>
      <c r="AM349">
        <f>IF('Calc base'!H$14=0,0,MIN(AA349,MAX(0,$E349-SUMIFS($V349:$AG349,'Calc base'!$C$19:$N$19,"&lt;"&amp;'Calc base'!H$19,'Calc base'!$C$14:$N$14,1))))</f>
        <v>0</v>
      </c>
      <c r="AN349">
        <f>IF('Calc base'!I$14=0,0,MIN(AB349,MAX(0,$E349-SUMIFS($V349:$AG349,'Calc base'!$C$19:$N$19,"&lt;"&amp;'Calc base'!I$19,'Calc base'!$C$14:$N$14,1))))</f>
        <v>0</v>
      </c>
      <c r="AO349">
        <f>IF('Calc base'!J$14=0,0,MIN(AC349,MAX(0,$E349-SUMIFS($V349:$AG349,'Calc base'!$C$19:$N$19,"&lt;"&amp;'Calc base'!J$19,'Calc base'!$C$14:$N$14,1))))</f>
        <v>0</v>
      </c>
      <c r="AP349">
        <f>IF('Calc base'!K$14=0,0,MIN(AD349,MAX(0,$E349-SUMIFS($V349:$AG349,'Calc base'!$C$19:$N$19,"&lt;"&amp;'Calc base'!K$19,'Calc base'!$C$14:$N$14,1))))</f>
        <v>0</v>
      </c>
      <c r="AQ349">
        <f>IF('Calc base'!L$14=0,0,MIN(AE349,MAX(0,$E349-SUMIFS($V349:$AG349,'Calc base'!$C$19:$N$19,"&lt;"&amp;'Calc base'!L$19,'Calc base'!$C$14:$N$14,1))))</f>
        <v>0</v>
      </c>
      <c r="AR349">
        <f>IF('Calc base'!M$14=0,0,MIN(AF349,MAX(0,$E349-SUMIFS($V349:$AG349,'Calc base'!$C$19:$N$19,"&lt;"&amp;'Calc base'!M$19,'Calc base'!$C$14:$N$14,1))))</f>
        <v>0</v>
      </c>
      <c r="AS349">
        <f>IF('Calc base'!N$14=0,0,MIN(AG349,MAX(0,$E349-SUMIFS($V349:$AG349,'Calc base'!$C$19:$N$19,"&lt;"&amp;'Calc base'!N$19,'Calc base'!$C$14:$N$14,1))))</f>
        <v>0</v>
      </c>
      <c r="AT349">
        <f>V349-AH349</f>
        <v>0</v>
      </c>
      <c r="AU349">
        <f>W349-AI349</f>
        <v>0</v>
      </c>
      <c r="AV349">
        <f>X349-AJ349</f>
        <v>0</v>
      </c>
      <c r="AW349">
        <f>Y349-AK349</f>
        <v>0</v>
      </c>
      <c r="AX349">
        <f>Z349-AL349</f>
        <v>0</v>
      </c>
      <c r="AY349">
        <f>AA349-AM349</f>
        <v>0</v>
      </c>
      <c r="AZ349">
        <f>AB349-AN349</f>
        <v>0</v>
      </c>
      <c r="BA349">
        <f>AC349-AO349</f>
        <v>0</v>
      </c>
      <c r="BB349">
        <f>AD349-AP349</f>
        <v>0</v>
      </c>
      <c r="BC349">
        <f>AE349-AQ349</f>
        <v>0</v>
      </c>
      <c r="BD349">
        <f>AF349-AR349</f>
        <v>0</v>
      </c>
      <c r="BE349">
        <f>AG349-AS349</f>
        <v>0</v>
      </c>
    </row>
    <row r="350">
      <c r="A350" t="n">
        <v>320</v>
      </c>
      <c r="B350">
        <f>SUMPRODUCT(ROUND($AT349:$BE349*(1+'Calc base'!$H350:$S350),2))</f>
        <v>0</v>
      </c>
      <c r="C350">
        <f>SUM(J350:U350)</f>
        <v>0</v>
      </c>
      <c r="D350">
        <f>SUM(V350:AG350)</f>
        <v>0</v>
      </c>
      <c r="E350">
        <f>MAX(0,IF(Impostazioni!$B$7="No",'Calc base'!$C350-$C$31,'Calc base'!$C350-C350)+'Calc base'!$G350+'Calc base'!$F350-(B350-C350-D350))</f>
        <v>900</v>
      </c>
      <c r="F350">
        <f>SUM(AH350:AS350)</f>
        <v>0</v>
      </c>
      <c r="G350">
        <f>SUM(AT350:BE350)</f>
        <v>0</v>
      </c>
      <c r="H350">
        <f>B350-G349</f>
        <v>0</v>
      </c>
      <c r="I350">
        <f>B350-G350</f>
        <v>0</v>
      </c>
      <c r="J350">
        <f>IF(AT349&lt;=0,0,IF(ROUND(AT349*(1+'Calc base'!H350),2)-MAX('Calc base'!C$12,ROUND('Calc base'!C$13*AT349,2))&lt;1,ROUND(AT349*(1+'Calc base'!H350),2),MAX('Calc base'!C$12,ROUND('Calc base'!C$13*AT349,2))))</f>
        <v>0</v>
      </c>
      <c r="K350">
        <f>IF(AU349&lt;=0,0,IF(ROUND(AU349*(1+'Calc base'!I350),2)-MAX('Calc base'!D$12,ROUND('Calc base'!D$13*AU349,2))&lt;1,ROUND(AU349*(1+'Calc base'!I350),2),MAX('Calc base'!D$12,ROUND('Calc base'!D$13*AU349,2))))</f>
        <v>0</v>
      </c>
      <c r="L350">
        <f>IF(AV349&lt;=0,0,IF(ROUND(AV349*(1+'Calc base'!J350),2)-MAX('Calc base'!E$12,ROUND('Calc base'!E$13*AV349,2))&lt;1,ROUND(AV349*(1+'Calc base'!J350),2),MAX('Calc base'!E$12,ROUND('Calc base'!E$13*AV349,2))))</f>
        <v>0</v>
      </c>
      <c r="M350">
        <f>IF(AW349&lt;=0,0,IF(ROUND(AW349*(1+'Calc base'!K350),2)-MAX('Calc base'!F$12,ROUND('Calc base'!F$13*AW349,2))&lt;1,ROUND(AW349*(1+'Calc base'!K350),2),MAX('Calc base'!F$12,ROUND('Calc base'!F$13*AW349,2))))</f>
        <v>0</v>
      </c>
      <c r="N350">
        <f>IF(AX349&lt;=0,0,IF(ROUND(AX349*(1+'Calc base'!L350),2)-MAX('Calc base'!G$12,ROUND('Calc base'!G$13*AX349,2))&lt;1,ROUND(AX349*(1+'Calc base'!L350),2),MAX('Calc base'!G$12,ROUND('Calc base'!G$13*AX349,2))))</f>
        <v>0</v>
      </c>
      <c r="O350">
        <f>IF(AY349&lt;=0,0,IF(ROUND(AY349*(1+'Calc base'!M350),2)-MAX('Calc base'!H$12,ROUND('Calc base'!H$13*AY349,2))&lt;1,ROUND(AY349*(1+'Calc base'!M350),2),MAX('Calc base'!H$12,ROUND('Calc base'!H$13*AY349,2))))</f>
        <v>0</v>
      </c>
      <c r="P350">
        <f>IF(AZ349&lt;=0,0,IF(ROUND(AZ349*(1+'Calc base'!N350),2)-MAX('Calc base'!I$12,ROUND('Calc base'!I$13*AZ349,2))&lt;1,ROUND(AZ349*(1+'Calc base'!N350),2),MAX('Calc base'!I$12,ROUND('Calc base'!I$13*AZ349,2))))</f>
        <v>0</v>
      </c>
      <c r="Q350">
        <f>IF(BA349&lt;=0,0,IF(ROUND(BA349*(1+'Calc base'!O350),2)-MAX('Calc base'!J$12,ROUND('Calc base'!J$13*BA349,2))&lt;1,ROUND(BA349*(1+'Calc base'!O350),2),MAX('Calc base'!J$12,ROUND('Calc base'!J$13*BA349,2))))</f>
        <v>0</v>
      </c>
      <c r="R350">
        <f>IF(BB349&lt;=0,0,IF(ROUND(BB349*(1+'Calc base'!P350),2)-MAX('Calc base'!K$12,ROUND('Calc base'!K$13*BB349,2))&lt;1,ROUND(BB349*(1+'Calc base'!P350),2),MAX('Calc base'!K$12,ROUND('Calc base'!K$13*BB349,2))))</f>
        <v>0</v>
      </c>
      <c r="S350">
        <f>IF(BC349&lt;=0,0,IF(ROUND(BC349*(1+'Calc base'!Q350),2)-MAX('Calc base'!L$12,ROUND('Calc base'!L$13*BC349,2))&lt;1,ROUND(BC349*(1+'Calc base'!Q350),2),MAX('Calc base'!L$12,ROUND('Calc base'!L$13*BC349,2))))</f>
        <v>0</v>
      </c>
      <c r="T350">
        <f>IF(BD349&lt;=0,0,IF(ROUND(BD349*(1+'Calc base'!R350),2)-MAX('Calc base'!M$12,ROUND('Calc base'!M$13*BD349,2))&lt;1,ROUND(BD349*(1+'Calc base'!R350),2),MAX('Calc base'!M$12,ROUND('Calc base'!M$13*BD349,2))))</f>
        <v>0</v>
      </c>
      <c r="U350">
        <f>IF(BE349&lt;=0,0,IF(ROUND(BE349*(1+'Calc base'!S350),2)-MAX('Calc base'!N$12,ROUND('Calc base'!N$13*BE349,2))&lt;1,ROUND(BE349*(1+'Calc base'!S350),2),MAX('Calc base'!N$12,ROUND('Calc base'!N$13*BE349,2))))</f>
        <v>0</v>
      </c>
      <c r="V350">
        <f>MAX(0,ROUND(AT349*(1+'Calc base'!H350),2)-J350-'Calc base'!T350)</f>
        <v>0</v>
      </c>
      <c r="W350">
        <f>MAX(0,ROUND(AU349*(1+'Calc base'!I350),2)-K350-'Calc base'!U350)</f>
        <v>0</v>
      </c>
      <c r="X350">
        <f>MAX(0,ROUND(AV349*(1+'Calc base'!J350),2)-L350-'Calc base'!V350)</f>
        <v>0</v>
      </c>
      <c r="Y350">
        <f>MAX(0,ROUND(AW349*(1+'Calc base'!K350),2)-M350-'Calc base'!W350)</f>
        <v>0</v>
      </c>
      <c r="Z350">
        <f>MAX(0,ROUND(AX349*(1+'Calc base'!L350),2)-N350-'Calc base'!X350)</f>
        <v>0</v>
      </c>
      <c r="AA350">
        <f>MAX(0,ROUND(AY349*(1+'Calc base'!M350),2)-O350-'Calc base'!Y350)</f>
        <v>0</v>
      </c>
      <c r="AB350">
        <f>MAX(0,ROUND(AZ349*(1+'Calc base'!N350),2)-P350-'Calc base'!Z350)</f>
        <v>0</v>
      </c>
      <c r="AC350">
        <f>MAX(0,ROUND(BA349*(1+'Calc base'!O350),2)-Q350-'Calc base'!AA350)</f>
        <v>0</v>
      </c>
      <c r="AD350">
        <f>MAX(0,ROUND(BB349*(1+'Calc base'!P350),2)-R350-'Calc base'!AB350)</f>
        <v>0</v>
      </c>
      <c r="AE350">
        <f>MAX(0,ROUND(BC349*(1+'Calc base'!Q350),2)-S350-'Calc base'!AC350)</f>
        <v>0</v>
      </c>
      <c r="AF350">
        <f>MAX(0,ROUND(BD349*(1+'Calc base'!R350),2)-T350-'Calc base'!AD350)</f>
        <v>0</v>
      </c>
      <c r="AG350">
        <f>MAX(0,ROUND(BE349*(1+'Calc base'!S350),2)-U350-'Calc base'!AE350)</f>
        <v>0</v>
      </c>
      <c r="AH350">
        <f>IF('Calc base'!C$14=0,0,MIN(V350,MAX(0,$E350-SUMIFS($V350:$AG350,'Calc base'!$C$19:$N$19,"&lt;"&amp;'Calc base'!C$19,'Calc base'!$C$14:$N$14,1))))</f>
        <v>0</v>
      </c>
      <c r="AI350">
        <f>IF('Calc base'!D$14=0,0,MIN(W350,MAX(0,$E350-SUMIFS($V350:$AG350,'Calc base'!$C$19:$N$19,"&lt;"&amp;'Calc base'!D$19,'Calc base'!$C$14:$N$14,1))))</f>
        <v>0</v>
      </c>
      <c r="AJ350">
        <f>IF('Calc base'!E$14=0,0,MIN(X350,MAX(0,$E350-SUMIFS($V350:$AG350,'Calc base'!$C$19:$N$19,"&lt;"&amp;'Calc base'!E$19,'Calc base'!$C$14:$N$14,1))))</f>
        <v>0</v>
      </c>
      <c r="AK350">
        <f>IF('Calc base'!F$14=0,0,MIN(Y350,MAX(0,$E350-SUMIFS($V350:$AG350,'Calc base'!$C$19:$N$19,"&lt;"&amp;'Calc base'!F$19,'Calc base'!$C$14:$N$14,1))))</f>
        <v>0</v>
      </c>
      <c r="AL350">
        <f>IF('Calc base'!G$14=0,0,MIN(Z350,MAX(0,$E350-SUMIFS($V350:$AG350,'Calc base'!$C$19:$N$19,"&lt;"&amp;'Calc base'!G$19,'Calc base'!$C$14:$N$14,1))))</f>
        <v>0</v>
      </c>
      <c r="AM350">
        <f>IF('Calc base'!H$14=0,0,MIN(AA350,MAX(0,$E350-SUMIFS($V350:$AG350,'Calc base'!$C$19:$N$19,"&lt;"&amp;'Calc base'!H$19,'Calc base'!$C$14:$N$14,1))))</f>
        <v>0</v>
      </c>
      <c r="AN350">
        <f>IF('Calc base'!I$14=0,0,MIN(AB350,MAX(0,$E350-SUMIFS($V350:$AG350,'Calc base'!$C$19:$N$19,"&lt;"&amp;'Calc base'!I$19,'Calc base'!$C$14:$N$14,1))))</f>
        <v>0</v>
      </c>
      <c r="AO350">
        <f>IF('Calc base'!J$14=0,0,MIN(AC350,MAX(0,$E350-SUMIFS($V350:$AG350,'Calc base'!$C$19:$N$19,"&lt;"&amp;'Calc base'!J$19,'Calc base'!$C$14:$N$14,1))))</f>
        <v>0</v>
      </c>
      <c r="AP350">
        <f>IF('Calc base'!K$14=0,0,MIN(AD350,MAX(0,$E350-SUMIFS($V350:$AG350,'Calc base'!$C$19:$N$19,"&lt;"&amp;'Calc base'!K$19,'Calc base'!$C$14:$N$14,1))))</f>
        <v>0</v>
      </c>
      <c r="AQ350">
        <f>IF('Calc base'!L$14=0,0,MIN(AE350,MAX(0,$E350-SUMIFS($V350:$AG350,'Calc base'!$C$19:$N$19,"&lt;"&amp;'Calc base'!L$19,'Calc base'!$C$14:$N$14,1))))</f>
        <v>0</v>
      </c>
      <c r="AR350">
        <f>IF('Calc base'!M$14=0,0,MIN(AF350,MAX(0,$E350-SUMIFS($V350:$AG350,'Calc base'!$C$19:$N$19,"&lt;"&amp;'Calc base'!M$19,'Calc base'!$C$14:$N$14,1))))</f>
        <v>0</v>
      </c>
      <c r="AS350">
        <f>IF('Calc base'!N$14=0,0,MIN(AG350,MAX(0,$E350-SUMIFS($V350:$AG350,'Calc base'!$C$19:$N$19,"&lt;"&amp;'Calc base'!N$19,'Calc base'!$C$14:$N$14,1))))</f>
        <v>0</v>
      </c>
      <c r="AT350">
        <f>V350-AH350</f>
        <v>0</v>
      </c>
      <c r="AU350">
        <f>W350-AI350</f>
        <v>0</v>
      </c>
      <c r="AV350">
        <f>X350-AJ350</f>
        <v>0</v>
      </c>
      <c r="AW350">
        <f>Y350-AK350</f>
        <v>0</v>
      </c>
      <c r="AX350">
        <f>Z350-AL350</f>
        <v>0</v>
      </c>
      <c r="AY350">
        <f>AA350-AM350</f>
        <v>0</v>
      </c>
      <c r="AZ350">
        <f>AB350-AN350</f>
        <v>0</v>
      </c>
      <c r="BA350">
        <f>AC350-AO350</f>
        <v>0</v>
      </c>
      <c r="BB350">
        <f>AD350-AP350</f>
        <v>0</v>
      </c>
      <c r="BC350">
        <f>AE350-AQ350</f>
        <v>0</v>
      </c>
      <c r="BD350">
        <f>AF350-AR350</f>
        <v>0</v>
      </c>
      <c r="BE350">
        <f>AG350-AS350</f>
        <v>0</v>
      </c>
    </row>
    <row r="351">
      <c r="A351" t="n">
        <v>321</v>
      </c>
      <c r="B351">
        <f>SUMPRODUCT(ROUND($AT350:$BE350*(1+'Calc base'!$H351:$S351),2))</f>
        <v>0</v>
      </c>
      <c r="C351">
        <f>SUM(J351:U351)</f>
        <v>0</v>
      </c>
      <c r="D351">
        <f>SUM(V351:AG351)</f>
        <v>0</v>
      </c>
      <c r="E351">
        <f>MAX(0,IF(Impostazioni!$B$7="No",'Calc base'!$C351-$C$31,'Calc base'!$C351-C351)+'Calc base'!$G351+'Calc base'!$F351-(B351-C351-D351))</f>
        <v>900</v>
      </c>
      <c r="F351">
        <f>SUM(AH351:AS351)</f>
        <v>0</v>
      </c>
      <c r="G351">
        <f>SUM(AT351:BE351)</f>
        <v>0</v>
      </c>
      <c r="H351">
        <f>B351-G350</f>
        <v>0</v>
      </c>
      <c r="I351">
        <f>B351-G351</f>
        <v>0</v>
      </c>
      <c r="J351">
        <f>IF(AT350&lt;=0,0,IF(ROUND(AT350*(1+'Calc base'!H351),2)-MAX('Calc base'!C$12,ROUND('Calc base'!C$13*AT350,2))&lt;1,ROUND(AT350*(1+'Calc base'!H351),2),MAX('Calc base'!C$12,ROUND('Calc base'!C$13*AT350,2))))</f>
        <v>0</v>
      </c>
      <c r="K351">
        <f>IF(AU350&lt;=0,0,IF(ROUND(AU350*(1+'Calc base'!I351),2)-MAX('Calc base'!D$12,ROUND('Calc base'!D$13*AU350,2))&lt;1,ROUND(AU350*(1+'Calc base'!I351),2),MAX('Calc base'!D$12,ROUND('Calc base'!D$13*AU350,2))))</f>
        <v>0</v>
      </c>
      <c r="L351">
        <f>IF(AV350&lt;=0,0,IF(ROUND(AV350*(1+'Calc base'!J351),2)-MAX('Calc base'!E$12,ROUND('Calc base'!E$13*AV350,2))&lt;1,ROUND(AV350*(1+'Calc base'!J351),2),MAX('Calc base'!E$12,ROUND('Calc base'!E$13*AV350,2))))</f>
        <v>0</v>
      </c>
      <c r="M351">
        <f>IF(AW350&lt;=0,0,IF(ROUND(AW350*(1+'Calc base'!K351),2)-MAX('Calc base'!F$12,ROUND('Calc base'!F$13*AW350,2))&lt;1,ROUND(AW350*(1+'Calc base'!K351),2),MAX('Calc base'!F$12,ROUND('Calc base'!F$13*AW350,2))))</f>
        <v>0</v>
      </c>
      <c r="N351">
        <f>IF(AX350&lt;=0,0,IF(ROUND(AX350*(1+'Calc base'!L351),2)-MAX('Calc base'!G$12,ROUND('Calc base'!G$13*AX350,2))&lt;1,ROUND(AX350*(1+'Calc base'!L351),2),MAX('Calc base'!G$12,ROUND('Calc base'!G$13*AX350,2))))</f>
        <v>0</v>
      </c>
      <c r="O351">
        <f>IF(AY350&lt;=0,0,IF(ROUND(AY350*(1+'Calc base'!M351),2)-MAX('Calc base'!H$12,ROUND('Calc base'!H$13*AY350,2))&lt;1,ROUND(AY350*(1+'Calc base'!M351),2),MAX('Calc base'!H$12,ROUND('Calc base'!H$13*AY350,2))))</f>
        <v>0</v>
      </c>
      <c r="P351">
        <f>IF(AZ350&lt;=0,0,IF(ROUND(AZ350*(1+'Calc base'!N351),2)-MAX('Calc base'!I$12,ROUND('Calc base'!I$13*AZ350,2))&lt;1,ROUND(AZ350*(1+'Calc base'!N351),2),MAX('Calc base'!I$12,ROUND('Calc base'!I$13*AZ350,2))))</f>
        <v>0</v>
      </c>
      <c r="Q351">
        <f>IF(BA350&lt;=0,0,IF(ROUND(BA350*(1+'Calc base'!O351),2)-MAX('Calc base'!J$12,ROUND('Calc base'!J$13*BA350,2))&lt;1,ROUND(BA350*(1+'Calc base'!O351),2),MAX('Calc base'!J$12,ROUND('Calc base'!J$13*BA350,2))))</f>
        <v>0</v>
      </c>
      <c r="R351">
        <f>IF(BB350&lt;=0,0,IF(ROUND(BB350*(1+'Calc base'!P351),2)-MAX('Calc base'!K$12,ROUND('Calc base'!K$13*BB350,2))&lt;1,ROUND(BB350*(1+'Calc base'!P351),2),MAX('Calc base'!K$12,ROUND('Calc base'!K$13*BB350,2))))</f>
        <v>0</v>
      </c>
      <c r="S351">
        <f>IF(BC350&lt;=0,0,IF(ROUND(BC350*(1+'Calc base'!Q351),2)-MAX('Calc base'!L$12,ROUND('Calc base'!L$13*BC350,2))&lt;1,ROUND(BC350*(1+'Calc base'!Q351),2),MAX('Calc base'!L$12,ROUND('Calc base'!L$13*BC350,2))))</f>
        <v>0</v>
      </c>
      <c r="T351">
        <f>IF(BD350&lt;=0,0,IF(ROUND(BD350*(1+'Calc base'!R351),2)-MAX('Calc base'!M$12,ROUND('Calc base'!M$13*BD350,2))&lt;1,ROUND(BD350*(1+'Calc base'!R351),2),MAX('Calc base'!M$12,ROUND('Calc base'!M$13*BD350,2))))</f>
        <v>0</v>
      </c>
      <c r="U351">
        <f>IF(BE350&lt;=0,0,IF(ROUND(BE350*(1+'Calc base'!S351),2)-MAX('Calc base'!N$12,ROUND('Calc base'!N$13*BE350,2))&lt;1,ROUND(BE350*(1+'Calc base'!S351),2),MAX('Calc base'!N$12,ROUND('Calc base'!N$13*BE350,2))))</f>
        <v>0</v>
      </c>
      <c r="V351">
        <f>MAX(0,ROUND(AT350*(1+'Calc base'!H351),2)-J351-'Calc base'!T351)</f>
        <v>0</v>
      </c>
      <c r="W351">
        <f>MAX(0,ROUND(AU350*(1+'Calc base'!I351),2)-K351-'Calc base'!U351)</f>
        <v>0</v>
      </c>
      <c r="X351">
        <f>MAX(0,ROUND(AV350*(1+'Calc base'!J351),2)-L351-'Calc base'!V351)</f>
        <v>0</v>
      </c>
      <c r="Y351">
        <f>MAX(0,ROUND(AW350*(1+'Calc base'!K351),2)-M351-'Calc base'!W351)</f>
        <v>0</v>
      </c>
      <c r="Z351">
        <f>MAX(0,ROUND(AX350*(1+'Calc base'!L351),2)-N351-'Calc base'!X351)</f>
        <v>0</v>
      </c>
      <c r="AA351">
        <f>MAX(0,ROUND(AY350*(1+'Calc base'!M351),2)-O351-'Calc base'!Y351)</f>
        <v>0</v>
      </c>
      <c r="AB351">
        <f>MAX(0,ROUND(AZ350*(1+'Calc base'!N351),2)-P351-'Calc base'!Z351)</f>
        <v>0</v>
      </c>
      <c r="AC351">
        <f>MAX(0,ROUND(BA350*(1+'Calc base'!O351),2)-Q351-'Calc base'!AA351)</f>
        <v>0</v>
      </c>
      <c r="AD351">
        <f>MAX(0,ROUND(BB350*(1+'Calc base'!P351),2)-R351-'Calc base'!AB351)</f>
        <v>0</v>
      </c>
      <c r="AE351">
        <f>MAX(0,ROUND(BC350*(1+'Calc base'!Q351),2)-S351-'Calc base'!AC351)</f>
        <v>0</v>
      </c>
      <c r="AF351">
        <f>MAX(0,ROUND(BD350*(1+'Calc base'!R351),2)-T351-'Calc base'!AD351)</f>
        <v>0</v>
      </c>
      <c r="AG351">
        <f>MAX(0,ROUND(BE350*(1+'Calc base'!S351),2)-U351-'Calc base'!AE351)</f>
        <v>0</v>
      </c>
      <c r="AH351">
        <f>IF('Calc base'!C$14=0,0,MIN(V351,MAX(0,$E351-SUMIFS($V351:$AG351,'Calc base'!$C$19:$N$19,"&lt;"&amp;'Calc base'!C$19,'Calc base'!$C$14:$N$14,1))))</f>
        <v>0</v>
      </c>
      <c r="AI351">
        <f>IF('Calc base'!D$14=0,0,MIN(W351,MAX(0,$E351-SUMIFS($V351:$AG351,'Calc base'!$C$19:$N$19,"&lt;"&amp;'Calc base'!D$19,'Calc base'!$C$14:$N$14,1))))</f>
        <v>0</v>
      </c>
      <c r="AJ351">
        <f>IF('Calc base'!E$14=0,0,MIN(X351,MAX(0,$E351-SUMIFS($V351:$AG351,'Calc base'!$C$19:$N$19,"&lt;"&amp;'Calc base'!E$19,'Calc base'!$C$14:$N$14,1))))</f>
        <v>0</v>
      </c>
      <c r="AK351">
        <f>IF('Calc base'!F$14=0,0,MIN(Y351,MAX(0,$E351-SUMIFS($V351:$AG351,'Calc base'!$C$19:$N$19,"&lt;"&amp;'Calc base'!F$19,'Calc base'!$C$14:$N$14,1))))</f>
        <v>0</v>
      </c>
      <c r="AL351">
        <f>IF('Calc base'!G$14=0,0,MIN(Z351,MAX(0,$E351-SUMIFS($V351:$AG351,'Calc base'!$C$19:$N$19,"&lt;"&amp;'Calc base'!G$19,'Calc base'!$C$14:$N$14,1))))</f>
        <v>0</v>
      </c>
      <c r="AM351">
        <f>IF('Calc base'!H$14=0,0,MIN(AA351,MAX(0,$E351-SUMIFS($V351:$AG351,'Calc base'!$C$19:$N$19,"&lt;"&amp;'Calc base'!H$19,'Calc base'!$C$14:$N$14,1))))</f>
        <v>0</v>
      </c>
      <c r="AN351">
        <f>IF('Calc base'!I$14=0,0,MIN(AB351,MAX(0,$E351-SUMIFS($V351:$AG351,'Calc base'!$C$19:$N$19,"&lt;"&amp;'Calc base'!I$19,'Calc base'!$C$14:$N$14,1))))</f>
        <v>0</v>
      </c>
      <c r="AO351">
        <f>IF('Calc base'!J$14=0,0,MIN(AC351,MAX(0,$E351-SUMIFS($V351:$AG351,'Calc base'!$C$19:$N$19,"&lt;"&amp;'Calc base'!J$19,'Calc base'!$C$14:$N$14,1))))</f>
        <v>0</v>
      </c>
      <c r="AP351">
        <f>IF('Calc base'!K$14=0,0,MIN(AD351,MAX(0,$E351-SUMIFS($V351:$AG351,'Calc base'!$C$19:$N$19,"&lt;"&amp;'Calc base'!K$19,'Calc base'!$C$14:$N$14,1))))</f>
        <v>0</v>
      </c>
      <c r="AQ351">
        <f>IF('Calc base'!L$14=0,0,MIN(AE351,MAX(0,$E351-SUMIFS($V351:$AG351,'Calc base'!$C$19:$N$19,"&lt;"&amp;'Calc base'!L$19,'Calc base'!$C$14:$N$14,1))))</f>
        <v>0</v>
      </c>
      <c r="AR351">
        <f>IF('Calc base'!M$14=0,0,MIN(AF351,MAX(0,$E351-SUMIFS($V351:$AG351,'Calc base'!$C$19:$N$19,"&lt;"&amp;'Calc base'!M$19,'Calc base'!$C$14:$N$14,1))))</f>
        <v>0</v>
      </c>
      <c r="AS351">
        <f>IF('Calc base'!N$14=0,0,MIN(AG351,MAX(0,$E351-SUMIFS($V351:$AG351,'Calc base'!$C$19:$N$19,"&lt;"&amp;'Calc base'!N$19,'Calc base'!$C$14:$N$14,1))))</f>
        <v>0</v>
      </c>
      <c r="AT351">
        <f>V351-AH351</f>
        <v>0</v>
      </c>
      <c r="AU351">
        <f>W351-AI351</f>
        <v>0</v>
      </c>
      <c r="AV351">
        <f>X351-AJ351</f>
        <v>0</v>
      </c>
      <c r="AW351">
        <f>Y351-AK351</f>
        <v>0</v>
      </c>
      <c r="AX351">
        <f>Z351-AL351</f>
        <v>0</v>
      </c>
      <c r="AY351">
        <f>AA351-AM351</f>
        <v>0</v>
      </c>
      <c r="AZ351">
        <f>AB351-AN351</f>
        <v>0</v>
      </c>
      <c r="BA351">
        <f>AC351-AO351</f>
        <v>0</v>
      </c>
      <c r="BB351">
        <f>AD351-AP351</f>
        <v>0</v>
      </c>
      <c r="BC351">
        <f>AE351-AQ351</f>
        <v>0</v>
      </c>
      <c r="BD351">
        <f>AF351-AR351</f>
        <v>0</v>
      </c>
      <c r="BE351">
        <f>AG351-AS351</f>
        <v>0</v>
      </c>
    </row>
    <row r="352">
      <c r="A352" t="n">
        <v>322</v>
      </c>
      <c r="B352">
        <f>SUMPRODUCT(ROUND($AT351:$BE351*(1+'Calc base'!$H352:$S352),2))</f>
        <v>0</v>
      </c>
      <c r="C352">
        <f>SUM(J352:U352)</f>
        <v>0</v>
      </c>
      <c r="D352">
        <f>SUM(V352:AG352)</f>
        <v>0</v>
      </c>
      <c r="E352">
        <f>MAX(0,IF(Impostazioni!$B$7="No",'Calc base'!$C352-$C$31,'Calc base'!$C352-C352)+'Calc base'!$G352+'Calc base'!$F352-(B352-C352-D352))</f>
        <v>900</v>
      </c>
      <c r="F352">
        <f>SUM(AH352:AS352)</f>
        <v>0</v>
      </c>
      <c r="G352">
        <f>SUM(AT352:BE352)</f>
        <v>0</v>
      </c>
      <c r="H352">
        <f>B352-G351</f>
        <v>0</v>
      </c>
      <c r="I352">
        <f>B352-G352</f>
        <v>0</v>
      </c>
      <c r="J352">
        <f>IF(AT351&lt;=0,0,IF(ROUND(AT351*(1+'Calc base'!H352),2)-MAX('Calc base'!C$12,ROUND('Calc base'!C$13*AT351,2))&lt;1,ROUND(AT351*(1+'Calc base'!H352),2),MAX('Calc base'!C$12,ROUND('Calc base'!C$13*AT351,2))))</f>
        <v>0</v>
      </c>
      <c r="K352">
        <f>IF(AU351&lt;=0,0,IF(ROUND(AU351*(1+'Calc base'!I352),2)-MAX('Calc base'!D$12,ROUND('Calc base'!D$13*AU351,2))&lt;1,ROUND(AU351*(1+'Calc base'!I352),2),MAX('Calc base'!D$12,ROUND('Calc base'!D$13*AU351,2))))</f>
        <v>0</v>
      </c>
      <c r="L352">
        <f>IF(AV351&lt;=0,0,IF(ROUND(AV351*(1+'Calc base'!J352),2)-MAX('Calc base'!E$12,ROUND('Calc base'!E$13*AV351,2))&lt;1,ROUND(AV351*(1+'Calc base'!J352),2),MAX('Calc base'!E$12,ROUND('Calc base'!E$13*AV351,2))))</f>
        <v>0</v>
      </c>
      <c r="M352">
        <f>IF(AW351&lt;=0,0,IF(ROUND(AW351*(1+'Calc base'!K352),2)-MAX('Calc base'!F$12,ROUND('Calc base'!F$13*AW351,2))&lt;1,ROUND(AW351*(1+'Calc base'!K352),2),MAX('Calc base'!F$12,ROUND('Calc base'!F$13*AW351,2))))</f>
        <v>0</v>
      </c>
      <c r="N352">
        <f>IF(AX351&lt;=0,0,IF(ROUND(AX351*(1+'Calc base'!L352),2)-MAX('Calc base'!G$12,ROUND('Calc base'!G$13*AX351,2))&lt;1,ROUND(AX351*(1+'Calc base'!L352),2),MAX('Calc base'!G$12,ROUND('Calc base'!G$13*AX351,2))))</f>
        <v>0</v>
      </c>
      <c r="O352">
        <f>IF(AY351&lt;=0,0,IF(ROUND(AY351*(1+'Calc base'!M352),2)-MAX('Calc base'!H$12,ROUND('Calc base'!H$13*AY351,2))&lt;1,ROUND(AY351*(1+'Calc base'!M352),2),MAX('Calc base'!H$12,ROUND('Calc base'!H$13*AY351,2))))</f>
        <v>0</v>
      </c>
      <c r="P352">
        <f>IF(AZ351&lt;=0,0,IF(ROUND(AZ351*(1+'Calc base'!N352),2)-MAX('Calc base'!I$12,ROUND('Calc base'!I$13*AZ351,2))&lt;1,ROUND(AZ351*(1+'Calc base'!N352),2),MAX('Calc base'!I$12,ROUND('Calc base'!I$13*AZ351,2))))</f>
        <v>0</v>
      </c>
      <c r="Q352">
        <f>IF(BA351&lt;=0,0,IF(ROUND(BA351*(1+'Calc base'!O352),2)-MAX('Calc base'!J$12,ROUND('Calc base'!J$13*BA351,2))&lt;1,ROUND(BA351*(1+'Calc base'!O352),2),MAX('Calc base'!J$12,ROUND('Calc base'!J$13*BA351,2))))</f>
        <v>0</v>
      </c>
      <c r="R352">
        <f>IF(BB351&lt;=0,0,IF(ROUND(BB351*(1+'Calc base'!P352),2)-MAX('Calc base'!K$12,ROUND('Calc base'!K$13*BB351,2))&lt;1,ROUND(BB351*(1+'Calc base'!P352),2),MAX('Calc base'!K$12,ROUND('Calc base'!K$13*BB351,2))))</f>
        <v>0</v>
      </c>
      <c r="S352">
        <f>IF(BC351&lt;=0,0,IF(ROUND(BC351*(1+'Calc base'!Q352),2)-MAX('Calc base'!L$12,ROUND('Calc base'!L$13*BC351,2))&lt;1,ROUND(BC351*(1+'Calc base'!Q352),2),MAX('Calc base'!L$12,ROUND('Calc base'!L$13*BC351,2))))</f>
        <v>0</v>
      </c>
      <c r="T352">
        <f>IF(BD351&lt;=0,0,IF(ROUND(BD351*(1+'Calc base'!R352),2)-MAX('Calc base'!M$12,ROUND('Calc base'!M$13*BD351,2))&lt;1,ROUND(BD351*(1+'Calc base'!R352),2),MAX('Calc base'!M$12,ROUND('Calc base'!M$13*BD351,2))))</f>
        <v>0</v>
      </c>
      <c r="U352">
        <f>IF(BE351&lt;=0,0,IF(ROUND(BE351*(1+'Calc base'!S352),2)-MAX('Calc base'!N$12,ROUND('Calc base'!N$13*BE351,2))&lt;1,ROUND(BE351*(1+'Calc base'!S352),2),MAX('Calc base'!N$12,ROUND('Calc base'!N$13*BE351,2))))</f>
        <v>0</v>
      </c>
      <c r="V352">
        <f>MAX(0,ROUND(AT351*(1+'Calc base'!H352),2)-J352-'Calc base'!T352)</f>
        <v>0</v>
      </c>
      <c r="W352">
        <f>MAX(0,ROUND(AU351*(1+'Calc base'!I352),2)-K352-'Calc base'!U352)</f>
        <v>0</v>
      </c>
      <c r="X352">
        <f>MAX(0,ROUND(AV351*(1+'Calc base'!J352),2)-L352-'Calc base'!V352)</f>
        <v>0</v>
      </c>
      <c r="Y352">
        <f>MAX(0,ROUND(AW351*(1+'Calc base'!K352),2)-M352-'Calc base'!W352)</f>
        <v>0</v>
      </c>
      <c r="Z352">
        <f>MAX(0,ROUND(AX351*(1+'Calc base'!L352),2)-N352-'Calc base'!X352)</f>
        <v>0</v>
      </c>
      <c r="AA352">
        <f>MAX(0,ROUND(AY351*(1+'Calc base'!M352),2)-O352-'Calc base'!Y352)</f>
        <v>0</v>
      </c>
      <c r="AB352">
        <f>MAX(0,ROUND(AZ351*(1+'Calc base'!N352),2)-P352-'Calc base'!Z352)</f>
        <v>0</v>
      </c>
      <c r="AC352">
        <f>MAX(0,ROUND(BA351*(1+'Calc base'!O352),2)-Q352-'Calc base'!AA352)</f>
        <v>0</v>
      </c>
      <c r="AD352">
        <f>MAX(0,ROUND(BB351*(1+'Calc base'!P352),2)-R352-'Calc base'!AB352)</f>
        <v>0</v>
      </c>
      <c r="AE352">
        <f>MAX(0,ROUND(BC351*(1+'Calc base'!Q352),2)-S352-'Calc base'!AC352)</f>
        <v>0</v>
      </c>
      <c r="AF352">
        <f>MAX(0,ROUND(BD351*(1+'Calc base'!R352),2)-T352-'Calc base'!AD352)</f>
        <v>0</v>
      </c>
      <c r="AG352">
        <f>MAX(0,ROUND(BE351*(1+'Calc base'!S352),2)-U352-'Calc base'!AE352)</f>
        <v>0</v>
      </c>
      <c r="AH352">
        <f>IF('Calc base'!C$14=0,0,MIN(V352,MAX(0,$E352-SUMIFS($V352:$AG352,'Calc base'!$C$19:$N$19,"&lt;"&amp;'Calc base'!C$19,'Calc base'!$C$14:$N$14,1))))</f>
        <v>0</v>
      </c>
      <c r="AI352">
        <f>IF('Calc base'!D$14=0,0,MIN(W352,MAX(0,$E352-SUMIFS($V352:$AG352,'Calc base'!$C$19:$N$19,"&lt;"&amp;'Calc base'!D$19,'Calc base'!$C$14:$N$14,1))))</f>
        <v>0</v>
      </c>
      <c r="AJ352">
        <f>IF('Calc base'!E$14=0,0,MIN(X352,MAX(0,$E352-SUMIFS($V352:$AG352,'Calc base'!$C$19:$N$19,"&lt;"&amp;'Calc base'!E$19,'Calc base'!$C$14:$N$14,1))))</f>
        <v>0</v>
      </c>
      <c r="AK352">
        <f>IF('Calc base'!F$14=0,0,MIN(Y352,MAX(0,$E352-SUMIFS($V352:$AG352,'Calc base'!$C$19:$N$19,"&lt;"&amp;'Calc base'!F$19,'Calc base'!$C$14:$N$14,1))))</f>
        <v>0</v>
      </c>
      <c r="AL352">
        <f>IF('Calc base'!G$14=0,0,MIN(Z352,MAX(0,$E352-SUMIFS($V352:$AG352,'Calc base'!$C$19:$N$19,"&lt;"&amp;'Calc base'!G$19,'Calc base'!$C$14:$N$14,1))))</f>
        <v>0</v>
      </c>
      <c r="AM352">
        <f>IF('Calc base'!H$14=0,0,MIN(AA352,MAX(0,$E352-SUMIFS($V352:$AG352,'Calc base'!$C$19:$N$19,"&lt;"&amp;'Calc base'!H$19,'Calc base'!$C$14:$N$14,1))))</f>
        <v>0</v>
      </c>
      <c r="AN352">
        <f>IF('Calc base'!I$14=0,0,MIN(AB352,MAX(0,$E352-SUMIFS($V352:$AG352,'Calc base'!$C$19:$N$19,"&lt;"&amp;'Calc base'!I$19,'Calc base'!$C$14:$N$14,1))))</f>
        <v>0</v>
      </c>
      <c r="AO352">
        <f>IF('Calc base'!J$14=0,0,MIN(AC352,MAX(0,$E352-SUMIFS($V352:$AG352,'Calc base'!$C$19:$N$19,"&lt;"&amp;'Calc base'!J$19,'Calc base'!$C$14:$N$14,1))))</f>
        <v>0</v>
      </c>
      <c r="AP352">
        <f>IF('Calc base'!K$14=0,0,MIN(AD352,MAX(0,$E352-SUMIFS($V352:$AG352,'Calc base'!$C$19:$N$19,"&lt;"&amp;'Calc base'!K$19,'Calc base'!$C$14:$N$14,1))))</f>
        <v>0</v>
      </c>
      <c r="AQ352">
        <f>IF('Calc base'!L$14=0,0,MIN(AE352,MAX(0,$E352-SUMIFS($V352:$AG352,'Calc base'!$C$19:$N$19,"&lt;"&amp;'Calc base'!L$19,'Calc base'!$C$14:$N$14,1))))</f>
        <v>0</v>
      </c>
      <c r="AR352">
        <f>IF('Calc base'!M$14=0,0,MIN(AF352,MAX(0,$E352-SUMIFS($V352:$AG352,'Calc base'!$C$19:$N$19,"&lt;"&amp;'Calc base'!M$19,'Calc base'!$C$14:$N$14,1))))</f>
        <v>0</v>
      </c>
      <c r="AS352">
        <f>IF('Calc base'!N$14=0,0,MIN(AG352,MAX(0,$E352-SUMIFS($V352:$AG352,'Calc base'!$C$19:$N$19,"&lt;"&amp;'Calc base'!N$19,'Calc base'!$C$14:$N$14,1))))</f>
        <v>0</v>
      </c>
      <c r="AT352">
        <f>V352-AH352</f>
        <v>0</v>
      </c>
      <c r="AU352">
        <f>W352-AI352</f>
        <v>0</v>
      </c>
      <c r="AV352">
        <f>X352-AJ352</f>
        <v>0</v>
      </c>
      <c r="AW352">
        <f>Y352-AK352</f>
        <v>0</v>
      </c>
      <c r="AX352">
        <f>Z352-AL352</f>
        <v>0</v>
      </c>
      <c r="AY352">
        <f>AA352-AM352</f>
        <v>0</v>
      </c>
      <c r="AZ352">
        <f>AB352-AN352</f>
        <v>0</v>
      </c>
      <c r="BA352">
        <f>AC352-AO352</f>
        <v>0</v>
      </c>
      <c r="BB352">
        <f>AD352-AP352</f>
        <v>0</v>
      </c>
      <c r="BC352">
        <f>AE352-AQ352</f>
        <v>0</v>
      </c>
      <c r="BD352">
        <f>AF352-AR352</f>
        <v>0</v>
      </c>
      <c r="BE352">
        <f>AG352-AS352</f>
        <v>0</v>
      </c>
    </row>
    <row r="353">
      <c r="A353" t="n">
        <v>323</v>
      </c>
      <c r="B353">
        <f>SUMPRODUCT(ROUND($AT352:$BE352*(1+'Calc base'!$H353:$S353),2))</f>
        <v>0</v>
      </c>
      <c r="C353">
        <f>SUM(J353:U353)</f>
        <v>0</v>
      </c>
      <c r="D353">
        <f>SUM(V353:AG353)</f>
        <v>0</v>
      </c>
      <c r="E353">
        <f>MAX(0,IF(Impostazioni!$B$7="No",'Calc base'!$C353-$C$31,'Calc base'!$C353-C353)+'Calc base'!$G353+'Calc base'!$F353-(B353-C353-D353))</f>
        <v>900</v>
      </c>
      <c r="F353">
        <f>SUM(AH353:AS353)</f>
        <v>0</v>
      </c>
      <c r="G353">
        <f>SUM(AT353:BE353)</f>
        <v>0</v>
      </c>
      <c r="H353">
        <f>B353-G352</f>
        <v>0</v>
      </c>
      <c r="I353">
        <f>B353-G353</f>
        <v>0</v>
      </c>
      <c r="J353">
        <f>IF(AT352&lt;=0,0,IF(ROUND(AT352*(1+'Calc base'!H353),2)-MAX('Calc base'!C$12,ROUND('Calc base'!C$13*AT352,2))&lt;1,ROUND(AT352*(1+'Calc base'!H353),2),MAX('Calc base'!C$12,ROUND('Calc base'!C$13*AT352,2))))</f>
        <v>0</v>
      </c>
      <c r="K353">
        <f>IF(AU352&lt;=0,0,IF(ROUND(AU352*(1+'Calc base'!I353),2)-MAX('Calc base'!D$12,ROUND('Calc base'!D$13*AU352,2))&lt;1,ROUND(AU352*(1+'Calc base'!I353),2),MAX('Calc base'!D$12,ROUND('Calc base'!D$13*AU352,2))))</f>
        <v>0</v>
      </c>
      <c r="L353">
        <f>IF(AV352&lt;=0,0,IF(ROUND(AV352*(1+'Calc base'!J353),2)-MAX('Calc base'!E$12,ROUND('Calc base'!E$13*AV352,2))&lt;1,ROUND(AV352*(1+'Calc base'!J353),2),MAX('Calc base'!E$12,ROUND('Calc base'!E$13*AV352,2))))</f>
        <v>0</v>
      </c>
      <c r="M353">
        <f>IF(AW352&lt;=0,0,IF(ROUND(AW352*(1+'Calc base'!K353),2)-MAX('Calc base'!F$12,ROUND('Calc base'!F$13*AW352,2))&lt;1,ROUND(AW352*(1+'Calc base'!K353),2),MAX('Calc base'!F$12,ROUND('Calc base'!F$13*AW352,2))))</f>
        <v>0</v>
      </c>
      <c r="N353">
        <f>IF(AX352&lt;=0,0,IF(ROUND(AX352*(1+'Calc base'!L353),2)-MAX('Calc base'!G$12,ROUND('Calc base'!G$13*AX352,2))&lt;1,ROUND(AX352*(1+'Calc base'!L353),2),MAX('Calc base'!G$12,ROUND('Calc base'!G$13*AX352,2))))</f>
        <v>0</v>
      </c>
      <c r="O353">
        <f>IF(AY352&lt;=0,0,IF(ROUND(AY352*(1+'Calc base'!M353),2)-MAX('Calc base'!H$12,ROUND('Calc base'!H$13*AY352,2))&lt;1,ROUND(AY352*(1+'Calc base'!M353),2),MAX('Calc base'!H$12,ROUND('Calc base'!H$13*AY352,2))))</f>
        <v>0</v>
      </c>
      <c r="P353">
        <f>IF(AZ352&lt;=0,0,IF(ROUND(AZ352*(1+'Calc base'!N353),2)-MAX('Calc base'!I$12,ROUND('Calc base'!I$13*AZ352,2))&lt;1,ROUND(AZ352*(1+'Calc base'!N353),2),MAX('Calc base'!I$12,ROUND('Calc base'!I$13*AZ352,2))))</f>
        <v>0</v>
      </c>
      <c r="Q353">
        <f>IF(BA352&lt;=0,0,IF(ROUND(BA352*(1+'Calc base'!O353),2)-MAX('Calc base'!J$12,ROUND('Calc base'!J$13*BA352,2))&lt;1,ROUND(BA352*(1+'Calc base'!O353),2),MAX('Calc base'!J$12,ROUND('Calc base'!J$13*BA352,2))))</f>
        <v>0</v>
      </c>
      <c r="R353">
        <f>IF(BB352&lt;=0,0,IF(ROUND(BB352*(1+'Calc base'!P353),2)-MAX('Calc base'!K$12,ROUND('Calc base'!K$13*BB352,2))&lt;1,ROUND(BB352*(1+'Calc base'!P353),2),MAX('Calc base'!K$12,ROUND('Calc base'!K$13*BB352,2))))</f>
        <v>0</v>
      </c>
      <c r="S353">
        <f>IF(BC352&lt;=0,0,IF(ROUND(BC352*(1+'Calc base'!Q353),2)-MAX('Calc base'!L$12,ROUND('Calc base'!L$13*BC352,2))&lt;1,ROUND(BC352*(1+'Calc base'!Q353),2),MAX('Calc base'!L$12,ROUND('Calc base'!L$13*BC352,2))))</f>
        <v>0</v>
      </c>
      <c r="T353">
        <f>IF(BD352&lt;=0,0,IF(ROUND(BD352*(1+'Calc base'!R353),2)-MAX('Calc base'!M$12,ROUND('Calc base'!M$13*BD352,2))&lt;1,ROUND(BD352*(1+'Calc base'!R353),2),MAX('Calc base'!M$12,ROUND('Calc base'!M$13*BD352,2))))</f>
        <v>0</v>
      </c>
      <c r="U353">
        <f>IF(BE352&lt;=0,0,IF(ROUND(BE352*(1+'Calc base'!S353),2)-MAX('Calc base'!N$12,ROUND('Calc base'!N$13*BE352,2))&lt;1,ROUND(BE352*(1+'Calc base'!S353),2),MAX('Calc base'!N$12,ROUND('Calc base'!N$13*BE352,2))))</f>
        <v>0</v>
      </c>
      <c r="V353">
        <f>MAX(0,ROUND(AT352*(1+'Calc base'!H353),2)-J353-'Calc base'!T353)</f>
        <v>0</v>
      </c>
      <c r="W353">
        <f>MAX(0,ROUND(AU352*(1+'Calc base'!I353),2)-K353-'Calc base'!U353)</f>
        <v>0</v>
      </c>
      <c r="X353">
        <f>MAX(0,ROUND(AV352*(1+'Calc base'!J353),2)-L353-'Calc base'!V353)</f>
        <v>0</v>
      </c>
      <c r="Y353">
        <f>MAX(0,ROUND(AW352*(1+'Calc base'!K353),2)-M353-'Calc base'!W353)</f>
        <v>0</v>
      </c>
      <c r="Z353">
        <f>MAX(0,ROUND(AX352*(1+'Calc base'!L353),2)-N353-'Calc base'!X353)</f>
        <v>0</v>
      </c>
      <c r="AA353">
        <f>MAX(0,ROUND(AY352*(1+'Calc base'!M353),2)-O353-'Calc base'!Y353)</f>
        <v>0</v>
      </c>
      <c r="AB353">
        <f>MAX(0,ROUND(AZ352*(1+'Calc base'!N353),2)-P353-'Calc base'!Z353)</f>
        <v>0</v>
      </c>
      <c r="AC353">
        <f>MAX(0,ROUND(BA352*(1+'Calc base'!O353),2)-Q353-'Calc base'!AA353)</f>
        <v>0</v>
      </c>
      <c r="AD353">
        <f>MAX(0,ROUND(BB352*(1+'Calc base'!P353),2)-R353-'Calc base'!AB353)</f>
        <v>0</v>
      </c>
      <c r="AE353">
        <f>MAX(0,ROUND(BC352*(1+'Calc base'!Q353),2)-S353-'Calc base'!AC353)</f>
        <v>0</v>
      </c>
      <c r="AF353">
        <f>MAX(0,ROUND(BD352*(1+'Calc base'!R353),2)-T353-'Calc base'!AD353)</f>
        <v>0</v>
      </c>
      <c r="AG353">
        <f>MAX(0,ROUND(BE352*(1+'Calc base'!S353),2)-U353-'Calc base'!AE353)</f>
        <v>0</v>
      </c>
      <c r="AH353">
        <f>IF('Calc base'!C$14=0,0,MIN(V353,MAX(0,$E353-SUMIFS($V353:$AG353,'Calc base'!$C$19:$N$19,"&lt;"&amp;'Calc base'!C$19,'Calc base'!$C$14:$N$14,1))))</f>
        <v>0</v>
      </c>
      <c r="AI353">
        <f>IF('Calc base'!D$14=0,0,MIN(W353,MAX(0,$E353-SUMIFS($V353:$AG353,'Calc base'!$C$19:$N$19,"&lt;"&amp;'Calc base'!D$19,'Calc base'!$C$14:$N$14,1))))</f>
        <v>0</v>
      </c>
      <c r="AJ353">
        <f>IF('Calc base'!E$14=0,0,MIN(X353,MAX(0,$E353-SUMIFS($V353:$AG353,'Calc base'!$C$19:$N$19,"&lt;"&amp;'Calc base'!E$19,'Calc base'!$C$14:$N$14,1))))</f>
        <v>0</v>
      </c>
      <c r="AK353">
        <f>IF('Calc base'!F$14=0,0,MIN(Y353,MAX(0,$E353-SUMIFS($V353:$AG353,'Calc base'!$C$19:$N$19,"&lt;"&amp;'Calc base'!F$19,'Calc base'!$C$14:$N$14,1))))</f>
        <v>0</v>
      </c>
      <c r="AL353">
        <f>IF('Calc base'!G$14=0,0,MIN(Z353,MAX(0,$E353-SUMIFS($V353:$AG353,'Calc base'!$C$19:$N$19,"&lt;"&amp;'Calc base'!G$19,'Calc base'!$C$14:$N$14,1))))</f>
        <v>0</v>
      </c>
      <c r="AM353">
        <f>IF('Calc base'!H$14=0,0,MIN(AA353,MAX(0,$E353-SUMIFS($V353:$AG353,'Calc base'!$C$19:$N$19,"&lt;"&amp;'Calc base'!H$19,'Calc base'!$C$14:$N$14,1))))</f>
        <v>0</v>
      </c>
      <c r="AN353">
        <f>IF('Calc base'!I$14=0,0,MIN(AB353,MAX(0,$E353-SUMIFS($V353:$AG353,'Calc base'!$C$19:$N$19,"&lt;"&amp;'Calc base'!I$19,'Calc base'!$C$14:$N$14,1))))</f>
        <v>0</v>
      </c>
      <c r="AO353">
        <f>IF('Calc base'!J$14=0,0,MIN(AC353,MAX(0,$E353-SUMIFS($V353:$AG353,'Calc base'!$C$19:$N$19,"&lt;"&amp;'Calc base'!J$19,'Calc base'!$C$14:$N$14,1))))</f>
        <v>0</v>
      </c>
      <c r="AP353">
        <f>IF('Calc base'!K$14=0,0,MIN(AD353,MAX(0,$E353-SUMIFS($V353:$AG353,'Calc base'!$C$19:$N$19,"&lt;"&amp;'Calc base'!K$19,'Calc base'!$C$14:$N$14,1))))</f>
        <v>0</v>
      </c>
      <c r="AQ353">
        <f>IF('Calc base'!L$14=0,0,MIN(AE353,MAX(0,$E353-SUMIFS($V353:$AG353,'Calc base'!$C$19:$N$19,"&lt;"&amp;'Calc base'!L$19,'Calc base'!$C$14:$N$14,1))))</f>
        <v>0</v>
      </c>
      <c r="AR353">
        <f>IF('Calc base'!M$14=0,0,MIN(AF353,MAX(0,$E353-SUMIFS($V353:$AG353,'Calc base'!$C$19:$N$19,"&lt;"&amp;'Calc base'!M$19,'Calc base'!$C$14:$N$14,1))))</f>
        <v>0</v>
      </c>
      <c r="AS353">
        <f>IF('Calc base'!N$14=0,0,MIN(AG353,MAX(0,$E353-SUMIFS($V353:$AG353,'Calc base'!$C$19:$N$19,"&lt;"&amp;'Calc base'!N$19,'Calc base'!$C$14:$N$14,1))))</f>
        <v>0</v>
      </c>
      <c r="AT353">
        <f>V353-AH353</f>
        <v>0</v>
      </c>
      <c r="AU353">
        <f>W353-AI353</f>
        <v>0</v>
      </c>
      <c r="AV353">
        <f>X353-AJ353</f>
        <v>0</v>
      </c>
      <c r="AW353">
        <f>Y353-AK353</f>
        <v>0</v>
      </c>
      <c r="AX353">
        <f>Z353-AL353</f>
        <v>0</v>
      </c>
      <c r="AY353">
        <f>AA353-AM353</f>
        <v>0</v>
      </c>
      <c r="AZ353">
        <f>AB353-AN353</f>
        <v>0</v>
      </c>
      <c r="BA353">
        <f>AC353-AO353</f>
        <v>0</v>
      </c>
      <c r="BB353">
        <f>AD353-AP353</f>
        <v>0</v>
      </c>
      <c r="BC353">
        <f>AE353-AQ353</f>
        <v>0</v>
      </c>
      <c r="BD353">
        <f>AF353-AR353</f>
        <v>0</v>
      </c>
      <c r="BE353">
        <f>AG353-AS353</f>
        <v>0</v>
      </c>
    </row>
    <row r="354">
      <c r="A354" t="n">
        <v>324</v>
      </c>
      <c r="B354">
        <f>SUMPRODUCT(ROUND($AT353:$BE353*(1+'Calc base'!$H354:$S354),2))</f>
        <v>0</v>
      </c>
      <c r="C354">
        <f>SUM(J354:U354)</f>
        <v>0</v>
      </c>
      <c r="D354">
        <f>SUM(V354:AG354)</f>
        <v>0</v>
      </c>
      <c r="E354">
        <f>MAX(0,IF(Impostazioni!$B$7="No",'Calc base'!$C354-$C$31,'Calc base'!$C354-C354)+'Calc base'!$G354+'Calc base'!$F354-(B354-C354-D354))</f>
        <v>900</v>
      </c>
      <c r="F354">
        <f>SUM(AH354:AS354)</f>
        <v>0</v>
      </c>
      <c r="G354">
        <f>SUM(AT354:BE354)</f>
        <v>0</v>
      </c>
      <c r="H354">
        <f>B354-G353</f>
        <v>0</v>
      </c>
      <c r="I354">
        <f>B354-G354</f>
        <v>0</v>
      </c>
      <c r="J354">
        <f>IF(AT353&lt;=0,0,IF(ROUND(AT353*(1+'Calc base'!H354),2)-MAX('Calc base'!C$12,ROUND('Calc base'!C$13*AT353,2))&lt;1,ROUND(AT353*(1+'Calc base'!H354),2),MAX('Calc base'!C$12,ROUND('Calc base'!C$13*AT353,2))))</f>
        <v>0</v>
      </c>
      <c r="K354">
        <f>IF(AU353&lt;=0,0,IF(ROUND(AU353*(1+'Calc base'!I354),2)-MAX('Calc base'!D$12,ROUND('Calc base'!D$13*AU353,2))&lt;1,ROUND(AU353*(1+'Calc base'!I354),2),MAX('Calc base'!D$12,ROUND('Calc base'!D$13*AU353,2))))</f>
        <v>0</v>
      </c>
      <c r="L354">
        <f>IF(AV353&lt;=0,0,IF(ROUND(AV353*(1+'Calc base'!J354),2)-MAX('Calc base'!E$12,ROUND('Calc base'!E$13*AV353,2))&lt;1,ROUND(AV353*(1+'Calc base'!J354),2),MAX('Calc base'!E$12,ROUND('Calc base'!E$13*AV353,2))))</f>
        <v>0</v>
      </c>
      <c r="M354">
        <f>IF(AW353&lt;=0,0,IF(ROUND(AW353*(1+'Calc base'!K354),2)-MAX('Calc base'!F$12,ROUND('Calc base'!F$13*AW353,2))&lt;1,ROUND(AW353*(1+'Calc base'!K354),2),MAX('Calc base'!F$12,ROUND('Calc base'!F$13*AW353,2))))</f>
        <v>0</v>
      </c>
      <c r="N354">
        <f>IF(AX353&lt;=0,0,IF(ROUND(AX353*(1+'Calc base'!L354),2)-MAX('Calc base'!G$12,ROUND('Calc base'!G$13*AX353,2))&lt;1,ROUND(AX353*(1+'Calc base'!L354),2),MAX('Calc base'!G$12,ROUND('Calc base'!G$13*AX353,2))))</f>
        <v>0</v>
      </c>
      <c r="O354">
        <f>IF(AY353&lt;=0,0,IF(ROUND(AY353*(1+'Calc base'!M354),2)-MAX('Calc base'!H$12,ROUND('Calc base'!H$13*AY353,2))&lt;1,ROUND(AY353*(1+'Calc base'!M354),2),MAX('Calc base'!H$12,ROUND('Calc base'!H$13*AY353,2))))</f>
        <v>0</v>
      </c>
      <c r="P354">
        <f>IF(AZ353&lt;=0,0,IF(ROUND(AZ353*(1+'Calc base'!N354),2)-MAX('Calc base'!I$12,ROUND('Calc base'!I$13*AZ353,2))&lt;1,ROUND(AZ353*(1+'Calc base'!N354),2),MAX('Calc base'!I$12,ROUND('Calc base'!I$13*AZ353,2))))</f>
        <v>0</v>
      </c>
      <c r="Q354">
        <f>IF(BA353&lt;=0,0,IF(ROUND(BA353*(1+'Calc base'!O354),2)-MAX('Calc base'!J$12,ROUND('Calc base'!J$13*BA353,2))&lt;1,ROUND(BA353*(1+'Calc base'!O354),2),MAX('Calc base'!J$12,ROUND('Calc base'!J$13*BA353,2))))</f>
        <v>0</v>
      </c>
      <c r="R354">
        <f>IF(BB353&lt;=0,0,IF(ROUND(BB353*(1+'Calc base'!P354),2)-MAX('Calc base'!K$12,ROUND('Calc base'!K$13*BB353,2))&lt;1,ROUND(BB353*(1+'Calc base'!P354),2),MAX('Calc base'!K$12,ROUND('Calc base'!K$13*BB353,2))))</f>
        <v>0</v>
      </c>
      <c r="S354">
        <f>IF(BC353&lt;=0,0,IF(ROUND(BC353*(1+'Calc base'!Q354),2)-MAX('Calc base'!L$12,ROUND('Calc base'!L$13*BC353,2))&lt;1,ROUND(BC353*(1+'Calc base'!Q354),2),MAX('Calc base'!L$12,ROUND('Calc base'!L$13*BC353,2))))</f>
        <v>0</v>
      </c>
      <c r="T354">
        <f>IF(BD353&lt;=0,0,IF(ROUND(BD353*(1+'Calc base'!R354),2)-MAX('Calc base'!M$12,ROUND('Calc base'!M$13*BD353,2))&lt;1,ROUND(BD353*(1+'Calc base'!R354),2),MAX('Calc base'!M$12,ROUND('Calc base'!M$13*BD353,2))))</f>
        <v>0</v>
      </c>
      <c r="U354">
        <f>IF(BE353&lt;=0,0,IF(ROUND(BE353*(1+'Calc base'!S354),2)-MAX('Calc base'!N$12,ROUND('Calc base'!N$13*BE353,2))&lt;1,ROUND(BE353*(1+'Calc base'!S354),2),MAX('Calc base'!N$12,ROUND('Calc base'!N$13*BE353,2))))</f>
        <v>0</v>
      </c>
      <c r="V354">
        <f>MAX(0,ROUND(AT353*(1+'Calc base'!H354),2)-J354-'Calc base'!T354)</f>
        <v>0</v>
      </c>
      <c r="W354">
        <f>MAX(0,ROUND(AU353*(1+'Calc base'!I354),2)-K354-'Calc base'!U354)</f>
        <v>0</v>
      </c>
      <c r="X354">
        <f>MAX(0,ROUND(AV353*(1+'Calc base'!J354),2)-L354-'Calc base'!V354)</f>
        <v>0</v>
      </c>
      <c r="Y354">
        <f>MAX(0,ROUND(AW353*(1+'Calc base'!K354),2)-M354-'Calc base'!W354)</f>
        <v>0</v>
      </c>
      <c r="Z354">
        <f>MAX(0,ROUND(AX353*(1+'Calc base'!L354),2)-N354-'Calc base'!X354)</f>
        <v>0</v>
      </c>
      <c r="AA354">
        <f>MAX(0,ROUND(AY353*(1+'Calc base'!M354),2)-O354-'Calc base'!Y354)</f>
        <v>0</v>
      </c>
      <c r="AB354">
        <f>MAX(0,ROUND(AZ353*(1+'Calc base'!N354),2)-P354-'Calc base'!Z354)</f>
        <v>0</v>
      </c>
      <c r="AC354">
        <f>MAX(0,ROUND(BA353*(1+'Calc base'!O354),2)-Q354-'Calc base'!AA354)</f>
        <v>0</v>
      </c>
      <c r="AD354">
        <f>MAX(0,ROUND(BB353*(1+'Calc base'!P354),2)-R354-'Calc base'!AB354)</f>
        <v>0</v>
      </c>
      <c r="AE354">
        <f>MAX(0,ROUND(BC353*(1+'Calc base'!Q354),2)-S354-'Calc base'!AC354)</f>
        <v>0</v>
      </c>
      <c r="AF354">
        <f>MAX(0,ROUND(BD353*(1+'Calc base'!R354),2)-T354-'Calc base'!AD354)</f>
        <v>0</v>
      </c>
      <c r="AG354">
        <f>MAX(0,ROUND(BE353*(1+'Calc base'!S354),2)-U354-'Calc base'!AE354)</f>
        <v>0</v>
      </c>
      <c r="AH354">
        <f>IF('Calc base'!C$14=0,0,MIN(V354,MAX(0,$E354-SUMIFS($V354:$AG354,'Calc base'!$C$19:$N$19,"&lt;"&amp;'Calc base'!C$19,'Calc base'!$C$14:$N$14,1))))</f>
        <v>0</v>
      </c>
      <c r="AI354">
        <f>IF('Calc base'!D$14=0,0,MIN(W354,MAX(0,$E354-SUMIFS($V354:$AG354,'Calc base'!$C$19:$N$19,"&lt;"&amp;'Calc base'!D$19,'Calc base'!$C$14:$N$14,1))))</f>
        <v>0</v>
      </c>
      <c r="AJ354">
        <f>IF('Calc base'!E$14=0,0,MIN(X354,MAX(0,$E354-SUMIFS($V354:$AG354,'Calc base'!$C$19:$N$19,"&lt;"&amp;'Calc base'!E$19,'Calc base'!$C$14:$N$14,1))))</f>
        <v>0</v>
      </c>
      <c r="AK354">
        <f>IF('Calc base'!F$14=0,0,MIN(Y354,MAX(0,$E354-SUMIFS($V354:$AG354,'Calc base'!$C$19:$N$19,"&lt;"&amp;'Calc base'!F$19,'Calc base'!$C$14:$N$14,1))))</f>
        <v>0</v>
      </c>
      <c r="AL354">
        <f>IF('Calc base'!G$14=0,0,MIN(Z354,MAX(0,$E354-SUMIFS($V354:$AG354,'Calc base'!$C$19:$N$19,"&lt;"&amp;'Calc base'!G$19,'Calc base'!$C$14:$N$14,1))))</f>
        <v>0</v>
      </c>
      <c r="AM354">
        <f>IF('Calc base'!H$14=0,0,MIN(AA354,MAX(0,$E354-SUMIFS($V354:$AG354,'Calc base'!$C$19:$N$19,"&lt;"&amp;'Calc base'!H$19,'Calc base'!$C$14:$N$14,1))))</f>
        <v>0</v>
      </c>
      <c r="AN354">
        <f>IF('Calc base'!I$14=0,0,MIN(AB354,MAX(0,$E354-SUMIFS($V354:$AG354,'Calc base'!$C$19:$N$19,"&lt;"&amp;'Calc base'!I$19,'Calc base'!$C$14:$N$14,1))))</f>
        <v>0</v>
      </c>
      <c r="AO354">
        <f>IF('Calc base'!J$14=0,0,MIN(AC354,MAX(0,$E354-SUMIFS($V354:$AG354,'Calc base'!$C$19:$N$19,"&lt;"&amp;'Calc base'!J$19,'Calc base'!$C$14:$N$14,1))))</f>
        <v>0</v>
      </c>
      <c r="AP354">
        <f>IF('Calc base'!K$14=0,0,MIN(AD354,MAX(0,$E354-SUMIFS($V354:$AG354,'Calc base'!$C$19:$N$19,"&lt;"&amp;'Calc base'!K$19,'Calc base'!$C$14:$N$14,1))))</f>
        <v>0</v>
      </c>
      <c r="AQ354">
        <f>IF('Calc base'!L$14=0,0,MIN(AE354,MAX(0,$E354-SUMIFS($V354:$AG354,'Calc base'!$C$19:$N$19,"&lt;"&amp;'Calc base'!L$19,'Calc base'!$C$14:$N$14,1))))</f>
        <v>0</v>
      </c>
      <c r="AR354">
        <f>IF('Calc base'!M$14=0,0,MIN(AF354,MAX(0,$E354-SUMIFS($V354:$AG354,'Calc base'!$C$19:$N$19,"&lt;"&amp;'Calc base'!M$19,'Calc base'!$C$14:$N$14,1))))</f>
        <v>0</v>
      </c>
      <c r="AS354">
        <f>IF('Calc base'!N$14=0,0,MIN(AG354,MAX(0,$E354-SUMIFS($V354:$AG354,'Calc base'!$C$19:$N$19,"&lt;"&amp;'Calc base'!N$19,'Calc base'!$C$14:$N$14,1))))</f>
        <v>0</v>
      </c>
      <c r="AT354">
        <f>V354-AH354</f>
        <v>0</v>
      </c>
      <c r="AU354">
        <f>W354-AI354</f>
        <v>0</v>
      </c>
      <c r="AV354">
        <f>X354-AJ354</f>
        <v>0</v>
      </c>
      <c r="AW354">
        <f>Y354-AK354</f>
        <v>0</v>
      </c>
      <c r="AX354">
        <f>Z354-AL354</f>
        <v>0</v>
      </c>
      <c r="AY354">
        <f>AA354-AM354</f>
        <v>0</v>
      </c>
      <c r="AZ354">
        <f>AB354-AN354</f>
        <v>0</v>
      </c>
      <c r="BA354">
        <f>AC354-AO354</f>
        <v>0</v>
      </c>
      <c r="BB354">
        <f>AD354-AP354</f>
        <v>0</v>
      </c>
      <c r="BC354">
        <f>AE354-AQ354</f>
        <v>0</v>
      </c>
      <c r="BD354">
        <f>AF354-AR354</f>
        <v>0</v>
      </c>
      <c r="BE354">
        <f>AG354-AS354</f>
        <v>0</v>
      </c>
    </row>
    <row r="355">
      <c r="A355" t="n">
        <v>325</v>
      </c>
      <c r="B355">
        <f>SUMPRODUCT(ROUND($AT354:$BE354*(1+'Calc base'!$H355:$S355),2))</f>
        <v>0</v>
      </c>
      <c r="C355">
        <f>SUM(J355:U355)</f>
        <v>0</v>
      </c>
      <c r="D355">
        <f>SUM(V355:AG355)</f>
        <v>0</v>
      </c>
      <c r="E355">
        <f>MAX(0,IF(Impostazioni!$B$7="No",'Calc base'!$C355-$C$31,'Calc base'!$C355-C355)+'Calc base'!$G355+'Calc base'!$F355-(B355-C355-D355))</f>
        <v>900</v>
      </c>
      <c r="F355">
        <f>SUM(AH355:AS355)</f>
        <v>0</v>
      </c>
      <c r="G355">
        <f>SUM(AT355:BE355)</f>
        <v>0</v>
      </c>
      <c r="H355">
        <f>B355-G354</f>
        <v>0</v>
      </c>
      <c r="I355">
        <f>B355-G355</f>
        <v>0</v>
      </c>
      <c r="J355">
        <f>IF(AT354&lt;=0,0,IF(ROUND(AT354*(1+'Calc base'!H355),2)-MAX('Calc base'!C$12,ROUND('Calc base'!C$13*AT354,2))&lt;1,ROUND(AT354*(1+'Calc base'!H355),2),MAX('Calc base'!C$12,ROUND('Calc base'!C$13*AT354,2))))</f>
        <v>0</v>
      </c>
      <c r="K355">
        <f>IF(AU354&lt;=0,0,IF(ROUND(AU354*(1+'Calc base'!I355),2)-MAX('Calc base'!D$12,ROUND('Calc base'!D$13*AU354,2))&lt;1,ROUND(AU354*(1+'Calc base'!I355),2),MAX('Calc base'!D$12,ROUND('Calc base'!D$13*AU354,2))))</f>
        <v>0</v>
      </c>
      <c r="L355">
        <f>IF(AV354&lt;=0,0,IF(ROUND(AV354*(1+'Calc base'!J355),2)-MAX('Calc base'!E$12,ROUND('Calc base'!E$13*AV354,2))&lt;1,ROUND(AV354*(1+'Calc base'!J355),2),MAX('Calc base'!E$12,ROUND('Calc base'!E$13*AV354,2))))</f>
        <v>0</v>
      </c>
      <c r="M355">
        <f>IF(AW354&lt;=0,0,IF(ROUND(AW354*(1+'Calc base'!K355),2)-MAX('Calc base'!F$12,ROUND('Calc base'!F$13*AW354,2))&lt;1,ROUND(AW354*(1+'Calc base'!K355),2),MAX('Calc base'!F$12,ROUND('Calc base'!F$13*AW354,2))))</f>
        <v>0</v>
      </c>
      <c r="N355">
        <f>IF(AX354&lt;=0,0,IF(ROUND(AX354*(1+'Calc base'!L355),2)-MAX('Calc base'!G$12,ROUND('Calc base'!G$13*AX354,2))&lt;1,ROUND(AX354*(1+'Calc base'!L355),2),MAX('Calc base'!G$12,ROUND('Calc base'!G$13*AX354,2))))</f>
        <v>0</v>
      </c>
      <c r="O355">
        <f>IF(AY354&lt;=0,0,IF(ROUND(AY354*(1+'Calc base'!M355),2)-MAX('Calc base'!H$12,ROUND('Calc base'!H$13*AY354,2))&lt;1,ROUND(AY354*(1+'Calc base'!M355),2),MAX('Calc base'!H$12,ROUND('Calc base'!H$13*AY354,2))))</f>
        <v>0</v>
      </c>
      <c r="P355">
        <f>IF(AZ354&lt;=0,0,IF(ROUND(AZ354*(1+'Calc base'!N355),2)-MAX('Calc base'!I$12,ROUND('Calc base'!I$13*AZ354,2))&lt;1,ROUND(AZ354*(1+'Calc base'!N355),2),MAX('Calc base'!I$12,ROUND('Calc base'!I$13*AZ354,2))))</f>
        <v>0</v>
      </c>
      <c r="Q355">
        <f>IF(BA354&lt;=0,0,IF(ROUND(BA354*(1+'Calc base'!O355),2)-MAX('Calc base'!J$12,ROUND('Calc base'!J$13*BA354,2))&lt;1,ROUND(BA354*(1+'Calc base'!O355),2),MAX('Calc base'!J$12,ROUND('Calc base'!J$13*BA354,2))))</f>
        <v>0</v>
      </c>
      <c r="R355">
        <f>IF(BB354&lt;=0,0,IF(ROUND(BB354*(1+'Calc base'!P355),2)-MAX('Calc base'!K$12,ROUND('Calc base'!K$13*BB354,2))&lt;1,ROUND(BB354*(1+'Calc base'!P355),2),MAX('Calc base'!K$12,ROUND('Calc base'!K$13*BB354,2))))</f>
        <v>0</v>
      </c>
      <c r="S355">
        <f>IF(BC354&lt;=0,0,IF(ROUND(BC354*(1+'Calc base'!Q355),2)-MAX('Calc base'!L$12,ROUND('Calc base'!L$13*BC354,2))&lt;1,ROUND(BC354*(1+'Calc base'!Q355),2),MAX('Calc base'!L$12,ROUND('Calc base'!L$13*BC354,2))))</f>
        <v>0</v>
      </c>
      <c r="T355">
        <f>IF(BD354&lt;=0,0,IF(ROUND(BD354*(1+'Calc base'!R355),2)-MAX('Calc base'!M$12,ROUND('Calc base'!M$13*BD354,2))&lt;1,ROUND(BD354*(1+'Calc base'!R355),2),MAX('Calc base'!M$12,ROUND('Calc base'!M$13*BD354,2))))</f>
        <v>0</v>
      </c>
      <c r="U355">
        <f>IF(BE354&lt;=0,0,IF(ROUND(BE354*(1+'Calc base'!S355),2)-MAX('Calc base'!N$12,ROUND('Calc base'!N$13*BE354,2))&lt;1,ROUND(BE354*(1+'Calc base'!S355),2),MAX('Calc base'!N$12,ROUND('Calc base'!N$13*BE354,2))))</f>
        <v>0</v>
      </c>
      <c r="V355">
        <f>MAX(0,ROUND(AT354*(1+'Calc base'!H355),2)-J355-'Calc base'!T355)</f>
        <v>0</v>
      </c>
      <c r="W355">
        <f>MAX(0,ROUND(AU354*(1+'Calc base'!I355),2)-K355-'Calc base'!U355)</f>
        <v>0</v>
      </c>
      <c r="X355">
        <f>MAX(0,ROUND(AV354*(1+'Calc base'!J355),2)-L355-'Calc base'!V355)</f>
        <v>0</v>
      </c>
      <c r="Y355">
        <f>MAX(0,ROUND(AW354*(1+'Calc base'!K355),2)-M355-'Calc base'!W355)</f>
        <v>0</v>
      </c>
      <c r="Z355">
        <f>MAX(0,ROUND(AX354*(1+'Calc base'!L355),2)-N355-'Calc base'!X355)</f>
        <v>0</v>
      </c>
      <c r="AA355">
        <f>MAX(0,ROUND(AY354*(1+'Calc base'!M355),2)-O355-'Calc base'!Y355)</f>
        <v>0</v>
      </c>
      <c r="AB355">
        <f>MAX(0,ROUND(AZ354*(1+'Calc base'!N355),2)-P355-'Calc base'!Z355)</f>
        <v>0</v>
      </c>
      <c r="AC355">
        <f>MAX(0,ROUND(BA354*(1+'Calc base'!O355),2)-Q355-'Calc base'!AA355)</f>
        <v>0</v>
      </c>
      <c r="AD355">
        <f>MAX(0,ROUND(BB354*(1+'Calc base'!P355),2)-R355-'Calc base'!AB355)</f>
        <v>0</v>
      </c>
      <c r="AE355">
        <f>MAX(0,ROUND(BC354*(1+'Calc base'!Q355),2)-S355-'Calc base'!AC355)</f>
        <v>0</v>
      </c>
      <c r="AF355">
        <f>MAX(0,ROUND(BD354*(1+'Calc base'!R355),2)-T355-'Calc base'!AD355)</f>
        <v>0</v>
      </c>
      <c r="AG355">
        <f>MAX(0,ROUND(BE354*(1+'Calc base'!S355),2)-U355-'Calc base'!AE355)</f>
        <v>0</v>
      </c>
      <c r="AH355">
        <f>IF('Calc base'!C$14=0,0,MIN(V355,MAX(0,$E355-SUMIFS($V355:$AG355,'Calc base'!$C$19:$N$19,"&lt;"&amp;'Calc base'!C$19,'Calc base'!$C$14:$N$14,1))))</f>
        <v>0</v>
      </c>
      <c r="AI355">
        <f>IF('Calc base'!D$14=0,0,MIN(W355,MAX(0,$E355-SUMIFS($V355:$AG355,'Calc base'!$C$19:$N$19,"&lt;"&amp;'Calc base'!D$19,'Calc base'!$C$14:$N$14,1))))</f>
        <v>0</v>
      </c>
      <c r="AJ355">
        <f>IF('Calc base'!E$14=0,0,MIN(X355,MAX(0,$E355-SUMIFS($V355:$AG355,'Calc base'!$C$19:$N$19,"&lt;"&amp;'Calc base'!E$19,'Calc base'!$C$14:$N$14,1))))</f>
        <v>0</v>
      </c>
      <c r="AK355">
        <f>IF('Calc base'!F$14=0,0,MIN(Y355,MAX(0,$E355-SUMIFS($V355:$AG355,'Calc base'!$C$19:$N$19,"&lt;"&amp;'Calc base'!F$19,'Calc base'!$C$14:$N$14,1))))</f>
        <v>0</v>
      </c>
      <c r="AL355">
        <f>IF('Calc base'!G$14=0,0,MIN(Z355,MAX(0,$E355-SUMIFS($V355:$AG355,'Calc base'!$C$19:$N$19,"&lt;"&amp;'Calc base'!G$19,'Calc base'!$C$14:$N$14,1))))</f>
        <v>0</v>
      </c>
      <c r="AM355">
        <f>IF('Calc base'!H$14=0,0,MIN(AA355,MAX(0,$E355-SUMIFS($V355:$AG355,'Calc base'!$C$19:$N$19,"&lt;"&amp;'Calc base'!H$19,'Calc base'!$C$14:$N$14,1))))</f>
        <v>0</v>
      </c>
      <c r="AN355">
        <f>IF('Calc base'!I$14=0,0,MIN(AB355,MAX(0,$E355-SUMIFS($V355:$AG355,'Calc base'!$C$19:$N$19,"&lt;"&amp;'Calc base'!I$19,'Calc base'!$C$14:$N$14,1))))</f>
        <v>0</v>
      </c>
      <c r="AO355">
        <f>IF('Calc base'!J$14=0,0,MIN(AC355,MAX(0,$E355-SUMIFS($V355:$AG355,'Calc base'!$C$19:$N$19,"&lt;"&amp;'Calc base'!J$19,'Calc base'!$C$14:$N$14,1))))</f>
        <v>0</v>
      </c>
      <c r="AP355">
        <f>IF('Calc base'!K$14=0,0,MIN(AD355,MAX(0,$E355-SUMIFS($V355:$AG355,'Calc base'!$C$19:$N$19,"&lt;"&amp;'Calc base'!K$19,'Calc base'!$C$14:$N$14,1))))</f>
        <v>0</v>
      </c>
      <c r="AQ355">
        <f>IF('Calc base'!L$14=0,0,MIN(AE355,MAX(0,$E355-SUMIFS($V355:$AG355,'Calc base'!$C$19:$N$19,"&lt;"&amp;'Calc base'!L$19,'Calc base'!$C$14:$N$14,1))))</f>
        <v>0</v>
      </c>
      <c r="AR355">
        <f>IF('Calc base'!M$14=0,0,MIN(AF355,MAX(0,$E355-SUMIFS($V355:$AG355,'Calc base'!$C$19:$N$19,"&lt;"&amp;'Calc base'!M$19,'Calc base'!$C$14:$N$14,1))))</f>
        <v>0</v>
      </c>
      <c r="AS355">
        <f>IF('Calc base'!N$14=0,0,MIN(AG355,MAX(0,$E355-SUMIFS($V355:$AG355,'Calc base'!$C$19:$N$19,"&lt;"&amp;'Calc base'!N$19,'Calc base'!$C$14:$N$14,1))))</f>
        <v>0</v>
      </c>
      <c r="AT355">
        <f>V355-AH355</f>
        <v>0</v>
      </c>
      <c r="AU355">
        <f>W355-AI355</f>
        <v>0</v>
      </c>
      <c r="AV355">
        <f>X355-AJ355</f>
        <v>0</v>
      </c>
      <c r="AW355">
        <f>Y355-AK355</f>
        <v>0</v>
      </c>
      <c r="AX355">
        <f>Z355-AL355</f>
        <v>0</v>
      </c>
      <c r="AY355">
        <f>AA355-AM355</f>
        <v>0</v>
      </c>
      <c r="AZ355">
        <f>AB355-AN355</f>
        <v>0</v>
      </c>
      <c r="BA355">
        <f>AC355-AO355</f>
        <v>0</v>
      </c>
      <c r="BB355">
        <f>AD355-AP355</f>
        <v>0</v>
      </c>
      <c r="BC355">
        <f>AE355-AQ355</f>
        <v>0</v>
      </c>
      <c r="BD355">
        <f>AF355-AR355</f>
        <v>0</v>
      </c>
      <c r="BE355">
        <f>AG355-AS355</f>
        <v>0</v>
      </c>
    </row>
    <row r="356">
      <c r="A356" t="n">
        <v>326</v>
      </c>
      <c r="B356">
        <f>SUMPRODUCT(ROUND($AT355:$BE355*(1+'Calc base'!$H356:$S356),2))</f>
        <v>0</v>
      </c>
      <c r="C356">
        <f>SUM(J356:U356)</f>
        <v>0</v>
      </c>
      <c r="D356">
        <f>SUM(V356:AG356)</f>
        <v>0</v>
      </c>
      <c r="E356">
        <f>MAX(0,IF(Impostazioni!$B$7="No",'Calc base'!$C356-$C$31,'Calc base'!$C356-C356)+'Calc base'!$G356+'Calc base'!$F356-(B356-C356-D356))</f>
        <v>900</v>
      </c>
      <c r="F356">
        <f>SUM(AH356:AS356)</f>
        <v>0</v>
      </c>
      <c r="G356">
        <f>SUM(AT356:BE356)</f>
        <v>0</v>
      </c>
      <c r="H356">
        <f>B356-G355</f>
        <v>0</v>
      </c>
      <c r="I356">
        <f>B356-G356</f>
        <v>0</v>
      </c>
      <c r="J356">
        <f>IF(AT355&lt;=0,0,IF(ROUND(AT355*(1+'Calc base'!H356),2)-MAX('Calc base'!C$12,ROUND('Calc base'!C$13*AT355,2))&lt;1,ROUND(AT355*(1+'Calc base'!H356),2),MAX('Calc base'!C$12,ROUND('Calc base'!C$13*AT355,2))))</f>
        <v>0</v>
      </c>
      <c r="K356">
        <f>IF(AU355&lt;=0,0,IF(ROUND(AU355*(1+'Calc base'!I356),2)-MAX('Calc base'!D$12,ROUND('Calc base'!D$13*AU355,2))&lt;1,ROUND(AU355*(1+'Calc base'!I356),2),MAX('Calc base'!D$12,ROUND('Calc base'!D$13*AU355,2))))</f>
        <v>0</v>
      </c>
      <c r="L356">
        <f>IF(AV355&lt;=0,0,IF(ROUND(AV355*(1+'Calc base'!J356),2)-MAX('Calc base'!E$12,ROUND('Calc base'!E$13*AV355,2))&lt;1,ROUND(AV355*(1+'Calc base'!J356),2),MAX('Calc base'!E$12,ROUND('Calc base'!E$13*AV355,2))))</f>
        <v>0</v>
      </c>
      <c r="M356">
        <f>IF(AW355&lt;=0,0,IF(ROUND(AW355*(1+'Calc base'!K356),2)-MAX('Calc base'!F$12,ROUND('Calc base'!F$13*AW355,2))&lt;1,ROUND(AW355*(1+'Calc base'!K356),2),MAX('Calc base'!F$12,ROUND('Calc base'!F$13*AW355,2))))</f>
        <v>0</v>
      </c>
      <c r="N356">
        <f>IF(AX355&lt;=0,0,IF(ROUND(AX355*(1+'Calc base'!L356),2)-MAX('Calc base'!G$12,ROUND('Calc base'!G$13*AX355,2))&lt;1,ROUND(AX355*(1+'Calc base'!L356),2),MAX('Calc base'!G$12,ROUND('Calc base'!G$13*AX355,2))))</f>
        <v>0</v>
      </c>
      <c r="O356">
        <f>IF(AY355&lt;=0,0,IF(ROUND(AY355*(1+'Calc base'!M356),2)-MAX('Calc base'!H$12,ROUND('Calc base'!H$13*AY355,2))&lt;1,ROUND(AY355*(1+'Calc base'!M356),2),MAX('Calc base'!H$12,ROUND('Calc base'!H$13*AY355,2))))</f>
        <v>0</v>
      </c>
      <c r="P356">
        <f>IF(AZ355&lt;=0,0,IF(ROUND(AZ355*(1+'Calc base'!N356),2)-MAX('Calc base'!I$12,ROUND('Calc base'!I$13*AZ355,2))&lt;1,ROUND(AZ355*(1+'Calc base'!N356),2),MAX('Calc base'!I$12,ROUND('Calc base'!I$13*AZ355,2))))</f>
        <v>0</v>
      </c>
      <c r="Q356">
        <f>IF(BA355&lt;=0,0,IF(ROUND(BA355*(1+'Calc base'!O356),2)-MAX('Calc base'!J$12,ROUND('Calc base'!J$13*BA355,2))&lt;1,ROUND(BA355*(1+'Calc base'!O356),2),MAX('Calc base'!J$12,ROUND('Calc base'!J$13*BA355,2))))</f>
        <v>0</v>
      </c>
      <c r="R356">
        <f>IF(BB355&lt;=0,0,IF(ROUND(BB355*(1+'Calc base'!P356),2)-MAX('Calc base'!K$12,ROUND('Calc base'!K$13*BB355,2))&lt;1,ROUND(BB355*(1+'Calc base'!P356),2),MAX('Calc base'!K$12,ROUND('Calc base'!K$13*BB355,2))))</f>
        <v>0</v>
      </c>
      <c r="S356">
        <f>IF(BC355&lt;=0,0,IF(ROUND(BC355*(1+'Calc base'!Q356),2)-MAX('Calc base'!L$12,ROUND('Calc base'!L$13*BC355,2))&lt;1,ROUND(BC355*(1+'Calc base'!Q356),2),MAX('Calc base'!L$12,ROUND('Calc base'!L$13*BC355,2))))</f>
        <v>0</v>
      </c>
      <c r="T356">
        <f>IF(BD355&lt;=0,0,IF(ROUND(BD355*(1+'Calc base'!R356),2)-MAX('Calc base'!M$12,ROUND('Calc base'!M$13*BD355,2))&lt;1,ROUND(BD355*(1+'Calc base'!R356),2),MAX('Calc base'!M$12,ROUND('Calc base'!M$13*BD355,2))))</f>
        <v>0</v>
      </c>
      <c r="U356">
        <f>IF(BE355&lt;=0,0,IF(ROUND(BE355*(1+'Calc base'!S356),2)-MAX('Calc base'!N$12,ROUND('Calc base'!N$13*BE355,2))&lt;1,ROUND(BE355*(1+'Calc base'!S356),2),MAX('Calc base'!N$12,ROUND('Calc base'!N$13*BE355,2))))</f>
        <v>0</v>
      </c>
      <c r="V356">
        <f>MAX(0,ROUND(AT355*(1+'Calc base'!H356),2)-J356-'Calc base'!T356)</f>
        <v>0</v>
      </c>
      <c r="W356">
        <f>MAX(0,ROUND(AU355*(1+'Calc base'!I356),2)-K356-'Calc base'!U356)</f>
        <v>0</v>
      </c>
      <c r="X356">
        <f>MAX(0,ROUND(AV355*(1+'Calc base'!J356),2)-L356-'Calc base'!V356)</f>
        <v>0</v>
      </c>
      <c r="Y356">
        <f>MAX(0,ROUND(AW355*(1+'Calc base'!K356),2)-M356-'Calc base'!W356)</f>
        <v>0</v>
      </c>
      <c r="Z356">
        <f>MAX(0,ROUND(AX355*(1+'Calc base'!L356),2)-N356-'Calc base'!X356)</f>
        <v>0</v>
      </c>
      <c r="AA356">
        <f>MAX(0,ROUND(AY355*(1+'Calc base'!M356),2)-O356-'Calc base'!Y356)</f>
        <v>0</v>
      </c>
      <c r="AB356">
        <f>MAX(0,ROUND(AZ355*(1+'Calc base'!N356),2)-P356-'Calc base'!Z356)</f>
        <v>0</v>
      </c>
      <c r="AC356">
        <f>MAX(0,ROUND(BA355*(1+'Calc base'!O356),2)-Q356-'Calc base'!AA356)</f>
        <v>0</v>
      </c>
      <c r="AD356">
        <f>MAX(0,ROUND(BB355*(1+'Calc base'!P356),2)-R356-'Calc base'!AB356)</f>
        <v>0</v>
      </c>
      <c r="AE356">
        <f>MAX(0,ROUND(BC355*(1+'Calc base'!Q356),2)-S356-'Calc base'!AC356)</f>
        <v>0</v>
      </c>
      <c r="AF356">
        <f>MAX(0,ROUND(BD355*(1+'Calc base'!R356),2)-T356-'Calc base'!AD356)</f>
        <v>0</v>
      </c>
      <c r="AG356">
        <f>MAX(0,ROUND(BE355*(1+'Calc base'!S356),2)-U356-'Calc base'!AE356)</f>
        <v>0</v>
      </c>
      <c r="AH356">
        <f>IF('Calc base'!C$14=0,0,MIN(V356,MAX(0,$E356-SUMIFS($V356:$AG356,'Calc base'!$C$19:$N$19,"&lt;"&amp;'Calc base'!C$19,'Calc base'!$C$14:$N$14,1))))</f>
        <v>0</v>
      </c>
      <c r="AI356">
        <f>IF('Calc base'!D$14=0,0,MIN(W356,MAX(0,$E356-SUMIFS($V356:$AG356,'Calc base'!$C$19:$N$19,"&lt;"&amp;'Calc base'!D$19,'Calc base'!$C$14:$N$14,1))))</f>
        <v>0</v>
      </c>
      <c r="AJ356">
        <f>IF('Calc base'!E$14=0,0,MIN(X356,MAX(0,$E356-SUMIFS($V356:$AG356,'Calc base'!$C$19:$N$19,"&lt;"&amp;'Calc base'!E$19,'Calc base'!$C$14:$N$14,1))))</f>
        <v>0</v>
      </c>
      <c r="AK356">
        <f>IF('Calc base'!F$14=0,0,MIN(Y356,MAX(0,$E356-SUMIFS($V356:$AG356,'Calc base'!$C$19:$N$19,"&lt;"&amp;'Calc base'!F$19,'Calc base'!$C$14:$N$14,1))))</f>
        <v>0</v>
      </c>
      <c r="AL356">
        <f>IF('Calc base'!G$14=0,0,MIN(Z356,MAX(0,$E356-SUMIFS($V356:$AG356,'Calc base'!$C$19:$N$19,"&lt;"&amp;'Calc base'!G$19,'Calc base'!$C$14:$N$14,1))))</f>
        <v>0</v>
      </c>
      <c r="AM356">
        <f>IF('Calc base'!H$14=0,0,MIN(AA356,MAX(0,$E356-SUMIFS($V356:$AG356,'Calc base'!$C$19:$N$19,"&lt;"&amp;'Calc base'!H$19,'Calc base'!$C$14:$N$14,1))))</f>
        <v>0</v>
      </c>
      <c r="AN356">
        <f>IF('Calc base'!I$14=0,0,MIN(AB356,MAX(0,$E356-SUMIFS($V356:$AG356,'Calc base'!$C$19:$N$19,"&lt;"&amp;'Calc base'!I$19,'Calc base'!$C$14:$N$14,1))))</f>
        <v>0</v>
      </c>
      <c r="AO356">
        <f>IF('Calc base'!J$14=0,0,MIN(AC356,MAX(0,$E356-SUMIFS($V356:$AG356,'Calc base'!$C$19:$N$19,"&lt;"&amp;'Calc base'!J$19,'Calc base'!$C$14:$N$14,1))))</f>
        <v>0</v>
      </c>
      <c r="AP356">
        <f>IF('Calc base'!K$14=0,0,MIN(AD356,MAX(0,$E356-SUMIFS($V356:$AG356,'Calc base'!$C$19:$N$19,"&lt;"&amp;'Calc base'!K$19,'Calc base'!$C$14:$N$14,1))))</f>
        <v>0</v>
      </c>
      <c r="AQ356">
        <f>IF('Calc base'!L$14=0,0,MIN(AE356,MAX(0,$E356-SUMIFS($V356:$AG356,'Calc base'!$C$19:$N$19,"&lt;"&amp;'Calc base'!L$19,'Calc base'!$C$14:$N$14,1))))</f>
        <v>0</v>
      </c>
      <c r="AR356">
        <f>IF('Calc base'!M$14=0,0,MIN(AF356,MAX(0,$E356-SUMIFS($V356:$AG356,'Calc base'!$C$19:$N$19,"&lt;"&amp;'Calc base'!M$19,'Calc base'!$C$14:$N$14,1))))</f>
        <v>0</v>
      </c>
      <c r="AS356">
        <f>IF('Calc base'!N$14=0,0,MIN(AG356,MAX(0,$E356-SUMIFS($V356:$AG356,'Calc base'!$C$19:$N$19,"&lt;"&amp;'Calc base'!N$19,'Calc base'!$C$14:$N$14,1))))</f>
        <v>0</v>
      </c>
      <c r="AT356">
        <f>V356-AH356</f>
        <v>0</v>
      </c>
      <c r="AU356">
        <f>W356-AI356</f>
        <v>0</v>
      </c>
      <c r="AV356">
        <f>X356-AJ356</f>
        <v>0</v>
      </c>
      <c r="AW356">
        <f>Y356-AK356</f>
        <v>0</v>
      </c>
      <c r="AX356">
        <f>Z356-AL356</f>
        <v>0</v>
      </c>
      <c r="AY356">
        <f>AA356-AM356</f>
        <v>0</v>
      </c>
      <c r="AZ356">
        <f>AB356-AN356</f>
        <v>0</v>
      </c>
      <c r="BA356">
        <f>AC356-AO356</f>
        <v>0</v>
      </c>
      <c r="BB356">
        <f>AD356-AP356</f>
        <v>0</v>
      </c>
      <c r="BC356">
        <f>AE356-AQ356</f>
        <v>0</v>
      </c>
      <c r="BD356">
        <f>AF356-AR356</f>
        <v>0</v>
      </c>
      <c r="BE356">
        <f>AG356-AS356</f>
        <v>0</v>
      </c>
    </row>
    <row r="357">
      <c r="A357" t="n">
        <v>327</v>
      </c>
      <c r="B357">
        <f>SUMPRODUCT(ROUND($AT356:$BE356*(1+'Calc base'!$H357:$S357),2))</f>
        <v>0</v>
      </c>
      <c r="C357">
        <f>SUM(J357:U357)</f>
        <v>0</v>
      </c>
      <c r="D357">
        <f>SUM(V357:AG357)</f>
        <v>0</v>
      </c>
      <c r="E357">
        <f>MAX(0,IF(Impostazioni!$B$7="No",'Calc base'!$C357-$C$31,'Calc base'!$C357-C357)+'Calc base'!$G357+'Calc base'!$F357-(B357-C357-D357))</f>
        <v>900</v>
      </c>
      <c r="F357">
        <f>SUM(AH357:AS357)</f>
        <v>0</v>
      </c>
      <c r="G357">
        <f>SUM(AT357:BE357)</f>
        <v>0</v>
      </c>
      <c r="H357">
        <f>B357-G356</f>
        <v>0</v>
      </c>
      <c r="I357">
        <f>B357-G357</f>
        <v>0</v>
      </c>
      <c r="J357">
        <f>IF(AT356&lt;=0,0,IF(ROUND(AT356*(1+'Calc base'!H357),2)-MAX('Calc base'!C$12,ROUND('Calc base'!C$13*AT356,2))&lt;1,ROUND(AT356*(1+'Calc base'!H357),2),MAX('Calc base'!C$12,ROUND('Calc base'!C$13*AT356,2))))</f>
        <v>0</v>
      </c>
      <c r="K357">
        <f>IF(AU356&lt;=0,0,IF(ROUND(AU356*(1+'Calc base'!I357),2)-MAX('Calc base'!D$12,ROUND('Calc base'!D$13*AU356,2))&lt;1,ROUND(AU356*(1+'Calc base'!I357),2),MAX('Calc base'!D$12,ROUND('Calc base'!D$13*AU356,2))))</f>
        <v>0</v>
      </c>
      <c r="L357">
        <f>IF(AV356&lt;=0,0,IF(ROUND(AV356*(1+'Calc base'!J357),2)-MAX('Calc base'!E$12,ROUND('Calc base'!E$13*AV356,2))&lt;1,ROUND(AV356*(1+'Calc base'!J357),2),MAX('Calc base'!E$12,ROUND('Calc base'!E$13*AV356,2))))</f>
        <v>0</v>
      </c>
      <c r="M357">
        <f>IF(AW356&lt;=0,0,IF(ROUND(AW356*(1+'Calc base'!K357),2)-MAX('Calc base'!F$12,ROUND('Calc base'!F$13*AW356,2))&lt;1,ROUND(AW356*(1+'Calc base'!K357),2),MAX('Calc base'!F$12,ROUND('Calc base'!F$13*AW356,2))))</f>
        <v>0</v>
      </c>
      <c r="N357">
        <f>IF(AX356&lt;=0,0,IF(ROUND(AX356*(1+'Calc base'!L357),2)-MAX('Calc base'!G$12,ROUND('Calc base'!G$13*AX356,2))&lt;1,ROUND(AX356*(1+'Calc base'!L357),2),MAX('Calc base'!G$12,ROUND('Calc base'!G$13*AX356,2))))</f>
        <v>0</v>
      </c>
      <c r="O357">
        <f>IF(AY356&lt;=0,0,IF(ROUND(AY356*(1+'Calc base'!M357),2)-MAX('Calc base'!H$12,ROUND('Calc base'!H$13*AY356,2))&lt;1,ROUND(AY356*(1+'Calc base'!M357),2),MAX('Calc base'!H$12,ROUND('Calc base'!H$13*AY356,2))))</f>
        <v>0</v>
      </c>
      <c r="P357">
        <f>IF(AZ356&lt;=0,0,IF(ROUND(AZ356*(1+'Calc base'!N357),2)-MAX('Calc base'!I$12,ROUND('Calc base'!I$13*AZ356,2))&lt;1,ROUND(AZ356*(1+'Calc base'!N357),2),MAX('Calc base'!I$12,ROUND('Calc base'!I$13*AZ356,2))))</f>
        <v>0</v>
      </c>
      <c r="Q357">
        <f>IF(BA356&lt;=0,0,IF(ROUND(BA356*(1+'Calc base'!O357),2)-MAX('Calc base'!J$12,ROUND('Calc base'!J$13*BA356,2))&lt;1,ROUND(BA356*(1+'Calc base'!O357),2),MAX('Calc base'!J$12,ROUND('Calc base'!J$13*BA356,2))))</f>
        <v>0</v>
      </c>
      <c r="R357">
        <f>IF(BB356&lt;=0,0,IF(ROUND(BB356*(1+'Calc base'!P357),2)-MAX('Calc base'!K$12,ROUND('Calc base'!K$13*BB356,2))&lt;1,ROUND(BB356*(1+'Calc base'!P357),2),MAX('Calc base'!K$12,ROUND('Calc base'!K$13*BB356,2))))</f>
        <v>0</v>
      </c>
      <c r="S357">
        <f>IF(BC356&lt;=0,0,IF(ROUND(BC356*(1+'Calc base'!Q357),2)-MAX('Calc base'!L$12,ROUND('Calc base'!L$13*BC356,2))&lt;1,ROUND(BC356*(1+'Calc base'!Q357),2),MAX('Calc base'!L$12,ROUND('Calc base'!L$13*BC356,2))))</f>
        <v>0</v>
      </c>
      <c r="T357">
        <f>IF(BD356&lt;=0,0,IF(ROUND(BD356*(1+'Calc base'!R357),2)-MAX('Calc base'!M$12,ROUND('Calc base'!M$13*BD356,2))&lt;1,ROUND(BD356*(1+'Calc base'!R357),2),MAX('Calc base'!M$12,ROUND('Calc base'!M$13*BD356,2))))</f>
        <v>0</v>
      </c>
      <c r="U357">
        <f>IF(BE356&lt;=0,0,IF(ROUND(BE356*(1+'Calc base'!S357),2)-MAX('Calc base'!N$12,ROUND('Calc base'!N$13*BE356,2))&lt;1,ROUND(BE356*(1+'Calc base'!S357),2),MAX('Calc base'!N$12,ROUND('Calc base'!N$13*BE356,2))))</f>
        <v>0</v>
      </c>
      <c r="V357">
        <f>MAX(0,ROUND(AT356*(1+'Calc base'!H357),2)-J357-'Calc base'!T357)</f>
        <v>0</v>
      </c>
      <c r="W357">
        <f>MAX(0,ROUND(AU356*(1+'Calc base'!I357),2)-K357-'Calc base'!U357)</f>
        <v>0</v>
      </c>
      <c r="X357">
        <f>MAX(0,ROUND(AV356*(1+'Calc base'!J357),2)-L357-'Calc base'!V357)</f>
        <v>0</v>
      </c>
      <c r="Y357">
        <f>MAX(0,ROUND(AW356*(1+'Calc base'!K357),2)-M357-'Calc base'!W357)</f>
        <v>0</v>
      </c>
      <c r="Z357">
        <f>MAX(0,ROUND(AX356*(1+'Calc base'!L357),2)-N357-'Calc base'!X357)</f>
        <v>0</v>
      </c>
      <c r="AA357">
        <f>MAX(0,ROUND(AY356*(1+'Calc base'!M357),2)-O357-'Calc base'!Y357)</f>
        <v>0</v>
      </c>
      <c r="AB357">
        <f>MAX(0,ROUND(AZ356*(1+'Calc base'!N357),2)-P357-'Calc base'!Z357)</f>
        <v>0</v>
      </c>
      <c r="AC357">
        <f>MAX(0,ROUND(BA356*(1+'Calc base'!O357),2)-Q357-'Calc base'!AA357)</f>
        <v>0</v>
      </c>
      <c r="AD357">
        <f>MAX(0,ROUND(BB356*(1+'Calc base'!P357),2)-R357-'Calc base'!AB357)</f>
        <v>0</v>
      </c>
      <c r="AE357">
        <f>MAX(0,ROUND(BC356*(1+'Calc base'!Q357),2)-S357-'Calc base'!AC357)</f>
        <v>0</v>
      </c>
      <c r="AF357">
        <f>MAX(0,ROUND(BD356*(1+'Calc base'!R357),2)-T357-'Calc base'!AD357)</f>
        <v>0</v>
      </c>
      <c r="AG357">
        <f>MAX(0,ROUND(BE356*(1+'Calc base'!S357),2)-U357-'Calc base'!AE357)</f>
        <v>0</v>
      </c>
      <c r="AH357">
        <f>IF('Calc base'!C$14=0,0,MIN(V357,MAX(0,$E357-SUMIFS($V357:$AG357,'Calc base'!$C$19:$N$19,"&lt;"&amp;'Calc base'!C$19,'Calc base'!$C$14:$N$14,1))))</f>
        <v>0</v>
      </c>
      <c r="AI357">
        <f>IF('Calc base'!D$14=0,0,MIN(W357,MAX(0,$E357-SUMIFS($V357:$AG357,'Calc base'!$C$19:$N$19,"&lt;"&amp;'Calc base'!D$19,'Calc base'!$C$14:$N$14,1))))</f>
        <v>0</v>
      </c>
      <c r="AJ357">
        <f>IF('Calc base'!E$14=0,0,MIN(X357,MAX(0,$E357-SUMIFS($V357:$AG357,'Calc base'!$C$19:$N$19,"&lt;"&amp;'Calc base'!E$19,'Calc base'!$C$14:$N$14,1))))</f>
        <v>0</v>
      </c>
      <c r="AK357">
        <f>IF('Calc base'!F$14=0,0,MIN(Y357,MAX(0,$E357-SUMIFS($V357:$AG357,'Calc base'!$C$19:$N$19,"&lt;"&amp;'Calc base'!F$19,'Calc base'!$C$14:$N$14,1))))</f>
        <v>0</v>
      </c>
      <c r="AL357">
        <f>IF('Calc base'!G$14=0,0,MIN(Z357,MAX(0,$E357-SUMIFS($V357:$AG357,'Calc base'!$C$19:$N$19,"&lt;"&amp;'Calc base'!G$19,'Calc base'!$C$14:$N$14,1))))</f>
        <v>0</v>
      </c>
      <c r="AM357">
        <f>IF('Calc base'!H$14=0,0,MIN(AA357,MAX(0,$E357-SUMIFS($V357:$AG357,'Calc base'!$C$19:$N$19,"&lt;"&amp;'Calc base'!H$19,'Calc base'!$C$14:$N$14,1))))</f>
        <v>0</v>
      </c>
      <c r="AN357">
        <f>IF('Calc base'!I$14=0,0,MIN(AB357,MAX(0,$E357-SUMIFS($V357:$AG357,'Calc base'!$C$19:$N$19,"&lt;"&amp;'Calc base'!I$19,'Calc base'!$C$14:$N$14,1))))</f>
        <v>0</v>
      </c>
      <c r="AO357">
        <f>IF('Calc base'!J$14=0,0,MIN(AC357,MAX(0,$E357-SUMIFS($V357:$AG357,'Calc base'!$C$19:$N$19,"&lt;"&amp;'Calc base'!J$19,'Calc base'!$C$14:$N$14,1))))</f>
        <v>0</v>
      </c>
      <c r="AP357">
        <f>IF('Calc base'!K$14=0,0,MIN(AD357,MAX(0,$E357-SUMIFS($V357:$AG357,'Calc base'!$C$19:$N$19,"&lt;"&amp;'Calc base'!K$19,'Calc base'!$C$14:$N$14,1))))</f>
        <v>0</v>
      </c>
      <c r="AQ357">
        <f>IF('Calc base'!L$14=0,0,MIN(AE357,MAX(0,$E357-SUMIFS($V357:$AG357,'Calc base'!$C$19:$N$19,"&lt;"&amp;'Calc base'!L$19,'Calc base'!$C$14:$N$14,1))))</f>
        <v>0</v>
      </c>
      <c r="AR357">
        <f>IF('Calc base'!M$14=0,0,MIN(AF357,MAX(0,$E357-SUMIFS($V357:$AG357,'Calc base'!$C$19:$N$19,"&lt;"&amp;'Calc base'!M$19,'Calc base'!$C$14:$N$14,1))))</f>
        <v>0</v>
      </c>
      <c r="AS357">
        <f>IF('Calc base'!N$14=0,0,MIN(AG357,MAX(0,$E357-SUMIFS($V357:$AG357,'Calc base'!$C$19:$N$19,"&lt;"&amp;'Calc base'!N$19,'Calc base'!$C$14:$N$14,1))))</f>
        <v>0</v>
      </c>
      <c r="AT357">
        <f>V357-AH357</f>
        <v>0</v>
      </c>
      <c r="AU357">
        <f>W357-AI357</f>
        <v>0</v>
      </c>
      <c r="AV357">
        <f>X357-AJ357</f>
        <v>0</v>
      </c>
      <c r="AW357">
        <f>Y357-AK357</f>
        <v>0</v>
      </c>
      <c r="AX357">
        <f>Z357-AL357</f>
        <v>0</v>
      </c>
      <c r="AY357">
        <f>AA357-AM357</f>
        <v>0</v>
      </c>
      <c r="AZ357">
        <f>AB357-AN357</f>
        <v>0</v>
      </c>
      <c r="BA357">
        <f>AC357-AO357</f>
        <v>0</v>
      </c>
      <c r="BB357">
        <f>AD357-AP357</f>
        <v>0</v>
      </c>
      <c r="BC357">
        <f>AE357-AQ357</f>
        <v>0</v>
      </c>
      <c r="BD357">
        <f>AF357-AR357</f>
        <v>0</v>
      </c>
      <c r="BE357">
        <f>AG357-AS357</f>
        <v>0</v>
      </c>
    </row>
    <row r="358">
      <c r="A358" t="n">
        <v>328</v>
      </c>
      <c r="B358">
        <f>SUMPRODUCT(ROUND($AT357:$BE357*(1+'Calc base'!$H358:$S358),2))</f>
        <v>0</v>
      </c>
      <c r="C358">
        <f>SUM(J358:U358)</f>
        <v>0</v>
      </c>
      <c r="D358">
        <f>SUM(V358:AG358)</f>
        <v>0</v>
      </c>
      <c r="E358">
        <f>MAX(0,IF(Impostazioni!$B$7="No",'Calc base'!$C358-$C$31,'Calc base'!$C358-C358)+'Calc base'!$G358+'Calc base'!$F358-(B358-C358-D358))</f>
        <v>900</v>
      </c>
      <c r="F358">
        <f>SUM(AH358:AS358)</f>
        <v>0</v>
      </c>
      <c r="G358">
        <f>SUM(AT358:BE358)</f>
        <v>0</v>
      </c>
      <c r="H358">
        <f>B358-G357</f>
        <v>0</v>
      </c>
      <c r="I358">
        <f>B358-G358</f>
        <v>0</v>
      </c>
      <c r="J358">
        <f>IF(AT357&lt;=0,0,IF(ROUND(AT357*(1+'Calc base'!H358),2)-MAX('Calc base'!C$12,ROUND('Calc base'!C$13*AT357,2))&lt;1,ROUND(AT357*(1+'Calc base'!H358),2),MAX('Calc base'!C$12,ROUND('Calc base'!C$13*AT357,2))))</f>
        <v>0</v>
      </c>
      <c r="K358">
        <f>IF(AU357&lt;=0,0,IF(ROUND(AU357*(1+'Calc base'!I358),2)-MAX('Calc base'!D$12,ROUND('Calc base'!D$13*AU357,2))&lt;1,ROUND(AU357*(1+'Calc base'!I358),2),MAX('Calc base'!D$12,ROUND('Calc base'!D$13*AU357,2))))</f>
        <v>0</v>
      </c>
      <c r="L358">
        <f>IF(AV357&lt;=0,0,IF(ROUND(AV357*(1+'Calc base'!J358),2)-MAX('Calc base'!E$12,ROUND('Calc base'!E$13*AV357,2))&lt;1,ROUND(AV357*(1+'Calc base'!J358),2),MAX('Calc base'!E$12,ROUND('Calc base'!E$13*AV357,2))))</f>
        <v>0</v>
      </c>
      <c r="M358">
        <f>IF(AW357&lt;=0,0,IF(ROUND(AW357*(1+'Calc base'!K358),2)-MAX('Calc base'!F$12,ROUND('Calc base'!F$13*AW357,2))&lt;1,ROUND(AW357*(1+'Calc base'!K358),2),MAX('Calc base'!F$12,ROUND('Calc base'!F$13*AW357,2))))</f>
        <v>0</v>
      </c>
      <c r="N358">
        <f>IF(AX357&lt;=0,0,IF(ROUND(AX357*(1+'Calc base'!L358),2)-MAX('Calc base'!G$12,ROUND('Calc base'!G$13*AX357,2))&lt;1,ROUND(AX357*(1+'Calc base'!L358),2),MAX('Calc base'!G$12,ROUND('Calc base'!G$13*AX357,2))))</f>
        <v>0</v>
      </c>
      <c r="O358">
        <f>IF(AY357&lt;=0,0,IF(ROUND(AY357*(1+'Calc base'!M358),2)-MAX('Calc base'!H$12,ROUND('Calc base'!H$13*AY357,2))&lt;1,ROUND(AY357*(1+'Calc base'!M358),2),MAX('Calc base'!H$12,ROUND('Calc base'!H$13*AY357,2))))</f>
        <v>0</v>
      </c>
      <c r="P358">
        <f>IF(AZ357&lt;=0,0,IF(ROUND(AZ357*(1+'Calc base'!N358),2)-MAX('Calc base'!I$12,ROUND('Calc base'!I$13*AZ357,2))&lt;1,ROUND(AZ357*(1+'Calc base'!N358),2),MAX('Calc base'!I$12,ROUND('Calc base'!I$13*AZ357,2))))</f>
        <v>0</v>
      </c>
      <c r="Q358">
        <f>IF(BA357&lt;=0,0,IF(ROUND(BA357*(1+'Calc base'!O358),2)-MAX('Calc base'!J$12,ROUND('Calc base'!J$13*BA357,2))&lt;1,ROUND(BA357*(1+'Calc base'!O358),2),MAX('Calc base'!J$12,ROUND('Calc base'!J$13*BA357,2))))</f>
        <v>0</v>
      </c>
      <c r="R358">
        <f>IF(BB357&lt;=0,0,IF(ROUND(BB357*(1+'Calc base'!P358),2)-MAX('Calc base'!K$12,ROUND('Calc base'!K$13*BB357,2))&lt;1,ROUND(BB357*(1+'Calc base'!P358),2),MAX('Calc base'!K$12,ROUND('Calc base'!K$13*BB357,2))))</f>
        <v>0</v>
      </c>
      <c r="S358">
        <f>IF(BC357&lt;=0,0,IF(ROUND(BC357*(1+'Calc base'!Q358),2)-MAX('Calc base'!L$12,ROUND('Calc base'!L$13*BC357,2))&lt;1,ROUND(BC357*(1+'Calc base'!Q358),2),MAX('Calc base'!L$12,ROUND('Calc base'!L$13*BC357,2))))</f>
        <v>0</v>
      </c>
      <c r="T358">
        <f>IF(BD357&lt;=0,0,IF(ROUND(BD357*(1+'Calc base'!R358),2)-MAX('Calc base'!M$12,ROUND('Calc base'!M$13*BD357,2))&lt;1,ROUND(BD357*(1+'Calc base'!R358),2),MAX('Calc base'!M$12,ROUND('Calc base'!M$13*BD357,2))))</f>
        <v>0</v>
      </c>
      <c r="U358">
        <f>IF(BE357&lt;=0,0,IF(ROUND(BE357*(1+'Calc base'!S358),2)-MAX('Calc base'!N$12,ROUND('Calc base'!N$13*BE357,2))&lt;1,ROUND(BE357*(1+'Calc base'!S358),2),MAX('Calc base'!N$12,ROUND('Calc base'!N$13*BE357,2))))</f>
        <v>0</v>
      </c>
      <c r="V358">
        <f>MAX(0,ROUND(AT357*(1+'Calc base'!H358),2)-J358-'Calc base'!T358)</f>
        <v>0</v>
      </c>
      <c r="W358">
        <f>MAX(0,ROUND(AU357*(1+'Calc base'!I358),2)-K358-'Calc base'!U358)</f>
        <v>0</v>
      </c>
      <c r="X358">
        <f>MAX(0,ROUND(AV357*(1+'Calc base'!J358),2)-L358-'Calc base'!V358)</f>
        <v>0</v>
      </c>
      <c r="Y358">
        <f>MAX(0,ROUND(AW357*(1+'Calc base'!K358),2)-M358-'Calc base'!W358)</f>
        <v>0</v>
      </c>
      <c r="Z358">
        <f>MAX(0,ROUND(AX357*(1+'Calc base'!L358),2)-N358-'Calc base'!X358)</f>
        <v>0</v>
      </c>
      <c r="AA358">
        <f>MAX(0,ROUND(AY357*(1+'Calc base'!M358),2)-O358-'Calc base'!Y358)</f>
        <v>0</v>
      </c>
      <c r="AB358">
        <f>MAX(0,ROUND(AZ357*(1+'Calc base'!N358),2)-P358-'Calc base'!Z358)</f>
        <v>0</v>
      </c>
      <c r="AC358">
        <f>MAX(0,ROUND(BA357*(1+'Calc base'!O358),2)-Q358-'Calc base'!AA358)</f>
        <v>0</v>
      </c>
      <c r="AD358">
        <f>MAX(0,ROUND(BB357*(1+'Calc base'!P358),2)-R358-'Calc base'!AB358)</f>
        <v>0</v>
      </c>
      <c r="AE358">
        <f>MAX(0,ROUND(BC357*(1+'Calc base'!Q358),2)-S358-'Calc base'!AC358)</f>
        <v>0</v>
      </c>
      <c r="AF358">
        <f>MAX(0,ROUND(BD357*(1+'Calc base'!R358),2)-T358-'Calc base'!AD358)</f>
        <v>0</v>
      </c>
      <c r="AG358">
        <f>MAX(0,ROUND(BE357*(1+'Calc base'!S358),2)-U358-'Calc base'!AE358)</f>
        <v>0</v>
      </c>
      <c r="AH358">
        <f>IF('Calc base'!C$14=0,0,MIN(V358,MAX(0,$E358-SUMIFS($V358:$AG358,'Calc base'!$C$19:$N$19,"&lt;"&amp;'Calc base'!C$19,'Calc base'!$C$14:$N$14,1))))</f>
        <v>0</v>
      </c>
      <c r="AI358">
        <f>IF('Calc base'!D$14=0,0,MIN(W358,MAX(0,$E358-SUMIFS($V358:$AG358,'Calc base'!$C$19:$N$19,"&lt;"&amp;'Calc base'!D$19,'Calc base'!$C$14:$N$14,1))))</f>
        <v>0</v>
      </c>
      <c r="AJ358">
        <f>IF('Calc base'!E$14=0,0,MIN(X358,MAX(0,$E358-SUMIFS($V358:$AG358,'Calc base'!$C$19:$N$19,"&lt;"&amp;'Calc base'!E$19,'Calc base'!$C$14:$N$14,1))))</f>
        <v>0</v>
      </c>
      <c r="AK358">
        <f>IF('Calc base'!F$14=0,0,MIN(Y358,MAX(0,$E358-SUMIFS($V358:$AG358,'Calc base'!$C$19:$N$19,"&lt;"&amp;'Calc base'!F$19,'Calc base'!$C$14:$N$14,1))))</f>
        <v>0</v>
      </c>
      <c r="AL358">
        <f>IF('Calc base'!G$14=0,0,MIN(Z358,MAX(0,$E358-SUMIFS($V358:$AG358,'Calc base'!$C$19:$N$19,"&lt;"&amp;'Calc base'!G$19,'Calc base'!$C$14:$N$14,1))))</f>
        <v>0</v>
      </c>
      <c r="AM358">
        <f>IF('Calc base'!H$14=0,0,MIN(AA358,MAX(0,$E358-SUMIFS($V358:$AG358,'Calc base'!$C$19:$N$19,"&lt;"&amp;'Calc base'!H$19,'Calc base'!$C$14:$N$14,1))))</f>
        <v>0</v>
      </c>
      <c r="AN358">
        <f>IF('Calc base'!I$14=0,0,MIN(AB358,MAX(0,$E358-SUMIFS($V358:$AG358,'Calc base'!$C$19:$N$19,"&lt;"&amp;'Calc base'!I$19,'Calc base'!$C$14:$N$14,1))))</f>
        <v>0</v>
      </c>
      <c r="AO358">
        <f>IF('Calc base'!J$14=0,0,MIN(AC358,MAX(0,$E358-SUMIFS($V358:$AG358,'Calc base'!$C$19:$N$19,"&lt;"&amp;'Calc base'!J$19,'Calc base'!$C$14:$N$14,1))))</f>
        <v>0</v>
      </c>
      <c r="AP358">
        <f>IF('Calc base'!K$14=0,0,MIN(AD358,MAX(0,$E358-SUMIFS($V358:$AG358,'Calc base'!$C$19:$N$19,"&lt;"&amp;'Calc base'!K$19,'Calc base'!$C$14:$N$14,1))))</f>
        <v>0</v>
      </c>
      <c r="AQ358">
        <f>IF('Calc base'!L$14=0,0,MIN(AE358,MAX(0,$E358-SUMIFS($V358:$AG358,'Calc base'!$C$19:$N$19,"&lt;"&amp;'Calc base'!L$19,'Calc base'!$C$14:$N$14,1))))</f>
        <v>0</v>
      </c>
      <c r="AR358">
        <f>IF('Calc base'!M$14=0,0,MIN(AF358,MAX(0,$E358-SUMIFS($V358:$AG358,'Calc base'!$C$19:$N$19,"&lt;"&amp;'Calc base'!M$19,'Calc base'!$C$14:$N$14,1))))</f>
        <v>0</v>
      </c>
      <c r="AS358">
        <f>IF('Calc base'!N$14=0,0,MIN(AG358,MAX(0,$E358-SUMIFS($V358:$AG358,'Calc base'!$C$19:$N$19,"&lt;"&amp;'Calc base'!N$19,'Calc base'!$C$14:$N$14,1))))</f>
        <v>0</v>
      </c>
      <c r="AT358">
        <f>V358-AH358</f>
        <v>0</v>
      </c>
      <c r="AU358">
        <f>W358-AI358</f>
        <v>0</v>
      </c>
      <c r="AV358">
        <f>X358-AJ358</f>
        <v>0</v>
      </c>
      <c r="AW358">
        <f>Y358-AK358</f>
        <v>0</v>
      </c>
      <c r="AX358">
        <f>Z358-AL358</f>
        <v>0</v>
      </c>
      <c r="AY358">
        <f>AA358-AM358</f>
        <v>0</v>
      </c>
      <c r="AZ358">
        <f>AB358-AN358</f>
        <v>0</v>
      </c>
      <c r="BA358">
        <f>AC358-AO358</f>
        <v>0</v>
      </c>
      <c r="BB358">
        <f>AD358-AP358</f>
        <v>0</v>
      </c>
      <c r="BC358">
        <f>AE358-AQ358</f>
        <v>0</v>
      </c>
      <c r="BD358">
        <f>AF358-AR358</f>
        <v>0</v>
      </c>
      <c r="BE358">
        <f>AG358-AS358</f>
        <v>0</v>
      </c>
    </row>
    <row r="359">
      <c r="A359" t="n">
        <v>329</v>
      </c>
      <c r="B359">
        <f>SUMPRODUCT(ROUND($AT358:$BE358*(1+'Calc base'!$H359:$S359),2))</f>
        <v>0</v>
      </c>
      <c r="C359">
        <f>SUM(J359:U359)</f>
        <v>0</v>
      </c>
      <c r="D359">
        <f>SUM(V359:AG359)</f>
        <v>0</v>
      </c>
      <c r="E359">
        <f>MAX(0,IF(Impostazioni!$B$7="No",'Calc base'!$C359-$C$31,'Calc base'!$C359-C359)+'Calc base'!$G359+'Calc base'!$F359-(B359-C359-D359))</f>
        <v>900</v>
      </c>
      <c r="F359">
        <f>SUM(AH359:AS359)</f>
        <v>0</v>
      </c>
      <c r="G359">
        <f>SUM(AT359:BE359)</f>
        <v>0</v>
      </c>
      <c r="H359">
        <f>B359-G358</f>
        <v>0</v>
      </c>
      <c r="I359">
        <f>B359-G359</f>
        <v>0</v>
      </c>
      <c r="J359">
        <f>IF(AT358&lt;=0,0,IF(ROUND(AT358*(1+'Calc base'!H359),2)-MAX('Calc base'!C$12,ROUND('Calc base'!C$13*AT358,2))&lt;1,ROUND(AT358*(1+'Calc base'!H359),2),MAX('Calc base'!C$12,ROUND('Calc base'!C$13*AT358,2))))</f>
        <v>0</v>
      </c>
      <c r="K359">
        <f>IF(AU358&lt;=0,0,IF(ROUND(AU358*(1+'Calc base'!I359),2)-MAX('Calc base'!D$12,ROUND('Calc base'!D$13*AU358,2))&lt;1,ROUND(AU358*(1+'Calc base'!I359),2),MAX('Calc base'!D$12,ROUND('Calc base'!D$13*AU358,2))))</f>
        <v>0</v>
      </c>
      <c r="L359">
        <f>IF(AV358&lt;=0,0,IF(ROUND(AV358*(1+'Calc base'!J359),2)-MAX('Calc base'!E$12,ROUND('Calc base'!E$13*AV358,2))&lt;1,ROUND(AV358*(1+'Calc base'!J359),2),MAX('Calc base'!E$12,ROUND('Calc base'!E$13*AV358,2))))</f>
        <v>0</v>
      </c>
      <c r="M359">
        <f>IF(AW358&lt;=0,0,IF(ROUND(AW358*(1+'Calc base'!K359),2)-MAX('Calc base'!F$12,ROUND('Calc base'!F$13*AW358,2))&lt;1,ROUND(AW358*(1+'Calc base'!K359),2),MAX('Calc base'!F$12,ROUND('Calc base'!F$13*AW358,2))))</f>
        <v>0</v>
      </c>
      <c r="N359">
        <f>IF(AX358&lt;=0,0,IF(ROUND(AX358*(1+'Calc base'!L359),2)-MAX('Calc base'!G$12,ROUND('Calc base'!G$13*AX358,2))&lt;1,ROUND(AX358*(1+'Calc base'!L359),2),MAX('Calc base'!G$12,ROUND('Calc base'!G$13*AX358,2))))</f>
        <v>0</v>
      </c>
      <c r="O359">
        <f>IF(AY358&lt;=0,0,IF(ROUND(AY358*(1+'Calc base'!M359),2)-MAX('Calc base'!H$12,ROUND('Calc base'!H$13*AY358,2))&lt;1,ROUND(AY358*(1+'Calc base'!M359),2),MAX('Calc base'!H$12,ROUND('Calc base'!H$13*AY358,2))))</f>
        <v>0</v>
      </c>
      <c r="P359">
        <f>IF(AZ358&lt;=0,0,IF(ROUND(AZ358*(1+'Calc base'!N359),2)-MAX('Calc base'!I$12,ROUND('Calc base'!I$13*AZ358,2))&lt;1,ROUND(AZ358*(1+'Calc base'!N359),2),MAX('Calc base'!I$12,ROUND('Calc base'!I$13*AZ358,2))))</f>
        <v>0</v>
      </c>
      <c r="Q359">
        <f>IF(BA358&lt;=0,0,IF(ROUND(BA358*(1+'Calc base'!O359),2)-MAX('Calc base'!J$12,ROUND('Calc base'!J$13*BA358,2))&lt;1,ROUND(BA358*(1+'Calc base'!O359),2),MAX('Calc base'!J$12,ROUND('Calc base'!J$13*BA358,2))))</f>
        <v>0</v>
      </c>
      <c r="R359">
        <f>IF(BB358&lt;=0,0,IF(ROUND(BB358*(1+'Calc base'!P359),2)-MAX('Calc base'!K$12,ROUND('Calc base'!K$13*BB358,2))&lt;1,ROUND(BB358*(1+'Calc base'!P359),2),MAX('Calc base'!K$12,ROUND('Calc base'!K$13*BB358,2))))</f>
        <v>0</v>
      </c>
      <c r="S359">
        <f>IF(BC358&lt;=0,0,IF(ROUND(BC358*(1+'Calc base'!Q359),2)-MAX('Calc base'!L$12,ROUND('Calc base'!L$13*BC358,2))&lt;1,ROUND(BC358*(1+'Calc base'!Q359),2),MAX('Calc base'!L$12,ROUND('Calc base'!L$13*BC358,2))))</f>
        <v>0</v>
      </c>
      <c r="T359">
        <f>IF(BD358&lt;=0,0,IF(ROUND(BD358*(1+'Calc base'!R359),2)-MAX('Calc base'!M$12,ROUND('Calc base'!M$13*BD358,2))&lt;1,ROUND(BD358*(1+'Calc base'!R359),2),MAX('Calc base'!M$12,ROUND('Calc base'!M$13*BD358,2))))</f>
        <v>0</v>
      </c>
      <c r="U359">
        <f>IF(BE358&lt;=0,0,IF(ROUND(BE358*(1+'Calc base'!S359),2)-MAX('Calc base'!N$12,ROUND('Calc base'!N$13*BE358,2))&lt;1,ROUND(BE358*(1+'Calc base'!S359),2),MAX('Calc base'!N$12,ROUND('Calc base'!N$13*BE358,2))))</f>
        <v>0</v>
      </c>
      <c r="V359">
        <f>MAX(0,ROUND(AT358*(1+'Calc base'!H359),2)-J359-'Calc base'!T359)</f>
        <v>0</v>
      </c>
      <c r="W359">
        <f>MAX(0,ROUND(AU358*(1+'Calc base'!I359),2)-K359-'Calc base'!U359)</f>
        <v>0</v>
      </c>
      <c r="X359">
        <f>MAX(0,ROUND(AV358*(1+'Calc base'!J359),2)-L359-'Calc base'!V359)</f>
        <v>0</v>
      </c>
      <c r="Y359">
        <f>MAX(0,ROUND(AW358*(1+'Calc base'!K359),2)-M359-'Calc base'!W359)</f>
        <v>0</v>
      </c>
      <c r="Z359">
        <f>MAX(0,ROUND(AX358*(1+'Calc base'!L359),2)-N359-'Calc base'!X359)</f>
        <v>0</v>
      </c>
      <c r="AA359">
        <f>MAX(0,ROUND(AY358*(1+'Calc base'!M359),2)-O359-'Calc base'!Y359)</f>
        <v>0</v>
      </c>
      <c r="AB359">
        <f>MAX(0,ROUND(AZ358*(1+'Calc base'!N359),2)-P359-'Calc base'!Z359)</f>
        <v>0</v>
      </c>
      <c r="AC359">
        <f>MAX(0,ROUND(BA358*(1+'Calc base'!O359),2)-Q359-'Calc base'!AA359)</f>
        <v>0</v>
      </c>
      <c r="AD359">
        <f>MAX(0,ROUND(BB358*(1+'Calc base'!P359),2)-R359-'Calc base'!AB359)</f>
        <v>0</v>
      </c>
      <c r="AE359">
        <f>MAX(0,ROUND(BC358*(1+'Calc base'!Q359),2)-S359-'Calc base'!AC359)</f>
        <v>0</v>
      </c>
      <c r="AF359">
        <f>MAX(0,ROUND(BD358*(1+'Calc base'!R359),2)-T359-'Calc base'!AD359)</f>
        <v>0</v>
      </c>
      <c r="AG359">
        <f>MAX(0,ROUND(BE358*(1+'Calc base'!S359),2)-U359-'Calc base'!AE359)</f>
        <v>0</v>
      </c>
      <c r="AH359">
        <f>IF('Calc base'!C$14=0,0,MIN(V359,MAX(0,$E359-SUMIFS($V359:$AG359,'Calc base'!$C$19:$N$19,"&lt;"&amp;'Calc base'!C$19,'Calc base'!$C$14:$N$14,1))))</f>
        <v>0</v>
      </c>
      <c r="AI359">
        <f>IF('Calc base'!D$14=0,0,MIN(W359,MAX(0,$E359-SUMIFS($V359:$AG359,'Calc base'!$C$19:$N$19,"&lt;"&amp;'Calc base'!D$19,'Calc base'!$C$14:$N$14,1))))</f>
        <v>0</v>
      </c>
      <c r="AJ359">
        <f>IF('Calc base'!E$14=0,0,MIN(X359,MAX(0,$E359-SUMIFS($V359:$AG359,'Calc base'!$C$19:$N$19,"&lt;"&amp;'Calc base'!E$19,'Calc base'!$C$14:$N$14,1))))</f>
        <v>0</v>
      </c>
      <c r="AK359">
        <f>IF('Calc base'!F$14=0,0,MIN(Y359,MAX(0,$E359-SUMIFS($V359:$AG359,'Calc base'!$C$19:$N$19,"&lt;"&amp;'Calc base'!F$19,'Calc base'!$C$14:$N$14,1))))</f>
        <v>0</v>
      </c>
      <c r="AL359">
        <f>IF('Calc base'!G$14=0,0,MIN(Z359,MAX(0,$E359-SUMIFS($V359:$AG359,'Calc base'!$C$19:$N$19,"&lt;"&amp;'Calc base'!G$19,'Calc base'!$C$14:$N$14,1))))</f>
        <v>0</v>
      </c>
      <c r="AM359">
        <f>IF('Calc base'!H$14=0,0,MIN(AA359,MAX(0,$E359-SUMIFS($V359:$AG359,'Calc base'!$C$19:$N$19,"&lt;"&amp;'Calc base'!H$19,'Calc base'!$C$14:$N$14,1))))</f>
        <v>0</v>
      </c>
      <c r="AN359">
        <f>IF('Calc base'!I$14=0,0,MIN(AB359,MAX(0,$E359-SUMIFS($V359:$AG359,'Calc base'!$C$19:$N$19,"&lt;"&amp;'Calc base'!I$19,'Calc base'!$C$14:$N$14,1))))</f>
        <v>0</v>
      </c>
      <c r="AO359">
        <f>IF('Calc base'!J$14=0,0,MIN(AC359,MAX(0,$E359-SUMIFS($V359:$AG359,'Calc base'!$C$19:$N$19,"&lt;"&amp;'Calc base'!J$19,'Calc base'!$C$14:$N$14,1))))</f>
        <v>0</v>
      </c>
      <c r="AP359">
        <f>IF('Calc base'!K$14=0,0,MIN(AD359,MAX(0,$E359-SUMIFS($V359:$AG359,'Calc base'!$C$19:$N$19,"&lt;"&amp;'Calc base'!K$19,'Calc base'!$C$14:$N$14,1))))</f>
        <v>0</v>
      </c>
      <c r="AQ359">
        <f>IF('Calc base'!L$14=0,0,MIN(AE359,MAX(0,$E359-SUMIFS($V359:$AG359,'Calc base'!$C$19:$N$19,"&lt;"&amp;'Calc base'!L$19,'Calc base'!$C$14:$N$14,1))))</f>
        <v>0</v>
      </c>
      <c r="AR359">
        <f>IF('Calc base'!M$14=0,0,MIN(AF359,MAX(0,$E359-SUMIFS($V359:$AG359,'Calc base'!$C$19:$N$19,"&lt;"&amp;'Calc base'!M$19,'Calc base'!$C$14:$N$14,1))))</f>
        <v>0</v>
      </c>
      <c r="AS359">
        <f>IF('Calc base'!N$14=0,0,MIN(AG359,MAX(0,$E359-SUMIFS($V359:$AG359,'Calc base'!$C$19:$N$19,"&lt;"&amp;'Calc base'!N$19,'Calc base'!$C$14:$N$14,1))))</f>
        <v>0</v>
      </c>
      <c r="AT359">
        <f>V359-AH359</f>
        <v>0</v>
      </c>
      <c r="AU359">
        <f>W359-AI359</f>
        <v>0</v>
      </c>
      <c r="AV359">
        <f>X359-AJ359</f>
        <v>0</v>
      </c>
      <c r="AW359">
        <f>Y359-AK359</f>
        <v>0</v>
      </c>
      <c r="AX359">
        <f>Z359-AL359</f>
        <v>0</v>
      </c>
      <c r="AY359">
        <f>AA359-AM359</f>
        <v>0</v>
      </c>
      <c r="AZ359">
        <f>AB359-AN359</f>
        <v>0</v>
      </c>
      <c r="BA359">
        <f>AC359-AO359</f>
        <v>0</v>
      </c>
      <c r="BB359">
        <f>AD359-AP359</f>
        <v>0</v>
      </c>
      <c r="BC359">
        <f>AE359-AQ359</f>
        <v>0</v>
      </c>
      <c r="BD359">
        <f>AF359-AR359</f>
        <v>0</v>
      </c>
      <c r="BE359">
        <f>AG359-AS359</f>
        <v>0</v>
      </c>
    </row>
    <row r="360">
      <c r="A360" t="n">
        <v>330</v>
      </c>
      <c r="B360">
        <f>SUMPRODUCT(ROUND($AT359:$BE359*(1+'Calc base'!$H360:$S360),2))</f>
        <v>0</v>
      </c>
      <c r="C360">
        <f>SUM(J360:U360)</f>
        <v>0</v>
      </c>
      <c r="D360">
        <f>SUM(V360:AG360)</f>
        <v>0</v>
      </c>
      <c r="E360">
        <f>MAX(0,IF(Impostazioni!$B$7="No",'Calc base'!$C360-$C$31,'Calc base'!$C360-C360)+'Calc base'!$G360+'Calc base'!$F360-(B360-C360-D360))</f>
        <v>900</v>
      </c>
      <c r="F360">
        <f>SUM(AH360:AS360)</f>
        <v>0</v>
      </c>
      <c r="G360">
        <f>SUM(AT360:BE360)</f>
        <v>0</v>
      </c>
      <c r="H360">
        <f>B360-G359</f>
        <v>0</v>
      </c>
      <c r="I360">
        <f>B360-G360</f>
        <v>0</v>
      </c>
      <c r="J360">
        <f>IF(AT359&lt;=0,0,IF(ROUND(AT359*(1+'Calc base'!H360),2)-MAX('Calc base'!C$12,ROUND('Calc base'!C$13*AT359,2))&lt;1,ROUND(AT359*(1+'Calc base'!H360),2),MAX('Calc base'!C$12,ROUND('Calc base'!C$13*AT359,2))))</f>
        <v>0</v>
      </c>
      <c r="K360">
        <f>IF(AU359&lt;=0,0,IF(ROUND(AU359*(1+'Calc base'!I360),2)-MAX('Calc base'!D$12,ROUND('Calc base'!D$13*AU359,2))&lt;1,ROUND(AU359*(1+'Calc base'!I360),2),MAX('Calc base'!D$12,ROUND('Calc base'!D$13*AU359,2))))</f>
        <v>0</v>
      </c>
      <c r="L360">
        <f>IF(AV359&lt;=0,0,IF(ROUND(AV359*(1+'Calc base'!J360),2)-MAX('Calc base'!E$12,ROUND('Calc base'!E$13*AV359,2))&lt;1,ROUND(AV359*(1+'Calc base'!J360),2),MAX('Calc base'!E$12,ROUND('Calc base'!E$13*AV359,2))))</f>
        <v>0</v>
      </c>
      <c r="M360">
        <f>IF(AW359&lt;=0,0,IF(ROUND(AW359*(1+'Calc base'!K360),2)-MAX('Calc base'!F$12,ROUND('Calc base'!F$13*AW359,2))&lt;1,ROUND(AW359*(1+'Calc base'!K360),2),MAX('Calc base'!F$12,ROUND('Calc base'!F$13*AW359,2))))</f>
        <v>0</v>
      </c>
      <c r="N360">
        <f>IF(AX359&lt;=0,0,IF(ROUND(AX359*(1+'Calc base'!L360),2)-MAX('Calc base'!G$12,ROUND('Calc base'!G$13*AX359,2))&lt;1,ROUND(AX359*(1+'Calc base'!L360),2),MAX('Calc base'!G$12,ROUND('Calc base'!G$13*AX359,2))))</f>
        <v>0</v>
      </c>
      <c r="O360">
        <f>IF(AY359&lt;=0,0,IF(ROUND(AY359*(1+'Calc base'!M360),2)-MAX('Calc base'!H$12,ROUND('Calc base'!H$13*AY359,2))&lt;1,ROUND(AY359*(1+'Calc base'!M360),2),MAX('Calc base'!H$12,ROUND('Calc base'!H$13*AY359,2))))</f>
        <v>0</v>
      </c>
      <c r="P360">
        <f>IF(AZ359&lt;=0,0,IF(ROUND(AZ359*(1+'Calc base'!N360),2)-MAX('Calc base'!I$12,ROUND('Calc base'!I$13*AZ359,2))&lt;1,ROUND(AZ359*(1+'Calc base'!N360),2),MAX('Calc base'!I$12,ROUND('Calc base'!I$13*AZ359,2))))</f>
        <v>0</v>
      </c>
      <c r="Q360">
        <f>IF(BA359&lt;=0,0,IF(ROUND(BA359*(1+'Calc base'!O360),2)-MAX('Calc base'!J$12,ROUND('Calc base'!J$13*BA359,2))&lt;1,ROUND(BA359*(1+'Calc base'!O360),2),MAX('Calc base'!J$12,ROUND('Calc base'!J$13*BA359,2))))</f>
        <v>0</v>
      </c>
      <c r="R360">
        <f>IF(BB359&lt;=0,0,IF(ROUND(BB359*(1+'Calc base'!P360),2)-MAX('Calc base'!K$12,ROUND('Calc base'!K$13*BB359,2))&lt;1,ROUND(BB359*(1+'Calc base'!P360),2),MAX('Calc base'!K$12,ROUND('Calc base'!K$13*BB359,2))))</f>
        <v>0</v>
      </c>
      <c r="S360">
        <f>IF(BC359&lt;=0,0,IF(ROUND(BC359*(1+'Calc base'!Q360),2)-MAX('Calc base'!L$12,ROUND('Calc base'!L$13*BC359,2))&lt;1,ROUND(BC359*(1+'Calc base'!Q360),2),MAX('Calc base'!L$12,ROUND('Calc base'!L$13*BC359,2))))</f>
        <v>0</v>
      </c>
      <c r="T360">
        <f>IF(BD359&lt;=0,0,IF(ROUND(BD359*(1+'Calc base'!R360),2)-MAX('Calc base'!M$12,ROUND('Calc base'!M$13*BD359,2))&lt;1,ROUND(BD359*(1+'Calc base'!R360),2),MAX('Calc base'!M$12,ROUND('Calc base'!M$13*BD359,2))))</f>
        <v>0</v>
      </c>
      <c r="U360">
        <f>IF(BE359&lt;=0,0,IF(ROUND(BE359*(1+'Calc base'!S360),2)-MAX('Calc base'!N$12,ROUND('Calc base'!N$13*BE359,2))&lt;1,ROUND(BE359*(1+'Calc base'!S360),2),MAX('Calc base'!N$12,ROUND('Calc base'!N$13*BE359,2))))</f>
        <v>0</v>
      </c>
      <c r="V360">
        <f>MAX(0,ROUND(AT359*(1+'Calc base'!H360),2)-J360-'Calc base'!T360)</f>
        <v>0</v>
      </c>
      <c r="W360">
        <f>MAX(0,ROUND(AU359*(1+'Calc base'!I360),2)-K360-'Calc base'!U360)</f>
        <v>0</v>
      </c>
      <c r="X360">
        <f>MAX(0,ROUND(AV359*(1+'Calc base'!J360),2)-L360-'Calc base'!V360)</f>
        <v>0</v>
      </c>
      <c r="Y360">
        <f>MAX(0,ROUND(AW359*(1+'Calc base'!K360),2)-M360-'Calc base'!W360)</f>
        <v>0</v>
      </c>
      <c r="Z360">
        <f>MAX(0,ROUND(AX359*(1+'Calc base'!L360),2)-N360-'Calc base'!X360)</f>
        <v>0</v>
      </c>
      <c r="AA360">
        <f>MAX(0,ROUND(AY359*(1+'Calc base'!M360),2)-O360-'Calc base'!Y360)</f>
        <v>0</v>
      </c>
      <c r="AB360">
        <f>MAX(0,ROUND(AZ359*(1+'Calc base'!N360),2)-P360-'Calc base'!Z360)</f>
        <v>0</v>
      </c>
      <c r="AC360">
        <f>MAX(0,ROUND(BA359*(1+'Calc base'!O360),2)-Q360-'Calc base'!AA360)</f>
        <v>0</v>
      </c>
      <c r="AD360">
        <f>MAX(0,ROUND(BB359*(1+'Calc base'!P360),2)-R360-'Calc base'!AB360)</f>
        <v>0</v>
      </c>
      <c r="AE360">
        <f>MAX(0,ROUND(BC359*(1+'Calc base'!Q360),2)-S360-'Calc base'!AC360)</f>
        <v>0</v>
      </c>
      <c r="AF360">
        <f>MAX(0,ROUND(BD359*(1+'Calc base'!R360),2)-T360-'Calc base'!AD360)</f>
        <v>0</v>
      </c>
      <c r="AG360">
        <f>MAX(0,ROUND(BE359*(1+'Calc base'!S360),2)-U360-'Calc base'!AE360)</f>
        <v>0</v>
      </c>
      <c r="AH360">
        <f>IF('Calc base'!C$14=0,0,MIN(V360,MAX(0,$E360-SUMIFS($V360:$AG360,'Calc base'!$C$19:$N$19,"&lt;"&amp;'Calc base'!C$19,'Calc base'!$C$14:$N$14,1))))</f>
        <v>0</v>
      </c>
      <c r="AI360">
        <f>IF('Calc base'!D$14=0,0,MIN(W360,MAX(0,$E360-SUMIFS($V360:$AG360,'Calc base'!$C$19:$N$19,"&lt;"&amp;'Calc base'!D$19,'Calc base'!$C$14:$N$14,1))))</f>
        <v>0</v>
      </c>
      <c r="AJ360">
        <f>IF('Calc base'!E$14=0,0,MIN(X360,MAX(0,$E360-SUMIFS($V360:$AG360,'Calc base'!$C$19:$N$19,"&lt;"&amp;'Calc base'!E$19,'Calc base'!$C$14:$N$14,1))))</f>
        <v>0</v>
      </c>
      <c r="AK360">
        <f>IF('Calc base'!F$14=0,0,MIN(Y360,MAX(0,$E360-SUMIFS($V360:$AG360,'Calc base'!$C$19:$N$19,"&lt;"&amp;'Calc base'!F$19,'Calc base'!$C$14:$N$14,1))))</f>
        <v>0</v>
      </c>
      <c r="AL360">
        <f>IF('Calc base'!G$14=0,0,MIN(Z360,MAX(0,$E360-SUMIFS($V360:$AG360,'Calc base'!$C$19:$N$19,"&lt;"&amp;'Calc base'!G$19,'Calc base'!$C$14:$N$14,1))))</f>
        <v>0</v>
      </c>
      <c r="AM360">
        <f>IF('Calc base'!H$14=0,0,MIN(AA360,MAX(0,$E360-SUMIFS($V360:$AG360,'Calc base'!$C$19:$N$19,"&lt;"&amp;'Calc base'!H$19,'Calc base'!$C$14:$N$14,1))))</f>
        <v>0</v>
      </c>
      <c r="AN360">
        <f>IF('Calc base'!I$14=0,0,MIN(AB360,MAX(0,$E360-SUMIFS($V360:$AG360,'Calc base'!$C$19:$N$19,"&lt;"&amp;'Calc base'!I$19,'Calc base'!$C$14:$N$14,1))))</f>
        <v>0</v>
      </c>
      <c r="AO360">
        <f>IF('Calc base'!J$14=0,0,MIN(AC360,MAX(0,$E360-SUMIFS($V360:$AG360,'Calc base'!$C$19:$N$19,"&lt;"&amp;'Calc base'!J$19,'Calc base'!$C$14:$N$14,1))))</f>
        <v>0</v>
      </c>
      <c r="AP360">
        <f>IF('Calc base'!K$14=0,0,MIN(AD360,MAX(0,$E360-SUMIFS($V360:$AG360,'Calc base'!$C$19:$N$19,"&lt;"&amp;'Calc base'!K$19,'Calc base'!$C$14:$N$14,1))))</f>
        <v>0</v>
      </c>
      <c r="AQ360">
        <f>IF('Calc base'!L$14=0,0,MIN(AE360,MAX(0,$E360-SUMIFS($V360:$AG360,'Calc base'!$C$19:$N$19,"&lt;"&amp;'Calc base'!L$19,'Calc base'!$C$14:$N$14,1))))</f>
        <v>0</v>
      </c>
      <c r="AR360">
        <f>IF('Calc base'!M$14=0,0,MIN(AF360,MAX(0,$E360-SUMIFS($V360:$AG360,'Calc base'!$C$19:$N$19,"&lt;"&amp;'Calc base'!M$19,'Calc base'!$C$14:$N$14,1))))</f>
        <v>0</v>
      </c>
      <c r="AS360">
        <f>IF('Calc base'!N$14=0,0,MIN(AG360,MAX(0,$E360-SUMIFS($V360:$AG360,'Calc base'!$C$19:$N$19,"&lt;"&amp;'Calc base'!N$19,'Calc base'!$C$14:$N$14,1))))</f>
        <v>0</v>
      </c>
      <c r="AT360">
        <f>V360-AH360</f>
        <v>0</v>
      </c>
      <c r="AU360">
        <f>W360-AI360</f>
        <v>0</v>
      </c>
      <c r="AV360">
        <f>X360-AJ360</f>
        <v>0</v>
      </c>
      <c r="AW360">
        <f>Y360-AK360</f>
        <v>0</v>
      </c>
      <c r="AX360">
        <f>Z360-AL360</f>
        <v>0</v>
      </c>
      <c r="AY360">
        <f>AA360-AM360</f>
        <v>0</v>
      </c>
      <c r="AZ360">
        <f>AB360-AN360</f>
        <v>0</v>
      </c>
      <c r="BA360">
        <f>AC360-AO360</f>
        <v>0</v>
      </c>
      <c r="BB360">
        <f>AD360-AP360</f>
        <v>0</v>
      </c>
      <c r="BC360">
        <f>AE360-AQ360</f>
        <v>0</v>
      </c>
      <c r="BD360">
        <f>AF360-AR360</f>
        <v>0</v>
      </c>
      <c r="BE360">
        <f>AG360-AS360</f>
        <v>0</v>
      </c>
    </row>
    <row r="361">
      <c r="A361" t="n">
        <v>331</v>
      </c>
      <c r="B361">
        <f>SUMPRODUCT(ROUND($AT360:$BE360*(1+'Calc base'!$H361:$S361),2))</f>
        <v>0</v>
      </c>
      <c r="C361">
        <f>SUM(J361:U361)</f>
        <v>0</v>
      </c>
      <c r="D361">
        <f>SUM(V361:AG361)</f>
        <v>0</v>
      </c>
      <c r="E361">
        <f>MAX(0,IF(Impostazioni!$B$7="No",'Calc base'!$C361-$C$31,'Calc base'!$C361-C361)+'Calc base'!$G361+'Calc base'!$F361-(B361-C361-D361))</f>
        <v>900</v>
      </c>
      <c r="F361">
        <f>SUM(AH361:AS361)</f>
        <v>0</v>
      </c>
      <c r="G361">
        <f>SUM(AT361:BE361)</f>
        <v>0</v>
      </c>
      <c r="H361">
        <f>B361-G360</f>
        <v>0</v>
      </c>
      <c r="I361">
        <f>B361-G361</f>
        <v>0</v>
      </c>
      <c r="J361">
        <f>IF(AT360&lt;=0,0,IF(ROUND(AT360*(1+'Calc base'!H361),2)-MAX('Calc base'!C$12,ROUND('Calc base'!C$13*AT360,2))&lt;1,ROUND(AT360*(1+'Calc base'!H361),2),MAX('Calc base'!C$12,ROUND('Calc base'!C$13*AT360,2))))</f>
        <v>0</v>
      </c>
      <c r="K361">
        <f>IF(AU360&lt;=0,0,IF(ROUND(AU360*(1+'Calc base'!I361),2)-MAX('Calc base'!D$12,ROUND('Calc base'!D$13*AU360,2))&lt;1,ROUND(AU360*(1+'Calc base'!I361),2),MAX('Calc base'!D$12,ROUND('Calc base'!D$13*AU360,2))))</f>
        <v>0</v>
      </c>
      <c r="L361">
        <f>IF(AV360&lt;=0,0,IF(ROUND(AV360*(1+'Calc base'!J361),2)-MAX('Calc base'!E$12,ROUND('Calc base'!E$13*AV360,2))&lt;1,ROUND(AV360*(1+'Calc base'!J361),2),MAX('Calc base'!E$12,ROUND('Calc base'!E$13*AV360,2))))</f>
        <v>0</v>
      </c>
      <c r="M361">
        <f>IF(AW360&lt;=0,0,IF(ROUND(AW360*(1+'Calc base'!K361),2)-MAX('Calc base'!F$12,ROUND('Calc base'!F$13*AW360,2))&lt;1,ROUND(AW360*(1+'Calc base'!K361),2),MAX('Calc base'!F$12,ROUND('Calc base'!F$13*AW360,2))))</f>
        <v>0</v>
      </c>
      <c r="N361">
        <f>IF(AX360&lt;=0,0,IF(ROUND(AX360*(1+'Calc base'!L361),2)-MAX('Calc base'!G$12,ROUND('Calc base'!G$13*AX360,2))&lt;1,ROUND(AX360*(1+'Calc base'!L361),2),MAX('Calc base'!G$12,ROUND('Calc base'!G$13*AX360,2))))</f>
        <v>0</v>
      </c>
      <c r="O361">
        <f>IF(AY360&lt;=0,0,IF(ROUND(AY360*(1+'Calc base'!M361),2)-MAX('Calc base'!H$12,ROUND('Calc base'!H$13*AY360,2))&lt;1,ROUND(AY360*(1+'Calc base'!M361),2),MAX('Calc base'!H$12,ROUND('Calc base'!H$13*AY360,2))))</f>
        <v>0</v>
      </c>
      <c r="P361">
        <f>IF(AZ360&lt;=0,0,IF(ROUND(AZ360*(1+'Calc base'!N361),2)-MAX('Calc base'!I$12,ROUND('Calc base'!I$13*AZ360,2))&lt;1,ROUND(AZ360*(1+'Calc base'!N361),2),MAX('Calc base'!I$12,ROUND('Calc base'!I$13*AZ360,2))))</f>
        <v>0</v>
      </c>
      <c r="Q361">
        <f>IF(BA360&lt;=0,0,IF(ROUND(BA360*(1+'Calc base'!O361),2)-MAX('Calc base'!J$12,ROUND('Calc base'!J$13*BA360,2))&lt;1,ROUND(BA360*(1+'Calc base'!O361),2),MAX('Calc base'!J$12,ROUND('Calc base'!J$13*BA360,2))))</f>
        <v>0</v>
      </c>
      <c r="R361">
        <f>IF(BB360&lt;=0,0,IF(ROUND(BB360*(1+'Calc base'!P361),2)-MAX('Calc base'!K$12,ROUND('Calc base'!K$13*BB360,2))&lt;1,ROUND(BB360*(1+'Calc base'!P361),2),MAX('Calc base'!K$12,ROUND('Calc base'!K$13*BB360,2))))</f>
        <v>0</v>
      </c>
      <c r="S361">
        <f>IF(BC360&lt;=0,0,IF(ROUND(BC360*(1+'Calc base'!Q361),2)-MAX('Calc base'!L$12,ROUND('Calc base'!L$13*BC360,2))&lt;1,ROUND(BC360*(1+'Calc base'!Q361),2),MAX('Calc base'!L$12,ROUND('Calc base'!L$13*BC360,2))))</f>
        <v>0</v>
      </c>
      <c r="T361">
        <f>IF(BD360&lt;=0,0,IF(ROUND(BD360*(1+'Calc base'!R361),2)-MAX('Calc base'!M$12,ROUND('Calc base'!M$13*BD360,2))&lt;1,ROUND(BD360*(1+'Calc base'!R361),2),MAX('Calc base'!M$12,ROUND('Calc base'!M$13*BD360,2))))</f>
        <v>0</v>
      </c>
      <c r="U361">
        <f>IF(BE360&lt;=0,0,IF(ROUND(BE360*(1+'Calc base'!S361),2)-MAX('Calc base'!N$12,ROUND('Calc base'!N$13*BE360,2))&lt;1,ROUND(BE360*(1+'Calc base'!S361),2),MAX('Calc base'!N$12,ROUND('Calc base'!N$13*BE360,2))))</f>
        <v>0</v>
      </c>
      <c r="V361">
        <f>MAX(0,ROUND(AT360*(1+'Calc base'!H361),2)-J361-'Calc base'!T361)</f>
        <v>0</v>
      </c>
      <c r="W361">
        <f>MAX(0,ROUND(AU360*(1+'Calc base'!I361),2)-K361-'Calc base'!U361)</f>
        <v>0</v>
      </c>
      <c r="X361">
        <f>MAX(0,ROUND(AV360*(1+'Calc base'!J361),2)-L361-'Calc base'!V361)</f>
        <v>0</v>
      </c>
      <c r="Y361">
        <f>MAX(0,ROUND(AW360*(1+'Calc base'!K361),2)-M361-'Calc base'!W361)</f>
        <v>0</v>
      </c>
      <c r="Z361">
        <f>MAX(0,ROUND(AX360*(1+'Calc base'!L361),2)-N361-'Calc base'!X361)</f>
        <v>0</v>
      </c>
      <c r="AA361">
        <f>MAX(0,ROUND(AY360*(1+'Calc base'!M361),2)-O361-'Calc base'!Y361)</f>
        <v>0</v>
      </c>
      <c r="AB361">
        <f>MAX(0,ROUND(AZ360*(1+'Calc base'!N361),2)-P361-'Calc base'!Z361)</f>
        <v>0</v>
      </c>
      <c r="AC361">
        <f>MAX(0,ROUND(BA360*(1+'Calc base'!O361),2)-Q361-'Calc base'!AA361)</f>
        <v>0</v>
      </c>
      <c r="AD361">
        <f>MAX(0,ROUND(BB360*(1+'Calc base'!P361),2)-R361-'Calc base'!AB361)</f>
        <v>0</v>
      </c>
      <c r="AE361">
        <f>MAX(0,ROUND(BC360*(1+'Calc base'!Q361),2)-S361-'Calc base'!AC361)</f>
        <v>0</v>
      </c>
      <c r="AF361">
        <f>MAX(0,ROUND(BD360*(1+'Calc base'!R361),2)-T361-'Calc base'!AD361)</f>
        <v>0</v>
      </c>
      <c r="AG361">
        <f>MAX(0,ROUND(BE360*(1+'Calc base'!S361),2)-U361-'Calc base'!AE361)</f>
        <v>0</v>
      </c>
      <c r="AH361">
        <f>IF('Calc base'!C$14=0,0,MIN(V361,MAX(0,$E361-SUMIFS($V361:$AG361,'Calc base'!$C$19:$N$19,"&lt;"&amp;'Calc base'!C$19,'Calc base'!$C$14:$N$14,1))))</f>
        <v>0</v>
      </c>
      <c r="AI361">
        <f>IF('Calc base'!D$14=0,0,MIN(W361,MAX(0,$E361-SUMIFS($V361:$AG361,'Calc base'!$C$19:$N$19,"&lt;"&amp;'Calc base'!D$19,'Calc base'!$C$14:$N$14,1))))</f>
        <v>0</v>
      </c>
      <c r="AJ361">
        <f>IF('Calc base'!E$14=0,0,MIN(X361,MAX(0,$E361-SUMIFS($V361:$AG361,'Calc base'!$C$19:$N$19,"&lt;"&amp;'Calc base'!E$19,'Calc base'!$C$14:$N$14,1))))</f>
        <v>0</v>
      </c>
      <c r="AK361">
        <f>IF('Calc base'!F$14=0,0,MIN(Y361,MAX(0,$E361-SUMIFS($V361:$AG361,'Calc base'!$C$19:$N$19,"&lt;"&amp;'Calc base'!F$19,'Calc base'!$C$14:$N$14,1))))</f>
        <v>0</v>
      </c>
      <c r="AL361">
        <f>IF('Calc base'!G$14=0,0,MIN(Z361,MAX(0,$E361-SUMIFS($V361:$AG361,'Calc base'!$C$19:$N$19,"&lt;"&amp;'Calc base'!G$19,'Calc base'!$C$14:$N$14,1))))</f>
        <v>0</v>
      </c>
      <c r="AM361">
        <f>IF('Calc base'!H$14=0,0,MIN(AA361,MAX(0,$E361-SUMIFS($V361:$AG361,'Calc base'!$C$19:$N$19,"&lt;"&amp;'Calc base'!H$19,'Calc base'!$C$14:$N$14,1))))</f>
        <v>0</v>
      </c>
      <c r="AN361">
        <f>IF('Calc base'!I$14=0,0,MIN(AB361,MAX(0,$E361-SUMIFS($V361:$AG361,'Calc base'!$C$19:$N$19,"&lt;"&amp;'Calc base'!I$19,'Calc base'!$C$14:$N$14,1))))</f>
        <v>0</v>
      </c>
      <c r="AO361">
        <f>IF('Calc base'!J$14=0,0,MIN(AC361,MAX(0,$E361-SUMIFS($V361:$AG361,'Calc base'!$C$19:$N$19,"&lt;"&amp;'Calc base'!J$19,'Calc base'!$C$14:$N$14,1))))</f>
        <v>0</v>
      </c>
      <c r="AP361">
        <f>IF('Calc base'!K$14=0,0,MIN(AD361,MAX(0,$E361-SUMIFS($V361:$AG361,'Calc base'!$C$19:$N$19,"&lt;"&amp;'Calc base'!K$19,'Calc base'!$C$14:$N$14,1))))</f>
        <v>0</v>
      </c>
      <c r="AQ361">
        <f>IF('Calc base'!L$14=0,0,MIN(AE361,MAX(0,$E361-SUMIFS($V361:$AG361,'Calc base'!$C$19:$N$19,"&lt;"&amp;'Calc base'!L$19,'Calc base'!$C$14:$N$14,1))))</f>
        <v>0</v>
      </c>
      <c r="AR361">
        <f>IF('Calc base'!M$14=0,0,MIN(AF361,MAX(0,$E361-SUMIFS($V361:$AG361,'Calc base'!$C$19:$N$19,"&lt;"&amp;'Calc base'!M$19,'Calc base'!$C$14:$N$14,1))))</f>
        <v>0</v>
      </c>
      <c r="AS361">
        <f>IF('Calc base'!N$14=0,0,MIN(AG361,MAX(0,$E361-SUMIFS($V361:$AG361,'Calc base'!$C$19:$N$19,"&lt;"&amp;'Calc base'!N$19,'Calc base'!$C$14:$N$14,1))))</f>
        <v>0</v>
      </c>
      <c r="AT361">
        <f>V361-AH361</f>
        <v>0</v>
      </c>
      <c r="AU361">
        <f>W361-AI361</f>
        <v>0</v>
      </c>
      <c r="AV361">
        <f>X361-AJ361</f>
        <v>0</v>
      </c>
      <c r="AW361">
        <f>Y361-AK361</f>
        <v>0</v>
      </c>
      <c r="AX361">
        <f>Z361-AL361</f>
        <v>0</v>
      </c>
      <c r="AY361">
        <f>AA361-AM361</f>
        <v>0</v>
      </c>
      <c r="AZ361">
        <f>AB361-AN361</f>
        <v>0</v>
      </c>
      <c r="BA361">
        <f>AC361-AO361</f>
        <v>0</v>
      </c>
      <c r="BB361">
        <f>AD361-AP361</f>
        <v>0</v>
      </c>
      <c r="BC361">
        <f>AE361-AQ361</f>
        <v>0</v>
      </c>
      <c r="BD361">
        <f>AF361-AR361</f>
        <v>0</v>
      </c>
      <c r="BE361">
        <f>AG361-AS361</f>
        <v>0</v>
      </c>
    </row>
    <row r="362">
      <c r="A362" t="n">
        <v>332</v>
      </c>
      <c r="B362">
        <f>SUMPRODUCT(ROUND($AT361:$BE361*(1+'Calc base'!$H362:$S362),2))</f>
        <v>0</v>
      </c>
      <c r="C362">
        <f>SUM(J362:U362)</f>
        <v>0</v>
      </c>
      <c r="D362">
        <f>SUM(V362:AG362)</f>
        <v>0</v>
      </c>
      <c r="E362">
        <f>MAX(0,IF(Impostazioni!$B$7="No",'Calc base'!$C362-$C$31,'Calc base'!$C362-C362)+'Calc base'!$G362+'Calc base'!$F362-(B362-C362-D362))</f>
        <v>900</v>
      </c>
      <c r="F362">
        <f>SUM(AH362:AS362)</f>
        <v>0</v>
      </c>
      <c r="G362">
        <f>SUM(AT362:BE362)</f>
        <v>0</v>
      </c>
      <c r="H362">
        <f>B362-G361</f>
        <v>0</v>
      </c>
      <c r="I362">
        <f>B362-G362</f>
        <v>0</v>
      </c>
      <c r="J362">
        <f>IF(AT361&lt;=0,0,IF(ROUND(AT361*(1+'Calc base'!H362),2)-MAX('Calc base'!C$12,ROUND('Calc base'!C$13*AT361,2))&lt;1,ROUND(AT361*(1+'Calc base'!H362),2),MAX('Calc base'!C$12,ROUND('Calc base'!C$13*AT361,2))))</f>
        <v>0</v>
      </c>
      <c r="K362">
        <f>IF(AU361&lt;=0,0,IF(ROUND(AU361*(1+'Calc base'!I362),2)-MAX('Calc base'!D$12,ROUND('Calc base'!D$13*AU361,2))&lt;1,ROUND(AU361*(1+'Calc base'!I362),2),MAX('Calc base'!D$12,ROUND('Calc base'!D$13*AU361,2))))</f>
        <v>0</v>
      </c>
      <c r="L362">
        <f>IF(AV361&lt;=0,0,IF(ROUND(AV361*(1+'Calc base'!J362),2)-MAX('Calc base'!E$12,ROUND('Calc base'!E$13*AV361,2))&lt;1,ROUND(AV361*(1+'Calc base'!J362),2),MAX('Calc base'!E$12,ROUND('Calc base'!E$13*AV361,2))))</f>
        <v>0</v>
      </c>
      <c r="M362">
        <f>IF(AW361&lt;=0,0,IF(ROUND(AW361*(1+'Calc base'!K362),2)-MAX('Calc base'!F$12,ROUND('Calc base'!F$13*AW361,2))&lt;1,ROUND(AW361*(1+'Calc base'!K362),2),MAX('Calc base'!F$12,ROUND('Calc base'!F$13*AW361,2))))</f>
        <v>0</v>
      </c>
      <c r="N362">
        <f>IF(AX361&lt;=0,0,IF(ROUND(AX361*(1+'Calc base'!L362),2)-MAX('Calc base'!G$12,ROUND('Calc base'!G$13*AX361,2))&lt;1,ROUND(AX361*(1+'Calc base'!L362),2),MAX('Calc base'!G$12,ROUND('Calc base'!G$13*AX361,2))))</f>
        <v>0</v>
      </c>
      <c r="O362">
        <f>IF(AY361&lt;=0,0,IF(ROUND(AY361*(1+'Calc base'!M362),2)-MAX('Calc base'!H$12,ROUND('Calc base'!H$13*AY361,2))&lt;1,ROUND(AY361*(1+'Calc base'!M362),2),MAX('Calc base'!H$12,ROUND('Calc base'!H$13*AY361,2))))</f>
        <v>0</v>
      </c>
      <c r="P362">
        <f>IF(AZ361&lt;=0,0,IF(ROUND(AZ361*(1+'Calc base'!N362),2)-MAX('Calc base'!I$12,ROUND('Calc base'!I$13*AZ361,2))&lt;1,ROUND(AZ361*(1+'Calc base'!N362),2),MAX('Calc base'!I$12,ROUND('Calc base'!I$13*AZ361,2))))</f>
        <v>0</v>
      </c>
      <c r="Q362">
        <f>IF(BA361&lt;=0,0,IF(ROUND(BA361*(1+'Calc base'!O362),2)-MAX('Calc base'!J$12,ROUND('Calc base'!J$13*BA361,2))&lt;1,ROUND(BA361*(1+'Calc base'!O362),2),MAX('Calc base'!J$12,ROUND('Calc base'!J$13*BA361,2))))</f>
        <v>0</v>
      </c>
      <c r="R362">
        <f>IF(BB361&lt;=0,0,IF(ROUND(BB361*(1+'Calc base'!P362),2)-MAX('Calc base'!K$12,ROUND('Calc base'!K$13*BB361,2))&lt;1,ROUND(BB361*(1+'Calc base'!P362),2),MAX('Calc base'!K$12,ROUND('Calc base'!K$13*BB361,2))))</f>
        <v>0</v>
      </c>
      <c r="S362">
        <f>IF(BC361&lt;=0,0,IF(ROUND(BC361*(1+'Calc base'!Q362),2)-MAX('Calc base'!L$12,ROUND('Calc base'!L$13*BC361,2))&lt;1,ROUND(BC361*(1+'Calc base'!Q362),2),MAX('Calc base'!L$12,ROUND('Calc base'!L$13*BC361,2))))</f>
        <v>0</v>
      </c>
      <c r="T362">
        <f>IF(BD361&lt;=0,0,IF(ROUND(BD361*(1+'Calc base'!R362),2)-MAX('Calc base'!M$12,ROUND('Calc base'!M$13*BD361,2))&lt;1,ROUND(BD361*(1+'Calc base'!R362),2),MAX('Calc base'!M$12,ROUND('Calc base'!M$13*BD361,2))))</f>
        <v>0</v>
      </c>
      <c r="U362">
        <f>IF(BE361&lt;=0,0,IF(ROUND(BE361*(1+'Calc base'!S362),2)-MAX('Calc base'!N$12,ROUND('Calc base'!N$13*BE361,2))&lt;1,ROUND(BE361*(1+'Calc base'!S362),2),MAX('Calc base'!N$12,ROUND('Calc base'!N$13*BE361,2))))</f>
        <v>0</v>
      </c>
      <c r="V362">
        <f>MAX(0,ROUND(AT361*(1+'Calc base'!H362),2)-J362-'Calc base'!T362)</f>
        <v>0</v>
      </c>
      <c r="W362">
        <f>MAX(0,ROUND(AU361*(1+'Calc base'!I362),2)-K362-'Calc base'!U362)</f>
        <v>0</v>
      </c>
      <c r="X362">
        <f>MAX(0,ROUND(AV361*(1+'Calc base'!J362),2)-L362-'Calc base'!V362)</f>
        <v>0</v>
      </c>
      <c r="Y362">
        <f>MAX(0,ROUND(AW361*(1+'Calc base'!K362),2)-M362-'Calc base'!W362)</f>
        <v>0</v>
      </c>
      <c r="Z362">
        <f>MAX(0,ROUND(AX361*(1+'Calc base'!L362),2)-N362-'Calc base'!X362)</f>
        <v>0</v>
      </c>
      <c r="AA362">
        <f>MAX(0,ROUND(AY361*(1+'Calc base'!M362),2)-O362-'Calc base'!Y362)</f>
        <v>0</v>
      </c>
      <c r="AB362">
        <f>MAX(0,ROUND(AZ361*(1+'Calc base'!N362),2)-P362-'Calc base'!Z362)</f>
        <v>0</v>
      </c>
      <c r="AC362">
        <f>MAX(0,ROUND(BA361*(1+'Calc base'!O362),2)-Q362-'Calc base'!AA362)</f>
        <v>0</v>
      </c>
      <c r="AD362">
        <f>MAX(0,ROUND(BB361*(1+'Calc base'!P362),2)-R362-'Calc base'!AB362)</f>
        <v>0</v>
      </c>
      <c r="AE362">
        <f>MAX(0,ROUND(BC361*(1+'Calc base'!Q362),2)-S362-'Calc base'!AC362)</f>
        <v>0</v>
      </c>
      <c r="AF362">
        <f>MAX(0,ROUND(BD361*(1+'Calc base'!R362),2)-T362-'Calc base'!AD362)</f>
        <v>0</v>
      </c>
      <c r="AG362">
        <f>MAX(0,ROUND(BE361*(1+'Calc base'!S362),2)-U362-'Calc base'!AE362)</f>
        <v>0</v>
      </c>
      <c r="AH362">
        <f>IF('Calc base'!C$14=0,0,MIN(V362,MAX(0,$E362-SUMIFS($V362:$AG362,'Calc base'!$C$19:$N$19,"&lt;"&amp;'Calc base'!C$19,'Calc base'!$C$14:$N$14,1))))</f>
        <v>0</v>
      </c>
      <c r="AI362">
        <f>IF('Calc base'!D$14=0,0,MIN(W362,MAX(0,$E362-SUMIFS($V362:$AG362,'Calc base'!$C$19:$N$19,"&lt;"&amp;'Calc base'!D$19,'Calc base'!$C$14:$N$14,1))))</f>
        <v>0</v>
      </c>
      <c r="AJ362">
        <f>IF('Calc base'!E$14=0,0,MIN(X362,MAX(0,$E362-SUMIFS($V362:$AG362,'Calc base'!$C$19:$N$19,"&lt;"&amp;'Calc base'!E$19,'Calc base'!$C$14:$N$14,1))))</f>
        <v>0</v>
      </c>
      <c r="AK362">
        <f>IF('Calc base'!F$14=0,0,MIN(Y362,MAX(0,$E362-SUMIFS($V362:$AG362,'Calc base'!$C$19:$N$19,"&lt;"&amp;'Calc base'!F$19,'Calc base'!$C$14:$N$14,1))))</f>
        <v>0</v>
      </c>
      <c r="AL362">
        <f>IF('Calc base'!G$14=0,0,MIN(Z362,MAX(0,$E362-SUMIFS($V362:$AG362,'Calc base'!$C$19:$N$19,"&lt;"&amp;'Calc base'!G$19,'Calc base'!$C$14:$N$14,1))))</f>
        <v>0</v>
      </c>
      <c r="AM362">
        <f>IF('Calc base'!H$14=0,0,MIN(AA362,MAX(0,$E362-SUMIFS($V362:$AG362,'Calc base'!$C$19:$N$19,"&lt;"&amp;'Calc base'!H$19,'Calc base'!$C$14:$N$14,1))))</f>
        <v>0</v>
      </c>
      <c r="AN362">
        <f>IF('Calc base'!I$14=0,0,MIN(AB362,MAX(0,$E362-SUMIFS($V362:$AG362,'Calc base'!$C$19:$N$19,"&lt;"&amp;'Calc base'!I$19,'Calc base'!$C$14:$N$14,1))))</f>
        <v>0</v>
      </c>
      <c r="AO362">
        <f>IF('Calc base'!J$14=0,0,MIN(AC362,MAX(0,$E362-SUMIFS($V362:$AG362,'Calc base'!$C$19:$N$19,"&lt;"&amp;'Calc base'!J$19,'Calc base'!$C$14:$N$14,1))))</f>
        <v>0</v>
      </c>
      <c r="AP362">
        <f>IF('Calc base'!K$14=0,0,MIN(AD362,MAX(0,$E362-SUMIFS($V362:$AG362,'Calc base'!$C$19:$N$19,"&lt;"&amp;'Calc base'!K$19,'Calc base'!$C$14:$N$14,1))))</f>
        <v>0</v>
      </c>
      <c r="AQ362">
        <f>IF('Calc base'!L$14=0,0,MIN(AE362,MAX(0,$E362-SUMIFS($V362:$AG362,'Calc base'!$C$19:$N$19,"&lt;"&amp;'Calc base'!L$19,'Calc base'!$C$14:$N$14,1))))</f>
        <v>0</v>
      </c>
      <c r="AR362">
        <f>IF('Calc base'!M$14=0,0,MIN(AF362,MAX(0,$E362-SUMIFS($V362:$AG362,'Calc base'!$C$19:$N$19,"&lt;"&amp;'Calc base'!M$19,'Calc base'!$C$14:$N$14,1))))</f>
        <v>0</v>
      </c>
      <c r="AS362">
        <f>IF('Calc base'!N$14=0,0,MIN(AG362,MAX(0,$E362-SUMIFS($V362:$AG362,'Calc base'!$C$19:$N$19,"&lt;"&amp;'Calc base'!N$19,'Calc base'!$C$14:$N$14,1))))</f>
        <v>0</v>
      </c>
      <c r="AT362">
        <f>V362-AH362</f>
        <v>0</v>
      </c>
      <c r="AU362">
        <f>W362-AI362</f>
        <v>0</v>
      </c>
      <c r="AV362">
        <f>X362-AJ362</f>
        <v>0</v>
      </c>
      <c r="AW362">
        <f>Y362-AK362</f>
        <v>0</v>
      </c>
      <c r="AX362">
        <f>Z362-AL362</f>
        <v>0</v>
      </c>
      <c r="AY362">
        <f>AA362-AM362</f>
        <v>0</v>
      </c>
      <c r="AZ362">
        <f>AB362-AN362</f>
        <v>0</v>
      </c>
      <c r="BA362">
        <f>AC362-AO362</f>
        <v>0</v>
      </c>
      <c r="BB362">
        <f>AD362-AP362</f>
        <v>0</v>
      </c>
      <c r="BC362">
        <f>AE362-AQ362</f>
        <v>0</v>
      </c>
      <c r="BD362">
        <f>AF362-AR362</f>
        <v>0</v>
      </c>
      <c r="BE362">
        <f>AG362-AS362</f>
        <v>0</v>
      </c>
    </row>
    <row r="363">
      <c r="A363" t="n">
        <v>333</v>
      </c>
      <c r="B363">
        <f>SUMPRODUCT(ROUND($AT362:$BE362*(1+'Calc base'!$H363:$S363),2))</f>
        <v>0</v>
      </c>
      <c r="C363">
        <f>SUM(J363:U363)</f>
        <v>0</v>
      </c>
      <c r="D363">
        <f>SUM(V363:AG363)</f>
        <v>0</v>
      </c>
      <c r="E363">
        <f>MAX(0,IF(Impostazioni!$B$7="No",'Calc base'!$C363-$C$31,'Calc base'!$C363-C363)+'Calc base'!$G363+'Calc base'!$F363-(B363-C363-D363))</f>
        <v>900</v>
      </c>
      <c r="F363">
        <f>SUM(AH363:AS363)</f>
        <v>0</v>
      </c>
      <c r="G363">
        <f>SUM(AT363:BE363)</f>
        <v>0</v>
      </c>
      <c r="H363">
        <f>B363-G362</f>
        <v>0</v>
      </c>
      <c r="I363">
        <f>B363-G363</f>
        <v>0</v>
      </c>
      <c r="J363">
        <f>IF(AT362&lt;=0,0,IF(ROUND(AT362*(1+'Calc base'!H363),2)-MAX('Calc base'!C$12,ROUND('Calc base'!C$13*AT362,2))&lt;1,ROUND(AT362*(1+'Calc base'!H363),2),MAX('Calc base'!C$12,ROUND('Calc base'!C$13*AT362,2))))</f>
        <v>0</v>
      </c>
      <c r="K363">
        <f>IF(AU362&lt;=0,0,IF(ROUND(AU362*(1+'Calc base'!I363),2)-MAX('Calc base'!D$12,ROUND('Calc base'!D$13*AU362,2))&lt;1,ROUND(AU362*(1+'Calc base'!I363),2),MAX('Calc base'!D$12,ROUND('Calc base'!D$13*AU362,2))))</f>
        <v>0</v>
      </c>
      <c r="L363">
        <f>IF(AV362&lt;=0,0,IF(ROUND(AV362*(1+'Calc base'!J363),2)-MAX('Calc base'!E$12,ROUND('Calc base'!E$13*AV362,2))&lt;1,ROUND(AV362*(1+'Calc base'!J363),2),MAX('Calc base'!E$12,ROUND('Calc base'!E$13*AV362,2))))</f>
        <v>0</v>
      </c>
      <c r="M363">
        <f>IF(AW362&lt;=0,0,IF(ROUND(AW362*(1+'Calc base'!K363),2)-MAX('Calc base'!F$12,ROUND('Calc base'!F$13*AW362,2))&lt;1,ROUND(AW362*(1+'Calc base'!K363),2),MAX('Calc base'!F$12,ROUND('Calc base'!F$13*AW362,2))))</f>
        <v>0</v>
      </c>
      <c r="N363">
        <f>IF(AX362&lt;=0,0,IF(ROUND(AX362*(1+'Calc base'!L363),2)-MAX('Calc base'!G$12,ROUND('Calc base'!G$13*AX362,2))&lt;1,ROUND(AX362*(1+'Calc base'!L363),2),MAX('Calc base'!G$12,ROUND('Calc base'!G$13*AX362,2))))</f>
        <v>0</v>
      </c>
      <c r="O363">
        <f>IF(AY362&lt;=0,0,IF(ROUND(AY362*(1+'Calc base'!M363),2)-MAX('Calc base'!H$12,ROUND('Calc base'!H$13*AY362,2))&lt;1,ROUND(AY362*(1+'Calc base'!M363),2),MAX('Calc base'!H$12,ROUND('Calc base'!H$13*AY362,2))))</f>
        <v>0</v>
      </c>
      <c r="P363">
        <f>IF(AZ362&lt;=0,0,IF(ROUND(AZ362*(1+'Calc base'!N363),2)-MAX('Calc base'!I$12,ROUND('Calc base'!I$13*AZ362,2))&lt;1,ROUND(AZ362*(1+'Calc base'!N363),2),MAX('Calc base'!I$12,ROUND('Calc base'!I$13*AZ362,2))))</f>
        <v>0</v>
      </c>
      <c r="Q363">
        <f>IF(BA362&lt;=0,0,IF(ROUND(BA362*(1+'Calc base'!O363),2)-MAX('Calc base'!J$12,ROUND('Calc base'!J$13*BA362,2))&lt;1,ROUND(BA362*(1+'Calc base'!O363),2),MAX('Calc base'!J$12,ROUND('Calc base'!J$13*BA362,2))))</f>
        <v>0</v>
      </c>
      <c r="R363">
        <f>IF(BB362&lt;=0,0,IF(ROUND(BB362*(1+'Calc base'!P363),2)-MAX('Calc base'!K$12,ROUND('Calc base'!K$13*BB362,2))&lt;1,ROUND(BB362*(1+'Calc base'!P363),2),MAX('Calc base'!K$12,ROUND('Calc base'!K$13*BB362,2))))</f>
        <v>0</v>
      </c>
      <c r="S363">
        <f>IF(BC362&lt;=0,0,IF(ROUND(BC362*(1+'Calc base'!Q363),2)-MAX('Calc base'!L$12,ROUND('Calc base'!L$13*BC362,2))&lt;1,ROUND(BC362*(1+'Calc base'!Q363),2),MAX('Calc base'!L$12,ROUND('Calc base'!L$13*BC362,2))))</f>
        <v>0</v>
      </c>
      <c r="T363">
        <f>IF(BD362&lt;=0,0,IF(ROUND(BD362*(1+'Calc base'!R363),2)-MAX('Calc base'!M$12,ROUND('Calc base'!M$13*BD362,2))&lt;1,ROUND(BD362*(1+'Calc base'!R363),2),MAX('Calc base'!M$12,ROUND('Calc base'!M$13*BD362,2))))</f>
        <v>0</v>
      </c>
      <c r="U363">
        <f>IF(BE362&lt;=0,0,IF(ROUND(BE362*(1+'Calc base'!S363),2)-MAX('Calc base'!N$12,ROUND('Calc base'!N$13*BE362,2))&lt;1,ROUND(BE362*(1+'Calc base'!S363),2),MAX('Calc base'!N$12,ROUND('Calc base'!N$13*BE362,2))))</f>
        <v>0</v>
      </c>
      <c r="V363">
        <f>MAX(0,ROUND(AT362*(1+'Calc base'!H363),2)-J363-'Calc base'!T363)</f>
        <v>0</v>
      </c>
      <c r="W363">
        <f>MAX(0,ROUND(AU362*(1+'Calc base'!I363),2)-K363-'Calc base'!U363)</f>
        <v>0</v>
      </c>
      <c r="X363">
        <f>MAX(0,ROUND(AV362*(1+'Calc base'!J363),2)-L363-'Calc base'!V363)</f>
        <v>0</v>
      </c>
      <c r="Y363">
        <f>MAX(0,ROUND(AW362*(1+'Calc base'!K363),2)-M363-'Calc base'!W363)</f>
        <v>0</v>
      </c>
      <c r="Z363">
        <f>MAX(0,ROUND(AX362*(1+'Calc base'!L363),2)-N363-'Calc base'!X363)</f>
        <v>0</v>
      </c>
      <c r="AA363">
        <f>MAX(0,ROUND(AY362*(1+'Calc base'!M363),2)-O363-'Calc base'!Y363)</f>
        <v>0</v>
      </c>
      <c r="AB363">
        <f>MAX(0,ROUND(AZ362*(1+'Calc base'!N363),2)-P363-'Calc base'!Z363)</f>
        <v>0</v>
      </c>
      <c r="AC363">
        <f>MAX(0,ROUND(BA362*(1+'Calc base'!O363),2)-Q363-'Calc base'!AA363)</f>
        <v>0</v>
      </c>
      <c r="AD363">
        <f>MAX(0,ROUND(BB362*(1+'Calc base'!P363),2)-R363-'Calc base'!AB363)</f>
        <v>0</v>
      </c>
      <c r="AE363">
        <f>MAX(0,ROUND(BC362*(1+'Calc base'!Q363),2)-S363-'Calc base'!AC363)</f>
        <v>0</v>
      </c>
      <c r="AF363">
        <f>MAX(0,ROUND(BD362*(1+'Calc base'!R363),2)-T363-'Calc base'!AD363)</f>
        <v>0</v>
      </c>
      <c r="AG363">
        <f>MAX(0,ROUND(BE362*(1+'Calc base'!S363),2)-U363-'Calc base'!AE363)</f>
        <v>0</v>
      </c>
      <c r="AH363">
        <f>IF('Calc base'!C$14=0,0,MIN(V363,MAX(0,$E363-SUMIFS($V363:$AG363,'Calc base'!$C$19:$N$19,"&lt;"&amp;'Calc base'!C$19,'Calc base'!$C$14:$N$14,1))))</f>
        <v>0</v>
      </c>
      <c r="AI363">
        <f>IF('Calc base'!D$14=0,0,MIN(W363,MAX(0,$E363-SUMIFS($V363:$AG363,'Calc base'!$C$19:$N$19,"&lt;"&amp;'Calc base'!D$19,'Calc base'!$C$14:$N$14,1))))</f>
        <v>0</v>
      </c>
      <c r="AJ363">
        <f>IF('Calc base'!E$14=0,0,MIN(X363,MAX(0,$E363-SUMIFS($V363:$AG363,'Calc base'!$C$19:$N$19,"&lt;"&amp;'Calc base'!E$19,'Calc base'!$C$14:$N$14,1))))</f>
        <v>0</v>
      </c>
      <c r="AK363">
        <f>IF('Calc base'!F$14=0,0,MIN(Y363,MAX(0,$E363-SUMIFS($V363:$AG363,'Calc base'!$C$19:$N$19,"&lt;"&amp;'Calc base'!F$19,'Calc base'!$C$14:$N$14,1))))</f>
        <v>0</v>
      </c>
      <c r="AL363">
        <f>IF('Calc base'!G$14=0,0,MIN(Z363,MAX(0,$E363-SUMIFS($V363:$AG363,'Calc base'!$C$19:$N$19,"&lt;"&amp;'Calc base'!G$19,'Calc base'!$C$14:$N$14,1))))</f>
        <v>0</v>
      </c>
      <c r="AM363">
        <f>IF('Calc base'!H$14=0,0,MIN(AA363,MAX(0,$E363-SUMIFS($V363:$AG363,'Calc base'!$C$19:$N$19,"&lt;"&amp;'Calc base'!H$19,'Calc base'!$C$14:$N$14,1))))</f>
        <v>0</v>
      </c>
      <c r="AN363">
        <f>IF('Calc base'!I$14=0,0,MIN(AB363,MAX(0,$E363-SUMIFS($V363:$AG363,'Calc base'!$C$19:$N$19,"&lt;"&amp;'Calc base'!I$19,'Calc base'!$C$14:$N$14,1))))</f>
        <v>0</v>
      </c>
      <c r="AO363">
        <f>IF('Calc base'!J$14=0,0,MIN(AC363,MAX(0,$E363-SUMIFS($V363:$AG363,'Calc base'!$C$19:$N$19,"&lt;"&amp;'Calc base'!J$19,'Calc base'!$C$14:$N$14,1))))</f>
        <v>0</v>
      </c>
      <c r="AP363">
        <f>IF('Calc base'!K$14=0,0,MIN(AD363,MAX(0,$E363-SUMIFS($V363:$AG363,'Calc base'!$C$19:$N$19,"&lt;"&amp;'Calc base'!K$19,'Calc base'!$C$14:$N$14,1))))</f>
        <v>0</v>
      </c>
      <c r="AQ363">
        <f>IF('Calc base'!L$14=0,0,MIN(AE363,MAX(0,$E363-SUMIFS($V363:$AG363,'Calc base'!$C$19:$N$19,"&lt;"&amp;'Calc base'!L$19,'Calc base'!$C$14:$N$14,1))))</f>
        <v>0</v>
      </c>
      <c r="AR363">
        <f>IF('Calc base'!M$14=0,0,MIN(AF363,MAX(0,$E363-SUMIFS($V363:$AG363,'Calc base'!$C$19:$N$19,"&lt;"&amp;'Calc base'!M$19,'Calc base'!$C$14:$N$14,1))))</f>
        <v>0</v>
      </c>
      <c r="AS363">
        <f>IF('Calc base'!N$14=0,0,MIN(AG363,MAX(0,$E363-SUMIFS($V363:$AG363,'Calc base'!$C$19:$N$19,"&lt;"&amp;'Calc base'!N$19,'Calc base'!$C$14:$N$14,1))))</f>
        <v>0</v>
      </c>
      <c r="AT363">
        <f>V363-AH363</f>
        <v>0</v>
      </c>
      <c r="AU363">
        <f>W363-AI363</f>
        <v>0</v>
      </c>
      <c r="AV363">
        <f>X363-AJ363</f>
        <v>0</v>
      </c>
      <c r="AW363">
        <f>Y363-AK363</f>
        <v>0</v>
      </c>
      <c r="AX363">
        <f>Z363-AL363</f>
        <v>0</v>
      </c>
      <c r="AY363">
        <f>AA363-AM363</f>
        <v>0</v>
      </c>
      <c r="AZ363">
        <f>AB363-AN363</f>
        <v>0</v>
      </c>
      <c r="BA363">
        <f>AC363-AO363</f>
        <v>0</v>
      </c>
      <c r="BB363">
        <f>AD363-AP363</f>
        <v>0</v>
      </c>
      <c r="BC363">
        <f>AE363-AQ363</f>
        <v>0</v>
      </c>
      <c r="BD363">
        <f>AF363-AR363</f>
        <v>0</v>
      </c>
      <c r="BE363">
        <f>AG363-AS363</f>
        <v>0</v>
      </c>
    </row>
    <row r="364">
      <c r="A364" t="n">
        <v>334</v>
      </c>
      <c r="B364">
        <f>SUMPRODUCT(ROUND($AT363:$BE363*(1+'Calc base'!$H364:$S364),2))</f>
        <v>0</v>
      </c>
      <c r="C364">
        <f>SUM(J364:U364)</f>
        <v>0</v>
      </c>
      <c r="D364">
        <f>SUM(V364:AG364)</f>
        <v>0</v>
      </c>
      <c r="E364">
        <f>MAX(0,IF(Impostazioni!$B$7="No",'Calc base'!$C364-$C$31,'Calc base'!$C364-C364)+'Calc base'!$G364+'Calc base'!$F364-(B364-C364-D364))</f>
        <v>900</v>
      </c>
      <c r="F364">
        <f>SUM(AH364:AS364)</f>
        <v>0</v>
      </c>
      <c r="G364">
        <f>SUM(AT364:BE364)</f>
        <v>0</v>
      </c>
      <c r="H364">
        <f>B364-G363</f>
        <v>0</v>
      </c>
      <c r="I364">
        <f>B364-G364</f>
        <v>0</v>
      </c>
      <c r="J364">
        <f>IF(AT363&lt;=0,0,IF(ROUND(AT363*(1+'Calc base'!H364),2)-MAX('Calc base'!C$12,ROUND('Calc base'!C$13*AT363,2))&lt;1,ROUND(AT363*(1+'Calc base'!H364),2),MAX('Calc base'!C$12,ROUND('Calc base'!C$13*AT363,2))))</f>
        <v>0</v>
      </c>
      <c r="K364">
        <f>IF(AU363&lt;=0,0,IF(ROUND(AU363*(1+'Calc base'!I364),2)-MAX('Calc base'!D$12,ROUND('Calc base'!D$13*AU363,2))&lt;1,ROUND(AU363*(1+'Calc base'!I364),2),MAX('Calc base'!D$12,ROUND('Calc base'!D$13*AU363,2))))</f>
        <v>0</v>
      </c>
      <c r="L364">
        <f>IF(AV363&lt;=0,0,IF(ROUND(AV363*(1+'Calc base'!J364),2)-MAX('Calc base'!E$12,ROUND('Calc base'!E$13*AV363,2))&lt;1,ROUND(AV363*(1+'Calc base'!J364),2),MAX('Calc base'!E$12,ROUND('Calc base'!E$13*AV363,2))))</f>
        <v>0</v>
      </c>
      <c r="M364">
        <f>IF(AW363&lt;=0,0,IF(ROUND(AW363*(1+'Calc base'!K364),2)-MAX('Calc base'!F$12,ROUND('Calc base'!F$13*AW363,2))&lt;1,ROUND(AW363*(1+'Calc base'!K364),2),MAX('Calc base'!F$12,ROUND('Calc base'!F$13*AW363,2))))</f>
        <v>0</v>
      </c>
      <c r="N364">
        <f>IF(AX363&lt;=0,0,IF(ROUND(AX363*(1+'Calc base'!L364),2)-MAX('Calc base'!G$12,ROUND('Calc base'!G$13*AX363,2))&lt;1,ROUND(AX363*(1+'Calc base'!L364),2),MAX('Calc base'!G$12,ROUND('Calc base'!G$13*AX363,2))))</f>
        <v>0</v>
      </c>
      <c r="O364">
        <f>IF(AY363&lt;=0,0,IF(ROUND(AY363*(1+'Calc base'!M364),2)-MAX('Calc base'!H$12,ROUND('Calc base'!H$13*AY363,2))&lt;1,ROUND(AY363*(1+'Calc base'!M364),2),MAX('Calc base'!H$12,ROUND('Calc base'!H$13*AY363,2))))</f>
        <v>0</v>
      </c>
      <c r="P364">
        <f>IF(AZ363&lt;=0,0,IF(ROUND(AZ363*(1+'Calc base'!N364),2)-MAX('Calc base'!I$12,ROUND('Calc base'!I$13*AZ363,2))&lt;1,ROUND(AZ363*(1+'Calc base'!N364),2),MAX('Calc base'!I$12,ROUND('Calc base'!I$13*AZ363,2))))</f>
        <v>0</v>
      </c>
      <c r="Q364">
        <f>IF(BA363&lt;=0,0,IF(ROUND(BA363*(1+'Calc base'!O364),2)-MAX('Calc base'!J$12,ROUND('Calc base'!J$13*BA363,2))&lt;1,ROUND(BA363*(1+'Calc base'!O364),2),MAX('Calc base'!J$12,ROUND('Calc base'!J$13*BA363,2))))</f>
        <v>0</v>
      </c>
      <c r="R364">
        <f>IF(BB363&lt;=0,0,IF(ROUND(BB363*(1+'Calc base'!P364),2)-MAX('Calc base'!K$12,ROUND('Calc base'!K$13*BB363,2))&lt;1,ROUND(BB363*(1+'Calc base'!P364),2),MAX('Calc base'!K$12,ROUND('Calc base'!K$13*BB363,2))))</f>
        <v>0</v>
      </c>
      <c r="S364">
        <f>IF(BC363&lt;=0,0,IF(ROUND(BC363*(1+'Calc base'!Q364),2)-MAX('Calc base'!L$12,ROUND('Calc base'!L$13*BC363,2))&lt;1,ROUND(BC363*(1+'Calc base'!Q364),2),MAX('Calc base'!L$12,ROUND('Calc base'!L$13*BC363,2))))</f>
        <v>0</v>
      </c>
      <c r="T364">
        <f>IF(BD363&lt;=0,0,IF(ROUND(BD363*(1+'Calc base'!R364),2)-MAX('Calc base'!M$12,ROUND('Calc base'!M$13*BD363,2))&lt;1,ROUND(BD363*(1+'Calc base'!R364),2),MAX('Calc base'!M$12,ROUND('Calc base'!M$13*BD363,2))))</f>
        <v>0</v>
      </c>
      <c r="U364">
        <f>IF(BE363&lt;=0,0,IF(ROUND(BE363*(1+'Calc base'!S364),2)-MAX('Calc base'!N$12,ROUND('Calc base'!N$13*BE363,2))&lt;1,ROUND(BE363*(1+'Calc base'!S364),2),MAX('Calc base'!N$12,ROUND('Calc base'!N$13*BE363,2))))</f>
        <v>0</v>
      </c>
      <c r="V364">
        <f>MAX(0,ROUND(AT363*(1+'Calc base'!H364),2)-J364-'Calc base'!T364)</f>
        <v>0</v>
      </c>
      <c r="W364">
        <f>MAX(0,ROUND(AU363*(1+'Calc base'!I364),2)-K364-'Calc base'!U364)</f>
        <v>0</v>
      </c>
      <c r="X364">
        <f>MAX(0,ROUND(AV363*(1+'Calc base'!J364),2)-L364-'Calc base'!V364)</f>
        <v>0</v>
      </c>
      <c r="Y364">
        <f>MAX(0,ROUND(AW363*(1+'Calc base'!K364),2)-M364-'Calc base'!W364)</f>
        <v>0</v>
      </c>
      <c r="Z364">
        <f>MAX(0,ROUND(AX363*(1+'Calc base'!L364),2)-N364-'Calc base'!X364)</f>
        <v>0</v>
      </c>
      <c r="AA364">
        <f>MAX(0,ROUND(AY363*(1+'Calc base'!M364),2)-O364-'Calc base'!Y364)</f>
        <v>0</v>
      </c>
      <c r="AB364">
        <f>MAX(0,ROUND(AZ363*(1+'Calc base'!N364),2)-P364-'Calc base'!Z364)</f>
        <v>0</v>
      </c>
      <c r="AC364">
        <f>MAX(0,ROUND(BA363*(1+'Calc base'!O364),2)-Q364-'Calc base'!AA364)</f>
        <v>0</v>
      </c>
      <c r="AD364">
        <f>MAX(0,ROUND(BB363*(1+'Calc base'!P364),2)-R364-'Calc base'!AB364)</f>
        <v>0</v>
      </c>
      <c r="AE364">
        <f>MAX(0,ROUND(BC363*(1+'Calc base'!Q364),2)-S364-'Calc base'!AC364)</f>
        <v>0</v>
      </c>
      <c r="AF364">
        <f>MAX(0,ROUND(BD363*(1+'Calc base'!R364),2)-T364-'Calc base'!AD364)</f>
        <v>0</v>
      </c>
      <c r="AG364">
        <f>MAX(0,ROUND(BE363*(1+'Calc base'!S364),2)-U364-'Calc base'!AE364)</f>
        <v>0</v>
      </c>
      <c r="AH364">
        <f>IF('Calc base'!C$14=0,0,MIN(V364,MAX(0,$E364-SUMIFS($V364:$AG364,'Calc base'!$C$19:$N$19,"&lt;"&amp;'Calc base'!C$19,'Calc base'!$C$14:$N$14,1))))</f>
        <v>0</v>
      </c>
      <c r="AI364">
        <f>IF('Calc base'!D$14=0,0,MIN(W364,MAX(0,$E364-SUMIFS($V364:$AG364,'Calc base'!$C$19:$N$19,"&lt;"&amp;'Calc base'!D$19,'Calc base'!$C$14:$N$14,1))))</f>
        <v>0</v>
      </c>
      <c r="AJ364">
        <f>IF('Calc base'!E$14=0,0,MIN(X364,MAX(0,$E364-SUMIFS($V364:$AG364,'Calc base'!$C$19:$N$19,"&lt;"&amp;'Calc base'!E$19,'Calc base'!$C$14:$N$14,1))))</f>
        <v>0</v>
      </c>
      <c r="AK364">
        <f>IF('Calc base'!F$14=0,0,MIN(Y364,MAX(0,$E364-SUMIFS($V364:$AG364,'Calc base'!$C$19:$N$19,"&lt;"&amp;'Calc base'!F$19,'Calc base'!$C$14:$N$14,1))))</f>
        <v>0</v>
      </c>
      <c r="AL364">
        <f>IF('Calc base'!G$14=0,0,MIN(Z364,MAX(0,$E364-SUMIFS($V364:$AG364,'Calc base'!$C$19:$N$19,"&lt;"&amp;'Calc base'!G$19,'Calc base'!$C$14:$N$14,1))))</f>
        <v>0</v>
      </c>
      <c r="AM364">
        <f>IF('Calc base'!H$14=0,0,MIN(AA364,MAX(0,$E364-SUMIFS($V364:$AG364,'Calc base'!$C$19:$N$19,"&lt;"&amp;'Calc base'!H$19,'Calc base'!$C$14:$N$14,1))))</f>
        <v>0</v>
      </c>
      <c r="AN364">
        <f>IF('Calc base'!I$14=0,0,MIN(AB364,MAX(0,$E364-SUMIFS($V364:$AG364,'Calc base'!$C$19:$N$19,"&lt;"&amp;'Calc base'!I$19,'Calc base'!$C$14:$N$14,1))))</f>
        <v>0</v>
      </c>
      <c r="AO364">
        <f>IF('Calc base'!J$14=0,0,MIN(AC364,MAX(0,$E364-SUMIFS($V364:$AG364,'Calc base'!$C$19:$N$19,"&lt;"&amp;'Calc base'!J$19,'Calc base'!$C$14:$N$14,1))))</f>
        <v>0</v>
      </c>
      <c r="AP364">
        <f>IF('Calc base'!K$14=0,0,MIN(AD364,MAX(0,$E364-SUMIFS($V364:$AG364,'Calc base'!$C$19:$N$19,"&lt;"&amp;'Calc base'!K$19,'Calc base'!$C$14:$N$14,1))))</f>
        <v>0</v>
      </c>
      <c r="AQ364">
        <f>IF('Calc base'!L$14=0,0,MIN(AE364,MAX(0,$E364-SUMIFS($V364:$AG364,'Calc base'!$C$19:$N$19,"&lt;"&amp;'Calc base'!L$19,'Calc base'!$C$14:$N$14,1))))</f>
        <v>0</v>
      </c>
      <c r="AR364">
        <f>IF('Calc base'!M$14=0,0,MIN(AF364,MAX(0,$E364-SUMIFS($V364:$AG364,'Calc base'!$C$19:$N$19,"&lt;"&amp;'Calc base'!M$19,'Calc base'!$C$14:$N$14,1))))</f>
        <v>0</v>
      </c>
      <c r="AS364">
        <f>IF('Calc base'!N$14=0,0,MIN(AG364,MAX(0,$E364-SUMIFS($V364:$AG364,'Calc base'!$C$19:$N$19,"&lt;"&amp;'Calc base'!N$19,'Calc base'!$C$14:$N$14,1))))</f>
        <v>0</v>
      </c>
      <c r="AT364">
        <f>V364-AH364</f>
        <v>0</v>
      </c>
      <c r="AU364">
        <f>W364-AI364</f>
        <v>0</v>
      </c>
      <c r="AV364">
        <f>X364-AJ364</f>
        <v>0</v>
      </c>
      <c r="AW364">
        <f>Y364-AK364</f>
        <v>0</v>
      </c>
      <c r="AX364">
        <f>Z364-AL364</f>
        <v>0</v>
      </c>
      <c r="AY364">
        <f>AA364-AM364</f>
        <v>0</v>
      </c>
      <c r="AZ364">
        <f>AB364-AN364</f>
        <v>0</v>
      </c>
      <c r="BA364">
        <f>AC364-AO364</f>
        <v>0</v>
      </c>
      <c r="BB364">
        <f>AD364-AP364</f>
        <v>0</v>
      </c>
      <c r="BC364">
        <f>AE364-AQ364</f>
        <v>0</v>
      </c>
      <c r="BD364">
        <f>AF364-AR364</f>
        <v>0</v>
      </c>
      <c r="BE364">
        <f>AG364-AS364</f>
        <v>0</v>
      </c>
    </row>
    <row r="365">
      <c r="A365" t="n">
        <v>335</v>
      </c>
      <c r="B365">
        <f>SUMPRODUCT(ROUND($AT364:$BE364*(1+'Calc base'!$H365:$S365),2))</f>
        <v>0</v>
      </c>
      <c r="C365">
        <f>SUM(J365:U365)</f>
        <v>0</v>
      </c>
      <c r="D365">
        <f>SUM(V365:AG365)</f>
        <v>0</v>
      </c>
      <c r="E365">
        <f>MAX(0,IF(Impostazioni!$B$7="No",'Calc base'!$C365-$C$31,'Calc base'!$C365-C365)+'Calc base'!$G365+'Calc base'!$F365-(B365-C365-D365))</f>
        <v>900</v>
      </c>
      <c r="F365">
        <f>SUM(AH365:AS365)</f>
        <v>0</v>
      </c>
      <c r="G365">
        <f>SUM(AT365:BE365)</f>
        <v>0</v>
      </c>
      <c r="H365">
        <f>B365-G364</f>
        <v>0</v>
      </c>
      <c r="I365">
        <f>B365-G365</f>
        <v>0</v>
      </c>
      <c r="J365">
        <f>IF(AT364&lt;=0,0,IF(ROUND(AT364*(1+'Calc base'!H365),2)-MAX('Calc base'!C$12,ROUND('Calc base'!C$13*AT364,2))&lt;1,ROUND(AT364*(1+'Calc base'!H365),2),MAX('Calc base'!C$12,ROUND('Calc base'!C$13*AT364,2))))</f>
        <v>0</v>
      </c>
      <c r="K365">
        <f>IF(AU364&lt;=0,0,IF(ROUND(AU364*(1+'Calc base'!I365),2)-MAX('Calc base'!D$12,ROUND('Calc base'!D$13*AU364,2))&lt;1,ROUND(AU364*(1+'Calc base'!I365),2),MAX('Calc base'!D$12,ROUND('Calc base'!D$13*AU364,2))))</f>
        <v>0</v>
      </c>
      <c r="L365">
        <f>IF(AV364&lt;=0,0,IF(ROUND(AV364*(1+'Calc base'!J365),2)-MAX('Calc base'!E$12,ROUND('Calc base'!E$13*AV364,2))&lt;1,ROUND(AV364*(1+'Calc base'!J365),2),MAX('Calc base'!E$12,ROUND('Calc base'!E$13*AV364,2))))</f>
        <v>0</v>
      </c>
      <c r="M365">
        <f>IF(AW364&lt;=0,0,IF(ROUND(AW364*(1+'Calc base'!K365),2)-MAX('Calc base'!F$12,ROUND('Calc base'!F$13*AW364,2))&lt;1,ROUND(AW364*(1+'Calc base'!K365),2),MAX('Calc base'!F$12,ROUND('Calc base'!F$13*AW364,2))))</f>
        <v>0</v>
      </c>
      <c r="N365">
        <f>IF(AX364&lt;=0,0,IF(ROUND(AX364*(1+'Calc base'!L365),2)-MAX('Calc base'!G$12,ROUND('Calc base'!G$13*AX364,2))&lt;1,ROUND(AX364*(1+'Calc base'!L365),2),MAX('Calc base'!G$12,ROUND('Calc base'!G$13*AX364,2))))</f>
        <v>0</v>
      </c>
      <c r="O365">
        <f>IF(AY364&lt;=0,0,IF(ROUND(AY364*(1+'Calc base'!M365),2)-MAX('Calc base'!H$12,ROUND('Calc base'!H$13*AY364,2))&lt;1,ROUND(AY364*(1+'Calc base'!M365),2),MAX('Calc base'!H$12,ROUND('Calc base'!H$13*AY364,2))))</f>
        <v>0</v>
      </c>
      <c r="P365">
        <f>IF(AZ364&lt;=0,0,IF(ROUND(AZ364*(1+'Calc base'!N365),2)-MAX('Calc base'!I$12,ROUND('Calc base'!I$13*AZ364,2))&lt;1,ROUND(AZ364*(1+'Calc base'!N365),2),MAX('Calc base'!I$12,ROUND('Calc base'!I$13*AZ364,2))))</f>
        <v>0</v>
      </c>
      <c r="Q365">
        <f>IF(BA364&lt;=0,0,IF(ROUND(BA364*(1+'Calc base'!O365),2)-MAX('Calc base'!J$12,ROUND('Calc base'!J$13*BA364,2))&lt;1,ROUND(BA364*(1+'Calc base'!O365),2),MAX('Calc base'!J$12,ROUND('Calc base'!J$13*BA364,2))))</f>
        <v>0</v>
      </c>
      <c r="R365">
        <f>IF(BB364&lt;=0,0,IF(ROUND(BB364*(1+'Calc base'!P365),2)-MAX('Calc base'!K$12,ROUND('Calc base'!K$13*BB364,2))&lt;1,ROUND(BB364*(1+'Calc base'!P365),2),MAX('Calc base'!K$12,ROUND('Calc base'!K$13*BB364,2))))</f>
        <v>0</v>
      </c>
      <c r="S365">
        <f>IF(BC364&lt;=0,0,IF(ROUND(BC364*(1+'Calc base'!Q365),2)-MAX('Calc base'!L$12,ROUND('Calc base'!L$13*BC364,2))&lt;1,ROUND(BC364*(1+'Calc base'!Q365),2),MAX('Calc base'!L$12,ROUND('Calc base'!L$13*BC364,2))))</f>
        <v>0</v>
      </c>
      <c r="T365">
        <f>IF(BD364&lt;=0,0,IF(ROUND(BD364*(1+'Calc base'!R365),2)-MAX('Calc base'!M$12,ROUND('Calc base'!M$13*BD364,2))&lt;1,ROUND(BD364*(1+'Calc base'!R365),2),MAX('Calc base'!M$12,ROUND('Calc base'!M$13*BD364,2))))</f>
        <v>0</v>
      </c>
      <c r="U365">
        <f>IF(BE364&lt;=0,0,IF(ROUND(BE364*(1+'Calc base'!S365),2)-MAX('Calc base'!N$12,ROUND('Calc base'!N$13*BE364,2))&lt;1,ROUND(BE364*(1+'Calc base'!S365),2),MAX('Calc base'!N$12,ROUND('Calc base'!N$13*BE364,2))))</f>
        <v>0</v>
      </c>
      <c r="V365">
        <f>MAX(0,ROUND(AT364*(1+'Calc base'!H365),2)-J365-'Calc base'!T365)</f>
        <v>0</v>
      </c>
      <c r="W365">
        <f>MAX(0,ROUND(AU364*(1+'Calc base'!I365),2)-K365-'Calc base'!U365)</f>
        <v>0</v>
      </c>
      <c r="X365">
        <f>MAX(0,ROUND(AV364*(1+'Calc base'!J365),2)-L365-'Calc base'!V365)</f>
        <v>0</v>
      </c>
      <c r="Y365">
        <f>MAX(0,ROUND(AW364*(1+'Calc base'!K365),2)-M365-'Calc base'!W365)</f>
        <v>0</v>
      </c>
      <c r="Z365">
        <f>MAX(0,ROUND(AX364*(1+'Calc base'!L365),2)-N365-'Calc base'!X365)</f>
        <v>0</v>
      </c>
      <c r="AA365">
        <f>MAX(0,ROUND(AY364*(1+'Calc base'!M365),2)-O365-'Calc base'!Y365)</f>
        <v>0</v>
      </c>
      <c r="AB365">
        <f>MAX(0,ROUND(AZ364*(1+'Calc base'!N365),2)-P365-'Calc base'!Z365)</f>
        <v>0</v>
      </c>
      <c r="AC365">
        <f>MAX(0,ROUND(BA364*(1+'Calc base'!O365),2)-Q365-'Calc base'!AA365)</f>
        <v>0</v>
      </c>
      <c r="AD365">
        <f>MAX(0,ROUND(BB364*(1+'Calc base'!P365),2)-R365-'Calc base'!AB365)</f>
        <v>0</v>
      </c>
      <c r="AE365">
        <f>MAX(0,ROUND(BC364*(1+'Calc base'!Q365),2)-S365-'Calc base'!AC365)</f>
        <v>0</v>
      </c>
      <c r="AF365">
        <f>MAX(0,ROUND(BD364*(1+'Calc base'!R365),2)-T365-'Calc base'!AD365)</f>
        <v>0</v>
      </c>
      <c r="AG365">
        <f>MAX(0,ROUND(BE364*(1+'Calc base'!S365),2)-U365-'Calc base'!AE365)</f>
        <v>0</v>
      </c>
      <c r="AH365">
        <f>IF('Calc base'!C$14=0,0,MIN(V365,MAX(0,$E365-SUMIFS($V365:$AG365,'Calc base'!$C$19:$N$19,"&lt;"&amp;'Calc base'!C$19,'Calc base'!$C$14:$N$14,1))))</f>
        <v>0</v>
      </c>
      <c r="AI365">
        <f>IF('Calc base'!D$14=0,0,MIN(W365,MAX(0,$E365-SUMIFS($V365:$AG365,'Calc base'!$C$19:$N$19,"&lt;"&amp;'Calc base'!D$19,'Calc base'!$C$14:$N$14,1))))</f>
        <v>0</v>
      </c>
      <c r="AJ365">
        <f>IF('Calc base'!E$14=0,0,MIN(X365,MAX(0,$E365-SUMIFS($V365:$AG365,'Calc base'!$C$19:$N$19,"&lt;"&amp;'Calc base'!E$19,'Calc base'!$C$14:$N$14,1))))</f>
        <v>0</v>
      </c>
      <c r="AK365">
        <f>IF('Calc base'!F$14=0,0,MIN(Y365,MAX(0,$E365-SUMIFS($V365:$AG365,'Calc base'!$C$19:$N$19,"&lt;"&amp;'Calc base'!F$19,'Calc base'!$C$14:$N$14,1))))</f>
        <v>0</v>
      </c>
      <c r="AL365">
        <f>IF('Calc base'!G$14=0,0,MIN(Z365,MAX(0,$E365-SUMIFS($V365:$AG365,'Calc base'!$C$19:$N$19,"&lt;"&amp;'Calc base'!G$19,'Calc base'!$C$14:$N$14,1))))</f>
        <v>0</v>
      </c>
      <c r="AM365">
        <f>IF('Calc base'!H$14=0,0,MIN(AA365,MAX(0,$E365-SUMIFS($V365:$AG365,'Calc base'!$C$19:$N$19,"&lt;"&amp;'Calc base'!H$19,'Calc base'!$C$14:$N$14,1))))</f>
        <v>0</v>
      </c>
      <c r="AN365">
        <f>IF('Calc base'!I$14=0,0,MIN(AB365,MAX(0,$E365-SUMIFS($V365:$AG365,'Calc base'!$C$19:$N$19,"&lt;"&amp;'Calc base'!I$19,'Calc base'!$C$14:$N$14,1))))</f>
        <v>0</v>
      </c>
      <c r="AO365">
        <f>IF('Calc base'!J$14=0,0,MIN(AC365,MAX(0,$E365-SUMIFS($V365:$AG365,'Calc base'!$C$19:$N$19,"&lt;"&amp;'Calc base'!J$19,'Calc base'!$C$14:$N$14,1))))</f>
        <v>0</v>
      </c>
      <c r="AP365">
        <f>IF('Calc base'!K$14=0,0,MIN(AD365,MAX(0,$E365-SUMIFS($V365:$AG365,'Calc base'!$C$19:$N$19,"&lt;"&amp;'Calc base'!K$19,'Calc base'!$C$14:$N$14,1))))</f>
        <v>0</v>
      </c>
      <c r="AQ365">
        <f>IF('Calc base'!L$14=0,0,MIN(AE365,MAX(0,$E365-SUMIFS($V365:$AG365,'Calc base'!$C$19:$N$19,"&lt;"&amp;'Calc base'!L$19,'Calc base'!$C$14:$N$14,1))))</f>
        <v>0</v>
      </c>
      <c r="AR365">
        <f>IF('Calc base'!M$14=0,0,MIN(AF365,MAX(0,$E365-SUMIFS($V365:$AG365,'Calc base'!$C$19:$N$19,"&lt;"&amp;'Calc base'!M$19,'Calc base'!$C$14:$N$14,1))))</f>
        <v>0</v>
      </c>
      <c r="AS365">
        <f>IF('Calc base'!N$14=0,0,MIN(AG365,MAX(0,$E365-SUMIFS($V365:$AG365,'Calc base'!$C$19:$N$19,"&lt;"&amp;'Calc base'!N$19,'Calc base'!$C$14:$N$14,1))))</f>
        <v>0</v>
      </c>
      <c r="AT365">
        <f>V365-AH365</f>
        <v>0</v>
      </c>
      <c r="AU365">
        <f>W365-AI365</f>
        <v>0</v>
      </c>
      <c r="AV365">
        <f>X365-AJ365</f>
        <v>0</v>
      </c>
      <c r="AW365">
        <f>Y365-AK365</f>
        <v>0</v>
      </c>
      <c r="AX365">
        <f>Z365-AL365</f>
        <v>0</v>
      </c>
      <c r="AY365">
        <f>AA365-AM365</f>
        <v>0</v>
      </c>
      <c r="AZ365">
        <f>AB365-AN365</f>
        <v>0</v>
      </c>
      <c r="BA365">
        <f>AC365-AO365</f>
        <v>0</v>
      </c>
      <c r="BB365">
        <f>AD365-AP365</f>
        <v>0</v>
      </c>
      <c r="BC365">
        <f>AE365-AQ365</f>
        <v>0</v>
      </c>
      <c r="BD365">
        <f>AF365-AR365</f>
        <v>0</v>
      </c>
      <c r="BE365">
        <f>AG365-AS365</f>
        <v>0</v>
      </c>
    </row>
    <row r="366">
      <c r="A366" t="n">
        <v>336</v>
      </c>
      <c r="B366">
        <f>SUMPRODUCT(ROUND($AT365:$BE365*(1+'Calc base'!$H366:$S366),2))</f>
        <v>0</v>
      </c>
      <c r="C366">
        <f>SUM(J366:U366)</f>
        <v>0</v>
      </c>
      <c r="D366">
        <f>SUM(V366:AG366)</f>
        <v>0</v>
      </c>
      <c r="E366">
        <f>MAX(0,IF(Impostazioni!$B$7="No",'Calc base'!$C366-$C$31,'Calc base'!$C366-C366)+'Calc base'!$G366+'Calc base'!$F366-(B366-C366-D366))</f>
        <v>900</v>
      </c>
      <c r="F366">
        <f>SUM(AH366:AS366)</f>
        <v>0</v>
      </c>
      <c r="G366">
        <f>SUM(AT366:BE366)</f>
        <v>0</v>
      </c>
      <c r="H366">
        <f>B366-G365</f>
        <v>0</v>
      </c>
      <c r="I366">
        <f>B366-G366</f>
        <v>0</v>
      </c>
      <c r="J366">
        <f>IF(AT365&lt;=0,0,IF(ROUND(AT365*(1+'Calc base'!H366),2)-MAX('Calc base'!C$12,ROUND('Calc base'!C$13*AT365,2))&lt;1,ROUND(AT365*(1+'Calc base'!H366),2),MAX('Calc base'!C$12,ROUND('Calc base'!C$13*AT365,2))))</f>
        <v>0</v>
      </c>
      <c r="K366">
        <f>IF(AU365&lt;=0,0,IF(ROUND(AU365*(1+'Calc base'!I366),2)-MAX('Calc base'!D$12,ROUND('Calc base'!D$13*AU365,2))&lt;1,ROUND(AU365*(1+'Calc base'!I366),2),MAX('Calc base'!D$12,ROUND('Calc base'!D$13*AU365,2))))</f>
        <v>0</v>
      </c>
      <c r="L366">
        <f>IF(AV365&lt;=0,0,IF(ROUND(AV365*(1+'Calc base'!J366),2)-MAX('Calc base'!E$12,ROUND('Calc base'!E$13*AV365,2))&lt;1,ROUND(AV365*(1+'Calc base'!J366),2),MAX('Calc base'!E$12,ROUND('Calc base'!E$13*AV365,2))))</f>
        <v>0</v>
      </c>
      <c r="M366">
        <f>IF(AW365&lt;=0,0,IF(ROUND(AW365*(1+'Calc base'!K366),2)-MAX('Calc base'!F$12,ROUND('Calc base'!F$13*AW365,2))&lt;1,ROUND(AW365*(1+'Calc base'!K366),2),MAX('Calc base'!F$12,ROUND('Calc base'!F$13*AW365,2))))</f>
        <v>0</v>
      </c>
      <c r="N366">
        <f>IF(AX365&lt;=0,0,IF(ROUND(AX365*(1+'Calc base'!L366),2)-MAX('Calc base'!G$12,ROUND('Calc base'!G$13*AX365,2))&lt;1,ROUND(AX365*(1+'Calc base'!L366),2),MAX('Calc base'!G$12,ROUND('Calc base'!G$13*AX365,2))))</f>
        <v>0</v>
      </c>
      <c r="O366">
        <f>IF(AY365&lt;=0,0,IF(ROUND(AY365*(1+'Calc base'!M366),2)-MAX('Calc base'!H$12,ROUND('Calc base'!H$13*AY365,2))&lt;1,ROUND(AY365*(1+'Calc base'!M366),2),MAX('Calc base'!H$12,ROUND('Calc base'!H$13*AY365,2))))</f>
        <v>0</v>
      </c>
      <c r="P366">
        <f>IF(AZ365&lt;=0,0,IF(ROUND(AZ365*(1+'Calc base'!N366),2)-MAX('Calc base'!I$12,ROUND('Calc base'!I$13*AZ365,2))&lt;1,ROUND(AZ365*(1+'Calc base'!N366),2),MAX('Calc base'!I$12,ROUND('Calc base'!I$13*AZ365,2))))</f>
        <v>0</v>
      </c>
      <c r="Q366">
        <f>IF(BA365&lt;=0,0,IF(ROUND(BA365*(1+'Calc base'!O366),2)-MAX('Calc base'!J$12,ROUND('Calc base'!J$13*BA365,2))&lt;1,ROUND(BA365*(1+'Calc base'!O366),2),MAX('Calc base'!J$12,ROUND('Calc base'!J$13*BA365,2))))</f>
        <v>0</v>
      </c>
      <c r="R366">
        <f>IF(BB365&lt;=0,0,IF(ROUND(BB365*(1+'Calc base'!P366),2)-MAX('Calc base'!K$12,ROUND('Calc base'!K$13*BB365,2))&lt;1,ROUND(BB365*(1+'Calc base'!P366),2),MAX('Calc base'!K$12,ROUND('Calc base'!K$13*BB365,2))))</f>
        <v>0</v>
      </c>
      <c r="S366">
        <f>IF(BC365&lt;=0,0,IF(ROUND(BC365*(1+'Calc base'!Q366),2)-MAX('Calc base'!L$12,ROUND('Calc base'!L$13*BC365,2))&lt;1,ROUND(BC365*(1+'Calc base'!Q366),2),MAX('Calc base'!L$12,ROUND('Calc base'!L$13*BC365,2))))</f>
        <v>0</v>
      </c>
      <c r="T366">
        <f>IF(BD365&lt;=0,0,IF(ROUND(BD365*(1+'Calc base'!R366),2)-MAX('Calc base'!M$12,ROUND('Calc base'!M$13*BD365,2))&lt;1,ROUND(BD365*(1+'Calc base'!R366),2),MAX('Calc base'!M$12,ROUND('Calc base'!M$13*BD365,2))))</f>
        <v>0</v>
      </c>
      <c r="U366">
        <f>IF(BE365&lt;=0,0,IF(ROUND(BE365*(1+'Calc base'!S366),2)-MAX('Calc base'!N$12,ROUND('Calc base'!N$13*BE365,2))&lt;1,ROUND(BE365*(1+'Calc base'!S366),2),MAX('Calc base'!N$12,ROUND('Calc base'!N$13*BE365,2))))</f>
        <v>0</v>
      </c>
      <c r="V366">
        <f>MAX(0,ROUND(AT365*(1+'Calc base'!H366),2)-J366-'Calc base'!T366)</f>
        <v>0</v>
      </c>
      <c r="W366">
        <f>MAX(0,ROUND(AU365*(1+'Calc base'!I366),2)-K366-'Calc base'!U366)</f>
        <v>0</v>
      </c>
      <c r="X366">
        <f>MAX(0,ROUND(AV365*(1+'Calc base'!J366),2)-L366-'Calc base'!V366)</f>
        <v>0</v>
      </c>
      <c r="Y366">
        <f>MAX(0,ROUND(AW365*(1+'Calc base'!K366),2)-M366-'Calc base'!W366)</f>
        <v>0</v>
      </c>
      <c r="Z366">
        <f>MAX(0,ROUND(AX365*(1+'Calc base'!L366),2)-N366-'Calc base'!X366)</f>
        <v>0</v>
      </c>
      <c r="AA366">
        <f>MAX(0,ROUND(AY365*(1+'Calc base'!M366),2)-O366-'Calc base'!Y366)</f>
        <v>0</v>
      </c>
      <c r="AB366">
        <f>MAX(0,ROUND(AZ365*(1+'Calc base'!N366),2)-P366-'Calc base'!Z366)</f>
        <v>0</v>
      </c>
      <c r="AC366">
        <f>MAX(0,ROUND(BA365*(1+'Calc base'!O366),2)-Q366-'Calc base'!AA366)</f>
        <v>0</v>
      </c>
      <c r="AD366">
        <f>MAX(0,ROUND(BB365*(1+'Calc base'!P366),2)-R366-'Calc base'!AB366)</f>
        <v>0</v>
      </c>
      <c r="AE366">
        <f>MAX(0,ROUND(BC365*(1+'Calc base'!Q366),2)-S366-'Calc base'!AC366)</f>
        <v>0</v>
      </c>
      <c r="AF366">
        <f>MAX(0,ROUND(BD365*(1+'Calc base'!R366),2)-T366-'Calc base'!AD366)</f>
        <v>0</v>
      </c>
      <c r="AG366">
        <f>MAX(0,ROUND(BE365*(1+'Calc base'!S366),2)-U366-'Calc base'!AE366)</f>
        <v>0</v>
      </c>
      <c r="AH366">
        <f>IF('Calc base'!C$14=0,0,MIN(V366,MAX(0,$E366-SUMIFS($V366:$AG366,'Calc base'!$C$19:$N$19,"&lt;"&amp;'Calc base'!C$19,'Calc base'!$C$14:$N$14,1))))</f>
        <v>0</v>
      </c>
      <c r="AI366">
        <f>IF('Calc base'!D$14=0,0,MIN(W366,MAX(0,$E366-SUMIFS($V366:$AG366,'Calc base'!$C$19:$N$19,"&lt;"&amp;'Calc base'!D$19,'Calc base'!$C$14:$N$14,1))))</f>
        <v>0</v>
      </c>
      <c r="AJ366">
        <f>IF('Calc base'!E$14=0,0,MIN(X366,MAX(0,$E366-SUMIFS($V366:$AG366,'Calc base'!$C$19:$N$19,"&lt;"&amp;'Calc base'!E$19,'Calc base'!$C$14:$N$14,1))))</f>
        <v>0</v>
      </c>
      <c r="AK366">
        <f>IF('Calc base'!F$14=0,0,MIN(Y366,MAX(0,$E366-SUMIFS($V366:$AG366,'Calc base'!$C$19:$N$19,"&lt;"&amp;'Calc base'!F$19,'Calc base'!$C$14:$N$14,1))))</f>
        <v>0</v>
      </c>
      <c r="AL366">
        <f>IF('Calc base'!G$14=0,0,MIN(Z366,MAX(0,$E366-SUMIFS($V366:$AG366,'Calc base'!$C$19:$N$19,"&lt;"&amp;'Calc base'!G$19,'Calc base'!$C$14:$N$14,1))))</f>
        <v>0</v>
      </c>
      <c r="AM366">
        <f>IF('Calc base'!H$14=0,0,MIN(AA366,MAX(0,$E366-SUMIFS($V366:$AG366,'Calc base'!$C$19:$N$19,"&lt;"&amp;'Calc base'!H$19,'Calc base'!$C$14:$N$14,1))))</f>
        <v>0</v>
      </c>
      <c r="AN366">
        <f>IF('Calc base'!I$14=0,0,MIN(AB366,MAX(0,$E366-SUMIFS($V366:$AG366,'Calc base'!$C$19:$N$19,"&lt;"&amp;'Calc base'!I$19,'Calc base'!$C$14:$N$14,1))))</f>
        <v>0</v>
      </c>
      <c r="AO366">
        <f>IF('Calc base'!J$14=0,0,MIN(AC366,MAX(0,$E366-SUMIFS($V366:$AG366,'Calc base'!$C$19:$N$19,"&lt;"&amp;'Calc base'!J$19,'Calc base'!$C$14:$N$14,1))))</f>
        <v>0</v>
      </c>
      <c r="AP366">
        <f>IF('Calc base'!K$14=0,0,MIN(AD366,MAX(0,$E366-SUMIFS($V366:$AG366,'Calc base'!$C$19:$N$19,"&lt;"&amp;'Calc base'!K$19,'Calc base'!$C$14:$N$14,1))))</f>
        <v>0</v>
      </c>
      <c r="AQ366">
        <f>IF('Calc base'!L$14=0,0,MIN(AE366,MAX(0,$E366-SUMIFS($V366:$AG366,'Calc base'!$C$19:$N$19,"&lt;"&amp;'Calc base'!L$19,'Calc base'!$C$14:$N$14,1))))</f>
        <v>0</v>
      </c>
      <c r="AR366">
        <f>IF('Calc base'!M$14=0,0,MIN(AF366,MAX(0,$E366-SUMIFS($V366:$AG366,'Calc base'!$C$19:$N$19,"&lt;"&amp;'Calc base'!M$19,'Calc base'!$C$14:$N$14,1))))</f>
        <v>0</v>
      </c>
      <c r="AS366">
        <f>IF('Calc base'!N$14=0,0,MIN(AG366,MAX(0,$E366-SUMIFS($V366:$AG366,'Calc base'!$C$19:$N$19,"&lt;"&amp;'Calc base'!N$19,'Calc base'!$C$14:$N$14,1))))</f>
        <v>0</v>
      </c>
      <c r="AT366">
        <f>V366-AH366</f>
        <v>0</v>
      </c>
      <c r="AU366">
        <f>W366-AI366</f>
        <v>0</v>
      </c>
      <c r="AV366">
        <f>X366-AJ366</f>
        <v>0</v>
      </c>
      <c r="AW366">
        <f>Y366-AK366</f>
        <v>0</v>
      </c>
      <c r="AX366">
        <f>Z366-AL366</f>
        <v>0</v>
      </c>
      <c r="AY366">
        <f>AA366-AM366</f>
        <v>0</v>
      </c>
      <c r="AZ366">
        <f>AB366-AN366</f>
        <v>0</v>
      </c>
      <c r="BA366">
        <f>AC366-AO366</f>
        <v>0</v>
      </c>
      <c r="BB366">
        <f>AD366-AP366</f>
        <v>0</v>
      </c>
      <c r="BC366">
        <f>AE366-AQ366</f>
        <v>0</v>
      </c>
      <c r="BD366">
        <f>AF366-AR366</f>
        <v>0</v>
      </c>
      <c r="BE366">
        <f>AG366-AS366</f>
        <v>0</v>
      </c>
    </row>
    <row r="367">
      <c r="A367" t="n">
        <v>337</v>
      </c>
      <c r="B367">
        <f>SUMPRODUCT(ROUND($AT366:$BE366*(1+'Calc base'!$H367:$S367),2))</f>
        <v>0</v>
      </c>
      <c r="C367">
        <f>SUM(J367:U367)</f>
        <v>0</v>
      </c>
      <c r="D367">
        <f>SUM(V367:AG367)</f>
        <v>0</v>
      </c>
      <c r="E367">
        <f>MAX(0,IF(Impostazioni!$B$7="No",'Calc base'!$C367-$C$31,'Calc base'!$C367-C367)+'Calc base'!$G367+'Calc base'!$F367-(B367-C367-D367))</f>
        <v>900</v>
      </c>
      <c r="F367">
        <f>SUM(AH367:AS367)</f>
        <v>0</v>
      </c>
      <c r="G367">
        <f>SUM(AT367:BE367)</f>
        <v>0</v>
      </c>
      <c r="H367">
        <f>B367-G366</f>
        <v>0</v>
      </c>
      <c r="I367">
        <f>B367-G367</f>
        <v>0</v>
      </c>
      <c r="J367">
        <f>IF(AT366&lt;=0,0,IF(ROUND(AT366*(1+'Calc base'!H367),2)-MAX('Calc base'!C$12,ROUND('Calc base'!C$13*AT366,2))&lt;1,ROUND(AT366*(1+'Calc base'!H367),2),MAX('Calc base'!C$12,ROUND('Calc base'!C$13*AT366,2))))</f>
        <v>0</v>
      </c>
      <c r="K367">
        <f>IF(AU366&lt;=0,0,IF(ROUND(AU366*(1+'Calc base'!I367),2)-MAX('Calc base'!D$12,ROUND('Calc base'!D$13*AU366,2))&lt;1,ROUND(AU366*(1+'Calc base'!I367),2),MAX('Calc base'!D$12,ROUND('Calc base'!D$13*AU366,2))))</f>
        <v>0</v>
      </c>
      <c r="L367">
        <f>IF(AV366&lt;=0,0,IF(ROUND(AV366*(1+'Calc base'!J367),2)-MAX('Calc base'!E$12,ROUND('Calc base'!E$13*AV366,2))&lt;1,ROUND(AV366*(1+'Calc base'!J367),2),MAX('Calc base'!E$12,ROUND('Calc base'!E$13*AV366,2))))</f>
        <v>0</v>
      </c>
      <c r="M367">
        <f>IF(AW366&lt;=0,0,IF(ROUND(AW366*(1+'Calc base'!K367),2)-MAX('Calc base'!F$12,ROUND('Calc base'!F$13*AW366,2))&lt;1,ROUND(AW366*(1+'Calc base'!K367),2),MAX('Calc base'!F$12,ROUND('Calc base'!F$13*AW366,2))))</f>
        <v>0</v>
      </c>
      <c r="N367">
        <f>IF(AX366&lt;=0,0,IF(ROUND(AX366*(1+'Calc base'!L367),2)-MAX('Calc base'!G$12,ROUND('Calc base'!G$13*AX366,2))&lt;1,ROUND(AX366*(1+'Calc base'!L367),2),MAX('Calc base'!G$12,ROUND('Calc base'!G$13*AX366,2))))</f>
        <v>0</v>
      </c>
      <c r="O367">
        <f>IF(AY366&lt;=0,0,IF(ROUND(AY366*(1+'Calc base'!M367),2)-MAX('Calc base'!H$12,ROUND('Calc base'!H$13*AY366,2))&lt;1,ROUND(AY366*(1+'Calc base'!M367),2),MAX('Calc base'!H$12,ROUND('Calc base'!H$13*AY366,2))))</f>
        <v>0</v>
      </c>
      <c r="P367">
        <f>IF(AZ366&lt;=0,0,IF(ROUND(AZ366*(1+'Calc base'!N367),2)-MAX('Calc base'!I$12,ROUND('Calc base'!I$13*AZ366,2))&lt;1,ROUND(AZ366*(1+'Calc base'!N367),2),MAX('Calc base'!I$12,ROUND('Calc base'!I$13*AZ366,2))))</f>
        <v>0</v>
      </c>
      <c r="Q367">
        <f>IF(BA366&lt;=0,0,IF(ROUND(BA366*(1+'Calc base'!O367),2)-MAX('Calc base'!J$12,ROUND('Calc base'!J$13*BA366,2))&lt;1,ROUND(BA366*(1+'Calc base'!O367),2),MAX('Calc base'!J$12,ROUND('Calc base'!J$13*BA366,2))))</f>
        <v>0</v>
      </c>
      <c r="R367">
        <f>IF(BB366&lt;=0,0,IF(ROUND(BB366*(1+'Calc base'!P367),2)-MAX('Calc base'!K$12,ROUND('Calc base'!K$13*BB366,2))&lt;1,ROUND(BB366*(1+'Calc base'!P367),2),MAX('Calc base'!K$12,ROUND('Calc base'!K$13*BB366,2))))</f>
        <v>0</v>
      </c>
      <c r="S367">
        <f>IF(BC366&lt;=0,0,IF(ROUND(BC366*(1+'Calc base'!Q367),2)-MAX('Calc base'!L$12,ROUND('Calc base'!L$13*BC366,2))&lt;1,ROUND(BC366*(1+'Calc base'!Q367),2),MAX('Calc base'!L$12,ROUND('Calc base'!L$13*BC366,2))))</f>
        <v>0</v>
      </c>
      <c r="T367">
        <f>IF(BD366&lt;=0,0,IF(ROUND(BD366*(1+'Calc base'!R367),2)-MAX('Calc base'!M$12,ROUND('Calc base'!M$13*BD366,2))&lt;1,ROUND(BD366*(1+'Calc base'!R367),2),MAX('Calc base'!M$12,ROUND('Calc base'!M$13*BD366,2))))</f>
        <v>0</v>
      </c>
      <c r="U367">
        <f>IF(BE366&lt;=0,0,IF(ROUND(BE366*(1+'Calc base'!S367),2)-MAX('Calc base'!N$12,ROUND('Calc base'!N$13*BE366,2))&lt;1,ROUND(BE366*(1+'Calc base'!S367),2),MAX('Calc base'!N$12,ROUND('Calc base'!N$13*BE366,2))))</f>
        <v>0</v>
      </c>
      <c r="V367">
        <f>MAX(0,ROUND(AT366*(1+'Calc base'!H367),2)-J367-'Calc base'!T367)</f>
        <v>0</v>
      </c>
      <c r="W367">
        <f>MAX(0,ROUND(AU366*(1+'Calc base'!I367),2)-K367-'Calc base'!U367)</f>
        <v>0</v>
      </c>
      <c r="X367">
        <f>MAX(0,ROUND(AV366*(1+'Calc base'!J367),2)-L367-'Calc base'!V367)</f>
        <v>0</v>
      </c>
      <c r="Y367">
        <f>MAX(0,ROUND(AW366*(1+'Calc base'!K367),2)-M367-'Calc base'!W367)</f>
        <v>0</v>
      </c>
      <c r="Z367">
        <f>MAX(0,ROUND(AX366*(1+'Calc base'!L367),2)-N367-'Calc base'!X367)</f>
        <v>0</v>
      </c>
      <c r="AA367">
        <f>MAX(0,ROUND(AY366*(1+'Calc base'!M367),2)-O367-'Calc base'!Y367)</f>
        <v>0</v>
      </c>
      <c r="AB367">
        <f>MAX(0,ROUND(AZ366*(1+'Calc base'!N367),2)-P367-'Calc base'!Z367)</f>
        <v>0</v>
      </c>
      <c r="AC367">
        <f>MAX(0,ROUND(BA366*(1+'Calc base'!O367),2)-Q367-'Calc base'!AA367)</f>
        <v>0</v>
      </c>
      <c r="AD367">
        <f>MAX(0,ROUND(BB366*(1+'Calc base'!P367),2)-R367-'Calc base'!AB367)</f>
        <v>0</v>
      </c>
      <c r="AE367">
        <f>MAX(0,ROUND(BC366*(1+'Calc base'!Q367),2)-S367-'Calc base'!AC367)</f>
        <v>0</v>
      </c>
      <c r="AF367">
        <f>MAX(0,ROUND(BD366*(1+'Calc base'!R367),2)-T367-'Calc base'!AD367)</f>
        <v>0</v>
      </c>
      <c r="AG367">
        <f>MAX(0,ROUND(BE366*(1+'Calc base'!S367),2)-U367-'Calc base'!AE367)</f>
        <v>0</v>
      </c>
      <c r="AH367">
        <f>IF('Calc base'!C$14=0,0,MIN(V367,MAX(0,$E367-SUMIFS($V367:$AG367,'Calc base'!$C$19:$N$19,"&lt;"&amp;'Calc base'!C$19,'Calc base'!$C$14:$N$14,1))))</f>
        <v>0</v>
      </c>
      <c r="AI367">
        <f>IF('Calc base'!D$14=0,0,MIN(W367,MAX(0,$E367-SUMIFS($V367:$AG367,'Calc base'!$C$19:$N$19,"&lt;"&amp;'Calc base'!D$19,'Calc base'!$C$14:$N$14,1))))</f>
        <v>0</v>
      </c>
      <c r="AJ367">
        <f>IF('Calc base'!E$14=0,0,MIN(X367,MAX(0,$E367-SUMIFS($V367:$AG367,'Calc base'!$C$19:$N$19,"&lt;"&amp;'Calc base'!E$19,'Calc base'!$C$14:$N$14,1))))</f>
        <v>0</v>
      </c>
      <c r="AK367">
        <f>IF('Calc base'!F$14=0,0,MIN(Y367,MAX(0,$E367-SUMIFS($V367:$AG367,'Calc base'!$C$19:$N$19,"&lt;"&amp;'Calc base'!F$19,'Calc base'!$C$14:$N$14,1))))</f>
        <v>0</v>
      </c>
      <c r="AL367">
        <f>IF('Calc base'!G$14=0,0,MIN(Z367,MAX(0,$E367-SUMIFS($V367:$AG367,'Calc base'!$C$19:$N$19,"&lt;"&amp;'Calc base'!G$19,'Calc base'!$C$14:$N$14,1))))</f>
        <v>0</v>
      </c>
      <c r="AM367">
        <f>IF('Calc base'!H$14=0,0,MIN(AA367,MAX(0,$E367-SUMIFS($V367:$AG367,'Calc base'!$C$19:$N$19,"&lt;"&amp;'Calc base'!H$19,'Calc base'!$C$14:$N$14,1))))</f>
        <v>0</v>
      </c>
      <c r="AN367">
        <f>IF('Calc base'!I$14=0,0,MIN(AB367,MAX(0,$E367-SUMIFS($V367:$AG367,'Calc base'!$C$19:$N$19,"&lt;"&amp;'Calc base'!I$19,'Calc base'!$C$14:$N$14,1))))</f>
        <v>0</v>
      </c>
      <c r="AO367">
        <f>IF('Calc base'!J$14=0,0,MIN(AC367,MAX(0,$E367-SUMIFS($V367:$AG367,'Calc base'!$C$19:$N$19,"&lt;"&amp;'Calc base'!J$19,'Calc base'!$C$14:$N$14,1))))</f>
        <v>0</v>
      </c>
      <c r="AP367">
        <f>IF('Calc base'!K$14=0,0,MIN(AD367,MAX(0,$E367-SUMIFS($V367:$AG367,'Calc base'!$C$19:$N$19,"&lt;"&amp;'Calc base'!K$19,'Calc base'!$C$14:$N$14,1))))</f>
        <v>0</v>
      </c>
      <c r="AQ367">
        <f>IF('Calc base'!L$14=0,0,MIN(AE367,MAX(0,$E367-SUMIFS($V367:$AG367,'Calc base'!$C$19:$N$19,"&lt;"&amp;'Calc base'!L$19,'Calc base'!$C$14:$N$14,1))))</f>
        <v>0</v>
      </c>
      <c r="AR367">
        <f>IF('Calc base'!M$14=0,0,MIN(AF367,MAX(0,$E367-SUMIFS($V367:$AG367,'Calc base'!$C$19:$N$19,"&lt;"&amp;'Calc base'!M$19,'Calc base'!$C$14:$N$14,1))))</f>
        <v>0</v>
      </c>
      <c r="AS367">
        <f>IF('Calc base'!N$14=0,0,MIN(AG367,MAX(0,$E367-SUMIFS($V367:$AG367,'Calc base'!$C$19:$N$19,"&lt;"&amp;'Calc base'!N$19,'Calc base'!$C$14:$N$14,1))))</f>
        <v>0</v>
      </c>
      <c r="AT367">
        <f>V367-AH367</f>
        <v>0</v>
      </c>
      <c r="AU367">
        <f>W367-AI367</f>
        <v>0</v>
      </c>
      <c r="AV367">
        <f>X367-AJ367</f>
        <v>0</v>
      </c>
      <c r="AW367">
        <f>Y367-AK367</f>
        <v>0</v>
      </c>
      <c r="AX367">
        <f>Z367-AL367</f>
        <v>0</v>
      </c>
      <c r="AY367">
        <f>AA367-AM367</f>
        <v>0</v>
      </c>
      <c r="AZ367">
        <f>AB367-AN367</f>
        <v>0</v>
      </c>
      <c r="BA367">
        <f>AC367-AO367</f>
        <v>0</v>
      </c>
      <c r="BB367">
        <f>AD367-AP367</f>
        <v>0</v>
      </c>
      <c r="BC367">
        <f>AE367-AQ367</f>
        <v>0</v>
      </c>
      <c r="BD367">
        <f>AF367-AR367</f>
        <v>0</v>
      </c>
      <c r="BE367">
        <f>AG367-AS367</f>
        <v>0</v>
      </c>
    </row>
    <row r="368">
      <c r="A368" t="n">
        <v>338</v>
      </c>
      <c r="B368">
        <f>SUMPRODUCT(ROUND($AT367:$BE367*(1+'Calc base'!$H368:$S368),2))</f>
        <v>0</v>
      </c>
      <c r="C368">
        <f>SUM(J368:U368)</f>
        <v>0</v>
      </c>
      <c r="D368">
        <f>SUM(V368:AG368)</f>
        <v>0</v>
      </c>
      <c r="E368">
        <f>MAX(0,IF(Impostazioni!$B$7="No",'Calc base'!$C368-$C$31,'Calc base'!$C368-C368)+'Calc base'!$G368+'Calc base'!$F368-(B368-C368-D368))</f>
        <v>900</v>
      </c>
      <c r="F368">
        <f>SUM(AH368:AS368)</f>
        <v>0</v>
      </c>
      <c r="G368">
        <f>SUM(AT368:BE368)</f>
        <v>0</v>
      </c>
      <c r="H368">
        <f>B368-G367</f>
        <v>0</v>
      </c>
      <c r="I368">
        <f>B368-G368</f>
        <v>0</v>
      </c>
      <c r="J368">
        <f>IF(AT367&lt;=0,0,IF(ROUND(AT367*(1+'Calc base'!H368),2)-MAX('Calc base'!C$12,ROUND('Calc base'!C$13*AT367,2))&lt;1,ROUND(AT367*(1+'Calc base'!H368),2),MAX('Calc base'!C$12,ROUND('Calc base'!C$13*AT367,2))))</f>
        <v>0</v>
      </c>
      <c r="K368">
        <f>IF(AU367&lt;=0,0,IF(ROUND(AU367*(1+'Calc base'!I368),2)-MAX('Calc base'!D$12,ROUND('Calc base'!D$13*AU367,2))&lt;1,ROUND(AU367*(1+'Calc base'!I368),2),MAX('Calc base'!D$12,ROUND('Calc base'!D$13*AU367,2))))</f>
        <v>0</v>
      </c>
      <c r="L368">
        <f>IF(AV367&lt;=0,0,IF(ROUND(AV367*(1+'Calc base'!J368),2)-MAX('Calc base'!E$12,ROUND('Calc base'!E$13*AV367,2))&lt;1,ROUND(AV367*(1+'Calc base'!J368),2),MAX('Calc base'!E$12,ROUND('Calc base'!E$13*AV367,2))))</f>
        <v>0</v>
      </c>
      <c r="M368">
        <f>IF(AW367&lt;=0,0,IF(ROUND(AW367*(1+'Calc base'!K368),2)-MAX('Calc base'!F$12,ROUND('Calc base'!F$13*AW367,2))&lt;1,ROUND(AW367*(1+'Calc base'!K368),2),MAX('Calc base'!F$12,ROUND('Calc base'!F$13*AW367,2))))</f>
        <v>0</v>
      </c>
      <c r="N368">
        <f>IF(AX367&lt;=0,0,IF(ROUND(AX367*(1+'Calc base'!L368),2)-MAX('Calc base'!G$12,ROUND('Calc base'!G$13*AX367,2))&lt;1,ROUND(AX367*(1+'Calc base'!L368),2),MAX('Calc base'!G$12,ROUND('Calc base'!G$13*AX367,2))))</f>
        <v>0</v>
      </c>
      <c r="O368">
        <f>IF(AY367&lt;=0,0,IF(ROUND(AY367*(1+'Calc base'!M368),2)-MAX('Calc base'!H$12,ROUND('Calc base'!H$13*AY367,2))&lt;1,ROUND(AY367*(1+'Calc base'!M368),2),MAX('Calc base'!H$12,ROUND('Calc base'!H$13*AY367,2))))</f>
        <v>0</v>
      </c>
      <c r="P368">
        <f>IF(AZ367&lt;=0,0,IF(ROUND(AZ367*(1+'Calc base'!N368),2)-MAX('Calc base'!I$12,ROUND('Calc base'!I$13*AZ367,2))&lt;1,ROUND(AZ367*(1+'Calc base'!N368),2),MAX('Calc base'!I$12,ROUND('Calc base'!I$13*AZ367,2))))</f>
        <v>0</v>
      </c>
      <c r="Q368">
        <f>IF(BA367&lt;=0,0,IF(ROUND(BA367*(1+'Calc base'!O368),2)-MAX('Calc base'!J$12,ROUND('Calc base'!J$13*BA367,2))&lt;1,ROUND(BA367*(1+'Calc base'!O368),2),MAX('Calc base'!J$12,ROUND('Calc base'!J$13*BA367,2))))</f>
        <v>0</v>
      </c>
      <c r="R368">
        <f>IF(BB367&lt;=0,0,IF(ROUND(BB367*(1+'Calc base'!P368),2)-MAX('Calc base'!K$12,ROUND('Calc base'!K$13*BB367,2))&lt;1,ROUND(BB367*(1+'Calc base'!P368),2),MAX('Calc base'!K$12,ROUND('Calc base'!K$13*BB367,2))))</f>
        <v>0</v>
      </c>
      <c r="S368">
        <f>IF(BC367&lt;=0,0,IF(ROUND(BC367*(1+'Calc base'!Q368),2)-MAX('Calc base'!L$12,ROUND('Calc base'!L$13*BC367,2))&lt;1,ROUND(BC367*(1+'Calc base'!Q368),2),MAX('Calc base'!L$12,ROUND('Calc base'!L$13*BC367,2))))</f>
        <v>0</v>
      </c>
      <c r="T368">
        <f>IF(BD367&lt;=0,0,IF(ROUND(BD367*(1+'Calc base'!R368),2)-MAX('Calc base'!M$12,ROUND('Calc base'!M$13*BD367,2))&lt;1,ROUND(BD367*(1+'Calc base'!R368),2),MAX('Calc base'!M$12,ROUND('Calc base'!M$13*BD367,2))))</f>
        <v>0</v>
      </c>
      <c r="U368">
        <f>IF(BE367&lt;=0,0,IF(ROUND(BE367*(1+'Calc base'!S368),2)-MAX('Calc base'!N$12,ROUND('Calc base'!N$13*BE367,2))&lt;1,ROUND(BE367*(1+'Calc base'!S368),2),MAX('Calc base'!N$12,ROUND('Calc base'!N$13*BE367,2))))</f>
        <v>0</v>
      </c>
      <c r="V368">
        <f>MAX(0,ROUND(AT367*(1+'Calc base'!H368),2)-J368-'Calc base'!T368)</f>
        <v>0</v>
      </c>
      <c r="W368">
        <f>MAX(0,ROUND(AU367*(1+'Calc base'!I368),2)-K368-'Calc base'!U368)</f>
        <v>0</v>
      </c>
      <c r="X368">
        <f>MAX(0,ROUND(AV367*(1+'Calc base'!J368),2)-L368-'Calc base'!V368)</f>
        <v>0</v>
      </c>
      <c r="Y368">
        <f>MAX(0,ROUND(AW367*(1+'Calc base'!K368),2)-M368-'Calc base'!W368)</f>
        <v>0</v>
      </c>
      <c r="Z368">
        <f>MAX(0,ROUND(AX367*(1+'Calc base'!L368),2)-N368-'Calc base'!X368)</f>
        <v>0</v>
      </c>
      <c r="AA368">
        <f>MAX(0,ROUND(AY367*(1+'Calc base'!M368),2)-O368-'Calc base'!Y368)</f>
        <v>0</v>
      </c>
      <c r="AB368">
        <f>MAX(0,ROUND(AZ367*(1+'Calc base'!N368),2)-P368-'Calc base'!Z368)</f>
        <v>0</v>
      </c>
      <c r="AC368">
        <f>MAX(0,ROUND(BA367*(1+'Calc base'!O368),2)-Q368-'Calc base'!AA368)</f>
        <v>0</v>
      </c>
      <c r="AD368">
        <f>MAX(0,ROUND(BB367*(1+'Calc base'!P368),2)-R368-'Calc base'!AB368)</f>
        <v>0</v>
      </c>
      <c r="AE368">
        <f>MAX(0,ROUND(BC367*(1+'Calc base'!Q368),2)-S368-'Calc base'!AC368)</f>
        <v>0</v>
      </c>
      <c r="AF368">
        <f>MAX(0,ROUND(BD367*(1+'Calc base'!R368),2)-T368-'Calc base'!AD368)</f>
        <v>0</v>
      </c>
      <c r="AG368">
        <f>MAX(0,ROUND(BE367*(1+'Calc base'!S368),2)-U368-'Calc base'!AE368)</f>
        <v>0</v>
      </c>
      <c r="AH368">
        <f>IF('Calc base'!C$14=0,0,MIN(V368,MAX(0,$E368-SUMIFS($V368:$AG368,'Calc base'!$C$19:$N$19,"&lt;"&amp;'Calc base'!C$19,'Calc base'!$C$14:$N$14,1))))</f>
        <v>0</v>
      </c>
      <c r="AI368">
        <f>IF('Calc base'!D$14=0,0,MIN(W368,MAX(0,$E368-SUMIFS($V368:$AG368,'Calc base'!$C$19:$N$19,"&lt;"&amp;'Calc base'!D$19,'Calc base'!$C$14:$N$14,1))))</f>
        <v>0</v>
      </c>
      <c r="AJ368">
        <f>IF('Calc base'!E$14=0,0,MIN(X368,MAX(0,$E368-SUMIFS($V368:$AG368,'Calc base'!$C$19:$N$19,"&lt;"&amp;'Calc base'!E$19,'Calc base'!$C$14:$N$14,1))))</f>
        <v>0</v>
      </c>
      <c r="AK368">
        <f>IF('Calc base'!F$14=0,0,MIN(Y368,MAX(0,$E368-SUMIFS($V368:$AG368,'Calc base'!$C$19:$N$19,"&lt;"&amp;'Calc base'!F$19,'Calc base'!$C$14:$N$14,1))))</f>
        <v>0</v>
      </c>
      <c r="AL368">
        <f>IF('Calc base'!G$14=0,0,MIN(Z368,MAX(0,$E368-SUMIFS($V368:$AG368,'Calc base'!$C$19:$N$19,"&lt;"&amp;'Calc base'!G$19,'Calc base'!$C$14:$N$14,1))))</f>
        <v>0</v>
      </c>
      <c r="AM368">
        <f>IF('Calc base'!H$14=0,0,MIN(AA368,MAX(0,$E368-SUMIFS($V368:$AG368,'Calc base'!$C$19:$N$19,"&lt;"&amp;'Calc base'!H$19,'Calc base'!$C$14:$N$14,1))))</f>
        <v>0</v>
      </c>
      <c r="AN368">
        <f>IF('Calc base'!I$14=0,0,MIN(AB368,MAX(0,$E368-SUMIFS($V368:$AG368,'Calc base'!$C$19:$N$19,"&lt;"&amp;'Calc base'!I$19,'Calc base'!$C$14:$N$14,1))))</f>
        <v>0</v>
      </c>
      <c r="AO368">
        <f>IF('Calc base'!J$14=0,0,MIN(AC368,MAX(0,$E368-SUMIFS($V368:$AG368,'Calc base'!$C$19:$N$19,"&lt;"&amp;'Calc base'!J$19,'Calc base'!$C$14:$N$14,1))))</f>
        <v>0</v>
      </c>
      <c r="AP368">
        <f>IF('Calc base'!K$14=0,0,MIN(AD368,MAX(0,$E368-SUMIFS($V368:$AG368,'Calc base'!$C$19:$N$19,"&lt;"&amp;'Calc base'!K$19,'Calc base'!$C$14:$N$14,1))))</f>
        <v>0</v>
      </c>
      <c r="AQ368">
        <f>IF('Calc base'!L$14=0,0,MIN(AE368,MAX(0,$E368-SUMIFS($V368:$AG368,'Calc base'!$C$19:$N$19,"&lt;"&amp;'Calc base'!L$19,'Calc base'!$C$14:$N$14,1))))</f>
        <v>0</v>
      </c>
      <c r="AR368">
        <f>IF('Calc base'!M$14=0,0,MIN(AF368,MAX(0,$E368-SUMIFS($V368:$AG368,'Calc base'!$C$19:$N$19,"&lt;"&amp;'Calc base'!M$19,'Calc base'!$C$14:$N$14,1))))</f>
        <v>0</v>
      </c>
      <c r="AS368">
        <f>IF('Calc base'!N$14=0,0,MIN(AG368,MAX(0,$E368-SUMIFS($V368:$AG368,'Calc base'!$C$19:$N$19,"&lt;"&amp;'Calc base'!N$19,'Calc base'!$C$14:$N$14,1))))</f>
        <v>0</v>
      </c>
      <c r="AT368">
        <f>V368-AH368</f>
        <v>0</v>
      </c>
      <c r="AU368">
        <f>W368-AI368</f>
        <v>0</v>
      </c>
      <c r="AV368">
        <f>X368-AJ368</f>
        <v>0</v>
      </c>
      <c r="AW368">
        <f>Y368-AK368</f>
        <v>0</v>
      </c>
      <c r="AX368">
        <f>Z368-AL368</f>
        <v>0</v>
      </c>
      <c r="AY368">
        <f>AA368-AM368</f>
        <v>0</v>
      </c>
      <c r="AZ368">
        <f>AB368-AN368</f>
        <v>0</v>
      </c>
      <c r="BA368">
        <f>AC368-AO368</f>
        <v>0</v>
      </c>
      <c r="BB368">
        <f>AD368-AP368</f>
        <v>0</v>
      </c>
      <c r="BC368">
        <f>AE368-AQ368</f>
        <v>0</v>
      </c>
      <c r="BD368">
        <f>AF368-AR368</f>
        <v>0</v>
      </c>
      <c r="BE368">
        <f>AG368-AS368</f>
        <v>0</v>
      </c>
    </row>
    <row r="369">
      <c r="A369" t="n">
        <v>339</v>
      </c>
      <c r="B369">
        <f>SUMPRODUCT(ROUND($AT368:$BE368*(1+'Calc base'!$H369:$S369),2))</f>
        <v>0</v>
      </c>
      <c r="C369">
        <f>SUM(J369:U369)</f>
        <v>0</v>
      </c>
      <c r="D369">
        <f>SUM(V369:AG369)</f>
        <v>0</v>
      </c>
      <c r="E369">
        <f>MAX(0,IF(Impostazioni!$B$7="No",'Calc base'!$C369-$C$31,'Calc base'!$C369-C369)+'Calc base'!$G369+'Calc base'!$F369-(B369-C369-D369))</f>
        <v>900</v>
      </c>
      <c r="F369">
        <f>SUM(AH369:AS369)</f>
        <v>0</v>
      </c>
      <c r="G369">
        <f>SUM(AT369:BE369)</f>
        <v>0</v>
      </c>
      <c r="H369">
        <f>B369-G368</f>
        <v>0</v>
      </c>
      <c r="I369">
        <f>B369-G369</f>
        <v>0</v>
      </c>
      <c r="J369">
        <f>IF(AT368&lt;=0,0,IF(ROUND(AT368*(1+'Calc base'!H369),2)-MAX('Calc base'!C$12,ROUND('Calc base'!C$13*AT368,2))&lt;1,ROUND(AT368*(1+'Calc base'!H369),2),MAX('Calc base'!C$12,ROUND('Calc base'!C$13*AT368,2))))</f>
        <v>0</v>
      </c>
      <c r="K369">
        <f>IF(AU368&lt;=0,0,IF(ROUND(AU368*(1+'Calc base'!I369),2)-MAX('Calc base'!D$12,ROUND('Calc base'!D$13*AU368,2))&lt;1,ROUND(AU368*(1+'Calc base'!I369),2),MAX('Calc base'!D$12,ROUND('Calc base'!D$13*AU368,2))))</f>
        <v>0</v>
      </c>
      <c r="L369">
        <f>IF(AV368&lt;=0,0,IF(ROUND(AV368*(1+'Calc base'!J369),2)-MAX('Calc base'!E$12,ROUND('Calc base'!E$13*AV368,2))&lt;1,ROUND(AV368*(1+'Calc base'!J369),2),MAX('Calc base'!E$12,ROUND('Calc base'!E$13*AV368,2))))</f>
        <v>0</v>
      </c>
      <c r="M369">
        <f>IF(AW368&lt;=0,0,IF(ROUND(AW368*(1+'Calc base'!K369),2)-MAX('Calc base'!F$12,ROUND('Calc base'!F$13*AW368,2))&lt;1,ROUND(AW368*(1+'Calc base'!K369),2),MAX('Calc base'!F$12,ROUND('Calc base'!F$13*AW368,2))))</f>
        <v>0</v>
      </c>
      <c r="N369">
        <f>IF(AX368&lt;=0,0,IF(ROUND(AX368*(1+'Calc base'!L369),2)-MAX('Calc base'!G$12,ROUND('Calc base'!G$13*AX368,2))&lt;1,ROUND(AX368*(1+'Calc base'!L369),2),MAX('Calc base'!G$12,ROUND('Calc base'!G$13*AX368,2))))</f>
        <v>0</v>
      </c>
      <c r="O369">
        <f>IF(AY368&lt;=0,0,IF(ROUND(AY368*(1+'Calc base'!M369),2)-MAX('Calc base'!H$12,ROUND('Calc base'!H$13*AY368,2))&lt;1,ROUND(AY368*(1+'Calc base'!M369),2),MAX('Calc base'!H$12,ROUND('Calc base'!H$13*AY368,2))))</f>
        <v>0</v>
      </c>
      <c r="P369">
        <f>IF(AZ368&lt;=0,0,IF(ROUND(AZ368*(1+'Calc base'!N369),2)-MAX('Calc base'!I$12,ROUND('Calc base'!I$13*AZ368,2))&lt;1,ROUND(AZ368*(1+'Calc base'!N369),2),MAX('Calc base'!I$12,ROUND('Calc base'!I$13*AZ368,2))))</f>
        <v>0</v>
      </c>
      <c r="Q369">
        <f>IF(BA368&lt;=0,0,IF(ROUND(BA368*(1+'Calc base'!O369),2)-MAX('Calc base'!J$12,ROUND('Calc base'!J$13*BA368,2))&lt;1,ROUND(BA368*(1+'Calc base'!O369),2),MAX('Calc base'!J$12,ROUND('Calc base'!J$13*BA368,2))))</f>
        <v>0</v>
      </c>
      <c r="R369">
        <f>IF(BB368&lt;=0,0,IF(ROUND(BB368*(1+'Calc base'!P369),2)-MAX('Calc base'!K$12,ROUND('Calc base'!K$13*BB368,2))&lt;1,ROUND(BB368*(1+'Calc base'!P369),2),MAX('Calc base'!K$12,ROUND('Calc base'!K$13*BB368,2))))</f>
        <v>0</v>
      </c>
      <c r="S369">
        <f>IF(BC368&lt;=0,0,IF(ROUND(BC368*(1+'Calc base'!Q369),2)-MAX('Calc base'!L$12,ROUND('Calc base'!L$13*BC368,2))&lt;1,ROUND(BC368*(1+'Calc base'!Q369),2),MAX('Calc base'!L$12,ROUND('Calc base'!L$13*BC368,2))))</f>
        <v>0</v>
      </c>
      <c r="T369">
        <f>IF(BD368&lt;=0,0,IF(ROUND(BD368*(1+'Calc base'!R369),2)-MAX('Calc base'!M$12,ROUND('Calc base'!M$13*BD368,2))&lt;1,ROUND(BD368*(1+'Calc base'!R369),2),MAX('Calc base'!M$12,ROUND('Calc base'!M$13*BD368,2))))</f>
        <v>0</v>
      </c>
      <c r="U369">
        <f>IF(BE368&lt;=0,0,IF(ROUND(BE368*(1+'Calc base'!S369),2)-MAX('Calc base'!N$12,ROUND('Calc base'!N$13*BE368,2))&lt;1,ROUND(BE368*(1+'Calc base'!S369),2),MAX('Calc base'!N$12,ROUND('Calc base'!N$13*BE368,2))))</f>
        <v>0</v>
      </c>
      <c r="V369">
        <f>MAX(0,ROUND(AT368*(1+'Calc base'!H369),2)-J369-'Calc base'!T369)</f>
        <v>0</v>
      </c>
      <c r="W369">
        <f>MAX(0,ROUND(AU368*(1+'Calc base'!I369),2)-K369-'Calc base'!U369)</f>
        <v>0</v>
      </c>
      <c r="X369">
        <f>MAX(0,ROUND(AV368*(1+'Calc base'!J369),2)-L369-'Calc base'!V369)</f>
        <v>0</v>
      </c>
      <c r="Y369">
        <f>MAX(0,ROUND(AW368*(1+'Calc base'!K369),2)-M369-'Calc base'!W369)</f>
        <v>0</v>
      </c>
      <c r="Z369">
        <f>MAX(0,ROUND(AX368*(1+'Calc base'!L369),2)-N369-'Calc base'!X369)</f>
        <v>0</v>
      </c>
      <c r="AA369">
        <f>MAX(0,ROUND(AY368*(1+'Calc base'!M369),2)-O369-'Calc base'!Y369)</f>
        <v>0</v>
      </c>
      <c r="AB369">
        <f>MAX(0,ROUND(AZ368*(1+'Calc base'!N369),2)-P369-'Calc base'!Z369)</f>
        <v>0</v>
      </c>
      <c r="AC369">
        <f>MAX(0,ROUND(BA368*(1+'Calc base'!O369),2)-Q369-'Calc base'!AA369)</f>
        <v>0</v>
      </c>
      <c r="AD369">
        <f>MAX(0,ROUND(BB368*(1+'Calc base'!P369),2)-R369-'Calc base'!AB369)</f>
        <v>0</v>
      </c>
      <c r="AE369">
        <f>MAX(0,ROUND(BC368*(1+'Calc base'!Q369),2)-S369-'Calc base'!AC369)</f>
        <v>0</v>
      </c>
      <c r="AF369">
        <f>MAX(0,ROUND(BD368*(1+'Calc base'!R369),2)-T369-'Calc base'!AD369)</f>
        <v>0</v>
      </c>
      <c r="AG369">
        <f>MAX(0,ROUND(BE368*(1+'Calc base'!S369),2)-U369-'Calc base'!AE369)</f>
        <v>0</v>
      </c>
      <c r="AH369">
        <f>IF('Calc base'!C$14=0,0,MIN(V369,MAX(0,$E369-SUMIFS($V369:$AG369,'Calc base'!$C$19:$N$19,"&lt;"&amp;'Calc base'!C$19,'Calc base'!$C$14:$N$14,1))))</f>
        <v>0</v>
      </c>
      <c r="AI369">
        <f>IF('Calc base'!D$14=0,0,MIN(W369,MAX(0,$E369-SUMIFS($V369:$AG369,'Calc base'!$C$19:$N$19,"&lt;"&amp;'Calc base'!D$19,'Calc base'!$C$14:$N$14,1))))</f>
        <v>0</v>
      </c>
      <c r="AJ369">
        <f>IF('Calc base'!E$14=0,0,MIN(X369,MAX(0,$E369-SUMIFS($V369:$AG369,'Calc base'!$C$19:$N$19,"&lt;"&amp;'Calc base'!E$19,'Calc base'!$C$14:$N$14,1))))</f>
        <v>0</v>
      </c>
      <c r="AK369">
        <f>IF('Calc base'!F$14=0,0,MIN(Y369,MAX(0,$E369-SUMIFS($V369:$AG369,'Calc base'!$C$19:$N$19,"&lt;"&amp;'Calc base'!F$19,'Calc base'!$C$14:$N$14,1))))</f>
        <v>0</v>
      </c>
      <c r="AL369">
        <f>IF('Calc base'!G$14=0,0,MIN(Z369,MAX(0,$E369-SUMIFS($V369:$AG369,'Calc base'!$C$19:$N$19,"&lt;"&amp;'Calc base'!G$19,'Calc base'!$C$14:$N$14,1))))</f>
        <v>0</v>
      </c>
      <c r="AM369">
        <f>IF('Calc base'!H$14=0,0,MIN(AA369,MAX(0,$E369-SUMIFS($V369:$AG369,'Calc base'!$C$19:$N$19,"&lt;"&amp;'Calc base'!H$19,'Calc base'!$C$14:$N$14,1))))</f>
        <v>0</v>
      </c>
      <c r="AN369">
        <f>IF('Calc base'!I$14=0,0,MIN(AB369,MAX(0,$E369-SUMIFS($V369:$AG369,'Calc base'!$C$19:$N$19,"&lt;"&amp;'Calc base'!I$19,'Calc base'!$C$14:$N$14,1))))</f>
        <v>0</v>
      </c>
      <c r="AO369">
        <f>IF('Calc base'!J$14=0,0,MIN(AC369,MAX(0,$E369-SUMIFS($V369:$AG369,'Calc base'!$C$19:$N$19,"&lt;"&amp;'Calc base'!J$19,'Calc base'!$C$14:$N$14,1))))</f>
        <v>0</v>
      </c>
      <c r="AP369">
        <f>IF('Calc base'!K$14=0,0,MIN(AD369,MAX(0,$E369-SUMIFS($V369:$AG369,'Calc base'!$C$19:$N$19,"&lt;"&amp;'Calc base'!K$19,'Calc base'!$C$14:$N$14,1))))</f>
        <v>0</v>
      </c>
      <c r="AQ369">
        <f>IF('Calc base'!L$14=0,0,MIN(AE369,MAX(0,$E369-SUMIFS($V369:$AG369,'Calc base'!$C$19:$N$19,"&lt;"&amp;'Calc base'!L$19,'Calc base'!$C$14:$N$14,1))))</f>
        <v>0</v>
      </c>
      <c r="AR369">
        <f>IF('Calc base'!M$14=0,0,MIN(AF369,MAX(0,$E369-SUMIFS($V369:$AG369,'Calc base'!$C$19:$N$19,"&lt;"&amp;'Calc base'!M$19,'Calc base'!$C$14:$N$14,1))))</f>
        <v>0</v>
      </c>
      <c r="AS369">
        <f>IF('Calc base'!N$14=0,0,MIN(AG369,MAX(0,$E369-SUMIFS($V369:$AG369,'Calc base'!$C$19:$N$19,"&lt;"&amp;'Calc base'!N$19,'Calc base'!$C$14:$N$14,1))))</f>
        <v>0</v>
      </c>
      <c r="AT369">
        <f>V369-AH369</f>
        <v>0</v>
      </c>
      <c r="AU369">
        <f>W369-AI369</f>
        <v>0</v>
      </c>
      <c r="AV369">
        <f>X369-AJ369</f>
        <v>0</v>
      </c>
      <c r="AW369">
        <f>Y369-AK369</f>
        <v>0</v>
      </c>
      <c r="AX369">
        <f>Z369-AL369</f>
        <v>0</v>
      </c>
      <c r="AY369">
        <f>AA369-AM369</f>
        <v>0</v>
      </c>
      <c r="AZ369">
        <f>AB369-AN369</f>
        <v>0</v>
      </c>
      <c r="BA369">
        <f>AC369-AO369</f>
        <v>0</v>
      </c>
      <c r="BB369">
        <f>AD369-AP369</f>
        <v>0</v>
      </c>
      <c r="BC369">
        <f>AE369-AQ369</f>
        <v>0</v>
      </c>
      <c r="BD369">
        <f>AF369-AR369</f>
        <v>0</v>
      </c>
      <c r="BE369">
        <f>AG369-AS369</f>
        <v>0</v>
      </c>
    </row>
    <row r="370">
      <c r="A370" t="n">
        <v>340</v>
      </c>
      <c r="B370">
        <f>SUMPRODUCT(ROUND($AT369:$BE369*(1+'Calc base'!$H370:$S370),2))</f>
        <v>0</v>
      </c>
      <c r="C370">
        <f>SUM(J370:U370)</f>
        <v>0</v>
      </c>
      <c r="D370">
        <f>SUM(V370:AG370)</f>
        <v>0</v>
      </c>
      <c r="E370">
        <f>MAX(0,IF(Impostazioni!$B$7="No",'Calc base'!$C370-$C$31,'Calc base'!$C370-C370)+'Calc base'!$G370+'Calc base'!$F370-(B370-C370-D370))</f>
        <v>900</v>
      </c>
      <c r="F370">
        <f>SUM(AH370:AS370)</f>
        <v>0</v>
      </c>
      <c r="G370">
        <f>SUM(AT370:BE370)</f>
        <v>0</v>
      </c>
      <c r="H370">
        <f>B370-G369</f>
        <v>0</v>
      </c>
      <c r="I370">
        <f>B370-G370</f>
        <v>0</v>
      </c>
      <c r="J370">
        <f>IF(AT369&lt;=0,0,IF(ROUND(AT369*(1+'Calc base'!H370),2)-MAX('Calc base'!C$12,ROUND('Calc base'!C$13*AT369,2))&lt;1,ROUND(AT369*(1+'Calc base'!H370),2),MAX('Calc base'!C$12,ROUND('Calc base'!C$13*AT369,2))))</f>
        <v>0</v>
      </c>
      <c r="K370">
        <f>IF(AU369&lt;=0,0,IF(ROUND(AU369*(1+'Calc base'!I370),2)-MAX('Calc base'!D$12,ROUND('Calc base'!D$13*AU369,2))&lt;1,ROUND(AU369*(1+'Calc base'!I370),2),MAX('Calc base'!D$12,ROUND('Calc base'!D$13*AU369,2))))</f>
        <v>0</v>
      </c>
      <c r="L370">
        <f>IF(AV369&lt;=0,0,IF(ROUND(AV369*(1+'Calc base'!J370),2)-MAX('Calc base'!E$12,ROUND('Calc base'!E$13*AV369,2))&lt;1,ROUND(AV369*(1+'Calc base'!J370),2),MAX('Calc base'!E$12,ROUND('Calc base'!E$13*AV369,2))))</f>
        <v>0</v>
      </c>
      <c r="M370">
        <f>IF(AW369&lt;=0,0,IF(ROUND(AW369*(1+'Calc base'!K370),2)-MAX('Calc base'!F$12,ROUND('Calc base'!F$13*AW369,2))&lt;1,ROUND(AW369*(1+'Calc base'!K370),2),MAX('Calc base'!F$12,ROUND('Calc base'!F$13*AW369,2))))</f>
        <v>0</v>
      </c>
      <c r="N370">
        <f>IF(AX369&lt;=0,0,IF(ROUND(AX369*(1+'Calc base'!L370),2)-MAX('Calc base'!G$12,ROUND('Calc base'!G$13*AX369,2))&lt;1,ROUND(AX369*(1+'Calc base'!L370),2),MAX('Calc base'!G$12,ROUND('Calc base'!G$13*AX369,2))))</f>
        <v>0</v>
      </c>
      <c r="O370">
        <f>IF(AY369&lt;=0,0,IF(ROUND(AY369*(1+'Calc base'!M370),2)-MAX('Calc base'!H$12,ROUND('Calc base'!H$13*AY369,2))&lt;1,ROUND(AY369*(1+'Calc base'!M370),2),MAX('Calc base'!H$12,ROUND('Calc base'!H$13*AY369,2))))</f>
        <v>0</v>
      </c>
      <c r="P370">
        <f>IF(AZ369&lt;=0,0,IF(ROUND(AZ369*(1+'Calc base'!N370),2)-MAX('Calc base'!I$12,ROUND('Calc base'!I$13*AZ369,2))&lt;1,ROUND(AZ369*(1+'Calc base'!N370),2),MAX('Calc base'!I$12,ROUND('Calc base'!I$13*AZ369,2))))</f>
        <v>0</v>
      </c>
      <c r="Q370">
        <f>IF(BA369&lt;=0,0,IF(ROUND(BA369*(1+'Calc base'!O370),2)-MAX('Calc base'!J$12,ROUND('Calc base'!J$13*BA369,2))&lt;1,ROUND(BA369*(1+'Calc base'!O370),2),MAX('Calc base'!J$12,ROUND('Calc base'!J$13*BA369,2))))</f>
        <v>0</v>
      </c>
      <c r="R370">
        <f>IF(BB369&lt;=0,0,IF(ROUND(BB369*(1+'Calc base'!P370),2)-MAX('Calc base'!K$12,ROUND('Calc base'!K$13*BB369,2))&lt;1,ROUND(BB369*(1+'Calc base'!P370),2),MAX('Calc base'!K$12,ROUND('Calc base'!K$13*BB369,2))))</f>
        <v>0</v>
      </c>
      <c r="S370">
        <f>IF(BC369&lt;=0,0,IF(ROUND(BC369*(1+'Calc base'!Q370),2)-MAX('Calc base'!L$12,ROUND('Calc base'!L$13*BC369,2))&lt;1,ROUND(BC369*(1+'Calc base'!Q370),2),MAX('Calc base'!L$12,ROUND('Calc base'!L$13*BC369,2))))</f>
        <v>0</v>
      </c>
      <c r="T370">
        <f>IF(BD369&lt;=0,0,IF(ROUND(BD369*(1+'Calc base'!R370),2)-MAX('Calc base'!M$12,ROUND('Calc base'!M$13*BD369,2))&lt;1,ROUND(BD369*(1+'Calc base'!R370),2),MAX('Calc base'!M$12,ROUND('Calc base'!M$13*BD369,2))))</f>
        <v>0</v>
      </c>
      <c r="U370">
        <f>IF(BE369&lt;=0,0,IF(ROUND(BE369*(1+'Calc base'!S370),2)-MAX('Calc base'!N$12,ROUND('Calc base'!N$13*BE369,2))&lt;1,ROUND(BE369*(1+'Calc base'!S370),2),MAX('Calc base'!N$12,ROUND('Calc base'!N$13*BE369,2))))</f>
        <v>0</v>
      </c>
      <c r="V370">
        <f>MAX(0,ROUND(AT369*(1+'Calc base'!H370),2)-J370-'Calc base'!T370)</f>
        <v>0</v>
      </c>
      <c r="W370">
        <f>MAX(0,ROUND(AU369*(1+'Calc base'!I370),2)-K370-'Calc base'!U370)</f>
        <v>0</v>
      </c>
      <c r="X370">
        <f>MAX(0,ROUND(AV369*(1+'Calc base'!J370),2)-L370-'Calc base'!V370)</f>
        <v>0</v>
      </c>
      <c r="Y370">
        <f>MAX(0,ROUND(AW369*(1+'Calc base'!K370),2)-M370-'Calc base'!W370)</f>
        <v>0</v>
      </c>
      <c r="Z370">
        <f>MAX(0,ROUND(AX369*(1+'Calc base'!L370),2)-N370-'Calc base'!X370)</f>
        <v>0</v>
      </c>
      <c r="AA370">
        <f>MAX(0,ROUND(AY369*(1+'Calc base'!M370),2)-O370-'Calc base'!Y370)</f>
        <v>0</v>
      </c>
      <c r="AB370">
        <f>MAX(0,ROUND(AZ369*(1+'Calc base'!N370),2)-P370-'Calc base'!Z370)</f>
        <v>0</v>
      </c>
      <c r="AC370">
        <f>MAX(0,ROUND(BA369*(1+'Calc base'!O370),2)-Q370-'Calc base'!AA370)</f>
        <v>0</v>
      </c>
      <c r="AD370">
        <f>MAX(0,ROUND(BB369*(1+'Calc base'!P370),2)-R370-'Calc base'!AB370)</f>
        <v>0</v>
      </c>
      <c r="AE370">
        <f>MAX(0,ROUND(BC369*(1+'Calc base'!Q370),2)-S370-'Calc base'!AC370)</f>
        <v>0</v>
      </c>
      <c r="AF370">
        <f>MAX(0,ROUND(BD369*(1+'Calc base'!R370),2)-T370-'Calc base'!AD370)</f>
        <v>0</v>
      </c>
      <c r="AG370">
        <f>MAX(0,ROUND(BE369*(1+'Calc base'!S370),2)-U370-'Calc base'!AE370)</f>
        <v>0</v>
      </c>
      <c r="AH370">
        <f>IF('Calc base'!C$14=0,0,MIN(V370,MAX(0,$E370-SUMIFS($V370:$AG370,'Calc base'!$C$19:$N$19,"&lt;"&amp;'Calc base'!C$19,'Calc base'!$C$14:$N$14,1))))</f>
        <v>0</v>
      </c>
      <c r="AI370">
        <f>IF('Calc base'!D$14=0,0,MIN(W370,MAX(0,$E370-SUMIFS($V370:$AG370,'Calc base'!$C$19:$N$19,"&lt;"&amp;'Calc base'!D$19,'Calc base'!$C$14:$N$14,1))))</f>
        <v>0</v>
      </c>
      <c r="AJ370">
        <f>IF('Calc base'!E$14=0,0,MIN(X370,MAX(0,$E370-SUMIFS($V370:$AG370,'Calc base'!$C$19:$N$19,"&lt;"&amp;'Calc base'!E$19,'Calc base'!$C$14:$N$14,1))))</f>
        <v>0</v>
      </c>
      <c r="AK370">
        <f>IF('Calc base'!F$14=0,0,MIN(Y370,MAX(0,$E370-SUMIFS($V370:$AG370,'Calc base'!$C$19:$N$19,"&lt;"&amp;'Calc base'!F$19,'Calc base'!$C$14:$N$14,1))))</f>
        <v>0</v>
      </c>
      <c r="AL370">
        <f>IF('Calc base'!G$14=0,0,MIN(Z370,MAX(0,$E370-SUMIFS($V370:$AG370,'Calc base'!$C$19:$N$19,"&lt;"&amp;'Calc base'!G$19,'Calc base'!$C$14:$N$14,1))))</f>
        <v>0</v>
      </c>
      <c r="AM370">
        <f>IF('Calc base'!H$14=0,0,MIN(AA370,MAX(0,$E370-SUMIFS($V370:$AG370,'Calc base'!$C$19:$N$19,"&lt;"&amp;'Calc base'!H$19,'Calc base'!$C$14:$N$14,1))))</f>
        <v>0</v>
      </c>
      <c r="AN370">
        <f>IF('Calc base'!I$14=0,0,MIN(AB370,MAX(0,$E370-SUMIFS($V370:$AG370,'Calc base'!$C$19:$N$19,"&lt;"&amp;'Calc base'!I$19,'Calc base'!$C$14:$N$14,1))))</f>
        <v>0</v>
      </c>
      <c r="AO370">
        <f>IF('Calc base'!J$14=0,0,MIN(AC370,MAX(0,$E370-SUMIFS($V370:$AG370,'Calc base'!$C$19:$N$19,"&lt;"&amp;'Calc base'!J$19,'Calc base'!$C$14:$N$14,1))))</f>
        <v>0</v>
      </c>
      <c r="AP370">
        <f>IF('Calc base'!K$14=0,0,MIN(AD370,MAX(0,$E370-SUMIFS($V370:$AG370,'Calc base'!$C$19:$N$19,"&lt;"&amp;'Calc base'!K$19,'Calc base'!$C$14:$N$14,1))))</f>
        <v>0</v>
      </c>
      <c r="AQ370">
        <f>IF('Calc base'!L$14=0,0,MIN(AE370,MAX(0,$E370-SUMIFS($V370:$AG370,'Calc base'!$C$19:$N$19,"&lt;"&amp;'Calc base'!L$19,'Calc base'!$C$14:$N$14,1))))</f>
        <v>0</v>
      </c>
      <c r="AR370">
        <f>IF('Calc base'!M$14=0,0,MIN(AF370,MAX(0,$E370-SUMIFS($V370:$AG370,'Calc base'!$C$19:$N$19,"&lt;"&amp;'Calc base'!M$19,'Calc base'!$C$14:$N$14,1))))</f>
        <v>0</v>
      </c>
      <c r="AS370">
        <f>IF('Calc base'!N$14=0,0,MIN(AG370,MAX(0,$E370-SUMIFS($V370:$AG370,'Calc base'!$C$19:$N$19,"&lt;"&amp;'Calc base'!N$19,'Calc base'!$C$14:$N$14,1))))</f>
        <v>0</v>
      </c>
      <c r="AT370">
        <f>V370-AH370</f>
        <v>0</v>
      </c>
      <c r="AU370">
        <f>W370-AI370</f>
        <v>0</v>
      </c>
      <c r="AV370">
        <f>X370-AJ370</f>
        <v>0</v>
      </c>
      <c r="AW370">
        <f>Y370-AK370</f>
        <v>0</v>
      </c>
      <c r="AX370">
        <f>Z370-AL370</f>
        <v>0</v>
      </c>
      <c r="AY370">
        <f>AA370-AM370</f>
        <v>0</v>
      </c>
      <c r="AZ370">
        <f>AB370-AN370</f>
        <v>0</v>
      </c>
      <c r="BA370">
        <f>AC370-AO370</f>
        <v>0</v>
      </c>
      <c r="BB370">
        <f>AD370-AP370</f>
        <v>0</v>
      </c>
      <c r="BC370">
        <f>AE370-AQ370</f>
        <v>0</v>
      </c>
      <c r="BD370">
        <f>AF370-AR370</f>
        <v>0</v>
      </c>
      <c r="BE370">
        <f>AG370-AS370</f>
        <v>0</v>
      </c>
    </row>
    <row r="371">
      <c r="A371" t="n">
        <v>341</v>
      </c>
      <c r="B371">
        <f>SUMPRODUCT(ROUND($AT370:$BE370*(1+'Calc base'!$H371:$S371),2))</f>
        <v>0</v>
      </c>
      <c r="C371">
        <f>SUM(J371:U371)</f>
        <v>0</v>
      </c>
      <c r="D371">
        <f>SUM(V371:AG371)</f>
        <v>0</v>
      </c>
      <c r="E371">
        <f>MAX(0,IF(Impostazioni!$B$7="No",'Calc base'!$C371-$C$31,'Calc base'!$C371-C371)+'Calc base'!$G371+'Calc base'!$F371-(B371-C371-D371))</f>
        <v>900</v>
      </c>
      <c r="F371">
        <f>SUM(AH371:AS371)</f>
        <v>0</v>
      </c>
      <c r="G371">
        <f>SUM(AT371:BE371)</f>
        <v>0</v>
      </c>
      <c r="H371">
        <f>B371-G370</f>
        <v>0</v>
      </c>
      <c r="I371">
        <f>B371-G371</f>
        <v>0</v>
      </c>
      <c r="J371">
        <f>IF(AT370&lt;=0,0,IF(ROUND(AT370*(1+'Calc base'!H371),2)-MAX('Calc base'!C$12,ROUND('Calc base'!C$13*AT370,2))&lt;1,ROUND(AT370*(1+'Calc base'!H371),2),MAX('Calc base'!C$12,ROUND('Calc base'!C$13*AT370,2))))</f>
        <v>0</v>
      </c>
      <c r="K371">
        <f>IF(AU370&lt;=0,0,IF(ROUND(AU370*(1+'Calc base'!I371),2)-MAX('Calc base'!D$12,ROUND('Calc base'!D$13*AU370,2))&lt;1,ROUND(AU370*(1+'Calc base'!I371),2),MAX('Calc base'!D$12,ROUND('Calc base'!D$13*AU370,2))))</f>
        <v>0</v>
      </c>
      <c r="L371">
        <f>IF(AV370&lt;=0,0,IF(ROUND(AV370*(1+'Calc base'!J371),2)-MAX('Calc base'!E$12,ROUND('Calc base'!E$13*AV370,2))&lt;1,ROUND(AV370*(1+'Calc base'!J371),2),MAX('Calc base'!E$12,ROUND('Calc base'!E$13*AV370,2))))</f>
        <v>0</v>
      </c>
      <c r="M371">
        <f>IF(AW370&lt;=0,0,IF(ROUND(AW370*(1+'Calc base'!K371),2)-MAX('Calc base'!F$12,ROUND('Calc base'!F$13*AW370,2))&lt;1,ROUND(AW370*(1+'Calc base'!K371),2),MAX('Calc base'!F$12,ROUND('Calc base'!F$13*AW370,2))))</f>
        <v>0</v>
      </c>
      <c r="N371">
        <f>IF(AX370&lt;=0,0,IF(ROUND(AX370*(1+'Calc base'!L371),2)-MAX('Calc base'!G$12,ROUND('Calc base'!G$13*AX370,2))&lt;1,ROUND(AX370*(1+'Calc base'!L371),2),MAX('Calc base'!G$12,ROUND('Calc base'!G$13*AX370,2))))</f>
        <v>0</v>
      </c>
      <c r="O371">
        <f>IF(AY370&lt;=0,0,IF(ROUND(AY370*(1+'Calc base'!M371),2)-MAX('Calc base'!H$12,ROUND('Calc base'!H$13*AY370,2))&lt;1,ROUND(AY370*(1+'Calc base'!M371),2),MAX('Calc base'!H$12,ROUND('Calc base'!H$13*AY370,2))))</f>
        <v>0</v>
      </c>
      <c r="P371">
        <f>IF(AZ370&lt;=0,0,IF(ROUND(AZ370*(1+'Calc base'!N371),2)-MAX('Calc base'!I$12,ROUND('Calc base'!I$13*AZ370,2))&lt;1,ROUND(AZ370*(1+'Calc base'!N371),2),MAX('Calc base'!I$12,ROUND('Calc base'!I$13*AZ370,2))))</f>
        <v>0</v>
      </c>
      <c r="Q371">
        <f>IF(BA370&lt;=0,0,IF(ROUND(BA370*(1+'Calc base'!O371),2)-MAX('Calc base'!J$12,ROUND('Calc base'!J$13*BA370,2))&lt;1,ROUND(BA370*(1+'Calc base'!O371),2),MAX('Calc base'!J$12,ROUND('Calc base'!J$13*BA370,2))))</f>
        <v>0</v>
      </c>
      <c r="R371">
        <f>IF(BB370&lt;=0,0,IF(ROUND(BB370*(1+'Calc base'!P371),2)-MAX('Calc base'!K$12,ROUND('Calc base'!K$13*BB370,2))&lt;1,ROUND(BB370*(1+'Calc base'!P371),2),MAX('Calc base'!K$12,ROUND('Calc base'!K$13*BB370,2))))</f>
        <v>0</v>
      </c>
      <c r="S371">
        <f>IF(BC370&lt;=0,0,IF(ROUND(BC370*(1+'Calc base'!Q371),2)-MAX('Calc base'!L$12,ROUND('Calc base'!L$13*BC370,2))&lt;1,ROUND(BC370*(1+'Calc base'!Q371),2),MAX('Calc base'!L$12,ROUND('Calc base'!L$13*BC370,2))))</f>
        <v>0</v>
      </c>
      <c r="T371">
        <f>IF(BD370&lt;=0,0,IF(ROUND(BD370*(1+'Calc base'!R371),2)-MAX('Calc base'!M$12,ROUND('Calc base'!M$13*BD370,2))&lt;1,ROUND(BD370*(1+'Calc base'!R371),2),MAX('Calc base'!M$12,ROUND('Calc base'!M$13*BD370,2))))</f>
        <v>0</v>
      </c>
      <c r="U371">
        <f>IF(BE370&lt;=0,0,IF(ROUND(BE370*(1+'Calc base'!S371),2)-MAX('Calc base'!N$12,ROUND('Calc base'!N$13*BE370,2))&lt;1,ROUND(BE370*(1+'Calc base'!S371),2),MAX('Calc base'!N$12,ROUND('Calc base'!N$13*BE370,2))))</f>
        <v>0</v>
      </c>
      <c r="V371">
        <f>MAX(0,ROUND(AT370*(1+'Calc base'!H371),2)-J371-'Calc base'!T371)</f>
        <v>0</v>
      </c>
      <c r="W371">
        <f>MAX(0,ROUND(AU370*(1+'Calc base'!I371),2)-K371-'Calc base'!U371)</f>
        <v>0</v>
      </c>
      <c r="X371">
        <f>MAX(0,ROUND(AV370*(1+'Calc base'!J371),2)-L371-'Calc base'!V371)</f>
        <v>0</v>
      </c>
      <c r="Y371">
        <f>MAX(0,ROUND(AW370*(1+'Calc base'!K371),2)-M371-'Calc base'!W371)</f>
        <v>0</v>
      </c>
      <c r="Z371">
        <f>MAX(0,ROUND(AX370*(1+'Calc base'!L371),2)-N371-'Calc base'!X371)</f>
        <v>0</v>
      </c>
      <c r="AA371">
        <f>MAX(0,ROUND(AY370*(1+'Calc base'!M371),2)-O371-'Calc base'!Y371)</f>
        <v>0</v>
      </c>
      <c r="AB371">
        <f>MAX(0,ROUND(AZ370*(1+'Calc base'!N371),2)-P371-'Calc base'!Z371)</f>
        <v>0</v>
      </c>
      <c r="AC371">
        <f>MAX(0,ROUND(BA370*(1+'Calc base'!O371),2)-Q371-'Calc base'!AA371)</f>
        <v>0</v>
      </c>
      <c r="AD371">
        <f>MAX(0,ROUND(BB370*(1+'Calc base'!P371),2)-R371-'Calc base'!AB371)</f>
        <v>0</v>
      </c>
      <c r="AE371">
        <f>MAX(0,ROUND(BC370*(1+'Calc base'!Q371),2)-S371-'Calc base'!AC371)</f>
        <v>0</v>
      </c>
      <c r="AF371">
        <f>MAX(0,ROUND(BD370*(1+'Calc base'!R371),2)-T371-'Calc base'!AD371)</f>
        <v>0</v>
      </c>
      <c r="AG371">
        <f>MAX(0,ROUND(BE370*(1+'Calc base'!S371),2)-U371-'Calc base'!AE371)</f>
        <v>0</v>
      </c>
      <c r="AH371">
        <f>IF('Calc base'!C$14=0,0,MIN(V371,MAX(0,$E371-SUMIFS($V371:$AG371,'Calc base'!$C$19:$N$19,"&lt;"&amp;'Calc base'!C$19,'Calc base'!$C$14:$N$14,1))))</f>
        <v>0</v>
      </c>
      <c r="AI371">
        <f>IF('Calc base'!D$14=0,0,MIN(W371,MAX(0,$E371-SUMIFS($V371:$AG371,'Calc base'!$C$19:$N$19,"&lt;"&amp;'Calc base'!D$19,'Calc base'!$C$14:$N$14,1))))</f>
        <v>0</v>
      </c>
      <c r="AJ371">
        <f>IF('Calc base'!E$14=0,0,MIN(X371,MAX(0,$E371-SUMIFS($V371:$AG371,'Calc base'!$C$19:$N$19,"&lt;"&amp;'Calc base'!E$19,'Calc base'!$C$14:$N$14,1))))</f>
        <v>0</v>
      </c>
      <c r="AK371">
        <f>IF('Calc base'!F$14=0,0,MIN(Y371,MAX(0,$E371-SUMIFS($V371:$AG371,'Calc base'!$C$19:$N$19,"&lt;"&amp;'Calc base'!F$19,'Calc base'!$C$14:$N$14,1))))</f>
        <v>0</v>
      </c>
      <c r="AL371">
        <f>IF('Calc base'!G$14=0,0,MIN(Z371,MAX(0,$E371-SUMIFS($V371:$AG371,'Calc base'!$C$19:$N$19,"&lt;"&amp;'Calc base'!G$19,'Calc base'!$C$14:$N$14,1))))</f>
        <v>0</v>
      </c>
      <c r="AM371">
        <f>IF('Calc base'!H$14=0,0,MIN(AA371,MAX(0,$E371-SUMIFS($V371:$AG371,'Calc base'!$C$19:$N$19,"&lt;"&amp;'Calc base'!H$19,'Calc base'!$C$14:$N$14,1))))</f>
        <v>0</v>
      </c>
      <c r="AN371">
        <f>IF('Calc base'!I$14=0,0,MIN(AB371,MAX(0,$E371-SUMIFS($V371:$AG371,'Calc base'!$C$19:$N$19,"&lt;"&amp;'Calc base'!I$19,'Calc base'!$C$14:$N$14,1))))</f>
        <v>0</v>
      </c>
      <c r="AO371">
        <f>IF('Calc base'!J$14=0,0,MIN(AC371,MAX(0,$E371-SUMIFS($V371:$AG371,'Calc base'!$C$19:$N$19,"&lt;"&amp;'Calc base'!J$19,'Calc base'!$C$14:$N$14,1))))</f>
        <v>0</v>
      </c>
      <c r="AP371">
        <f>IF('Calc base'!K$14=0,0,MIN(AD371,MAX(0,$E371-SUMIFS($V371:$AG371,'Calc base'!$C$19:$N$19,"&lt;"&amp;'Calc base'!K$19,'Calc base'!$C$14:$N$14,1))))</f>
        <v>0</v>
      </c>
      <c r="AQ371">
        <f>IF('Calc base'!L$14=0,0,MIN(AE371,MAX(0,$E371-SUMIFS($V371:$AG371,'Calc base'!$C$19:$N$19,"&lt;"&amp;'Calc base'!L$19,'Calc base'!$C$14:$N$14,1))))</f>
        <v>0</v>
      </c>
      <c r="AR371">
        <f>IF('Calc base'!M$14=0,0,MIN(AF371,MAX(0,$E371-SUMIFS($V371:$AG371,'Calc base'!$C$19:$N$19,"&lt;"&amp;'Calc base'!M$19,'Calc base'!$C$14:$N$14,1))))</f>
        <v>0</v>
      </c>
      <c r="AS371">
        <f>IF('Calc base'!N$14=0,0,MIN(AG371,MAX(0,$E371-SUMIFS($V371:$AG371,'Calc base'!$C$19:$N$19,"&lt;"&amp;'Calc base'!N$19,'Calc base'!$C$14:$N$14,1))))</f>
        <v>0</v>
      </c>
      <c r="AT371">
        <f>V371-AH371</f>
        <v>0</v>
      </c>
      <c r="AU371">
        <f>W371-AI371</f>
        <v>0</v>
      </c>
      <c r="AV371">
        <f>X371-AJ371</f>
        <v>0</v>
      </c>
      <c r="AW371">
        <f>Y371-AK371</f>
        <v>0</v>
      </c>
      <c r="AX371">
        <f>Z371-AL371</f>
        <v>0</v>
      </c>
      <c r="AY371">
        <f>AA371-AM371</f>
        <v>0</v>
      </c>
      <c r="AZ371">
        <f>AB371-AN371</f>
        <v>0</v>
      </c>
      <c r="BA371">
        <f>AC371-AO371</f>
        <v>0</v>
      </c>
      <c r="BB371">
        <f>AD371-AP371</f>
        <v>0</v>
      </c>
      <c r="BC371">
        <f>AE371-AQ371</f>
        <v>0</v>
      </c>
      <c r="BD371">
        <f>AF371-AR371</f>
        <v>0</v>
      </c>
      <c r="BE371">
        <f>AG371-AS371</f>
        <v>0</v>
      </c>
    </row>
    <row r="372">
      <c r="A372" t="n">
        <v>342</v>
      </c>
      <c r="B372">
        <f>SUMPRODUCT(ROUND($AT371:$BE371*(1+'Calc base'!$H372:$S372),2))</f>
        <v>0</v>
      </c>
      <c r="C372">
        <f>SUM(J372:U372)</f>
        <v>0</v>
      </c>
      <c r="D372">
        <f>SUM(V372:AG372)</f>
        <v>0</v>
      </c>
      <c r="E372">
        <f>MAX(0,IF(Impostazioni!$B$7="No",'Calc base'!$C372-$C$31,'Calc base'!$C372-C372)+'Calc base'!$G372+'Calc base'!$F372-(B372-C372-D372))</f>
        <v>900</v>
      </c>
      <c r="F372">
        <f>SUM(AH372:AS372)</f>
        <v>0</v>
      </c>
      <c r="G372">
        <f>SUM(AT372:BE372)</f>
        <v>0</v>
      </c>
      <c r="H372">
        <f>B372-G371</f>
        <v>0</v>
      </c>
      <c r="I372">
        <f>B372-G372</f>
        <v>0</v>
      </c>
      <c r="J372">
        <f>IF(AT371&lt;=0,0,IF(ROUND(AT371*(1+'Calc base'!H372),2)-MAX('Calc base'!C$12,ROUND('Calc base'!C$13*AT371,2))&lt;1,ROUND(AT371*(1+'Calc base'!H372),2),MAX('Calc base'!C$12,ROUND('Calc base'!C$13*AT371,2))))</f>
        <v>0</v>
      </c>
      <c r="K372">
        <f>IF(AU371&lt;=0,0,IF(ROUND(AU371*(1+'Calc base'!I372),2)-MAX('Calc base'!D$12,ROUND('Calc base'!D$13*AU371,2))&lt;1,ROUND(AU371*(1+'Calc base'!I372),2),MAX('Calc base'!D$12,ROUND('Calc base'!D$13*AU371,2))))</f>
        <v>0</v>
      </c>
      <c r="L372">
        <f>IF(AV371&lt;=0,0,IF(ROUND(AV371*(1+'Calc base'!J372),2)-MAX('Calc base'!E$12,ROUND('Calc base'!E$13*AV371,2))&lt;1,ROUND(AV371*(1+'Calc base'!J372),2),MAX('Calc base'!E$12,ROUND('Calc base'!E$13*AV371,2))))</f>
        <v>0</v>
      </c>
      <c r="M372">
        <f>IF(AW371&lt;=0,0,IF(ROUND(AW371*(1+'Calc base'!K372),2)-MAX('Calc base'!F$12,ROUND('Calc base'!F$13*AW371,2))&lt;1,ROUND(AW371*(1+'Calc base'!K372),2),MAX('Calc base'!F$12,ROUND('Calc base'!F$13*AW371,2))))</f>
        <v>0</v>
      </c>
      <c r="N372">
        <f>IF(AX371&lt;=0,0,IF(ROUND(AX371*(1+'Calc base'!L372),2)-MAX('Calc base'!G$12,ROUND('Calc base'!G$13*AX371,2))&lt;1,ROUND(AX371*(1+'Calc base'!L372),2),MAX('Calc base'!G$12,ROUND('Calc base'!G$13*AX371,2))))</f>
        <v>0</v>
      </c>
      <c r="O372">
        <f>IF(AY371&lt;=0,0,IF(ROUND(AY371*(1+'Calc base'!M372),2)-MAX('Calc base'!H$12,ROUND('Calc base'!H$13*AY371,2))&lt;1,ROUND(AY371*(1+'Calc base'!M372),2),MAX('Calc base'!H$12,ROUND('Calc base'!H$13*AY371,2))))</f>
        <v>0</v>
      </c>
      <c r="P372">
        <f>IF(AZ371&lt;=0,0,IF(ROUND(AZ371*(1+'Calc base'!N372),2)-MAX('Calc base'!I$12,ROUND('Calc base'!I$13*AZ371,2))&lt;1,ROUND(AZ371*(1+'Calc base'!N372),2),MAX('Calc base'!I$12,ROUND('Calc base'!I$13*AZ371,2))))</f>
        <v>0</v>
      </c>
      <c r="Q372">
        <f>IF(BA371&lt;=0,0,IF(ROUND(BA371*(1+'Calc base'!O372),2)-MAX('Calc base'!J$12,ROUND('Calc base'!J$13*BA371,2))&lt;1,ROUND(BA371*(1+'Calc base'!O372),2),MAX('Calc base'!J$12,ROUND('Calc base'!J$13*BA371,2))))</f>
        <v>0</v>
      </c>
      <c r="R372">
        <f>IF(BB371&lt;=0,0,IF(ROUND(BB371*(1+'Calc base'!P372),2)-MAX('Calc base'!K$12,ROUND('Calc base'!K$13*BB371,2))&lt;1,ROUND(BB371*(1+'Calc base'!P372),2),MAX('Calc base'!K$12,ROUND('Calc base'!K$13*BB371,2))))</f>
        <v>0</v>
      </c>
      <c r="S372">
        <f>IF(BC371&lt;=0,0,IF(ROUND(BC371*(1+'Calc base'!Q372),2)-MAX('Calc base'!L$12,ROUND('Calc base'!L$13*BC371,2))&lt;1,ROUND(BC371*(1+'Calc base'!Q372),2),MAX('Calc base'!L$12,ROUND('Calc base'!L$13*BC371,2))))</f>
        <v>0</v>
      </c>
      <c r="T372">
        <f>IF(BD371&lt;=0,0,IF(ROUND(BD371*(1+'Calc base'!R372),2)-MAX('Calc base'!M$12,ROUND('Calc base'!M$13*BD371,2))&lt;1,ROUND(BD371*(1+'Calc base'!R372),2),MAX('Calc base'!M$12,ROUND('Calc base'!M$13*BD371,2))))</f>
        <v>0</v>
      </c>
      <c r="U372">
        <f>IF(BE371&lt;=0,0,IF(ROUND(BE371*(1+'Calc base'!S372),2)-MAX('Calc base'!N$12,ROUND('Calc base'!N$13*BE371,2))&lt;1,ROUND(BE371*(1+'Calc base'!S372),2),MAX('Calc base'!N$12,ROUND('Calc base'!N$13*BE371,2))))</f>
        <v>0</v>
      </c>
      <c r="V372">
        <f>MAX(0,ROUND(AT371*(1+'Calc base'!H372),2)-J372-'Calc base'!T372)</f>
        <v>0</v>
      </c>
      <c r="W372">
        <f>MAX(0,ROUND(AU371*(1+'Calc base'!I372),2)-K372-'Calc base'!U372)</f>
        <v>0</v>
      </c>
      <c r="X372">
        <f>MAX(0,ROUND(AV371*(1+'Calc base'!J372),2)-L372-'Calc base'!V372)</f>
        <v>0</v>
      </c>
      <c r="Y372">
        <f>MAX(0,ROUND(AW371*(1+'Calc base'!K372),2)-M372-'Calc base'!W372)</f>
        <v>0</v>
      </c>
      <c r="Z372">
        <f>MAX(0,ROUND(AX371*(1+'Calc base'!L372),2)-N372-'Calc base'!X372)</f>
        <v>0</v>
      </c>
      <c r="AA372">
        <f>MAX(0,ROUND(AY371*(1+'Calc base'!M372),2)-O372-'Calc base'!Y372)</f>
        <v>0</v>
      </c>
      <c r="AB372">
        <f>MAX(0,ROUND(AZ371*(1+'Calc base'!N372),2)-P372-'Calc base'!Z372)</f>
        <v>0</v>
      </c>
      <c r="AC372">
        <f>MAX(0,ROUND(BA371*(1+'Calc base'!O372),2)-Q372-'Calc base'!AA372)</f>
        <v>0</v>
      </c>
      <c r="AD372">
        <f>MAX(0,ROUND(BB371*(1+'Calc base'!P372),2)-R372-'Calc base'!AB372)</f>
        <v>0</v>
      </c>
      <c r="AE372">
        <f>MAX(0,ROUND(BC371*(1+'Calc base'!Q372),2)-S372-'Calc base'!AC372)</f>
        <v>0</v>
      </c>
      <c r="AF372">
        <f>MAX(0,ROUND(BD371*(1+'Calc base'!R372),2)-T372-'Calc base'!AD372)</f>
        <v>0</v>
      </c>
      <c r="AG372">
        <f>MAX(0,ROUND(BE371*(1+'Calc base'!S372),2)-U372-'Calc base'!AE372)</f>
        <v>0</v>
      </c>
      <c r="AH372">
        <f>IF('Calc base'!C$14=0,0,MIN(V372,MAX(0,$E372-SUMIFS($V372:$AG372,'Calc base'!$C$19:$N$19,"&lt;"&amp;'Calc base'!C$19,'Calc base'!$C$14:$N$14,1))))</f>
        <v>0</v>
      </c>
      <c r="AI372">
        <f>IF('Calc base'!D$14=0,0,MIN(W372,MAX(0,$E372-SUMIFS($V372:$AG372,'Calc base'!$C$19:$N$19,"&lt;"&amp;'Calc base'!D$19,'Calc base'!$C$14:$N$14,1))))</f>
        <v>0</v>
      </c>
      <c r="AJ372">
        <f>IF('Calc base'!E$14=0,0,MIN(X372,MAX(0,$E372-SUMIFS($V372:$AG372,'Calc base'!$C$19:$N$19,"&lt;"&amp;'Calc base'!E$19,'Calc base'!$C$14:$N$14,1))))</f>
        <v>0</v>
      </c>
      <c r="AK372">
        <f>IF('Calc base'!F$14=0,0,MIN(Y372,MAX(0,$E372-SUMIFS($V372:$AG372,'Calc base'!$C$19:$N$19,"&lt;"&amp;'Calc base'!F$19,'Calc base'!$C$14:$N$14,1))))</f>
        <v>0</v>
      </c>
      <c r="AL372">
        <f>IF('Calc base'!G$14=0,0,MIN(Z372,MAX(0,$E372-SUMIFS($V372:$AG372,'Calc base'!$C$19:$N$19,"&lt;"&amp;'Calc base'!G$19,'Calc base'!$C$14:$N$14,1))))</f>
        <v>0</v>
      </c>
      <c r="AM372">
        <f>IF('Calc base'!H$14=0,0,MIN(AA372,MAX(0,$E372-SUMIFS($V372:$AG372,'Calc base'!$C$19:$N$19,"&lt;"&amp;'Calc base'!H$19,'Calc base'!$C$14:$N$14,1))))</f>
        <v>0</v>
      </c>
      <c r="AN372">
        <f>IF('Calc base'!I$14=0,0,MIN(AB372,MAX(0,$E372-SUMIFS($V372:$AG372,'Calc base'!$C$19:$N$19,"&lt;"&amp;'Calc base'!I$19,'Calc base'!$C$14:$N$14,1))))</f>
        <v>0</v>
      </c>
      <c r="AO372">
        <f>IF('Calc base'!J$14=0,0,MIN(AC372,MAX(0,$E372-SUMIFS($V372:$AG372,'Calc base'!$C$19:$N$19,"&lt;"&amp;'Calc base'!J$19,'Calc base'!$C$14:$N$14,1))))</f>
        <v>0</v>
      </c>
      <c r="AP372">
        <f>IF('Calc base'!K$14=0,0,MIN(AD372,MAX(0,$E372-SUMIFS($V372:$AG372,'Calc base'!$C$19:$N$19,"&lt;"&amp;'Calc base'!K$19,'Calc base'!$C$14:$N$14,1))))</f>
        <v>0</v>
      </c>
      <c r="AQ372">
        <f>IF('Calc base'!L$14=0,0,MIN(AE372,MAX(0,$E372-SUMIFS($V372:$AG372,'Calc base'!$C$19:$N$19,"&lt;"&amp;'Calc base'!L$19,'Calc base'!$C$14:$N$14,1))))</f>
        <v>0</v>
      </c>
      <c r="AR372">
        <f>IF('Calc base'!M$14=0,0,MIN(AF372,MAX(0,$E372-SUMIFS($V372:$AG372,'Calc base'!$C$19:$N$19,"&lt;"&amp;'Calc base'!M$19,'Calc base'!$C$14:$N$14,1))))</f>
        <v>0</v>
      </c>
      <c r="AS372">
        <f>IF('Calc base'!N$14=0,0,MIN(AG372,MAX(0,$E372-SUMIFS($V372:$AG372,'Calc base'!$C$19:$N$19,"&lt;"&amp;'Calc base'!N$19,'Calc base'!$C$14:$N$14,1))))</f>
        <v>0</v>
      </c>
      <c r="AT372">
        <f>V372-AH372</f>
        <v>0</v>
      </c>
      <c r="AU372">
        <f>W372-AI372</f>
        <v>0</v>
      </c>
      <c r="AV372">
        <f>X372-AJ372</f>
        <v>0</v>
      </c>
      <c r="AW372">
        <f>Y372-AK372</f>
        <v>0</v>
      </c>
      <c r="AX372">
        <f>Z372-AL372</f>
        <v>0</v>
      </c>
      <c r="AY372">
        <f>AA372-AM372</f>
        <v>0</v>
      </c>
      <c r="AZ372">
        <f>AB372-AN372</f>
        <v>0</v>
      </c>
      <c r="BA372">
        <f>AC372-AO372</f>
        <v>0</v>
      </c>
      <c r="BB372">
        <f>AD372-AP372</f>
        <v>0</v>
      </c>
      <c r="BC372">
        <f>AE372-AQ372</f>
        <v>0</v>
      </c>
      <c r="BD372">
        <f>AF372-AR372</f>
        <v>0</v>
      </c>
      <c r="BE372">
        <f>AG372-AS372</f>
        <v>0</v>
      </c>
    </row>
    <row r="373">
      <c r="A373" t="n">
        <v>343</v>
      </c>
      <c r="B373">
        <f>SUMPRODUCT(ROUND($AT372:$BE372*(1+'Calc base'!$H373:$S373),2))</f>
        <v>0</v>
      </c>
      <c r="C373">
        <f>SUM(J373:U373)</f>
        <v>0</v>
      </c>
      <c r="D373">
        <f>SUM(V373:AG373)</f>
        <v>0</v>
      </c>
      <c r="E373">
        <f>MAX(0,IF(Impostazioni!$B$7="No",'Calc base'!$C373-$C$31,'Calc base'!$C373-C373)+'Calc base'!$G373+'Calc base'!$F373-(B373-C373-D373))</f>
        <v>900</v>
      </c>
      <c r="F373">
        <f>SUM(AH373:AS373)</f>
        <v>0</v>
      </c>
      <c r="G373">
        <f>SUM(AT373:BE373)</f>
        <v>0</v>
      </c>
      <c r="H373">
        <f>B373-G372</f>
        <v>0</v>
      </c>
      <c r="I373">
        <f>B373-G373</f>
        <v>0</v>
      </c>
      <c r="J373">
        <f>IF(AT372&lt;=0,0,IF(ROUND(AT372*(1+'Calc base'!H373),2)-MAX('Calc base'!C$12,ROUND('Calc base'!C$13*AT372,2))&lt;1,ROUND(AT372*(1+'Calc base'!H373),2),MAX('Calc base'!C$12,ROUND('Calc base'!C$13*AT372,2))))</f>
        <v>0</v>
      </c>
      <c r="K373">
        <f>IF(AU372&lt;=0,0,IF(ROUND(AU372*(1+'Calc base'!I373),2)-MAX('Calc base'!D$12,ROUND('Calc base'!D$13*AU372,2))&lt;1,ROUND(AU372*(1+'Calc base'!I373),2),MAX('Calc base'!D$12,ROUND('Calc base'!D$13*AU372,2))))</f>
        <v>0</v>
      </c>
      <c r="L373">
        <f>IF(AV372&lt;=0,0,IF(ROUND(AV372*(1+'Calc base'!J373),2)-MAX('Calc base'!E$12,ROUND('Calc base'!E$13*AV372,2))&lt;1,ROUND(AV372*(1+'Calc base'!J373),2),MAX('Calc base'!E$12,ROUND('Calc base'!E$13*AV372,2))))</f>
        <v>0</v>
      </c>
      <c r="M373">
        <f>IF(AW372&lt;=0,0,IF(ROUND(AW372*(1+'Calc base'!K373),2)-MAX('Calc base'!F$12,ROUND('Calc base'!F$13*AW372,2))&lt;1,ROUND(AW372*(1+'Calc base'!K373),2),MAX('Calc base'!F$12,ROUND('Calc base'!F$13*AW372,2))))</f>
        <v>0</v>
      </c>
      <c r="N373">
        <f>IF(AX372&lt;=0,0,IF(ROUND(AX372*(1+'Calc base'!L373),2)-MAX('Calc base'!G$12,ROUND('Calc base'!G$13*AX372,2))&lt;1,ROUND(AX372*(1+'Calc base'!L373),2),MAX('Calc base'!G$12,ROUND('Calc base'!G$13*AX372,2))))</f>
        <v>0</v>
      </c>
      <c r="O373">
        <f>IF(AY372&lt;=0,0,IF(ROUND(AY372*(1+'Calc base'!M373),2)-MAX('Calc base'!H$12,ROUND('Calc base'!H$13*AY372,2))&lt;1,ROUND(AY372*(1+'Calc base'!M373),2),MAX('Calc base'!H$12,ROUND('Calc base'!H$13*AY372,2))))</f>
        <v>0</v>
      </c>
      <c r="P373">
        <f>IF(AZ372&lt;=0,0,IF(ROUND(AZ372*(1+'Calc base'!N373),2)-MAX('Calc base'!I$12,ROUND('Calc base'!I$13*AZ372,2))&lt;1,ROUND(AZ372*(1+'Calc base'!N373),2),MAX('Calc base'!I$12,ROUND('Calc base'!I$13*AZ372,2))))</f>
        <v>0</v>
      </c>
      <c r="Q373">
        <f>IF(BA372&lt;=0,0,IF(ROUND(BA372*(1+'Calc base'!O373),2)-MAX('Calc base'!J$12,ROUND('Calc base'!J$13*BA372,2))&lt;1,ROUND(BA372*(1+'Calc base'!O373),2),MAX('Calc base'!J$12,ROUND('Calc base'!J$13*BA372,2))))</f>
        <v>0</v>
      </c>
      <c r="R373">
        <f>IF(BB372&lt;=0,0,IF(ROUND(BB372*(1+'Calc base'!P373),2)-MAX('Calc base'!K$12,ROUND('Calc base'!K$13*BB372,2))&lt;1,ROUND(BB372*(1+'Calc base'!P373),2),MAX('Calc base'!K$12,ROUND('Calc base'!K$13*BB372,2))))</f>
        <v>0</v>
      </c>
      <c r="S373">
        <f>IF(BC372&lt;=0,0,IF(ROUND(BC372*(1+'Calc base'!Q373),2)-MAX('Calc base'!L$12,ROUND('Calc base'!L$13*BC372,2))&lt;1,ROUND(BC372*(1+'Calc base'!Q373),2),MAX('Calc base'!L$12,ROUND('Calc base'!L$13*BC372,2))))</f>
        <v>0</v>
      </c>
      <c r="T373">
        <f>IF(BD372&lt;=0,0,IF(ROUND(BD372*(1+'Calc base'!R373),2)-MAX('Calc base'!M$12,ROUND('Calc base'!M$13*BD372,2))&lt;1,ROUND(BD372*(1+'Calc base'!R373),2),MAX('Calc base'!M$12,ROUND('Calc base'!M$13*BD372,2))))</f>
        <v>0</v>
      </c>
      <c r="U373">
        <f>IF(BE372&lt;=0,0,IF(ROUND(BE372*(1+'Calc base'!S373),2)-MAX('Calc base'!N$12,ROUND('Calc base'!N$13*BE372,2))&lt;1,ROUND(BE372*(1+'Calc base'!S373),2),MAX('Calc base'!N$12,ROUND('Calc base'!N$13*BE372,2))))</f>
        <v>0</v>
      </c>
      <c r="V373">
        <f>MAX(0,ROUND(AT372*(1+'Calc base'!H373),2)-J373-'Calc base'!T373)</f>
        <v>0</v>
      </c>
      <c r="W373">
        <f>MAX(0,ROUND(AU372*(1+'Calc base'!I373),2)-K373-'Calc base'!U373)</f>
        <v>0</v>
      </c>
      <c r="X373">
        <f>MAX(0,ROUND(AV372*(1+'Calc base'!J373),2)-L373-'Calc base'!V373)</f>
        <v>0</v>
      </c>
      <c r="Y373">
        <f>MAX(0,ROUND(AW372*(1+'Calc base'!K373),2)-M373-'Calc base'!W373)</f>
        <v>0</v>
      </c>
      <c r="Z373">
        <f>MAX(0,ROUND(AX372*(1+'Calc base'!L373),2)-N373-'Calc base'!X373)</f>
        <v>0</v>
      </c>
      <c r="AA373">
        <f>MAX(0,ROUND(AY372*(1+'Calc base'!M373),2)-O373-'Calc base'!Y373)</f>
        <v>0</v>
      </c>
      <c r="AB373">
        <f>MAX(0,ROUND(AZ372*(1+'Calc base'!N373),2)-P373-'Calc base'!Z373)</f>
        <v>0</v>
      </c>
      <c r="AC373">
        <f>MAX(0,ROUND(BA372*(1+'Calc base'!O373),2)-Q373-'Calc base'!AA373)</f>
        <v>0</v>
      </c>
      <c r="AD373">
        <f>MAX(0,ROUND(BB372*(1+'Calc base'!P373),2)-R373-'Calc base'!AB373)</f>
        <v>0</v>
      </c>
      <c r="AE373">
        <f>MAX(0,ROUND(BC372*(1+'Calc base'!Q373),2)-S373-'Calc base'!AC373)</f>
        <v>0</v>
      </c>
      <c r="AF373">
        <f>MAX(0,ROUND(BD372*(1+'Calc base'!R373),2)-T373-'Calc base'!AD373)</f>
        <v>0</v>
      </c>
      <c r="AG373">
        <f>MAX(0,ROUND(BE372*(1+'Calc base'!S373),2)-U373-'Calc base'!AE373)</f>
        <v>0</v>
      </c>
      <c r="AH373">
        <f>IF('Calc base'!C$14=0,0,MIN(V373,MAX(0,$E373-SUMIFS($V373:$AG373,'Calc base'!$C$19:$N$19,"&lt;"&amp;'Calc base'!C$19,'Calc base'!$C$14:$N$14,1))))</f>
        <v>0</v>
      </c>
      <c r="AI373">
        <f>IF('Calc base'!D$14=0,0,MIN(W373,MAX(0,$E373-SUMIFS($V373:$AG373,'Calc base'!$C$19:$N$19,"&lt;"&amp;'Calc base'!D$19,'Calc base'!$C$14:$N$14,1))))</f>
        <v>0</v>
      </c>
      <c r="AJ373">
        <f>IF('Calc base'!E$14=0,0,MIN(X373,MAX(0,$E373-SUMIFS($V373:$AG373,'Calc base'!$C$19:$N$19,"&lt;"&amp;'Calc base'!E$19,'Calc base'!$C$14:$N$14,1))))</f>
        <v>0</v>
      </c>
      <c r="AK373">
        <f>IF('Calc base'!F$14=0,0,MIN(Y373,MAX(0,$E373-SUMIFS($V373:$AG373,'Calc base'!$C$19:$N$19,"&lt;"&amp;'Calc base'!F$19,'Calc base'!$C$14:$N$14,1))))</f>
        <v>0</v>
      </c>
      <c r="AL373">
        <f>IF('Calc base'!G$14=0,0,MIN(Z373,MAX(0,$E373-SUMIFS($V373:$AG373,'Calc base'!$C$19:$N$19,"&lt;"&amp;'Calc base'!G$19,'Calc base'!$C$14:$N$14,1))))</f>
        <v>0</v>
      </c>
      <c r="AM373">
        <f>IF('Calc base'!H$14=0,0,MIN(AA373,MAX(0,$E373-SUMIFS($V373:$AG373,'Calc base'!$C$19:$N$19,"&lt;"&amp;'Calc base'!H$19,'Calc base'!$C$14:$N$14,1))))</f>
        <v>0</v>
      </c>
      <c r="AN373">
        <f>IF('Calc base'!I$14=0,0,MIN(AB373,MAX(0,$E373-SUMIFS($V373:$AG373,'Calc base'!$C$19:$N$19,"&lt;"&amp;'Calc base'!I$19,'Calc base'!$C$14:$N$14,1))))</f>
        <v>0</v>
      </c>
      <c r="AO373">
        <f>IF('Calc base'!J$14=0,0,MIN(AC373,MAX(0,$E373-SUMIFS($V373:$AG373,'Calc base'!$C$19:$N$19,"&lt;"&amp;'Calc base'!J$19,'Calc base'!$C$14:$N$14,1))))</f>
        <v>0</v>
      </c>
      <c r="AP373">
        <f>IF('Calc base'!K$14=0,0,MIN(AD373,MAX(0,$E373-SUMIFS($V373:$AG373,'Calc base'!$C$19:$N$19,"&lt;"&amp;'Calc base'!K$19,'Calc base'!$C$14:$N$14,1))))</f>
        <v>0</v>
      </c>
      <c r="AQ373">
        <f>IF('Calc base'!L$14=0,0,MIN(AE373,MAX(0,$E373-SUMIFS($V373:$AG373,'Calc base'!$C$19:$N$19,"&lt;"&amp;'Calc base'!L$19,'Calc base'!$C$14:$N$14,1))))</f>
        <v>0</v>
      </c>
      <c r="AR373">
        <f>IF('Calc base'!M$14=0,0,MIN(AF373,MAX(0,$E373-SUMIFS($V373:$AG373,'Calc base'!$C$19:$N$19,"&lt;"&amp;'Calc base'!M$19,'Calc base'!$C$14:$N$14,1))))</f>
        <v>0</v>
      </c>
      <c r="AS373">
        <f>IF('Calc base'!N$14=0,0,MIN(AG373,MAX(0,$E373-SUMIFS($V373:$AG373,'Calc base'!$C$19:$N$19,"&lt;"&amp;'Calc base'!N$19,'Calc base'!$C$14:$N$14,1))))</f>
        <v>0</v>
      </c>
      <c r="AT373">
        <f>V373-AH373</f>
        <v>0</v>
      </c>
      <c r="AU373">
        <f>W373-AI373</f>
        <v>0</v>
      </c>
      <c r="AV373">
        <f>X373-AJ373</f>
        <v>0</v>
      </c>
      <c r="AW373">
        <f>Y373-AK373</f>
        <v>0</v>
      </c>
      <c r="AX373">
        <f>Z373-AL373</f>
        <v>0</v>
      </c>
      <c r="AY373">
        <f>AA373-AM373</f>
        <v>0</v>
      </c>
      <c r="AZ373">
        <f>AB373-AN373</f>
        <v>0</v>
      </c>
      <c r="BA373">
        <f>AC373-AO373</f>
        <v>0</v>
      </c>
      <c r="BB373">
        <f>AD373-AP373</f>
        <v>0</v>
      </c>
      <c r="BC373">
        <f>AE373-AQ373</f>
        <v>0</v>
      </c>
      <c r="BD373">
        <f>AF373-AR373</f>
        <v>0</v>
      </c>
      <c r="BE373">
        <f>AG373-AS373</f>
        <v>0</v>
      </c>
    </row>
    <row r="374">
      <c r="A374" t="n">
        <v>344</v>
      </c>
      <c r="B374">
        <f>SUMPRODUCT(ROUND($AT373:$BE373*(1+'Calc base'!$H374:$S374),2))</f>
        <v>0</v>
      </c>
      <c r="C374">
        <f>SUM(J374:U374)</f>
        <v>0</v>
      </c>
      <c r="D374">
        <f>SUM(V374:AG374)</f>
        <v>0</v>
      </c>
      <c r="E374">
        <f>MAX(0,IF(Impostazioni!$B$7="No",'Calc base'!$C374-$C$31,'Calc base'!$C374-C374)+'Calc base'!$G374+'Calc base'!$F374-(B374-C374-D374))</f>
        <v>900</v>
      </c>
      <c r="F374">
        <f>SUM(AH374:AS374)</f>
        <v>0</v>
      </c>
      <c r="G374">
        <f>SUM(AT374:BE374)</f>
        <v>0</v>
      </c>
      <c r="H374">
        <f>B374-G373</f>
        <v>0</v>
      </c>
      <c r="I374">
        <f>B374-G374</f>
        <v>0</v>
      </c>
      <c r="J374">
        <f>IF(AT373&lt;=0,0,IF(ROUND(AT373*(1+'Calc base'!H374),2)-MAX('Calc base'!C$12,ROUND('Calc base'!C$13*AT373,2))&lt;1,ROUND(AT373*(1+'Calc base'!H374),2),MAX('Calc base'!C$12,ROUND('Calc base'!C$13*AT373,2))))</f>
        <v>0</v>
      </c>
      <c r="K374">
        <f>IF(AU373&lt;=0,0,IF(ROUND(AU373*(1+'Calc base'!I374),2)-MAX('Calc base'!D$12,ROUND('Calc base'!D$13*AU373,2))&lt;1,ROUND(AU373*(1+'Calc base'!I374),2),MAX('Calc base'!D$12,ROUND('Calc base'!D$13*AU373,2))))</f>
        <v>0</v>
      </c>
      <c r="L374">
        <f>IF(AV373&lt;=0,0,IF(ROUND(AV373*(1+'Calc base'!J374),2)-MAX('Calc base'!E$12,ROUND('Calc base'!E$13*AV373,2))&lt;1,ROUND(AV373*(1+'Calc base'!J374),2),MAX('Calc base'!E$12,ROUND('Calc base'!E$13*AV373,2))))</f>
        <v>0</v>
      </c>
      <c r="M374">
        <f>IF(AW373&lt;=0,0,IF(ROUND(AW373*(1+'Calc base'!K374),2)-MAX('Calc base'!F$12,ROUND('Calc base'!F$13*AW373,2))&lt;1,ROUND(AW373*(1+'Calc base'!K374),2),MAX('Calc base'!F$12,ROUND('Calc base'!F$13*AW373,2))))</f>
        <v>0</v>
      </c>
      <c r="N374">
        <f>IF(AX373&lt;=0,0,IF(ROUND(AX373*(1+'Calc base'!L374),2)-MAX('Calc base'!G$12,ROUND('Calc base'!G$13*AX373,2))&lt;1,ROUND(AX373*(1+'Calc base'!L374),2),MAX('Calc base'!G$12,ROUND('Calc base'!G$13*AX373,2))))</f>
        <v>0</v>
      </c>
      <c r="O374">
        <f>IF(AY373&lt;=0,0,IF(ROUND(AY373*(1+'Calc base'!M374),2)-MAX('Calc base'!H$12,ROUND('Calc base'!H$13*AY373,2))&lt;1,ROUND(AY373*(1+'Calc base'!M374),2),MAX('Calc base'!H$12,ROUND('Calc base'!H$13*AY373,2))))</f>
        <v>0</v>
      </c>
      <c r="P374">
        <f>IF(AZ373&lt;=0,0,IF(ROUND(AZ373*(1+'Calc base'!N374),2)-MAX('Calc base'!I$12,ROUND('Calc base'!I$13*AZ373,2))&lt;1,ROUND(AZ373*(1+'Calc base'!N374),2),MAX('Calc base'!I$12,ROUND('Calc base'!I$13*AZ373,2))))</f>
        <v>0</v>
      </c>
      <c r="Q374">
        <f>IF(BA373&lt;=0,0,IF(ROUND(BA373*(1+'Calc base'!O374),2)-MAX('Calc base'!J$12,ROUND('Calc base'!J$13*BA373,2))&lt;1,ROUND(BA373*(1+'Calc base'!O374),2),MAX('Calc base'!J$12,ROUND('Calc base'!J$13*BA373,2))))</f>
        <v>0</v>
      </c>
      <c r="R374">
        <f>IF(BB373&lt;=0,0,IF(ROUND(BB373*(1+'Calc base'!P374),2)-MAX('Calc base'!K$12,ROUND('Calc base'!K$13*BB373,2))&lt;1,ROUND(BB373*(1+'Calc base'!P374),2),MAX('Calc base'!K$12,ROUND('Calc base'!K$13*BB373,2))))</f>
        <v>0</v>
      </c>
      <c r="S374">
        <f>IF(BC373&lt;=0,0,IF(ROUND(BC373*(1+'Calc base'!Q374),2)-MAX('Calc base'!L$12,ROUND('Calc base'!L$13*BC373,2))&lt;1,ROUND(BC373*(1+'Calc base'!Q374),2),MAX('Calc base'!L$12,ROUND('Calc base'!L$13*BC373,2))))</f>
        <v>0</v>
      </c>
      <c r="T374">
        <f>IF(BD373&lt;=0,0,IF(ROUND(BD373*(1+'Calc base'!R374),2)-MAX('Calc base'!M$12,ROUND('Calc base'!M$13*BD373,2))&lt;1,ROUND(BD373*(1+'Calc base'!R374),2),MAX('Calc base'!M$12,ROUND('Calc base'!M$13*BD373,2))))</f>
        <v>0</v>
      </c>
      <c r="U374">
        <f>IF(BE373&lt;=0,0,IF(ROUND(BE373*(1+'Calc base'!S374),2)-MAX('Calc base'!N$12,ROUND('Calc base'!N$13*BE373,2))&lt;1,ROUND(BE373*(1+'Calc base'!S374),2),MAX('Calc base'!N$12,ROUND('Calc base'!N$13*BE373,2))))</f>
        <v>0</v>
      </c>
      <c r="V374">
        <f>MAX(0,ROUND(AT373*(1+'Calc base'!H374),2)-J374-'Calc base'!T374)</f>
        <v>0</v>
      </c>
      <c r="W374">
        <f>MAX(0,ROUND(AU373*(1+'Calc base'!I374),2)-K374-'Calc base'!U374)</f>
        <v>0</v>
      </c>
      <c r="X374">
        <f>MAX(0,ROUND(AV373*(1+'Calc base'!J374),2)-L374-'Calc base'!V374)</f>
        <v>0</v>
      </c>
      <c r="Y374">
        <f>MAX(0,ROUND(AW373*(1+'Calc base'!K374),2)-M374-'Calc base'!W374)</f>
        <v>0</v>
      </c>
      <c r="Z374">
        <f>MAX(0,ROUND(AX373*(1+'Calc base'!L374),2)-N374-'Calc base'!X374)</f>
        <v>0</v>
      </c>
      <c r="AA374">
        <f>MAX(0,ROUND(AY373*(1+'Calc base'!M374),2)-O374-'Calc base'!Y374)</f>
        <v>0</v>
      </c>
      <c r="AB374">
        <f>MAX(0,ROUND(AZ373*(1+'Calc base'!N374),2)-P374-'Calc base'!Z374)</f>
        <v>0</v>
      </c>
      <c r="AC374">
        <f>MAX(0,ROUND(BA373*(1+'Calc base'!O374),2)-Q374-'Calc base'!AA374)</f>
        <v>0</v>
      </c>
      <c r="AD374">
        <f>MAX(0,ROUND(BB373*(1+'Calc base'!P374),2)-R374-'Calc base'!AB374)</f>
        <v>0</v>
      </c>
      <c r="AE374">
        <f>MAX(0,ROUND(BC373*(1+'Calc base'!Q374),2)-S374-'Calc base'!AC374)</f>
        <v>0</v>
      </c>
      <c r="AF374">
        <f>MAX(0,ROUND(BD373*(1+'Calc base'!R374),2)-T374-'Calc base'!AD374)</f>
        <v>0</v>
      </c>
      <c r="AG374">
        <f>MAX(0,ROUND(BE373*(1+'Calc base'!S374),2)-U374-'Calc base'!AE374)</f>
        <v>0</v>
      </c>
      <c r="AH374">
        <f>IF('Calc base'!C$14=0,0,MIN(V374,MAX(0,$E374-SUMIFS($V374:$AG374,'Calc base'!$C$19:$N$19,"&lt;"&amp;'Calc base'!C$19,'Calc base'!$C$14:$N$14,1))))</f>
        <v>0</v>
      </c>
      <c r="AI374">
        <f>IF('Calc base'!D$14=0,0,MIN(W374,MAX(0,$E374-SUMIFS($V374:$AG374,'Calc base'!$C$19:$N$19,"&lt;"&amp;'Calc base'!D$19,'Calc base'!$C$14:$N$14,1))))</f>
        <v>0</v>
      </c>
      <c r="AJ374">
        <f>IF('Calc base'!E$14=0,0,MIN(X374,MAX(0,$E374-SUMIFS($V374:$AG374,'Calc base'!$C$19:$N$19,"&lt;"&amp;'Calc base'!E$19,'Calc base'!$C$14:$N$14,1))))</f>
        <v>0</v>
      </c>
      <c r="AK374">
        <f>IF('Calc base'!F$14=0,0,MIN(Y374,MAX(0,$E374-SUMIFS($V374:$AG374,'Calc base'!$C$19:$N$19,"&lt;"&amp;'Calc base'!F$19,'Calc base'!$C$14:$N$14,1))))</f>
        <v>0</v>
      </c>
      <c r="AL374">
        <f>IF('Calc base'!G$14=0,0,MIN(Z374,MAX(0,$E374-SUMIFS($V374:$AG374,'Calc base'!$C$19:$N$19,"&lt;"&amp;'Calc base'!G$19,'Calc base'!$C$14:$N$14,1))))</f>
        <v>0</v>
      </c>
      <c r="AM374">
        <f>IF('Calc base'!H$14=0,0,MIN(AA374,MAX(0,$E374-SUMIFS($V374:$AG374,'Calc base'!$C$19:$N$19,"&lt;"&amp;'Calc base'!H$19,'Calc base'!$C$14:$N$14,1))))</f>
        <v>0</v>
      </c>
      <c r="AN374">
        <f>IF('Calc base'!I$14=0,0,MIN(AB374,MAX(0,$E374-SUMIFS($V374:$AG374,'Calc base'!$C$19:$N$19,"&lt;"&amp;'Calc base'!I$19,'Calc base'!$C$14:$N$14,1))))</f>
        <v>0</v>
      </c>
      <c r="AO374">
        <f>IF('Calc base'!J$14=0,0,MIN(AC374,MAX(0,$E374-SUMIFS($V374:$AG374,'Calc base'!$C$19:$N$19,"&lt;"&amp;'Calc base'!J$19,'Calc base'!$C$14:$N$14,1))))</f>
        <v>0</v>
      </c>
      <c r="AP374">
        <f>IF('Calc base'!K$14=0,0,MIN(AD374,MAX(0,$E374-SUMIFS($V374:$AG374,'Calc base'!$C$19:$N$19,"&lt;"&amp;'Calc base'!K$19,'Calc base'!$C$14:$N$14,1))))</f>
        <v>0</v>
      </c>
      <c r="AQ374">
        <f>IF('Calc base'!L$14=0,0,MIN(AE374,MAX(0,$E374-SUMIFS($V374:$AG374,'Calc base'!$C$19:$N$19,"&lt;"&amp;'Calc base'!L$19,'Calc base'!$C$14:$N$14,1))))</f>
        <v>0</v>
      </c>
      <c r="AR374">
        <f>IF('Calc base'!M$14=0,0,MIN(AF374,MAX(0,$E374-SUMIFS($V374:$AG374,'Calc base'!$C$19:$N$19,"&lt;"&amp;'Calc base'!M$19,'Calc base'!$C$14:$N$14,1))))</f>
        <v>0</v>
      </c>
      <c r="AS374">
        <f>IF('Calc base'!N$14=0,0,MIN(AG374,MAX(0,$E374-SUMIFS($V374:$AG374,'Calc base'!$C$19:$N$19,"&lt;"&amp;'Calc base'!N$19,'Calc base'!$C$14:$N$14,1))))</f>
        <v>0</v>
      </c>
      <c r="AT374">
        <f>V374-AH374</f>
        <v>0</v>
      </c>
      <c r="AU374">
        <f>W374-AI374</f>
        <v>0</v>
      </c>
      <c r="AV374">
        <f>X374-AJ374</f>
        <v>0</v>
      </c>
      <c r="AW374">
        <f>Y374-AK374</f>
        <v>0</v>
      </c>
      <c r="AX374">
        <f>Z374-AL374</f>
        <v>0</v>
      </c>
      <c r="AY374">
        <f>AA374-AM374</f>
        <v>0</v>
      </c>
      <c r="AZ374">
        <f>AB374-AN374</f>
        <v>0</v>
      </c>
      <c r="BA374">
        <f>AC374-AO374</f>
        <v>0</v>
      </c>
      <c r="BB374">
        <f>AD374-AP374</f>
        <v>0</v>
      </c>
      <c r="BC374">
        <f>AE374-AQ374</f>
        <v>0</v>
      </c>
      <c r="BD374">
        <f>AF374-AR374</f>
        <v>0</v>
      </c>
      <c r="BE374">
        <f>AG374-AS374</f>
        <v>0</v>
      </c>
    </row>
    <row r="375">
      <c r="A375" t="n">
        <v>345</v>
      </c>
      <c r="B375">
        <f>SUMPRODUCT(ROUND($AT374:$BE374*(1+'Calc base'!$H375:$S375),2))</f>
        <v>0</v>
      </c>
      <c r="C375">
        <f>SUM(J375:U375)</f>
        <v>0</v>
      </c>
      <c r="D375">
        <f>SUM(V375:AG375)</f>
        <v>0</v>
      </c>
      <c r="E375">
        <f>MAX(0,IF(Impostazioni!$B$7="No",'Calc base'!$C375-$C$31,'Calc base'!$C375-C375)+'Calc base'!$G375+'Calc base'!$F375-(B375-C375-D375))</f>
        <v>900</v>
      </c>
      <c r="F375">
        <f>SUM(AH375:AS375)</f>
        <v>0</v>
      </c>
      <c r="G375">
        <f>SUM(AT375:BE375)</f>
        <v>0</v>
      </c>
      <c r="H375">
        <f>B375-G374</f>
        <v>0</v>
      </c>
      <c r="I375">
        <f>B375-G375</f>
        <v>0</v>
      </c>
      <c r="J375">
        <f>IF(AT374&lt;=0,0,IF(ROUND(AT374*(1+'Calc base'!H375),2)-MAX('Calc base'!C$12,ROUND('Calc base'!C$13*AT374,2))&lt;1,ROUND(AT374*(1+'Calc base'!H375),2),MAX('Calc base'!C$12,ROUND('Calc base'!C$13*AT374,2))))</f>
        <v>0</v>
      </c>
      <c r="K375">
        <f>IF(AU374&lt;=0,0,IF(ROUND(AU374*(1+'Calc base'!I375),2)-MAX('Calc base'!D$12,ROUND('Calc base'!D$13*AU374,2))&lt;1,ROUND(AU374*(1+'Calc base'!I375),2),MAX('Calc base'!D$12,ROUND('Calc base'!D$13*AU374,2))))</f>
        <v>0</v>
      </c>
      <c r="L375">
        <f>IF(AV374&lt;=0,0,IF(ROUND(AV374*(1+'Calc base'!J375),2)-MAX('Calc base'!E$12,ROUND('Calc base'!E$13*AV374,2))&lt;1,ROUND(AV374*(1+'Calc base'!J375),2),MAX('Calc base'!E$12,ROUND('Calc base'!E$13*AV374,2))))</f>
        <v>0</v>
      </c>
      <c r="M375">
        <f>IF(AW374&lt;=0,0,IF(ROUND(AW374*(1+'Calc base'!K375),2)-MAX('Calc base'!F$12,ROUND('Calc base'!F$13*AW374,2))&lt;1,ROUND(AW374*(1+'Calc base'!K375),2),MAX('Calc base'!F$12,ROUND('Calc base'!F$13*AW374,2))))</f>
        <v>0</v>
      </c>
      <c r="N375">
        <f>IF(AX374&lt;=0,0,IF(ROUND(AX374*(1+'Calc base'!L375),2)-MAX('Calc base'!G$12,ROUND('Calc base'!G$13*AX374,2))&lt;1,ROUND(AX374*(1+'Calc base'!L375),2),MAX('Calc base'!G$12,ROUND('Calc base'!G$13*AX374,2))))</f>
        <v>0</v>
      </c>
      <c r="O375">
        <f>IF(AY374&lt;=0,0,IF(ROUND(AY374*(1+'Calc base'!M375),2)-MAX('Calc base'!H$12,ROUND('Calc base'!H$13*AY374,2))&lt;1,ROUND(AY374*(1+'Calc base'!M375),2),MAX('Calc base'!H$12,ROUND('Calc base'!H$13*AY374,2))))</f>
        <v>0</v>
      </c>
      <c r="P375">
        <f>IF(AZ374&lt;=0,0,IF(ROUND(AZ374*(1+'Calc base'!N375),2)-MAX('Calc base'!I$12,ROUND('Calc base'!I$13*AZ374,2))&lt;1,ROUND(AZ374*(1+'Calc base'!N375),2),MAX('Calc base'!I$12,ROUND('Calc base'!I$13*AZ374,2))))</f>
        <v>0</v>
      </c>
      <c r="Q375">
        <f>IF(BA374&lt;=0,0,IF(ROUND(BA374*(1+'Calc base'!O375),2)-MAX('Calc base'!J$12,ROUND('Calc base'!J$13*BA374,2))&lt;1,ROUND(BA374*(1+'Calc base'!O375),2),MAX('Calc base'!J$12,ROUND('Calc base'!J$13*BA374,2))))</f>
        <v>0</v>
      </c>
      <c r="R375">
        <f>IF(BB374&lt;=0,0,IF(ROUND(BB374*(1+'Calc base'!P375),2)-MAX('Calc base'!K$12,ROUND('Calc base'!K$13*BB374,2))&lt;1,ROUND(BB374*(1+'Calc base'!P375),2),MAX('Calc base'!K$12,ROUND('Calc base'!K$13*BB374,2))))</f>
        <v>0</v>
      </c>
      <c r="S375">
        <f>IF(BC374&lt;=0,0,IF(ROUND(BC374*(1+'Calc base'!Q375),2)-MAX('Calc base'!L$12,ROUND('Calc base'!L$13*BC374,2))&lt;1,ROUND(BC374*(1+'Calc base'!Q375),2),MAX('Calc base'!L$12,ROUND('Calc base'!L$13*BC374,2))))</f>
        <v>0</v>
      </c>
      <c r="T375">
        <f>IF(BD374&lt;=0,0,IF(ROUND(BD374*(1+'Calc base'!R375),2)-MAX('Calc base'!M$12,ROUND('Calc base'!M$13*BD374,2))&lt;1,ROUND(BD374*(1+'Calc base'!R375),2),MAX('Calc base'!M$12,ROUND('Calc base'!M$13*BD374,2))))</f>
        <v>0</v>
      </c>
      <c r="U375">
        <f>IF(BE374&lt;=0,0,IF(ROUND(BE374*(1+'Calc base'!S375),2)-MAX('Calc base'!N$12,ROUND('Calc base'!N$13*BE374,2))&lt;1,ROUND(BE374*(1+'Calc base'!S375),2),MAX('Calc base'!N$12,ROUND('Calc base'!N$13*BE374,2))))</f>
        <v>0</v>
      </c>
      <c r="V375">
        <f>MAX(0,ROUND(AT374*(1+'Calc base'!H375),2)-J375-'Calc base'!T375)</f>
        <v>0</v>
      </c>
      <c r="W375">
        <f>MAX(0,ROUND(AU374*(1+'Calc base'!I375),2)-K375-'Calc base'!U375)</f>
        <v>0</v>
      </c>
      <c r="X375">
        <f>MAX(0,ROUND(AV374*(1+'Calc base'!J375),2)-L375-'Calc base'!V375)</f>
        <v>0</v>
      </c>
      <c r="Y375">
        <f>MAX(0,ROUND(AW374*(1+'Calc base'!K375),2)-M375-'Calc base'!W375)</f>
        <v>0</v>
      </c>
      <c r="Z375">
        <f>MAX(0,ROUND(AX374*(1+'Calc base'!L375),2)-N375-'Calc base'!X375)</f>
        <v>0</v>
      </c>
      <c r="AA375">
        <f>MAX(0,ROUND(AY374*(1+'Calc base'!M375),2)-O375-'Calc base'!Y375)</f>
        <v>0</v>
      </c>
      <c r="AB375">
        <f>MAX(0,ROUND(AZ374*(1+'Calc base'!N375),2)-P375-'Calc base'!Z375)</f>
        <v>0</v>
      </c>
      <c r="AC375">
        <f>MAX(0,ROUND(BA374*(1+'Calc base'!O375),2)-Q375-'Calc base'!AA375)</f>
        <v>0</v>
      </c>
      <c r="AD375">
        <f>MAX(0,ROUND(BB374*(1+'Calc base'!P375),2)-R375-'Calc base'!AB375)</f>
        <v>0</v>
      </c>
      <c r="AE375">
        <f>MAX(0,ROUND(BC374*(1+'Calc base'!Q375),2)-S375-'Calc base'!AC375)</f>
        <v>0</v>
      </c>
      <c r="AF375">
        <f>MAX(0,ROUND(BD374*(1+'Calc base'!R375),2)-T375-'Calc base'!AD375)</f>
        <v>0</v>
      </c>
      <c r="AG375">
        <f>MAX(0,ROUND(BE374*(1+'Calc base'!S375),2)-U375-'Calc base'!AE375)</f>
        <v>0</v>
      </c>
      <c r="AH375">
        <f>IF('Calc base'!C$14=0,0,MIN(V375,MAX(0,$E375-SUMIFS($V375:$AG375,'Calc base'!$C$19:$N$19,"&lt;"&amp;'Calc base'!C$19,'Calc base'!$C$14:$N$14,1))))</f>
        <v>0</v>
      </c>
      <c r="AI375">
        <f>IF('Calc base'!D$14=0,0,MIN(W375,MAX(0,$E375-SUMIFS($V375:$AG375,'Calc base'!$C$19:$N$19,"&lt;"&amp;'Calc base'!D$19,'Calc base'!$C$14:$N$14,1))))</f>
        <v>0</v>
      </c>
      <c r="AJ375">
        <f>IF('Calc base'!E$14=0,0,MIN(X375,MAX(0,$E375-SUMIFS($V375:$AG375,'Calc base'!$C$19:$N$19,"&lt;"&amp;'Calc base'!E$19,'Calc base'!$C$14:$N$14,1))))</f>
        <v>0</v>
      </c>
      <c r="AK375">
        <f>IF('Calc base'!F$14=0,0,MIN(Y375,MAX(0,$E375-SUMIFS($V375:$AG375,'Calc base'!$C$19:$N$19,"&lt;"&amp;'Calc base'!F$19,'Calc base'!$C$14:$N$14,1))))</f>
        <v>0</v>
      </c>
      <c r="AL375">
        <f>IF('Calc base'!G$14=0,0,MIN(Z375,MAX(0,$E375-SUMIFS($V375:$AG375,'Calc base'!$C$19:$N$19,"&lt;"&amp;'Calc base'!G$19,'Calc base'!$C$14:$N$14,1))))</f>
        <v>0</v>
      </c>
      <c r="AM375">
        <f>IF('Calc base'!H$14=0,0,MIN(AA375,MAX(0,$E375-SUMIFS($V375:$AG375,'Calc base'!$C$19:$N$19,"&lt;"&amp;'Calc base'!H$19,'Calc base'!$C$14:$N$14,1))))</f>
        <v>0</v>
      </c>
      <c r="AN375">
        <f>IF('Calc base'!I$14=0,0,MIN(AB375,MAX(0,$E375-SUMIFS($V375:$AG375,'Calc base'!$C$19:$N$19,"&lt;"&amp;'Calc base'!I$19,'Calc base'!$C$14:$N$14,1))))</f>
        <v>0</v>
      </c>
      <c r="AO375">
        <f>IF('Calc base'!J$14=0,0,MIN(AC375,MAX(0,$E375-SUMIFS($V375:$AG375,'Calc base'!$C$19:$N$19,"&lt;"&amp;'Calc base'!J$19,'Calc base'!$C$14:$N$14,1))))</f>
        <v>0</v>
      </c>
      <c r="AP375">
        <f>IF('Calc base'!K$14=0,0,MIN(AD375,MAX(0,$E375-SUMIFS($V375:$AG375,'Calc base'!$C$19:$N$19,"&lt;"&amp;'Calc base'!K$19,'Calc base'!$C$14:$N$14,1))))</f>
        <v>0</v>
      </c>
      <c r="AQ375">
        <f>IF('Calc base'!L$14=0,0,MIN(AE375,MAX(0,$E375-SUMIFS($V375:$AG375,'Calc base'!$C$19:$N$19,"&lt;"&amp;'Calc base'!L$19,'Calc base'!$C$14:$N$14,1))))</f>
        <v>0</v>
      </c>
      <c r="AR375">
        <f>IF('Calc base'!M$14=0,0,MIN(AF375,MAX(0,$E375-SUMIFS($V375:$AG375,'Calc base'!$C$19:$N$19,"&lt;"&amp;'Calc base'!M$19,'Calc base'!$C$14:$N$14,1))))</f>
        <v>0</v>
      </c>
      <c r="AS375">
        <f>IF('Calc base'!N$14=0,0,MIN(AG375,MAX(0,$E375-SUMIFS($V375:$AG375,'Calc base'!$C$19:$N$19,"&lt;"&amp;'Calc base'!N$19,'Calc base'!$C$14:$N$14,1))))</f>
        <v>0</v>
      </c>
      <c r="AT375">
        <f>V375-AH375</f>
        <v>0</v>
      </c>
      <c r="AU375">
        <f>W375-AI375</f>
        <v>0</v>
      </c>
      <c r="AV375">
        <f>X375-AJ375</f>
        <v>0</v>
      </c>
      <c r="AW375">
        <f>Y375-AK375</f>
        <v>0</v>
      </c>
      <c r="AX375">
        <f>Z375-AL375</f>
        <v>0</v>
      </c>
      <c r="AY375">
        <f>AA375-AM375</f>
        <v>0</v>
      </c>
      <c r="AZ375">
        <f>AB375-AN375</f>
        <v>0</v>
      </c>
      <c r="BA375">
        <f>AC375-AO375</f>
        <v>0</v>
      </c>
      <c r="BB375">
        <f>AD375-AP375</f>
        <v>0</v>
      </c>
      <c r="BC375">
        <f>AE375-AQ375</f>
        <v>0</v>
      </c>
      <c r="BD375">
        <f>AF375-AR375</f>
        <v>0</v>
      </c>
      <c r="BE375">
        <f>AG375-AS375</f>
        <v>0</v>
      </c>
    </row>
    <row r="376">
      <c r="A376" t="n">
        <v>346</v>
      </c>
      <c r="B376">
        <f>SUMPRODUCT(ROUND($AT375:$BE375*(1+'Calc base'!$H376:$S376),2))</f>
        <v>0</v>
      </c>
      <c r="C376">
        <f>SUM(J376:U376)</f>
        <v>0</v>
      </c>
      <c r="D376">
        <f>SUM(V376:AG376)</f>
        <v>0</v>
      </c>
      <c r="E376">
        <f>MAX(0,IF(Impostazioni!$B$7="No",'Calc base'!$C376-$C$31,'Calc base'!$C376-C376)+'Calc base'!$G376+'Calc base'!$F376-(B376-C376-D376))</f>
        <v>900</v>
      </c>
      <c r="F376">
        <f>SUM(AH376:AS376)</f>
        <v>0</v>
      </c>
      <c r="G376">
        <f>SUM(AT376:BE376)</f>
        <v>0</v>
      </c>
      <c r="H376">
        <f>B376-G375</f>
        <v>0</v>
      </c>
      <c r="I376">
        <f>B376-G376</f>
        <v>0</v>
      </c>
      <c r="J376">
        <f>IF(AT375&lt;=0,0,IF(ROUND(AT375*(1+'Calc base'!H376),2)-MAX('Calc base'!C$12,ROUND('Calc base'!C$13*AT375,2))&lt;1,ROUND(AT375*(1+'Calc base'!H376),2),MAX('Calc base'!C$12,ROUND('Calc base'!C$13*AT375,2))))</f>
        <v>0</v>
      </c>
      <c r="K376">
        <f>IF(AU375&lt;=0,0,IF(ROUND(AU375*(1+'Calc base'!I376),2)-MAX('Calc base'!D$12,ROUND('Calc base'!D$13*AU375,2))&lt;1,ROUND(AU375*(1+'Calc base'!I376),2),MAX('Calc base'!D$12,ROUND('Calc base'!D$13*AU375,2))))</f>
        <v>0</v>
      </c>
      <c r="L376">
        <f>IF(AV375&lt;=0,0,IF(ROUND(AV375*(1+'Calc base'!J376),2)-MAX('Calc base'!E$12,ROUND('Calc base'!E$13*AV375,2))&lt;1,ROUND(AV375*(1+'Calc base'!J376),2),MAX('Calc base'!E$12,ROUND('Calc base'!E$13*AV375,2))))</f>
        <v>0</v>
      </c>
      <c r="M376">
        <f>IF(AW375&lt;=0,0,IF(ROUND(AW375*(1+'Calc base'!K376),2)-MAX('Calc base'!F$12,ROUND('Calc base'!F$13*AW375,2))&lt;1,ROUND(AW375*(1+'Calc base'!K376),2),MAX('Calc base'!F$12,ROUND('Calc base'!F$13*AW375,2))))</f>
        <v>0</v>
      </c>
      <c r="N376">
        <f>IF(AX375&lt;=0,0,IF(ROUND(AX375*(1+'Calc base'!L376),2)-MAX('Calc base'!G$12,ROUND('Calc base'!G$13*AX375,2))&lt;1,ROUND(AX375*(1+'Calc base'!L376),2),MAX('Calc base'!G$12,ROUND('Calc base'!G$13*AX375,2))))</f>
        <v>0</v>
      </c>
      <c r="O376">
        <f>IF(AY375&lt;=0,0,IF(ROUND(AY375*(1+'Calc base'!M376),2)-MAX('Calc base'!H$12,ROUND('Calc base'!H$13*AY375,2))&lt;1,ROUND(AY375*(1+'Calc base'!M376),2),MAX('Calc base'!H$12,ROUND('Calc base'!H$13*AY375,2))))</f>
        <v>0</v>
      </c>
      <c r="P376">
        <f>IF(AZ375&lt;=0,0,IF(ROUND(AZ375*(1+'Calc base'!N376),2)-MAX('Calc base'!I$12,ROUND('Calc base'!I$13*AZ375,2))&lt;1,ROUND(AZ375*(1+'Calc base'!N376),2),MAX('Calc base'!I$12,ROUND('Calc base'!I$13*AZ375,2))))</f>
        <v>0</v>
      </c>
      <c r="Q376">
        <f>IF(BA375&lt;=0,0,IF(ROUND(BA375*(1+'Calc base'!O376),2)-MAX('Calc base'!J$12,ROUND('Calc base'!J$13*BA375,2))&lt;1,ROUND(BA375*(1+'Calc base'!O376),2),MAX('Calc base'!J$12,ROUND('Calc base'!J$13*BA375,2))))</f>
        <v>0</v>
      </c>
      <c r="R376">
        <f>IF(BB375&lt;=0,0,IF(ROUND(BB375*(1+'Calc base'!P376),2)-MAX('Calc base'!K$12,ROUND('Calc base'!K$13*BB375,2))&lt;1,ROUND(BB375*(1+'Calc base'!P376),2),MAX('Calc base'!K$12,ROUND('Calc base'!K$13*BB375,2))))</f>
        <v>0</v>
      </c>
      <c r="S376">
        <f>IF(BC375&lt;=0,0,IF(ROUND(BC375*(1+'Calc base'!Q376),2)-MAX('Calc base'!L$12,ROUND('Calc base'!L$13*BC375,2))&lt;1,ROUND(BC375*(1+'Calc base'!Q376),2),MAX('Calc base'!L$12,ROUND('Calc base'!L$13*BC375,2))))</f>
        <v>0</v>
      </c>
      <c r="T376">
        <f>IF(BD375&lt;=0,0,IF(ROUND(BD375*(1+'Calc base'!R376),2)-MAX('Calc base'!M$12,ROUND('Calc base'!M$13*BD375,2))&lt;1,ROUND(BD375*(1+'Calc base'!R376),2),MAX('Calc base'!M$12,ROUND('Calc base'!M$13*BD375,2))))</f>
        <v>0</v>
      </c>
      <c r="U376">
        <f>IF(BE375&lt;=0,0,IF(ROUND(BE375*(1+'Calc base'!S376),2)-MAX('Calc base'!N$12,ROUND('Calc base'!N$13*BE375,2))&lt;1,ROUND(BE375*(1+'Calc base'!S376),2),MAX('Calc base'!N$12,ROUND('Calc base'!N$13*BE375,2))))</f>
        <v>0</v>
      </c>
      <c r="V376">
        <f>MAX(0,ROUND(AT375*(1+'Calc base'!H376),2)-J376-'Calc base'!T376)</f>
        <v>0</v>
      </c>
      <c r="W376">
        <f>MAX(0,ROUND(AU375*(1+'Calc base'!I376),2)-K376-'Calc base'!U376)</f>
        <v>0</v>
      </c>
      <c r="X376">
        <f>MAX(0,ROUND(AV375*(1+'Calc base'!J376),2)-L376-'Calc base'!V376)</f>
        <v>0</v>
      </c>
      <c r="Y376">
        <f>MAX(0,ROUND(AW375*(1+'Calc base'!K376),2)-M376-'Calc base'!W376)</f>
        <v>0</v>
      </c>
      <c r="Z376">
        <f>MAX(0,ROUND(AX375*(1+'Calc base'!L376),2)-N376-'Calc base'!X376)</f>
        <v>0</v>
      </c>
      <c r="AA376">
        <f>MAX(0,ROUND(AY375*(1+'Calc base'!M376),2)-O376-'Calc base'!Y376)</f>
        <v>0</v>
      </c>
      <c r="AB376">
        <f>MAX(0,ROUND(AZ375*(1+'Calc base'!N376),2)-P376-'Calc base'!Z376)</f>
        <v>0</v>
      </c>
      <c r="AC376">
        <f>MAX(0,ROUND(BA375*(1+'Calc base'!O376),2)-Q376-'Calc base'!AA376)</f>
        <v>0</v>
      </c>
      <c r="AD376">
        <f>MAX(0,ROUND(BB375*(1+'Calc base'!P376),2)-R376-'Calc base'!AB376)</f>
        <v>0</v>
      </c>
      <c r="AE376">
        <f>MAX(0,ROUND(BC375*(1+'Calc base'!Q376),2)-S376-'Calc base'!AC376)</f>
        <v>0</v>
      </c>
      <c r="AF376">
        <f>MAX(0,ROUND(BD375*(1+'Calc base'!R376),2)-T376-'Calc base'!AD376)</f>
        <v>0</v>
      </c>
      <c r="AG376">
        <f>MAX(0,ROUND(BE375*(1+'Calc base'!S376),2)-U376-'Calc base'!AE376)</f>
        <v>0</v>
      </c>
      <c r="AH376">
        <f>IF('Calc base'!C$14=0,0,MIN(V376,MAX(0,$E376-SUMIFS($V376:$AG376,'Calc base'!$C$19:$N$19,"&lt;"&amp;'Calc base'!C$19,'Calc base'!$C$14:$N$14,1))))</f>
        <v>0</v>
      </c>
      <c r="AI376">
        <f>IF('Calc base'!D$14=0,0,MIN(W376,MAX(0,$E376-SUMIFS($V376:$AG376,'Calc base'!$C$19:$N$19,"&lt;"&amp;'Calc base'!D$19,'Calc base'!$C$14:$N$14,1))))</f>
        <v>0</v>
      </c>
      <c r="AJ376">
        <f>IF('Calc base'!E$14=0,0,MIN(X376,MAX(0,$E376-SUMIFS($V376:$AG376,'Calc base'!$C$19:$N$19,"&lt;"&amp;'Calc base'!E$19,'Calc base'!$C$14:$N$14,1))))</f>
        <v>0</v>
      </c>
      <c r="AK376">
        <f>IF('Calc base'!F$14=0,0,MIN(Y376,MAX(0,$E376-SUMIFS($V376:$AG376,'Calc base'!$C$19:$N$19,"&lt;"&amp;'Calc base'!F$19,'Calc base'!$C$14:$N$14,1))))</f>
        <v>0</v>
      </c>
      <c r="AL376">
        <f>IF('Calc base'!G$14=0,0,MIN(Z376,MAX(0,$E376-SUMIFS($V376:$AG376,'Calc base'!$C$19:$N$19,"&lt;"&amp;'Calc base'!G$19,'Calc base'!$C$14:$N$14,1))))</f>
        <v>0</v>
      </c>
      <c r="AM376">
        <f>IF('Calc base'!H$14=0,0,MIN(AA376,MAX(0,$E376-SUMIFS($V376:$AG376,'Calc base'!$C$19:$N$19,"&lt;"&amp;'Calc base'!H$19,'Calc base'!$C$14:$N$14,1))))</f>
        <v>0</v>
      </c>
      <c r="AN376">
        <f>IF('Calc base'!I$14=0,0,MIN(AB376,MAX(0,$E376-SUMIFS($V376:$AG376,'Calc base'!$C$19:$N$19,"&lt;"&amp;'Calc base'!I$19,'Calc base'!$C$14:$N$14,1))))</f>
        <v>0</v>
      </c>
      <c r="AO376">
        <f>IF('Calc base'!J$14=0,0,MIN(AC376,MAX(0,$E376-SUMIFS($V376:$AG376,'Calc base'!$C$19:$N$19,"&lt;"&amp;'Calc base'!J$19,'Calc base'!$C$14:$N$14,1))))</f>
        <v>0</v>
      </c>
      <c r="AP376">
        <f>IF('Calc base'!K$14=0,0,MIN(AD376,MAX(0,$E376-SUMIFS($V376:$AG376,'Calc base'!$C$19:$N$19,"&lt;"&amp;'Calc base'!K$19,'Calc base'!$C$14:$N$14,1))))</f>
        <v>0</v>
      </c>
      <c r="AQ376">
        <f>IF('Calc base'!L$14=0,0,MIN(AE376,MAX(0,$E376-SUMIFS($V376:$AG376,'Calc base'!$C$19:$N$19,"&lt;"&amp;'Calc base'!L$19,'Calc base'!$C$14:$N$14,1))))</f>
        <v>0</v>
      </c>
      <c r="AR376">
        <f>IF('Calc base'!M$14=0,0,MIN(AF376,MAX(0,$E376-SUMIFS($V376:$AG376,'Calc base'!$C$19:$N$19,"&lt;"&amp;'Calc base'!M$19,'Calc base'!$C$14:$N$14,1))))</f>
        <v>0</v>
      </c>
      <c r="AS376">
        <f>IF('Calc base'!N$14=0,0,MIN(AG376,MAX(0,$E376-SUMIFS($V376:$AG376,'Calc base'!$C$19:$N$19,"&lt;"&amp;'Calc base'!N$19,'Calc base'!$C$14:$N$14,1))))</f>
        <v>0</v>
      </c>
      <c r="AT376">
        <f>V376-AH376</f>
        <v>0</v>
      </c>
      <c r="AU376">
        <f>W376-AI376</f>
        <v>0</v>
      </c>
      <c r="AV376">
        <f>X376-AJ376</f>
        <v>0</v>
      </c>
      <c r="AW376">
        <f>Y376-AK376</f>
        <v>0</v>
      </c>
      <c r="AX376">
        <f>Z376-AL376</f>
        <v>0</v>
      </c>
      <c r="AY376">
        <f>AA376-AM376</f>
        <v>0</v>
      </c>
      <c r="AZ376">
        <f>AB376-AN376</f>
        <v>0</v>
      </c>
      <c r="BA376">
        <f>AC376-AO376</f>
        <v>0</v>
      </c>
      <c r="BB376">
        <f>AD376-AP376</f>
        <v>0</v>
      </c>
      <c r="BC376">
        <f>AE376-AQ376</f>
        <v>0</v>
      </c>
      <c r="BD376">
        <f>AF376-AR376</f>
        <v>0</v>
      </c>
      <c r="BE376">
        <f>AG376-AS376</f>
        <v>0</v>
      </c>
    </row>
    <row r="377">
      <c r="A377" t="n">
        <v>347</v>
      </c>
      <c r="B377">
        <f>SUMPRODUCT(ROUND($AT376:$BE376*(1+'Calc base'!$H377:$S377),2))</f>
        <v>0</v>
      </c>
      <c r="C377">
        <f>SUM(J377:U377)</f>
        <v>0</v>
      </c>
      <c r="D377">
        <f>SUM(V377:AG377)</f>
        <v>0</v>
      </c>
      <c r="E377">
        <f>MAX(0,IF(Impostazioni!$B$7="No",'Calc base'!$C377-$C$31,'Calc base'!$C377-C377)+'Calc base'!$G377+'Calc base'!$F377-(B377-C377-D377))</f>
        <v>900</v>
      </c>
      <c r="F377">
        <f>SUM(AH377:AS377)</f>
        <v>0</v>
      </c>
      <c r="G377">
        <f>SUM(AT377:BE377)</f>
        <v>0</v>
      </c>
      <c r="H377">
        <f>B377-G376</f>
        <v>0</v>
      </c>
      <c r="I377">
        <f>B377-G377</f>
        <v>0</v>
      </c>
      <c r="J377">
        <f>IF(AT376&lt;=0,0,IF(ROUND(AT376*(1+'Calc base'!H377),2)-MAX('Calc base'!C$12,ROUND('Calc base'!C$13*AT376,2))&lt;1,ROUND(AT376*(1+'Calc base'!H377),2),MAX('Calc base'!C$12,ROUND('Calc base'!C$13*AT376,2))))</f>
        <v>0</v>
      </c>
      <c r="K377">
        <f>IF(AU376&lt;=0,0,IF(ROUND(AU376*(1+'Calc base'!I377),2)-MAX('Calc base'!D$12,ROUND('Calc base'!D$13*AU376,2))&lt;1,ROUND(AU376*(1+'Calc base'!I377),2),MAX('Calc base'!D$12,ROUND('Calc base'!D$13*AU376,2))))</f>
        <v>0</v>
      </c>
      <c r="L377">
        <f>IF(AV376&lt;=0,0,IF(ROUND(AV376*(1+'Calc base'!J377),2)-MAX('Calc base'!E$12,ROUND('Calc base'!E$13*AV376,2))&lt;1,ROUND(AV376*(1+'Calc base'!J377),2),MAX('Calc base'!E$12,ROUND('Calc base'!E$13*AV376,2))))</f>
        <v>0</v>
      </c>
      <c r="M377">
        <f>IF(AW376&lt;=0,0,IF(ROUND(AW376*(1+'Calc base'!K377),2)-MAX('Calc base'!F$12,ROUND('Calc base'!F$13*AW376,2))&lt;1,ROUND(AW376*(1+'Calc base'!K377),2),MAX('Calc base'!F$12,ROUND('Calc base'!F$13*AW376,2))))</f>
        <v>0</v>
      </c>
      <c r="N377">
        <f>IF(AX376&lt;=0,0,IF(ROUND(AX376*(1+'Calc base'!L377),2)-MAX('Calc base'!G$12,ROUND('Calc base'!G$13*AX376,2))&lt;1,ROUND(AX376*(1+'Calc base'!L377),2),MAX('Calc base'!G$12,ROUND('Calc base'!G$13*AX376,2))))</f>
        <v>0</v>
      </c>
      <c r="O377">
        <f>IF(AY376&lt;=0,0,IF(ROUND(AY376*(1+'Calc base'!M377),2)-MAX('Calc base'!H$12,ROUND('Calc base'!H$13*AY376,2))&lt;1,ROUND(AY376*(1+'Calc base'!M377),2),MAX('Calc base'!H$12,ROUND('Calc base'!H$13*AY376,2))))</f>
        <v>0</v>
      </c>
      <c r="P377">
        <f>IF(AZ376&lt;=0,0,IF(ROUND(AZ376*(1+'Calc base'!N377),2)-MAX('Calc base'!I$12,ROUND('Calc base'!I$13*AZ376,2))&lt;1,ROUND(AZ376*(1+'Calc base'!N377),2),MAX('Calc base'!I$12,ROUND('Calc base'!I$13*AZ376,2))))</f>
        <v>0</v>
      </c>
      <c r="Q377">
        <f>IF(BA376&lt;=0,0,IF(ROUND(BA376*(1+'Calc base'!O377),2)-MAX('Calc base'!J$12,ROUND('Calc base'!J$13*BA376,2))&lt;1,ROUND(BA376*(1+'Calc base'!O377),2),MAX('Calc base'!J$12,ROUND('Calc base'!J$13*BA376,2))))</f>
        <v>0</v>
      </c>
      <c r="R377">
        <f>IF(BB376&lt;=0,0,IF(ROUND(BB376*(1+'Calc base'!P377),2)-MAX('Calc base'!K$12,ROUND('Calc base'!K$13*BB376,2))&lt;1,ROUND(BB376*(1+'Calc base'!P377),2),MAX('Calc base'!K$12,ROUND('Calc base'!K$13*BB376,2))))</f>
        <v>0</v>
      </c>
      <c r="S377">
        <f>IF(BC376&lt;=0,0,IF(ROUND(BC376*(1+'Calc base'!Q377),2)-MAX('Calc base'!L$12,ROUND('Calc base'!L$13*BC376,2))&lt;1,ROUND(BC376*(1+'Calc base'!Q377),2),MAX('Calc base'!L$12,ROUND('Calc base'!L$13*BC376,2))))</f>
        <v>0</v>
      </c>
      <c r="T377">
        <f>IF(BD376&lt;=0,0,IF(ROUND(BD376*(1+'Calc base'!R377),2)-MAX('Calc base'!M$12,ROUND('Calc base'!M$13*BD376,2))&lt;1,ROUND(BD376*(1+'Calc base'!R377),2),MAX('Calc base'!M$12,ROUND('Calc base'!M$13*BD376,2))))</f>
        <v>0</v>
      </c>
      <c r="U377">
        <f>IF(BE376&lt;=0,0,IF(ROUND(BE376*(1+'Calc base'!S377),2)-MAX('Calc base'!N$12,ROUND('Calc base'!N$13*BE376,2))&lt;1,ROUND(BE376*(1+'Calc base'!S377),2),MAX('Calc base'!N$12,ROUND('Calc base'!N$13*BE376,2))))</f>
        <v>0</v>
      </c>
      <c r="V377">
        <f>MAX(0,ROUND(AT376*(1+'Calc base'!H377),2)-J377-'Calc base'!T377)</f>
        <v>0</v>
      </c>
      <c r="W377">
        <f>MAX(0,ROUND(AU376*(1+'Calc base'!I377),2)-K377-'Calc base'!U377)</f>
        <v>0</v>
      </c>
      <c r="X377">
        <f>MAX(0,ROUND(AV376*(1+'Calc base'!J377),2)-L377-'Calc base'!V377)</f>
        <v>0</v>
      </c>
      <c r="Y377">
        <f>MAX(0,ROUND(AW376*(1+'Calc base'!K377),2)-M377-'Calc base'!W377)</f>
        <v>0</v>
      </c>
      <c r="Z377">
        <f>MAX(0,ROUND(AX376*(1+'Calc base'!L377),2)-N377-'Calc base'!X377)</f>
        <v>0</v>
      </c>
      <c r="AA377">
        <f>MAX(0,ROUND(AY376*(1+'Calc base'!M377),2)-O377-'Calc base'!Y377)</f>
        <v>0</v>
      </c>
      <c r="AB377">
        <f>MAX(0,ROUND(AZ376*(1+'Calc base'!N377),2)-P377-'Calc base'!Z377)</f>
        <v>0</v>
      </c>
      <c r="AC377">
        <f>MAX(0,ROUND(BA376*(1+'Calc base'!O377),2)-Q377-'Calc base'!AA377)</f>
        <v>0</v>
      </c>
      <c r="AD377">
        <f>MAX(0,ROUND(BB376*(1+'Calc base'!P377),2)-R377-'Calc base'!AB377)</f>
        <v>0</v>
      </c>
      <c r="AE377">
        <f>MAX(0,ROUND(BC376*(1+'Calc base'!Q377),2)-S377-'Calc base'!AC377)</f>
        <v>0</v>
      </c>
      <c r="AF377">
        <f>MAX(0,ROUND(BD376*(1+'Calc base'!R377),2)-T377-'Calc base'!AD377)</f>
        <v>0</v>
      </c>
      <c r="AG377">
        <f>MAX(0,ROUND(BE376*(1+'Calc base'!S377),2)-U377-'Calc base'!AE377)</f>
        <v>0</v>
      </c>
      <c r="AH377">
        <f>IF('Calc base'!C$14=0,0,MIN(V377,MAX(0,$E377-SUMIFS($V377:$AG377,'Calc base'!$C$19:$N$19,"&lt;"&amp;'Calc base'!C$19,'Calc base'!$C$14:$N$14,1))))</f>
        <v>0</v>
      </c>
      <c r="AI377">
        <f>IF('Calc base'!D$14=0,0,MIN(W377,MAX(0,$E377-SUMIFS($V377:$AG377,'Calc base'!$C$19:$N$19,"&lt;"&amp;'Calc base'!D$19,'Calc base'!$C$14:$N$14,1))))</f>
        <v>0</v>
      </c>
      <c r="AJ377">
        <f>IF('Calc base'!E$14=0,0,MIN(X377,MAX(0,$E377-SUMIFS($V377:$AG377,'Calc base'!$C$19:$N$19,"&lt;"&amp;'Calc base'!E$19,'Calc base'!$C$14:$N$14,1))))</f>
        <v>0</v>
      </c>
      <c r="AK377">
        <f>IF('Calc base'!F$14=0,0,MIN(Y377,MAX(0,$E377-SUMIFS($V377:$AG377,'Calc base'!$C$19:$N$19,"&lt;"&amp;'Calc base'!F$19,'Calc base'!$C$14:$N$14,1))))</f>
        <v>0</v>
      </c>
      <c r="AL377">
        <f>IF('Calc base'!G$14=0,0,MIN(Z377,MAX(0,$E377-SUMIFS($V377:$AG377,'Calc base'!$C$19:$N$19,"&lt;"&amp;'Calc base'!G$19,'Calc base'!$C$14:$N$14,1))))</f>
        <v>0</v>
      </c>
      <c r="AM377">
        <f>IF('Calc base'!H$14=0,0,MIN(AA377,MAX(0,$E377-SUMIFS($V377:$AG377,'Calc base'!$C$19:$N$19,"&lt;"&amp;'Calc base'!H$19,'Calc base'!$C$14:$N$14,1))))</f>
        <v>0</v>
      </c>
      <c r="AN377">
        <f>IF('Calc base'!I$14=0,0,MIN(AB377,MAX(0,$E377-SUMIFS($V377:$AG377,'Calc base'!$C$19:$N$19,"&lt;"&amp;'Calc base'!I$19,'Calc base'!$C$14:$N$14,1))))</f>
        <v>0</v>
      </c>
      <c r="AO377">
        <f>IF('Calc base'!J$14=0,0,MIN(AC377,MAX(0,$E377-SUMIFS($V377:$AG377,'Calc base'!$C$19:$N$19,"&lt;"&amp;'Calc base'!J$19,'Calc base'!$C$14:$N$14,1))))</f>
        <v>0</v>
      </c>
      <c r="AP377">
        <f>IF('Calc base'!K$14=0,0,MIN(AD377,MAX(0,$E377-SUMIFS($V377:$AG377,'Calc base'!$C$19:$N$19,"&lt;"&amp;'Calc base'!K$19,'Calc base'!$C$14:$N$14,1))))</f>
        <v>0</v>
      </c>
      <c r="AQ377">
        <f>IF('Calc base'!L$14=0,0,MIN(AE377,MAX(0,$E377-SUMIFS($V377:$AG377,'Calc base'!$C$19:$N$19,"&lt;"&amp;'Calc base'!L$19,'Calc base'!$C$14:$N$14,1))))</f>
        <v>0</v>
      </c>
      <c r="AR377">
        <f>IF('Calc base'!M$14=0,0,MIN(AF377,MAX(0,$E377-SUMIFS($V377:$AG377,'Calc base'!$C$19:$N$19,"&lt;"&amp;'Calc base'!M$19,'Calc base'!$C$14:$N$14,1))))</f>
        <v>0</v>
      </c>
      <c r="AS377">
        <f>IF('Calc base'!N$14=0,0,MIN(AG377,MAX(0,$E377-SUMIFS($V377:$AG377,'Calc base'!$C$19:$N$19,"&lt;"&amp;'Calc base'!N$19,'Calc base'!$C$14:$N$14,1))))</f>
        <v>0</v>
      </c>
      <c r="AT377">
        <f>V377-AH377</f>
        <v>0</v>
      </c>
      <c r="AU377">
        <f>W377-AI377</f>
        <v>0</v>
      </c>
      <c r="AV377">
        <f>X377-AJ377</f>
        <v>0</v>
      </c>
      <c r="AW377">
        <f>Y377-AK377</f>
        <v>0</v>
      </c>
      <c r="AX377">
        <f>Z377-AL377</f>
        <v>0</v>
      </c>
      <c r="AY377">
        <f>AA377-AM377</f>
        <v>0</v>
      </c>
      <c r="AZ377">
        <f>AB377-AN377</f>
        <v>0</v>
      </c>
      <c r="BA377">
        <f>AC377-AO377</f>
        <v>0</v>
      </c>
      <c r="BB377">
        <f>AD377-AP377</f>
        <v>0</v>
      </c>
      <c r="BC377">
        <f>AE377-AQ377</f>
        <v>0</v>
      </c>
      <c r="BD377">
        <f>AF377-AR377</f>
        <v>0</v>
      </c>
      <c r="BE377">
        <f>AG377-AS377</f>
        <v>0</v>
      </c>
    </row>
    <row r="378">
      <c r="A378" t="n">
        <v>348</v>
      </c>
      <c r="B378">
        <f>SUMPRODUCT(ROUND($AT377:$BE377*(1+'Calc base'!$H378:$S378),2))</f>
        <v>0</v>
      </c>
      <c r="C378">
        <f>SUM(J378:U378)</f>
        <v>0</v>
      </c>
      <c r="D378">
        <f>SUM(V378:AG378)</f>
        <v>0</v>
      </c>
      <c r="E378">
        <f>MAX(0,IF(Impostazioni!$B$7="No",'Calc base'!$C378-$C$31,'Calc base'!$C378-C378)+'Calc base'!$G378+'Calc base'!$F378-(B378-C378-D378))</f>
        <v>900</v>
      </c>
      <c r="F378">
        <f>SUM(AH378:AS378)</f>
        <v>0</v>
      </c>
      <c r="G378">
        <f>SUM(AT378:BE378)</f>
        <v>0</v>
      </c>
      <c r="H378">
        <f>B378-G377</f>
        <v>0</v>
      </c>
      <c r="I378">
        <f>B378-G378</f>
        <v>0</v>
      </c>
      <c r="J378">
        <f>IF(AT377&lt;=0,0,IF(ROUND(AT377*(1+'Calc base'!H378),2)-MAX('Calc base'!C$12,ROUND('Calc base'!C$13*AT377,2))&lt;1,ROUND(AT377*(1+'Calc base'!H378),2),MAX('Calc base'!C$12,ROUND('Calc base'!C$13*AT377,2))))</f>
        <v>0</v>
      </c>
      <c r="K378">
        <f>IF(AU377&lt;=0,0,IF(ROUND(AU377*(1+'Calc base'!I378),2)-MAX('Calc base'!D$12,ROUND('Calc base'!D$13*AU377,2))&lt;1,ROUND(AU377*(1+'Calc base'!I378),2),MAX('Calc base'!D$12,ROUND('Calc base'!D$13*AU377,2))))</f>
        <v>0</v>
      </c>
      <c r="L378">
        <f>IF(AV377&lt;=0,0,IF(ROUND(AV377*(1+'Calc base'!J378),2)-MAX('Calc base'!E$12,ROUND('Calc base'!E$13*AV377,2))&lt;1,ROUND(AV377*(1+'Calc base'!J378),2),MAX('Calc base'!E$12,ROUND('Calc base'!E$13*AV377,2))))</f>
        <v>0</v>
      </c>
      <c r="M378">
        <f>IF(AW377&lt;=0,0,IF(ROUND(AW377*(1+'Calc base'!K378),2)-MAX('Calc base'!F$12,ROUND('Calc base'!F$13*AW377,2))&lt;1,ROUND(AW377*(1+'Calc base'!K378),2),MAX('Calc base'!F$12,ROUND('Calc base'!F$13*AW377,2))))</f>
        <v>0</v>
      </c>
      <c r="N378">
        <f>IF(AX377&lt;=0,0,IF(ROUND(AX377*(1+'Calc base'!L378),2)-MAX('Calc base'!G$12,ROUND('Calc base'!G$13*AX377,2))&lt;1,ROUND(AX377*(1+'Calc base'!L378),2),MAX('Calc base'!G$12,ROUND('Calc base'!G$13*AX377,2))))</f>
        <v>0</v>
      </c>
      <c r="O378">
        <f>IF(AY377&lt;=0,0,IF(ROUND(AY377*(1+'Calc base'!M378),2)-MAX('Calc base'!H$12,ROUND('Calc base'!H$13*AY377,2))&lt;1,ROUND(AY377*(1+'Calc base'!M378),2),MAX('Calc base'!H$12,ROUND('Calc base'!H$13*AY377,2))))</f>
        <v>0</v>
      </c>
      <c r="P378">
        <f>IF(AZ377&lt;=0,0,IF(ROUND(AZ377*(1+'Calc base'!N378),2)-MAX('Calc base'!I$12,ROUND('Calc base'!I$13*AZ377,2))&lt;1,ROUND(AZ377*(1+'Calc base'!N378),2),MAX('Calc base'!I$12,ROUND('Calc base'!I$13*AZ377,2))))</f>
        <v>0</v>
      </c>
      <c r="Q378">
        <f>IF(BA377&lt;=0,0,IF(ROUND(BA377*(1+'Calc base'!O378),2)-MAX('Calc base'!J$12,ROUND('Calc base'!J$13*BA377,2))&lt;1,ROUND(BA377*(1+'Calc base'!O378),2),MAX('Calc base'!J$12,ROUND('Calc base'!J$13*BA377,2))))</f>
        <v>0</v>
      </c>
      <c r="R378">
        <f>IF(BB377&lt;=0,0,IF(ROUND(BB377*(1+'Calc base'!P378),2)-MAX('Calc base'!K$12,ROUND('Calc base'!K$13*BB377,2))&lt;1,ROUND(BB377*(1+'Calc base'!P378),2),MAX('Calc base'!K$12,ROUND('Calc base'!K$13*BB377,2))))</f>
        <v>0</v>
      </c>
      <c r="S378">
        <f>IF(BC377&lt;=0,0,IF(ROUND(BC377*(1+'Calc base'!Q378),2)-MAX('Calc base'!L$12,ROUND('Calc base'!L$13*BC377,2))&lt;1,ROUND(BC377*(1+'Calc base'!Q378),2),MAX('Calc base'!L$12,ROUND('Calc base'!L$13*BC377,2))))</f>
        <v>0</v>
      </c>
      <c r="T378">
        <f>IF(BD377&lt;=0,0,IF(ROUND(BD377*(1+'Calc base'!R378),2)-MAX('Calc base'!M$12,ROUND('Calc base'!M$13*BD377,2))&lt;1,ROUND(BD377*(1+'Calc base'!R378),2),MAX('Calc base'!M$12,ROUND('Calc base'!M$13*BD377,2))))</f>
        <v>0</v>
      </c>
      <c r="U378">
        <f>IF(BE377&lt;=0,0,IF(ROUND(BE377*(1+'Calc base'!S378),2)-MAX('Calc base'!N$12,ROUND('Calc base'!N$13*BE377,2))&lt;1,ROUND(BE377*(1+'Calc base'!S378),2),MAX('Calc base'!N$12,ROUND('Calc base'!N$13*BE377,2))))</f>
        <v>0</v>
      </c>
      <c r="V378">
        <f>MAX(0,ROUND(AT377*(1+'Calc base'!H378),2)-J378-'Calc base'!T378)</f>
        <v>0</v>
      </c>
      <c r="W378">
        <f>MAX(0,ROUND(AU377*(1+'Calc base'!I378),2)-K378-'Calc base'!U378)</f>
        <v>0</v>
      </c>
      <c r="X378">
        <f>MAX(0,ROUND(AV377*(1+'Calc base'!J378),2)-L378-'Calc base'!V378)</f>
        <v>0</v>
      </c>
      <c r="Y378">
        <f>MAX(0,ROUND(AW377*(1+'Calc base'!K378),2)-M378-'Calc base'!W378)</f>
        <v>0</v>
      </c>
      <c r="Z378">
        <f>MAX(0,ROUND(AX377*(1+'Calc base'!L378),2)-N378-'Calc base'!X378)</f>
        <v>0</v>
      </c>
      <c r="AA378">
        <f>MAX(0,ROUND(AY377*(1+'Calc base'!M378),2)-O378-'Calc base'!Y378)</f>
        <v>0</v>
      </c>
      <c r="AB378">
        <f>MAX(0,ROUND(AZ377*(1+'Calc base'!N378),2)-P378-'Calc base'!Z378)</f>
        <v>0</v>
      </c>
      <c r="AC378">
        <f>MAX(0,ROUND(BA377*(1+'Calc base'!O378),2)-Q378-'Calc base'!AA378)</f>
        <v>0</v>
      </c>
      <c r="AD378">
        <f>MAX(0,ROUND(BB377*(1+'Calc base'!P378),2)-R378-'Calc base'!AB378)</f>
        <v>0</v>
      </c>
      <c r="AE378">
        <f>MAX(0,ROUND(BC377*(1+'Calc base'!Q378),2)-S378-'Calc base'!AC378)</f>
        <v>0</v>
      </c>
      <c r="AF378">
        <f>MAX(0,ROUND(BD377*(1+'Calc base'!R378),2)-T378-'Calc base'!AD378)</f>
        <v>0</v>
      </c>
      <c r="AG378">
        <f>MAX(0,ROUND(BE377*(1+'Calc base'!S378),2)-U378-'Calc base'!AE378)</f>
        <v>0</v>
      </c>
      <c r="AH378">
        <f>IF('Calc base'!C$14=0,0,MIN(V378,MAX(0,$E378-SUMIFS($V378:$AG378,'Calc base'!$C$19:$N$19,"&lt;"&amp;'Calc base'!C$19,'Calc base'!$C$14:$N$14,1))))</f>
        <v>0</v>
      </c>
      <c r="AI378">
        <f>IF('Calc base'!D$14=0,0,MIN(W378,MAX(0,$E378-SUMIFS($V378:$AG378,'Calc base'!$C$19:$N$19,"&lt;"&amp;'Calc base'!D$19,'Calc base'!$C$14:$N$14,1))))</f>
        <v>0</v>
      </c>
      <c r="AJ378">
        <f>IF('Calc base'!E$14=0,0,MIN(X378,MAX(0,$E378-SUMIFS($V378:$AG378,'Calc base'!$C$19:$N$19,"&lt;"&amp;'Calc base'!E$19,'Calc base'!$C$14:$N$14,1))))</f>
        <v>0</v>
      </c>
      <c r="AK378">
        <f>IF('Calc base'!F$14=0,0,MIN(Y378,MAX(0,$E378-SUMIFS($V378:$AG378,'Calc base'!$C$19:$N$19,"&lt;"&amp;'Calc base'!F$19,'Calc base'!$C$14:$N$14,1))))</f>
        <v>0</v>
      </c>
      <c r="AL378">
        <f>IF('Calc base'!G$14=0,0,MIN(Z378,MAX(0,$E378-SUMIFS($V378:$AG378,'Calc base'!$C$19:$N$19,"&lt;"&amp;'Calc base'!G$19,'Calc base'!$C$14:$N$14,1))))</f>
        <v>0</v>
      </c>
      <c r="AM378">
        <f>IF('Calc base'!H$14=0,0,MIN(AA378,MAX(0,$E378-SUMIFS($V378:$AG378,'Calc base'!$C$19:$N$19,"&lt;"&amp;'Calc base'!H$19,'Calc base'!$C$14:$N$14,1))))</f>
        <v>0</v>
      </c>
      <c r="AN378">
        <f>IF('Calc base'!I$14=0,0,MIN(AB378,MAX(0,$E378-SUMIFS($V378:$AG378,'Calc base'!$C$19:$N$19,"&lt;"&amp;'Calc base'!I$19,'Calc base'!$C$14:$N$14,1))))</f>
        <v>0</v>
      </c>
      <c r="AO378">
        <f>IF('Calc base'!J$14=0,0,MIN(AC378,MAX(0,$E378-SUMIFS($V378:$AG378,'Calc base'!$C$19:$N$19,"&lt;"&amp;'Calc base'!J$19,'Calc base'!$C$14:$N$14,1))))</f>
        <v>0</v>
      </c>
      <c r="AP378">
        <f>IF('Calc base'!K$14=0,0,MIN(AD378,MAX(0,$E378-SUMIFS($V378:$AG378,'Calc base'!$C$19:$N$19,"&lt;"&amp;'Calc base'!K$19,'Calc base'!$C$14:$N$14,1))))</f>
        <v>0</v>
      </c>
      <c r="AQ378">
        <f>IF('Calc base'!L$14=0,0,MIN(AE378,MAX(0,$E378-SUMIFS($V378:$AG378,'Calc base'!$C$19:$N$19,"&lt;"&amp;'Calc base'!L$19,'Calc base'!$C$14:$N$14,1))))</f>
        <v>0</v>
      </c>
      <c r="AR378">
        <f>IF('Calc base'!M$14=0,0,MIN(AF378,MAX(0,$E378-SUMIFS($V378:$AG378,'Calc base'!$C$19:$N$19,"&lt;"&amp;'Calc base'!M$19,'Calc base'!$C$14:$N$14,1))))</f>
        <v>0</v>
      </c>
      <c r="AS378">
        <f>IF('Calc base'!N$14=0,0,MIN(AG378,MAX(0,$E378-SUMIFS($V378:$AG378,'Calc base'!$C$19:$N$19,"&lt;"&amp;'Calc base'!N$19,'Calc base'!$C$14:$N$14,1))))</f>
        <v>0</v>
      </c>
      <c r="AT378">
        <f>V378-AH378</f>
        <v>0</v>
      </c>
      <c r="AU378">
        <f>W378-AI378</f>
        <v>0</v>
      </c>
      <c r="AV378">
        <f>X378-AJ378</f>
        <v>0</v>
      </c>
      <c r="AW378">
        <f>Y378-AK378</f>
        <v>0</v>
      </c>
      <c r="AX378">
        <f>Z378-AL378</f>
        <v>0</v>
      </c>
      <c r="AY378">
        <f>AA378-AM378</f>
        <v>0</v>
      </c>
      <c r="AZ378">
        <f>AB378-AN378</f>
        <v>0</v>
      </c>
      <c r="BA378">
        <f>AC378-AO378</f>
        <v>0</v>
      </c>
      <c r="BB378">
        <f>AD378-AP378</f>
        <v>0</v>
      </c>
      <c r="BC378">
        <f>AE378-AQ378</f>
        <v>0</v>
      </c>
      <c r="BD378">
        <f>AF378-AR378</f>
        <v>0</v>
      </c>
      <c r="BE378">
        <f>AG378-AS378</f>
        <v>0</v>
      </c>
    </row>
    <row r="379">
      <c r="A379" t="n">
        <v>349</v>
      </c>
      <c r="B379">
        <f>SUMPRODUCT(ROUND($AT378:$BE378*(1+'Calc base'!$H379:$S379),2))</f>
        <v>0</v>
      </c>
      <c r="C379">
        <f>SUM(J379:U379)</f>
        <v>0</v>
      </c>
      <c r="D379">
        <f>SUM(V379:AG379)</f>
        <v>0</v>
      </c>
      <c r="E379">
        <f>MAX(0,IF(Impostazioni!$B$7="No",'Calc base'!$C379-$C$31,'Calc base'!$C379-C379)+'Calc base'!$G379+'Calc base'!$F379-(B379-C379-D379))</f>
        <v>900</v>
      </c>
      <c r="F379">
        <f>SUM(AH379:AS379)</f>
        <v>0</v>
      </c>
      <c r="G379">
        <f>SUM(AT379:BE379)</f>
        <v>0</v>
      </c>
      <c r="H379">
        <f>B379-G378</f>
        <v>0</v>
      </c>
      <c r="I379">
        <f>B379-G379</f>
        <v>0</v>
      </c>
      <c r="J379">
        <f>IF(AT378&lt;=0,0,IF(ROUND(AT378*(1+'Calc base'!H379),2)-MAX('Calc base'!C$12,ROUND('Calc base'!C$13*AT378,2))&lt;1,ROUND(AT378*(1+'Calc base'!H379),2),MAX('Calc base'!C$12,ROUND('Calc base'!C$13*AT378,2))))</f>
        <v>0</v>
      </c>
      <c r="K379">
        <f>IF(AU378&lt;=0,0,IF(ROUND(AU378*(1+'Calc base'!I379),2)-MAX('Calc base'!D$12,ROUND('Calc base'!D$13*AU378,2))&lt;1,ROUND(AU378*(1+'Calc base'!I379),2),MAX('Calc base'!D$12,ROUND('Calc base'!D$13*AU378,2))))</f>
        <v>0</v>
      </c>
      <c r="L379">
        <f>IF(AV378&lt;=0,0,IF(ROUND(AV378*(1+'Calc base'!J379),2)-MAX('Calc base'!E$12,ROUND('Calc base'!E$13*AV378,2))&lt;1,ROUND(AV378*(1+'Calc base'!J379),2),MAX('Calc base'!E$12,ROUND('Calc base'!E$13*AV378,2))))</f>
        <v>0</v>
      </c>
      <c r="M379">
        <f>IF(AW378&lt;=0,0,IF(ROUND(AW378*(1+'Calc base'!K379),2)-MAX('Calc base'!F$12,ROUND('Calc base'!F$13*AW378,2))&lt;1,ROUND(AW378*(1+'Calc base'!K379),2),MAX('Calc base'!F$12,ROUND('Calc base'!F$13*AW378,2))))</f>
        <v>0</v>
      </c>
      <c r="N379">
        <f>IF(AX378&lt;=0,0,IF(ROUND(AX378*(1+'Calc base'!L379),2)-MAX('Calc base'!G$12,ROUND('Calc base'!G$13*AX378,2))&lt;1,ROUND(AX378*(1+'Calc base'!L379),2),MAX('Calc base'!G$12,ROUND('Calc base'!G$13*AX378,2))))</f>
        <v>0</v>
      </c>
      <c r="O379">
        <f>IF(AY378&lt;=0,0,IF(ROUND(AY378*(1+'Calc base'!M379),2)-MAX('Calc base'!H$12,ROUND('Calc base'!H$13*AY378,2))&lt;1,ROUND(AY378*(1+'Calc base'!M379),2),MAX('Calc base'!H$12,ROUND('Calc base'!H$13*AY378,2))))</f>
        <v>0</v>
      </c>
      <c r="P379">
        <f>IF(AZ378&lt;=0,0,IF(ROUND(AZ378*(1+'Calc base'!N379),2)-MAX('Calc base'!I$12,ROUND('Calc base'!I$13*AZ378,2))&lt;1,ROUND(AZ378*(1+'Calc base'!N379),2),MAX('Calc base'!I$12,ROUND('Calc base'!I$13*AZ378,2))))</f>
        <v>0</v>
      </c>
      <c r="Q379">
        <f>IF(BA378&lt;=0,0,IF(ROUND(BA378*(1+'Calc base'!O379),2)-MAX('Calc base'!J$12,ROUND('Calc base'!J$13*BA378,2))&lt;1,ROUND(BA378*(1+'Calc base'!O379),2),MAX('Calc base'!J$12,ROUND('Calc base'!J$13*BA378,2))))</f>
        <v>0</v>
      </c>
      <c r="R379">
        <f>IF(BB378&lt;=0,0,IF(ROUND(BB378*(1+'Calc base'!P379),2)-MAX('Calc base'!K$12,ROUND('Calc base'!K$13*BB378,2))&lt;1,ROUND(BB378*(1+'Calc base'!P379),2),MAX('Calc base'!K$12,ROUND('Calc base'!K$13*BB378,2))))</f>
        <v>0</v>
      </c>
      <c r="S379">
        <f>IF(BC378&lt;=0,0,IF(ROUND(BC378*(1+'Calc base'!Q379),2)-MAX('Calc base'!L$12,ROUND('Calc base'!L$13*BC378,2))&lt;1,ROUND(BC378*(1+'Calc base'!Q379),2),MAX('Calc base'!L$12,ROUND('Calc base'!L$13*BC378,2))))</f>
        <v>0</v>
      </c>
      <c r="T379">
        <f>IF(BD378&lt;=0,0,IF(ROUND(BD378*(1+'Calc base'!R379),2)-MAX('Calc base'!M$12,ROUND('Calc base'!M$13*BD378,2))&lt;1,ROUND(BD378*(1+'Calc base'!R379),2),MAX('Calc base'!M$12,ROUND('Calc base'!M$13*BD378,2))))</f>
        <v>0</v>
      </c>
      <c r="U379">
        <f>IF(BE378&lt;=0,0,IF(ROUND(BE378*(1+'Calc base'!S379),2)-MAX('Calc base'!N$12,ROUND('Calc base'!N$13*BE378,2))&lt;1,ROUND(BE378*(1+'Calc base'!S379),2),MAX('Calc base'!N$12,ROUND('Calc base'!N$13*BE378,2))))</f>
        <v>0</v>
      </c>
      <c r="V379">
        <f>MAX(0,ROUND(AT378*(1+'Calc base'!H379),2)-J379-'Calc base'!T379)</f>
        <v>0</v>
      </c>
      <c r="W379">
        <f>MAX(0,ROUND(AU378*(1+'Calc base'!I379),2)-K379-'Calc base'!U379)</f>
        <v>0</v>
      </c>
      <c r="X379">
        <f>MAX(0,ROUND(AV378*(1+'Calc base'!J379),2)-L379-'Calc base'!V379)</f>
        <v>0</v>
      </c>
      <c r="Y379">
        <f>MAX(0,ROUND(AW378*(1+'Calc base'!K379),2)-M379-'Calc base'!W379)</f>
        <v>0</v>
      </c>
      <c r="Z379">
        <f>MAX(0,ROUND(AX378*(1+'Calc base'!L379),2)-N379-'Calc base'!X379)</f>
        <v>0</v>
      </c>
      <c r="AA379">
        <f>MAX(0,ROUND(AY378*(1+'Calc base'!M379),2)-O379-'Calc base'!Y379)</f>
        <v>0</v>
      </c>
      <c r="AB379">
        <f>MAX(0,ROUND(AZ378*(1+'Calc base'!N379),2)-P379-'Calc base'!Z379)</f>
        <v>0</v>
      </c>
      <c r="AC379">
        <f>MAX(0,ROUND(BA378*(1+'Calc base'!O379),2)-Q379-'Calc base'!AA379)</f>
        <v>0</v>
      </c>
      <c r="AD379">
        <f>MAX(0,ROUND(BB378*(1+'Calc base'!P379),2)-R379-'Calc base'!AB379)</f>
        <v>0</v>
      </c>
      <c r="AE379">
        <f>MAX(0,ROUND(BC378*(1+'Calc base'!Q379),2)-S379-'Calc base'!AC379)</f>
        <v>0</v>
      </c>
      <c r="AF379">
        <f>MAX(0,ROUND(BD378*(1+'Calc base'!R379),2)-T379-'Calc base'!AD379)</f>
        <v>0</v>
      </c>
      <c r="AG379">
        <f>MAX(0,ROUND(BE378*(1+'Calc base'!S379),2)-U379-'Calc base'!AE379)</f>
        <v>0</v>
      </c>
      <c r="AH379">
        <f>IF('Calc base'!C$14=0,0,MIN(V379,MAX(0,$E379-SUMIFS($V379:$AG379,'Calc base'!$C$19:$N$19,"&lt;"&amp;'Calc base'!C$19,'Calc base'!$C$14:$N$14,1))))</f>
        <v>0</v>
      </c>
      <c r="AI379">
        <f>IF('Calc base'!D$14=0,0,MIN(W379,MAX(0,$E379-SUMIFS($V379:$AG379,'Calc base'!$C$19:$N$19,"&lt;"&amp;'Calc base'!D$19,'Calc base'!$C$14:$N$14,1))))</f>
        <v>0</v>
      </c>
      <c r="AJ379">
        <f>IF('Calc base'!E$14=0,0,MIN(X379,MAX(0,$E379-SUMIFS($V379:$AG379,'Calc base'!$C$19:$N$19,"&lt;"&amp;'Calc base'!E$19,'Calc base'!$C$14:$N$14,1))))</f>
        <v>0</v>
      </c>
      <c r="AK379">
        <f>IF('Calc base'!F$14=0,0,MIN(Y379,MAX(0,$E379-SUMIFS($V379:$AG379,'Calc base'!$C$19:$N$19,"&lt;"&amp;'Calc base'!F$19,'Calc base'!$C$14:$N$14,1))))</f>
        <v>0</v>
      </c>
      <c r="AL379">
        <f>IF('Calc base'!G$14=0,0,MIN(Z379,MAX(0,$E379-SUMIFS($V379:$AG379,'Calc base'!$C$19:$N$19,"&lt;"&amp;'Calc base'!G$19,'Calc base'!$C$14:$N$14,1))))</f>
        <v>0</v>
      </c>
      <c r="AM379">
        <f>IF('Calc base'!H$14=0,0,MIN(AA379,MAX(0,$E379-SUMIFS($V379:$AG379,'Calc base'!$C$19:$N$19,"&lt;"&amp;'Calc base'!H$19,'Calc base'!$C$14:$N$14,1))))</f>
        <v>0</v>
      </c>
      <c r="AN379">
        <f>IF('Calc base'!I$14=0,0,MIN(AB379,MAX(0,$E379-SUMIFS($V379:$AG379,'Calc base'!$C$19:$N$19,"&lt;"&amp;'Calc base'!I$19,'Calc base'!$C$14:$N$14,1))))</f>
        <v>0</v>
      </c>
      <c r="AO379">
        <f>IF('Calc base'!J$14=0,0,MIN(AC379,MAX(0,$E379-SUMIFS($V379:$AG379,'Calc base'!$C$19:$N$19,"&lt;"&amp;'Calc base'!J$19,'Calc base'!$C$14:$N$14,1))))</f>
        <v>0</v>
      </c>
      <c r="AP379">
        <f>IF('Calc base'!K$14=0,0,MIN(AD379,MAX(0,$E379-SUMIFS($V379:$AG379,'Calc base'!$C$19:$N$19,"&lt;"&amp;'Calc base'!K$19,'Calc base'!$C$14:$N$14,1))))</f>
        <v>0</v>
      </c>
      <c r="AQ379">
        <f>IF('Calc base'!L$14=0,0,MIN(AE379,MAX(0,$E379-SUMIFS($V379:$AG379,'Calc base'!$C$19:$N$19,"&lt;"&amp;'Calc base'!L$19,'Calc base'!$C$14:$N$14,1))))</f>
        <v>0</v>
      </c>
      <c r="AR379">
        <f>IF('Calc base'!M$14=0,0,MIN(AF379,MAX(0,$E379-SUMIFS($V379:$AG379,'Calc base'!$C$19:$N$19,"&lt;"&amp;'Calc base'!M$19,'Calc base'!$C$14:$N$14,1))))</f>
        <v>0</v>
      </c>
      <c r="AS379">
        <f>IF('Calc base'!N$14=0,0,MIN(AG379,MAX(0,$E379-SUMIFS($V379:$AG379,'Calc base'!$C$19:$N$19,"&lt;"&amp;'Calc base'!N$19,'Calc base'!$C$14:$N$14,1))))</f>
        <v>0</v>
      </c>
      <c r="AT379">
        <f>V379-AH379</f>
        <v>0</v>
      </c>
      <c r="AU379">
        <f>W379-AI379</f>
        <v>0</v>
      </c>
      <c r="AV379">
        <f>X379-AJ379</f>
        <v>0</v>
      </c>
      <c r="AW379">
        <f>Y379-AK379</f>
        <v>0</v>
      </c>
      <c r="AX379">
        <f>Z379-AL379</f>
        <v>0</v>
      </c>
      <c r="AY379">
        <f>AA379-AM379</f>
        <v>0</v>
      </c>
      <c r="AZ379">
        <f>AB379-AN379</f>
        <v>0</v>
      </c>
      <c r="BA379">
        <f>AC379-AO379</f>
        <v>0</v>
      </c>
      <c r="BB379">
        <f>AD379-AP379</f>
        <v>0</v>
      </c>
      <c r="BC379">
        <f>AE379-AQ379</f>
        <v>0</v>
      </c>
      <c r="BD379">
        <f>AF379-AR379</f>
        <v>0</v>
      </c>
      <c r="BE379">
        <f>AG379-AS379</f>
        <v>0</v>
      </c>
    </row>
    <row r="380">
      <c r="A380" t="n">
        <v>350</v>
      </c>
      <c r="B380">
        <f>SUMPRODUCT(ROUND($AT379:$BE379*(1+'Calc base'!$H380:$S380),2))</f>
        <v>0</v>
      </c>
      <c r="C380">
        <f>SUM(J380:U380)</f>
        <v>0</v>
      </c>
      <c r="D380">
        <f>SUM(V380:AG380)</f>
        <v>0</v>
      </c>
      <c r="E380">
        <f>MAX(0,IF(Impostazioni!$B$7="No",'Calc base'!$C380-$C$31,'Calc base'!$C380-C380)+'Calc base'!$G380+'Calc base'!$F380-(B380-C380-D380))</f>
        <v>900</v>
      </c>
      <c r="F380">
        <f>SUM(AH380:AS380)</f>
        <v>0</v>
      </c>
      <c r="G380">
        <f>SUM(AT380:BE380)</f>
        <v>0</v>
      </c>
      <c r="H380">
        <f>B380-G379</f>
        <v>0</v>
      </c>
      <c r="I380">
        <f>B380-G380</f>
        <v>0</v>
      </c>
      <c r="J380">
        <f>IF(AT379&lt;=0,0,IF(ROUND(AT379*(1+'Calc base'!H380),2)-MAX('Calc base'!C$12,ROUND('Calc base'!C$13*AT379,2))&lt;1,ROUND(AT379*(1+'Calc base'!H380),2),MAX('Calc base'!C$12,ROUND('Calc base'!C$13*AT379,2))))</f>
        <v>0</v>
      </c>
      <c r="K380">
        <f>IF(AU379&lt;=0,0,IF(ROUND(AU379*(1+'Calc base'!I380),2)-MAX('Calc base'!D$12,ROUND('Calc base'!D$13*AU379,2))&lt;1,ROUND(AU379*(1+'Calc base'!I380),2),MAX('Calc base'!D$12,ROUND('Calc base'!D$13*AU379,2))))</f>
        <v>0</v>
      </c>
      <c r="L380">
        <f>IF(AV379&lt;=0,0,IF(ROUND(AV379*(1+'Calc base'!J380),2)-MAX('Calc base'!E$12,ROUND('Calc base'!E$13*AV379,2))&lt;1,ROUND(AV379*(1+'Calc base'!J380),2),MAX('Calc base'!E$12,ROUND('Calc base'!E$13*AV379,2))))</f>
        <v>0</v>
      </c>
      <c r="M380">
        <f>IF(AW379&lt;=0,0,IF(ROUND(AW379*(1+'Calc base'!K380),2)-MAX('Calc base'!F$12,ROUND('Calc base'!F$13*AW379,2))&lt;1,ROUND(AW379*(1+'Calc base'!K380),2),MAX('Calc base'!F$12,ROUND('Calc base'!F$13*AW379,2))))</f>
        <v>0</v>
      </c>
      <c r="N380">
        <f>IF(AX379&lt;=0,0,IF(ROUND(AX379*(1+'Calc base'!L380),2)-MAX('Calc base'!G$12,ROUND('Calc base'!G$13*AX379,2))&lt;1,ROUND(AX379*(1+'Calc base'!L380),2),MAX('Calc base'!G$12,ROUND('Calc base'!G$13*AX379,2))))</f>
        <v>0</v>
      </c>
      <c r="O380">
        <f>IF(AY379&lt;=0,0,IF(ROUND(AY379*(1+'Calc base'!M380),2)-MAX('Calc base'!H$12,ROUND('Calc base'!H$13*AY379,2))&lt;1,ROUND(AY379*(1+'Calc base'!M380),2),MAX('Calc base'!H$12,ROUND('Calc base'!H$13*AY379,2))))</f>
        <v>0</v>
      </c>
      <c r="P380">
        <f>IF(AZ379&lt;=0,0,IF(ROUND(AZ379*(1+'Calc base'!N380),2)-MAX('Calc base'!I$12,ROUND('Calc base'!I$13*AZ379,2))&lt;1,ROUND(AZ379*(1+'Calc base'!N380),2),MAX('Calc base'!I$12,ROUND('Calc base'!I$13*AZ379,2))))</f>
        <v>0</v>
      </c>
      <c r="Q380">
        <f>IF(BA379&lt;=0,0,IF(ROUND(BA379*(1+'Calc base'!O380),2)-MAX('Calc base'!J$12,ROUND('Calc base'!J$13*BA379,2))&lt;1,ROUND(BA379*(1+'Calc base'!O380),2),MAX('Calc base'!J$12,ROUND('Calc base'!J$13*BA379,2))))</f>
        <v>0</v>
      </c>
      <c r="R380">
        <f>IF(BB379&lt;=0,0,IF(ROUND(BB379*(1+'Calc base'!P380),2)-MAX('Calc base'!K$12,ROUND('Calc base'!K$13*BB379,2))&lt;1,ROUND(BB379*(1+'Calc base'!P380),2),MAX('Calc base'!K$12,ROUND('Calc base'!K$13*BB379,2))))</f>
        <v>0</v>
      </c>
      <c r="S380">
        <f>IF(BC379&lt;=0,0,IF(ROUND(BC379*(1+'Calc base'!Q380),2)-MAX('Calc base'!L$12,ROUND('Calc base'!L$13*BC379,2))&lt;1,ROUND(BC379*(1+'Calc base'!Q380),2),MAX('Calc base'!L$12,ROUND('Calc base'!L$13*BC379,2))))</f>
        <v>0</v>
      </c>
      <c r="T380">
        <f>IF(BD379&lt;=0,0,IF(ROUND(BD379*(1+'Calc base'!R380),2)-MAX('Calc base'!M$12,ROUND('Calc base'!M$13*BD379,2))&lt;1,ROUND(BD379*(1+'Calc base'!R380),2),MAX('Calc base'!M$12,ROUND('Calc base'!M$13*BD379,2))))</f>
        <v>0</v>
      </c>
      <c r="U380">
        <f>IF(BE379&lt;=0,0,IF(ROUND(BE379*(1+'Calc base'!S380),2)-MAX('Calc base'!N$12,ROUND('Calc base'!N$13*BE379,2))&lt;1,ROUND(BE379*(1+'Calc base'!S380),2),MAX('Calc base'!N$12,ROUND('Calc base'!N$13*BE379,2))))</f>
        <v>0</v>
      </c>
      <c r="V380">
        <f>MAX(0,ROUND(AT379*(1+'Calc base'!H380),2)-J380-'Calc base'!T380)</f>
        <v>0</v>
      </c>
      <c r="W380">
        <f>MAX(0,ROUND(AU379*(1+'Calc base'!I380),2)-K380-'Calc base'!U380)</f>
        <v>0</v>
      </c>
      <c r="X380">
        <f>MAX(0,ROUND(AV379*(1+'Calc base'!J380),2)-L380-'Calc base'!V380)</f>
        <v>0</v>
      </c>
      <c r="Y380">
        <f>MAX(0,ROUND(AW379*(1+'Calc base'!K380),2)-M380-'Calc base'!W380)</f>
        <v>0</v>
      </c>
      <c r="Z380">
        <f>MAX(0,ROUND(AX379*(1+'Calc base'!L380),2)-N380-'Calc base'!X380)</f>
        <v>0</v>
      </c>
      <c r="AA380">
        <f>MAX(0,ROUND(AY379*(1+'Calc base'!M380),2)-O380-'Calc base'!Y380)</f>
        <v>0</v>
      </c>
      <c r="AB380">
        <f>MAX(0,ROUND(AZ379*(1+'Calc base'!N380),2)-P380-'Calc base'!Z380)</f>
        <v>0</v>
      </c>
      <c r="AC380">
        <f>MAX(0,ROUND(BA379*(1+'Calc base'!O380),2)-Q380-'Calc base'!AA380)</f>
        <v>0</v>
      </c>
      <c r="AD380">
        <f>MAX(0,ROUND(BB379*(1+'Calc base'!P380),2)-R380-'Calc base'!AB380)</f>
        <v>0</v>
      </c>
      <c r="AE380">
        <f>MAX(0,ROUND(BC379*(1+'Calc base'!Q380),2)-S380-'Calc base'!AC380)</f>
        <v>0</v>
      </c>
      <c r="AF380">
        <f>MAX(0,ROUND(BD379*(1+'Calc base'!R380),2)-T380-'Calc base'!AD380)</f>
        <v>0</v>
      </c>
      <c r="AG380">
        <f>MAX(0,ROUND(BE379*(1+'Calc base'!S380),2)-U380-'Calc base'!AE380)</f>
        <v>0</v>
      </c>
      <c r="AH380">
        <f>IF('Calc base'!C$14=0,0,MIN(V380,MAX(0,$E380-SUMIFS($V380:$AG380,'Calc base'!$C$19:$N$19,"&lt;"&amp;'Calc base'!C$19,'Calc base'!$C$14:$N$14,1))))</f>
        <v>0</v>
      </c>
      <c r="AI380">
        <f>IF('Calc base'!D$14=0,0,MIN(W380,MAX(0,$E380-SUMIFS($V380:$AG380,'Calc base'!$C$19:$N$19,"&lt;"&amp;'Calc base'!D$19,'Calc base'!$C$14:$N$14,1))))</f>
        <v>0</v>
      </c>
      <c r="AJ380">
        <f>IF('Calc base'!E$14=0,0,MIN(X380,MAX(0,$E380-SUMIFS($V380:$AG380,'Calc base'!$C$19:$N$19,"&lt;"&amp;'Calc base'!E$19,'Calc base'!$C$14:$N$14,1))))</f>
        <v>0</v>
      </c>
      <c r="AK380">
        <f>IF('Calc base'!F$14=0,0,MIN(Y380,MAX(0,$E380-SUMIFS($V380:$AG380,'Calc base'!$C$19:$N$19,"&lt;"&amp;'Calc base'!F$19,'Calc base'!$C$14:$N$14,1))))</f>
        <v>0</v>
      </c>
      <c r="AL380">
        <f>IF('Calc base'!G$14=0,0,MIN(Z380,MAX(0,$E380-SUMIFS($V380:$AG380,'Calc base'!$C$19:$N$19,"&lt;"&amp;'Calc base'!G$19,'Calc base'!$C$14:$N$14,1))))</f>
        <v>0</v>
      </c>
      <c r="AM380">
        <f>IF('Calc base'!H$14=0,0,MIN(AA380,MAX(0,$E380-SUMIFS($V380:$AG380,'Calc base'!$C$19:$N$19,"&lt;"&amp;'Calc base'!H$19,'Calc base'!$C$14:$N$14,1))))</f>
        <v>0</v>
      </c>
      <c r="AN380">
        <f>IF('Calc base'!I$14=0,0,MIN(AB380,MAX(0,$E380-SUMIFS($V380:$AG380,'Calc base'!$C$19:$N$19,"&lt;"&amp;'Calc base'!I$19,'Calc base'!$C$14:$N$14,1))))</f>
        <v>0</v>
      </c>
      <c r="AO380">
        <f>IF('Calc base'!J$14=0,0,MIN(AC380,MAX(0,$E380-SUMIFS($V380:$AG380,'Calc base'!$C$19:$N$19,"&lt;"&amp;'Calc base'!J$19,'Calc base'!$C$14:$N$14,1))))</f>
        <v>0</v>
      </c>
      <c r="AP380">
        <f>IF('Calc base'!K$14=0,0,MIN(AD380,MAX(0,$E380-SUMIFS($V380:$AG380,'Calc base'!$C$19:$N$19,"&lt;"&amp;'Calc base'!K$19,'Calc base'!$C$14:$N$14,1))))</f>
        <v>0</v>
      </c>
      <c r="AQ380">
        <f>IF('Calc base'!L$14=0,0,MIN(AE380,MAX(0,$E380-SUMIFS($V380:$AG380,'Calc base'!$C$19:$N$19,"&lt;"&amp;'Calc base'!L$19,'Calc base'!$C$14:$N$14,1))))</f>
        <v>0</v>
      </c>
      <c r="AR380">
        <f>IF('Calc base'!M$14=0,0,MIN(AF380,MAX(0,$E380-SUMIFS($V380:$AG380,'Calc base'!$C$19:$N$19,"&lt;"&amp;'Calc base'!M$19,'Calc base'!$C$14:$N$14,1))))</f>
        <v>0</v>
      </c>
      <c r="AS380">
        <f>IF('Calc base'!N$14=0,0,MIN(AG380,MAX(0,$E380-SUMIFS($V380:$AG380,'Calc base'!$C$19:$N$19,"&lt;"&amp;'Calc base'!N$19,'Calc base'!$C$14:$N$14,1))))</f>
        <v>0</v>
      </c>
      <c r="AT380">
        <f>V380-AH380</f>
        <v>0</v>
      </c>
      <c r="AU380">
        <f>W380-AI380</f>
        <v>0</v>
      </c>
      <c r="AV380">
        <f>X380-AJ380</f>
        <v>0</v>
      </c>
      <c r="AW380">
        <f>Y380-AK380</f>
        <v>0</v>
      </c>
      <c r="AX380">
        <f>Z380-AL380</f>
        <v>0</v>
      </c>
      <c r="AY380">
        <f>AA380-AM380</f>
        <v>0</v>
      </c>
      <c r="AZ380">
        <f>AB380-AN380</f>
        <v>0</v>
      </c>
      <c r="BA380">
        <f>AC380-AO380</f>
        <v>0</v>
      </c>
      <c r="BB380">
        <f>AD380-AP380</f>
        <v>0</v>
      </c>
      <c r="BC380">
        <f>AE380-AQ380</f>
        <v>0</v>
      </c>
      <c r="BD380">
        <f>AF380-AR380</f>
        <v>0</v>
      </c>
      <c r="BE380">
        <f>AG380-AS380</f>
        <v>0</v>
      </c>
    </row>
    <row r="381">
      <c r="A381" t="n">
        <v>351</v>
      </c>
      <c r="B381">
        <f>SUMPRODUCT(ROUND($AT380:$BE380*(1+'Calc base'!$H381:$S381),2))</f>
        <v>0</v>
      </c>
      <c r="C381">
        <f>SUM(J381:U381)</f>
        <v>0</v>
      </c>
      <c r="D381">
        <f>SUM(V381:AG381)</f>
        <v>0</v>
      </c>
      <c r="E381">
        <f>MAX(0,IF(Impostazioni!$B$7="No",'Calc base'!$C381-$C$31,'Calc base'!$C381-C381)+'Calc base'!$G381+'Calc base'!$F381-(B381-C381-D381))</f>
        <v>900</v>
      </c>
      <c r="F381">
        <f>SUM(AH381:AS381)</f>
        <v>0</v>
      </c>
      <c r="G381">
        <f>SUM(AT381:BE381)</f>
        <v>0</v>
      </c>
      <c r="H381">
        <f>B381-G380</f>
        <v>0</v>
      </c>
      <c r="I381">
        <f>B381-G381</f>
        <v>0</v>
      </c>
      <c r="J381">
        <f>IF(AT380&lt;=0,0,IF(ROUND(AT380*(1+'Calc base'!H381),2)-MAX('Calc base'!C$12,ROUND('Calc base'!C$13*AT380,2))&lt;1,ROUND(AT380*(1+'Calc base'!H381),2),MAX('Calc base'!C$12,ROUND('Calc base'!C$13*AT380,2))))</f>
        <v>0</v>
      </c>
      <c r="K381">
        <f>IF(AU380&lt;=0,0,IF(ROUND(AU380*(1+'Calc base'!I381),2)-MAX('Calc base'!D$12,ROUND('Calc base'!D$13*AU380,2))&lt;1,ROUND(AU380*(1+'Calc base'!I381),2),MAX('Calc base'!D$12,ROUND('Calc base'!D$13*AU380,2))))</f>
        <v>0</v>
      </c>
      <c r="L381">
        <f>IF(AV380&lt;=0,0,IF(ROUND(AV380*(1+'Calc base'!J381),2)-MAX('Calc base'!E$12,ROUND('Calc base'!E$13*AV380,2))&lt;1,ROUND(AV380*(1+'Calc base'!J381),2),MAX('Calc base'!E$12,ROUND('Calc base'!E$13*AV380,2))))</f>
        <v>0</v>
      </c>
      <c r="M381">
        <f>IF(AW380&lt;=0,0,IF(ROUND(AW380*(1+'Calc base'!K381),2)-MAX('Calc base'!F$12,ROUND('Calc base'!F$13*AW380,2))&lt;1,ROUND(AW380*(1+'Calc base'!K381),2),MAX('Calc base'!F$12,ROUND('Calc base'!F$13*AW380,2))))</f>
        <v>0</v>
      </c>
      <c r="N381">
        <f>IF(AX380&lt;=0,0,IF(ROUND(AX380*(1+'Calc base'!L381),2)-MAX('Calc base'!G$12,ROUND('Calc base'!G$13*AX380,2))&lt;1,ROUND(AX380*(1+'Calc base'!L381),2),MAX('Calc base'!G$12,ROUND('Calc base'!G$13*AX380,2))))</f>
        <v>0</v>
      </c>
      <c r="O381">
        <f>IF(AY380&lt;=0,0,IF(ROUND(AY380*(1+'Calc base'!M381),2)-MAX('Calc base'!H$12,ROUND('Calc base'!H$13*AY380,2))&lt;1,ROUND(AY380*(1+'Calc base'!M381),2),MAX('Calc base'!H$12,ROUND('Calc base'!H$13*AY380,2))))</f>
        <v>0</v>
      </c>
      <c r="P381">
        <f>IF(AZ380&lt;=0,0,IF(ROUND(AZ380*(1+'Calc base'!N381),2)-MAX('Calc base'!I$12,ROUND('Calc base'!I$13*AZ380,2))&lt;1,ROUND(AZ380*(1+'Calc base'!N381),2),MAX('Calc base'!I$12,ROUND('Calc base'!I$13*AZ380,2))))</f>
        <v>0</v>
      </c>
      <c r="Q381">
        <f>IF(BA380&lt;=0,0,IF(ROUND(BA380*(1+'Calc base'!O381),2)-MAX('Calc base'!J$12,ROUND('Calc base'!J$13*BA380,2))&lt;1,ROUND(BA380*(1+'Calc base'!O381),2),MAX('Calc base'!J$12,ROUND('Calc base'!J$13*BA380,2))))</f>
        <v>0</v>
      </c>
      <c r="R381">
        <f>IF(BB380&lt;=0,0,IF(ROUND(BB380*(1+'Calc base'!P381),2)-MAX('Calc base'!K$12,ROUND('Calc base'!K$13*BB380,2))&lt;1,ROUND(BB380*(1+'Calc base'!P381),2),MAX('Calc base'!K$12,ROUND('Calc base'!K$13*BB380,2))))</f>
        <v>0</v>
      </c>
      <c r="S381">
        <f>IF(BC380&lt;=0,0,IF(ROUND(BC380*(1+'Calc base'!Q381),2)-MAX('Calc base'!L$12,ROUND('Calc base'!L$13*BC380,2))&lt;1,ROUND(BC380*(1+'Calc base'!Q381),2),MAX('Calc base'!L$12,ROUND('Calc base'!L$13*BC380,2))))</f>
        <v>0</v>
      </c>
      <c r="T381">
        <f>IF(BD380&lt;=0,0,IF(ROUND(BD380*(1+'Calc base'!R381),2)-MAX('Calc base'!M$12,ROUND('Calc base'!M$13*BD380,2))&lt;1,ROUND(BD380*(1+'Calc base'!R381),2),MAX('Calc base'!M$12,ROUND('Calc base'!M$13*BD380,2))))</f>
        <v>0</v>
      </c>
      <c r="U381">
        <f>IF(BE380&lt;=0,0,IF(ROUND(BE380*(1+'Calc base'!S381),2)-MAX('Calc base'!N$12,ROUND('Calc base'!N$13*BE380,2))&lt;1,ROUND(BE380*(1+'Calc base'!S381),2),MAX('Calc base'!N$12,ROUND('Calc base'!N$13*BE380,2))))</f>
        <v>0</v>
      </c>
      <c r="V381">
        <f>MAX(0,ROUND(AT380*(1+'Calc base'!H381),2)-J381-'Calc base'!T381)</f>
        <v>0</v>
      </c>
      <c r="W381">
        <f>MAX(0,ROUND(AU380*(1+'Calc base'!I381),2)-K381-'Calc base'!U381)</f>
        <v>0</v>
      </c>
      <c r="X381">
        <f>MAX(0,ROUND(AV380*(1+'Calc base'!J381),2)-L381-'Calc base'!V381)</f>
        <v>0</v>
      </c>
      <c r="Y381">
        <f>MAX(0,ROUND(AW380*(1+'Calc base'!K381),2)-M381-'Calc base'!W381)</f>
        <v>0</v>
      </c>
      <c r="Z381">
        <f>MAX(0,ROUND(AX380*(1+'Calc base'!L381),2)-N381-'Calc base'!X381)</f>
        <v>0</v>
      </c>
      <c r="AA381">
        <f>MAX(0,ROUND(AY380*(1+'Calc base'!M381),2)-O381-'Calc base'!Y381)</f>
        <v>0</v>
      </c>
      <c r="AB381">
        <f>MAX(0,ROUND(AZ380*(1+'Calc base'!N381),2)-P381-'Calc base'!Z381)</f>
        <v>0</v>
      </c>
      <c r="AC381">
        <f>MAX(0,ROUND(BA380*(1+'Calc base'!O381),2)-Q381-'Calc base'!AA381)</f>
        <v>0</v>
      </c>
      <c r="AD381">
        <f>MAX(0,ROUND(BB380*(1+'Calc base'!P381),2)-R381-'Calc base'!AB381)</f>
        <v>0</v>
      </c>
      <c r="AE381">
        <f>MAX(0,ROUND(BC380*(1+'Calc base'!Q381),2)-S381-'Calc base'!AC381)</f>
        <v>0</v>
      </c>
      <c r="AF381">
        <f>MAX(0,ROUND(BD380*(1+'Calc base'!R381),2)-T381-'Calc base'!AD381)</f>
        <v>0</v>
      </c>
      <c r="AG381">
        <f>MAX(0,ROUND(BE380*(1+'Calc base'!S381),2)-U381-'Calc base'!AE381)</f>
        <v>0</v>
      </c>
      <c r="AH381">
        <f>IF('Calc base'!C$14=0,0,MIN(V381,MAX(0,$E381-SUMIFS($V381:$AG381,'Calc base'!$C$19:$N$19,"&lt;"&amp;'Calc base'!C$19,'Calc base'!$C$14:$N$14,1))))</f>
        <v>0</v>
      </c>
      <c r="AI381">
        <f>IF('Calc base'!D$14=0,0,MIN(W381,MAX(0,$E381-SUMIFS($V381:$AG381,'Calc base'!$C$19:$N$19,"&lt;"&amp;'Calc base'!D$19,'Calc base'!$C$14:$N$14,1))))</f>
        <v>0</v>
      </c>
      <c r="AJ381">
        <f>IF('Calc base'!E$14=0,0,MIN(X381,MAX(0,$E381-SUMIFS($V381:$AG381,'Calc base'!$C$19:$N$19,"&lt;"&amp;'Calc base'!E$19,'Calc base'!$C$14:$N$14,1))))</f>
        <v>0</v>
      </c>
      <c r="AK381">
        <f>IF('Calc base'!F$14=0,0,MIN(Y381,MAX(0,$E381-SUMIFS($V381:$AG381,'Calc base'!$C$19:$N$19,"&lt;"&amp;'Calc base'!F$19,'Calc base'!$C$14:$N$14,1))))</f>
        <v>0</v>
      </c>
      <c r="AL381">
        <f>IF('Calc base'!G$14=0,0,MIN(Z381,MAX(0,$E381-SUMIFS($V381:$AG381,'Calc base'!$C$19:$N$19,"&lt;"&amp;'Calc base'!G$19,'Calc base'!$C$14:$N$14,1))))</f>
        <v>0</v>
      </c>
      <c r="AM381">
        <f>IF('Calc base'!H$14=0,0,MIN(AA381,MAX(0,$E381-SUMIFS($V381:$AG381,'Calc base'!$C$19:$N$19,"&lt;"&amp;'Calc base'!H$19,'Calc base'!$C$14:$N$14,1))))</f>
        <v>0</v>
      </c>
      <c r="AN381">
        <f>IF('Calc base'!I$14=0,0,MIN(AB381,MAX(0,$E381-SUMIFS($V381:$AG381,'Calc base'!$C$19:$N$19,"&lt;"&amp;'Calc base'!I$19,'Calc base'!$C$14:$N$14,1))))</f>
        <v>0</v>
      </c>
      <c r="AO381">
        <f>IF('Calc base'!J$14=0,0,MIN(AC381,MAX(0,$E381-SUMIFS($V381:$AG381,'Calc base'!$C$19:$N$19,"&lt;"&amp;'Calc base'!J$19,'Calc base'!$C$14:$N$14,1))))</f>
        <v>0</v>
      </c>
      <c r="AP381">
        <f>IF('Calc base'!K$14=0,0,MIN(AD381,MAX(0,$E381-SUMIFS($V381:$AG381,'Calc base'!$C$19:$N$19,"&lt;"&amp;'Calc base'!K$19,'Calc base'!$C$14:$N$14,1))))</f>
        <v>0</v>
      </c>
      <c r="AQ381">
        <f>IF('Calc base'!L$14=0,0,MIN(AE381,MAX(0,$E381-SUMIFS($V381:$AG381,'Calc base'!$C$19:$N$19,"&lt;"&amp;'Calc base'!L$19,'Calc base'!$C$14:$N$14,1))))</f>
        <v>0</v>
      </c>
      <c r="AR381">
        <f>IF('Calc base'!M$14=0,0,MIN(AF381,MAX(0,$E381-SUMIFS($V381:$AG381,'Calc base'!$C$19:$N$19,"&lt;"&amp;'Calc base'!M$19,'Calc base'!$C$14:$N$14,1))))</f>
        <v>0</v>
      </c>
      <c r="AS381">
        <f>IF('Calc base'!N$14=0,0,MIN(AG381,MAX(0,$E381-SUMIFS($V381:$AG381,'Calc base'!$C$19:$N$19,"&lt;"&amp;'Calc base'!N$19,'Calc base'!$C$14:$N$14,1))))</f>
        <v>0</v>
      </c>
      <c r="AT381">
        <f>V381-AH381</f>
        <v>0</v>
      </c>
      <c r="AU381">
        <f>W381-AI381</f>
        <v>0</v>
      </c>
      <c r="AV381">
        <f>X381-AJ381</f>
        <v>0</v>
      </c>
      <c r="AW381">
        <f>Y381-AK381</f>
        <v>0</v>
      </c>
      <c r="AX381">
        <f>Z381-AL381</f>
        <v>0</v>
      </c>
      <c r="AY381">
        <f>AA381-AM381</f>
        <v>0</v>
      </c>
      <c r="AZ381">
        <f>AB381-AN381</f>
        <v>0</v>
      </c>
      <c r="BA381">
        <f>AC381-AO381</f>
        <v>0</v>
      </c>
      <c r="BB381">
        <f>AD381-AP381</f>
        <v>0</v>
      </c>
      <c r="BC381">
        <f>AE381-AQ381</f>
        <v>0</v>
      </c>
      <c r="BD381">
        <f>AF381-AR381</f>
        <v>0</v>
      </c>
      <c r="BE381">
        <f>AG381-AS381</f>
        <v>0</v>
      </c>
    </row>
    <row r="382">
      <c r="A382" t="n">
        <v>352</v>
      </c>
      <c r="B382">
        <f>SUMPRODUCT(ROUND($AT381:$BE381*(1+'Calc base'!$H382:$S382),2))</f>
        <v>0</v>
      </c>
      <c r="C382">
        <f>SUM(J382:U382)</f>
        <v>0</v>
      </c>
      <c r="D382">
        <f>SUM(V382:AG382)</f>
        <v>0</v>
      </c>
      <c r="E382">
        <f>MAX(0,IF(Impostazioni!$B$7="No",'Calc base'!$C382-$C$31,'Calc base'!$C382-C382)+'Calc base'!$G382+'Calc base'!$F382-(B382-C382-D382))</f>
        <v>900</v>
      </c>
      <c r="F382">
        <f>SUM(AH382:AS382)</f>
        <v>0</v>
      </c>
      <c r="G382">
        <f>SUM(AT382:BE382)</f>
        <v>0</v>
      </c>
      <c r="H382">
        <f>B382-G381</f>
        <v>0</v>
      </c>
      <c r="I382">
        <f>B382-G382</f>
        <v>0</v>
      </c>
      <c r="J382">
        <f>IF(AT381&lt;=0,0,IF(ROUND(AT381*(1+'Calc base'!H382),2)-MAX('Calc base'!C$12,ROUND('Calc base'!C$13*AT381,2))&lt;1,ROUND(AT381*(1+'Calc base'!H382),2),MAX('Calc base'!C$12,ROUND('Calc base'!C$13*AT381,2))))</f>
        <v>0</v>
      </c>
      <c r="K382">
        <f>IF(AU381&lt;=0,0,IF(ROUND(AU381*(1+'Calc base'!I382),2)-MAX('Calc base'!D$12,ROUND('Calc base'!D$13*AU381,2))&lt;1,ROUND(AU381*(1+'Calc base'!I382),2),MAX('Calc base'!D$12,ROUND('Calc base'!D$13*AU381,2))))</f>
        <v>0</v>
      </c>
      <c r="L382">
        <f>IF(AV381&lt;=0,0,IF(ROUND(AV381*(1+'Calc base'!J382),2)-MAX('Calc base'!E$12,ROUND('Calc base'!E$13*AV381,2))&lt;1,ROUND(AV381*(1+'Calc base'!J382),2),MAX('Calc base'!E$12,ROUND('Calc base'!E$13*AV381,2))))</f>
        <v>0</v>
      </c>
      <c r="M382">
        <f>IF(AW381&lt;=0,0,IF(ROUND(AW381*(1+'Calc base'!K382),2)-MAX('Calc base'!F$12,ROUND('Calc base'!F$13*AW381,2))&lt;1,ROUND(AW381*(1+'Calc base'!K382),2),MAX('Calc base'!F$12,ROUND('Calc base'!F$13*AW381,2))))</f>
        <v>0</v>
      </c>
      <c r="N382">
        <f>IF(AX381&lt;=0,0,IF(ROUND(AX381*(1+'Calc base'!L382),2)-MAX('Calc base'!G$12,ROUND('Calc base'!G$13*AX381,2))&lt;1,ROUND(AX381*(1+'Calc base'!L382),2),MAX('Calc base'!G$12,ROUND('Calc base'!G$13*AX381,2))))</f>
        <v>0</v>
      </c>
      <c r="O382">
        <f>IF(AY381&lt;=0,0,IF(ROUND(AY381*(1+'Calc base'!M382),2)-MAX('Calc base'!H$12,ROUND('Calc base'!H$13*AY381,2))&lt;1,ROUND(AY381*(1+'Calc base'!M382),2),MAX('Calc base'!H$12,ROUND('Calc base'!H$13*AY381,2))))</f>
        <v>0</v>
      </c>
      <c r="P382">
        <f>IF(AZ381&lt;=0,0,IF(ROUND(AZ381*(1+'Calc base'!N382),2)-MAX('Calc base'!I$12,ROUND('Calc base'!I$13*AZ381,2))&lt;1,ROUND(AZ381*(1+'Calc base'!N382),2),MAX('Calc base'!I$12,ROUND('Calc base'!I$13*AZ381,2))))</f>
        <v>0</v>
      </c>
      <c r="Q382">
        <f>IF(BA381&lt;=0,0,IF(ROUND(BA381*(1+'Calc base'!O382),2)-MAX('Calc base'!J$12,ROUND('Calc base'!J$13*BA381,2))&lt;1,ROUND(BA381*(1+'Calc base'!O382),2),MAX('Calc base'!J$12,ROUND('Calc base'!J$13*BA381,2))))</f>
        <v>0</v>
      </c>
      <c r="R382">
        <f>IF(BB381&lt;=0,0,IF(ROUND(BB381*(1+'Calc base'!P382),2)-MAX('Calc base'!K$12,ROUND('Calc base'!K$13*BB381,2))&lt;1,ROUND(BB381*(1+'Calc base'!P382),2),MAX('Calc base'!K$12,ROUND('Calc base'!K$13*BB381,2))))</f>
        <v>0</v>
      </c>
      <c r="S382">
        <f>IF(BC381&lt;=0,0,IF(ROUND(BC381*(1+'Calc base'!Q382),2)-MAX('Calc base'!L$12,ROUND('Calc base'!L$13*BC381,2))&lt;1,ROUND(BC381*(1+'Calc base'!Q382),2),MAX('Calc base'!L$12,ROUND('Calc base'!L$13*BC381,2))))</f>
        <v>0</v>
      </c>
      <c r="T382">
        <f>IF(BD381&lt;=0,0,IF(ROUND(BD381*(1+'Calc base'!R382),2)-MAX('Calc base'!M$12,ROUND('Calc base'!M$13*BD381,2))&lt;1,ROUND(BD381*(1+'Calc base'!R382),2),MAX('Calc base'!M$12,ROUND('Calc base'!M$13*BD381,2))))</f>
        <v>0</v>
      </c>
      <c r="U382">
        <f>IF(BE381&lt;=0,0,IF(ROUND(BE381*(1+'Calc base'!S382),2)-MAX('Calc base'!N$12,ROUND('Calc base'!N$13*BE381,2))&lt;1,ROUND(BE381*(1+'Calc base'!S382),2),MAX('Calc base'!N$12,ROUND('Calc base'!N$13*BE381,2))))</f>
        <v>0</v>
      </c>
      <c r="V382">
        <f>MAX(0,ROUND(AT381*(1+'Calc base'!H382),2)-J382-'Calc base'!T382)</f>
        <v>0</v>
      </c>
      <c r="W382">
        <f>MAX(0,ROUND(AU381*(1+'Calc base'!I382),2)-K382-'Calc base'!U382)</f>
        <v>0</v>
      </c>
      <c r="X382">
        <f>MAX(0,ROUND(AV381*(1+'Calc base'!J382),2)-L382-'Calc base'!V382)</f>
        <v>0</v>
      </c>
      <c r="Y382">
        <f>MAX(0,ROUND(AW381*(1+'Calc base'!K382),2)-M382-'Calc base'!W382)</f>
        <v>0</v>
      </c>
      <c r="Z382">
        <f>MAX(0,ROUND(AX381*(1+'Calc base'!L382),2)-N382-'Calc base'!X382)</f>
        <v>0</v>
      </c>
      <c r="AA382">
        <f>MAX(0,ROUND(AY381*(1+'Calc base'!M382),2)-O382-'Calc base'!Y382)</f>
        <v>0</v>
      </c>
      <c r="AB382">
        <f>MAX(0,ROUND(AZ381*(1+'Calc base'!N382),2)-P382-'Calc base'!Z382)</f>
        <v>0</v>
      </c>
      <c r="AC382">
        <f>MAX(0,ROUND(BA381*(1+'Calc base'!O382),2)-Q382-'Calc base'!AA382)</f>
        <v>0</v>
      </c>
      <c r="AD382">
        <f>MAX(0,ROUND(BB381*(1+'Calc base'!P382),2)-R382-'Calc base'!AB382)</f>
        <v>0</v>
      </c>
      <c r="AE382">
        <f>MAX(0,ROUND(BC381*(1+'Calc base'!Q382),2)-S382-'Calc base'!AC382)</f>
        <v>0</v>
      </c>
      <c r="AF382">
        <f>MAX(0,ROUND(BD381*(1+'Calc base'!R382),2)-T382-'Calc base'!AD382)</f>
        <v>0</v>
      </c>
      <c r="AG382">
        <f>MAX(0,ROUND(BE381*(1+'Calc base'!S382),2)-U382-'Calc base'!AE382)</f>
        <v>0</v>
      </c>
      <c r="AH382">
        <f>IF('Calc base'!C$14=0,0,MIN(V382,MAX(0,$E382-SUMIFS($V382:$AG382,'Calc base'!$C$19:$N$19,"&lt;"&amp;'Calc base'!C$19,'Calc base'!$C$14:$N$14,1))))</f>
        <v>0</v>
      </c>
      <c r="AI382">
        <f>IF('Calc base'!D$14=0,0,MIN(W382,MAX(0,$E382-SUMIFS($V382:$AG382,'Calc base'!$C$19:$N$19,"&lt;"&amp;'Calc base'!D$19,'Calc base'!$C$14:$N$14,1))))</f>
        <v>0</v>
      </c>
      <c r="AJ382">
        <f>IF('Calc base'!E$14=0,0,MIN(X382,MAX(0,$E382-SUMIFS($V382:$AG382,'Calc base'!$C$19:$N$19,"&lt;"&amp;'Calc base'!E$19,'Calc base'!$C$14:$N$14,1))))</f>
        <v>0</v>
      </c>
      <c r="AK382">
        <f>IF('Calc base'!F$14=0,0,MIN(Y382,MAX(0,$E382-SUMIFS($V382:$AG382,'Calc base'!$C$19:$N$19,"&lt;"&amp;'Calc base'!F$19,'Calc base'!$C$14:$N$14,1))))</f>
        <v>0</v>
      </c>
      <c r="AL382">
        <f>IF('Calc base'!G$14=0,0,MIN(Z382,MAX(0,$E382-SUMIFS($V382:$AG382,'Calc base'!$C$19:$N$19,"&lt;"&amp;'Calc base'!G$19,'Calc base'!$C$14:$N$14,1))))</f>
        <v>0</v>
      </c>
      <c r="AM382">
        <f>IF('Calc base'!H$14=0,0,MIN(AA382,MAX(0,$E382-SUMIFS($V382:$AG382,'Calc base'!$C$19:$N$19,"&lt;"&amp;'Calc base'!H$19,'Calc base'!$C$14:$N$14,1))))</f>
        <v>0</v>
      </c>
      <c r="AN382">
        <f>IF('Calc base'!I$14=0,0,MIN(AB382,MAX(0,$E382-SUMIFS($V382:$AG382,'Calc base'!$C$19:$N$19,"&lt;"&amp;'Calc base'!I$19,'Calc base'!$C$14:$N$14,1))))</f>
        <v>0</v>
      </c>
      <c r="AO382">
        <f>IF('Calc base'!J$14=0,0,MIN(AC382,MAX(0,$E382-SUMIFS($V382:$AG382,'Calc base'!$C$19:$N$19,"&lt;"&amp;'Calc base'!J$19,'Calc base'!$C$14:$N$14,1))))</f>
        <v>0</v>
      </c>
      <c r="AP382">
        <f>IF('Calc base'!K$14=0,0,MIN(AD382,MAX(0,$E382-SUMIFS($V382:$AG382,'Calc base'!$C$19:$N$19,"&lt;"&amp;'Calc base'!K$19,'Calc base'!$C$14:$N$14,1))))</f>
        <v>0</v>
      </c>
      <c r="AQ382">
        <f>IF('Calc base'!L$14=0,0,MIN(AE382,MAX(0,$E382-SUMIFS($V382:$AG382,'Calc base'!$C$19:$N$19,"&lt;"&amp;'Calc base'!L$19,'Calc base'!$C$14:$N$14,1))))</f>
        <v>0</v>
      </c>
      <c r="AR382">
        <f>IF('Calc base'!M$14=0,0,MIN(AF382,MAX(0,$E382-SUMIFS($V382:$AG382,'Calc base'!$C$19:$N$19,"&lt;"&amp;'Calc base'!M$19,'Calc base'!$C$14:$N$14,1))))</f>
        <v>0</v>
      </c>
      <c r="AS382">
        <f>IF('Calc base'!N$14=0,0,MIN(AG382,MAX(0,$E382-SUMIFS($V382:$AG382,'Calc base'!$C$19:$N$19,"&lt;"&amp;'Calc base'!N$19,'Calc base'!$C$14:$N$14,1))))</f>
        <v>0</v>
      </c>
      <c r="AT382">
        <f>V382-AH382</f>
        <v>0</v>
      </c>
      <c r="AU382">
        <f>W382-AI382</f>
        <v>0</v>
      </c>
      <c r="AV382">
        <f>X382-AJ382</f>
        <v>0</v>
      </c>
      <c r="AW382">
        <f>Y382-AK382</f>
        <v>0</v>
      </c>
      <c r="AX382">
        <f>Z382-AL382</f>
        <v>0</v>
      </c>
      <c r="AY382">
        <f>AA382-AM382</f>
        <v>0</v>
      </c>
      <c r="AZ382">
        <f>AB382-AN382</f>
        <v>0</v>
      </c>
      <c r="BA382">
        <f>AC382-AO382</f>
        <v>0</v>
      </c>
      <c r="BB382">
        <f>AD382-AP382</f>
        <v>0</v>
      </c>
      <c r="BC382">
        <f>AE382-AQ382</f>
        <v>0</v>
      </c>
      <c r="BD382">
        <f>AF382-AR382</f>
        <v>0</v>
      </c>
      <c r="BE382">
        <f>AG382-AS382</f>
        <v>0</v>
      </c>
    </row>
    <row r="383">
      <c r="A383" t="n">
        <v>353</v>
      </c>
      <c r="B383">
        <f>SUMPRODUCT(ROUND($AT382:$BE382*(1+'Calc base'!$H383:$S383),2))</f>
        <v>0</v>
      </c>
      <c r="C383">
        <f>SUM(J383:U383)</f>
        <v>0</v>
      </c>
      <c r="D383">
        <f>SUM(V383:AG383)</f>
        <v>0</v>
      </c>
      <c r="E383">
        <f>MAX(0,IF(Impostazioni!$B$7="No",'Calc base'!$C383-$C$31,'Calc base'!$C383-C383)+'Calc base'!$G383+'Calc base'!$F383-(B383-C383-D383))</f>
        <v>900</v>
      </c>
      <c r="F383">
        <f>SUM(AH383:AS383)</f>
        <v>0</v>
      </c>
      <c r="G383">
        <f>SUM(AT383:BE383)</f>
        <v>0</v>
      </c>
      <c r="H383">
        <f>B383-G382</f>
        <v>0</v>
      </c>
      <c r="I383">
        <f>B383-G383</f>
        <v>0</v>
      </c>
      <c r="J383">
        <f>IF(AT382&lt;=0,0,IF(ROUND(AT382*(1+'Calc base'!H383),2)-MAX('Calc base'!C$12,ROUND('Calc base'!C$13*AT382,2))&lt;1,ROUND(AT382*(1+'Calc base'!H383),2),MAX('Calc base'!C$12,ROUND('Calc base'!C$13*AT382,2))))</f>
        <v>0</v>
      </c>
      <c r="K383">
        <f>IF(AU382&lt;=0,0,IF(ROUND(AU382*(1+'Calc base'!I383),2)-MAX('Calc base'!D$12,ROUND('Calc base'!D$13*AU382,2))&lt;1,ROUND(AU382*(1+'Calc base'!I383),2),MAX('Calc base'!D$12,ROUND('Calc base'!D$13*AU382,2))))</f>
        <v>0</v>
      </c>
      <c r="L383">
        <f>IF(AV382&lt;=0,0,IF(ROUND(AV382*(1+'Calc base'!J383),2)-MAX('Calc base'!E$12,ROUND('Calc base'!E$13*AV382,2))&lt;1,ROUND(AV382*(1+'Calc base'!J383),2),MAX('Calc base'!E$12,ROUND('Calc base'!E$13*AV382,2))))</f>
        <v>0</v>
      </c>
      <c r="M383">
        <f>IF(AW382&lt;=0,0,IF(ROUND(AW382*(1+'Calc base'!K383),2)-MAX('Calc base'!F$12,ROUND('Calc base'!F$13*AW382,2))&lt;1,ROUND(AW382*(1+'Calc base'!K383),2),MAX('Calc base'!F$12,ROUND('Calc base'!F$13*AW382,2))))</f>
        <v>0</v>
      </c>
      <c r="N383">
        <f>IF(AX382&lt;=0,0,IF(ROUND(AX382*(1+'Calc base'!L383),2)-MAX('Calc base'!G$12,ROUND('Calc base'!G$13*AX382,2))&lt;1,ROUND(AX382*(1+'Calc base'!L383),2),MAX('Calc base'!G$12,ROUND('Calc base'!G$13*AX382,2))))</f>
        <v>0</v>
      </c>
      <c r="O383">
        <f>IF(AY382&lt;=0,0,IF(ROUND(AY382*(1+'Calc base'!M383),2)-MAX('Calc base'!H$12,ROUND('Calc base'!H$13*AY382,2))&lt;1,ROUND(AY382*(1+'Calc base'!M383),2),MAX('Calc base'!H$12,ROUND('Calc base'!H$13*AY382,2))))</f>
        <v>0</v>
      </c>
      <c r="P383">
        <f>IF(AZ382&lt;=0,0,IF(ROUND(AZ382*(1+'Calc base'!N383),2)-MAX('Calc base'!I$12,ROUND('Calc base'!I$13*AZ382,2))&lt;1,ROUND(AZ382*(1+'Calc base'!N383),2),MAX('Calc base'!I$12,ROUND('Calc base'!I$13*AZ382,2))))</f>
        <v>0</v>
      </c>
      <c r="Q383">
        <f>IF(BA382&lt;=0,0,IF(ROUND(BA382*(1+'Calc base'!O383),2)-MAX('Calc base'!J$12,ROUND('Calc base'!J$13*BA382,2))&lt;1,ROUND(BA382*(1+'Calc base'!O383),2),MAX('Calc base'!J$12,ROUND('Calc base'!J$13*BA382,2))))</f>
        <v>0</v>
      </c>
      <c r="R383">
        <f>IF(BB382&lt;=0,0,IF(ROUND(BB382*(1+'Calc base'!P383),2)-MAX('Calc base'!K$12,ROUND('Calc base'!K$13*BB382,2))&lt;1,ROUND(BB382*(1+'Calc base'!P383),2),MAX('Calc base'!K$12,ROUND('Calc base'!K$13*BB382,2))))</f>
        <v>0</v>
      </c>
      <c r="S383">
        <f>IF(BC382&lt;=0,0,IF(ROUND(BC382*(1+'Calc base'!Q383),2)-MAX('Calc base'!L$12,ROUND('Calc base'!L$13*BC382,2))&lt;1,ROUND(BC382*(1+'Calc base'!Q383),2),MAX('Calc base'!L$12,ROUND('Calc base'!L$13*BC382,2))))</f>
        <v>0</v>
      </c>
      <c r="T383">
        <f>IF(BD382&lt;=0,0,IF(ROUND(BD382*(1+'Calc base'!R383),2)-MAX('Calc base'!M$12,ROUND('Calc base'!M$13*BD382,2))&lt;1,ROUND(BD382*(1+'Calc base'!R383),2),MAX('Calc base'!M$12,ROUND('Calc base'!M$13*BD382,2))))</f>
        <v>0</v>
      </c>
      <c r="U383">
        <f>IF(BE382&lt;=0,0,IF(ROUND(BE382*(1+'Calc base'!S383),2)-MAX('Calc base'!N$12,ROUND('Calc base'!N$13*BE382,2))&lt;1,ROUND(BE382*(1+'Calc base'!S383),2),MAX('Calc base'!N$12,ROUND('Calc base'!N$13*BE382,2))))</f>
        <v>0</v>
      </c>
      <c r="V383">
        <f>MAX(0,ROUND(AT382*(1+'Calc base'!H383),2)-J383-'Calc base'!T383)</f>
        <v>0</v>
      </c>
      <c r="W383">
        <f>MAX(0,ROUND(AU382*(1+'Calc base'!I383),2)-K383-'Calc base'!U383)</f>
        <v>0</v>
      </c>
      <c r="X383">
        <f>MAX(0,ROUND(AV382*(1+'Calc base'!J383),2)-L383-'Calc base'!V383)</f>
        <v>0</v>
      </c>
      <c r="Y383">
        <f>MAX(0,ROUND(AW382*(1+'Calc base'!K383),2)-M383-'Calc base'!W383)</f>
        <v>0</v>
      </c>
      <c r="Z383">
        <f>MAX(0,ROUND(AX382*(1+'Calc base'!L383),2)-N383-'Calc base'!X383)</f>
        <v>0</v>
      </c>
      <c r="AA383">
        <f>MAX(0,ROUND(AY382*(1+'Calc base'!M383),2)-O383-'Calc base'!Y383)</f>
        <v>0</v>
      </c>
      <c r="AB383">
        <f>MAX(0,ROUND(AZ382*(1+'Calc base'!N383),2)-P383-'Calc base'!Z383)</f>
        <v>0</v>
      </c>
      <c r="AC383">
        <f>MAX(0,ROUND(BA382*(1+'Calc base'!O383),2)-Q383-'Calc base'!AA383)</f>
        <v>0</v>
      </c>
      <c r="AD383">
        <f>MAX(0,ROUND(BB382*(1+'Calc base'!P383),2)-R383-'Calc base'!AB383)</f>
        <v>0</v>
      </c>
      <c r="AE383">
        <f>MAX(0,ROUND(BC382*(1+'Calc base'!Q383),2)-S383-'Calc base'!AC383)</f>
        <v>0</v>
      </c>
      <c r="AF383">
        <f>MAX(0,ROUND(BD382*(1+'Calc base'!R383),2)-T383-'Calc base'!AD383)</f>
        <v>0</v>
      </c>
      <c r="AG383">
        <f>MAX(0,ROUND(BE382*(1+'Calc base'!S383),2)-U383-'Calc base'!AE383)</f>
        <v>0</v>
      </c>
      <c r="AH383">
        <f>IF('Calc base'!C$14=0,0,MIN(V383,MAX(0,$E383-SUMIFS($V383:$AG383,'Calc base'!$C$19:$N$19,"&lt;"&amp;'Calc base'!C$19,'Calc base'!$C$14:$N$14,1))))</f>
        <v>0</v>
      </c>
      <c r="AI383">
        <f>IF('Calc base'!D$14=0,0,MIN(W383,MAX(0,$E383-SUMIFS($V383:$AG383,'Calc base'!$C$19:$N$19,"&lt;"&amp;'Calc base'!D$19,'Calc base'!$C$14:$N$14,1))))</f>
        <v>0</v>
      </c>
      <c r="AJ383">
        <f>IF('Calc base'!E$14=0,0,MIN(X383,MAX(0,$E383-SUMIFS($V383:$AG383,'Calc base'!$C$19:$N$19,"&lt;"&amp;'Calc base'!E$19,'Calc base'!$C$14:$N$14,1))))</f>
        <v>0</v>
      </c>
      <c r="AK383">
        <f>IF('Calc base'!F$14=0,0,MIN(Y383,MAX(0,$E383-SUMIFS($V383:$AG383,'Calc base'!$C$19:$N$19,"&lt;"&amp;'Calc base'!F$19,'Calc base'!$C$14:$N$14,1))))</f>
        <v>0</v>
      </c>
      <c r="AL383">
        <f>IF('Calc base'!G$14=0,0,MIN(Z383,MAX(0,$E383-SUMIFS($V383:$AG383,'Calc base'!$C$19:$N$19,"&lt;"&amp;'Calc base'!G$19,'Calc base'!$C$14:$N$14,1))))</f>
        <v>0</v>
      </c>
      <c r="AM383">
        <f>IF('Calc base'!H$14=0,0,MIN(AA383,MAX(0,$E383-SUMIFS($V383:$AG383,'Calc base'!$C$19:$N$19,"&lt;"&amp;'Calc base'!H$19,'Calc base'!$C$14:$N$14,1))))</f>
        <v>0</v>
      </c>
      <c r="AN383">
        <f>IF('Calc base'!I$14=0,0,MIN(AB383,MAX(0,$E383-SUMIFS($V383:$AG383,'Calc base'!$C$19:$N$19,"&lt;"&amp;'Calc base'!I$19,'Calc base'!$C$14:$N$14,1))))</f>
        <v>0</v>
      </c>
      <c r="AO383">
        <f>IF('Calc base'!J$14=0,0,MIN(AC383,MAX(0,$E383-SUMIFS($V383:$AG383,'Calc base'!$C$19:$N$19,"&lt;"&amp;'Calc base'!J$19,'Calc base'!$C$14:$N$14,1))))</f>
        <v>0</v>
      </c>
      <c r="AP383">
        <f>IF('Calc base'!K$14=0,0,MIN(AD383,MAX(0,$E383-SUMIFS($V383:$AG383,'Calc base'!$C$19:$N$19,"&lt;"&amp;'Calc base'!K$19,'Calc base'!$C$14:$N$14,1))))</f>
        <v>0</v>
      </c>
      <c r="AQ383">
        <f>IF('Calc base'!L$14=0,0,MIN(AE383,MAX(0,$E383-SUMIFS($V383:$AG383,'Calc base'!$C$19:$N$19,"&lt;"&amp;'Calc base'!L$19,'Calc base'!$C$14:$N$14,1))))</f>
        <v>0</v>
      </c>
      <c r="AR383">
        <f>IF('Calc base'!M$14=0,0,MIN(AF383,MAX(0,$E383-SUMIFS($V383:$AG383,'Calc base'!$C$19:$N$19,"&lt;"&amp;'Calc base'!M$19,'Calc base'!$C$14:$N$14,1))))</f>
        <v>0</v>
      </c>
      <c r="AS383">
        <f>IF('Calc base'!N$14=0,0,MIN(AG383,MAX(0,$E383-SUMIFS($V383:$AG383,'Calc base'!$C$19:$N$19,"&lt;"&amp;'Calc base'!N$19,'Calc base'!$C$14:$N$14,1))))</f>
        <v>0</v>
      </c>
      <c r="AT383">
        <f>V383-AH383</f>
        <v>0</v>
      </c>
      <c r="AU383">
        <f>W383-AI383</f>
        <v>0</v>
      </c>
      <c r="AV383">
        <f>X383-AJ383</f>
        <v>0</v>
      </c>
      <c r="AW383">
        <f>Y383-AK383</f>
        <v>0</v>
      </c>
      <c r="AX383">
        <f>Z383-AL383</f>
        <v>0</v>
      </c>
      <c r="AY383">
        <f>AA383-AM383</f>
        <v>0</v>
      </c>
      <c r="AZ383">
        <f>AB383-AN383</f>
        <v>0</v>
      </c>
      <c r="BA383">
        <f>AC383-AO383</f>
        <v>0</v>
      </c>
      <c r="BB383">
        <f>AD383-AP383</f>
        <v>0</v>
      </c>
      <c r="BC383">
        <f>AE383-AQ383</f>
        <v>0</v>
      </c>
      <c r="BD383">
        <f>AF383-AR383</f>
        <v>0</v>
      </c>
      <c r="BE383">
        <f>AG383-AS383</f>
        <v>0</v>
      </c>
    </row>
    <row r="384">
      <c r="A384" t="n">
        <v>354</v>
      </c>
      <c r="B384">
        <f>SUMPRODUCT(ROUND($AT383:$BE383*(1+'Calc base'!$H384:$S384),2))</f>
        <v>0</v>
      </c>
      <c r="C384">
        <f>SUM(J384:U384)</f>
        <v>0</v>
      </c>
      <c r="D384">
        <f>SUM(V384:AG384)</f>
        <v>0</v>
      </c>
      <c r="E384">
        <f>MAX(0,IF(Impostazioni!$B$7="No",'Calc base'!$C384-$C$31,'Calc base'!$C384-C384)+'Calc base'!$G384+'Calc base'!$F384-(B384-C384-D384))</f>
        <v>900</v>
      </c>
      <c r="F384">
        <f>SUM(AH384:AS384)</f>
        <v>0</v>
      </c>
      <c r="G384">
        <f>SUM(AT384:BE384)</f>
        <v>0</v>
      </c>
      <c r="H384">
        <f>B384-G383</f>
        <v>0</v>
      </c>
      <c r="I384">
        <f>B384-G384</f>
        <v>0</v>
      </c>
      <c r="J384">
        <f>IF(AT383&lt;=0,0,IF(ROUND(AT383*(1+'Calc base'!H384),2)-MAX('Calc base'!C$12,ROUND('Calc base'!C$13*AT383,2))&lt;1,ROUND(AT383*(1+'Calc base'!H384),2),MAX('Calc base'!C$12,ROUND('Calc base'!C$13*AT383,2))))</f>
        <v>0</v>
      </c>
      <c r="K384">
        <f>IF(AU383&lt;=0,0,IF(ROUND(AU383*(1+'Calc base'!I384),2)-MAX('Calc base'!D$12,ROUND('Calc base'!D$13*AU383,2))&lt;1,ROUND(AU383*(1+'Calc base'!I384),2),MAX('Calc base'!D$12,ROUND('Calc base'!D$13*AU383,2))))</f>
        <v>0</v>
      </c>
      <c r="L384">
        <f>IF(AV383&lt;=0,0,IF(ROUND(AV383*(1+'Calc base'!J384),2)-MAX('Calc base'!E$12,ROUND('Calc base'!E$13*AV383,2))&lt;1,ROUND(AV383*(1+'Calc base'!J384),2),MAX('Calc base'!E$12,ROUND('Calc base'!E$13*AV383,2))))</f>
        <v>0</v>
      </c>
      <c r="M384">
        <f>IF(AW383&lt;=0,0,IF(ROUND(AW383*(1+'Calc base'!K384),2)-MAX('Calc base'!F$12,ROUND('Calc base'!F$13*AW383,2))&lt;1,ROUND(AW383*(1+'Calc base'!K384),2),MAX('Calc base'!F$12,ROUND('Calc base'!F$13*AW383,2))))</f>
        <v>0</v>
      </c>
      <c r="N384">
        <f>IF(AX383&lt;=0,0,IF(ROUND(AX383*(1+'Calc base'!L384),2)-MAX('Calc base'!G$12,ROUND('Calc base'!G$13*AX383,2))&lt;1,ROUND(AX383*(1+'Calc base'!L384),2),MAX('Calc base'!G$12,ROUND('Calc base'!G$13*AX383,2))))</f>
        <v>0</v>
      </c>
      <c r="O384">
        <f>IF(AY383&lt;=0,0,IF(ROUND(AY383*(1+'Calc base'!M384),2)-MAX('Calc base'!H$12,ROUND('Calc base'!H$13*AY383,2))&lt;1,ROUND(AY383*(1+'Calc base'!M384),2),MAX('Calc base'!H$12,ROUND('Calc base'!H$13*AY383,2))))</f>
        <v>0</v>
      </c>
      <c r="P384">
        <f>IF(AZ383&lt;=0,0,IF(ROUND(AZ383*(1+'Calc base'!N384),2)-MAX('Calc base'!I$12,ROUND('Calc base'!I$13*AZ383,2))&lt;1,ROUND(AZ383*(1+'Calc base'!N384),2),MAX('Calc base'!I$12,ROUND('Calc base'!I$13*AZ383,2))))</f>
        <v>0</v>
      </c>
      <c r="Q384">
        <f>IF(BA383&lt;=0,0,IF(ROUND(BA383*(1+'Calc base'!O384),2)-MAX('Calc base'!J$12,ROUND('Calc base'!J$13*BA383,2))&lt;1,ROUND(BA383*(1+'Calc base'!O384),2),MAX('Calc base'!J$12,ROUND('Calc base'!J$13*BA383,2))))</f>
        <v>0</v>
      </c>
      <c r="R384">
        <f>IF(BB383&lt;=0,0,IF(ROUND(BB383*(1+'Calc base'!P384),2)-MAX('Calc base'!K$12,ROUND('Calc base'!K$13*BB383,2))&lt;1,ROUND(BB383*(1+'Calc base'!P384),2),MAX('Calc base'!K$12,ROUND('Calc base'!K$13*BB383,2))))</f>
        <v>0</v>
      </c>
      <c r="S384">
        <f>IF(BC383&lt;=0,0,IF(ROUND(BC383*(1+'Calc base'!Q384),2)-MAX('Calc base'!L$12,ROUND('Calc base'!L$13*BC383,2))&lt;1,ROUND(BC383*(1+'Calc base'!Q384),2),MAX('Calc base'!L$12,ROUND('Calc base'!L$13*BC383,2))))</f>
        <v>0</v>
      </c>
      <c r="T384">
        <f>IF(BD383&lt;=0,0,IF(ROUND(BD383*(1+'Calc base'!R384),2)-MAX('Calc base'!M$12,ROUND('Calc base'!M$13*BD383,2))&lt;1,ROUND(BD383*(1+'Calc base'!R384),2),MAX('Calc base'!M$12,ROUND('Calc base'!M$13*BD383,2))))</f>
        <v>0</v>
      </c>
      <c r="U384">
        <f>IF(BE383&lt;=0,0,IF(ROUND(BE383*(1+'Calc base'!S384),2)-MAX('Calc base'!N$12,ROUND('Calc base'!N$13*BE383,2))&lt;1,ROUND(BE383*(1+'Calc base'!S384),2),MAX('Calc base'!N$12,ROUND('Calc base'!N$13*BE383,2))))</f>
        <v>0</v>
      </c>
      <c r="V384">
        <f>MAX(0,ROUND(AT383*(1+'Calc base'!H384),2)-J384-'Calc base'!T384)</f>
        <v>0</v>
      </c>
      <c r="W384">
        <f>MAX(0,ROUND(AU383*(1+'Calc base'!I384),2)-K384-'Calc base'!U384)</f>
        <v>0</v>
      </c>
      <c r="X384">
        <f>MAX(0,ROUND(AV383*(1+'Calc base'!J384),2)-L384-'Calc base'!V384)</f>
        <v>0</v>
      </c>
      <c r="Y384">
        <f>MAX(0,ROUND(AW383*(1+'Calc base'!K384),2)-M384-'Calc base'!W384)</f>
        <v>0</v>
      </c>
      <c r="Z384">
        <f>MAX(0,ROUND(AX383*(1+'Calc base'!L384),2)-N384-'Calc base'!X384)</f>
        <v>0</v>
      </c>
      <c r="AA384">
        <f>MAX(0,ROUND(AY383*(1+'Calc base'!M384),2)-O384-'Calc base'!Y384)</f>
        <v>0</v>
      </c>
      <c r="AB384">
        <f>MAX(0,ROUND(AZ383*(1+'Calc base'!N384),2)-P384-'Calc base'!Z384)</f>
        <v>0</v>
      </c>
      <c r="AC384">
        <f>MAX(0,ROUND(BA383*(1+'Calc base'!O384),2)-Q384-'Calc base'!AA384)</f>
        <v>0</v>
      </c>
      <c r="AD384">
        <f>MAX(0,ROUND(BB383*(1+'Calc base'!P384),2)-R384-'Calc base'!AB384)</f>
        <v>0</v>
      </c>
      <c r="AE384">
        <f>MAX(0,ROUND(BC383*(1+'Calc base'!Q384),2)-S384-'Calc base'!AC384)</f>
        <v>0</v>
      </c>
      <c r="AF384">
        <f>MAX(0,ROUND(BD383*(1+'Calc base'!R384),2)-T384-'Calc base'!AD384)</f>
        <v>0</v>
      </c>
      <c r="AG384">
        <f>MAX(0,ROUND(BE383*(1+'Calc base'!S384),2)-U384-'Calc base'!AE384)</f>
        <v>0</v>
      </c>
      <c r="AH384">
        <f>IF('Calc base'!C$14=0,0,MIN(V384,MAX(0,$E384-SUMIFS($V384:$AG384,'Calc base'!$C$19:$N$19,"&lt;"&amp;'Calc base'!C$19,'Calc base'!$C$14:$N$14,1))))</f>
        <v>0</v>
      </c>
      <c r="AI384">
        <f>IF('Calc base'!D$14=0,0,MIN(W384,MAX(0,$E384-SUMIFS($V384:$AG384,'Calc base'!$C$19:$N$19,"&lt;"&amp;'Calc base'!D$19,'Calc base'!$C$14:$N$14,1))))</f>
        <v>0</v>
      </c>
      <c r="AJ384">
        <f>IF('Calc base'!E$14=0,0,MIN(X384,MAX(0,$E384-SUMIFS($V384:$AG384,'Calc base'!$C$19:$N$19,"&lt;"&amp;'Calc base'!E$19,'Calc base'!$C$14:$N$14,1))))</f>
        <v>0</v>
      </c>
      <c r="AK384">
        <f>IF('Calc base'!F$14=0,0,MIN(Y384,MAX(0,$E384-SUMIFS($V384:$AG384,'Calc base'!$C$19:$N$19,"&lt;"&amp;'Calc base'!F$19,'Calc base'!$C$14:$N$14,1))))</f>
        <v>0</v>
      </c>
      <c r="AL384">
        <f>IF('Calc base'!G$14=0,0,MIN(Z384,MAX(0,$E384-SUMIFS($V384:$AG384,'Calc base'!$C$19:$N$19,"&lt;"&amp;'Calc base'!G$19,'Calc base'!$C$14:$N$14,1))))</f>
        <v>0</v>
      </c>
      <c r="AM384">
        <f>IF('Calc base'!H$14=0,0,MIN(AA384,MAX(0,$E384-SUMIFS($V384:$AG384,'Calc base'!$C$19:$N$19,"&lt;"&amp;'Calc base'!H$19,'Calc base'!$C$14:$N$14,1))))</f>
        <v>0</v>
      </c>
      <c r="AN384">
        <f>IF('Calc base'!I$14=0,0,MIN(AB384,MAX(0,$E384-SUMIFS($V384:$AG384,'Calc base'!$C$19:$N$19,"&lt;"&amp;'Calc base'!I$19,'Calc base'!$C$14:$N$14,1))))</f>
        <v>0</v>
      </c>
      <c r="AO384">
        <f>IF('Calc base'!J$14=0,0,MIN(AC384,MAX(0,$E384-SUMIFS($V384:$AG384,'Calc base'!$C$19:$N$19,"&lt;"&amp;'Calc base'!J$19,'Calc base'!$C$14:$N$14,1))))</f>
        <v>0</v>
      </c>
      <c r="AP384">
        <f>IF('Calc base'!K$14=0,0,MIN(AD384,MAX(0,$E384-SUMIFS($V384:$AG384,'Calc base'!$C$19:$N$19,"&lt;"&amp;'Calc base'!K$19,'Calc base'!$C$14:$N$14,1))))</f>
        <v>0</v>
      </c>
      <c r="AQ384">
        <f>IF('Calc base'!L$14=0,0,MIN(AE384,MAX(0,$E384-SUMIFS($V384:$AG384,'Calc base'!$C$19:$N$19,"&lt;"&amp;'Calc base'!L$19,'Calc base'!$C$14:$N$14,1))))</f>
        <v>0</v>
      </c>
      <c r="AR384">
        <f>IF('Calc base'!M$14=0,0,MIN(AF384,MAX(0,$E384-SUMIFS($V384:$AG384,'Calc base'!$C$19:$N$19,"&lt;"&amp;'Calc base'!M$19,'Calc base'!$C$14:$N$14,1))))</f>
        <v>0</v>
      </c>
      <c r="AS384">
        <f>IF('Calc base'!N$14=0,0,MIN(AG384,MAX(0,$E384-SUMIFS($V384:$AG384,'Calc base'!$C$19:$N$19,"&lt;"&amp;'Calc base'!N$19,'Calc base'!$C$14:$N$14,1))))</f>
        <v>0</v>
      </c>
      <c r="AT384">
        <f>V384-AH384</f>
        <v>0</v>
      </c>
      <c r="AU384">
        <f>W384-AI384</f>
        <v>0</v>
      </c>
      <c r="AV384">
        <f>X384-AJ384</f>
        <v>0</v>
      </c>
      <c r="AW384">
        <f>Y384-AK384</f>
        <v>0</v>
      </c>
      <c r="AX384">
        <f>Z384-AL384</f>
        <v>0</v>
      </c>
      <c r="AY384">
        <f>AA384-AM384</f>
        <v>0</v>
      </c>
      <c r="AZ384">
        <f>AB384-AN384</f>
        <v>0</v>
      </c>
      <c r="BA384">
        <f>AC384-AO384</f>
        <v>0</v>
      </c>
      <c r="BB384">
        <f>AD384-AP384</f>
        <v>0</v>
      </c>
      <c r="BC384">
        <f>AE384-AQ384</f>
        <v>0</v>
      </c>
      <c r="BD384">
        <f>AF384-AR384</f>
        <v>0</v>
      </c>
      <c r="BE384">
        <f>AG384-AS384</f>
        <v>0</v>
      </c>
    </row>
    <row r="385">
      <c r="A385" t="n">
        <v>355</v>
      </c>
      <c r="B385">
        <f>SUMPRODUCT(ROUND($AT384:$BE384*(1+'Calc base'!$H385:$S385),2))</f>
        <v>0</v>
      </c>
      <c r="C385">
        <f>SUM(J385:U385)</f>
        <v>0</v>
      </c>
      <c r="D385">
        <f>SUM(V385:AG385)</f>
        <v>0</v>
      </c>
      <c r="E385">
        <f>MAX(0,IF(Impostazioni!$B$7="No",'Calc base'!$C385-$C$31,'Calc base'!$C385-C385)+'Calc base'!$G385+'Calc base'!$F385-(B385-C385-D385))</f>
        <v>900</v>
      </c>
      <c r="F385">
        <f>SUM(AH385:AS385)</f>
        <v>0</v>
      </c>
      <c r="G385">
        <f>SUM(AT385:BE385)</f>
        <v>0</v>
      </c>
      <c r="H385">
        <f>B385-G384</f>
        <v>0</v>
      </c>
      <c r="I385">
        <f>B385-G385</f>
        <v>0</v>
      </c>
      <c r="J385">
        <f>IF(AT384&lt;=0,0,IF(ROUND(AT384*(1+'Calc base'!H385),2)-MAX('Calc base'!C$12,ROUND('Calc base'!C$13*AT384,2))&lt;1,ROUND(AT384*(1+'Calc base'!H385),2),MAX('Calc base'!C$12,ROUND('Calc base'!C$13*AT384,2))))</f>
        <v>0</v>
      </c>
      <c r="K385">
        <f>IF(AU384&lt;=0,0,IF(ROUND(AU384*(1+'Calc base'!I385),2)-MAX('Calc base'!D$12,ROUND('Calc base'!D$13*AU384,2))&lt;1,ROUND(AU384*(1+'Calc base'!I385),2),MAX('Calc base'!D$12,ROUND('Calc base'!D$13*AU384,2))))</f>
        <v>0</v>
      </c>
      <c r="L385">
        <f>IF(AV384&lt;=0,0,IF(ROUND(AV384*(1+'Calc base'!J385),2)-MAX('Calc base'!E$12,ROUND('Calc base'!E$13*AV384,2))&lt;1,ROUND(AV384*(1+'Calc base'!J385),2),MAX('Calc base'!E$12,ROUND('Calc base'!E$13*AV384,2))))</f>
        <v>0</v>
      </c>
      <c r="M385">
        <f>IF(AW384&lt;=0,0,IF(ROUND(AW384*(1+'Calc base'!K385),2)-MAX('Calc base'!F$12,ROUND('Calc base'!F$13*AW384,2))&lt;1,ROUND(AW384*(1+'Calc base'!K385),2),MAX('Calc base'!F$12,ROUND('Calc base'!F$13*AW384,2))))</f>
        <v>0</v>
      </c>
      <c r="N385">
        <f>IF(AX384&lt;=0,0,IF(ROUND(AX384*(1+'Calc base'!L385),2)-MAX('Calc base'!G$12,ROUND('Calc base'!G$13*AX384,2))&lt;1,ROUND(AX384*(1+'Calc base'!L385),2),MAX('Calc base'!G$12,ROUND('Calc base'!G$13*AX384,2))))</f>
        <v>0</v>
      </c>
      <c r="O385">
        <f>IF(AY384&lt;=0,0,IF(ROUND(AY384*(1+'Calc base'!M385),2)-MAX('Calc base'!H$12,ROUND('Calc base'!H$13*AY384,2))&lt;1,ROUND(AY384*(1+'Calc base'!M385),2),MAX('Calc base'!H$12,ROUND('Calc base'!H$13*AY384,2))))</f>
        <v>0</v>
      </c>
      <c r="P385">
        <f>IF(AZ384&lt;=0,0,IF(ROUND(AZ384*(1+'Calc base'!N385),2)-MAX('Calc base'!I$12,ROUND('Calc base'!I$13*AZ384,2))&lt;1,ROUND(AZ384*(1+'Calc base'!N385),2),MAX('Calc base'!I$12,ROUND('Calc base'!I$13*AZ384,2))))</f>
        <v>0</v>
      </c>
      <c r="Q385">
        <f>IF(BA384&lt;=0,0,IF(ROUND(BA384*(1+'Calc base'!O385),2)-MAX('Calc base'!J$12,ROUND('Calc base'!J$13*BA384,2))&lt;1,ROUND(BA384*(1+'Calc base'!O385),2),MAX('Calc base'!J$12,ROUND('Calc base'!J$13*BA384,2))))</f>
        <v>0</v>
      </c>
      <c r="R385">
        <f>IF(BB384&lt;=0,0,IF(ROUND(BB384*(1+'Calc base'!P385),2)-MAX('Calc base'!K$12,ROUND('Calc base'!K$13*BB384,2))&lt;1,ROUND(BB384*(1+'Calc base'!P385),2),MAX('Calc base'!K$12,ROUND('Calc base'!K$13*BB384,2))))</f>
        <v>0</v>
      </c>
      <c r="S385">
        <f>IF(BC384&lt;=0,0,IF(ROUND(BC384*(1+'Calc base'!Q385),2)-MAX('Calc base'!L$12,ROUND('Calc base'!L$13*BC384,2))&lt;1,ROUND(BC384*(1+'Calc base'!Q385),2),MAX('Calc base'!L$12,ROUND('Calc base'!L$13*BC384,2))))</f>
        <v>0</v>
      </c>
      <c r="T385">
        <f>IF(BD384&lt;=0,0,IF(ROUND(BD384*(1+'Calc base'!R385),2)-MAX('Calc base'!M$12,ROUND('Calc base'!M$13*BD384,2))&lt;1,ROUND(BD384*(1+'Calc base'!R385),2),MAX('Calc base'!M$12,ROUND('Calc base'!M$13*BD384,2))))</f>
        <v>0</v>
      </c>
      <c r="U385">
        <f>IF(BE384&lt;=0,0,IF(ROUND(BE384*(1+'Calc base'!S385),2)-MAX('Calc base'!N$12,ROUND('Calc base'!N$13*BE384,2))&lt;1,ROUND(BE384*(1+'Calc base'!S385),2),MAX('Calc base'!N$12,ROUND('Calc base'!N$13*BE384,2))))</f>
        <v>0</v>
      </c>
      <c r="V385">
        <f>MAX(0,ROUND(AT384*(1+'Calc base'!H385),2)-J385-'Calc base'!T385)</f>
        <v>0</v>
      </c>
      <c r="W385">
        <f>MAX(0,ROUND(AU384*(1+'Calc base'!I385),2)-K385-'Calc base'!U385)</f>
        <v>0</v>
      </c>
      <c r="X385">
        <f>MAX(0,ROUND(AV384*(1+'Calc base'!J385),2)-L385-'Calc base'!V385)</f>
        <v>0</v>
      </c>
      <c r="Y385">
        <f>MAX(0,ROUND(AW384*(1+'Calc base'!K385),2)-M385-'Calc base'!W385)</f>
        <v>0</v>
      </c>
      <c r="Z385">
        <f>MAX(0,ROUND(AX384*(1+'Calc base'!L385),2)-N385-'Calc base'!X385)</f>
        <v>0</v>
      </c>
      <c r="AA385">
        <f>MAX(0,ROUND(AY384*(1+'Calc base'!M385),2)-O385-'Calc base'!Y385)</f>
        <v>0</v>
      </c>
      <c r="AB385">
        <f>MAX(0,ROUND(AZ384*(1+'Calc base'!N385),2)-P385-'Calc base'!Z385)</f>
        <v>0</v>
      </c>
      <c r="AC385">
        <f>MAX(0,ROUND(BA384*(1+'Calc base'!O385),2)-Q385-'Calc base'!AA385)</f>
        <v>0</v>
      </c>
      <c r="AD385">
        <f>MAX(0,ROUND(BB384*(1+'Calc base'!P385),2)-R385-'Calc base'!AB385)</f>
        <v>0</v>
      </c>
      <c r="AE385">
        <f>MAX(0,ROUND(BC384*(1+'Calc base'!Q385),2)-S385-'Calc base'!AC385)</f>
        <v>0</v>
      </c>
      <c r="AF385">
        <f>MAX(0,ROUND(BD384*(1+'Calc base'!R385),2)-T385-'Calc base'!AD385)</f>
        <v>0</v>
      </c>
      <c r="AG385">
        <f>MAX(0,ROUND(BE384*(1+'Calc base'!S385),2)-U385-'Calc base'!AE385)</f>
        <v>0</v>
      </c>
      <c r="AH385">
        <f>IF('Calc base'!C$14=0,0,MIN(V385,MAX(0,$E385-SUMIFS($V385:$AG385,'Calc base'!$C$19:$N$19,"&lt;"&amp;'Calc base'!C$19,'Calc base'!$C$14:$N$14,1))))</f>
        <v>0</v>
      </c>
      <c r="AI385">
        <f>IF('Calc base'!D$14=0,0,MIN(W385,MAX(0,$E385-SUMIFS($V385:$AG385,'Calc base'!$C$19:$N$19,"&lt;"&amp;'Calc base'!D$19,'Calc base'!$C$14:$N$14,1))))</f>
        <v>0</v>
      </c>
      <c r="AJ385">
        <f>IF('Calc base'!E$14=0,0,MIN(X385,MAX(0,$E385-SUMIFS($V385:$AG385,'Calc base'!$C$19:$N$19,"&lt;"&amp;'Calc base'!E$19,'Calc base'!$C$14:$N$14,1))))</f>
        <v>0</v>
      </c>
      <c r="AK385">
        <f>IF('Calc base'!F$14=0,0,MIN(Y385,MAX(0,$E385-SUMIFS($V385:$AG385,'Calc base'!$C$19:$N$19,"&lt;"&amp;'Calc base'!F$19,'Calc base'!$C$14:$N$14,1))))</f>
        <v>0</v>
      </c>
      <c r="AL385">
        <f>IF('Calc base'!G$14=0,0,MIN(Z385,MAX(0,$E385-SUMIFS($V385:$AG385,'Calc base'!$C$19:$N$19,"&lt;"&amp;'Calc base'!G$19,'Calc base'!$C$14:$N$14,1))))</f>
        <v>0</v>
      </c>
      <c r="AM385">
        <f>IF('Calc base'!H$14=0,0,MIN(AA385,MAX(0,$E385-SUMIFS($V385:$AG385,'Calc base'!$C$19:$N$19,"&lt;"&amp;'Calc base'!H$19,'Calc base'!$C$14:$N$14,1))))</f>
        <v>0</v>
      </c>
      <c r="AN385">
        <f>IF('Calc base'!I$14=0,0,MIN(AB385,MAX(0,$E385-SUMIFS($V385:$AG385,'Calc base'!$C$19:$N$19,"&lt;"&amp;'Calc base'!I$19,'Calc base'!$C$14:$N$14,1))))</f>
        <v>0</v>
      </c>
      <c r="AO385">
        <f>IF('Calc base'!J$14=0,0,MIN(AC385,MAX(0,$E385-SUMIFS($V385:$AG385,'Calc base'!$C$19:$N$19,"&lt;"&amp;'Calc base'!J$19,'Calc base'!$C$14:$N$14,1))))</f>
        <v>0</v>
      </c>
      <c r="AP385">
        <f>IF('Calc base'!K$14=0,0,MIN(AD385,MAX(0,$E385-SUMIFS($V385:$AG385,'Calc base'!$C$19:$N$19,"&lt;"&amp;'Calc base'!K$19,'Calc base'!$C$14:$N$14,1))))</f>
        <v>0</v>
      </c>
      <c r="AQ385">
        <f>IF('Calc base'!L$14=0,0,MIN(AE385,MAX(0,$E385-SUMIFS($V385:$AG385,'Calc base'!$C$19:$N$19,"&lt;"&amp;'Calc base'!L$19,'Calc base'!$C$14:$N$14,1))))</f>
        <v>0</v>
      </c>
      <c r="AR385">
        <f>IF('Calc base'!M$14=0,0,MIN(AF385,MAX(0,$E385-SUMIFS($V385:$AG385,'Calc base'!$C$19:$N$19,"&lt;"&amp;'Calc base'!M$19,'Calc base'!$C$14:$N$14,1))))</f>
        <v>0</v>
      </c>
      <c r="AS385">
        <f>IF('Calc base'!N$14=0,0,MIN(AG385,MAX(0,$E385-SUMIFS($V385:$AG385,'Calc base'!$C$19:$N$19,"&lt;"&amp;'Calc base'!N$19,'Calc base'!$C$14:$N$14,1))))</f>
        <v>0</v>
      </c>
      <c r="AT385">
        <f>V385-AH385</f>
        <v>0</v>
      </c>
      <c r="AU385">
        <f>W385-AI385</f>
        <v>0</v>
      </c>
      <c r="AV385">
        <f>X385-AJ385</f>
        <v>0</v>
      </c>
      <c r="AW385">
        <f>Y385-AK385</f>
        <v>0</v>
      </c>
      <c r="AX385">
        <f>Z385-AL385</f>
        <v>0</v>
      </c>
      <c r="AY385">
        <f>AA385-AM385</f>
        <v>0</v>
      </c>
      <c r="AZ385">
        <f>AB385-AN385</f>
        <v>0</v>
      </c>
      <c r="BA385">
        <f>AC385-AO385</f>
        <v>0</v>
      </c>
      <c r="BB385">
        <f>AD385-AP385</f>
        <v>0</v>
      </c>
      <c r="BC385">
        <f>AE385-AQ385</f>
        <v>0</v>
      </c>
      <c r="BD385">
        <f>AF385-AR385</f>
        <v>0</v>
      </c>
      <c r="BE385">
        <f>AG385-AS385</f>
        <v>0</v>
      </c>
    </row>
    <row r="386">
      <c r="A386" t="n">
        <v>356</v>
      </c>
      <c r="B386">
        <f>SUMPRODUCT(ROUND($AT385:$BE385*(1+'Calc base'!$H386:$S386),2))</f>
        <v>0</v>
      </c>
      <c r="C386">
        <f>SUM(J386:U386)</f>
        <v>0</v>
      </c>
      <c r="D386">
        <f>SUM(V386:AG386)</f>
        <v>0</v>
      </c>
      <c r="E386">
        <f>MAX(0,IF(Impostazioni!$B$7="No",'Calc base'!$C386-$C$31,'Calc base'!$C386-C386)+'Calc base'!$G386+'Calc base'!$F386-(B386-C386-D386))</f>
        <v>900</v>
      </c>
      <c r="F386">
        <f>SUM(AH386:AS386)</f>
        <v>0</v>
      </c>
      <c r="G386">
        <f>SUM(AT386:BE386)</f>
        <v>0</v>
      </c>
      <c r="H386">
        <f>B386-G385</f>
        <v>0</v>
      </c>
      <c r="I386">
        <f>B386-G386</f>
        <v>0</v>
      </c>
      <c r="J386">
        <f>IF(AT385&lt;=0,0,IF(ROUND(AT385*(1+'Calc base'!H386),2)-MAX('Calc base'!C$12,ROUND('Calc base'!C$13*AT385,2))&lt;1,ROUND(AT385*(1+'Calc base'!H386),2),MAX('Calc base'!C$12,ROUND('Calc base'!C$13*AT385,2))))</f>
        <v>0</v>
      </c>
      <c r="K386">
        <f>IF(AU385&lt;=0,0,IF(ROUND(AU385*(1+'Calc base'!I386),2)-MAX('Calc base'!D$12,ROUND('Calc base'!D$13*AU385,2))&lt;1,ROUND(AU385*(1+'Calc base'!I386),2),MAX('Calc base'!D$12,ROUND('Calc base'!D$13*AU385,2))))</f>
        <v>0</v>
      </c>
      <c r="L386">
        <f>IF(AV385&lt;=0,0,IF(ROUND(AV385*(1+'Calc base'!J386),2)-MAX('Calc base'!E$12,ROUND('Calc base'!E$13*AV385,2))&lt;1,ROUND(AV385*(1+'Calc base'!J386),2),MAX('Calc base'!E$12,ROUND('Calc base'!E$13*AV385,2))))</f>
        <v>0</v>
      </c>
      <c r="M386">
        <f>IF(AW385&lt;=0,0,IF(ROUND(AW385*(1+'Calc base'!K386),2)-MAX('Calc base'!F$12,ROUND('Calc base'!F$13*AW385,2))&lt;1,ROUND(AW385*(1+'Calc base'!K386),2),MAX('Calc base'!F$12,ROUND('Calc base'!F$13*AW385,2))))</f>
        <v>0</v>
      </c>
      <c r="N386">
        <f>IF(AX385&lt;=0,0,IF(ROUND(AX385*(1+'Calc base'!L386),2)-MAX('Calc base'!G$12,ROUND('Calc base'!G$13*AX385,2))&lt;1,ROUND(AX385*(1+'Calc base'!L386),2),MAX('Calc base'!G$12,ROUND('Calc base'!G$13*AX385,2))))</f>
        <v>0</v>
      </c>
      <c r="O386">
        <f>IF(AY385&lt;=0,0,IF(ROUND(AY385*(1+'Calc base'!M386),2)-MAX('Calc base'!H$12,ROUND('Calc base'!H$13*AY385,2))&lt;1,ROUND(AY385*(1+'Calc base'!M386),2),MAX('Calc base'!H$12,ROUND('Calc base'!H$13*AY385,2))))</f>
        <v>0</v>
      </c>
      <c r="P386">
        <f>IF(AZ385&lt;=0,0,IF(ROUND(AZ385*(1+'Calc base'!N386),2)-MAX('Calc base'!I$12,ROUND('Calc base'!I$13*AZ385,2))&lt;1,ROUND(AZ385*(1+'Calc base'!N386),2),MAX('Calc base'!I$12,ROUND('Calc base'!I$13*AZ385,2))))</f>
        <v>0</v>
      </c>
      <c r="Q386">
        <f>IF(BA385&lt;=0,0,IF(ROUND(BA385*(1+'Calc base'!O386),2)-MAX('Calc base'!J$12,ROUND('Calc base'!J$13*BA385,2))&lt;1,ROUND(BA385*(1+'Calc base'!O386),2),MAX('Calc base'!J$12,ROUND('Calc base'!J$13*BA385,2))))</f>
        <v>0</v>
      </c>
      <c r="R386">
        <f>IF(BB385&lt;=0,0,IF(ROUND(BB385*(1+'Calc base'!P386),2)-MAX('Calc base'!K$12,ROUND('Calc base'!K$13*BB385,2))&lt;1,ROUND(BB385*(1+'Calc base'!P386),2),MAX('Calc base'!K$12,ROUND('Calc base'!K$13*BB385,2))))</f>
        <v>0</v>
      </c>
      <c r="S386">
        <f>IF(BC385&lt;=0,0,IF(ROUND(BC385*(1+'Calc base'!Q386),2)-MAX('Calc base'!L$12,ROUND('Calc base'!L$13*BC385,2))&lt;1,ROUND(BC385*(1+'Calc base'!Q386),2),MAX('Calc base'!L$12,ROUND('Calc base'!L$13*BC385,2))))</f>
        <v>0</v>
      </c>
      <c r="T386">
        <f>IF(BD385&lt;=0,0,IF(ROUND(BD385*(1+'Calc base'!R386),2)-MAX('Calc base'!M$12,ROUND('Calc base'!M$13*BD385,2))&lt;1,ROUND(BD385*(1+'Calc base'!R386),2),MAX('Calc base'!M$12,ROUND('Calc base'!M$13*BD385,2))))</f>
        <v>0</v>
      </c>
      <c r="U386">
        <f>IF(BE385&lt;=0,0,IF(ROUND(BE385*(1+'Calc base'!S386),2)-MAX('Calc base'!N$12,ROUND('Calc base'!N$13*BE385,2))&lt;1,ROUND(BE385*(1+'Calc base'!S386),2),MAX('Calc base'!N$12,ROUND('Calc base'!N$13*BE385,2))))</f>
        <v>0</v>
      </c>
      <c r="V386">
        <f>MAX(0,ROUND(AT385*(1+'Calc base'!H386),2)-J386-'Calc base'!T386)</f>
        <v>0</v>
      </c>
      <c r="W386">
        <f>MAX(0,ROUND(AU385*(1+'Calc base'!I386),2)-K386-'Calc base'!U386)</f>
        <v>0</v>
      </c>
      <c r="X386">
        <f>MAX(0,ROUND(AV385*(1+'Calc base'!J386),2)-L386-'Calc base'!V386)</f>
        <v>0</v>
      </c>
      <c r="Y386">
        <f>MAX(0,ROUND(AW385*(1+'Calc base'!K386),2)-M386-'Calc base'!W386)</f>
        <v>0</v>
      </c>
      <c r="Z386">
        <f>MAX(0,ROUND(AX385*(1+'Calc base'!L386),2)-N386-'Calc base'!X386)</f>
        <v>0</v>
      </c>
      <c r="AA386">
        <f>MAX(0,ROUND(AY385*(1+'Calc base'!M386),2)-O386-'Calc base'!Y386)</f>
        <v>0</v>
      </c>
      <c r="AB386">
        <f>MAX(0,ROUND(AZ385*(1+'Calc base'!N386),2)-P386-'Calc base'!Z386)</f>
        <v>0</v>
      </c>
      <c r="AC386">
        <f>MAX(0,ROUND(BA385*(1+'Calc base'!O386),2)-Q386-'Calc base'!AA386)</f>
        <v>0</v>
      </c>
      <c r="AD386">
        <f>MAX(0,ROUND(BB385*(1+'Calc base'!P386),2)-R386-'Calc base'!AB386)</f>
        <v>0</v>
      </c>
      <c r="AE386">
        <f>MAX(0,ROUND(BC385*(1+'Calc base'!Q386),2)-S386-'Calc base'!AC386)</f>
        <v>0</v>
      </c>
      <c r="AF386">
        <f>MAX(0,ROUND(BD385*(1+'Calc base'!R386),2)-T386-'Calc base'!AD386)</f>
        <v>0</v>
      </c>
      <c r="AG386">
        <f>MAX(0,ROUND(BE385*(1+'Calc base'!S386),2)-U386-'Calc base'!AE386)</f>
        <v>0</v>
      </c>
      <c r="AH386">
        <f>IF('Calc base'!C$14=0,0,MIN(V386,MAX(0,$E386-SUMIFS($V386:$AG386,'Calc base'!$C$19:$N$19,"&lt;"&amp;'Calc base'!C$19,'Calc base'!$C$14:$N$14,1))))</f>
        <v>0</v>
      </c>
      <c r="AI386">
        <f>IF('Calc base'!D$14=0,0,MIN(W386,MAX(0,$E386-SUMIFS($V386:$AG386,'Calc base'!$C$19:$N$19,"&lt;"&amp;'Calc base'!D$19,'Calc base'!$C$14:$N$14,1))))</f>
        <v>0</v>
      </c>
      <c r="AJ386">
        <f>IF('Calc base'!E$14=0,0,MIN(X386,MAX(0,$E386-SUMIFS($V386:$AG386,'Calc base'!$C$19:$N$19,"&lt;"&amp;'Calc base'!E$19,'Calc base'!$C$14:$N$14,1))))</f>
        <v>0</v>
      </c>
      <c r="AK386">
        <f>IF('Calc base'!F$14=0,0,MIN(Y386,MAX(0,$E386-SUMIFS($V386:$AG386,'Calc base'!$C$19:$N$19,"&lt;"&amp;'Calc base'!F$19,'Calc base'!$C$14:$N$14,1))))</f>
        <v>0</v>
      </c>
      <c r="AL386">
        <f>IF('Calc base'!G$14=0,0,MIN(Z386,MAX(0,$E386-SUMIFS($V386:$AG386,'Calc base'!$C$19:$N$19,"&lt;"&amp;'Calc base'!G$19,'Calc base'!$C$14:$N$14,1))))</f>
        <v>0</v>
      </c>
      <c r="AM386">
        <f>IF('Calc base'!H$14=0,0,MIN(AA386,MAX(0,$E386-SUMIFS($V386:$AG386,'Calc base'!$C$19:$N$19,"&lt;"&amp;'Calc base'!H$19,'Calc base'!$C$14:$N$14,1))))</f>
        <v>0</v>
      </c>
      <c r="AN386">
        <f>IF('Calc base'!I$14=0,0,MIN(AB386,MAX(0,$E386-SUMIFS($V386:$AG386,'Calc base'!$C$19:$N$19,"&lt;"&amp;'Calc base'!I$19,'Calc base'!$C$14:$N$14,1))))</f>
        <v>0</v>
      </c>
      <c r="AO386">
        <f>IF('Calc base'!J$14=0,0,MIN(AC386,MAX(0,$E386-SUMIFS($V386:$AG386,'Calc base'!$C$19:$N$19,"&lt;"&amp;'Calc base'!J$19,'Calc base'!$C$14:$N$14,1))))</f>
        <v>0</v>
      </c>
      <c r="AP386">
        <f>IF('Calc base'!K$14=0,0,MIN(AD386,MAX(0,$E386-SUMIFS($V386:$AG386,'Calc base'!$C$19:$N$19,"&lt;"&amp;'Calc base'!K$19,'Calc base'!$C$14:$N$14,1))))</f>
        <v>0</v>
      </c>
      <c r="AQ386">
        <f>IF('Calc base'!L$14=0,0,MIN(AE386,MAX(0,$E386-SUMIFS($V386:$AG386,'Calc base'!$C$19:$N$19,"&lt;"&amp;'Calc base'!L$19,'Calc base'!$C$14:$N$14,1))))</f>
        <v>0</v>
      </c>
      <c r="AR386">
        <f>IF('Calc base'!M$14=0,0,MIN(AF386,MAX(0,$E386-SUMIFS($V386:$AG386,'Calc base'!$C$19:$N$19,"&lt;"&amp;'Calc base'!M$19,'Calc base'!$C$14:$N$14,1))))</f>
        <v>0</v>
      </c>
      <c r="AS386">
        <f>IF('Calc base'!N$14=0,0,MIN(AG386,MAX(0,$E386-SUMIFS($V386:$AG386,'Calc base'!$C$19:$N$19,"&lt;"&amp;'Calc base'!N$19,'Calc base'!$C$14:$N$14,1))))</f>
        <v>0</v>
      </c>
      <c r="AT386">
        <f>V386-AH386</f>
        <v>0</v>
      </c>
      <c r="AU386">
        <f>W386-AI386</f>
        <v>0</v>
      </c>
      <c r="AV386">
        <f>X386-AJ386</f>
        <v>0</v>
      </c>
      <c r="AW386">
        <f>Y386-AK386</f>
        <v>0</v>
      </c>
      <c r="AX386">
        <f>Z386-AL386</f>
        <v>0</v>
      </c>
      <c r="AY386">
        <f>AA386-AM386</f>
        <v>0</v>
      </c>
      <c r="AZ386">
        <f>AB386-AN386</f>
        <v>0</v>
      </c>
      <c r="BA386">
        <f>AC386-AO386</f>
        <v>0</v>
      </c>
      <c r="BB386">
        <f>AD386-AP386</f>
        <v>0</v>
      </c>
      <c r="BC386">
        <f>AE386-AQ386</f>
        <v>0</v>
      </c>
      <c r="BD386">
        <f>AF386-AR386</f>
        <v>0</v>
      </c>
      <c r="BE386">
        <f>AG386-AS386</f>
        <v>0</v>
      </c>
    </row>
    <row r="387">
      <c r="A387" t="n">
        <v>357</v>
      </c>
      <c r="B387">
        <f>SUMPRODUCT(ROUND($AT386:$BE386*(1+'Calc base'!$H387:$S387),2))</f>
        <v>0</v>
      </c>
      <c r="C387">
        <f>SUM(J387:U387)</f>
        <v>0</v>
      </c>
      <c r="D387">
        <f>SUM(V387:AG387)</f>
        <v>0</v>
      </c>
      <c r="E387">
        <f>MAX(0,IF(Impostazioni!$B$7="No",'Calc base'!$C387-$C$31,'Calc base'!$C387-C387)+'Calc base'!$G387+'Calc base'!$F387-(B387-C387-D387))</f>
        <v>900</v>
      </c>
      <c r="F387">
        <f>SUM(AH387:AS387)</f>
        <v>0</v>
      </c>
      <c r="G387">
        <f>SUM(AT387:BE387)</f>
        <v>0</v>
      </c>
      <c r="H387">
        <f>B387-G386</f>
        <v>0</v>
      </c>
      <c r="I387">
        <f>B387-G387</f>
        <v>0</v>
      </c>
      <c r="J387">
        <f>IF(AT386&lt;=0,0,IF(ROUND(AT386*(1+'Calc base'!H387),2)-MAX('Calc base'!C$12,ROUND('Calc base'!C$13*AT386,2))&lt;1,ROUND(AT386*(1+'Calc base'!H387),2),MAX('Calc base'!C$12,ROUND('Calc base'!C$13*AT386,2))))</f>
        <v>0</v>
      </c>
      <c r="K387">
        <f>IF(AU386&lt;=0,0,IF(ROUND(AU386*(1+'Calc base'!I387),2)-MAX('Calc base'!D$12,ROUND('Calc base'!D$13*AU386,2))&lt;1,ROUND(AU386*(1+'Calc base'!I387),2),MAX('Calc base'!D$12,ROUND('Calc base'!D$13*AU386,2))))</f>
        <v>0</v>
      </c>
      <c r="L387">
        <f>IF(AV386&lt;=0,0,IF(ROUND(AV386*(1+'Calc base'!J387),2)-MAX('Calc base'!E$12,ROUND('Calc base'!E$13*AV386,2))&lt;1,ROUND(AV386*(1+'Calc base'!J387),2),MAX('Calc base'!E$12,ROUND('Calc base'!E$13*AV386,2))))</f>
        <v>0</v>
      </c>
      <c r="M387">
        <f>IF(AW386&lt;=0,0,IF(ROUND(AW386*(1+'Calc base'!K387),2)-MAX('Calc base'!F$12,ROUND('Calc base'!F$13*AW386,2))&lt;1,ROUND(AW386*(1+'Calc base'!K387),2),MAX('Calc base'!F$12,ROUND('Calc base'!F$13*AW386,2))))</f>
        <v>0</v>
      </c>
      <c r="N387">
        <f>IF(AX386&lt;=0,0,IF(ROUND(AX386*(1+'Calc base'!L387),2)-MAX('Calc base'!G$12,ROUND('Calc base'!G$13*AX386,2))&lt;1,ROUND(AX386*(1+'Calc base'!L387),2),MAX('Calc base'!G$12,ROUND('Calc base'!G$13*AX386,2))))</f>
        <v>0</v>
      </c>
      <c r="O387">
        <f>IF(AY386&lt;=0,0,IF(ROUND(AY386*(1+'Calc base'!M387),2)-MAX('Calc base'!H$12,ROUND('Calc base'!H$13*AY386,2))&lt;1,ROUND(AY386*(1+'Calc base'!M387),2),MAX('Calc base'!H$12,ROUND('Calc base'!H$13*AY386,2))))</f>
        <v>0</v>
      </c>
      <c r="P387">
        <f>IF(AZ386&lt;=0,0,IF(ROUND(AZ386*(1+'Calc base'!N387),2)-MAX('Calc base'!I$12,ROUND('Calc base'!I$13*AZ386,2))&lt;1,ROUND(AZ386*(1+'Calc base'!N387),2),MAX('Calc base'!I$12,ROUND('Calc base'!I$13*AZ386,2))))</f>
        <v>0</v>
      </c>
      <c r="Q387">
        <f>IF(BA386&lt;=0,0,IF(ROUND(BA386*(1+'Calc base'!O387),2)-MAX('Calc base'!J$12,ROUND('Calc base'!J$13*BA386,2))&lt;1,ROUND(BA386*(1+'Calc base'!O387),2),MAX('Calc base'!J$12,ROUND('Calc base'!J$13*BA386,2))))</f>
        <v>0</v>
      </c>
      <c r="R387">
        <f>IF(BB386&lt;=0,0,IF(ROUND(BB386*(1+'Calc base'!P387),2)-MAX('Calc base'!K$12,ROUND('Calc base'!K$13*BB386,2))&lt;1,ROUND(BB386*(1+'Calc base'!P387),2),MAX('Calc base'!K$12,ROUND('Calc base'!K$13*BB386,2))))</f>
        <v>0</v>
      </c>
      <c r="S387">
        <f>IF(BC386&lt;=0,0,IF(ROUND(BC386*(1+'Calc base'!Q387),2)-MAX('Calc base'!L$12,ROUND('Calc base'!L$13*BC386,2))&lt;1,ROUND(BC386*(1+'Calc base'!Q387),2),MAX('Calc base'!L$12,ROUND('Calc base'!L$13*BC386,2))))</f>
        <v>0</v>
      </c>
      <c r="T387">
        <f>IF(BD386&lt;=0,0,IF(ROUND(BD386*(1+'Calc base'!R387),2)-MAX('Calc base'!M$12,ROUND('Calc base'!M$13*BD386,2))&lt;1,ROUND(BD386*(1+'Calc base'!R387),2),MAX('Calc base'!M$12,ROUND('Calc base'!M$13*BD386,2))))</f>
        <v>0</v>
      </c>
      <c r="U387">
        <f>IF(BE386&lt;=0,0,IF(ROUND(BE386*(1+'Calc base'!S387),2)-MAX('Calc base'!N$12,ROUND('Calc base'!N$13*BE386,2))&lt;1,ROUND(BE386*(1+'Calc base'!S387),2),MAX('Calc base'!N$12,ROUND('Calc base'!N$13*BE386,2))))</f>
        <v>0</v>
      </c>
      <c r="V387">
        <f>MAX(0,ROUND(AT386*(1+'Calc base'!H387),2)-J387-'Calc base'!T387)</f>
        <v>0</v>
      </c>
      <c r="W387">
        <f>MAX(0,ROUND(AU386*(1+'Calc base'!I387),2)-K387-'Calc base'!U387)</f>
        <v>0</v>
      </c>
      <c r="X387">
        <f>MAX(0,ROUND(AV386*(1+'Calc base'!J387),2)-L387-'Calc base'!V387)</f>
        <v>0</v>
      </c>
      <c r="Y387">
        <f>MAX(0,ROUND(AW386*(1+'Calc base'!K387),2)-M387-'Calc base'!W387)</f>
        <v>0</v>
      </c>
      <c r="Z387">
        <f>MAX(0,ROUND(AX386*(1+'Calc base'!L387),2)-N387-'Calc base'!X387)</f>
        <v>0</v>
      </c>
      <c r="AA387">
        <f>MAX(0,ROUND(AY386*(1+'Calc base'!M387),2)-O387-'Calc base'!Y387)</f>
        <v>0</v>
      </c>
      <c r="AB387">
        <f>MAX(0,ROUND(AZ386*(1+'Calc base'!N387),2)-P387-'Calc base'!Z387)</f>
        <v>0</v>
      </c>
      <c r="AC387">
        <f>MAX(0,ROUND(BA386*(1+'Calc base'!O387),2)-Q387-'Calc base'!AA387)</f>
        <v>0</v>
      </c>
      <c r="AD387">
        <f>MAX(0,ROUND(BB386*(1+'Calc base'!P387),2)-R387-'Calc base'!AB387)</f>
        <v>0</v>
      </c>
      <c r="AE387">
        <f>MAX(0,ROUND(BC386*(1+'Calc base'!Q387),2)-S387-'Calc base'!AC387)</f>
        <v>0</v>
      </c>
      <c r="AF387">
        <f>MAX(0,ROUND(BD386*(1+'Calc base'!R387),2)-T387-'Calc base'!AD387)</f>
        <v>0</v>
      </c>
      <c r="AG387">
        <f>MAX(0,ROUND(BE386*(1+'Calc base'!S387),2)-U387-'Calc base'!AE387)</f>
        <v>0</v>
      </c>
      <c r="AH387">
        <f>IF('Calc base'!C$14=0,0,MIN(V387,MAX(0,$E387-SUMIFS($V387:$AG387,'Calc base'!$C$19:$N$19,"&lt;"&amp;'Calc base'!C$19,'Calc base'!$C$14:$N$14,1))))</f>
        <v>0</v>
      </c>
      <c r="AI387">
        <f>IF('Calc base'!D$14=0,0,MIN(W387,MAX(0,$E387-SUMIFS($V387:$AG387,'Calc base'!$C$19:$N$19,"&lt;"&amp;'Calc base'!D$19,'Calc base'!$C$14:$N$14,1))))</f>
        <v>0</v>
      </c>
      <c r="AJ387">
        <f>IF('Calc base'!E$14=0,0,MIN(X387,MAX(0,$E387-SUMIFS($V387:$AG387,'Calc base'!$C$19:$N$19,"&lt;"&amp;'Calc base'!E$19,'Calc base'!$C$14:$N$14,1))))</f>
        <v>0</v>
      </c>
      <c r="AK387">
        <f>IF('Calc base'!F$14=0,0,MIN(Y387,MAX(0,$E387-SUMIFS($V387:$AG387,'Calc base'!$C$19:$N$19,"&lt;"&amp;'Calc base'!F$19,'Calc base'!$C$14:$N$14,1))))</f>
        <v>0</v>
      </c>
      <c r="AL387">
        <f>IF('Calc base'!G$14=0,0,MIN(Z387,MAX(0,$E387-SUMIFS($V387:$AG387,'Calc base'!$C$19:$N$19,"&lt;"&amp;'Calc base'!G$19,'Calc base'!$C$14:$N$14,1))))</f>
        <v>0</v>
      </c>
      <c r="AM387">
        <f>IF('Calc base'!H$14=0,0,MIN(AA387,MAX(0,$E387-SUMIFS($V387:$AG387,'Calc base'!$C$19:$N$19,"&lt;"&amp;'Calc base'!H$19,'Calc base'!$C$14:$N$14,1))))</f>
        <v>0</v>
      </c>
      <c r="AN387">
        <f>IF('Calc base'!I$14=0,0,MIN(AB387,MAX(0,$E387-SUMIFS($V387:$AG387,'Calc base'!$C$19:$N$19,"&lt;"&amp;'Calc base'!I$19,'Calc base'!$C$14:$N$14,1))))</f>
        <v>0</v>
      </c>
      <c r="AO387">
        <f>IF('Calc base'!J$14=0,0,MIN(AC387,MAX(0,$E387-SUMIFS($V387:$AG387,'Calc base'!$C$19:$N$19,"&lt;"&amp;'Calc base'!J$19,'Calc base'!$C$14:$N$14,1))))</f>
        <v>0</v>
      </c>
      <c r="AP387">
        <f>IF('Calc base'!K$14=0,0,MIN(AD387,MAX(0,$E387-SUMIFS($V387:$AG387,'Calc base'!$C$19:$N$19,"&lt;"&amp;'Calc base'!K$19,'Calc base'!$C$14:$N$14,1))))</f>
        <v>0</v>
      </c>
      <c r="AQ387">
        <f>IF('Calc base'!L$14=0,0,MIN(AE387,MAX(0,$E387-SUMIFS($V387:$AG387,'Calc base'!$C$19:$N$19,"&lt;"&amp;'Calc base'!L$19,'Calc base'!$C$14:$N$14,1))))</f>
        <v>0</v>
      </c>
      <c r="AR387">
        <f>IF('Calc base'!M$14=0,0,MIN(AF387,MAX(0,$E387-SUMIFS($V387:$AG387,'Calc base'!$C$19:$N$19,"&lt;"&amp;'Calc base'!M$19,'Calc base'!$C$14:$N$14,1))))</f>
        <v>0</v>
      </c>
      <c r="AS387">
        <f>IF('Calc base'!N$14=0,0,MIN(AG387,MAX(0,$E387-SUMIFS($V387:$AG387,'Calc base'!$C$19:$N$19,"&lt;"&amp;'Calc base'!N$19,'Calc base'!$C$14:$N$14,1))))</f>
        <v>0</v>
      </c>
      <c r="AT387">
        <f>V387-AH387</f>
        <v>0</v>
      </c>
      <c r="AU387">
        <f>W387-AI387</f>
        <v>0</v>
      </c>
      <c r="AV387">
        <f>X387-AJ387</f>
        <v>0</v>
      </c>
      <c r="AW387">
        <f>Y387-AK387</f>
        <v>0</v>
      </c>
      <c r="AX387">
        <f>Z387-AL387</f>
        <v>0</v>
      </c>
      <c r="AY387">
        <f>AA387-AM387</f>
        <v>0</v>
      </c>
      <c r="AZ387">
        <f>AB387-AN387</f>
        <v>0</v>
      </c>
      <c r="BA387">
        <f>AC387-AO387</f>
        <v>0</v>
      </c>
      <c r="BB387">
        <f>AD387-AP387</f>
        <v>0</v>
      </c>
      <c r="BC387">
        <f>AE387-AQ387</f>
        <v>0</v>
      </c>
      <c r="BD387">
        <f>AF387-AR387</f>
        <v>0</v>
      </c>
      <c r="BE387">
        <f>AG387-AS387</f>
        <v>0</v>
      </c>
    </row>
    <row r="388">
      <c r="A388" t="n">
        <v>358</v>
      </c>
      <c r="B388">
        <f>SUMPRODUCT(ROUND($AT387:$BE387*(1+'Calc base'!$H388:$S388),2))</f>
        <v>0</v>
      </c>
      <c r="C388">
        <f>SUM(J388:U388)</f>
        <v>0</v>
      </c>
      <c r="D388">
        <f>SUM(V388:AG388)</f>
        <v>0</v>
      </c>
      <c r="E388">
        <f>MAX(0,IF(Impostazioni!$B$7="No",'Calc base'!$C388-$C$31,'Calc base'!$C388-C388)+'Calc base'!$G388+'Calc base'!$F388-(B388-C388-D388))</f>
        <v>900</v>
      </c>
      <c r="F388">
        <f>SUM(AH388:AS388)</f>
        <v>0</v>
      </c>
      <c r="G388">
        <f>SUM(AT388:BE388)</f>
        <v>0</v>
      </c>
      <c r="H388">
        <f>B388-G387</f>
        <v>0</v>
      </c>
      <c r="I388">
        <f>B388-G388</f>
        <v>0</v>
      </c>
      <c r="J388">
        <f>IF(AT387&lt;=0,0,IF(ROUND(AT387*(1+'Calc base'!H388),2)-MAX('Calc base'!C$12,ROUND('Calc base'!C$13*AT387,2))&lt;1,ROUND(AT387*(1+'Calc base'!H388),2),MAX('Calc base'!C$12,ROUND('Calc base'!C$13*AT387,2))))</f>
        <v>0</v>
      </c>
      <c r="K388">
        <f>IF(AU387&lt;=0,0,IF(ROUND(AU387*(1+'Calc base'!I388),2)-MAX('Calc base'!D$12,ROUND('Calc base'!D$13*AU387,2))&lt;1,ROUND(AU387*(1+'Calc base'!I388),2),MAX('Calc base'!D$12,ROUND('Calc base'!D$13*AU387,2))))</f>
        <v>0</v>
      </c>
      <c r="L388">
        <f>IF(AV387&lt;=0,0,IF(ROUND(AV387*(1+'Calc base'!J388),2)-MAX('Calc base'!E$12,ROUND('Calc base'!E$13*AV387,2))&lt;1,ROUND(AV387*(1+'Calc base'!J388),2),MAX('Calc base'!E$12,ROUND('Calc base'!E$13*AV387,2))))</f>
        <v>0</v>
      </c>
      <c r="M388">
        <f>IF(AW387&lt;=0,0,IF(ROUND(AW387*(1+'Calc base'!K388),2)-MAX('Calc base'!F$12,ROUND('Calc base'!F$13*AW387,2))&lt;1,ROUND(AW387*(1+'Calc base'!K388),2),MAX('Calc base'!F$12,ROUND('Calc base'!F$13*AW387,2))))</f>
        <v>0</v>
      </c>
      <c r="N388">
        <f>IF(AX387&lt;=0,0,IF(ROUND(AX387*(1+'Calc base'!L388),2)-MAX('Calc base'!G$12,ROUND('Calc base'!G$13*AX387,2))&lt;1,ROUND(AX387*(1+'Calc base'!L388),2),MAX('Calc base'!G$12,ROUND('Calc base'!G$13*AX387,2))))</f>
        <v>0</v>
      </c>
      <c r="O388">
        <f>IF(AY387&lt;=0,0,IF(ROUND(AY387*(1+'Calc base'!M388),2)-MAX('Calc base'!H$12,ROUND('Calc base'!H$13*AY387,2))&lt;1,ROUND(AY387*(1+'Calc base'!M388),2),MAX('Calc base'!H$12,ROUND('Calc base'!H$13*AY387,2))))</f>
        <v>0</v>
      </c>
      <c r="P388">
        <f>IF(AZ387&lt;=0,0,IF(ROUND(AZ387*(1+'Calc base'!N388),2)-MAX('Calc base'!I$12,ROUND('Calc base'!I$13*AZ387,2))&lt;1,ROUND(AZ387*(1+'Calc base'!N388),2),MAX('Calc base'!I$12,ROUND('Calc base'!I$13*AZ387,2))))</f>
        <v>0</v>
      </c>
      <c r="Q388">
        <f>IF(BA387&lt;=0,0,IF(ROUND(BA387*(1+'Calc base'!O388),2)-MAX('Calc base'!J$12,ROUND('Calc base'!J$13*BA387,2))&lt;1,ROUND(BA387*(1+'Calc base'!O388),2),MAX('Calc base'!J$12,ROUND('Calc base'!J$13*BA387,2))))</f>
        <v>0</v>
      </c>
      <c r="R388">
        <f>IF(BB387&lt;=0,0,IF(ROUND(BB387*(1+'Calc base'!P388),2)-MAX('Calc base'!K$12,ROUND('Calc base'!K$13*BB387,2))&lt;1,ROUND(BB387*(1+'Calc base'!P388),2),MAX('Calc base'!K$12,ROUND('Calc base'!K$13*BB387,2))))</f>
        <v>0</v>
      </c>
      <c r="S388">
        <f>IF(BC387&lt;=0,0,IF(ROUND(BC387*(1+'Calc base'!Q388),2)-MAX('Calc base'!L$12,ROUND('Calc base'!L$13*BC387,2))&lt;1,ROUND(BC387*(1+'Calc base'!Q388),2),MAX('Calc base'!L$12,ROUND('Calc base'!L$13*BC387,2))))</f>
        <v>0</v>
      </c>
      <c r="T388">
        <f>IF(BD387&lt;=0,0,IF(ROUND(BD387*(1+'Calc base'!R388),2)-MAX('Calc base'!M$12,ROUND('Calc base'!M$13*BD387,2))&lt;1,ROUND(BD387*(1+'Calc base'!R388),2),MAX('Calc base'!M$12,ROUND('Calc base'!M$13*BD387,2))))</f>
        <v>0</v>
      </c>
      <c r="U388">
        <f>IF(BE387&lt;=0,0,IF(ROUND(BE387*(1+'Calc base'!S388),2)-MAX('Calc base'!N$12,ROUND('Calc base'!N$13*BE387,2))&lt;1,ROUND(BE387*(1+'Calc base'!S388),2),MAX('Calc base'!N$12,ROUND('Calc base'!N$13*BE387,2))))</f>
        <v>0</v>
      </c>
      <c r="V388">
        <f>MAX(0,ROUND(AT387*(1+'Calc base'!H388),2)-J388-'Calc base'!T388)</f>
        <v>0</v>
      </c>
      <c r="W388">
        <f>MAX(0,ROUND(AU387*(1+'Calc base'!I388),2)-K388-'Calc base'!U388)</f>
        <v>0</v>
      </c>
      <c r="X388">
        <f>MAX(0,ROUND(AV387*(1+'Calc base'!J388),2)-L388-'Calc base'!V388)</f>
        <v>0</v>
      </c>
      <c r="Y388">
        <f>MAX(0,ROUND(AW387*(1+'Calc base'!K388),2)-M388-'Calc base'!W388)</f>
        <v>0</v>
      </c>
      <c r="Z388">
        <f>MAX(0,ROUND(AX387*(1+'Calc base'!L388),2)-N388-'Calc base'!X388)</f>
        <v>0</v>
      </c>
      <c r="AA388">
        <f>MAX(0,ROUND(AY387*(1+'Calc base'!M388),2)-O388-'Calc base'!Y388)</f>
        <v>0</v>
      </c>
      <c r="AB388">
        <f>MAX(0,ROUND(AZ387*(1+'Calc base'!N388),2)-P388-'Calc base'!Z388)</f>
        <v>0</v>
      </c>
      <c r="AC388">
        <f>MAX(0,ROUND(BA387*(1+'Calc base'!O388),2)-Q388-'Calc base'!AA388)</f>
        <v>0</v>
      </c>
      <c r="AD388">
        <f>MAX(0,ROUND(BB387*(1+'Calc base'!P388),2)-R388-'Calc base'!AB388)</f>
        <v>0</v>
      </c>
      <c r="AE388">
        <f>MAX(0,ROUND(BC387*(1+'Calc base'!Q388),2)-S388-'Calc base'!AC388)</f>
        <v>0</v>
      </c>
      <c r="AF388">
        <f>MAX(0,ROUND(BD387*(1+'Calc base'!R388),2)-T388-'Calc base'!AD388)</f>
        <v>0</v>
      </c>
      <c r="AG388">
        <f>MAX(0,ROUND(BE387*(1+'Calc base'!S388),2)-U388-'Calc base'!AE388)</f>
        <v>0</v>
      </c>
      <c r="AH388">
        <f>IF('Calc base'!C$14=0,0,MIN(V388,MAX(0,$E388-SUMIFS($V388:$AG388,'Calc base'!$C$19:$N$19,"&lt;"&amp;'Calc base'!C$19,'Calc base'!$C$14:$N$14,1))))</f>
        <v>0</v>
      </c>
      <c r="AI388">
        <f>IF('Calc base'!D$14=0,0,MIN(W388,MAX(0,$E388-SUMIFS($V388:$AG388,'Calc base'!$C$19:$N$19,"&lt;"&amp;'Calc base'!D$19,'Calc base'!$C$14:$N$14,1))))</f>
        <v>0</v>
      </c>
      <c r="AJ388">
        <f>IF('Calc base'!E$14=0,0,MIN(X388,MAX(0,$E388-SUMIFS($V388:$AG388,'Calc base'!$C$19:$N$19,"&lt;"&amp;'Calc base'!E$19,'Calc base'!$C$14:$N$14,1))))</f>
        <v>0</v>
      </c>
      <c r="AK388">
        <f>IF('Calc base'!F$14=0,0,MIN(Y388,MAX(0,$E388-SUMIFS($V388:$AG388,'Calc base'!$C$19:$N$19,"&lt;"&amp;'Calc base'!F$19,'Calc base'!$C$14:$N$14,1))))</f>
        <v>0</v>
      </c>
      <c r="AL388">
        <f>IF('Calc base'!G$14=0,0,MIN(Z388,MAX(0,$E388-SUMIFS($V388:$AG388,'Calc base'!$C$19:$N$19,"&lt;"&amp;'Calc base'!G$19,'Calc base'!$C$14:$N$14,1))))</f>
        <v>0</v>
      </c>
      <c r="AM388">
        <f>IF('Calc base'!H$14=0,0,MIN(AA388,MAX(0,$E388-SUMIFS($V388:$AG388,'Calc base'!$C$19:$N$19,"&lt;"&amp;'Calc base'!H$19,'Calc base'!$C$14:$N$14,1))))</f>
        <v>0</v>
      </c>
      <c r="AN388">
        <f>IF('Calc base'!I$14=0,0,MIN(AB388,MAX(0,$E388-SUMIFS($V388:$AG388,'Calc base'!$C$19:$N$19,"&lt;"&amp;'Calc base'!I$19,'Calc base'!$C$14:$N$14,1))))</f>
        <v>0</v>
      </c>
      <c r="AO388">
        <f>IF('Calc base'!J$14=0,0,MIN(AC388,MAX(0,$E388-SUMIFS($V388:$AG388,'Calc base'!$C$19:$N$19,"&lt;"&amp;'Calc base'!J$19,'Calc base'!$C$14:$N$14,1))))</f>
        <v>0</v>
      </c>
      <c r="AP388">
        <f>IF('Calc base'!K$14=0,0,MIN(AD388,MAX(0,$E388-SUMIFS($V388:$AG388,'Calc base'!$C$19:$N$19,"&lt;"&amp;'Calc base'!K$19,'Calc base'!$C$14:$N$14,1))))</f>
        <v>0</v>
      </c>
      <c r="AQ388">
        <f>IF('Calc base'!L$14=0,0,MIN(AE388,MAX(0,$E388-SUMIFS($V388:$AG388,'Calc base'!$C$19:$N$19,"&lt;"&amp;'Calc base'!L$19,'Calc base'!$C$14:$N$14,1))))</f>
        <v>0</v>
      </c>
      <c r="AR388">
        <f>IF('Calc base'!M$14=0,0,MIN(AF388,MAX(0,$E388-SUMIFS($V388:$AG388,'Calc base'!$C$19:$N$19,"&lt;"&amp;'Calc base'!M$19,'Calc base'!$C$14:$N$14,1))))</f>
        <v>0</v>
      </c>
      <c r="AS388">
        <f>IF('Calc base'!N$14=0,0,MIN(AG388,MAX(0,$E388-SUMIFS($V388:$AG388,'Calc base'!$C$19:$N$19,"&lt;"&amp;'Calc base'!N$19,'Calc base'!$C$14:$N$14,1))))</f>
        <v>0</v>
      </c>
      <c r="AT388">
        <f>V388-AH388</f>
        <v>0</v>
      </c>
      <c r="AU388">
        <f>W388-AI388</f>
        <v>0</v>
      </c>
      <c r="AV388">
        <f>X388-AJ388</f>
        <v>0</v>
      </c>
      <c r="AW388">
        <f>Y388-AK388</f>
        <v>0</v>
      </c>
      <c r="AX388">
        <f>Z388-AL388</f>
        <v>0</v>
      </c>
      <c r="AY388">
        <f>AA388-AM388</f>
        <v>0</v>
      </c>
      <c r="AZ388">
        <f>AB388-AN388</f>
        <v>0</v>
      </c>
      <c r="BA388">
        <f>AC388-AO388</f>
        <v>0</v>
      </c>
      <c r="BB388">
        <f>AD388-AP388</f>
        <v>0</v>
      </c>
      <c r="BC388">
        <f>AE388-AQ388</f>
        <v>0</v>
      </c>
      <c r="BD388">
        <f>AF388-AR388</f>
        <v>0</v>
      </c>
      <c r="BE388">
        <f>AG388-AS388</f>
        <v>0</v>
      </c>
    </row>
    <row r="389">
      <c r="A389" t="n">
        <v>359</v>
      </c>
      <c r="B389">
        <f>SUMPRODUCT(ROUND($AT388:$BE388*(1+'Calc base'!$H389:$S389),2))</f>
        <v>0</v>
      </c>
      <c r="C389">
        <f>SUM(J389:U389)</f>
        <v>0</v>
      </c>
      <c r="D389">
        <f>SUM(V389:AG389)</f>
        <v>0</v>
      </c>
      <c r="E389">
        <f>MAX(0,IF(Impostazioni!$B$7="No",'Calc base'!$C389-$C$31,'Calc base'!$C389-C389)+'Calc base'!$G389+'Calc base'!$F389-(B389-C389-D389))</f>
        <v>900</v>
      </c>
      <c r="F389">
        <f>SUM(AH389:AS389)</f>
        <v>0</v>
      </c>
      <c r="G389">
        <f>SUM(AT389:BE389)</f>
        <v>0</v>
      </c>
      <c r="H389">
        <f>B389-G388</f>
        <v>0</v>
      </c>
      <c r="I389">
        <f>B389-G389</f>
        <v>0</v>
      </c>
      <c r="J389">
        <f>IF(AT388&lt;=0,0,IF(ROUND(AT388*(1+'Calc base'!H389),2)-MAX('Calc base'!C$12,ROUND('Calc base'!C$13*AT388,2))&lt;1,ROUND(AT388*(1+'Calc base'!H389),2),MAX('Calc base'!C$12,ROUND('Calc base'!C$13*AT388,2))))</f>
        <v>0</v>
      </c>
      <c r="K389">
        <f>IF(AU388&lt;=0,0,IF(ROUND(AU388*(1+'Calc base'!I389),2)-MAX('Calc base'!D$12,ROUND('Calc base'!D$13*AU388,2))&lt;1,ROUND(AU388*(1+'Calc base'!I389),2),MAX('Calc base'!D$12,ROUND('Calc base'!D$13*AU388,2))))</f>
        <v>0</v>
      </c>
      <c r="L389">
        <f>IF(AV388&lt;=0,0,IF(ROUND(AV388*(1+'Calc base'!J389),2)-MAX('Calc base'!E$12,ROUND('Calc base'!E$13*AV388,2))&lt;1,ROUND(AV388*(1+'Calc base'!J389),2),MAX('Calc base'!E$12,ROUND('Calc base'!E$13*AV388,2))))</f>
        <v>0</v>
      </c>
      <c r="M389">
        <f>IF(AW388&lt;=0,0,IF(ROUND(AW388*(1+'Calc base'!K389),2)-MAX('Calc base'!F$12,ROUND('Calc base'!F$13*AW388,2))&lt;1,ROUND(AW388*(1+'Calc base'!K389),2),MAX('Calc base'!F$12,ROUND('Calc base'!F$13*AW388,2))))</f>
        <v>0</v>
      </c>
      <c r="N389">
        <f>IF(AX388&lt;=0,0,IF(ROUND(AX388*(1+'Calc base'!L389),2)-MAX('Calc base'!G$12,ROUND('Calc base'!G$13*AX388,2))&lt;1,ROUND(AX388*(1+'Calc base'!L389),2),MAX('Calc base'!G$12,ROUND('Calc base'!G$13*AX388,2))))</f>
        <v>0</v>
      </c>
      <c r="O389">
        <f>IF(AY388&lt;=0,0,IF(ROUND(AY388*(1+'Calc base'!M389),2)-MAX('Calc base'!H$12,ROUND('Calc base'!H$13*AY388,2))&lt;1,ROUND(AY388*(1+'Calc base'!M389),2),MAX('Calc base'!H$12,ROUND('Calc base'!H$13*AY388,2))))</f>
        <v>0</v>
      </c>
      <c r="P389">
        <f>IF(AZ388&lt;=0,0,IF(ROUND(AZ388*(1+'Calc base'!N389),2)-MAX('Calc base'!I$12,ROUND('Calc base'!I$13*AZ388,2))&lt;1,ROUND(AZ388*(1+'Calc base'!N389),2),MAX('Calc base'!I$12,ROUND('Calc base'!I$13*AZ388,2))))</f>
        <v>0</v>
      </c>
      <c r="Q389">
        <f>IF(BA388&lt;=0,0,IF(ROUND(BA388*(1+'Calc base'!O389),2)-MAX('Calc base'!J$12,ROUND('Calc base'!J$13*BA388,2))&lt;1,ROUND(BA388*(1+'Calc base'!O389),2),MAX('Calc base'!J$12,ROUND('Calc base'!J$13*BA388,2))))</f>
        <v>0</v>
      </c>
      <c r="R389">
        <f>IF(BB388&lt;=0,0,IF(ROUND(BB388*(1+'Calc base'!P389),2)-MAX('Calc base'!K$12,ROUND('Calc base'!K$13*BB388,2))&lt;1,ROUND(BB388*(1+'Calc base'!P389),2),MAX('Calc base'!K$12,ROUND('Calc base'!K$13*BB388,2))))</f>
        <v>0</v>
      </c>
      <c r="S389">
        <f>IF(BC388&lt;=0,0,IF(ROUND(BC388*(1+'Calc base'!Q389),2)-MAX('Calc base'!L$12,ROUND('Calc base'!L$13*BC388,2))&lt;1,ROUND(BC388*(1+'Calc base'!Q389),2),MAX('Calc base'!L$12,ROUND('Calc base'!L$13*BC388,2))))</f>
        <v>0</v>
      </c>
      <c r="T389">
        <f>IF(BD388&lt;=0,0,IF(ROUND(BD388*(1+'Calc base'!R389),2)-MAX('Calc base'!M$12,ROUND('Calc base'!M$13*BD388,2))&lt;1,ROUND(BD388*(1+'Calc base'!R389),2),MAX('Calc base'!M$12,ROUND('Calc base'!M$13*BD388,2))))</f>
        <v>0</v>
      </c>
      <c r="U389">
        <f>IF(BE388&lt;=0,0,IF(ROUND(BE388*(1+'Calc base'!S389),2)-MAX('Calc base'!N$12,ROUND('Calc base'!N$13*BE388,2))&lt;1,ROUND(BE388*(1+'Calc base'!S389),2),MAX('Calc base'!N$12,ROUND('Calc base'!N$13*BE388,2))))</f>
        <v>0</v>
      </c>
      <c r="V389">
        <f>MAX(0,ROUND(AT388*(1+'Calc base'!H389),2)-J389-'Calc base'!T389)</f>
        <v>0</v>
      </c>
      <c r="W389">
        <f>MAX(0,ROUND(AU388*(1+'Calc base'!I389),2)-K389-'Calc base'!U389)</f>
        <v>0</v>
      </c>
      <c r="X389">
        <f>MAX(0,ROUND(AV388*(1+'Calc base'!J389),2)-L389-'Calc base'!V389)</f>
        <v>0</v>
      </c>
      <c r="Y389">
        <f>MAX(0,ROUND(AW388*(1+'Calc base'!K389),2)-M389-'Calc base'!W389)</f>
        <v>0</v>
      </c>
      <c r="Z389">
        <f>MAX(0,ROUND(AX388*(1+'Calc base'!L389),2)-N389-'Calc base'!X389)</f>
        <v>0</v>
      </c>
      <c r="AA389">
        <f>MAX(0,ROUND(AY388*(1+'Calc base'!M389),2)-O389-'Calc base'!Y389)</f>
        <v>0</v>
      </c>
      <c r="AB389">
        <f>MAX(0,ROUND(AZ388*(1+'Calc base'!N389),2)-P389-'Calc base'!Z389)</f>
        <v>0</v>
      </c>
      <c r="AC389">
        <f>MAX(0,ROUND(BA388*(1+'Calc base'!O389),2)-Q389-'Calc base'!AA389)</f>
        <v>0</v>
      </c>
      <c r="AD389">
        <f>MAX(0,ROUND(BB388*(1+'Calc base'!P389),2)-R389-'Calc base'!AB389)</f>
        <v>0</v>
      </c>
      <c r="AE389">
        <f>MAX(0,ROUND(BC388*(1+'Calc base'!Q389),2)-S389-'Calc base'!AC389)</f>
        <v>0</v>
      </c>
      <c r="AF389">
        <f>MAX(0,ROUND(BD388*(1+'Calc base'!R389),2)-T389-'Calc base'!AD389)</f>
        <v>0</v>
      </c>
      <c r="AG389">
        <f>MAX(0,ROUND(BE388*(1+'Calc base'!S389),2)-U389-'Calc base'!AE389)</f>
        <v>0</v>
      </c>
      <c r="AH389">
        <f>IF('Calc base'!C$14=0,0,MIN(V389,MAX(0,$E389-SUMIFS($V389:$AG389,'Calc base'!$C$19:$N$19,"&lt;"&amp;'Calc base'!C$19,'Calc base'!$C$14:$N$14,1))))</f>
        <v>0</v>
      </c>
      <c r="AI389">
        <f>IF('Calc base'!D$14=0,0,MIN(W389,MAX(0,$E389-SUMIFS($V389:$AG389,'Calc base'!$C$19:$N$19,"&lt;"&amp;'Calc base'!D$19,'Calc base'!$C$14:$N$14,1))))</f>
        <v>0</v>
      </c>
      <c r="AJ389">
        <f>IF('Calc base'!E$14=0,0,MIN(X389,MAX(0,$E389-SUMIFS($V389:$AG389,'Calc base'!$C$19:$N$19,"&lt;"&amp;'Calc base'!E$19,'Calc base'!$C$14:$N$14,1))))</f>
        <v>0</v>
      </c>
      <c r="AK389">
        <f>IF('Calc base'!F$14=0,0,MIN(Y389,MAX(0,$E389-SUMIFS($V389:$AG389,'Calc base'!$C$19:$N$19,"&lt;"&amp;'Calc base'!F$19,'Calc base'!$C$14:$N$14,1))))</f>
        <v>0</v>
      </c>
      <c r="AL389">
        <f>IF('Calc base'!G$14=0,0,MIN(Z389,MAX(0,$E389-SUMIFS($V389:$AG389,'Calc base'!$C$19:$N$19,"&lt;"&amp;'Calc base'!G$19,'Calc base'!$C$14:$N$14,1))))</f>
        <v>0</v>
      </c>
      <c r="AM389">
        <f>IF('Calc base'!H$14=0,0,MIN(AA389,MAX(0,$E389-SUMIFS($V389:$AG389,'Calc base'!$C$19:$N$19,"&lt;"&amp;'Calc base'!H$19,'Calc base'!$C$14:$N$14,1))))</f>
        <v>0</v>
      </c>
      <c r="AN389">
        <f>IF('Calc base'!I$14=0,0,MIN(AB389,MAX(0,$E389-SUMIFS($V389:$AG389,'Calc base'!$C$19:$N$19,"&lt;"&amp;'Calc base'!I$19,'Calc base'!$C$14:$N$14,1))))</f>
        <v>0</v>
      </c>
      <c r="AO389">
        <f>IF('Calc base'!J$14=0,0,MIN(AC389,MAX(0,$E389-SUMIFS($V389:$AG389,'Calc base'!$C$19:$N$19,"&lt;"&amp;'Calc base'!J$19,'Calc base'!$C$14:$N$14,1))))</f>
        <v>0</v>
      </c>
      <c r="AP389">
        <f>IF('Calc base'!K$14=0,0,MIN(AD389,MAX(0,$E389-SUMIFS($V389:$AG389,'Calc base'!$C$19:$N$19,"&lt;"&amp;'Calc base'!K$19,'Calc base'!$C$14:$N$14,1))))</f>
        <v>0</v>
      </c>
      <c r="AQ389">
        <f>IF('Calc base'!L$14=0,0,MIN(AE389,MAX(0,$E389-SUMIFS($V389:$AG389,'Calc base'!$C$19:$N$19,"&lt;"&amp;'Calc base'!L$19,'Calc base'!$C$14:$N$14,1))))</f>
        <v>0</v>
      </c>
      <c r="AR389">
        <f>IF('Calc base'!M$14=0,0,MIN(AF389,MAX(0,$E389-SUMIFS($V389:$AG389,'Calc base'!$C$19:$N$19,"&lt;"&amp;'Calc base'!M$19,'Calc base'!$C$14:$N$14,1))))</f>
        <v>0</v>
      </c>
      <c r="AS389">
        <f>IF('Calc base'!N$14=0,0,MIN(AG389,MAX(0,$E389-SUMIFS($V389:$AG389,'Calc base'!$C$19:$N$19,"&lt;"&amp;'Calc base'!N$19,'Calc base'!$C$14:$N$14,1))))</f>
        <v>0</v>
      </c>
      <c r="AT389">
        <f>V389-AH389</f>
        <v>0</v>
      </c>
      <c r="AU389">
        <f>W389-AI389</f>
        <v>0</v>
      </c>
      <c r="AV389">
        <f>X389-AJ389</f>
        <v>0</v>
      </c>
      <c r="AW389">
        <f>Y389-AK389</f>
        <v>0</v>
      </c>
      <c r="AX389">
        <f>Z389-AL389</f>
        <v>0</v>
      </c>
      <c r="AY389">
        <f>AA389-AM389</f>
        <v>0</v>
      </c>
      <c r="AZ389">
        <f>AB389-AN389</f>
        <v>0</v>
      </c>
      <c r="BA389">
        <f>AC389-AO389</f>
        <v>0</v>
      </c>
      <c r="BB389">
        <f>AD389-AP389</f>
        <v>0</v>
      </c>
      <c r="BC389">
        <f>AE389-AQ389</f>
        <v>0</v>
      </c>
      <c r="BD389">
        <f>AF389-AR389</f>
        <v>0</v>
      </c>
      <c r="BE389">
        <f>AG389-AS389</f>
        <v>0</v>
      </c>
    </row>
    <row r="390">
      <c r="A390" t="n">
        <v>360</v>
      </c>
      <c r="B390">
        <f>SUMPRODUCT(ROUND($AT389:$BE389*(1+'Calc base'!$H390:$S390),2))</f>
        <v>0</v>
      </c>
      <c r="C390">
        <f>SUM(J390:U390)</f>
        <v>0</v>
      </c>
      <c r="D390">
        <f>SUM(V390:AG390)</f>
        <v>0</v>
      </c>
      <c r="E390">
        <f>MAX(0,IF(Impostazioni!$B$7="No",'Calc base'!$C390-$C$31,'Calc base'!$C390-C390)+'Calc base'!$G390+'Calc base'!$F390-(B390-C390-D390))</f>
        <v>900</v>
      </c>
      <c r="F390">
        <f>SUM(AH390:AS390)</f>
        <v>0</v>
      </c>
      <c r="G390">
        <f>SUM(AT390:BE390)</f>
        <v>0</v>
      </c>
      <c r="H390">
        <f>B390-G389</f>
        <v>0</v>
      </c>
      <c r="I390">
        <f>B390-G390</f>
        <v>0</v>
      </c>
      <c r="J390">
        <f>IF(AT389&lt;=0,0,IF(ROUND(AT389*(1+'Calc base'!H390),2)-MAX('Calc base'!C$12,ROUND('Calc base'!C$13*AT389,2))&lt;1,ROUND(AT389*(1+'Calc base'!H390),2),MAX('Calc base'!C$12,ROUND('Calc base'!C$13*AT389,2))))</f>
        <v>0</v>
      </c>
      <c r="K390">
        <f>IF(AU389&lt;=0,0,IF(ROUND(AU389*(1+'Calc base'!I390),2)-MAX('Calc base'!D$12,ROUND('Calc base'!D$13*AU389,2))&lt;1,ROUND(AU389*(1+'Calc base'!I390),2),MAX('Calc base'!D$12,ROUND('Calc base'!D$13*AU389,2))))</f>
        <v>0</v>
      </c>
      <c r="L390">
        <f>IF(AV389&lt;=0,0,IF(ROUND(AV389*(1+'Calc base'!J390),2)-MAX('Calc base'!E$12,ROUND('Calc base'!E$13*AV389,2))&lt;1,ROUND(AV389*(1+'Calc base'!J390),2),MAX('Calc base'!E$12,ROUND('Calc base'!E$13*AV389,2))))</f>
        <v>0</v>
      </c>
      <c r="M390">
        <f>IF(AW389&lt;=0,0,IF(ROUND(AW389*(1+'Calc base'!K390),2)-MAX('Calc base'!F$12,ROUND('Calc base'!F$13*AW389,2))&lt;1,ROUND(AW389*(1+'Calc base'!K390),2),MAX('Calc base'!F$12,ROUND('Calc base'!F$13*AW389,2))))</f>
        <v>0</v>
      </c>
      <c r="N390">
        <f>IF(AX389&lt;=0,0,IF(ROUND(AX389*(1+'Calc base'!L390),2)-MAX('Calc base'!G$12,ROUND('Calc base'!G$13*AX389,2))&lt;1,ROUND(AX389*(1+'Calc base'!L390),2),MAX('Calc base'!G$12,ROUND('Calc base'!G$13*AX389,2))))</f>
        <v>0</v>
      </c>
      <c r="O390">
        <f>IF(AY389&lt;=0,0,IF(ROUND(AY389*(1+'Calc base'!M390),2)-MAX('Calc base'!H$12,ROUND('Calc base'!H$13*AY389,2))&lt;1,ROUND(AY389*(1+'Calc base'!M390),2),MAX('Calc base'!H$12,ROUND('Calc base'!H$13*AY389,2))))</f>
        <v>0</v>
      </c>
      <c r="P390">
        <f>IF(AZ389&lt;=0,0,IF(ROUND(AZ389*(1+'Calc base'!N390),2)-MAX('Calc base'!I$12,ROUND('Calc base'!I$13*AZ389,2))&lt;1,ROUND(AZ389*(1+'Calc base'!N390),2),MAX('Calc base'!I$12,ROUND('Calc base'!I$13*AZ389,2))))</f>
        <v>0</v>
      </c>
      <c r="Q390">
        <f>IF(BA389&lt;=0,0,IF(ROUND(BA389*(1+'Calc base'!O390),2)-MAX('Calc base'!J$12,ROUND('Calc base'!J$13*BA389,2))&lt;1,ROUND(BA389*(1+'Calc base'!O390),2),MAX('Calc base'!J$12,ROUND('Calc base'!J$13*BA389,2))))</f>
        <v>0</v>
      </c>
      <c r="R390">
        <f>IF(BB389&lt;=0,0,IF(ROUND(BB389*(1+'Calc base'!P390),2)-MAX('Calc base'!K$12,ROUND('Calc base'!K$13*BB389,2))&lt;1,ROUND(BB389*(1+'Calc base'!P390),2),MAX('Calc base'!K$12,ROUND('Calc base'!K$13*BB389,2))))</f>
        <v>0</v>
      </c>
      <c r="S390">
        <f>IF(BC389&lt;=0,0,IF(ROUND(BC389*(1+'Calc base'!Q390),2)-MAX('Calc base'!L$12,ROUND('Calc base'!L$13*BC389,2))&lt;1,ROUND(BC389*(1+'Calc base'!Q390),2),MAX('Calc base'!L$12,ROUND('Calc base'!L$13*BC389,2))))</f>
        <v>0</v>
      </c>
      <c r="T390">
        <f>IF(BD389&lt;=0,0,IF(ROUND(BD389*(1+'Calc base'!R390),2)-MAX('Calc base'!M$12,ROUND('Calc base'!M$13*BD389,2))&lt;1,ROUND(BD389*(1+'Calc base'!R390),2),MAX('Calc base'!M$12,ROUND('Calc base'!M$13*BD389,2))))</f>
        <v>0</v>
      </c>
      <c r="U390">
        <f>IF(BE389&lt;=0,0,IF(ROUND(BE389*(1+'Calc base'!S390),2)-MAX('Calc base'!N$12,ROUND('Calc base'!N$13*BE389,2))&lt;1,ROUND(BE389*(1+'Calc base'!S390),2),MAX('Calc base'!N$12,ROUND('Calc base'!N$13*BE389,2))))</f>
        <v>0</v>
      </c>
      <c r="V390">
        <f>MAX(0,ROUND(AT389*(1+'Calc base'!H390),2)-J390-'Calc base'!T390)</f>
        <v>0</v>
      </c>
      <c r="W390">
        <f>MAX(0,ROUND(AU389*(1+'Calc base'!I390),2)-K390-'Calc base'!U390)</f>
        <v>0</v>
      </c>
      <c r="X390">
        <f>MAX(0,ROUND(AV389*(1+'Calc base'!J390),2)-L390-'Calc base'!V390)</f>
        <v>0</v>
      </c>
      <c r="Y390">
        <f>MAX(0,ROUND(AW389*(1+'Calc base'!K390),2)-M390-'Calc base'!W390)</f>
        <v>0</v>
      </c>
      <c r="Z390">
        <f>MAX(0,ROUND(AX389*(1+'Calc base'!L390),2)-N390-'Calc base'!X390)</f>
        <v>0</v>
      </c>
      <c r="AA390">
        <f>MAX(0,ROUND(AY389*(1+'Calc base'!M390),2)-O390-'Calc base'!Y390)</f>
        <v>0</v>
      </c>
      <c r="AB390">
        <f>MAX(0,ROUND(AZ389*(1+'Calc base'!N390),2)-P390-'Calc base'!Z390)</f>
        <v>0</v>
      </c>
      <c r="AC390">
        <f>MAX(0,ROUND(BA389*(1+'Calc base'!O390),2)-Q390-'Calc base'!AA390)</f>
        <v>0</v>
      </c>
      <c r="AD390">
        <f>MAX(0,ROUND(BB389*(1+'Calc base'!P390),2)-R390-'Calc base'!AB390)</f>
        <v>0</v>
      </c>
      <c r="AE390">
        <f>MAX(0,ROUND(BC389*(1+'Calc base'!Q390),2)-S390-'Calc base'!AC390)</f>
        <v>0</v>
      </c>
      <c r="AF390">
        <f>MAX(0,ROUND(BD389*(1+'Calc base'!R390),2)-T390-'Calc base'!AD390)</f>
        <v>0</v>
      </c>
      <c r="AG390">
        <f>MAX(0,ROUND(BE389*(1+'Calc base'!S390),2)-U390-'Calc base'!AE390)</f>
        <v>0</v>
      </c>
      <c r="AH390">
        <f>IF('Calc base'!C$14=0,0,MIN(V390,MAX(0,$E390-SUMIFS($V390:$AG390,'Calc base'!$C$19:$N$19,"&lt;"&amp;'Calc base'!C$19,'Calc base'!$C$14:$N$14,1))))</f>
        <v>0</v>
      </c>
      <c r="AI390">
        <f>IF('Calc base'!D$14=0,0,MIN(W390,MAX(0,$E390-SUMIFS($V390:$AG390,'Calc base'!$C$19:$N$19,"&lt;"&amp;'Calc base'!D$19,'Calc base'!$C$14:$N$14,1))))</f>
        <v>0</v>
      </c>
      <c r="AJ390">
        <f>IF('Calc base'!E$14=0,0,MIN(X390,MAX(0,$E390-SUMIFS($V390:$AG390,'Calc base'!$C$19:$N$19,"&lt;"&amp;'Calc base'!E$19,'Calc base'!$C$14:$N$14,1))))</f>
        <v>0</v>
      </c>
      <c r="AK390">
        <f>IF('Calc base'!F$14=0,0,MIN(Y390,MAX(0,$E390-SUMIFS($V390:$AG390,'Calc base'!$C$19:$N$19,"&lt;"&amp;'Calc base'!F$19,'Calc base'!$C$14:$N$14,1))))</f>
        <v>0</v>
      </c>
      <c r="AL390">
        <f>IF('Calc base'!G$14=0,0,MIN(Z390,MAX(0,$E390-SUMIFS($V390:$AG390,'Calc base'!$C$19:$N$19,"&lt;"&amp;'Calc base'!G$19,'Calc base'!$C$14:$N$14,1))))</f>
        <v>0</v>
      </c>
      <c r="AM390">
        <f>IF('Calc base'!H$14=0,0,MIN(AA390,MAX(0,$E390-SUMIFS($V390:$AG390,'Calc base'!$C$19:$N$19,"&lt;"&amp;'Calc base'!H$19,'Calc base'!$C$14:$N$14,1))))</f>
        <v>0</v>
      </c>
      <c r="AN390">
        <f>IF('Calc base'!I$14=0,0,MIN(AB390,MAX(0,$E390-SUMIFS($V390:$AG390,'Calc base'!$C$19:$N$19,"&lt;"&amp;'Calc base'!I$19,'Calc base'!$C$14:$N$14,1))))</f>
        <v>0</v>
      </c>
      <c r="AO390">
        <f>IF('Calc base'!J$14=0,0,MIN(AC390,MAX(0,$E390-SUMIFS($V390:$AG390,'Calc base'!$C$19:$N$19,"&lt;"&amp;'Calc base'!J$19,'Calc base'!$C$14:$N$14,1))))</f>
        <v>0</v>
      </c>
      <c r="AP390">
        <f>IF('Calc base'!K$14=0,0,MIN(AD390,MAX(0,$E390-SUMIFS($V390:$AG390,'Calc base'!$C$19:$N$19,"&lt;"&amp;'Calc base'!K$19,'Calc base'!$C$14:$N$14,1))))</f>
        <v>0</v>
      </c>
      <c r="AQ390">
        <f>IF('Calc base'!L$14=0,0,MIN(AE390,MAX(0,$E390-SUMIFS($V390:$AG390,'Calc base'!$C$19:$N$19,"&lt;"&amp;'Calc base'!L$19,'Calc base'!$C$14:$N$14,1))))</f>
        <v>0</v>
      </c>
      <c r="AR390">
        <f>IF('Calc base'!M$14=0,0,MIN(AF390,MAX(0,$E390-SUMIFS($V390:$AG390,'Calc base'!$C$19:$N$19,"&lt;"&amp;'Calc base'!M$19,'Calc base'!$C$14:$N$14,1))))</f>
        <v>0</v>
      </c>
      <c r="AS390">
        <f>IF('Calc base'!N$14=0,0,MIN(AG390,MAX(0,$E390-SUMIFS($V390:$AG390,'Calc base'!$C$19:$N$19,"&lt;"&amp;'Calc base'!N$19,'Calc base'!$C$14:$N$14,1))))</f>
        <v>0</v>
      </c>
      <c r="AT390">
        <f>V390-AH390</f>
        <v>0</v>
      </c>
      <c r="AU390">
        <f>W390-AI390</f>
        <v>0</v>
      </c>
      <c r="AV390">
        <f>X390-AJ390</f>
        <v>0</v>
      </c>
      <c r="AW390">
        <f>Y390-AK390</f>
        <v>0</v>
      </c>
      <c r="AX390">
        <f>Z390-AL390</f>
        <v>0</v>
      </c>
      <c r="AY390">
        <f>AA390-AM390</f>
        <v>0</v>
      </c>
      <c r="AZ390">
        <f>AB390-AN390</f>
        <v>0</v>
      </c>
      <c r="BA390">
        <f>AC390-AO390</f>
        <v>0</v>
      </c>
      <c r="BB390">
        <f>AD390-AP390</f>
        <v>0</v>
      </c>
      <c r="BC390">
        <f>AE390-AQ390</f>
        <v>0</v>
      </c>
      <c r="BD390">
        <f>AF390-AR390</f>
        <v>0</v>
      </c>
      <c r="BE390">
        <f>AG390-AS390</f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E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Solo rate minime</t>
        </is>
      </c>
    </row>
    <row r="2">
      <c r="A2" t="inlineStr">
        <is>
          <t>Mesi per finire</t>
        </is>
      </c>
      <c r="B2">
        <f>MAX(AT3:BE3)</f>
        <v>109</v>
      </c>
    </row>
    <row r="3">
      <c r="A3" t="inlineStr">
        <is>
          <t>Interessi totali</t>
        </is>
      </c>
      <c r="B3">
        <f>SUM(H31:H390)</f>
        <v>4369.01</v>
      </c>
      <c r="AT3">
        <f>IF('Calc base'!C$8&lt;=0,0,IF(COUNTIF(AT31:AT390,"&gt;0.004")&gt;=360,9999,COUNTIF(AT31:AT390,"&gt;0.004")+1))</f>
        <v>109</v>
      </c>
      <c r="AU3">
        <f>IF('Calc base'!D$8&lt;=0,0,IF(COUNTIF(AU31:AU390,"&gt;0.004")&gt;=360,9999,COUNTIF(AU31:AU390,"&gt;0.004")+1))</f>
        <v>44</v>
      </c>
      <c r="AV3">
        <f>IF('Calc base'!E$8&lt;=0,0,IF(COUNTIF(AV31:AV390,"&gt;0.004")&gt;=360,9999,COUNTIF(AV31:AV390,"&gt;0.004")+1))</f>
        <v>38</v>
      </c>
      <c r="AW3">
        <f>IF('Calc base'!F$8&lt;=0,0,IF(COUNTIF(AW31:AW390,"&gt;0.004")&gt;=360,9999,COUNTIF(AW31:AW390,"&gt;0.004")+1))</f>
        <v>40</v>
      </c>
      <c r="AX3">
        <f>IF('Calc base'!G$8&lt;=0,0,IF(COUNTIF(AX31:AX390,"&gt;0.004")&gt;=360,9999,COUNTIF(AX31:AX390,"&gt;0.004")+1))</f>
        <v>12</v>
      </c>
      <c r="AY3">
        <f>IF('Calc base'!H$8&lt;=0,0,IF(COUNTIF(AY31:AY390,"&gt;0.004")&gt;=360,9999,COUNTIF(AY31:AY390,"&gt;0.004")+1))</f>
        <v>30</v>
      </c>
      <c r="AZ3">
        <f>IF('Calc base'!I$8&lt;=0,0,IF(COUNTIF(AZ31:AZ390,"&gt;0.004")&gt;=360,9999,COUNTIF(AZ31:AZ390,"&gt;0.004")+1))</f>
        <v>0</v>
      </c>
      <c r="BA3">
        <f>IF('Calc base'!J$8&lt;=0,0,IF(COUNTIF(BA31:BA390,"&gt;0.004")&gt;=360,9999,COUNTIF(BA31:BA390,"&gt;0.004")+1))</f>
        <v>0</v>
      </c>
      <c r="BB3">
        <f>IF('Calc base'!K$8&lt;=0,0,IF(COUNTIF(BB31:BB390,"&gt;0.004")&gt;=360,9999,COUNTIF(BB31:BB390,"&gt;0.004")+1))</f>
        <v>0</v>
      </c>
      <c r="BC3">
        <f>IF('Calc base'!L$8&lt;=0,0,IF(COUNTIF(BC31:BC390,"&gt;0.004")&gt;=360,9999,COUNTIF(BC31:BC390,"&gt;0.004")+1))</f>
        <v>0</v>
      </c>
      <c r="BD3">
        <f>IF('Calc base'!M$8&lt;=0,0,IF(COUNTIF(BD31:BD390,"&gt;0.004")&gt;=360,9999,COUNTIF(BD31:BD390,"&gt;0.004")+1))</f>
        <v>0</v>
      </c>
      <c r="BE3">
        <f>IF('Calc base'!N$8&lt;=0,0,IF(COUNTIF(BE31:BE390,"&gt;0.004")&gt;=360,9999,COUNTIF(BE31:BE390,"&gt;0.004")+1))</f>
        <v>0</v>
      </c>
    </row>
    <row r="4">
      <c r="A4" t="inlineStr">
        <is>
          <t>Pagato in tutto</t>
        </is>
      </c>
      <c r="B4">
        <f>SUM(I31:I390)</f>
        <v>25959.01</v>
      </c>
      <c r="AT4">
        <f>SUMPRODUCT(ROUND(AT30:AT389*(1+'Calc base'!H31:H390),2)-AT30:AT389)</f>
        <v>1976.61</v>
      </c>
      <c r="AU4">
        <f>SUMPRODUCT(ROUND(AU30:AU389*(1+'Calc base'!I31:I390),2)-AU30:AU389)</f>
        <v>274.31</v>
      </c>
      <c r="AV4">
        <f>SUMPRODUCT(ROUND(AV30:AV389*(1+'Calc base'!J31:J390),2)-AV30:AV389)</f>
        <v>1046.37</v>
      </c>
      <c r="AW4">
        <f>SUMPRODUCT(ROUND(AW30:AW389*(1+'Calc base'!K31:K390),2)-AW30:AW389)</f>
        <v>1071.72</v>
      </c>
      <c r="AX4">
        <f>SUMPRODUCT(ROUND(AX30:AX389*(1+'Calc base'!L31:L390),2)-AX30:AX389)</f>
        <v>0</v>
      </c>
      <c r="AY4">
        <f>SUMPRODUCT(ROUND(AY30:AY389*(1+'Calc base'!M31:M390),2)-AY30:AY389)</f>
        <v>0</v>
      </c>
      <c r="AZ4">
        <f>SUMPRODUCT(ROUND(AZ30:AZ389*(1+'Calc base'!N31:N390),2)-AZ30:AZ389)</f>
        <v>0</v>
      </c>
      <c r="BA4">
        <f>SUMPRODUCT(ROUND(BA30:BA389*(1+'Calc base'!O31:O390),2)-BA30:BA389)</f>
        <v>0</v>
      </c>
      <c r="BB4">
        <f>SUMPRODUCT(ROUND(BB30:BB389*(1+'Calc base'!P31:P390),2)-BB30:BB389)</f>
        <v>0</v>
      </c>
      <c r="BC4">
        <f>SUMPRODUCT(ROUND(BC30:BC389*(1+'Calc base'!Q31:Q390),2)-BC30:BC389)</f>
        <v>0</v>
      </c>
      <c r="BD4">
        <f>SUMPRODUCT(ROUND(BD30:BD389*(1+'Calc base'!R31:R390),2)-BD30:BD389)</f>
        <v>0</v>
      </c>
      <c r="BE4">
        <f>SUMPRODUCT(ROUND(BE30:BE389*(1+'Calc base'!S31:S390),2)-BE30:BE389)</f>
        <v>0</v>
      </c>
    </row>
    <row r="5">
      <c r="A5" t="inlineStr">
        <is>
          <t>Debito dopo 30 anni</t>
        </is>
      </c>
      <c r="B5">
        <f>G390</f>
        <v>0</v>
      </c>
      <c r="AT5">
        <f>'Calc base'!C$8+AT4-AT390</f>
        <v>4376.61</v>
      </c>
      <c r="AU5">
        <f>'Calc base'!D$8+AU4-AU390</f>
        <v>1124.31</v>
      </c>
      <c r="AV5">
        <f>'Calc base'!E$8+AV4-AV390</f>
        <v>7846.37</v>
      </c>
      <c r="AW5">
        <f>'Calc base'!F$8+AW4-AW390</f>
        <v>10571.72</v>
      </c>
      <c r="AX5">
        <f>'Calc base'!G$8+AX4-AX390</f>
        <v>540</v>
      </c>
      <c r="AY5">
        <f>'Calc base'!H$8+AY4-AY390</f>
        <v>1500</v>
      </c>
      <c r="AZ5">
        <f>'Calc base'!I$8+AZ4-AZ390</f>
        <v>0</v>
      </c>
      <c r="BA5">
        <f>'Calc base'!J$8+BA4-BA390</f>
        <v>0</v>
      </c>
      <c r="BB5">
        <f>'Calc base'!K$8+BB4-BB390</f>
        <v>0</v>
      </c>
      <c r="BC5">
        <f>'Calc base'!L$8+BC4-BC390</f>
        <v>0</v>
      </c>
      <c r="BD5">
        <f>'Calc base'!M$8+BD4-BD390</f>
        <v>0</v>
      </c>
      <c r="BE5">
        <f>'Calc base'!N$8+BE4-BE390</f>
        <v>0</v>
      </c>
    </row>
    <row r="6">
      <c r="A6" t="inlineStr">
        <is>
          <t>Fine</t>
        </is>
      </c>
      <c r="B6">
        <f>IF(B2=0,"",IF(B2=9999,"oltre 30 anni",DATE('Calc base'!$B$2,'Calc base'!$B$3+B2-1,1)))</f>
        <v>49614.0</v>
      </c>
    </row>
    <row r="7">
      <c r="A7" t="inlineStr">
        <is>
          <t>Debito iniziale</t>
        </is>
      </c>
      <c r="B7">
        <f>G30</f>
        <v>21590</v>
      </c>
    </row>
    <row r="29">
      <c r="B29" t="inlineStr">
        <is>
          <t>ΣA</t>
        </is>
      </c>
      <c r="C29" t="inlineStr">
        <is>
          <t>Σ rate minime</t>
        </is>
      </c>
      <c r="D29" t="inlineStr">
        <is>
          <t>Σ resto</t>
        </is>
      </c>
      <c r="E29" t="inlineStr">
        <is>
          <t>Extra disponibile</t>
        </is>
      </c>
      <c r="F29" t="inlineStr">
        <is>
          <t>Σ extra</t>
        </is>
      </c>
      <c r="G29" t="inlineStr">
        <is>
          <t>Debito totale</t>
        </is>
      </c>
      <c r="H29" t="inlineStr">
        <is>
          <t>Interessi</t>
        </is>
      </c>
      <c r="I29" t="inlineStr">
        <is>
          <t>Pagato</t>
        </is>
      </c>
    </row>
    <row r="30">
      <c r="G30">
        <f>SUM(AT30:BE30)</f>
        <v>21590</v>
      </c>
      <c r="AT30">
        <f>'Calc base'!C$8</f>
        <v>2400</v>
      </c>
      <c r="AU30">
        <f>'Calc base'!D$8</f>
        <v>850</v>
      </c>
      <c r="AV30">
        <f>'Calc base'!E$8</f>
        <v>6800</v>
      </c>
      <c r="AW30">
        <f>'Calc base'!F$8</f>
        <v>9500</v>
      </c>
      <c r="AX30">
        <f>'Calc base'!G$8</f>
        <v>540</v>
      </c>
      <c r="AY30">
        <f>'Calc base'!H$8</f>
        <v>1500</v>
      </c>
      <c r="AZ30">
        <f>'Calc base'!I$8</f>
        <v>0</v>
      </c>
      <c r="BA30">
        <f>'Calc base'!J$8</f>
        <v>0</v>
      </c>
      <c r="BB30">
        <f>'Calc base'!K$8</f>
        <v>0</v>
      </c>
      <c r="BC30">
        <f>'Calc base'!L$8</f>
        <v>0</v>
      </c>
      <c r="BD30">
        <f>'Calc base'!M$8</f>
        <v>0</v>
      </c>
      <c r="BE30">
        <f>'Calc base'!N$8</f>
        <v>0</v>
      </c>
    </row>
    <row r="31">
      <c r="A31" t="n">
        <v>1</v>
      </c>
      <c r="B31">
        <f>SUMPRODUCT(ROUND($AT30:$BE30*(1+'Calc base'!$H31:$S31),2))</f>
        <v>21730.6</v>
      </c>
      <c r="C31">
        <f>SUM(J31:U31)</f>
        <v>676</v>
      </c>
      <c r="G31">
        <f>SUM(AT31:BE31)</f>
        <v>21054.6</v>
      </c>
      <c r="H31">
        <f>B31-G30</f>
        <v>140.599999999999</v>
      </c>
      <c r="I31">
        <f>B31-G31</f>
        <v>676</v>
      </c>
      <c r="J31">
        <f>IF(AT30&lt;=0,0,IF(ROUND(AT30*(1+'Calc base'!H31),2)-MAX('Calc base'!C$12,ROUND('Calc base'!C$13*AT30,2))&lt;1,ROUND(AT30*(1+'Calc base'!H31),2),MAX('Calc base'!C$12,ROUND('Calc base'!C$13*AT30,2))))</f>
        <v>72</v>
      </c>
      <c r="K31">
        <f>IF(AU30&lt;=0,0,IF(ROUND(AU30*(1+'Calc base'!I31),2)-MAX('Calc base'!D$12,ROUND('Calc base'!D$13*AU30,2))&lt;1,ROUND(AU30*(1+'Calc base'!I31),2),MAX('Calc base'!D$12,ROUND('Calc base'!D$13*AU30,2))))</f>
        <v>34</v>
      </c>
      <c r="L31">
        <f>IF(AV30&lt;=0,0,IF(ROUND(AV30*(1+'Calc base'!J31),2)-MAX('Calc base'!E$12,ROUND('Calc base'!E$13*AV30,2))&lt;1,ROUND(AV30*(1+'Calc base'!J31),2),MAX('Calc base'!E$12,ROUND('Calc base'!E$13*AV30,2))))</f>
        <v>210</v>
      </c>
      <c r="M31">
        <f>IF(AW30&lt;=0,0,IF(ROUND(AW30*(1+'Calc base'!K31),2)-MAX('Calc base'!F$12,ROUND('Calc base'!F$13*AW30,2))&lt;1,ROUND(AW30*(1+'Calc base'!K31),2),MAX('Calc base'!F$12,ROUND('Calc base'!F$13*AW30,2))))</f>
        <v>265</v>
      </c>
      <c r="N31">
        <f>IF(AX30&lt;=0,0,IF(ROUND(AX30*(1+'Calc base'!L31),2)-MAX('Calc base'!G$12,ROUND('Calc base'!G$13*AX30,2))&lt;1,ROUND(AX30*(1+'Calc base'!L31),2),MAX('Calc base'!G$12,ROUND('Calc base'!G$13*AX30,2))))</f>
        <v>45</v>
      </c>
      <c r="O31">
        <f>IF(AY30&lt;=0,0,IF(ROUND(AY30*(1+'Calc base'!M31),2)-MAX('Calc base'!H$12,ROUND('Calc base'!H$13*AY30,2))&lt;1,ROUND(AY30*(1+'Calc base'!M31),2),MAX('Calc base'!H$12,ROUND('Calc base'!H$13*AY30,2))))</f>
        <v>50</v>
      </c>
      <c r="P31">
        <f>IF(AZ30&lt;=0,0,IF(ROUND(AZ30*(1+'Calc base'!N31),2)-MAX('Calc base'!I$12,ROUND('Calc base'!I$13*AZ30,2))&lt;1,ROUND(AZ30*(1+'Calc base'!N31),2),MAX('Calc base'!I$12,ROUND('Calc base'!I$13*AZ30,2))))</f>
        <v>0</v>
      </c>
      <c r="Q31">
        <f>IF(BA30&lt;=0,0,IF(ROUND(BA30*(1+'Calc base'!O31),2)-MAX('Calc base'!J$12,ROUND('Calc base'!J$13*BA30,2))&lt;1,ROUND(BA30*(1+'Calc base'!O31),2),MAX('Calc base'!J$12,ROUND('Calc base'!J$13*BA30,2))))</f>
        <v>0</v>
      </c>
      <c r="R31">
        <f>IF(BB30&lt;=0,0,IF(ROUND(BB30*(1+'Calc base'!P31),2)-MAX('Calc base'!K$12,ROUND('Calc base'!K$13*BB30,2))&lt;1,ROUND(BB30*(1+'Calc base'!P31),2),MAX('Calc base'!K$12,ROUND('Calc base'!K$13*BB30,2))))</f>
        <v>0</v>
      </c>
      <c r="S31">
        <f>IF(BC30&lt;=0,0,IF(ROUND(BC30*(1+'Calc base'!Q31),2)-MAX('Calc base'!L$12,ROUND('Calc base'!L$13*BC30,2))&lt;1,ROUND(BC30*(1+'Calc base'!Q31),2),MAX('Calc base'!L$12,ROUND('Calc base'!L$13*BC30,2))))</f>
        <v>0</v>
      </c>
      <c r="T31">
        <f>IF(BD30&lt;=0,0,IF(ROUND(BD30*(1+'Calc base'!R31),2)-MAX('Calc base'!M$12,ROUND('Calc base'!M$13*BD30,2))&lt;1,ROUND(BD30*(1+'Calc base'!R31),2),MAX('Calc base'!M$12,ROUND('Calc base'!M$13*BD30,2))))</f>
        <v>0</v>
      </c>
      <c r="U31">
        <f>IF(BE30&lt;=0,0,IF(ROUND(BE30*(1+'Calc base'!S31),2)-MAX('Calc base'!N$12,ROUND('Calc base'!N$13*BE30,2))&lt;1,ROUND(BE30*(1+'Calc base'!S31),2),MAX('Calc base'!N$12,ROUND('Calc base'!N$13*BE30,2))))</f>
        <v>0</v>
      </c>
      <c r="AT31">
        <f>MAX(0,ROUND(AT30*(1+'Calc base'!H31),2)-J31)</f>
        <v>2365.8</v>
      </c>
      <c r="AU31">
        <f>MAX(0,ROUND(AU30*(1+'Calc base'!I31),2)-K31)</f>
        <v>816</v>
      </c>
      <c r="AV31">
        <f>MAX(0,ROUND(AV30*(1+'Calc base'!J31),2)-L31)</f>
        <v>6642.13</v>
      </c>
      <c r="AW31">
        <f>MAX(0,ROUND(AW30*(1+'Calc base'!K31),2)-M31)</f>
        <v>9285.67</v>
      </c>
      <c r="AX31">
        <f>MAX(0,ROUND(AX30*(1+'Calc base'!L31),2)-N31)</f>
        <v>495</v>
      </c>
      <c r="AY31">
        <f>MAX(0,ROUND(AY30*(1+'Calc base'!M31),2)-O31)</f>
        <v>1450</v>
      </c>
      <c r="AZ31">
        <f>MAX(0,ROUND(AZ30*(1+'Calc base'!N31),2)-P31)</f>
        <v>0</v>
      </c>
      <c r="BA31">
        <f>MAX(0,ROUND(BA30*(1+'Calc base'!O31),2)-Q31)</f>
        <v>0</v>
      </c>
      <c r="BB31">
        <f>MAX(0,ROUND(BB30*(1+'Calc base'!P31),2)-R31)</f>
        <v>0</v>
      </c>
      <c r="BC31">
        <f>MAX(0,ROUND(BC30*(1+'Calc base'!Q31),2)-S31)</f>
        <v>0</v>
      </c>
      <c r="BD31">
        <f>MAX(0,ROUND(BD30*(1+'Calc base'!R31),2)-T31)</f>
        <v>0</v>
      </c>
      <c r="BE31">
        <f>MAX(0,ROUND(BE30*(1+'Calc base'!S31),2)-U31)</f>
        <v>0</v>
      </c>
    </row>
    <row r="32">
      <c r="A32" t="n">
        <v>2</v>
      </c>
      <c r="B32">
        <f>SUMPRODUCT(ROUND($AT31:$BE31*(1+'Calc base'!$H32:$S32),2))</f>
        <v>21192.3</v>
      </c>
      <c r="C32">
        <f>SUM(J32:U32)</f>
        <v>673.61</v>
      </c>
      <c r="G32">
        <f>SUM(AT32:BE32)</f>
        <v>20518.69</v>
      </c>
      <c r="H32">
        <f>B32-G31</f>
        <v>137.700000000001</v>
      </c>
      <c r="I32">
        <f>B32-G32</f>
        <v>673.609999999997</v>
      </c>
      <c r="J32">
        <f>IF(AT31&lt;=0,0,IF(ROUND(AT31*(1+'Calc base'!H32),2)-MAX('Calc base'!C$12,ROUND('Calc base'!C$13*AT31,2))&lt;1,ROUND(AT31*(1+'Calc base'!H32),2),MAX('Calc base'!C$12,ROUND('Calc base'!C$13*AT31,2))))</f>
        <v>70.97</v>
      </c>
      <c r="K32">
        <f>IF(AU31&lt;=0,0,IF(ROUND(AU31*(1+'Calc base'!I32),2)-MAX('Calc base'!D$12,ROUND('Calc base'!D$13*AU31,2))&lt;1,ROUND(AU31*(1+'Calc base'!I32),2),MAX('Calc base'!D$12,ROUND('Calc base'!D$13*AU31,2))))</f>
        <v>32.64</v>
      </c>
      <c r="L32">
        <f>IF(AV31&lt;=0,0,IF(ROUND(AV31*(1+'Calc base'!J32),2)-MAX('Calc base'!E$12,ROUND('Calc base'!E$13*AV31,2))&lt;1,ROUND(AV31*(1+'Calc base'!J32),2),MAX('Calc base'!E$12,ROUND('Calc base'!E$13*AV31,2))))</f>
        <v>210</v>
      </c>
      <c r="M32">
        <f>IF(AW31&lt;=0,0,IF(ROUND(AW31*(1+'Calc base'!K32),2)-MAX('Calc base'!F$12,ROUND('Calc base'!F$13*AW31,2))&lt;1,ROUND(AW31*(1+'Calc base'!K32),2),MAX('Calc base'!F$12,ROUND('Calc base'!F$13*AW31,2))))</f>
        <v>265</v>
      </c>
      <c r="N32">
        <f>IF(AX31&lt;=0,0,IF(ROUND(AX31*(1+'Calc base'!L32),2)-MAX('Calc base'!G$12,ROUND('Calc base'!G$13*AX31,2))&lt;1,ROUND(AX31*(1+'Calc base'!L32),2),MAX('Calc base'!G$12,ROUND('Calc base'!G$13*AX31,2))))</f>
        <v>45</v>
      </c>
      <c r="O32">
        <f>IF(AY31&lt;=0,0,IF(ROUND(AY31*(1+'Calc base'!M32),2)-MAX('Calc base'!H$12,ROUND('Calc base'!H$13*AY31,2))&lt;1,ROUND(AY31*(1+'Calc base'!M32),2),MAX('Calc base'!H$12,ROUND('Calc base'!H$13*AY31,2))))</f>
        <v>50</v>
      </c>
      <c r="P32">
        <f>IF(AZ31&lt;=0,0,IF(ROUND(AZ31*(1+'Calc base'!N32),2)-MAX('Calc base'!I$12,ROUND('Calc base'!I$13*AZ31,2))&lt;1,ROUND(AZ31*(1+'Calc base'!N32),2),MAX('Calc base'!I$12,ROUND('Calc base'!I$13*AZ31,2))))</f>
        <v>0</v>
      </c>
      <c r="Q32">
        <f>IF(BA31&lt;=0,0,IF(ROUND(BA31*(1+'Calc base'!O32),2)-MAX('Calc base'!J$12,ROUND('Calc base'!J$13*BA31,2))&lt;1,ROUND(BA31*(1+'Calc base'!O32),2),MAX('Calc base'!J$12,ROUND('Calc base'!J$13*BA31,2))))</f>
        <v>0</v>
      </c>
      <c r="R32">
        <f>IF(BB31&lt;=0,0,IF(ROUND(BB31*(1+'Calc base'!P32),2)-MAX('Calc base'!K$12,ROUND('Calc base'!K$13*BB31,2))&lt;1,ROUND(BB31*(1+'Calc base'!P32),2),MAX('Calc base'!K$12,ROUND('Calc base'!K$13*BB31,2))))</f>
        <v>0</v>
      </c>
      <c r="S32">
        <f>IF(BC31&lt;=0,0,IF(ROUND(BC31*(1+'Calc base'!Q32),2)-MAX('Calc base'!L$12,ROUND('Calc base'!L$13*BC31,2))&lt;1,ROUND(BC31*(1+'Calc base'!Q32),2),MAX('Calc base'!L$12,ROUND('Calc base'!L$13*BC31,2))))</f>
        <v>0</v>
      </c>
      <c r="T32">
        <f>IF(BD31&lt;=0,0,IF(ROUND(BD31*(1+'Calc base'!R32),2)-MAX('Calc base'!M$12,ROUND('Calc base'!M$13*BD31,2))&lt;1,ROUND(BD31*(1+'Calc base'!R32),2),MAX('Calc base'!M$12,ROUND('Calc base'!M$13*BD31,2))))</f>
        <v>0</v>
      </c>
      <c r="U32">
        <f>IF(BE31&lt;=0,0,IF(ROUND(BE31*(1+'Calc base'!S32),2)-MAX('Calc base'!N$12,ROUND('Calc base'!N$13*BE31,2))&lt;1,ROUND(BE31*(1+'Calc base'!S32),2),MAX('Calc base'!N$12,ROUND('Calc base'!N$13*BE31,2))))</f>
        <v>0</v>
      </c>
      <c r="AT32">
        <f>MAX(0,ROUND(AT31*(1+'Calc base'!H32),2)-J32)</f>
        <v>2332.09</v>
      </c>
      <c r="AU32">
        <f>MAX(0,ROUND(AU31*(1+'Calc base'!I32),2)-K32)</f>
        <v>783.36</v>
      </c>
      <c r="AV32">
        <f>MAX(0,ROUND(AV31*(1+'Calc base'!J32),2)-L32)</f>
        <v>6483.05</v>
      </c>
      <c r="AW32">
        <f>MAX(0,ROUND(AW31*(1+'Calc base'!K32),2)-M32)</f>
        <v>9070.19</v>
      </c>
      <c r="AX32">
        <f>MAX(0,ROUND(AX31*(1+'Calc base'!L32),2)-N32)</f>
        <v>450</v>
      </c>
      <c r="AY32">
        <f>MAX(0,ROUND(AY31*(1+'Calc base'!M32),2)-O32)</f>
        <v>1400</v>
      </c>
      <c r="AZ32">
        <f>MAX(0,ROUND(AZ31*(1+'Calc base'!N32),2)-P32)</f>
        <v>0</v>
      </c>
      <c r="BA32">
        <f>MAX(0,ROUND(BA31*(1+'Calc base'!O32),2)-Q32)</f>
        <v>0</v>
      </c>
      <c r="BB32">
        <f>MAX(0,ROUND(BB31*(1+'Calc base'!P32),2)-R32)</f>
        <v>0</v>
      </c>
      <c r="BC32">
        <f>MAX(0,ROUND(BC31*(1+'Calc base'!Q32),2)-S32)</f>
        <v>0</v>
      </c>
      <c r="BD32">
        <f>MAX(0,ROUND(BD31*(1+'Calc base'!R32),2)-T32)</f>
        <v>0</v>
      </c>
      <c r="BE32">
        <f>MAX(0,ROUND(BE31*(1+'Calc base'!S32),2)-U32)</f>
        <v>0</v>
      </c>
    </row>
    <row r="33">
      <c r="A33" t="n">
        <v>3</v>
      </c>
      <c r="B33">
        <f>SUMPRODUCT(ROUND($AT32:$BE32*(1+'Calc base'!$H33:$S33),2))</f>
        <v>20653.49</v>
      </c>
      <c r="C33">
        <f>SUM(J33:U33)</f>
        <v>671.29</v>
      </c>
      <c r="G33">
        <f>SUM(AT33:BE33)</f>
        <v>19982.2</v>
      </c>
      <c r="H33">
        <f>B33-G32</f>
        <v>134.799999999996</v>
      </c>
      <c r="I33">
        <f>B33-G33</f>
        <v>671.289999999997</v>
      </c>
      <c r="J33">
        <f>IF(AT32&lt;=0,0,IF(ROUND(AT32*(1+'Calc base'!H33),2)-MAX('Calc base'!C$12,ROUND('Calc base'!C$13*AT32,2))&lt;1,ROUND(AT32*(1+'Calc base'!H33),2),MAX('Calc base'!C$12,ROUND('Calc base'!C$13*AT32,2))))</f>
        <v>69.96</v>
      </c>
      <c r="K33">
        <f>IF(AU32&lt;=0,0,IF(ROUND(AU32*(1+'Calc base'!I33),2)-MAX('Calc base'!D$12,ROUND('Calc base'!D$13*AU32,2))&lt;1,ROUND(AU32*(1+'Calc base'!I33),2),MAX('Calc base'!D$12,ROUND('Calc base'!D$13*AU32,2))))</f>
        <v>31.33</v>
      </c>
      <c r="L33">
        <f>IF(AV32&lt;=0,0,IF(ROUND(AV32*(1+'Calc base'!J33),2)-MAX('Calc base'!E$12,ROUND('Calc base'!E$13*AV32,2))&lt;1,ROUND(AV32*(1+'Calc base'!J33),2),MAX('Calc base'!E$12,ROUND('Calc base'!E$13*AV32,2))))</f>
        <v>210</v>
      </c>
      <c r="M33">
        <f>IF(AW32&lt;=0,0,IF(ROUND(AW32*(1+'Calc base'!K33),2)-MAX('Calc base'!F$12,ROUND('Calc base'!F$13*AW32,2))&lt;1,ROUND(AW32*(1+'Calc base'!K33),2),MAX('Calc base'!F$12,ROUND('Calc base'!F$13*AW32,2))))</f>
        <v>265</v>
      </c>
      <c r="N33">
        <f>IF(AX32&lt;=0,0,IF(ROUND(AX32*(1+'Calc base'!L33),2)-MAX('Calc base'!G$12,ROUND('Calc base'!G$13*AX32,2))&lt;1,ROUND(AX32*(1+'Calc base'!L33),2),MAX('Calc base'!G$12,ROUND('Calc base'!G$13*AX32,2))))</f>
        <v>45</v>
      </c>
      <c r="O33">
        <f>IF(AY32&lt;=0,0,IF(ROUND(AY32*(1+'Calc base'!M33),2)-MAX('Calc base'!H$12,ROUND('Calc base'!H$13*AY32,2))&lt;1,ROUND(AY32*(1+'Calc base'!M33),2),MAX('Calc base'!H$12,ROUND('Calc base'!H$13*AY32,2))))</f>
        <v>50</v>
      </c>
      <c r="P33">
        <f>IF(AZ32&lt;=0,0,IF(ROUND(AZ32*(1+'Calc base'!N33),2)-MAX('Calc base'!I$12,ROUND('Calc base'!I$13*AZ32,2))&lt;1,ROUND(AZ32*(1+'Calc base'!N33),2),MAX('Calc base'!I$12,ROUND('Calc base'!I$13*AZ32,2))))</f>
        <v>0</v>
      </c>
      <c r="Q33">
        <f>IF(BA32&lt;=0,0,IF(ROUND(BA32*(1+'Calc base'!O33),2)-MAX('Calc base'!J$12,ROUND('Calc base'!J$13*BA32,2))&lt;1,ROUND(BA32*(1+'Calc base'!O33),2),MAX('Calc base'!J$12,ROUND('Calc base'!J$13*BA32,2))))</f>
        <v>0</v>
      </c>
      <c r="R33">
        <f>IF(BB32&lt;=0,0,IF(ROUND(BB32*(1+'Calc base'!P33),2)-MAX('Calc base'!K$12,ROUND('Calc base'!K$13*BB32,2))&lt;1,ROUND(BB32*(1+'Calc base'!P33),2),MAX('Calc base'!K$12,ROUND('Calc base'!K$13*BB32,2))))</f>
        <v>0</v>
      </c>
      <c r="S33">
        <f>IF(BC32&lt;=0,0,IF(ROUND(BC32*(1+'Calc base'!Q33),2)-MAX('Calc base'!L$12,ROUND('Calc base'!L$13*BC32,2))&lt;1,ROUND(BC32*(1+'Calc base'!Q33),2),MAX('Calc base'!L$12,ROUND('Calc base'!L$13*BC32,2))))</f>
        <v>0</v>
      </c>
      <c r="T33">
        <f>IF(BD32&lt;=0,0,IF(ROUND(BD32*(1+'Calc base'!R33),2)-MAX('Calc base'!M$12,ROUND('Calc base'!M$13*BD32,2))&lt;1,ROUND(BD32*(1+'Calc base'!R33),2),MAX('Calc base'!M$12,ROUND('Calc base'!M$13*BD32,2))))</f>
        <v>0</v>
      </c>
      <c r="U33">
        <f>IF(BE32&lt;=0,0,IF(ROUND(BE32*(1+'Calc base'!S33),2)-MAX('Calc base'!N$12,ROUND('Calc base'!N$13*BE32,2))&lt;1,ROUND(BE32*(1+'Calc base'!S33),2),MAX('Calc base'!N$12,ROUND('Calc base'!N$13*BE32,2))))</f>
        <v>0</v>
      </c>
      <c r="AT33">
        <f>MAX(0,ROUND(AT32*(1+'Calc base'!H33),2)-J33)</f>
        <v>2298.86</v>
      </c>
      <c r="AU33">
        <f>MAX(0,ROUND(AU32*(1+'Calc base'!I33),2)-K33)</f>
        <v>752.03</v>
      </c>
      <c r="AV33">
        <f>MAX(0,ROUND(AV32*(1+'Calc base'!J33),2)-L33)</f>
        <v>6322.75</v>
      </c>
      <c r="AW33">
        <f>MAX(0,ROUND(AW32*(1+'Calc base'!K33),2)-M33)</f>
        <v>8853.56</v>
      </c>
      <c r="AX33">
        <f>MAX(0,ROUND(AX32*(1+'Calc base'!L33),2)-N33)</f>
        <v>405</v>
      </c>
      <c r="AY33">
        <f>MAX(0,ROUND(AY32*(1+'Calc base'!M33),2)-O33)</f>
        <v>1350</v>
      </c>
      <c r="AZ33">
        <f>MAX(0,ROUND(AZ32*(1+'Calc base'!N33),2)-P33)</f>
        <v>0</v>
      </c>
      <c r="BA33">
        <f>MAX(0,ROUND(BA32*(1+'Calc base'!O33),2)-Q33)</f>
        <v>0</v>
      </c>
      <c r="BB33">
        <f>MAX(0,ROUND(BB32*(1+'Calc base'!P33),2)-R33)</f>
        <v>0</v>
      </c>
      <c r="BC33">
        <f>MAX(0,ROUND(BC32*(1+'Calc base'!Q33),2)-S33)</f>
        <v>0</v>
      </c>
      <c r="BD33">
        <f>MAX(0,ROUND(BD32*(1+'Calc base'!R33),2)-T33)</f>
        <v>0</v>
      </c>
      <c r="BE33">
        <f>MAX(0,ROUND(BE32*(1+'Calc base'!S33),2)-U33)</f>
        <v>0</v>
      </c>
    </row>
    <row r="34">
      <c r="A34" t="n">
        <v>4</v>
      </c>
      <c r="B34">
        <f>SUMPRODUCT(ROUND($AT33:$BE33*(1+'Calc base'!$H34:$S34),2))</f>
        <v>20114.1</v>
      </c>
      <c r="C34">
        <f>SUM(J34:U34)</f>
        <v>669.05</v>
      </c>
      <c r="G34">
        <f>SUM(AT34:BE34)</f>
        <v>19445.05</v>
      </c>
      <c r="H34">
        <f>B34-G33</f>
        <v>131.900000000001</v>
      </c>
      <c r="I34">
        <f>B34-G34</f>
        <v>669.049999999999</v>
      </c>
      <c r="J34">
        <f>IF(AT33&lt;=0,0,IF(ROUND(AT33*(1+'Calc base'!H34),2)-MAX('Calc base'!C$12,ROUND('Calc base'!C$13*AT33,2))&lt;1,ROUND(AT33*(1+'Calc base'!H34),2),MAX('Calc base'!C$12,ROUND('Calc base'!C$13*AT33,2))))</f>
        <v>68.97</v>
      </c>
      <c r="K34">
        <f>IF(AU33&lt;=0,0,IF(ROUND(AU33*(1+'Calc base'!I34),2)-MAX('Calc base'!D$12,ROUND('Calc base'!D$13*AU33,2))&lt;1,ROUND(AU33*(1+'Calc base'!I34),2),MAX('Calc base'!D$12,ROUND('Calc base'!D$13*AU33,2))))</f>
        <v>30.08</v>
      </c>
      <c r="L34">
        <f>IF(AV33&lt;=0,0,IF(ROUND(AV33*(1+'Calc base'!J34),2)-MAX('Calc base'!E$12,ROUND('Calc base'!E$13*AV33,2))&lt;1,ROUND(AV33*(1+'Calc base'!J34),2),MAX('Calc base'!E$12,ROUND('Calc base'!E$13*AV33,2))))</f>
        <v>210</v>
      </c>
      <c r="M34">
        <f>IF(AW33&lt;=0,0,IF(ROUND(AW33*(1+'Calc base'!K34),2)-MAX('Calc base'!F$12,ROUND('Calc base'!F$13*AW33,2))&lt;1,ROUND(AW33*(1+'Calc base'!K34),2),MAX('Calc base'!F$12,ROUND('Calc base'!F$13*AW33,2))))</f>
        <v>265</v>
      </c>
      <c r="N34">
        <f>IF(AX33&lt;=0,0,IF(ROUND(AX33*(1+'Calc base'!L34),2)-MAX('Calc base'!G$12,ROUND('Calc base'!G$13*AX33,2))&lt;1,ROUND(AX33*(1+'Calc base'!L34),2),MAX('Calc base'!G$12,ROUND('Calc base'!G$13*AX33,2))))</f>
        <v>45</v>
      </c>
      <c r="O34">
        <f>IF(AY33&lt;=0,0,IF(ROUND(AY33*(1+'Calc base'!M34),2)-MAX('Calc base'!H$12,ROUND('Calc base'!H$13*AY33,2))&lt;1,ROUND(AY33*(1+'Calc base'!M34),2),MAX('Calc base'!H$12,ROUND('Calc base'!H$13*AY33,2))))</f>
        <v>50</v>
      </c>
      <c r="P34">
        <f>IF(AZ33&lt;=0,0,IF(ROUND(AZ33*(1+'Calc base'!N34),2)-MAX('Calc base'!I$12,ROUND('Calc base'!I$13*AZ33,2))&lt;1,ROUND(AZ33*(1+'Calc base'!N34),2),MAX('Calc base'!I$12,ROUND('Calc base'!I$13*AZ33,2))))</f>
        <v>0</v>
      </c>
      <c r="Q34">
        <f>IF(BA33&lt;=0,0,IF(ROUND(BA33*(1+'Calc base'!O34),2)-MAX('Calc base'!J$12,ROUND('Calc base'!J$13*BA33,2))&lt;1,ROUND(BA33*(1+'Calc base'!O34),2),MAX('Calc base'!J$12,ROUND('Calc base'!J$13*BA33,2))))</f>
        <v>0</v>
      </c>
      <c r="R34">
        <f>IF(BB33&lt;=0,0,IF(ROUND(BB33*(1+'Calc base'!P34),2)-MAX('Calc base'!K$12,ROUND('Calc base'!K$13*BB33,2))&lt;1,ROUND(BB33*(1+'Calc base'!P34),2),MAX('Calc base'!K$12,ROUND('Calc base'!K$13*BB33,2))))</f>
        <v>0</v>
      </c>
      <c r="S34">
        <f>IF(BC33&lt;=0,0,IF(ROUND(BC33*(1+'Calc base'!Q34),2)-MAX('Calc base'!L$12,ROUND('Calc base'!L$13*BC33,2))&lt;1,ROUND(BC33*(1+'Calc base'!Q34),2),MAX('Calc base'!L$12,ROUND('Calc base'!L$13*BC33,2))))</f>
        <v>0</v>
      </c>
      <c r="T34">
        <f>IF(BD33&lt;=0,0,IF(ROUND(BD33*(1+'Calc base'!R34),2)-MAX('Calc base'!M$12,ROUND('Calc base'!M$13*BD33,2))&lt;1,ROUND(BD33*(1+'Calc base'!R34),2),MAX('Calc base'!M$12,ROUND('Calc base'!M$13*BD33,2))))</f>
        <v>0</v>
      </c>
      <c r="U34">
        <f>IF(BE33&lt;=0,0,IF(ROUND(BE33*(1+'Calc base'!S34),2)-MAX('Calc base'!N$12,ROUND('Calc base'!N$13*BE33,2))&lt;1,ROUND(BE33*(1+'Calc base'!S34),2),MAX('Calc base'!N$12,ROUND('Calc base'!N$13*BE33,2))))</f>
        <v>0</v>
      </c>
      <c r="AT34">
        <f>MAX(0,ROUND(AT33*(1+'Calc base'!H34),2)-J34)</f>
        <v>2266.1</v>
      </c>
      <c r="AU34">
        <f>MAX(0,ROUND(AU33*(1+'Calc base'!I34),2)-K34)</f>
        <v>721.95</v>
      </c>
      <c r="AV34">
        <f>MAX(0,ROUND(AV33*(1+'Calc base'!J34),2)-L34)</f>
        <v>6161.22</v>
      </c>
      <c r="AW34">
        <f>MAX(0,ROUND(AW33*(1+'Calc base'!K34),2)-M34)</f>
        <v>8635.78</v>
      </c>
      <c r="AX34">
        <f>MAX(0,ROUND(AX33*(1+'Calc base'!L34),2)-N34)</f>
        <v>360</v>
      </c>
      <c r="AY34">
        <f>MAX(0,ROUND(AY33*(1+'Calc base'!M34),2)-O34)</f>
        <v>1300</v>
      </c>
      <c r="AZ34">
        <f>MAX(0,ROUND(AZ33*(1+'Calc base'!N34),2)-P34)</f>
        <v>0</v>
      </c>
      <c r="BA34">
        <f>MAX(0,ROUND(BA33*(1+'Calc base'!O34),2)-Q34)</f>
        <v>0</v>
      </c>
      <c r="BB34">
        <f>MAX(0,ROUND(BB33*(1+'Calc base'!P34),2)-R34)</f>
        <v>0</v>
      </c>
      <c r="BC34">
        <f>MAX(0,ROUND(BC33*(1+'Calc base'!Q34),2)-S34)</f>
        <v>0</v>
      </c>
      <c r="BD34">
        <f>MAX(0,ROUND(BD33*(1+'Calc base'!R34),2)-T34)</f>
        <v>0</v>
      </c>
      <c r="BE34">
        <f>MAX(0,ROUND(BE33*(1+'Calc base'!S34),2)-U34)</f>
        <v>0</v>
      </c>
    </row>
    <row r="35">
      <c r="A35" t="n">
        <v>5</v>
      </c>
      <c r="B35">
        <f>SUMPRODUCT(ROUND($AT34:$BE34*(1+'Calc base'!$H35:$S35),2))</f>
        <v>19574.04</v>
      </c>
      <c r="C35">
        <f>SUM(J35:U35)</f>
        <v>666.86</v>
      </c>
      <c r="G35">
        <f>SUM(AT35:BE35)</f>
        <v>18907.18</v>
      </c>
      <c r="H35">
        <f>B35-G34</f>
        <v>128.989999999998</v>
      </c>
      <c r="I35">
        <f>B35-G35</f>
        <v>666.860000000001</v>
      </c>
      <c r="J35">
        <f>IF(AT34&lt;=0,0,IF(ROUND(AT34*(1+'Calc base'!H35),2)-MAX('Calc base'!C$12,ROUND('Calc base'!C$13*AT34,2))&lt;1,ROUND(AT34*(1+'Calc base'!H35),2),MAX('Calc base'!C$12,ROUND('Calc base'!C$13*AT34,2))))</f>
        <v>67.98</v>
      </c>
      <c r="K35">
        <f>IF(AU34&lt;=0,0,IF(ROUND(AU34*(1+'Calc base'!I35),2)-MAX('Calc base'!D$12,ROUND('Calc base'!D$13*AU34,2))&lt;1,ROUND(AU34*(1+'Calc base'!I35),2),MAX('Calc base'!D$12,ROUND('Calc base'!D$13*AU34,2))))</f>
        <v>28.88</v>
      </c>
      <c r="L35">
        <f>IF(AV34&lt;=0,0,IF(ROUND(AV34*(1+'Calc base'!J35),2)-MAX('Calc base'!E$12,ROUND('Calc base'!E$13*AV34,2))&lt;1,ROUND(AV34*(1+'Calc base'!J35),2),MAX('Calc base'!E$12,ROUND('Calc base'!E$13*AV34,2))))</f>
        <v>210</v>
      </c>
      <c r="M35">
        <f>IF(AW34&lt;=0,0,IF(ROUND(AW34*(1+'Calc base'!K35),2)-MAX('Calc base'!F$12,ROUND('Calc base'!F$13*AW34,2))&lt;1,ROUND(AW34*(1+'Calc base'!K35),2),MAX('Calc base'!F$12,ROUND('Calc base'!F$13*AW34,2))))</f>
        <v>265</v>
      </c>
      <c r="N35">
        <f>IF(AX34&lt;=0,0,IF(ROUND(AX34*(1+'Calc base'!L35),2)-MAX('Calc base'!G$12,ROUND('Calc base'!G$13*AX34,2))&lt;1,ROUND(AX34*(1+'Calc base'!L35),2),MAX('Calc base'!G$12,ROUND('Calc base'!G$13*AX34,2))))</f>
        <v>45</v>
      </c>
      <c r="O35">
        <f>IF(AY34&lt;=0,0,IF(ROUND(AY34*(1+'Calc base'!M35),2)-MAX('Calc base'!H$12,ROUND('Calc base'!H$13*AY34,2))&lt;1,ROUND(AY34*(1+'Calc base'!M35),2),MAX('Calc base'!H$12,ROUND('Calc base'!H$13*AY34,2))))</f>
        <v>50</v>
      </c>
      <c r="P35">
        <f>IF(AZ34&lt;=0,0,IF(ROUND(AZ34*(1+'Calc base'!N35),2)-MAX('Calc base'!I$12,ROUND('Calc base'!I$13*AZ34,2))&lt;1,ROUND(AZ34*(1+'Calc base'!N35),2),MAX('Calc base'!I$12,ROUND('Calc base'!I$13*AZ34,2))))</f>
        <v>0</v>
      </c>
      <c r="Q35">
        <f>IF(BA34&lt;=0,0,IF(ROUND(BA34*(1+'Calc base'!O35),2)-MAX('Calc base'!J$12,ROUND('Calc base'!J$13*BA34,2))&lt;1,ROUND(BA34*(1+'Calc base'!O35),2),MAX('Calc base'!J$12,ROUND('Calc base'!J$13*BA34,2))))</f>
        <v>0</v>
      </c>
      <c r="R35">
        <f>IF(BB34&lt;=0,0,IF(ROUND(BB34*(1+'Calc base'!P35),2)-MAX('Calc base'!K$12,ROUND('Calc base'!K$13*BB34,2))&lt;1,ROUND(BB34*(1+'Calc base'!P35),2),MAX('Calc base'!K$12,ROUND('Calc base'!K$13*BB34,2))))</f>
        <v>0</v>
      </c>
      <c r="S35">
        <f>IF(BC34&lt;=0,0,IF(ROUND(BC34*(1+'Calc base'!Q35),2)-MAX('Calc base'!L$12,ROUND('Calc base'!L$13*BC34,2))&lt;1,ROUND(BC34*(1+'Calc base'!Q35),2),MAX('Calc base'!L$12,ROUND('Calc base'!L$13*BC34,2))))</f>
        <v>0</v>
      </c>
      <c r="T35">
        <f>IF(BD34&lt;=0,0,IF(ROUND(BD34*(1+'Calc base'!R35),2)-MAX('Calc base'!M$12,ROUND('Calc base'!M$13*BD34,2))&lt;1,ROUND(BD34*(1+'Calc base'!R35),2),MAX('Calc base'!M$12,ROUND('Calc base'!M$13*BD34,2))))</f>
        <v>0</v>
      </c>
      <c r="U35">
        <f>IF(BE34&lt;=0,0,IF(ROUND(BE34*(1+'Calc base'!S35),2)-MAX('Calc base'!N$12,ROUND('Calc base'!N$13*BE34,2))&lt;1,ROUND(BE34*(1+'Calc base'!S35),2),MAX('Calc base'!N$12,ROUND('Calc base'!N$13*BE34,2))))</f>
        <v>0</v>
      </c>
      <c r="AT35">
        <f>MAX(0,ROUND(AT34*(1+'Calc base'!H35),2)-J35)</f>
        <v>2233.81</v>
      </c>
      <c r="AU35">
        <f>MAX(0,ROUND(AU34*(1+'Calc base'!I35),2)-K35)</f>
        <v>693.07</v>
      </c>
      <c r="AV35">
        <f>MAX(0,ROUND(AV34*(1+'Calc base'!J35),2)-L35)</f>
        <v>5998.46</v>
      </c>
      <c r="AW35">
        <f>MAX(0,ROUND(AW34*(1+'Calc base'!K35),2)-M35)</f>
        <v>8416.84</v>
      </c>
      <c r="AX35">
        <f>MAX(0,ROUND(AX34*(1+'Calc base'!L35),2)-N35)</f>
        <v>315</v>
      </c>
      <c r="AY35">
        <f>MAX(0,ROUND(AY34*(1+'Calc base'!M35),2)-O35)</f>
        <v>1250</v>
      </c>
      <c r="AZ35">
        <f>MAX(0,ROUND(AZ34*(1+'Calc base'!N35),2)-P35)</f>
        <v>0</v>
      </c>
      <c r="BA35">
        <f>MAX(0,ROUND(BA34*(1+'Calc base'!O35),2)-Q35)</f>
        <v>0</v>
      </c>
      <c r="BB35">
        <f>MAX(0,ROUND(BB34*(1+'Calc base'!P35),2)-R35)</f>
        <v>0</v>
      </c>
      <c r="BC35">
        <f>MAX(0,ROUND(BC34*(1+'Calc base'!Q35),2)-S35)</f>
        <v>0</v>
      </c>
      <c r="BD35">
        <f>MAX(0,ROUND(BD34*(1+'Calc base'!R35),2)-T35)</f>
        <v>0</v>
      </c>
      <c r="BE35">
        <f>MAX(0,ROUND(BE34*(1+'Calc base'!S35),2)-U35)</f>
        <v>0</v>
      </c>
    </row>
    <row r="36">
      <c r="A36" t="n">
        <v>6</v>
      </c>
      <c r="B36">
        <f>SUMPRODUCT(ROUND($AT35:$BE35*(1+'Calc base'!$H36:$S36),2))</f>
        <v>19045.89</v>
      </c>
      <c r="C36">
        <f>SUM(J36:U36)</f>
        <v>664.73</v>
      </c>
      <c r="G36">
        <f>SUM(AT36:BE36)</f>
        <v>18381.16</v>
      </c>
      <c r="H36">
        <f>B36-G35</f>
        <v>138.709999999999</v>
      </c>
      <c r="I36">
        <f>B36-G36</f>
        <v>664.73</v>
      </c>
      <c r="J36">
        <f>IF(AT35&lt;=0,0,IF(ROUND(AT35*(1+'Calc base'!H36),2)-MAX('Calc base'!C$12,ROUND('Calc base'!C$13*AT35,2))&lt;1,ROUND(AT35*(1+'Calc base'!H36),2),MAX('Calc base'!C$12,ROUND('Calc base'!C$13*AT35,2))))</f>
        <v>67.01</v>
      </c>
      <c r="K36">
        <f>IF(AU35&lt;=0,0,IF(ROUND(AU35*(1+'Calc base'!I36),2)-MAX('Calc base'!D$12,ROUND('Calc base'!D$13*AU35,2))&lt;1,ROUND(AU35*(1+'Calc base'!I36),2),MAX('Calc base'!D$12,ROUND('Calc base'!D$13*AU35,2))))</f>
        <v>27.72</v>
      </c>
      <c r="L36">
        <f>IF(AV35&lt;=0,0,IF(ROUND(AV35*(1+'Calc base'!J36),2)-MAX('Calc base'!E$12,ROUND('Calc base'!E$13*AV35,2))&lt;1,ROUND(AV35*(1+'Calc base'!J36),2),MAX('Calc base'!E$12,ROUND('Calc base'!E$13*AV35,2))))</f>
        <v>210</v>
      </c>
      <c r="M36">
        <f>IF(AW35&lt;=0,0,IF(ROUND(AW35*(1+'Calc base'!K36),2)-MAX('Calc base'!F$12,ROUND('Calc base'!F$13*AW35,2))&lt;1,ROUND(AW35*(1+'Calc base'!K36),2),MAX('Calc base'!F$12,ROUND('Calc base'!F$13*AW35,2))))</f>
        <v>265</v>
      </c>
      <c r="N36">
        <f>IF(AX35&lt;=0,0,IF(ROUND(AX35*(1+'Calc base'!L36),2)-MAX('Calc base'!G$12,ROUND('Calc base'!G$13*AX35,2))&lt;1,ROUND(AX35*(1+'Calc base'!L36),2),MAX('Calc base'!G$12,ROUND('Calc base'!G$13*AX35,2))))</f>
        <v>45</v>
      </c>
      <c r="O36">
        <f>IF(AY35&lt;=0,0,IF(ROUND(AY35*(1+'Calc base'!M36),2)-MAX('Calc base'!H$12,ROUND('Calc base'!H$13*AY35,2))&lt;1,ROUND(AY35*(1+'Calc base'!M36),2),MAX('Calc base'!H$12,ROUND('Calc base'!H$13*AY35,2))))</f>
        <v>50</v>
      </c>
      <c r="P36">
        <f>IF(AZ35&lt;=0,0,IF(ROUND(AZ35*(1+'Calc base'!N36),2)-MAX('Calc base'!I$12,ROUND('Calc base'!I$13*AZ35,2))&lt;1,ROUND(AZ35*(1+'Calc base'!N36),2),MAX('Calc base'!I$12,ROUND('Calc base'!I$13*AZ35,2))))</f>
        <v>0</v>
      </c>
      <c r="Q36">
        <f>IF(BA35&lt;=0,0,IF(ROUND(BA35*(1+'Calc base'!O36),2)-MAX('Calc base'!J$12,ROUND('Calc base'!J$13*BA35,2))&lt;1,ROUND(BA35*(1+'Calc base'!O36),2),MAX('Calc base'!J$12,ROUND('Calc base'!J$13*BA35,2))))</f>
        <v>0</v>
      </c>
      <c r="R36">
        <f>IF(BB35&lt;=0,0,IF(ROUND(BB35*(1+'Calc base'!P36),2)-MAX('Calc base'!K$12,ROUND('Calc base'!K$13*BB35,2))&lt;1,ROUND(BB35*(1+'Calc base'!P36),2),MAX('Calc base'!K$12,ROUND('Calc base'!K$13*BB35,2))))</f>
        <v>0</v>
      </c>
      <c r="S36">
        <f>IF(BC35&lt;=0,0,IF(ROUND(BC35*(1+'Calc base'!Q36),2)-MAX('Calc base'!L$12,ROUND('Calc base'!L$13*BC35,2))&lt;1,ROUND(BC35*(1+'Calc base'!Q36),2),MAX('Calc base'!L$12,ROUND('Calc base'!L$13*BC35,2))))</f>
        <v>0</v>
      </c>
      <c r="T36">
        <f>IF(BD35&lt;=0,0,IF(ROUND(BD35*(1+'Calc base'!R36),2)-MAX('Calc base'!M$12,ROUND('Calc base'!M$13*BD35,2))&lt;1,ROUND(BD35*(1+'Calc base'!R36),2),MAX('Calc base'!M$12,ROUND('Calc base'!M$13*BD35,2))))</f>
        <v>0</v>
      </c>
      <c r="U36">
        <f>IF(BE35&lt;=0,0,IF(ROUND(BE35*(1+'Calc base'!S36),2)-MAX('Calc base'!N$12,ROUND('Calc base'!N$13*BE35,2))&lt;1,ROUND(BE35*(1+'Calc base'!S36),2),MAX('Calc base'!N$12,ROUND('Calc base'!N$13*BE35,2))))</f>
        <v>0</v>
      </c>
      <c r="AT36">
        <f>MAX(0,ROUND(AT35*(1+'Calc base'!H36),2)-J36)</f>
        <v>2201.98</v>
      </c>
      <c r="AU36">
        <f>MAX(0,ROUND(AU35*(1+'Calc base'!I36),2)-K36)</f>
        <v>678</v>
      </c>
      <c r="AV36">
        <f>MAX(0,ROUND(AV35*(1+'Calc base'!J36),2)-L36)</f>
        <v>5834.45</v>
      </c>
      <c r="AW36">
        <f>MAX(0,ROUND(AW35*(1+'Calc base'!K36),2)-M36)</f>
        <v>8196.73</v>
      </c>
      <c r="AX36">
        <f>MAX(0,ROUND(AX35*(1+'Calc base'!L36),2)-N36)</f>
        <v>270</v>
      </c>
      <c r="AY36">
        <f>MAX(0,ROUND(AY35*(1+'Calc base'!M36),2)-O36)</f>
        <v>1200</v>
      </c>
      <c r="AZ36">
        <f>MAX(0,ROUND(AZ35*(1+'Calc base'!N36),2)-P36)</f>
        <v>0</v>
      </c>
      <c r="BA36">
        <f>MAX(0,ROUND(BA35*(1+'Calc base'!O36),2)-Q36)</f>
        <v>0</v>
      </c>
      <c r="BB36">
        <f>MAX(0,ROUND(BB35*(1+'Calc base'!P36),2)-R36)</f>
        <v>0</v>
      </c>
      <c r="BC36">
        <f>MAX(0,ROUND(BC35*(1+'Calc base'!Q36),2)-S36)</f>
        <v>0</v>
      </c>
      <c r="BD36">
        <f>MAX(0,ROUND(BD35*(1+'Calc base'!R36),2)-T36)</f>
        <v>0</v>
      </c>
      <c r="BE36">
        <f>MAX(0,ROUND(BE35*(1+'Calc base'!S36),2)-U36)</f>
        <v>0</v>
      </c>
    </row>
    <row r="37">
      <c r="A37" t="n">
        <v>7</v>
      </c>
      <c r="B37">
        <f>SUMPRODUCT(ROUND($AT36:$BE36*(1+'Calc base'!$H37:$S37),2))</f>
        <v>18516.66</v>
      </c>
      <c r="C37">
        <f>SUM(J37:U37)</f>
        <v>663.18</v>
      </c>
      <c r="G37">
        <f>SUM(AT37:BE37)</f>
        <v>17853.48</v>
      </c>
      <c r="H37">
        <f>B37-G36</f>
        <v>135.5</v>
      </c>
      <c r="I37">
        <f>B37-G37</f>
        <v>663.18</v>
      </c>
      <c r="J37">
        <f>IF(AT36&lt;=0,0,IF(ROUND(AT36*(1+'Calc base'!H37),2)-MAX('Calc base'!C$12,ROUND('Calc base'!C$13*AT36,2))&lt;1,ROUND(AT36*(1+'Calc base'!H37),2),MAX('Calc base'!C$12,ROUND('Calc base'!C$13*AT36,2))))</f>
        <v>66.06</v>
      </c>
      <c r="K37">
        <f>IF(AU36&lt;=0,0,IF(ROUND(AU36*(1+'Calc base'!I37),2)-MAX('Calc base'!D$12,ROUND('Calc base'!D$13*AU36,2))&lt;1,ROUND(AU36*(1+'Calc base'!I37),2),MAX('Calc base'!D$12,ROUND('Calc base'!D$13*AU36,2))))</f>
        <v>27.12</v>
      </c>
      <c r="L37">
        <f>IF(AV36&lt;=0,0,IF(ROUND(AV36*(1+'Calc base'!J37),2)-MAX('Calc base'!E$12,ROUND('Calc base'!E$13*AV36,2))&lt;1,ROUND(AV36*(1+'Calc base'!J37),2),MAX('Calc base'!E$12,ROUND('Calc base'!E$13*AV36,2))))</f>
        <v>210</v>
      </c>
      <c r="M37">
        <f>IF(AW36&lt;=0,0,IF(ROUND(AW36*(1+'Calc base'!K37),2)-MAX('Calc base'!F$12,ROUND('Calc base'!F$13*AW36,2))&lt;1,ROUND(AW36*(1+'Calc base'!K37),2),MAX('Calc base'!F$12,ROUND('Calc base'!F$13*AW36,2))))</f>
        <v>265</v>
      </c>
      <c r="N37">
        <f>IF(AX36&lt;=0,0,IF(ROUND(AX36*(1+'Calc base'!L37),2)-MAX('Calc base'!G$12,ROUND('Calc base'!G$13*AX36,2))&lt;1,ROUND(AX36*(1+'Calc base'!L37),2),MAX('Calc base'!G$12,ROUND('Calc base'!G$13*AX36,2))))</f>
        <v>45</v>
      </c>
      <c r="O37">
        <f>IF(AY36&lt;=0,0,IF(ROUND(AY36*(1+'Calc base'!M37),2)-MAX('Calc base'!H$12,ROUND('Calc base'!H$13*AY36,2))&lt;1,ROUND(AY36*(1+'Calc base'!M37),2),MAX('Calc base'!H$12,ROUND('Calc base'!H$13*AY36,2))))</f>
        <v>50</v>
      </c>
      <c r="P37">
        <f>IF(AZ36&lt;=0,0,IF(ROUND(AZ36*(1+'Calc base'!N37),2)-MAX('Calc base'!I$12,ROUND('Calc base'!I$13*AZ36,2))&lt;1,ROUND(AZ36*(1+'Calc base'!N37),2),MAX('Calc base'!I$12,ROUND('Calc base'!I$13*AZ36,2))))</f>
        <v>0</v>
      </c>
      <c r="Q37">
        <f>IF(BA36&lt;=0,0,IF(ROUND(BA36*(1+'Calc base'!O37),2)-MAX('Calc base'!J$12,ROUND('Calc base'!J$13*BA36,2))&lt;1,ROUND(BA36*(1+'Calc base'!O37),2),MAX('Calc base'!J$12,ROUND('Calc base'!J$13*BA36,2))))</f>
        <v>0</v>
      </c>
      <c r="R37">
        <f>IF(BB36&lt;=0,0,IF(ROUND(BB36*(1+'Calc base'!P37),2)-MAX('Calc base'!K$12,ROUND('Calc base'!K$13*BB36,2))&lt;1,ROUND(BB36*(1+'Calc base'!P37),2),MAX('Calc base'!K$12,ROUND('Calc base'!K$13*BB36,2))))</f>
        <v>0</v>
      </c>
      <c r="S37">
        <f>IF(BC36&lt;=0,0,IF(ROUND(BC36*(1+'Calc base'!Q37),2)-MAX('Calc base'!L$12,ROUND('Calc base'!L$13*BC36,2))&lt;1,ROUND(BC36*(1+'Calc base'!Q37),2),MAX('Calc base'!L$12,ROUND('Calc base'!L$13*BC36,2))))</f>
        <v>0</v>
      </c>
      <c r="T37">
        <f>IF(BD36&lt;=0,0,IF(ROUND(BD36*(1+'Calc base'!R37),2)-MAX('Calc base'!M$12,ROUND('Calc base'!M$13*BD36,2))&lt;1,ROUND(BD36*(1+'Calc base'!R37),2),MAX('Calc base'!M$12,ROUND('Calc base'!M$13*BD36,2))))</f>
        <v>0</v>
      </c>
      <c r="U37">
        <f>IF(BE36&lt;=0,0,IF(ROUND(BE36*(1+'Calc base'!S37),2)-MAX('Calc base'!N$12,ROUND('Calc base'!N$13*BE36,2))&lt;1,ROUND(BE36*(1+'Calc base'!S37),2),MAX('Calc base'!N$12,ROUND('Calc base'!N$13*BE36,2))))</f>
        <v>0</v>
      </c>
      <c r="AT37">
        <f>MAX(0,ROUND(AT36*(1+'Calc base'!H37),2)-J37)</f>
        <v>2170.6</v>
      </c>
      <c r="AU37">
        <f>MAX(0,ROUND(AU36*(1+'Calc base'!I37),2)-K37)</f>
        <v>663.25</v>
      </c>
      <c r="AV37">
        <f>MAX(0,ROUND(AV36*(1+'Calc base'!J37),2)-L37)</f>
        <v>5669.18</v>
      </c>
      <c r="AW37">
        <f>MAX(0,ROUND(AW36*(1+'Calc base'!K37),2)-M37)</f>
        <v>7975.45</v>
      </c>
      <c r="AX37">
        <f>MAX(0,ROUND(AX36*(1+'Calc base'!L37),2)-N37)</f>
        <v>225</v>
      </c>
      <c r="AY37">
        <f>MAX(0,ROUND(AY36*(1+'Calc base'!M37),2)-O37)</f>
        <v>1150</v>
      </c>
      <c r="AZ37">
        <f>MAX(0,ROUND(AZ36*(1+'Calc base'!N37),2)-P37)</f>
        <v>0</v>
      </c>
      <c r="BA37">
        <f>MAX(0,ROUND(BA36*(1+'Calc base'!O37),2)-Q37)</f>
        <v>0</v>
      </c>
      <c r="BB37">
        <f>MAX(0,ROUND(BB36*(1+'Calc base'!P37),2)-R37)</f>
        <v>0</v>
      </c>
      <c r="BC37">
        <f>MAX(0,ROUND(BC36*(1+'Calc base'!Q37),2)-S37)</f>
        <v>0</v>
      </c>
      <c r="BD37">
        <f>MAX(0,ROUND(BD36*(1+'Calc base'!R37),2)-T37)</f>
        <v>0</v>
      </c>
      <c r="BE37">
        <f>MAX(0,ROUND(BE36*(1+'Calc base'!S37),2)-U37)</f>
        <v>0</v>
      </c>
    </row>
    <row r="38">
      <c r="A38" t="n">
        <v>8</v>
      </c>
      <c r="B38">
        <f>SUMPRODUCT(ROUND($AT37:$BE37*(1+'Calc base'!$H38:$S38),2))</f>
        <v>17985.77</v>
      </c>
      <c r="C38">
        <f>SUM(J38:U38)</f>
        <v>661.65</v>
      </c>
      <c r="G38">
        <f>SUM(AT38:BE38)</f>
        <v>17324.12</v>
      </c>
      <c r="H38">
        <f>B38-G37</f>
        <v>132.290000000001</v>
      </c>
      <c r="I38">
        <f>B38-G38</f>
        <v>661.649999999998</v>
      </c>
      <c r="J38">
        <f>IF(AT37&lt;=0,0,IF(ROUND(AT37*(1+'Calc base'!H38),2)-MAX('Calc base'!C$12,ROUND('Calc base'!C$13*AT37,2))&lt;1,ROUND(AT37*(1+'Calc base'!H38),2),MAX('Calc base'!C$12,ROUND('Calc base'!C$13*AT37,2))))</f>
        <v>65.12</v>
      </c>
      <c r="K38">
        <f>IF(AU37&lt;=0,0,IF(ROUND(AU37*(1+'Calc base'!I38),2)-MAX('Calc base'!D$12,ROUND('Calc base'!D$13*AU37,2))&lt;1,ROUND(AU37*(1+'Calc base'!I38),2),MAX('Calc base'!D$12,ROUND('Calc base'!D$13*AU37,2))))</f>
        <v>26.53</v>
      </c>
      <c r="L38">
        <f>IF(AV37&lt;=0,0,IF(ROUND(AV37*(1+'Calc base'!J38),2)-MAX('Calc base'!E$12,ROUND('Calc base'!E$13*AV37,2))&lt;1,ROUND(AV37*(1+'Calc base'!J38),2),MAX('Calc base'!E$12,ROUND('Calc base'!E$13*AV37,2))))</f>
        <v>210</v>
      </c>
      <c r="M38">
        <f>IF(AW37&lt;=0,0,IF(ROUND(AW37*(1+'Calc base'!K38),2)-MAX('Calc base'!F$12,ROUND('Calc base'!F$13*AW37,2))&lt;1,ROUND(AW37*(1+'Calc base'!K38),2),MAX('Calc base'!F$12,ROUND('Calc base'!F$13*AW37,2))))</f>
        <v>265</v>
      </c>
      <c r="N38">
        <f>IF(AX37&lt;=0,0,IF(ROUND(AX37*(1+'Calc base'!L38),2)-MAX('Calc base'!G$12,ROUND('Calc base'!G$13*AX37,2))&lt;1,ROUND(AX37*(1+'Calc base'!L38),2),MAX('Calc base'!G$12,ROUND('Calc base'!G$13*AX37,2))))</f>
        <v>45</v>
      </c>
      <c r="O38">
        <f>IF(AY37&lt;=0,0,IF(ROUND(AY37*(1+'Calc base'!M38),2)-MAX('Calc base'!H$12,ROUND('Calc base'!H$13*AY37,2))&lt;1,ROUND(AY37*(1+'Calc base'!M38),2),MAX('Calc base'!H$12,ROUND('Calc base'!H$13*AY37,2))))</f>
        <v>50</v>
      </c>
      <c r="P38">
        <f>IF(AZ37&lt;=0,0,IF(ROUND(AZ37*(1+'Calc base'!N38),2)-MAX('Calc base'!I$12,ROUND('Calc base'!I$13*AZ37,2))&lt;1,ROUND(AZ37*(1+'Calc base'!N38),2),MAX('Calc base'!I$12,ROUND('Calc base'!I$13*AZ37,2))))</f>
        <v>0</v>
      </c>
      <c r="Q38">
        <f>IF(BA37&lt;=0,0,IF(ROUND(BA37*(1+'Calc base'!O38),2)-MAX('Calc base'!J$12,ROUND('Calc base'!J$13*BA37,2))&lt;1,ROUND(BA37*(1+'Calc base'!O38),2),MAX('Calc base'!J$12,ROUND('Calc base'!J$13*BA37,2))))</f>
        <v>0</v>
      </c>
      <c r="R38">
        <f>IF(BB37&lt;=0,0,IF(ROUND(BB37*(1+'Calc base'!P38),2)-MAX('Calc base'!K$12,ROUND('Calc base'!K$13*BB37,2))&lt;1,ROUND(BB37*(1+'Calc base'!P38),2),MAX('Calc base'!K$12,ROUND('Calc base'!K$13*BB37,2))))</f>
        <v>0</v>
      </c>
      <c r="S38">
        <f>IF(BC37&lt;=0,0,IF(ROUND(BC37*(1+'Calc base'!Q38),2)-MAX('Calc base'!L$12,ROUND('Calc base'!L$13*BC37,2))&lt;1,ROUND(BC37*(1+'Calc base'!Q38),2),MAX('Calc base'!L$12,ROUND('Calc base'!L$13*BC37,2))))</f>
        <v>0</v>
      </c>
      <c r="T38">
        <f>IF(BD37&lt;=0,0,IF(ROUND(BD37*(1+'Calc base'!R38),2)-MAX('Calc base'!M$12,ROUND('Calc base'!M$13*BD37,2))&lt;1,ROUND(BD37*(1+'Calc base'!R38),2),MAX('Calc base'!M$12,ROUND('Calc base'!M$13*BD37,2))))</f>
        <v>0</v>
      </c>
      <c r="U38">
        <f>IF(BE37&lt;=0,0,IF(ROUND(BE37*(1+'Calc base'!S38),2)-MAX('Calc base'!N$12,ROUND('Calc base'!N$13*BE37,2))&lt;1,ROUND(BE37*(1+'Calc base'!S38),2),MAX('Calc base'!N$12,ROUND('Calc base'!N$13*BE37,2))))</f>
        <v>0</v>
      </c>
      <c r="AT38">
        <f>MAX(0,ROUND(AT37*(1+'Calc base'!H38),2)-J38)</f>
        <v>2139.67</v>
      </c>
      <c r="AU38">
        <f>MAX(0,ROUND(AU37*(1+'Calc base'!I38),2)-K38)</f>
        <v>648.82</v>
      </c>
      <c r="AV38">
        <f>MAX(0,ROUND(AV37*(1+'Calc base'!J38),2)-L38)</f>
        <v>5502.64</v>
      </c>
      <c r="AW38">
        <f>MAX(0,ROUND(AW37*(1+'Calc base'!K38),2)-M38)</f>
        <v>7752.99</v>
      </c>
      <c r="AX38">
        <f>MAX(0,ROUND(AX37*(1+'Calc base'!L38),2)-N38)</f>
        <v>180</v>
      </c>
      <c r="AY38">
        <f>MAX(0,ROUND(AY37*(1+'Calc base'!M38),2)-O38)</f>
        <v>1100</v>
      </c>
      <c r="AZ38">
        <f>MAX(0,ROUND(AZ37*(1+'Calc base'!N38),2)-P38)</f>
        <v>0</v>
      </c>
      <c r="BA38">
        <f>MAX(0,ROUND(BA37*(1+'Calc base'!O38),2)-Q38)</f>
        <v>0</v>
      </c>
      <c r="BB38">
        <f>MAX(0,ROUND(BB37*(1+'Calc base'!P38),2)-R38)</f>
        <v>0</v>
      </c>
      <c r="BC38">
        <f>MAX(0,ROUND(BC37*(1+'Calc base'!Q38),2)-S38)</f>
        <v>0</v>
      </c>
      <c r="BD38">
        <f>MAX(0,ROUND(BD37*(1+'Calc base'!R38),2)-T38)</f>
        <v>0</v>
      </c>
      <c r="BE38">
        <f>MAX(0,ROUND(BE37*(1+'Calc base'!S38),2)-U38)</f>
        <v>0</v>
      </c>
    </row>
    <row r="39">
      <c r="A39" t="n">
        <v>9</v>
      </c>
      <c r="B39">
        <f>SUMPRODUCT(ROUND($AT38:$BE38*(1+'Calc base'!$H39:$S39),2))</f>
        <v>17453.2</v>
      </c>
      <c r="C39">
        <f>SUM(J39:U39)</f>
        <v>660.14</v>
      </c>
      <c r="G39">
        <f>SUM(AT39:BE39)</f>
        <v>16793.06</v>
      </c>
      <c r="H39">
        <f>B39-G38</f>
        <v>129.079999999998</v>
      </c>
      <c r="I39">
        <f>B39-G39</f>
        <v>660.140000000003</v>
      </c>
      <c r="J39">
        <f>IF(AT38&lt;=0,0,IF(ROUND(AT38*(1+'Calc base'!H39),2)-MAX('Calc base'!C$12,ROUND('Calc base'!C$13*AT38,2))&lt;1,ROUND(AT38*(1+'Calc base'!H39),2),MAX('Calc base'!C$12,ROUND('Calc base'!C$13*AT38,2))))</f>
        <v>64.19</v>
      </c>
      <c r="K39">
        <f>IF(AU38&lt;=0,0,IF(ROUND(AU38*(1+'Calc base'!I39),2)-MAX('Calc base'!D$12,ROUND('Calc base'!D$13*AU38,2))&lt;1,ROUND(AU38*(1+'Calc base'!I39),2),MAX('Calc base'!D$12,ROUND('Calc base'!D$13*AU38,2))))</f>
        <v>25.95</v>
      </c>
      <c r="L39">
        <f>IF(AV38&lt;=0,0,IF(ROUND(AV38*(1+'Calc base'!J39),2)-MAX('Calc base'!E$12,ROUND('Calc base'!E$13*AV38,2))&lt;1,ROUND(AV38*(1+'Calc base'!J39),2),MAX('Calc base'!E$12,ROUND('Calc base'!E$13*AV38,2))))</f>
        <v>210</v>
      </c>
      <c r="M39">
        <f>IF(AW38&lt;=0,0,IF(ROUND(AW38*(1+'Calc base'!K39),2)-MAX('Calc base'!F$12,ROUND('Calc base'!F$13*AW38,2))&lt;1,ROUND(AW38*(1+'Calc base'!K39),2),MAX('Calc base'!F$12,ROUND('Calc base'!F$13*AW38,2))))</f>
        <v>265</v>
      </c>
      <c r="N39">
        <f>IF(AX38&lt;=0,0,IF(ROUND(AX38*(1+'Calc base'!L39),2)-MAX('Calc base'!G$12,ROUND('Calc base'!G$13*AX38,2))&lt;1,ROUND(AX38*(1+'Calc base'!L39),2),MAX('Calc base'!G$12,ROUND('Calc base'!G$13*AX38,2))))</f>
        <v>45</v>
      </c>
      <c r="O39">
        <f>IF(AY38&lt;=0,0,IF(ROUND(AY38*(1+'Calc base'!M39),2)-MAX('Calc base'!H$12,ROUND('Calc base'!H$13*AY38,2))&lt;1,ROUND(AY38*(1+'Calc base'!M39),2),MAX('Calc base'!H$12,ROUND('Calc base'!H$13*AY38,2))))</f>
        <v>50</v>
      </c>
      <c r="P39">
        <f>IF(AZ38&lt;=0,0,IF(ROUND(AZ38*(1+'Calc base'!N39),2)-MAX('Calc base'!I$12,ROUND('Calc base'!I$13*AZ38,2))&lt;1,ROUND(AZ38*(1+'Calc base'!N39),2),MAX('Calc base'!I$12,ROUND('Calc base'!I$13*AZ38,2))))</f>
        <v>0</v>
      </c>
      <c r="Q39">
        <f>IF(BA38&lt;=0,0,IF(ROUND(BA38*(1+'Calc base'!O39),2)-MAX('Calc base'!J$12,ROUND('Calc base'!J$13*BA38,2))&lt;1,ROUND(BA38*(1+'Calc base'!O39),2),MAX('Calc base'!J$12,ROUND('Calc base'!J$13*BA38,2))))</f>
        <v>0</v>
      </c>
      <c r="R39">
        <f>IF(BB38&lt;=0,0,IF(ROUND(BB38*(1+'Calc base'!P39),2)-MAX('Calc base'!K$12,ROUND('Calc base'!K$13*BB38,2))&lt;1,ROUND(BB38*(1+'Calc base'!P39),2),MAX('Calc base'!K$12,ROUND('Calc base'!K$13*BB38,2))))</f>
        <v>0</v>
      </c>
      <c r="S39">
        <f>IF(BC38&lt;=0,0,IF(ROUND(BC38*(1+'Calc base'!Q39),2)-MAX('Calc base'!L$12,ROUND('Calc base'!L$13*BC38,2))&lt;1,ROUND(BC38*(1+'Calc base'!Q39),2),MAX('Calc base'!L$12,ROUND('Calc base'!L$13*BC38,2))))</f>
        <v>0</v>
      </c>
      <c r="T39">
        <f>IF(BD38&lt;=0,0,IF(ROUND(BD38*(1+'Calc base'!R39),2)-MAX('Calc base'!M$12,ROUND('Calc base'!M$13*BD38,2))&lt;1,ROUND(BD38*(1+'Calc base'!R39),2),MAX('Calc base'!M$12,ROUND('Calc base'!M$13*BD38,2))))</f>
        <v>0</v>
      </c>
      <c r="U39">
        <f>IF(BE38&lt;=0,0,IF(ROUND(BE38*(1+'Calc base'!S39),2)-MAX('Calc base'!N$12,ROUND('Calc base'!N$13*BE38,2))&lt;1,ROUND(BE38*(1+'Calc base'!S39),2),MAX('Calc base'!N$12,ROUND('Calc base'!N$13*BE38,2))))</f>
        <v>0</v>
      </c>
      <c r="AT39">
        <f>MAX(0,ROUND(AT38*(1+'Calc base'!H39),2)-J39)</f>
        <v>2109.18</v>
      </c>
      <c r="AU39">
        <f>MAX(0,ROUND(AU38*(1+'Calc base'!I39),2)-K39)</f>
        <v>634.71</v>
      </c>
      <c r="AV39">
        <f>MAX(0,ROUND(AV38*(1+'Calc base'!J39),2)-L39)</f>
        <v>5334.83</v>
      </c>
      <c r="AW39">
        <f>MAX(0,ROUND(AW38*(1+'Calc base'!K39),2)-M39)</f>
        <v>7529.34</v>
      </c>
      <c r="AX39">
        <f>MAX(0,ROUND(AX38*(1+'Calc base'!L39),2)-N39)</f>
        <v>135</v>
      </c>
      <c r="AY39">
        <f>MAX(0,ROUND(AY38*(1+'Calc base'!M39),2)-O39)</f>
        <v>1050</v>
      </c>
      <c r="AZ39">
        <f>MAX(0,ROUND(AZ38*(1+'Calc base'!N39),2)-P39)</f>
        <v>0</v>
      </c>
      <c r="BA39">
        <f>MAX(0,ROUND(BA38*(1+'Calc base'!O39),2)-Q39)</f>
        <v>0</v>
      </c>
      <c r="BB39">
        <f>MAX(0,ROUND(BB38*(1+'Calc base'!P39),2)-R39)</f>
        <v>0</v>
      </c>
      <c r="BC39">
        <f>MAX(0,ROUND(BC38*(1+'Calc base'!Q39),2)-S39)</f>
        <v>0</v>
      </c>
      <c r="BD39">
        <f>MAX(0,ROUND(BD38*(1+'Calc base'!R39),2)-T39)</f>
        <v>0</v>
      </c>
      <c r="BE39">
        <f>MAX(0,ROUND(BE38*(1+'Calc base'!S39),2)-U39)</f>
        <v>0</v>
      </c>
    </row>
    <row r="40">
      <c r="A40" t="n">
        <v>10</v>
      </c>
      <c r="B40">
        <f>SUMPRODUCT(ROUND($AT39:$BE39*(1+'Calc base'!$H40:$S40),2))</f>
        <v>16918.92</v>
      </c>
      <c r="C40">
        <f>SUM(J40:U40)</f>
        <v>658.67</v>
      </c>
      <c r="G40">
        <f>SUM(AT40:BE40)</f>
        <v>16260.25</v>
      </c>
      <c r="H40">
        <f>B40-G39</f>
        <v>125.860000000001</v>
      </c>
      <c r="I40">
        <f>B40-G40</f>
        <v>658.669999999998</v>
      </c>
      <c r="J40">
        <f>IF(AT39&lt;=0,0,IF(ROUND(AT39*(1+'Calc base'!H40),2)-MAX('Calc base'!C$12,ROUND('Calc base'!C$13*AT39,2))&lt;1,ROUND(AT39*(1+'Calc base'!H40),2),MAX('Calc base'!C$12,ROUND('Calc base'!C$13*AT39,2))))</f>
        <v>63.28</v>
      </c>
      <c r="K40">
        <f>IF(AU39&lt;=0,0,IF(ROUND(AU39*(1+'Calc base'!I40),2)-MAX('Calc base'!D$12,ROUND('Calc base'!D$13*AU39,2))&lt;1,ROUND(AU39*(1+'Calc base'!I40),2),MAX('Calc base'!D$12,ROUND('Calc base'!D$13*AU39,2))))</f>
        <v>25.39</v>
      </c>
      <c r="L40">
        <f>IF(AV39&lt;=0,0,IF(ROUND(AV39*(1+'Calc base'!J40),2)-MAX('Calc base'!E$12,ROUND('Calc base'!E$13*AV39,2))&lt;1,ROUND(AV39*(1+'Calc base'!J40),2),MAX('Calc base'!E$12,ROUND('Calc base'!E$13*AV39,2))))</f>
        <v>210</v>
      </c>
      <c r="M40">
        <f>IF(AW39&lt;=0,0,IF(ROUND(AW39*(1+'Calc base'!K40),2)-MAX('Calc base'!F$12,ROUND('Calc base'!F$13*AW39,2))&lt;1,ROUND(AW39*(1+'Calc base'!K40),2),MAX('Calc base'!F$12,ROUND('Calc base'!F$13*AW39,2))))</f>
        <v>265</v>
      </c>
      <c r="N40">
        <f>IF(AX39&lt;=0,0,IF(ROUND(AX39*(1+'Calc base'!L40),2)-MAX('Calc base'!G$12,ROUND('Calc base'!G$13*AX39,2))&lt;1,ROUND(AX39*(1+'Calc base'!L40),2),MAX('Calc base'!G$12,ROUND('Calc base'!G$13*AX39,2))))</f>
        <v>45</v>
      </c>
      <c r="O40">
        <f>IF(AY39&lt;=0,0,IF(ROUND(AY39*(1+'Calc base'!M40),2)-MAX('Calc base'!H$12,ROUND('Calc base'!H$13*AY39,2))&lt;1,ROUND(AY39*(1+'Calc base'!M40),2),MAX('Calc base'!H$12,ROUND('Calc base'!H$13*AY39,2))))</f>
        <v>50</v>
      </c>
      <c r="P40">
        <f>IF(AZ39&lt;=0,0,IF(ROUND(AZ39*(1+'Calc base'!N40),2)-MAX('Calc base'!I$12,ROUND('Calc base'!I$13*AZ39,2))&lt;1,ROUND(AZ39*(1+'Calc base'!N40),2),MAX('Calc base'!I$12,ROUND('Calc base'!I$13*AZ39,2))))</f>
        <v>0</v>
      </c>
      <c r="Q40">
        <f>IF(BA39&lt;=0,0,IF(ROUND(BA39*(1+'Calc base'!O40),2)-MAX('Calc base'!J$12,ROUND('Calc base'!J$13*BA39,2))&lt;1,ROUND(BA39*(1+'Calc base'!O40),2),MAX('Calc base'!J$12,ROUND('Calc base'!J$13*BA39,2))))</f>
        <v>0</v>
      </c>
      <c r="R40">
        <f>IF(BB39&lt;=0,0,IF(ROUND(BB39*(1+'Calc base'!P40),2)-MAX('Calc base'!K$12,ROUND('Calc base'!K$13*BB39,2))&lt;1,ROUND(BB39*(1+'Calc base'!P40),2),MAX('Calc base'!K$12,ROUND('Calc base'!K$13*BB39,2))))</f>
        <v>0</v>
      </c>
      <c r="S40">
        <f>IF(BC39&lt;=0,0,IF(ROUND(BC39*(1+'Calc base'!Q40),2)-MAX('Calc base'!L$12,ROUND('Calc base'!L$13*BC39,2))&lt;1,ROUND(BC39*(1+'Calc base'!Q40),2),MAX('Calc base'!L$12,ROUND('Calc base'!L$13*BC39,2))))</f>
        <v>0</v>
      </c>
      <c r="T40">
        <f>IF(BD39&lt;=0,0,IF(ROUND(BD39*(1+'Calc base'!R40),2)-MAX('Calc base'!M$12,ROUND('Calc base'!M$13*BD39,2))&lt;1,ROUND(BD39*(1+'Calc base'!R40),2),MAX('Calc base'!M$12,ROUND('Calc base'!M$13*BD39,2))))</f>
        <v>0</v>
      </c>
      <c r="U40">
        <f>IF(BE39&lt;=0,0,IF(ROUND(BE39*(1+'Calc base'!S40),2)-MAX('Calc base'!N$12,ROUND('Calc base'!N$13*BE39,2))&lt;1,ROUND(BE39*(1+'Calc base'!S40),2),MAX('Calc base'!N$12,ROUND('Calc base'!N$13*BE39,2))))</f>
        <v>0</v>
      </c>
      <c r="AT40">
        <f>MAX(0,ROUND(AT39*(1+'Calc base'!H40),2)-J40)</f>
        <v>2079.12</v>
      </c>
      <c r="AU40">
        <f>MAX(0,ROUND(AU39*(1+'Calc base'!I40),2)-K40)</f>
        <v>620.9</v>
      </c>
      <c r="AV40">
        <f>MAX(0,ROUND(AV39*(1+'Calc base'!J40),2)-L40)</f>
        <v>5165.73</v>
      </c>
      <c r="AW40">
        <f>MAX(0,ROUND(AW39*(1+'Calc base'!K40),2)-M40)</f>
        <v>7304.5</v>
      </c>
      <c r="AX40">
        <f>MAX(0,ROUND(AX39*(1+'Calc base'!L40),2)-N40)</f>
        <v>90</v>
      </c>
      <c r="AY40">
        <f>MAX(0,ROUND(AY39*(1+'Calc base'!M40),2)-O40)</f>
        <v>1000</v>
      </c>
      <c r="AZ40">
        <f>MAX(0,ROUND(AZ39*(1+'Calc base'!N40),2)-P40)</f>
        <v>0</v>
      </c>
      <c r="BA40">
        <f>MAX(0,ROUND(BA39*(1+'Calc base'!O40),2)-Q40)</f>
        <v>0</v>
      </c>
      <c r="BB40">
        <f>MAX(0,ROUND(BB39*(1+'Calc base'!P40),2)-R40)</f>
        <v>0</v>
      </c>
      <c r="BC40">
        <f>MAX(0,ROUND(BC39*(1+'Calc base'!Q40),2)-S40)</f>
        <v>0</v>
      </c>
      <c r="BD40">
        <f>MAX(0,ROUND(BD39*(1+'Calc base'!R40),2)-T40)</f>
        <v>0</v>
      </c>
      <c r="BE40">
        <f>MAX(0,ROUND(BE39*(1+'Calc base'!S40),2)-U40)</f>
        <v>0</v>
      </c>
    </row>
    <row r="41">
      <c r="A41" t="n">
        <v>11</v>
      </c>
      <c r="B41">
        <f>SUMPRODUCT(ROUND($AT40:$BE40*(1+'Calc base'!$H41:$S41),2))</f>
        <v>16382.89</v>
      </c>
      <c r="C41">
        <f>SUM(J41:U41)</f>
        <v>657.37</v>
      </c>
      <c r="G41">
        <f>SUM(AT41:BE41)</f>
        <v>15725.52</v>
      </c>
      <c r="H41">
        <f>B41-G40</f>
        <v>122.639999999999</v>
      </c>
      <c r="I41">
        <f>B41-G41</f>
        <v>657.369999999999</v>
      </c>
      <c r="J41">
        <f>IF(AT40&lt;=0,0,IF(ROUND(AT40*(1+'Calc base'!H41),2)-MAX('Calc base'!C$12,ROUND('Calc base'!C$13*AT40,2))&lt;1,ROUND(AT40*(1+'Calc base'!H41),2),MAX('Calc base'!C$12,ROUND('Calc base'!C$13*AT40,2))))</f>
        <v>62.37</v>
      </c>
      <c r="K41">
        <f>IF(AU40&lt;=0,0,IF(ROUND(AU40*(1+'Calc base'!I41),2)-MAX('Calc base'!D$12,ROUND('Calc base'!D$13*AU40,2))&lt;1,ROUND(AU40*(1+'Calc base'!I41),2),MAX('Calc base'!D$12,ROUND('Calc base'!D$13*AU40,2))))</f>
        <v>25</v>
      </c>
      <c r="L41">
        <f>IF(AV40&lt;=0,0,IF(ROUND(AV40*(1+'Calc base'!J41),2)-MAX('Calc base'!E$12,ROUND('Calc base'!E$13*AV40,2))&lt;1,ROUND(AV40*(1+'Calc base'!J41),2),MAX('Calc base'!E$12,ROUND('Calc base'!E$13*AV40,2))))</f>
        <v>210</v>
      </c>
      <c r="M41">
        <f>IF(AW40&lt;=0,0,IF(ROUND(AW40*(1+'Calc base'!K41),2)-MAX('Calc base'!F$12,ROUND('Calc base'!F$13*AW40,2))&lt;1,ROUND(AW40*(1+'Calc base'!K41),2),MAX('Calc base'!F$12,ROUND('Calc base'!F$13*AW40,2))))</f>
        <v>265</v>
      </c>
      <c r="N41">
        <f>IF(AX40&lt;=0,0,IF(ROUND(AX40*(1+'Calc base'!L41),2)-MAX('Calc base'!G$12,ROUND('Calc base'!G$13*AX40,2))&lt;1,ROUND(AX40*(1+'Calc base'!L41),2),MAX('Calc base'!G$12,ROUND('Calc base'!G$13*AX40,2))))</f>
        <v>45</v>
      </c>
      <c r="O41">
        <f>IF(AY40&lt;=0,0,IF(ROUND(AY40*(1+'Calc base'!M41),2)-MAX('Calc base'!H$12,ROUND('Calc base'!H$13*AY40,2))&lt;1,ROUND(AY40*(1+'Calc base'!M41),2),MAX('Calc base'!H$12,ROUND('Calc base'!H$13*AY40,2))))</f>
        <v>50</v>
      </c>
      <c r="P41">
        <f>IF(AZ40&lt;=0,0,IF(ROUND(AZ40*(1+'Calc base'!N41),2)-MAX('Calc base'!I$12,ROUND('Calc base'!I$13*AZ40,2))&lt;1,ROUND(AZ40*(1+'Calc base'!N41),2),MAX('Calc base'!I$12,ROUND('Calc base'!I$13*AZ40,2))))</f>
        <v>0</v>
      </c>
      <c r="Q41">
        <f>IF(BA40&lt;=0,0,IF(ROUND(BA40*(1+'Calc base'!O41),2)-MAX('Calc base'!J$12,ROUND('Calc base'!J$13*BA40,2))&lt;1,ROUND(BA40*(1+'Calc base'!O41),2),MAX('Calc base'!J$12,ROUND('Calc base'!J$13*BA40,2))))</f>
        <v>0</v>
      </c>
      <c r="R41">
        <f>IF(BB40&lt;=0,0,IF(ROUND(BB40*(1+'Calc base'!P41),2)-MAX('Calc base'!K$12,ROUND('Calc base'!K$13*BB40,2))&lt;1,ROUND(BB40*(1+'Calc base'!P41),2),MAX('Calc base'!K$12,ROUND('Calc base'!K$13*BB40,2))))</f>
        <v>0</v>
      </c>
      <c r="S41">
        <f>IF(BC40&lt;=0,0,IF(ROUND(BC40*(1+'Calc base'!Q41),2)-MAX('Calc base'!L$12,ROUND('Calc base'!L$13*BC40,2))&lt;1,ROUND(BC40*(1+'Calc base'!Q41),2),MAX('Calc base'!L$12,ROUND('Calc base'!L$13*BC40,2))))</f>
        <v>0</v>
      </c>
      <c r="T41">
        <f>IF(BD40&lt;=0,0,IF(ROUND(BD40*(1+'Calc base'!R41),2)-MAX('Calc base'!M$12,ROUND('Calc base'!M$13*BD40,2))&lt;1,ROUND(BD40*(1+'Calc base'!R41),2),MAX('Calc base'!M$12,ROUND('Calc base'!M$13*BD40,2))))</f>
        <v>0</v>
      </c>
      <c r="U41">
        <f>IF(BE40&lt;=0,0,IF(ROUND(BE40*(1+'Calc base'!S41),2)-MAX('Calc base'!N$12,ROUND('Calc base'!N$13*BE40,2))&lt;1,ROUND(BE40*(1+'Calc base'!S41),2),MAX('Calc base'!N$12,ROUND('Calc base'!N$13*BE40,2))))</f>
        <v>0</v>
      </c>
      <c r="AT41">
        <f>MAX(0,ROUND(AT40*(1+'Calc base'!H41),2)-J41)</f>
        <v>2049.5</v>
      </c>
      <c r="AU41">
        <f>MAX(0,ROUND(AU40*(1+'Calc base'!I41),2)-K41)</f>
        <v>607.23</v>
      </c>
      <c r="AV41">
        <f>MAX(0,ROUND(AV40*(1+'Calc base'!J41),2)-L41)</f>
        <v>4995.33</v>
      </c>
      <c r="AW41">
        <f>MAX(0,ROUND(AW40*(1+'Calc base'!K41),2)-M41)</f>
        <v>7078.46</v>
      </c>
      <c r="AX41">
        <f>MAX(0,ROUND(AX40*(1+'Calc base'!L41),2)-N41)</f>
        <v>45</v>
      </c>
      <c r="AY41">
        <f>MAX(0,ROUND(AY40*(1+'Calc base'!M41),2)-O41)</f>
        <v>950</v>
      </c>
      <c r="AZ41">
        <f>MAX(0,ROUND(AZ40*(1+'Calc base'!N41),2)-P41)</f>
        <v>0</v>
      </c>
      <c r="BA41">
        <f>MAX(0,ROUND(BA40*(1+'Calc base'!O41),2)-Q41)</f>
        <v>0</v>
      </c>
      <c r="BB41">
        <f>MAX(0,ROUND(BB40*(1+'Calc base'!P41),2)-R41)</f>
        <v>0</v>
      </c>
      <c r="BC41">
        <f>MAX(0,ROUND(BC40*(1+'Calc base'!Q41),2)-S41)</f>
        <v>0</v>
      </c>
      <c r="BD41">
        <f>MAX(0,ROUND(BD40*(1+'Calc base'!R41),2)-T41)</f>
        <v>0</v>
      </c>
      <c r="BE41">
        <f>MAX(0,ROUND(BE40*(1+'Calc base'!S41),2)-U41)</f>
        <v>0</v>
      </c>
    </row>
    <row r="42">
      <c r="A42" t="n">
        <v>12</v>
      </c>
      <c r="B42">
        <f>SUMPRODUCT(ROUND($AT41:$BE41*(1+'Calc base'!$H42:$S42),2))</f>
        <v>15844.93</v>
      </c>
      <c r="C42">
        <f>SUM(J42:U42)</f>
        <v>656.49</v>
      </c>
      <c r="G42">
        <f>SUM(AT42:BE42)</f>
        <v>15188.44</v>
      </c>
      <c r="H42">
        <f>B42-G41</f>
        <v>119.41</v>
      </c>
      <c r="I42">
        <f>B42-G42</f>
        <v>656.49</v>
      </c>
      <c r="J42">
        <f>IF(AT41&lt;=0,0,IF(ROUND(AT41*(1+'Calc base'!H42),2)-MAX('Calc base'!C$12,ROUND('Calc base'!C$13*AT41,2))&lt;1,ROUND(AT41*(1+'Calc base'!H42),2),MAX('Calc base'!C$12,ROUND('Calc base'!C$13*AT41,2))))</f>
        <v>61.49</v>
      </c>
      <c r="K42">
        <f>IF(AU41&lt;=0,0,IF(ROUND(AU41*(1+'Calc base'!I42),2)-MAX('Calc base'!D$12,ROUND('Calc base'!D$13*AU41,2))&lt;1,ROUND(AU41*(1+'Calc base'!I42),2),MAX('Calc base'!D$12,ROUND('Calc base'!D$13*AU41,2))))</f>
        <v>25</v>
      </c>
      <c r="L42">
        <f>IF(AV41&lt;=0,0,IF(ROUND(AV41*(1+'Calc base'!J42),2)-MAX('Calc base'!E$12,ROUND('Calc base'!E$13*AV41,2))&lt;1,ROUND(AV41*(1+'Calc base'!J42),2),MAX('Calc base'!E$12,ROUND('Calc base'!E$13*AV41,2))))</f>
        <v>210</v>
      </c>
      <c r="M42">
        <f>IF(AW41&lt;=0,0,IF(ROUND(AW41*(1+'Calc base'!K42),2)-MAX('Calc base'!F$12,ROUND('Calc base'!F$13*AW41,2))&lt;1,ROUND(AW41*(1+'Calc base'!K42),2),MAX('Calc base'!F$12,ROUND('Calc base'!F$13*AW41,2))))</f>
        <v>265</v>
      </c>
      <c r="N42">
        <f>IF(AX41&lt;=0,0,IF(ROUND(AX41*(1+'Calc base'!L42),2)-MAX('Calc base'!G$12,ROUND('Calc base'!G$13*AX41,2))&lt;1,ROUND(AX41*(1+'Calc base'!L42),2),MAX('Calc base'!G$12,ROUND('Calc base'!G$13*AX41,2))))</f>
        <v>45</v>
      </c>
      <c r="O42">
        <f>IF(AY41&lt;=0,0,IF(ROUND(AY41*(1+'Calc base'!M42),2)-MAX('Calc base'!H$12,ROUND('Calc base'!H$13*AY41,2))&lt;1,ROUND(AY41*(1+'Calc base'!M42),2),MAX('Calc base'!H$12,ROUND('Calc base'!H$13*AY41,2))))</f>
        <v>50</v>
      </c>
      <c r="P42">
        <f>IF(AZ41&lt;=0,0,IF(ROUND(AZ41*(1+'Calc base'!N42),2)-MAX('Calc base'!I$12,ROUND('Calc base'!I$13*AZ41,2))&lt;1,ROUND(AZ41*(1+'Calc base'!N42),2),MAX('Calc base'!I$12,ROUND('Calc base'!I$13*AZ41,2))))</f>
        <v>0</v>
      </c>
      <c r="Q42">
        <f>IF(BA41&lt;=0,0,IF(ROUND(BA41*(1+'Calc base'!O42),2)-MAX('Calc base'!J$12,ROUND('Calc base'!J$13*BA41,2))&lt;1,ROUND(BA41*(1+'Calc base'!O42),2),MAX('Calc base'!J$12,ROUND('Calc base'!J$13*BA41,2))))</f>
        <v>0</v>
      </c>
      <c r="R42">
        <f>IF(BB41&lt;=0,0,IF(ROUND(BB41*(1+'Calc base'!P42),2)-MAX('Calc base'!K$12,ROUND('Calc base'!K$13*BB41,2))&lt;1,ROUND(BB41*(1+'Calc base'!P42),2),MAX('Calc base'!K$12,ROUND('Calc base'!K$13*BB41,2))))</f>
        <v>0</v>
      </c>
      <c r="S42">
        <f>IF(BC41&lt;=0,0,IF(ROUND(BC41*(1+'Calc base'!Q42),2)-MAX('Calc base'!L$12,ROUND('Calc base'!L$13*BC41,2))&lt;1,ROUND(BC41*(1+'Calc base'!Q42),2),MAX('Calc base'!L$12,ROUND('Calc base'!L$13*BC41,2))))</f>
        <v>0</v>
      </c>
      <c r="T42">
        <f>IF(BD41&lt;=0,0,IF(ROUND(BD41*(1+'Calc base'!R42),2)-MAX('Calc base'!M$12,ROUND('Calc base'!M$13*BD41,2))&lt;1,ROUND(BD41*(1+'Calc base'!R42),2),MAX('Calc base'!M$12,ROUND('Calc base'!M$13*BD41,2))))</f>
        <v>0</v>
      </c>
      <c r="U42">
        <f>IF(BE41&lt;=0,0,IF(ROUND(BE41*(1+'Calc base'!S42),2)-MAX('Calc base'!N$12,ROUND('Calc base'!N$13*BE41,2))&lt;1,ROUND(BE41*(1+'Calc base'!S42),2),MAX('Calc base'!N$12,ROUND('Calc base'!N$13*BE41,2))))</f>
        <v>0</v>
      </c>
      <c r="AT42">
        <f>MAX(0,ROUND(AT41*(1+'Calc base'!H42),2)-J42)</f>
        <v>2020.29</v>
      </c>
      <c r="AU42">
        <f>MAX(0,ROUND(AU41*(1+'Calc base'!I42),2)-K42)</f>
        <v>593.31</v>
      </c>
      <c r="AV42">
        <f>MAX(0,ROUND(AV41*(1+'Calc base'!J42),2)-L42)</f>
        <v>4823.63</v>
      </c>
      <c r="AW42">
        <f>MAX(0,ROUND(AW41*(1+'Calc base'!K42),2)-M42)</f>
        <v>6851.21</v>
      </c>
      <c r="AX42">
        <f>MAX(0,ROUND(AX41*(1+'Calc base'!L42),2)-N42)</f>
        <v>0</v>
      </c>
      <c r="AY42">
        <f>MAX(0,ROUND(AY41*(1+'Calc base'!M42),2)-O42)</f>
        <v>900</v>
      </c>
      <c r="AZ42">
        <f>MAX(0,ROUND(AZ41*(1+'Calc base'!N42),2)-P42)</f>
        <v>0</v>
      </c>
      <c r="BA42">
        <f>MAX(0,ROUND(BA41*(1+'Calc base'!O42),2)-Q42)</f>
        <v>0</v>
      </c>
      <c r="BB42">
        <f>MAX(0,ROUND(BB41*(1+'Calc base'!P42),2)-R42)</f>
        <v>0</v>
      </c>
      <c r="BC42">
        <f>MAX(0,ROUND(BC41*(1+'Calc base'!Q42),2)-S42)</f>
        <v>0</v>
      </c>
      <c r="BD42">
        <f>MAX(0,ROUND(BD41*(1+'Calc base'!R42),2)-T42)</f>
        <v>0</v>
      </c>
      <c r="BE42">
        <f>MAX(0,ROUND(BE41*(1+'Calc base'!S42),2)-U42)</f>
        <v>0</v>
      </c>
    </row>
    <row r="43">
      <c r="A43" t="n">
        <v>13</v>
      </c>
      <c r="B43">
        <f>SUMPRODUCT(ROUND($AT42:$BE42*(1+'Calc base'!$H43:$S43),2))</f>
        <v>15304.61</v>
      </c>
      <c r="C43">
        <f>SUM(J43:U43)</f>
        <v>610.61</v>
      </c>
      <c r="G43">
        <f>SUM(AT43:BE43)</f>
        <v>14694</v>
      </c>
      <c r="H43">
        <f>B43-G42</f>
        <v>116.17</v>
      </c>
      <c r="I43">
        <f>B43-G43</f>
        <v>610.610000000001</v>
      </c>
      <c r="J43">
        <f>IF(AT42&lt;=0,0,IF(ROUND(AT42*(1+'Calc base'!H43),2)-MAX('Calc base'!C$12,ROUND('Calc base'!C$13*AT42,2))&lt;1,ROUND(AT42*(1+'Calc base'!H43),2),MAX('Calc base'!C$12,ROUND('Calc base'!C$13*AT42,2))))</f>
        <v>60.61</v>
      </c>
      <c r="K43">
        <f>IF(AU42&lt;=0,0,IF(ROUND(AU42*(1+'Calc base'!I43),2)-MAX('Calc base'!D$12,ROUND('Calc base'!D$13*AU42,2))&lt;1,ROUND(AU42*(1+'Calc base'!I43),2),MAX('Calc base'!D$12,ROUND('Calc base'!D$13*AU42,2))))</f>
        <v>25</v>
      </c>
      <c r="L43">
        <f>IF(AV42&lt;=0,0,IF(ROUND(AV42*(1+'Calc base'!J43),2)-MAX('Calc base'!E$12,ROUND('Calc base'!E$13*AV42,2))&lt;1,ROUND(AV42*(1+'Calc base'!J43),2),MAX('Calc base'!E$12,ROUND('Calc base'!E$13*AV42,2))))</f>
        <v>210</v>
      </c>
      <c r="M43">
        <f>IF(AW42&lt;=0,0,IF(ROUND(AW42*(1+'Calc base'!K43),2)-MAX('Calc base'!F$12,ROUND('Calc base'!F$13*AW42,2))&lt;1,ROUND(AW42*(1+'Calc base'!K43),2),MAX('Calc base'!F$12,ROUND('Calc base'!F$13*AW42,2))))</f>
        <v>265</v>
      </c>
      <c r="N43">
        <f>IF(AX42&lt;=0,0,IF(ROUND(AX42*(1+'Calc base'!L43),2)-MAX('Calc base'!G$12,ROUND('Calc base'!G$13*AX42,2))&lt;1,ROUND(AX42*(1+'Calc base'!L43),2),MAX('Calc base'!G$12,ROUND('Calc base'!G$13*AX42,2))))</f>
        <v>0</v>
      </c>
      <c r="O43">
        <f>IF(AY42&lt;=0,0,IF(ROUND(AY42*(1+'Calc base'!M43),2)-MAX('Calc base'!H$12,ROUND('Calc base'!H$13*AY42,2))&lt;1,ROUND(AY42*(1+'Calc base'!M43),2),MAX('Calc base'!H$12,ROUND('Calc base'!H$13*AY42,2))))</f>
        <v>50</v>
      </c>
      <c r="P43">
        <f>IF(AZ42&lt;=0,0,IF(ROUND(AZ42*(1+'Calc base'!N43),2)-MAX('Calc base'!I$12,ROUND('Calc base'!I$13*AZ42,2))&lt;1,ROUND(AZ42*(1+'Calc base'!N43),2),MAX('Calc base'!I$12,ROUND('Calc base'!I$13*AZ42,2))))</f>
        <v>0</v>
      </c>
      <c r="Q43">
        <f>IF(BA42&lt;=0,0,IF(ROUND(BA42*(1+'Calc base'!O43),2)-MAX('Calc base'!J$12,ROUND('Calc base'!J$13*BA42,2))&lt;1,ROUND(BA42*(1+'Calc base'!O43),2),MAX('Calc base'!J$12,ROUND('Calc base'!J$13*BA42,2))))</f>
        <v>0</v>
      </c>
      <c r="R43">
        <f>IF(BB42&lt;=0,0,IF(ROUND(BB42*(1+'Calc base'!P43),2)-MAX('Calc base'!K$12,ROUND('Calc base'!K$13*BB42,2))&lt;1,ROUND(BB42*(1+'Calc base'!P43),2),MAX('Calc base'!K$12,ROUND('Calc base'!K$13*BB42,2))))</f>
        <v>0</v>
      </c>
      <c r="S43">
        <f>IF(BC42&lt;=0,0,IF(ROUND(BC42*(1+'Calc base'!Q43),2)-MAX('Calc base'!L$12,ROUND('Calc base'!L$13*BC42,2))&lt;1,ROUND(BC42*(1+'Calc base'!Q43),2),MAX('Calc base'!L$12,ROUND('Calc base'!L$13*BC42,2))))</f>
        <v>0</v>
      </c>
      <c r="T43">
        <f>IF(BD42&lt;=0,0,IF(ROUND(BD42*(1+'Calc base'!R43),2)-MAX('Calc base'!M$12,ROUND('Calc base'!M$13*BD42,2))&lt;1,ROUND(BD42*(1+'Calc base'!R43),2),MAX('Calc base'!M$12,ROUND('Calc base'!M$13*BD42,2))))</f>
        <v>0</v>
      </c>
      <c r="U43">
        <f>IF(BE42&lt;=0,0,IF(ROUND(BE42*(1+'Calc base'!S43),2)-MAX('Calc base'!N$12,ROUND('Calc base'!N$13*BE42,2))&lt;1,ROUND(BE42*(1+'Calc base'!S43),2),MAX('Calc base'!N$12,ROUND('Calc base'!N$13*BE42,2))))</f>
        <v>0</v>
      </c>
      <c r="AT43">
        <f>MAX(0,ROUND(AT42*(1+'Calc base'!H43),2)-J43)</f>
        <v>1991.5</v>
      </c>
      <c r="AU43">
        <f>MAX(0,ROUND(AU42*(1+'Calc base'!I43),2)-K43)</f>
        <v>579.14</v>
      </c>
      <c r="AV43">
        <f>MAX(0,ROUND(AV42*(1+'Calc base'!J43),2)-L43)</f>
        <v>4650.61</v>
      </c>
      <c r="AW43">
        <f>MAX(0,ROUND(AW42*(1+'Calc base'!K43),2)-M43)</f>
        <v>6622.75</v>
      </c>
      <c r="AX43">
        <f>MAX(0,ROUND(AX42*(1+'Calc base'!L43),2)-N43)</f>
        <v>0</v>
      </c>
      <c r="AY43">
        <f>MAX(0,ROUND(AY42*(1+'Calc base'!M43),2)-O43)</f>
        <v>850</v>
      </c>
      <c r="AZ43">
        <f>MAX(0,ROUND(AZ42*(1+'Calc base'!N43),2)-P43)</f>
        <v>0</v>
      </c>
      <c r="BA43">
        <f>MAX(0,ROUND(BA42*(1+'Calc base'!O43),2)-Q43)</f>
        <v>0</v>
      </c>
      <c r="BB43">
        <f>MAX(0,ROUND(BB42*(1+'Calc base'!P43),2)-R43)</f>
        <v>0</v>
      </c>
      <c r="BC43">
        <f>MAX(0,ROUND(BC42*(1+'Calc base'!Q43),2)-S43)</f>
        <v>0</v>
      </c>
      <c r="BD43">
        <f>MAX(0,ROUND(BD42*(1+'Calc base'!R43),2)-T43)</f>
        <v>0</v>
      </c>
      <c r="BE43">
        <f>MAX(0,ROUND(BE42*(1+'Calc base'!S43),2)-U43)</f>
        <v>0</v>
      </c>
    </row>
    <row r="44">
      <c r="A44" t="n">
        <v>14</v>
      </c>
      <c r="B44">
        <f>SUMPRODUCT(ROUND($AT43:$BE43*(1+'Calc base'!$H44:$S44),2))</f>
        <v>14806.91</v>
      </c>
      <c r="C44">
        <f>SUM(J44:U44)</f>
        <v>609.75</v>
      </c>
      <c r="G44">
        <f>SUM(AT44:BE44)</f>
        <v>14197.16</v>
      </c>
      <c r="H44">
        <f>B44-G43</f>
        <v>112.91</v>
      </c>
      <c r="I44">
        <f>B44-G44</f>
        <v>609.75</v>
      </c>
      <c r="J44">
        <f>IF(AT43&lt;=0,0,IF(ROUND(AT43*(1+'Calc base'!H44),2)-MAX('Calc base'!C$12,ROUND('Calc base'!C$13*AT43,2))&lt;1,ROUND(AT43*(1+'Calc base'!H44),2),MAX('Calc base'!C$12,ROUND('Calc base'!C$13*AT43,2))))</f>
        <v>59.75</v>
      </c>
      <c r="K44">
        <f>IF(AU43&lt;=0,0,IF(ROUND(AU43*(1+'Calc base'!I44),2)-MAX('Calc base'!D$12,ROUND('Calc base'!D$13*AU43,2))&lt;1,ROUND(AU43*(1+'Calc base'!I44),2),MAX('Calc base'!D$12,ROUND('Calc base'!D$13*AU43,2))))</f>
        <v>25</v>
      </c>
      <c r="L44">
        <f>IF(AV43&lt;=0,0,IF(ROUND(AV43*(1+'Calc base'!J44),2)-MAX('Calc base'!E$12,ROUND('Calc base'!E$13*AV43,2))&lt;1,ROUND(AV43*(1+'Calc base'!J44),2),MAX('Calc base'!E$12,ROUND('Calc base'!E$13*AV43,2))))</f>
        <v>210</v>
      </c>
      <c r="M44">
        <f>IF(AW43&lt;=0,0,IF(ROUND(AW43*(1+'Calc base'!K44),2)-MAX('Calc base'!F$12,ROUND('Calc base'!F$13*AW43,2))&lt;1,ROUND(AW43*(1+'Calc base'!K44),2),MAX('Calc base'!F$12,ROUND('Calc base'!F$13*AW43,2))))</f>
        <v>265</v>
      </c>
      <c r="N44">
        <f>IF(AX43&lt;=0,0,IF(ROUND(AX43*(1+'Calc base'!L44),2)-MAX('Calc base'!G$12,ROUND('Calc base'!G$13*AX43,2))&lt;1,ROUND(AX43*(1+'Calc base'!L44),2),MAX('Calc base'!G$12,ROUND('Calc base'!G$13*AX43,2))))</f>
        <v>0</v>
      </c>
      <c r="O44">
        <f>IF(AY43&lt;=0,0,IF(ROUND(AY43*(1+'Calc base'!M44),2)-MAX('Calc base'!H$12,ROUND('Calc base'!H$13*AY43,2))&lt;1,ROUND(AY43*(1+'Calc base'!M44),2),MAX('Calc base'!H$12,ROUND('Calc base'!H$13*AY43,2))))</f>
        <v>50</v>
      </c>
      <c r="P44">
        <f>IF(AZ43&lt;=0,0,IF(ROUND(AZ43*(1+'Calc base'!N44),2)-MAX('Calc base'!I$12,ROUND('Calc base'!I$13*AZ43,2))&lt;1,ROUND(AZ43*(1+'Calc base'!N44),2),MAX('Calc base'!I$12,ROUND('Calc base'!I$13*AZ43,2))))</f>
        <v>0</v>
      </c>
      <c r="Q44">
        <f>IF(BA43&lt;=0,0,IF(ROUND(BA43*(1+'Calc base'!O44),2)-MAX('Calc base'!J$12,ROUND('Calc base'!J$13*BA43,2))&lt;1,ROUND(BA43*(1+'Calc base'!O44),2),MAX('Calc base'!J$12,ROUND('Calc base'!J$13*BA43,2))))</f>
        <v>0</v>
      </c>
      <c r="R44">
        <f>IF(BB43&lt;=0,0,IF(ROUND(BB43*(1+'Calc base'!P44),2)-MAX('Calc base'!K$12,ROUND('Calc base'!K$13*BB43,2))&lt;1,ROUND(BB43*(1+'Calc base'!P44),2),MAX('Calc base'!K$12,ROUND('Calc base'!K$13*BB43,2))))</f>
        <v>0</v>
      </c>
      <c r="S44">
        <f>IF(BC43&lt;=0,0,IF(ROUND(BC43*(1+'Calc base'!Q44),2)-MAX('Calc base'!L$12,ROUND('Calc base'!L$13*BC43,2))&lt;1,ROUND(BC43*(1+'Calc base'!Q44),2),MAX('Calc base'!L$12,ROUND('Calc base'!L$13*BC43,2))))</f>
        <v>0</v>
      </c>
      <c r="T44">
        <f>IF(BD43&lt;=0,0,IF(ROUND(BD43*(1+'Calc base'!R44),2)-MAX('Calc base'!M$12,ROUND('Calc base'!M$13*BD43,2))&lt;1,ROUND(BD43*(1+'Calc base'!R44),2),MAX('Calc base'!M$12,ROUND('Calc base'!M$13*BD43,2))))</f>
        <v>0</v>
      </c>
      <c r="U44">
        <f>IF(BE43&lt;=0,0,IF(ROUND(BE43*(1+'Calc base'!S44),2)-MAX('Calc base'!N$12,ROUND('Calc base'!N$13*BE43,2))&lt;1,ROUND(BE43*(1+'Calc base'!S44),2),MAX('Calc base'!N$12,ROUND('Calc base'!N$13*BE43,2))))</f>
        <v>0</v>
      </c>
      <c r="AT44">
        <f>MAX(0,ROUND(AT43*(1+'Calc base'!H44),2)-J44)</f>
        <v>1963.12</v>
      </c>
      <c r="AU44">
        <f>MAX(0,ROUND(AU43*(1+'Calc base'!I44),2)-K44)</f>
        <v>564.71</v>
      </c>
      <c r="AV44">
        <f>MAX(0,ROUND(AV43*(1+'Calc base'!J44),2)-L44)</f>
        <v>4476.26</v>
      </c>
      <c r="AW44">
        <f>MAX(0,ROUND(AW43*(1+'Calc base'!K44),2)-M44)</f>
        <v>6393.07</v>
      </c>
      <c r="AX44">
        <f>MAX(0,ROUND(AX43*(1+'Calc base'!L44),2)-N44)</f>
        <v>0</v>
      </c>
      <c r="AY44">
        <f>MAX(0,ROUND(AY43*(1+'Calc base'!M44),2)-O44)</f>
        <v>800</v>
      </c>
      <c r="AZ44">
        <f>MAX(0,ROUND(AZ43*(1+'Calc base'!N44),2)-P44)</f>
        <v>0</v>
      </c>
      <c r="BA44">
        <f>MAX(0,ROUND(BA43*(1+'Calc base'!O44),2)-Q44)</f>
        <v>0</v>
      </c>
      <c r="BB44">
        <f>MAX(0,ROUND(BB43*(1+'Calc base'!P44),2)-R44)</f>
        <v>0</v>
      </c>
      <c r="BC44">
        <f>MAX(0,ROUND(BC43*(1+'Calc base'!Q44),2)-S44)</f>
        <v>0</v>
      </c>
      <c r="BD44">
        <f>MAX(0,ROUND(BD43*(1+'Calc base'!R44),2)-T44)</f>
        <v>0</v>
      </c>
      <c r="BE44">
        <f>MAX(0,ROUND(BE43*(1+'Calc base'!S44),2)-U44)</f>
        <v>0</v>
      </c>
    </row>
    <row r="45">
      <c r="A45" t="n">
        <v>15</v>
      </c>
      <c r="B45">
        <f>SUMPRODUCT(ROUND($AT44:$BE44*(1+'Calc base'!$H45:$S45),2))</f>
        <v>14306.81</v>
      </c>
      <c r="C45">
        <f>SUM(J45:U45)</f>
        <v>608.89</v>
      </c>
      <c r="G45">
        <f>SUM(AT45:BE45)</f>
        <v>13697.92</v>
      </c>
      <c r="H45">
        <f>B45-G44</f>
        <v>109.65</v>
      </c>
      <c r="I45">
        <f>B45-G45</f>
        <v>608.889999999999</v>
      </c>
      <c r="J45">
        <f>IF(AT44&lt;=0,0,IF(ROUND(AT44*(1+'Calc base'!H45),2)-MAX('Calc base'!C$12,ROUND('Calc base'!C$13*AT44,2))&lt;1,ROUND(AT44*(1+'Calc base'!H45),2),MAX('Calc base'!C$12,ROUND('Calc base'!C$13*AT44,2))))</f>
        <v>58.89</v>
      </c>
      <c r="K45">
        <f>IF(AU44&lt;=0,0,IF(ROUND(AU44*(1+'Calc base'!I45),2)-MAX('Calc base'!D$12,ROUND('Calc base'!D$13*AU44,2))&lt;1,ROUND(AU44*(1+'Calc base'!I45),2),MAX('Calc base'!D$12,ROUND('Calc base'!D$13*AU44,2))))</f>
        <v>25</v>
      </c>
      <c r="L45">
        <f>IF(AV44&lt;=0,0,IF(ROUND(AV44*(1+'Calc base'!J45),2)-MAX('Calc base'!E$12,ROUND('Calc base'!E$13*AV44,2))&lt;1,ROUND(AV44*(1+'Calc base'!J45),2),MAX('Calc base'!E$12,ROUND('Calc base'!E$13*AV44,2))))</f>
        <v>210</v>
      </c>
      <c r="M45">
        <f>IF(AW44&lt;=0,0,IF(ROUND(AW44*(1+'Calc base'!K45),2)-MAX('Calc base'!F$12,ROUND('Calc base'!F$13*AW44,2))&lt;1,ROUND(AW44*(1+'Calc base'!K45),2),MAX('Calc base'!F$12,ROUND('Calc base'!F$13*AW44,2))))</f>
        <v>265</v>
      </c>
      <c r="N45">
        <f>IF(AX44&lt;=0,0,IF(ROUND(AX44*(1+'Calc base'!L45),2)-MAX('Calc base'!G$12,ROUND('Calc base'!G$13*AX44,2))&lt;1,ROUND(AX44*(1+'Calc base'!L45),2),MAX('Calc base'!G$12,ROUND('Calc base'!G$13*AX44,2))))</f>
        <v>0</v>
      </c>
      <c r="O45">
        <f>IF(AY44&lt;=0,0,IF(ROUND(AY44*(1+'Calc base'!M45),2)-MAX('Calc base'!H$12,ROUND('Calc base'!H$13*AY44,2))&lt;1,ROUND(AY44*(1+'Calc base'!M45),2),MAX('Calc base'!H$12,ROUND('Calc base'!H$13*AY44,2))))</f>
        <v>50</v>
      </c>
      <c r="P45">
        <f>IF(AZ44&lt;=0,0,IF(ROUND(AZ44*(1+'Calc base'!N45),2)-MAX('Calc base'!I$12,ROUND('Calc base'!I$13*AZ44,2))&lt;1,ROUND(AZ44*(1+'Calc base'!N45),2),MAX('Calc base'!I$12,ROUND('Calc base'!I$13*AZ44,2))))</f>
        <v>0</v>
      </c>
      <c r="Q45">
        <f>IF(BA44&lt;=0,0,IF(ROUND(BA44*(1+'Calc base'!O45),2)-MAX('Calc base'!J$12,ROUND('Calc base'!J$13*BA44,2))&lt;1,ROUND(BA44*(1+'Calc base'!O45),2),MAX('Calc base'!J$12,ROUND('Calc base'!J$13*BA44,2))))</f>
        <v>0</v>
      </c>
      <c r="R45">
        <f>IF(BB44&lt;=0,0,IF(ROUND(BB44*(1+'Calc base'!P45),2)-MAX('Calc base'!K$12,ROUND('Calc base'!K$13*BB44,2))&lt;1,ROUND(BB44*(1+'Calc base'!P45),2),MAX('Calc base'!K$12,ROUND('Calc base'!K$13*BB44,2))))</f>
        <v>0</v>
      </c>
      <c r="S45">
        <f>IF(BC44&lt;=0,0,IF(ROUND(BC44*(1+'Calc base'!Q45),2)-MAX('Calc base'!L$12,ROUND('Calc base'!L$13*BC44,2))&lt;1,ROUND(BC44*(1+'Calc base'!Q45),2),MAX('Calc base'!L$12,ROUND('Calc base'!L$13*BC44,2))))</f>
        <v>0</v>
      </c>
      <c r="T45">
        <f>IF(BD44&lt;=0,0,IF(ROUND(BD44*(1+'Calc base'!R45),2)-MAX('Calc base'!M$12,ROUND('Calc base'!M$13*BD44,2))&lt;1,ROUND(BD44*(1+'Calc base'!R45),2),MAX('Calc base'!M$12,ROUND('Calc base'!M$13*BD44,2))))</f>
        <v>0</v>
      </c>
      <c r="U45">
        <f>IF(BE44&lt;=0,0,IF(ROUND(BE44*(1+'Calc base'!S45),2)-MAX('Calc base'!N$12,ROUND('Calc base'!N$13*BE44,2))&lt;1,ROUND(BE44*(1+'Calc base'!S45),2),MAX('Calc base'!N$12,ROUND('Calc base'!N$13*BE44,2))))</f>
        <v>0</v>
      </c>
      <c r="AT45">
        <f>MAX(0,ROUND(AT44*(1+'Calc base'!H45),2)-J45)</f>
        <v>1935.15</v>
      </c>
      <c r="AU45">
        <f>MAX(0,ROUND(AU44*(1+'Calc base'!I45),2)-K45)</f>
        <v>550.02</v>
      </c>
      <c r="AV45">
        <f>MAX(0,ROUND(AV44*(1+'Calc base'!J45),2)-L45)</f>
        <v>4300.58</v>
      </c>
      <c r="AW45">
        <f>MAX(0,ROUND(AW44*(1+'Calc base'!K45),2)-M45)</f>
        <v>6162.17</v>
      </c>
      <c r="AX45">
        <f>MAX(0,ROUND(AX44*(1+'Calc base'!L45),2)-N45)</f>
        <v>0</v>
      </c>
      <c r="AY45">
        <f>MAX(0,ROUND(AY44*(1+'Calc base'!M45),2)-O45)</f>
        <v>750</v>
      </c>
      <c r="AZ45">
        <f>MAX(0,ROUND(AZ44*(1+'Calc base'!N45),2)-P45)</f>
        <v>0</v>
      </c>
      <c r="BA45">
        <f>MAX(0,ROUND(BA44*(1+'Calc base'!O45),2)-Q45)</f>
        <v>0</v>
      </c>
      <c r="BB45">
        <f>MAX(0,ROUND(BB44*(1+'Calc base'!P45),2)-R45)</f>
        <v>0</v>
      </c>
      <c r="BC45">
        <f>MAX(0,ROUND(BC44*(1+'Calc base'!Q45),2)-S45)</f>
        <v>0</v>
      </c>
      <c r="BD45">
        <f>MAX(0,ROUND(BD44*(1+'Calc base'!R45),2)-T45)</f>
        <v>0</v>
      </c>
      <c r="BE45">
        <f>MAX(0,ROUND(BE44*(1+'Calc base'!S45),2)-U45)</f>
        <v>0</v>
      </c>
    </row>
    <row r="46">
      <c r="A46" t="n">
        <v>16</v>
      </c>
      <c r="B46">
        <f>SUMPRODUCT(ROUND($AT45:$BE45*(1+'Calc base'!$H46:$S46),2))</f>
        <v>13804.27</v>
      </c>
      <c r="C46">
        <f>SUM(J46:U46)</f>
        <v>608.05</v>
      </c>
      <c r="G46">
        <f>SUM(AT46:BE46)</f>
        <v>13196.22</v>
      </c>
      <c r="H46">
        <f>B46-G45</f>
        <v>106.35</v>
      </c>
      <c r="I46">
        <f>B46-G46</f>
        <v>608.050000000001</v>
      </c>
      <c r="J46">
        <f>IF(AT45&lt;=0,0,IF(ROUND(AT45*(1+'Calc base'!H46),2)-MAX('Calc base'!C$12,ROUND('Calc base'!C$13*AT45,2))&lt;1,ROUND(AT45*(1+'Calc base'!H46),2),MAX('Calc base'!C$12,ROUND('Calc base'!C$13*AT45,2))))</f>
        <v>58.05</v>
      </c>
      <c r="K46">
        <f>IF(AU45&lt;=0,0,IF(ROUND(AU45*(1+'Calc base'!I46),2)-MAX('Calc base'!D$12,ROUND('Calc base'!D$13*AU45,2))&lt;1,ROUND(AU45*(1+'Calc base'!I46),2),MAX('Calc base'!D$12,ROUND('Calc base'!D$13*AU45,2))))</f>
        <v>25</v>
      </c>
      <c r="L46">
        <f>IF(AV45&lt;=0,0,IF(ROUND(AV45*(1+'Calc base'!J46),2)-MAX('Calc base'!E$12,ROUND('Calc base'!E$13*AV45,2))&lt;1,ROUND(AV45*(1+'Calc base'!J46),2),MAX('Calc base'!E$12,ROUND('Calc base'!E$13*AV45,2))))</f>
        <v>210</v>
      </c>
      <c r="M46">
        <f>IF(AW45&lt;=0,0,IF(ROUND(AW45*(1+'Calc base'!K46),2)-MAX('Calc base'!F$12,ROUND('Calc base'!F$13*AW45,2))&lt;1,ROUND(AW45*(1+'Calc base'!K46),2),MAX('Calc base'!F$12,ROUND('Calc base'!F$13*AW45,2))))</f>
        <v>265</v>
      </c>
      <c r="N46">
        <f>IF(AX45&lt;=0,0,IF(ROUND(AX45*(1+'Calc base'!L46),2)-MAX('Calc base'!G$12,ROUND('Calc base'!G$13*AX45,2))&lt;1,ROUND(AX45*(1+'Calc base'!L46),2),MAX('Calc base'!G$12,ROUND('Calc base'!G$13*AX45,2))))</f>
        <v>0</v>
      </c>
      <c r="O46">
        <f>IF(AY45&lt;=0,0,IF(ROUND(AY45*(1+'Calc base'!M46),2)-MAX('Calc base'!H$12,ROUND('Calc base'!H$13*AY45,2))&lt;1,ROUND(AY45*(1+'Calc base'!M46),2),MAX('Calc base'!H$12,ROUND('Calc base'!H$13*AY45,2))))</f>
        <v>50</v>
      </c>
      <c r="P46">
        <f>IF(AZ45&lt;=0,0,IF(ROUND(AZ45*(1+'Calc base'!N46),2)-MAX('Calc base'!I$12,ROUND('Calc base'!I$13*AZ45,2))&lt;1,ROUND(AZ45*(1+'Calc base'!N46),2),MAX('Calc base'!I$12,ROUND('Calc base'!I$13*AZ45,2))))</f>
        <v>0</v>
      </c>
      <c r="Q46">
        <f>IF(BA45&lt;=0,0,IF(ROUND(BA45*(1+'Calc base'!O46),2)-MAX('Calc base'!J$12,ROUND('Calc base'!J$13*BA45,2))&lt;1,ROUND(BA45*(1+'Calc base'!O46),2),MAX('Calc base'!J$12,ROUND('Calc base'!J$13*BA45,2))))</f>
        <v>0</v>
      </c>
      <c r="R46">
        <f>IF(BB45&lt;=0,0,IF(ROUND(BB45*(1+'Calc base'!P46),2)-MAX('Calc base'!K$12,ROUND('Calc base'!K$13*BB45,2))&lt;1,ROUND(BB45*(1+'Calc base'!P46),2),MAX('Calc base'!K$12,ROUND('Calc base'!K$13*BB45,2))))</f>
        <v>0</v>
      </c>
      <c r="S46">
        <f>IF(BC45&lt;=0,0,IF(ROUND(BC45*(1+'Calc base'!Q46),2)-MAX('Calc base'!L$12,ROUND('Calc base'!L$13*BC45,2))&lt;1,ROUND(BC45*(1+'Calc base'!Q46),2),MAX('Calc base'!L$12,ROUND('Calc base'!L$13*BC45,2))))</f>
        <v>0</v>
      </c>
      <c r="T46">
        <f>IF(BD45&lt;=0,0,IF(ROUND(BD45*(1+'Calc base'!R46),2)-MAX('Calc base'!M$12,ROUND('Calc base'!M$13*BD45,2))&lt;1,ROUND(BD45*(1+'Calc base'!R46),2),MAX('Calc base'!M$12,ROUND('Calc base'!M$13*BD45,2))))</f>
        <v>0</v>
      </c>
      <c r="U46">
        <f>IF(BE45&lt;=0,0,IF(ROUND(BE45*(1+'Calc base'!S46),2)-MAX('Calc base'!N$12,ROUND('Calc base'!N$13*BE45,2))&lt;1,ROUND(BE45*(1+'Calc base'!S46),2),MAX('Calc base'!N$12,ROUND('Calc base'!N$13*BE45,2))))</f>
        <v>0</v>
      </c>
      <c r="AT46">
        <f>MAX(0,ROUND(AT45*(1+'Calc base'!H46),2)-J46)</f>
        <v>1907.58</v>
      </c>
      <c r="AU46">
        <f>MAX(0,ROUND(AU45*(1+'Calc base'!I46),2)-K46)</f>
        <v>535.06</v>
      </c>
      <c r="AV46">
        <f>MAX(0,ROUND(AV45*(1+'Calc base'!J46),2)-L46)</f>
        <v>4123.55</v>
      </c>
      <c r="AW46">
        <f>MAX(0,ROUND(AW45*(1+'Calc base'!K46),2)-M46)</f>
        <v>5930.03</v>
      </c>
      <c r="AX46">
        <f>MAX(0,ROUND(AX45*(1+'Calc base'!L46),2)-N46)</f>
        <v>0</v>
      </c>
      <c r="AY46">
        <f>MAX(0,ROUND(AY45*(1+'Calc base'!M46),2)-O46)</f>
        <v>700</v>
      </c>
      <c r="AZ46">
        <f>MAX(0,ROUND(AZ45*(1+'Calc base'!N46),2)-P46)</f>
        <v>0</v>
      </c>
      <c r="BA46">
        <f>MAX(0,ROUND(BA45*(1+'Calc base'!O46),2)-Q46)</f>
        <v>0</v>
      </c>
      <c r="BB46">
        <f>MAX(0,ROUND(BB45*(1+'Calc base'!P46),2)-R46)</f>
        <v>0</v>
      </c>
      <c r="BC46">
        <f>MAX(0,ROUND(BC45*(1+'Calc base'!Q46),2)-S46)</f>
        <v>0</v>
      </c>
      <c r="BD46">
        <f>MAX(0,ROUND(BD45*(1+'Calc base'!R46),2)-T46)</f>
        <v>0</v>
      </c>
      <c r="BE46">
        <f>MAX(0,ROUND(BE45*(1+'Calc base'!S46),2)-U46)</f>
        <v>0</v>
      </c>
    </row>
    <row r="47">
      <c r="A47" t="n">
        <v>17</v>
      </c>
      <c r="B47">
        <f>SUMPRODUCT(ROUND($AT46:$BE46*(1+'Calc base'!$H47:$S47),2))</f>
        <v>13299.26</v>
      </c>
      <c r="C47">
        <f>SUM(J47:U47)</f>
        <v>607.23</v>
      </c>
      <c r="G47">
        <f>SUM(AT47:BE47)</f>
        <v>12692.03</v>
      </c>
      <c r="H47">
        <f>B47-G46</f>
        <v>103.040000000001</v>
      </c>
      <c r="I47">
        <f>B47-G47</f>
        <v>607.230000000001</v>
      </c>
      <c r="J47">
        <f>IF(AT46&lt;=0,0,IF(ROUND(AT46*(1+'Calc base'!H47),2)-MAX('Calc base'!C$12,ROUND('Calc base'!C$13*AT46,2))&lt;1,ROUND(AT46*(1+'Calc base'!H47),2),MAX('Calc base'!C$12,ROUND('Calc base'!C$13*AT46,2))))</f>
        <v>57.23</v>
      </c>
      <c r="K47">
        <f>IF(AU46&lt;=0,0,IF(ROUND(AU46*(1+'Calc base'!I47),2)-MAX('Calc base'!D$12,ROUND('Calc base'!D$13*AU46,2))&lt;1,ROUND(AU46*(1+'Calc base'!I47),2),MAX('Calc base'!D$12,ROUND('Calc base'!D$13*AU46,2))))</f>
        <v>25</v>
      </c>
      <c r="L47">
        <f>IF(AV46&lt;=0,0,IF(ROUND(AV46*(1+'Calc base'!J47),2)-MAX('Calc base'!E$12,ROUND('Calc base'!E$13*AV46,2))&lt;1,ROUND(AV46*(1+'Calc base'!J47),2),MAX('Calc base'!E$12,ROUND('Calc base'!E$13*AV46,2))))</f>
        <v>210</v>
      </c>
      <c r="M47">
        <f>IF(AW46&lt;=0,0,IF(ROUND(AW46*(1+'Calc base'!K47),2)-MAX('Calc base'!F$12,ROUND('Calc base'!F$13*AW46,2))&lt;1,ROUND(AW46*(1+'Calc base'!K47),2),MAX('Calc base'!F$12,ROUND('Calc base'!F$13*AW46,2))))</f>
        <v>265</v>
      </c>
      <c r="N47">
        <f>IF(AX46&lt;=0,0,IF(ROUND(AX46*(1+'Calc base'!L47),2)-MAX('Calc base'!G$12,ROUND('Calc base'!G$13*AX46,2))&lt;1,ROUND(AX46*(1+'Calc base'!L47),2),MAX('Calc base'!G$12,ROUND('Calc base'!G$13*AX46,2))))</f>
        <v>0</v>
      </c>
      <c r="O47">
        <f>IF(AY46&lt;=0,0,IF(ROUND(AY46*(1+'Calc base'!M47),2)-MAX('Calc base'!H$12,ROUND('Calc base'!H$13*AY46,2))&lt;1,ROUND(AY46*(1+'Calc base'!M47),2),MAX('Calc base'!H$12,ROUND('Calc base'!H$13*AY46,2))))</f>
        <v>50</v>
      </c>
      <c r="P47">
        <f>IF(AZ46&lt;=0,0,IF(ROUND(AZ46*(1+'Calc base'!N47),2)-MAX('Calc base'!I$12,ROUND('Calc base'!I$13*AZ46,2))&lt;1,ROUND(AZ46*(1+'Calc base'!N47),2),MAX('Calc base'!I$12,ROUND('Calc base'!I$13*AZ46,2))))</f>
        <v>0</v>
      </c>
      <c r="Q47">
        <f>IF(BA46&lt;=0,0,IF(ROUND(BA46*(1+'Calc base'!O47),2)-MAX('Calc base'!J$12,ROUND('Calc base'!J$13*BA46,2))&lt;1,ROUND(BA46*(1+'Calc base'!O47),2),MAX('Calc base'!J$12,ROUND('Calc base'!J$13*BA46,2))))</f>
        <v>0</v>
      </c>
      <c r="R47">
        <f>IF(BB46&lt;=0,0,IF(ROUND(BB46*(1+'Calc base'!P47),2)-MAX('Calc base'!K$12,ROUND('Calc base'!K$13*BB46,2))&lt;1,ROUND(BB46*(1+'Calc base'!P47),2),MAX('Calc base'!K$12,ROUND('Calc base'!K$13*BB46,2))))</f>
        <v>0</v>
      </c>
      <c r="S47">
        <f>IF(BC46&lt;=0,0,IF(ROUND(BC46*(1+'Calc base'!Q47),2)-MAX('Calc base'!L$12,ROUND('Calc base'!L$13*BC46,2))&lt;1,ROUND(BC46*(1+'Calc base'!Q47),2),MAX('Calc base'!L$12,ROUND('Calc base'!L$13*BC46,2))))</f>
        <v>0</v>
      </c>
      <c r="T47">
        <f>IF(BD46&lt;=0,0,IF(ROUND(BD46*(1+'Calc base'!R47),2)-MAX('Calc base'!M$12,ROUND('Calc base'!M$13*BD46,2))&lt;1,ROUND(BD46*(1+'Calc base'!R47),2),MAX('Calc base'!M$12,ROUND('Calc base'!M$13*BD46,2))))</f>
        <v>0</v>
      </c>
      <c r="U47">
        <f>IF(BE46&lt;=0,0,IF(ROUND(BE46*(1+'Calc base'!S47),2)-MAX('Calc base'!N$12,ROUND('Calc base'!N$13*BE46,2))&lt;1,ROUND(BE46*(1+'Calc base'!S47),2),MAX('Calc base'!N$12,ROUND('Calc base'!N$13*BE46,2))))</f>
        <v>0</v>
      </c>
      <c r="AT47">
        <f>MAX(0,ROUND(AT46*(1+'Calc base'!H47),2)-J47)</f>
        <v>1880.39</v>
      </c>
      <c r="AU47">
        <f>MAX(0,ROUND(AU46*(1+'Calc base'!I47),2)-K47)</f>
        <v>519.82</v>
      </c>
      <c r="AV47">
        <f>MAX(0,ROUND(AV46*(1+'Calc base'!J47),2)-L47)</f>
        <v>3945.16</v>
      </c>
      <c r="AW47">
        <f>MAX(0,ROUND(AW46*(1+'Calc base'!K47),2)-M47)</f>
        <v>5696.66</v>
      </c>
      <c r="AX47">
        <f>MAX(0,ROUND(AX46*(1+'Calc base'!L47),2)-N47)</f>
        <v>0</v>
      </c>
      <c r="AY47">
        <f>MAX(0,ROUND(AY46*(1+'Calc base'!M47),2)-O47)</f>
        <v>650</v>
      </c>
      <c r="AZ47">
        <f>MAX(0,ROUND(AZ46*(1+'Calc base'!N47),2)-P47)</f>
        <v>0</v>
      </c>
      <c r="BA47">
        <f>MAX(0,ROUND(BA46*(1+'Calc base'!O47),2)-Q47)</f>
        <v>0</v>
      </c>
      <c r="BB47">
        <f>MAX(0,ROUND(BB46*(1+'Calc base'!P47),2)-R47)</f>
        <v>0</v>
      </c>
      <c r="BC47">
        <f>MAX(0,ROUND(BC46*(1+'Calc base'!Q47),2)-S47)</f>
        <v>0</v>
      </c>
      <c r="BD47">
        <f>MAX(0,ROUND(BD46*(1+'Calc base'!R47),2)-T47)</f>
        <v>0</v>
      </c>
      <c r="BE47">
        <f>MAX(0,ROUND(BE46*(1+'Calc base'!S47),2)-U47)</f>
        <v>0</v>
      </c>
    </row>
    <row r="48">
      <c r="A48" t="n">
        <v>18</v>
      </c>
      <c r="B48">
        <f>SUMPRODUCT(ROUND($AT47:$BE47*(1+'Calc base'!$H48:$S48),2))</f>
        <v>12791.77</v>
      </c>
      <c r="C48">
        <f>SUM(J48:U48)</f>
        <v>606.41</v>
      </c>
      <c r="G48">
        <f>SUM(AT48:BE48)</f>
        <v>12185.36</v>
      </c>
      <c r="H48">
        <f>B48-G47</f>
        <v>99.7400000000016</v>
      </c>
      <c r="I48">
        <f>B48-G48</f>
        <v>606.41</v>
      </c>
      <c r="J48">
        <f>IF(AT47&lt;=0,0,IF(ROUND(AT47*(1+'Calc base'!H48),2)-MAX('Calc base'!C$12,ROUND('Calc base'!C$13*AT47,2))&lt;1,ROUND(AT47*(1+'Calc base'!H48),2),MAX('Calc base'!C$12,ROUND('Calc base'!C$13*AT47,2))))</f>
        <v>56.41</v>
      </c>
      <c r="K48">
        <f>IF(AU47&lt;=0,0,IF(ROUND(AU47*(1+'Calc base'!I48),2)-MAX('Calc base'!D$12,ROUND('Calc base'!D$13*AU47,2))&lt;1,ROUND(AU47*(1+'Calc base'!I48),2),MAX('Calc base'!D$12,ROUND('Calc base'!D$13*AU47,2))))</f>
        <v>25</v>
      </c>
      <c r="L48">
        <f>IF(AV47&lt;=0,0,IF(ROUND(AV47*(1+'Calc base'!J48),2)-MAX('Calc base'!E$12,ROUND('Calc base'!E$13*AV47,2))&lt;1,ROUND(AV47*(1+'Calc base'!J48),2),MAX('Calc base'!E$12,ROUND('Calc base'!E$13*AV47,2))))</f>
        <v>210</v>
      </c>
      <c r="M48">
        <f>IF(AW47&lt;=0,0,IF(ROUND(AW47*(1+'Calc base'!K48),2)-MAX('Calc base'!F$12,ROUND('Calc base'!F$13*AW47,2))&lt;1,ROUND(AW47*(1+'Calc base'!K48),2),MAX('Calc base'!F$12,ROUND('Calc base'!F$13*AW47,2))))</f>
        <v>265</v>
      </c>
      <c r="N48">
        <f>IF(AX47&lt;=0,0,IF(ROUND(AX47*(1+'Calc base'!L48),2)-MAX('Calc base'!G$12,ROUND('Calc base'!G$13*AX47,2))&lt;1,ROUND(AX47*(1+'Calc base'!L48),2),MAX('Calc base'!G$12,ROUND('Calc base'!G$13*AX47,2))))</f>
        <v>0</v>
      </c>
      <c r="O48">
        <f>IF(AY47&lt;=0,0,IF(ROUND(AY47*(1+'Calc base'!M48),2)-MAX('Calc base'!H$12,ROUND('Calc base'!H$13*AY47,2))&lt;1,ROUND(AY47*(1+'Calc base'!M48),2),MAX('Calc base'!H$12,ROUND('Calc base'!H$13*AY47,2))))</f>
        <v>50</v>
      </c>
      <c r="P48">
        <f>IF(AZ47&lt;=0,0,IF(ROUND(AZ47*(1+'Calc base'!N48),2)-MAX('Calc base'!I$12,ROUND('Calc base'!I$13*AZ47,2))&lt;1,ROUND(AZ47*(1+'Calc base'!N48),2),MAX('Calc base'!I$12,ROUND('Calc base'!I$13*AZ47,2))))</f>
        <v>0</v>
      </c>
      <c r="Q48">
        <f>IF(BA47&lt;=0,0,IF(ROUND(BA47*(1+'Calc base'!O48),2)-MAX('Calc base'!J$12,ROUND('Calc base'!J$13*BA47,2))&lt;1,ROUND(BA47*(1+'Calc base'!O48),2),MAX('Calc base'!J$12,ROUND('Calc base'!J$13*BA47,2))))</f>
        <v>0</v>
      </c>
      <c r="R48">
        <f>IF(BB47&lt;=0,0,IF(ROUND(BB47*(1+'Calc base'!P48),2)-MAX('Calc base'!K$12,ROUND('Calc base'!K$13*BB47,2))&lt;1,ROUND(BB47*(1+'Calc base'!P48),2),MAX('Calc base'!K$12,ROUND('Calc base'!K$13*BB47,2))))</f>
        <v>0</v>
      </c>
      <c r="S48">
        <f>IF(BC47&lt;=0,0,IF(ROUND(BC47*(1+'Calc base'!Q48),2)-MAX('Calc base'!L$12,ROUND('Calc base'!L$13*BC47,2))&lt;1,ROUND(BC47*(1+'Calc base'!Q48),2),MAX('Calc base'!L$12,ROUND('Calc base'!L$13*BC47,2))))</f>
        <v>0</v>
      </c>
      <c r="T48">
        <f>IF(BD47&lt;=0,0,IF(ROUND(BD47*(1+'Calc base'!R48),2)-MAX('Calc base'!M$12,ROUND('Calc base'!M$13*BD47,2))&lt;1,ROUND(BD47*(1+'Calc base'!R48),2),MAX('Calc base'!M$12,ROUND('Calc base'!M$13*BD47,2))))</f>
        <v>0</v>
      </c>
      <c r="U48">
        <f>IF(BE47&lt;=0,0,IF(ROUND(BE47*(1+'Calc base'!S48),2)-MAX('Calc base'!N$12,ROUND('Calc base'!N$13*BE47,2))&lt;1,ROUND(BE47*(1+'Calc base'!S48),2),MAX('Calc base'!N$12,ROUND('Calc base'!N$13*BE47,2))))</f>
        <v>0</v>
      </c>
      <c r="AT48">
        <f>MAX(0,ROUND(AT47*(1+'Calc base'!H48),2)-J48)</f>
        <v>1853.6</v>
      </c>
      <c r="AU48">
        <f>MAX(0,ROUND(AU47*(1+'Calc base'!I48),2)-K48)</f>
        <v>504.31</v>
      </c>
      <c r="AV48">
        <f>MAX(0,ROUND(AV47*(1+'Calc base'!J48),2)-L48)</f>
        <v>3765.41</v>
      </c>
      <c r="AW48">
        <f>MAX(0,ROUND(AW47*(1+'Calc base'!K48),2)-M48)</f>
        <v>5462.04</v>
      </c>
      <c r="AX48">
        <f>MAX(0,ROUND(AX47*(1+'Calc base'!L48),2)-N48)</f>
        <v>0</v>
      </c>
      <c r="AY48">
        <f>MAX(0,ROUND(AY47*(1+'Calc base'!M48),2)-O48)</f>
        <v>600</v>
      </c>
      <c r="AZ48">
        <f>MAX(0,ROUND(AZ47*(1+'Calc base'!N48),2)-P48)</f>
        <v>0</v>
      </c>
      <c r="BA48">
        <f>MAX(0,ROUND(BA47*(1+'Calc base'!O48),2)-Q48)</f>
        <v>0</v>
      </c>
      <c r="BB48">
        <f>MAX(0,ROUND(BB47*(1+'Calc base'!P48),2)-R48)</f>
        <v>0</v>
      </c>
      <c r="BC48">
        <f>MAX(0,ROUND(BC47*(1+'Calc base'!Q48),2)-S48)</f>
        <v>0</v>
      </c>
      <c r="BD48">
        <f>MAX(0,ROUND(BD47*(1+'Calc base'!R48),2)-T48)</f>
        <v>0</v>
      </c>
      <c r="BE48">
        <f>MAX(0,ROUND(BE47*(1+'Calc base'!S48),2)-U48)</f>
        <v>0</v>
      </c>
    </row>
    <row r="49">
      <c r="A49" t="n">
        <v>19</v>
      </c>
      <c r="B49">
        <f>SUMPRODUCT(ROUND($AT48:$BE48*(1+'Calc base'!$H49:$S49),2))</f>
        <v>12281.75</v>
      </c>
      <c r="C49">
        <f>SUM(J49:U49)</f>
        <v>605.61</v>
      </c>
      <c r="G49">
        <f>SUM(AT49:BE49)</f>
        <v>11676.14</v>
      </c>
      <c r="H49">
        <f>B49-G48</f>
        <v>96.3899999999994</v>
      </c>
      <c r="I49">
        <f>B49-G49</f>
        <v>605.610000000001</v>
      </c>
      <c r="J49">
        <f>IF(AT48&lt;=0,0,IF(ROUND(AT48*(1+'Calc base'!H49),2)-MAX('Calc base'!C$12,ROUND('Calc base'!C$13*AT48,2))&lt;1,ROUND(AT48*(1+'Calc base'!H49),2),MAX('Calc base'!C$12,ROUND('Calc base'!C$13*AT48,2))))</f>
        <v>55.61</v>
      </c>
      <c r="K49">
        <f>IF(AU48&lt;=0,0,IF(ROUND(AU48*(1+'Calc base'!I49),2)-MAX('Calc base'!D$12,ROUND('Calc base'!D$13*AU48,2))&lt;1,ROUND(AU48*(1+'Calc base'!I49),2),MAX('Calc base'!D$12,ROUND('Calc base'!D$13*AU48,2))))</f>
        <v>25</v>
      </c>
      <c r="L49">
        <f>IF(AV48&lt;=0,0,IF(ROUND(AV48*(1+'Calc base'!J49),2)-MAX('Calc base'!E$12,ROUND('Calc base'!E$13*AV48,2))&lt;1,ROUND(AV48*(1+'Calc base'!J49),2),MAX('Calc base'!E$12,ROUND('Calc base'!E$13*AV48,2))))</f>
        <v>210</v>
      </c>
      <c r="M49">
        <f>IF(AW48&lt;=0,0,IF(ROUND(AW48*(1+'Calc base'!K49),2)-MAX('Calc base'!F$12,ROUND('Calc base'!F$13*AW48,2))&lt;1,ROUND(AW48*(1+'Calc base'!K49),2),MAX('Calc base'!F$12,ROUND('Calc base'!F$13*AW48,2))))</f>
        <v>265</v>
      </c>
      <c r="N49">
        <f>IF(AX48&lt;=0,0,IF(ROUND(AX48*(1+'Calc base'!L49),2)-MAX('Calc base'!G$12,ROUND('Calc base'!G$13*AX48,2))&lt;1,ROUND(AX48*(1+'Calc base'!L49),2),MAX('Calc base'!G$12,ROUND('Calc base'!G$13*AX48,2))))</f>
        <v>0</v>
      </c>
      <c r="O49">
        <f>IF(AY48&lt;=0,0,IF(ROUND(AY48*(1+'Calc base'!M49),2)-MAX('Calc base'!H$12,ROUND('Calc base'!H$13*AY48,2))&lt;1,ROUND(AY48*(1+'Calc base'!M49),2),MAX('Calc base'!H$12,ROUND('Calc base'!H$13*AY48,2))))</f>
        <v>50</v>
      </c>
      <c r="P49">
        <f>IF(AZ48&lt;=0,0,IF(ROUND(AZ48*(1+'Calc base'!N49),2)-MAX('Calc base'!I$12,ROUND('Calc base'!I$13*AZ48,2))&lt;1,ROUND(AZ48*(1+'Calc base'!N49),2),MAX('Calc base'!I$12,ROUND('Calc base'!I$13*AZ48,2))))</f>
        <v>0</v>
      </c>
      <c r="Q49">
        <f>IF(BA48&lt;=0,0,IF(ROUND(BA48*(1+'Calc base'!O49),2)-MAX('Calc base'!J$12,ROUND('Calc base'!J$13*BA48,2))&lt;1,ROUND(BA48*(1+'Calc base'!O49),2),MAX('Calc base'!J$12,ROUND('Calc base'!J$13*BA48,2))))</f>
        <v>0</v>
      </c>
      <c r="R49">
        <f>IF(BB48&lt;=0,0,IF(ROUND(BB48*(1+'Calc base'!P49),2)-MAX('Calc base'!K$12,ROUND('Calc base'!K$13*BB48,2))&lt;1,ROUND(BB48*(1+'Calc base'!P49),2),MAX('Calc base'!K$12,ROUND('Calc base'!K$13*BB48,2))))</f>
        <v>0</v>
      </c>
      <c r="S49">
        <f>IF(BC48&lt;=0,0,IF(ROUND(BC48*(1+'Calc base'!Q49),2)-MAX('Calc base'!L$12,ROUND('Calc base'!L$13*BC48,2))&lt;1,ROUND(BC48*(1+'Calc base'!Q49),2),MAX('Calc base'!L$12,ROUND('Calc base'!L$13*BC48,2))))</f>
        <v>0</v>
      </c>
      <c r="T49">
        <f>IF(BD48&lt;=0,0,IF(ROUND(BD48*(1+'Calc base'!R49),2)-MAX('Calc base'!M$12,ROUND('Calc base'!M$13*BD48,2))&lt;1,ROUND(BD48*(1+'Calc base'!R49),2),MAX('Calc base'!M$12,ROUND('Calc base'!M$13*BD48,2))))</f>
        <v>0</v>
      </c>
      <c r="U49">
        <f>IF(BE48&lt;=0,0,IF(ROUND(BE48*(1+'Calc base'!S49),2)-MAX('Calc base'!N$12,ROUND('Calc base'!N$13*BE48,2))&lt;1,ROUND(BE48*(1+'Calc base'!S49),2),MAX('Calc base'!N$12,ROUND('Calc base'!N$13*BE48,2))))</f>
        <v>0</v>
      </c>
      <c r="AT49">
        <f>MAX(0,ROUND(AT48*(1+'Calc base'!H49),2)-J49)</f>
        <v>1827.18</v>
      </c>
      <c r="AU49">
        <f>MAX(0,ROUND(AU48*(1+'Calc base'!I49),2)-K49)</f>
        <v>488.51</v>
      </c>
      <c r="AV49">
        <f>MAX(0,ROUND(AV48*(1+'Calc base'!J49),2)-L49)</f>
        <v>3584.28</v>
      </c>
      <c r="AW49">
        <f>MAX(0,ROUND(AW48*(1+'Calc base'!K49),2)-M49)</f>
        <v>5226.17</v>
      </c>
      <c r="AX49">
        <f>MAX(0,ROUND(AX48*(1+'Calc base'!L49),2)-N49)</f>
        <v>0</v>
      </c>
      <c r="AY49">
        <f>MAX(0,ROUND(AY48*(1+'Calc base'!M49),2)-O49)</f>
        <v>550</v>
      </c>
      <c r="AZ49">
        <f>MAX(0,ROUND(AZ48*(1+'Calc base'!N49),2)-P49)</f>
        <v>0</v>
      </c>
      <c r="BA49">
        <f>MAX(0,ROUND(BA48*(1+'Calc base'!O49),2)-Q49)</f>
        <v>0</v>
      </c>
      <c r="BB49">
        <f>MAX(0,ROUND(BB48*(1+'Calc base'!P49),2)-R49)</f>
        <v>0</v>
      </c>
      <c r="BC49">
        <f>MAX(0,ROUND(BC48*(1+'Calc base'!Q49),2)-S49)</f>
        <v>0</v>
      </c>
      <c r="BD49">
        <f>MAX(0,ROUND(BD48*(1+'Calc base'!R49),2)-T49)</f>
        <v>0</v>
      </c>
      <c r="BE49">
        <f>MAX(0,ROUND(BE48*(1+'Calc base'!S49),2)-U49)</f>
        <v>0</v>
      </c>
    </row>
    <row r="50">
      <c r="A50" t="n">
        <v>20</v>
      </c>
      <c r="B50">
        <f>SUMPRODUCT(ROUND($AT49:$BE49*(1+'Calc base'!$H50:$S50),2))</f>
        <v>11769.19</v>
      </c>
      <c r="C50">
        <f>SUM(J50:U50)</f>
        <v>604.82</v>
      </c>
      <c r="G50">
        <f>SUM(AT50:BE50)</f>
        <v>11164.37</v>
      </c>
      <c r="H50">
        <f>B50-G49</f>
        <v>93.0500000000011</v>
      </c>
      <c r="I50">
        <f>B50-G50</f>
        <v>604.82</v>
      </c>
      <c r="J50">
        <f>IF(AT49&lt;=0,0,IF(ROUND(AT49*(1+'Calc base'!H50),2)-MAX('Calc base'!C$12,ROUND('Calc base'!C$13*AT49,2))&lt;1,ROUND(AT49*(1+'Calc base'!H50),2),MAX('Calc base'!C$12,ROUND('Calc base'!C$13*AT49,2))))</f>
        <v>54.82</v>
      </c>
      <c r="K50">
        <f>IF(AU49&lt;=0,0,IF(ROUND(AU49*(1+'Calc base'!I50),2)-MAX('Calc base'!D$12,ROUND('Calc base'!D$13*AU49,2))&lt;1,ROUND(AU49*(1+'Calc base'!I50),2),MAX('Calc base'!D$12,ROUND('Calc base'!D$13*AU49,2))))</f>
        <v>25</v>
      </c>
      <c r="L50">
        <f>IF(AV49&lt;=0,0,IF(ROUND(AV49*(1+'Calc base'!J50),2)-MAX('Calc base'!E$12,ROUND('Calc base'!E$13*AV49,2))&lt;1,ROUND(AV49*(1+'Calc base'!J50),2),MAX('Calc base'!E$12,ROUND('Calc base'!E$13*AV49,2))))</f>
        <v>210</v>
      </c>
      <c r="M50">
        <f>IF(AW49&lt;=0,0,IF(ROUND(AW49*(1+'Calc base'!K50),2)-MAX('Calc base'!F$12,ROUND('Calc base'!F$13*AW49,2))&lt;1,ROUND(AW49*(1+'Calc base'!K50),2),MAX('Calc base'!F$12,ROUND('Calc base'!F$13*AW49,2))))</f>
        <v>265</v>
      </c>
      <c r="N50">
        <f>IF(AX49&lt;=0,0,IF(ROUND(AX49*(1+'Calc base'!L50),2)-MAX('Calc base'!G$12,ROUND('Calc base'!G$13*AX49,2))&lt;1,ROUND(AX49*(1+'Calc base'!L50),2),MAX('Calc base'!G$12,ROUND('Calc base'!G$13*AX49,2))))</f>
        <v>0</v>
      </c>
      <c r="O50">
        <f>IF(AY49&lt;=0,0,IF(ROUND(AY49*(1+'Calc base'!M50),2)-MAX('Calc base'!H$12,ROUND('Calc base'!H$13*AY49,2))&lt;1,ROUND(AY49*(1+'Calc base'!M50),2),MAX('Calc base'!H$12,ROUND('Calc base'!H$13*AY49,2))))</f>
        <v>50</v>
      </c>
      <c r="P50">
        <f>IF(AZ49&lt;=0,0,IF(ROUND(AZ49*(1+'Calc base'!N50),2)-MAX('Calc base'!I$12,ROUND('Calc base'!I$13*AZ49,2))&lt;1,ROUND(AZ49*(1+'Calc base'!N50),2),MAX('Calc base'!I$12,ROUND('Calc base'!I$13*AZ49,2))))</f>
        <v>0</v>
      </c>
      <c r="Q50">
        <f>IF(BA49&lt;=0,0,IF(ROUND(BA49*(1+'Calc base'!O50),2)-MAX('Calc base'!J$12,ROUND('Calc base'!J$13*BA49,2))&lt;1,ROUND(BA49*(1+'Calc base'!O50),2),MAX('Calc base'!J$12,ROUND('Calc base'!J$13*BA49,2))))</f>
        <v>0</v>
      </c>
      <c r="R50">
        <f>IF(BB49&lt;=0,0,IF(ROUND(BB49*(1+'Calc base'!P50),2)-MAX('Calc base'!K$12,ROUND('Calc base'!K$13*BB49,2))&lt;1,ROUND(BB49*(1+'Calc base'!P50),2),MAX('Calc base'!K$12,ROUND('Calc base'!K$13*BB49,2))))</f>
        <v>0</v>
      </c>
      <c r="S50">
        <f>IF(BC49&lt;=0,0,IF(ROUND(BC49*(1+'Calc base'!Q50),2)-MAX('Calc base'!L$12,ROUND('Calc base'!L$13*BC49,2))&lt;1,ROUND(BC49*(1+'Calc base'!Q50),2),MAX('Calc base'!L$12,ROUND('Calc base'!L$13*BC49,2))))</f>
        <v>0</v>
      </c>
      <c r="T50">
        <f>IF(BD49&lt;=0,0,IF(ROUND(BD49*(1+'Calc base'!R50),2)-MAX('Calc base'!M$12,ROUND('Calc base'!M$13*BD49,2))&lt;1,ROUND(BD49*(1+'Calc base'!R50),2),MAX('Calc base'!M$12,ROUND('Calc base'!M$13*BD49,2))))</f>
        <v>0</v>
      </c>
      <c r="U50">
        <f>IF(BE49&lt;=0,0,IF(ROUND(BE49*(1+'Calc base'!S50),2)-MAX('Calc base'!N$12,ROUND('Calc base'!N$13*BE49,2))&lt;1,ROUND(BE49*(1+'Calc base'!S50),2),MAX('Calc base'!N$12,ROUND('Calc base'!N$13*BE49,2))))</f>
        <v>0</v>
      </c>
      <c r="AT50">
        <f>MAX(0,ROUND(AT49*(1+'Calc base'!H50),2)-J50)</f>
        <v>1801.14</v>
      </c>
      <c r="AU50">
        <f>MAX(0,ROUND(AU49*(1+'Calc base'!I50),2)-K50)</f>
        <v>472.43</v>
      </c>
      <c r="AV50">
        <f>MAX(0,ROUND(AV49*(1+'Calc base'!J50),2)-L50)</f>
        <v>3401.76</v>
      </c>
      <c r="AW50">
        <f>MAX(0,ROUND(AW49*(1+'Calc base'!K50),2)-M50)</f>
        <v>4989.04</v>
      </c>
      <c r="AX50">
        <f>MAX(0,ROUND(AX49*(1+'Calc base'!L50),2)-N50)</f>
        <v>0</v>
      </c>
      <c r="AY50">
        <f>MAX(0,ROUND(AY49*(1+'Calc base'!M50),2)-O50)</f>
        <v>500</v>
      </c>
      <c r="AZ50">
        <f>MAX(0,ROUND(AZ49*(1+'Calc base'!N50),2)-P50)</f>
        <v>0</v>
      </c>
      <c r="BA50">
        <f>MAX(0,ROUND(BA49*(1+'Calc base'!O50),2)-Q50)</f>
        <v>0</v>
      </c>
      <c r="BB50">
        <f>MAX(0,ROUND(BB49*(1+'Calc base'!P50),2)-R50)</f>
        <v>0</v>
      </c>
      <c r="BC50">
        <f>MAX(0,ROUND(BC49*(1+'Calc base'!Q50),2)-S50)</f>
        <v>0</v>
      </c>
      <c r="BD50">
        <f>MAX(0,ROUND(BD49*(1+'Calc base'!R50),2)-T50)</f>
        <v>0</v>
      </c>
      <c r="BE50">
        <f>MAX(0,ROUND(BE49*(1+'Calc base'!S50),2)-U50)</f>
        <v>0</v>
      </c>
    </row>
    <row r="51">
      <c r="A51" t="n">
        <v>21</v>
      </c>
      <c r="B51">
        <f>SUMPRODUCT(ROUND($AT50:$BE50*(1+'Calc base'!$H51:$S51),2))</f>
        <v>11254.05</v>
      </c>
      <c r="C51">
        <f>SUM(J51:U51)</f>
        <v>604.03</v>
      </c>
      <c r="G51">
        <f>SUM(AT51:BE51)</f>
        <v>10650.02</v>
      </c>
      <c r="H51">
        <f>B51-G50</f>
        <v>89.6799999999985</v>
      </c>
      <c r="I51">
        <f>B51-G51</f>
        <v>604.029999999999</v>
      </c>
      <c r="J51">
        <f>IF(AT50&lt;=0,0,IF(ROUND(AT50*(1+'Calc base'!H51),2)-MAX('Calc base'!C$12,ROUND('Calc base'!C$13*AT50,2))&lt;1,ROUND(AT50*(1+'Calc base'!H51),2),MAX('Calc base'!C$12,ROUND('Calc base'!C$13*AT50,2))))</f>
        <v>54.03</v>
      </c>
      <c r="K51">
        <f>IF(AU50&lt;=0,0,IF(ROUND(AU50*(1+'Calc base'!I51),2)-MAX('Calc base'!D$12,ROUND('Calc base'!D$13*AU50,2))&lt;1,ROUND(AU50*(1+'Calc base'!I51),2),MAX('Calc base'!D$12,ROUND('Calc base'!D$13*AU50,2))))</f>
        <v>25</v>
      </c>
      <c r="L51">
        <f>IF(AV50&lt;=0,0,IF(ROUND(AV50*(1+'Calc base'!J51),2)-MAX('Calc base'!E$12,ROUND('Calc base'!E$13*AV50,2))&lt;1,ROUND(AV50*(1+'Calc base'!J51),2),MAX('Calc base'!E$12,ROUND('Calc base'!E$13*AV50,2))))</f>
        <v>210</v>
      </c>
      <c r="M51">
        <f>IF(AW50&lt;=0,0,IF(ROUND(AW50*(1+'Calc base'!K51),2)-MAX('Calc base'!F$12,ROUND('Calc base'!F$13*AW50,2))&lt;1,ROUND(AW50*(1+'Calc base'!K51),2),MAX('Calc base'!F$12,ROUND('Calc base'!F$13*AW50,2))))</f>
        <v>265</v>
      </c>
      <c r="N51">
        <f>IF(AX50&lt;=0,0,IF(ROUND(AX50*(1+'Calc base'!L51),2)-MAX('Calc base'!G$12,ROUND('Calc base'!G$13*AX50,2))&lt;1,ROUND(AX50*(1+'Calc base'!L51),2),MAX('Calc base'!G$12,ROUND('Calc base'!G$13*AX50,2))))</f>
        <v>0</v>
      </c>
      <c r="O51">
        <f>IF(AY50&lt;=0,0,IF(ROUND(AY50*(1+'Calc base'!M51),2)-MAX('Calc base'!H$12,ROUND('Calc base'!H$13*AY50,2))&lt;1,ROUND(AY50*(1+'Calc base'!M51),2),MAX('Calc base'!H$12,ROUND('Calc base'!H$13*AY50,2))))</f>
        <v>50</v>
      </c>
      <c r="P51">
        <f>IF(AZ50&lt;=0,0,IF(ROUND(AZ50*(1+'Calc base'!N51),2)-MAX('Calc base'!I$12,ROUND('Calc base'!I$13*AZ50,2))&lt;1,ROUND(AZ50*(1+'Calc base'!N51),2),MAX('Calc base'!I$12,ROUND('Calc base'!I$13*AZ50,2))))</f>
        <v>0</v>
      </c>
      <c r="Q51">
        <f>IF(BA50&lt;=0,0,IF(ROUND(BA50*(1+'Calc base'!O51),2)-MAX('Calc base'!J$12,ROUND('Calc base'!J$13*BA50,2))&lt;1,ROUND(BA50*(1+'Calc base'!O51),2),MAX('Calc base'!J$12,ROUND('Calc base'!J$13*BA50,2))))</f>
        <v>0</v>
      </c>
      <c r="R51">
        <f>IF(BB50&lt;=0,0,IF(ROUND(BB50*(1+'Calc base'!P51),2)-MAX('Calc base'!K$12,ROUND('Calc base'!K$13*BB50,2))&lt;1,ROUND(BB50*(1+'Calc base'!P51),2),MAX('Calc base'!K$12,ROUND('Calc base'!K$13*BB50,2))))</f>
        <v>0</v>
      </c>
      <c r="S51">
        <f>IF(BC50&lt;=0,0,IF(ROUND(BC50*(1+'Calc base'!Q51),2)-MAX('Calc base'!L$12,ROUND('Calc base'!L$13*BC50,2))&lt;1,ROUND(BC50*(1+'Calc base'!Q51),2),MAX('Calc base'!L$12,ROUND('Calc base'!L$13*BC50,2))))</f>
        <v>0</v>
      </c>
      <c r="T51">
        <f>IF(BD50&lt;=0,0,IF(ROUND(BD50*(1+'Calc base'!R51),2)-MAX('Calc base'!M$12,ROUND('Calc base'!M$13*BD50,2))&lt;1,ROUND(BD50*(1+'Calc base'!R51),2),MAX('Calc base'!M$12,ROUND('Calc base'!M$13*BD50,2))))</f>
        <v>0</v>
      </c>
      <c r="U51">
        <f>IF(BE50&lt;=0,0,IF(ROUND(BE50*(1+'Calc base'!S51),2)-MAX('Calc base'!N$12,ROUND('Calc base'!N$13*BE50,2))&lt;1,ROUND(BE50*(1+'Calc base'!S51),2),MAX('Calc base'!N$12,ROUND('Calc base'!N$13*BE50,2))))</f>
        <v>0</v>
      </c>
      <c r="AT51">
        <f>MAX(0,ROUND(AT50*(1+'Calc base'!H51),2)-J51)</f>
        <v>1775.48</v>
      </c>
      <c r="AU51">
        <f>MAX(0,ROUND(AU50*(1+'Calc base'!I51),2)-K51)</f>
        <v>456.05</v>
      </c>
      <c r="AV51">
        <f>MAX(0,ROUND(AV50*(1+'Calc base'!J51),2)-L51)</f>
        <v>3217.84</v>
      </c>
      <c r="AW51">
        <f>MAX(0,ROUND(AW50*(1+'Calc base'!K51),2)-M51)</f>
        <v>4750.65</v>
      </c>
      <c r="AX51">
        <f>MAX(0,ROUND(AX50*(1+'Calc base'!L51),2)-N51)</f>
        <v>0</v>
      </c>
      <c r="AY51">
        <f>MAX(0,ROUND(AY50*(1+'Calc base'!M51),2)-O51)</f>
        <v>450</v>
      </c>
      <c r="AZ51">
        <f>MAX(0,ROUND(AZ50*(1+'Calc base'!N51),2)-P51)</f>
        <v>0</v>
      </c>
      <c r="BA51">
        <f>MAX(0,ROUND(BA50*(1+'Calc base'!O51),2)-Q51)</f>
        <v>0</v>
      </c>
      <c r="BB51">
        <f>MAX(0,ROUND(BB50*(1+'Calc base'!P51),2)-R51)</f>
        <v>0</v>
      </c>
      <c r="BC51">
        <f>MAX(0,ROUND(BC50*(1+'Calc base'!Q51),2)-S51)</f>
        <v>0</v>
      </c>
      <c r="BD51">
        <f>MAX(0,ROUND(BD50*(1+'Calc base'!R51),2)-T51)</f>
        <v>0</v>
      </c>
      <c r="BE51">
        <f>MAX(0,ROUND(BE50*(1+'Calc base'!S51),2)-U51)</f>
        <v>0</v>
      </c>
    </row>
    <row r="52">
      <c r="A52" t="n">
        <v>22</v>
      </c>
      <c r="B52">
        <f>SUMPRODUCT(ROUND($AT51:$BE51*(1+'Calc base'!$H52:$S52),2))</f>
        <v>10736.31</v>
      </c>
      <c r="C52">
        <f>SUM(J52:U52)</f>
        <v>603.26</v>
      </c>
      <c r="G52">
        <f>SUM(AT52:BE52)</f>
        <v>10133.05</v>
      </c>
      <c r="H52">
        <f>B52-G51</f>
        <v>86.2899999999991</v>
      </c>
      <c r="I52">
        <f>B52-G52</f>
        <v>603.26</v>
      </c>
      <c r="J52">
        <f>IF(AT51&lt;=0,0,IF(ROUND(AT51*(1+'Calc base'!H52),2)-MAX('Calc base'!C$12,ROUND('Calc base'!C$13*AT51,2))&lt;1,ROUND(AT51*(1+'Calc base'!H52),2),MAX('Calc base'!C$12,ROUND('Calc base'!C$13*AT51,2))))</f>
        <v>53.26</v>
      </c>
      <c r="K52">
        <f>IF(AU51&lt;=0,0,IF(ROUND(AU51*(1+'Calc base'!I52),2)-MAX('Calc base'!D$12,ROUND('Calc base'!D$13*AU51,2))&lt;1,ROUND(AU51*(1+'Calc base'!I52),2),MAX('Calc base'!D$12,ROUND('Calc base'!D$13*AU51,2))))</f>
        <v>25</v>
      </c>
      <c r="L52">
        <f>IF(AV51&lt;=0,0,IF(ROUND(AV51*(1+'Calc base'!J52),2)-MAX('Calc base'!E$12,ROUND('Calc base'!E$13*AV51,2))&lt;1,ROUND(AV51*(1+'Calc base'!J52),2),MAX('Calc base'!E$12,ROUND('Calc base'!E$13*AV51,2))))</f>
        <v>210</v>
      </c>
      <c r="M52">
        <f>IF(AW51&lt;=0,0,IF(ROUND(AW51*(1+'Calc base'!K52),2)-MAX('Calc base'!F$12,ROUND('Calc base'!F$13*AW51,2))&lt;1,ROUND(AW51*(1+'Calc base'!K52),2),MAX('Calc base'!F$12,ROUND('Calc base'!F$13*AW51,2))))</f>
        <v>265</v>
      </c>
      <c r="N52">
        <f>IF(AX51&lt;=0,0,IF(ROUND(AX51*(1+'Calc base'!L52),2)-MAX('Calc base'!G$12,ROUND('Calc base'!G$13*AX51,2))&lt;1,ROUND(AX51*(1+'Calc base'!L52),2),MAX('Calc base'!G$12,ROUND('Calc base'!G$13*AX51,2))))</f>
        <v>0</v>
      </c>
      <c r="O52">
        <f>IF(AY51&lt;=0,0,IF(ROUND(AY51*(1+'Calc base'!M52),2)-MAX('Calc base'!H$12,ROUND('Calc base'!H$13*AY51,2))&lt;1,ROUND(AY51*(1+'Calc base'!M52),2),MAX('Calc base'!H$12,ROUND('Calc base'!H$13*AY51,2))))</f>
        <v>50</v>
      </c>
      <c r="P52">
        <f>IF(AZ51&lt;=0,0,IF(ROUND(AZ51*(1+'Calc base'!N52),2)-MAX('Calc base'!I$12,ROUND('Calc base'!I$13*AZ51,2))&lt;1,ROUND(AZ51*(1+'Calc base'!N52),2),MAX('Calc base'!I$12,ROUND('Calc base'!I$13*AZ51,2))))</f>
        <v>0</v>
      </c>
      <c r="Q52">
        <f>IF(BA51&lt;=0,0,IF(ROUND(BA51*(1+'Calc base'!O52),2)-MAX('Calc base'!J$12,ROUND('Calc base'!J$13*BA51,2))&lt;1,ROUND(BA51*(1+'Calc base'!O52),2),MAX('Calc base'!J$12,ROUND('Calc base'!J$13*BA51,2))))</f>
        <v>0</v>
      </c>
      <c r="R52">
        <f>IF(BB51&lt;=0,0,IF(ROUND(BB51*(1+'Calc base'!P52),2)-MAX('Calc base'!K$12,ROUND('Calc base'!K$13*BB51,2))&lt;1,ROUND(BB51*(1+'Calc base'!P52),2),MAX('Calc base'!K$12,ROUND('Calc base'!K$13*BB51,2))))</f>
        <v>0</v>
      </c>
      <c r="S52">
        <f>IF(BC51&lt;=0,0,IF(ROUND(BC51*(1+'Calc base'!Q52),2)-MAX('Calc base'!L$12,ROUND('Calc base'!L$13*BC51,2))&lt;1,ROUND(BC51*(1+'Calc base'!Q52),2),MAX('Calc base'!L$12,ROUND('Calc base'!L$13*BC51,2))))</f>
        <v>0</v>
      </c>
      <c r="T52">
        <f>IF(BD51&lt;=0,0,IF(ROUND(BD51*(1+'Calc base'!R52),2)-MAX('Calc base'!M$12,ROUND('Calc base'!M$13*BD51,2))&lt;1,ROUND(BD51*(1+'Calc base'!R52),2),MAX('Calc base'!M$12,ROUND('Calc base'!M$13*BD51,2))))</f>
        <v>0</v>
      </c>
      <c r="U52">
        <f>IF(BE51&lt;=0,0,IF(ROUND(BE51*(1+'Calc base'!S52),2)-MAX('Calc base'!N$12,ROUND('Calc base'!N$13*BE51,2))&lt;1,ROUND(BE51*(1+'Calc base'!S52),2),MAX('Calc base'!N$12,ROUND('Calc base'!N$13*BE51,2))))</f>
        <v>0</v>
      </c>
      <c r="AT52">
        <f>MAX(0,ROUND(AT51*(1+'Calc base'!H52),2)-J52)</f>
        <v>1750.18</v>
      </c>
      <c r="AU52">
        <f>MAX(0,ROUND(AU51*(1+'Calc base'!I52),2)-K52)</f>
        <v>439.37</v>
      </c>
      <c r="AV52">
        <f>MAX(0,ROUND(AV51*(1+'Calc base'!J52),2)-L52)</f>
        <v>3032.51</v>
      </c>
      <c r="AW52">
        <f>MAX(0,ROUND(AW51*(1+'Calc base'!K52),2)-M52)</f>
        <v>4510.99</v>
      </c>
      <c r="AX52">
        <f>MAX(0,ROUND(AX51*(1+'Calc base'!L52),2)-N52)</f>
        <v>0</v>
      </c>
      <c r="AY52">
        <f>MAX(0,ROUND(AY51*(1+'Calc base'!M52),2)-O52)</f>
        <v>400</v>
      </c>
      <c r="AZ52">
        <f>MAX(0,ROUND(AZ51*(1+'Calc base'!N52),2)-P52)</f>
        <v>0</v>
      </c>
      <c r="BA52">
        <f>MAX(0,ROUND(BA51*(1+'Calc base'!O52),2)-Q52)</f>
        <v>0</v>
      </c>
      <c r="BB52">
        <f>MAX(0,ROUND(BB51*(1+'Calc base'!P52),2)-R52)</f>
        <v>0</v>
      </c>
      <c r="BC52">
        <f>MAX(0,ROUND(BC51*(1+'Calc base'!Q52),2)-S52)</f>
        <v>0</v>
      </c>
      <c r="BD52">
        <f>MAX(0,ROUND(BD51*(1+'Calc base'!R52),2)-T52)</f>
        <v>0</v>
      </c>
      <c r="BE52">
        <f>MAX(0,ROUND(BE51*(1+'Calc base'!S52),2)-U52)</f>
        <v>0</v>
      </c>
    </row>
    <row r="53">
      <c r="A53" t="n">
        <v>23</v>
      </c>
      <c r="B53">
        <f>SUMPRODUCT(ROUND($AT52:$BE52*(1+'Calc base'!$H53:$S53),2))</f>
        <v>10215.95</v>
      </c>
      <c r="C53">
        <f>SUM(J53:U53)</f>
        <v>602.51</v>
      </c>
      <c r="G53">
        <f>SUM(AT53:BE53)</f>
        <v>9613.44</v>
      </c>
      <c r="H53">
        <f>B53-G52</f>
        <v>82.9000000000015</v>
      </c>
      <c r="I53">
        <f>B53-G53</f>
        <v>602.51</v>
      </c>
      <c r="J53">
        <f>IF(AT52&lt;=0,0,IF(ROUND(AT52*(1+'Calc base'!H53),2)-MAX('Calc base'!C$12,ROUND('Calc base'!C$13*AT52,2))&lt;1,ROUND(AT52*(1+'Calc base'!H53),2),MAX('Calc base'!C$12,ROUND('Calc base'!C$13*AT52,2))))</f>
        <v>52.51</v>
      </c>
      <c r="K53">
        <f>IF(AU52&lt;=0,0,IF(ROUND(AU52*(1+'Calc base'!I53),2)-MAX('Calc base'!D$12,ROUND('Calc base'!D$13*AU52,2))&lt;1,ROUND(AU52*(1+'Calc base'!I53),2),MAX('Calc base'!D$12,ROUND('Calc base'!D$13*AU52,2))))</f>
        <v>25</v>
      </c>
      <c r="L53">
        <f>IF(AV52&lt;=0,0,IF(ROUND(AV52*(1+'Calc base'!J53),2)-MAX('Calc base'!E$12,ROUND('Calc base'!E$13*AV52,2))&lt;1,ROUND(AV52*(1+'Calc base'!J53),2),MAX('Calc base'!E$12,ROUND('Calc base'!E$13*AV52,2))))</f>
        <v>210</v>
      </c>
      <c r="M53">
        <f>IF(AW52&lt;=0,0,IF(ROUND(AW52*(1+'Calc base'!K53),2)-MAX('Calc base'!F$12,ROUND('Calc base'!F$13*AW52,2))&lt;1,ROUND(AW52*(1+'Calc base'!K53),2),MAX('Calc base'!F$12,ROUND('Calc base'!F$13*AW52,2))))</f>
        <v>265</v>
      </c>
      <c r="N53">
        <f>IF(AX52&lt;=0,0,IF(ROUND(AX52*(1+'Calc base'!L53),2)-MAX('Calc base'!G$12,ROUND('Calc base'!G$13*AX52,2))&lt;1,ROUND(AX52*(1+'Calc base'!L53),2),MAX('Calc base'!G$12,ROUND('Calc base'!G$13*AX52,2))))</f>
        <v>0</v>
      </c>
      <c r="O53">
        <f>IF(AY52&lt;=0,0,IF(ROUND(AY52*(1+'Calc base'!M53),2)-MAX('Calc base'!H$12,ROUND('Calc base'!H$13*AY52,2))&lt;1,ROUND(AY52*(1+'Calc base'!M53),2),MAX('Calc base'!H$12,ROUND('Calc base'!H$13*AY52,2))))</f>
        <v>50</v>
      </c>
      <c r="P53">
        <f>IF(AZ52&lt;=0,0,IF(ROUND(AZ52*(1+'Calc base'!N53),2)-MAX('Calc base'!I$12,ROUND('Calc base'!I$13*AZ52,2))&lt;1,ROUND(AZ52*(1+'Calc base'!N53),2),MAX('Calc base'!I$12,ROUND('Calc base'!I$13*AZ52,2))))</f>
        <v>0</v>
      </c>
      <c r="Q53">
        <f>IF(BA52&lt;=0,0,IF(ROUND(BA52*(1+'Calc base'!O53),2)-MAX('Calc base'!J$12,ROUND('Calc base'!J$13*BA52,2))&lt;1,ROUND(BA52*(1+'Calc base'!O53),2),MAX('Calc base'!J$12,ROUND('Calc base'!J$13*BA52,2))))</f>
        <v>0</v>
      </c>
      <c r="R53">
        <f>IF(BB52&lt;=0,0,IF(ROUND(BB52*(1+'Calc base'!P53),2)-MAX('Calc base'!K$12,ROUND('Calc base'!K$13*BB52,2))&lt;1,ROUND(BB52*(1+'Calc base'!P53),2),MAX('Calc base'!K$12,ROUND('Calc base'!K$13*BB52,2))))</f>
        <v>0</v>
      </c>
      <c r="S53">
        <f>IF(BC52&lt;=0,0,IF(ROUND(BC52*(1+'Calc base'!Q53),2)-MAX('Calc base'!L$12,ROUND('Calc base'!L$13*BC52,2))&lt;1,ROUND(BC52*(1+'Calc base'!Q53),2),MAX('Calc base'!L$12,ROUND('Calc base'!L$13*BC52,2))))</f>
        <v>0</v>
      </c>
      <c r="T53">
        <f>IF(BD52&lt;=0,0,IF(ROUND(BD52*(1+'Calc base'!R53),2)-MAX('Calc base'!M$12,ROUND('Calc base'!M$13*BD52,2))&lt;1,ROUND(BD52*(1+'Calc base'!R53),2),MAX('Calc base'!M$12,ROUND('Calc base'!M$13*BD52,2))))</f>
        <v>0</v>
      </c>
      <c r="U53">
        <f>IF(BE52&lt;=0,0,IF(ROUND(BE52*(1+'Calc base'!S53),2)-MAX('Calc base'!N$12,ROUND('Calc base'!N$13*BE52,2))&lt;1,ROUND(BE52*(1+'Calc base'!S53),2),MAX('Calc base'!N$12,ROUND('Calc base'!N$13*BE52,2))))</f>
        <v>0</v>
      </c>
      <c r="AT53">
        <f>MAX(0,ROUND(AT52*(1+'Calc base'!H53),2)-J53)</f>
        <v>1725.24</v>
      </c>
      <c r="AU53">
        <f>MAX(0,ROUND(AU52*(1+'Calc base'!I53),2)-K53)</f>
        <v>422.39</v>
      </c>
      <c r="AV53">
        <f>MAX(0,ROUND(AV52*(1+'Calc base'!J53),2)-L53)</f>
        <v>2845.76</v>
      </c>
      <c r="AW53">
        <f>MAX(0,ROUND(AW52*(1+'Calc base'!K53),2)-M53)</f>
        <v>4270.05</v>
      </c>
      <c r="AX53">
        <f>MAX(0,ROUND(AX52*(1+'Calc base'!L53),2)-N53)</f>
        <v>0</v>
      </c>
      <c r="AY53">
        <f>MAX(0,ROUND(AY52*(1+'Calc base'!M53),2)-O53)</f>
        <v>350</v>
      </c>
      <c r="AZ53">
        <f>MAX(0,ROUND(AZ52*(1+'Calc base'!N53),2)-P53)</f>
        <v>0</v>
      </c>
      <c r="BA53">
        <f>MAX(0,ROUND(BA52*(1+'Calc base'!O53),2)-Q53)</f>
        <v>0</v>
      </c>
      <c r="BB53">
        <f>MAX(0,ROUND(BB52*(1+'Calc base'!P53),2)-R53)</f>
        <v>0</v>
      </c>
      <c r="BC53">
        <f>MAX(0,ROUND(BC52*(1+'Calc base'!Q53),2)-S53)</f>
        <v>0</v>
      </c>
      <c r="BD53">
        <f>MAX(0,ROUND(BD52*(1+'Calc base'!R53),2)-T53)</f>
        <v>0</v>
      </c>
      <c r="BE53">
        <f>MAX(0,ROUND(BE52*(1+'Calc base'!S53),2)-U53)</f>
        <v>0</v>
      </c>
    </row>
    <row r="54">
      <c r="A54" t="n">
        <v>24</v>
      </c>
      <c r="B54">
        <f>SUMPRODUCT(ROUND($AT53:$BE53*(1+'Calc base'!$H54:$S54),2))</f>
        <v>9692.91</v>
      </c>
      <c r="C54">
        <f>SUM(J54:U54)</f>
        <v>601.76</v>
      </c>
      <c r="G54">
        <f>SUM(AT54:BE54)</f>
        <v>9091.15</v>
      </c>
      <c r="H54">
        <f>B54-G53</f>
        <v>79.4699999999994</v>
      </c>
      <c r="I54">
        <f>B54-G54</f>
        <v>601.76</v>
      </c>
      <c r="J54">
        <f>IF(AT53&lt;=0,0,IF(ROUND(AT53*(1+'Calc base'!H54),2)-MAX('Calc base'!C$12,ROUND('Calc base'!C$13*AT53,2))&lt;1,ROUND(AT53*(1+'Calc base'!H54),2),MAX('Calc base'!C$12,ROUND('Calc base'!C$13*AT53,2))))</f>
        <v>51.76</v>
      </c>
      <c r="K54">
        <f>IF(AU53&lt;=0,0,IF(ROUND(AU53*(1+'Calc base'!I54),2)-MAX('Calc base'!D$12,ROUND('Calc base'!D$13*AU53,2))&lt;1,ROUND(AU53*(1+'Calc base'!I54),2),MAX('Calc base'!D$12,ROUND('Calc base'!D$13*AU53,2))))</f>
        <v>25</v>
      </c>
      <c r="L54">
        <f>IF(AV53&lt;=0,0,IF(ROUND(AV53*(1+'Calc base'!J54),2)-MAX('Calc base'!E$12,ROUND('Calc base'!E$13*AV53,2))&lt;1,ROUND(AV53*(1+'Calc base'!J54),2),MAX('Calc base'!E$12,ROUND('Calc base'!E$13*AV53,2))))</f>
        <v>210</v>
      </c>
      <c r="M54">
        <f>IF(AW53&lt;=0,0,IF(ROUND(AW53*(1+'Calc base'!K54),2)-MAX('Calc base'!F$12,ROUND('Calc base'!F$13*AW53,2))&lt;1,ROUND(AW53*(1+'Calc base'!K54),2),MAX('Calc base'!F$12,ROUND('Calc base'!F$13*AW53,2))))</f>
        <v>265</v>
      </c>
      <c r="N54">
        <f>IF(AX53&lt;=0,0,IF(ROUND(AX53*(1+'Calc base'!L54),2)-MAX('Calc base'!G$12,ROUND('Calc base'!G$13*AX53,2))&lt;1,ROUND(AX53*(1+'Calc base'!L54),2),MAX('Calc base'!G$12,ROUND('Calc base'!G$13*AX53,2))))</f>
        <v>0</v>
      </c>
      <c r="O54">
        <f>IF(AY53&lt;=0,0,IF(ROUND(AY53*(1+'Calc base'!M54),2)-MAX('Calc base'!H$12,ROUND('Calc base'!H$13*AY53,2))&lt;1,ROUND(AY53*(1+'Calc base'!M54),2),MAX('Calc base'!H$12,ROUND('Calc base'!H$13*AY53,2))))</f>
        <v>50</v>
      </c>
      <c r="P54">
        <f>IF(AZ53&lt;=0,0,IF(ROUND(AZ53*(1+'Calc base'!N54),2)-MAX('Calc base'!I$12,ROUND('Calc base'!I$13*AZ53,2))&lt;1,ROUND(AZ53*(1+'Calc base'!N54),2),MAX('Calc base'!I$12,ROUND('Calc base'!I$13*AZ53,2))))</f>
        <v>0</v>
      </c>
      <c r="Q54">
        <f>IF(BA53&lt;=0,0,IF(ROUND(BA53*(1+'Calc base'!O54),2)-MAX('Calc base'!J$12,ROUND('Calc base'!J$13*BA53,2))&lt;1,ROUND(BA53*(1+'Calc base'!O54),2),MAX('Calc base'!J$12,ROUND('Calc base'!J$13*BA53,2))))</f>
        <v>0</v>
      </c>
      <c r="R54">
        <f>IF(BB53&lt;=0,0,IF(ROUND(BB53*(1+'Calc base'!P54),2)-MAX('Calc base'!K$12,ROUND('Calc base'!K$13*BB53,2))&lt;1,ROUND(BB53*(1+'Calc base'!P54),2),MAX('Calc base'!K$12,ROUND('Calc base'!K$13*BB53,2))))</f>
        <v>0</v>
      </c>
      <c r="S54">
        <f>IF(BC53&lt;=0,0,IF(ROUND(BC53*(1+'Calc base'!Q54),2)-MAX('Calc base'!L$12,ROUND('Calc base'!L$13*BC53,2))&lt;1,ROUND(BC53*(1+'Calc base'!Q54),2),MAX('Calc base'!L$12,ROUND('Calc base'!L$13*BC53,2))))</f>
        <v>0</v>
      </c>
      <c r="T54">
        <f>IF(BD53&lt;=0,0,IF(ROUND(BD53*(1+'Calc base'!R54),2)-MAX('Calc base'!M$12,ROUND('Calc base'!M$13*BD53,2))&lt;1,ROUND(BD53*(1+'Calc base'!R54),2),MAX('Calc base'!M$12,ROUND('Calc base'!M$13*BD53,2))))</f>
        <v>0</v>
      </c>
      <c r="U54">
        <f>IF(BE53&lt;=0,0,IF(ROUND(BE53*(1+'Calc base'!S54),2)-MAX('Calc base'!N$12,ROUND('Calc base'!N$13*BE53,2))&lt;1,ROUND(BE53*(1+'Calc base'!S54),2),MAX('Calc base'!N$12,ROUND('Calc base'!N$13*BE53,2))))</f>
        <v>0</v>
      </c>
      <c r="AT54">
        <f>MAX(0,ROUND(AT53*(1+'Calc base'!H54),2)-J54)</f>
        <v>1700.65</v>
      </c>
      <c r="AU54">
        <f>MAX(0,ROUND(AU53*(1+'Calc base'!I54),2)-K54)</f>
        <v>405.1</v>
      </c>
      <c r="AV54">
        <f>MAX(0,ROUND(AV53*(1+'Calc base'!J54),2)-L54)</f>
        <v>2657.58</v>
      </c>
      <c r="AW54">
        <f>MAX(0,ROUND(AW53*(1+'Calc base'!K54),2)-M54)</f>
        <v>4027.82</v>
      </c>
      <c r="AX54">
        <f>MAX(0,ROUND(AX53*(1+'Calc base'!L54),2)-N54)</f>
        <v>0</v>
      </c>
      <c r="AY54">
        <f>MAX(0,ROUND(AY53*(1+'Calc base'!M54),2)-O54)</f>
        <v>300</v>
      </c>
      <c r="AZ54">
        <f>MAX(0,ROUND(AZ53*(1+'Calc base'!N54),2)-P54)</f>
        <v>0</v>
      </c>
      <c r="BA54">
        <f>MAX(0,ROUND(BA53*(1+'Calc base'!O54),2)-Q54)</f>
        <v>0</v>
      </c>
      <c r="BB54">
        <f>MAX(0,ROUND(BB53*(1+'Calc base'!P54),2)-R54)</f>
        <v>0</v>
      </c>
      <c r="BC54">
        <f>MAX(0,ROUND(BC53*(1+'Calc base'!Q54),2)-S54)</f>
        <v>0</v>
      </c>
      <c r="BD54">
        <f>MAX(0,ROUND(BD53*(1+'Calc base'!R54),2)-T54)</f>
        <v>0</v>
      </c>
      <c r="BE54">
        <f>MAX(0,ROUND(BE53*(1+'Calc base'!S54),2)-U54)</f>
        <v>0</v>
      </c>
    </row>
    <row r="55">
      <c r="A55" t="n">
        <v>25</v>
      </c>
      <c r="B55">
        <f>SUMPRODUCT(ROUND($AT54:$BE54*(1+'Calc base'!$H55:$S55),2))</f>
        <v>9167.18</v>
      </c>
      <c r="C55">
        <f>SUM(J55:U55)</f>
        <v>601.02</v>
      </c>
      <c r="G55">
        <f>SUM(AT55:BE55)</f>
        <v>8566.16</v>
      </c>
      <c r="H55">
        <f>B55-G54</f>
        <v>76.0300000000007</v>
      </c>
      <c r="I55">
        <f>B55-G55</f>
        <v>601.02</v>
      </c>
      <c r="J55">
        <f>IF(AT54&lt;=0,0,IF(ROUND(AT54*(1+'Calc base'!H55),2)-MAX('Calc base'!C$12,ROUND('Calc base'!C$13*AT54,2))&lt;1,ROUND(AT54*(1+'Calc base'!H55),2),MAX('Calc base'!C$12,ROUND('Calc base'!C$13*AT54,2))))</f>
        <v>51.02</v>
      </c>
      <c r="K55">
        <f>IF(AU54&lt;=0,0,IF(ROUND(AU54*(1+'Calc base'!I55),2)-MAX('Calc base'!D$12,ROUND('Calc base'!D$13*AU54,2))&lt;1,ROUND(AU54*(1+'Calc base'!I55),2),MAX('Calc base'!D$12,ROUND('Calc base'!D$13*AU54,2))))</f>
        <v>25</v>
      </c>
      <c r="L55">
        <f>IF(AV54&lt;=0,0,IF(ROUND(AV54*(1+'Calc base'!J55),2)-MAX('Calc base'!E$12,ROUND('Calc base'!E$13*AV54,2))&lt;1,ROUND(AV54*(1+'Calc base'!J55),2),MAX('Calc base'!E$12,ROUND('Calc base'!E$13*AV54,2))))</f>
        <v>210</v>
      </c>
      <c r="M55">
        <f>IF(AW54&lt;=0,0,IF(ROUND(AW54*(1+'Calc base'!K55),2)-MAX('Calc base'!F$12,ROUND('Calc base'!F$13*AW54,2))&lt;1,ROUND(AW54*(1+'Calc base'!K55),2),MAX('Calc base'!F$12,ROUND('Calc base'!F$13*AW54,2))))</f>
        <v>265</v>
      </c>
      <c r="N55">
        <f>IF(AX54&lt;=0,0,IF(ROUND(AX54*(1+'Calc base'!L55),2)-MAX('Calc base'!G$12,ROUND('Calc base'!G$13*AX54,2))&lt;1,ROUND(AX54*(1+'Calc base'!L55),2),MAX('Calc base'!G$12,ROUND('Calc base'!G$13*AX54,2))))</f>
        <v>0</v>
      </c>
      <c r="O55">
        <f>IF(AY54&lt;=0,0,IF(ROUND(AY54*(1+'Calc base'!M55),2)-MAX('Calc base'!H$12,ROUND('Calc base'!H$13*AY54,2))&lt;1,ROUND(AY54*(1+'Calc base'!M55),2),MAX('Calc base'!H$12,ROUND('Calc base'!H$13*AY54,2))))</f>
        <v>50</v>
      </c>
      <c r="P55">
        <f>IF(AZ54&lt;=0,0,IF(ROUND(AZ54*(1+'Calc base'!N55),2)-MAX('Calc base'!I$12,ROUND('Calc base'!I$13*AZ54,2))&lt;1,ROUND(AZ54*(1+'Calc base'!N55),2),MAX('Calc base'!I$12,ROUND('Calc base'!I$13*AZ54,2))))</f>
        <v>0</v>
      </c>
      <c r="Q55">
        <f>IF(BA54&lt;=0,0,IF(ROUND(BA54*(1+'Calc base'!O55),2)-MAX('Calc base'!J$12,ROUND('Calc base'!J$13*BA54,2))&lt;1,ROUND(BA54*(1+'Calc base'!O55),2),MAX('Calc base'!J$12,ROUND('Calc base'!J$13*BA54,2))))</f>
        <v>0</v>
      </c>
      <c r="R55">
        <f>IF(BB54&lt;=0,0,IF(ROUND(BB54*(1+'Calc base'!P55),2)-MAX('Calc base'!K$12,ROUND('Calc base'!K$13*BB54,2))&lt;1,ROUND(BB54*(1+'Calc base'!P55),2),MAX('Calc base'!K$12,ROUND('Calc base'!K$13*BB54,2))))</f>
        <v>0</v>
      </c>
      <c r="S55">
        <f>IF(BC54&lt;=0,0,IF(ROUND(BC54*(1+'Calc base'!Q55),2)-MAX('Calc base'!L$12,ROUND('Calc base'!L$13*BC54,2))&lt;1,ROUND(BC54*(1+'Calc base'!Q55),2),MAX('Calc base'!L$12,ROUND('Calc base'!L$13*BC54,2))))</f>
        <v>0</v>
      </c>
      <c r="T55">
        <f>IF(BD54&lt;=0,0,IF(ROUND(BD54*(1+'Calc base'!R55),2)-MAX('Calc base'!M$12,ROUND('Calc base'!M$13*BD54,2))&lt;1,ROUND(BD54*(1+'Calc base'!R55),2),MAX('Calc base'!M$12,ROUND('Calc base'!M$13*BD54,2))))</f>
        <v>0</v>
      </c>
      <c r="U55">
        <f>IF(BE54&lt;=0,0,IF(ROUND(BE54*(1+'Calc base'!S55),2)-MAX('Calc base'!N$12,ROUND('Calc base'!N$13*BE54,2))&lt;1,ROUND(BE54*(1+'Calc base'!S55),2),MAX('Calc base'!N$12,ROUND('Calc base'!N$13*BE54,2))))</f>
        <v>0</v>
      </c>
      <c r="AT55">
        <f>MAX(0,ROUND(AT54*(1+'Calc base'!H55),2)-J55)</f>
        <v>1676.42</v>
      </c>
      <c r="AU55">
        <f>MAX(0,ROUND(AU54*(1+'Calc base'!I55),2)-K55)</f>
        <v>387.49</v>
      </c>
      <c r="AV55">
        <f>MAX(0,ROUND(AV54*(1+'Calc base'!J55),2)-L55)</f>
        <v>2467.95</v>
      </c>
      <c r="AW55">
        <f>MAX(0,ROUND(AW54*(1+'Calc base'!K55),2)-M55)</f>
        <v>3784.3</v>
      </c>
      <c r="AX55">
        <f>MAX(0,ROUND(AX54*(1+'Calc base'!L55),2)-N55)</f>
        <v>0</v>
      </c>
      <c r="AY55">
        <f>MAX(0,ROUND(AY54*(1+'Calc base'!M55),2)-O55)</f>
        <v>250</v>
      </c>
      <c r="AZ55">
        <f>MAX(0,ROUND(AZ54*(1+'Calc base'!N55),2)-P55)</f>
        <v>0</v>
      </c>
      <c r="BA55">
        <f>MAX(0,ROUND(BA54*(1+'Calc base'!O55),2)-Q55)</f>
        <v>0</v>
      </c>
      <c r="BB55">
        <f>MAX(0,ROUND(BB54*(1+'Calc base'!P55),2)-R55)</f>
        <v>0</v>
      </c>
      <c r="BC55">
        <f>MAX(0,ROUND(BC54*(1+'Calc base'!Q55),2)-S55)</f>
        <v>0</v>
      </c>
      <c r="BD55">
        <f>MAX(0,ROUND(BD54*(1+'Calc base'!R55),2)-T55)</f>
        <v>0</v>
      </c>
      <c r="BE55">
        <f>MAX(0,ROUND(BE54*(1+'Calc base'!S55),2)-U55)</f>
        <v>0</v>
      </c>
    </row>
    <row r="56">
      <c r="A56" t="n">
        <v>26</v>
      </c>
      <c r="B56">
        <f>SUMPRODUCT(ROUND($AT55:$BE55*(1+'Calc base'!$H56:$S56),2))</f>
        <v>8638.73</v>
      </c>
      <c r="C56">
        <f>SUM(J56:U56)</f>
        <v>600.29</v>
      </c>
      <c r="G56">
        <f>SUM(AT56:BE56)</f>
        <v>8038.44</v>
      </c>
      <c r="H56">
        <f>B56-G55</f>
        <v>72.5699999999997</v>
      </c>
      <c r="I56">
        <f>B56-G56</f>
        <v>600.29</v>
      </c>
      <c r="J56">
        <f>IF(AT55&lt;=0,0,IF(ROUND(AT55*(1+'Calc base'!H56),2)-MAX('Calc base'!C$12,ROUND('Calc base'!C$13*AT55,2))&lt;1,ROUND(AT55*(1+'Calc base'!H56),2),MAX('Calc base'!C$12,ROUND('Calc base'!C$13*AT55,2))))</f>
        <v>50.29</v>
      </c>
      <c r="K56">
        <f>IF(AU55&lt;=0,0,IF(ROUND(AU55*(1+'Calc base'!I56),2)-MAX('Calc base'!D$12,ROUND('Calc base'!D$13*AU55,2))&lt;1,ROUND(AU55*(1+'Calc base'!I56),2),MAX('Calc base'!D$12,ROUND('Calc base'!D$13*AU55,2))))</f>
        <v>25</v>
      </c>
      <c r="L56">
        <f>IF(AV55&lt;=0,0,IF(ROUND(AV55*(1+'Calc base'!J56),2)-MAX('Calc base'!E$12,ROUND('Calc base'!E$13*AV55,2))&lt;1,ROUND(AV55*(1+'Calc base'!J56),2),MAX('Calc base'!E$12,ROUND('Calc base'!E$13*AV55,2))))</f>
        <v>210</v>
      </c>
      <c r="M56">
        <f>IF(AW55&lt;=0,0,IF(ROUND(AW55*(1+'Calc base'!K56),2)-MAX('Calc base'!F$12,ROUND('Calc base'!F$13*AW55,2))&lt;1,ROUND(AW55*(1+'Calc base'!K56),2),MAX('Calc base'!F$12,ROUND('Calc base'!F$13*AW55,2))))</f>
        <v>265</v>
      </c>
      <c r="N56">
        <f>IF(AX55&lt;=0,0,IF(ROUND(AX55*(1+'Calc base'!L56),2)-MAX('Calc base'!G$12,ROUND('Calc base'!G$13*AX55,2))&lt;1,ROUND(AX55*(1+'Calc base'!L56),2),MAX('Calc base'!G$12,ROUND('Calc base'!G$13*AX55,2))))</f>
        <v>0</v>
      </c>
      <c r="O56">
        <f>IF(AY55&lt;=0,0,IF(ROUND(AY55*(1+'Calc base'!M56),2)-MAX('Calc base'!H$12,ROUND('Calc base'!H$13*AY55,2))&lt;1,ROUND(AY55*(1+'Calc base'!M56),2),MAX('Calc base'!H$12,ROUND('Calc base'!H$13*AY55,2))))</f>
        <v>50</v>
      </c>
      <c r="P56">
        <f>IF(AZ55&lt;=0,0,IF(ROUND(AZ55*(1+'Calc base'!N56),2)-MAX('Calc base'!I$12,ROUND('Calc base'!I$13*AZ55,2))&lt;1,ROUND(AZ55*(1+'Calc base'!N56),2),MAX('Calc base'!I$12,ROUND('Calc base'!I$13*AZ55,2))))</f>
        <v>0</v>
      </c>
      <c r="Q56">
        <f>IF(BA55&lt;=0,0,IF(ROUND(BA55*(1+'Calc base'!O56),2)-MAX('Calc base'!J$12,ROUND('Calc base'!J$13*BA55,2))&lt;1,ROUND(BA55*(1+'Calc base'!O56),2),MAX('Calc base'!J$12,ROUND('Calc base'!J$13*BA55,2))))</f>
        <v>0</v>
      </c>
      <c r="R56">
        <f>IF(BB55&lt;=0,0,IF(ROUND(BB55*(1+'Calc base'!P56),2)-MAX('Calc base'!K$12,ROUND('Calc base'!K$13*BB55,2))&lt;1,ROUND(BB55*(1+'Calc base'!P56),2),MAX('Calc base'!K$12,ROUND('Calc base'!K$13*BB55,2))))</f>
        <v>0</v>
      </c>
      <c r="S56">
        <f>IF(BC55&lt;=0,0,IF(ROUND(BC55*(1+'Calc base'!Q56),2)-MAX('Calc base'!L$12,ROUND('Calc base'!L$13*BC55,2))&lt;1,ROUND(BC55*(1+'Calc base'!Q56),2),MAX('Calc base'!L$12,ROUND('Calc base'!L$13*BC55,2))))</f>
        <v>0</v>
      </c>
      <c r="T56">
        <f>IF(BD55&lt;=0,0,IF(ROUND(BD55*(1+'Calc base'!R56),2)-MAX('Calc base'!M$12,ROUND('Calc base'!M$13*BD55,2))&lt;1,ROUND(BD55*(1+'Calc base'!R56),2),MAX('Calc base'!M$12,ROUND('Calc base'!M$13*BD55,2))))</f>
        <v>0</v>
      </c>
      <c r="U56">
        <f>IF(BE55&lt;=0,0,IF(ROUND(BE55*(1+'Calc base'!S56),2)-MAX('Calc base'!N$12,ROUND('Calc base'!N$13*BE55,2))&lt;1,ROUND(BE55*(1+'Calc base'!S56),2),MAX('Calc base'!N$12,ROUND('Calc base'!N$13*BE55,2))))</f>
        <v>0</v>
      </c>
      <c r="AT56">
        <f>MAX(0,ROUND(AT55*(1+'Calc base'!H56),2)-J56)</f>
        <v>1652.53</v>
      </c>
      <c r="AU56">
        <f>MAX(0,ROUND(AU55*(1+'Calc base'!I56),2)-K56)</f>
        <v>369.56</v>
      </c>
      <c r="AV56">
        <f>MAX(0,ROUND(AV55*(1+'Calc base'!J56),2)-L56)</f>
        <v>2276.87</v>
      </c>
      <c r="AW56">
        <f>MAX(0,ROUND(AW55*(1+'Calc base'!K56),2)-M56)</f>
        <v>3539.48</v>
      </c>
      <c r="AX56">
        <f>MAX(0,ROUND(AX55*(1+'Calc base'!L56),2)-N56)</f>
        <v>0</v>
      </c>
      <c r="AY56">
        <f>MAX(0,ROUND(AY55*(1+'Calc base'!M56),2)-O56)</f>
        <v>200</v>
      </c>
      <c r="AZ56">
        <f>MAX(0,ROUND(AZ55*(1+'Calc base'!N56),2)-P56)</f>
        <v>0</v>
      </c>
      <c r="BA56">
        <f>MAX(0,ROUND(BA55*(1+'Calc base'!O56),2)-Q56)</f>
        <v>0</v>
      </c>
      <c r="BB56">
        <f>MAX(0,ROUND(BB55*(1+'Calc base'!P56),2)-R56)</f>
        <v>0</v>
      </c>
      <c r="BC56">
        <f>MAX(0,ROUND(BC55*(1+'Calc base'!Q56),2)-S56)</f>
        <v>0</v>
      </c>
      <c r="BD56">
        <f>MAX(0,ROUND(BD55*(1+'Calc base'!R56),2)-T56)</f>
        <v>0</v>
      </c>
      <c r="BE56">
        <f>MAX(0,ROUND(BE55*(1+'Calc base'!S56),2)-U56)</f>
        <v>0</v>
      </c>
    </row>
    <row r="57">
      <c r="A57" t="n">
        <v>27</v>
      </c>
      <c r="B57">
        <f>SUMPRODUCT(ROUND($AT56:$BE56*(1+'Calc base'!$H57:$S57),2))</f>
        <v>8107.55</v>
      </c>
      <c r="C57">
        <f>SUM(J57:U57)</f>
        <v>599.58</v>
      </c>
      <c r="G57">
        <f>SUM(AT57:BE57)</f>
        <v>7507.97</v>
      </c>
      <c r="H57">
        <f>B57-G56</f>
        <v>69.1100000000006</v>
      </c>
      <c r="I57">
        <f>B57-G57</f>
        <v>599.58</v>
      </c>
      <c r="J57">
        <f>IF(AT56&lt;=0,0,IF(ROUND(AT56*(1+'Calc base'!H57),2)-MAX('Calc base'!C$12,ROUND('Calc base'!C$13*AT56,2))&lt;1,ROUND(AT56*(1+'Calc base'!H57),2),MAX('Calc base'!C$12,ROUND('Calc base'!C$13*AT56,2))))</f>
        <v>49.58</v>
      </c>
      <c r="K57">
        <f>IF(AU56&lt;=0,0,IF(ROUND(AU56*(1+'Calc base'!I57),2)-MAX('Calc base'!D$12,ROUND('Calc base'!D$13*AU56,2))&lt;1,ROUND(AU56*(1+'Calc base'!I57),2),MAX('Calc base'!D$12,ROUND('Calc base'!D$13*AU56,2))))</f>
        <v>25</v>
      </c>
      <c r="L57">
        <f>IF(AV56&lt;=0,0,IF(ROUND(AV56*(1+'Calc base'!J57),2)-MAX('Calc base'!E$12,ROUND('Calc base'!E$13*AV56,2))&lt;1,ROUND(AV56*(1+'Calc base'!J57),2),MAX('Calc base'!E$12,ROUND('Calc base'!E$13*AV56,2))))</f>
        <v>210</v>
      </c>
      <c r="M57">
        <f>IF(AW56&lt;=0,0,IF(ROUND(AW56*(1+'Calc base'!K57),2)-MAX('Calc base'!F$12,ROUND('Calc base'!F$13*AW56,2))&lt;1,ROUND(AW56*(1+'Calc base'!K57),2),MAX('Calc base'!F$12,ROUND('Calc base'!F$13*AW56,2))))</f>
        <v>265</v>
      </c>
      <c r="N57">
        <f>IF(AX56&lt;=0,0,IF(ROUND(AX56*(1+'Calc base'!L57),2)-MAX('Calc base'!G$12,ROUND('Calc base'!G$13*AX56,2))&lt;1,ROUND(AX56*(1+'Calc base'!L57),2),MAX('Calc base'!G$12,ROUND('Calc base'!G$13*AX56,2))))</f>
        <v>0</v>
      </c>
      <c r="O57">
        <f>IF(AY56&lt;=0,0,IF(ROUND(AY56*(1+'Calc base'!M57),2)-MAX('Calc base'!H$12,ROUND('Calc base'!H$13*AY56,2))&lt;1,ROUND(AY56*(1+'Calc base'!M57),2),MAX('Calc base'!H$12,ROUND('Calc base'!H$13*AY56,2))))</f>
        <v>50</v>
      </c>
      <c r="P57">
        <f>IF(AZ56&lt;=0,0,IF(ROUND(AZ56*(1+'Calc base'!N57),2)-MAX('Calc base'!I$12,ROUND('Calc base'!I$13*AZ56,2))&lt;1,ROUND(AZ56*(1+'Calc base'!N57),2),MAX('Calc base'!I$12,ROUND('Calc base'!I$13*AZ56,2))))</f>
        <v>0</v>
      </c>
      <c r="Q57">
        <f>IF(BA56&lt;=0,0,IF(ROUND(BA56*(1+'Calc base'!O57),2)-MAX('Calc base'!J$12,ROUND('Calc base'!J$13*BA56,2))&lt;1,ROUND(BA56*(1+'Calc base'!O57),2),MAX('Calc base'!J$12,ROUND('Calc base'!J$13*BA56,2))))</f>
        <v>0</v>
      </c>
      <c r="R57">
        <f>IF(BB56&lt;=0,0,IF(ROUND(BB56*(1+'Calc base'!P57),2)-MAX('Calc base'!K$12,ROUND('Calc base'!K$13*BB56,2))&lt;1,ROUND(BB56*(1+'Calc base'!P57),2),MAX('Calc base'!K$12,ROUND('Calc base'!K$13*BB56,2))))</f>
        <v>0</v>
      </c>
      <c r="S57">
        <f>IF(BC56&lt;=0,0,IF(ROUND(BC56*(1+'Calc base'!Q57),2)-MAX('Calc base'!L$12,ROUND('Calc base'!L$13*BC56,2))&lt;1,ROUND(BC56*(1+'Calc base'!Q57),2),MAX('Calc base'!L$12,ROUND('Calc base'!L$13*BC56,2))))</f>
        <v>0</v>
      </c>
      <c r="T57">
        <f>IF(BD56&lt;=0,0,IF(ROUND(BD56*(1+'Calc base'!R57),2)-MAX('Calc base'!M$12,ROUND('Calc base'!M$13*BD56,2))&lt;1,ROUND(BD56*(1+'Calc base'!R57),2),MAX('Calc base'!M$12,ROUND('Calc base'!M$13*BD56,2))))</f>
        <v>0</v>
      </c>
      <c r="U57">
        <f>IF(BE56&lt;=0,0,IF(ROUND(BE56*(1+'Calc base'!S57),2)-MAX('Calc base'!N$12,ROUND('Calc base'!N$13*BE56,2))&lt;1,ROUND(BE56*(1+'Calc base'!S57),2),MAX('Calc base'!N$12,ROUND('Calc base'!N$13*BE56,2))))</f>
        <v>0</v>
      </c>
      <c r="AT57">
        <f>MAX(0,ROUND(AT56*(1+'Calc base'!H57),2)-J57)</f>
        <v>1628.98</v>
      </c>
      <c r="AU57">
        <f>MAX(0,ROUND(AU56*(1+'Calc base'!I57),2)-K57)</f>
        <v>351.3</v>
      </c>
      <c r="AV57">
        <f>MAX(0,ROUND(AV56*(1+'Calc base'!J57),2)-L57)</f>
        <v>2084.33</v>
      </c>
      <c r="AW57">
        <f>MAX(0,ROUND(AW56*(1+'Calc base'!K57),2)-M57)</f>
        <v>3293.36</v>
      </c>
      <c r="AX57">
        <f>MAX(0,ROUND(AX56*(1+'Calc base'!L57),2)-N57)</f>
        <v>0</v>
      </c>
      <c r="AY57">
        <f>MAX(0,ROUND(AY56*(1+'Calc base'!M57),2)-O57)</f>
        <v>150</v>
      </c>
      <c r="AZ57">
        <f>MAX(0,ROUND(AZ56*(1+'Calc base'!N57),2)-P57)</f>
        <v>0</v>
      </c>
      <c r="BA57">
        <f>MAX(0,ROUND(BA56*(1+'Calc base'!O57),2)-Q57)</f>
        <v>0</v>
      </c>
      <c r="BB57">
        <f>MAX(0,ROUND(BB56*(1+'Calc base'!P57),2)-R57)</f>
        <v>0</v>
      </c>
      <c r="BC57">
        <f>MAX(0,ROUND(BC56*(1+'Calc base'!Q57),2)-S57)</f>
        <v>0</v>
      </c>
      <c r="BD57">
        <f>MAX(0,ROUND(BD56*(1+'Calc base'!R57),2)-T57)</f>
        <v>0</v>
      </c>
      <c r="BE57">
        <f>MAX(0,ROUND(BE56*(1+'Calc base'!S57),2)-U57)</f>
        <v>0</v>
      </c>
    </row>
    <row r="58">
      <c r="A58" t="n">
        <v>28</v>
      </c>
      <c r="B58">
        <f>SUMPRODUCT(ROUND($AT57:$BE57*(1+'Calc base'!$H58:$S58),2))</f>
        <v>7573.58</v>
      </c>
      <c r="C58">
        <f>SUM(J58:U58)</f>
        <v>598.87</v>
      </c>
      <c r="G58">
        <f>SUM(AT58:BE58)</f>
        <v>6974.71</v>
      </c>
      <c r="H58">
        <f>B58-G57</f>
        <v>65.6099999999997</v>
      </c>
      <c r="I58">
        <f>B58-G58</f>
        <v>598.87</v>
      </c>
      <c r="J58">
        <f>IF(AT57&lt;=0,0,IF(ROUND(AT57*(1+'Calc base'!H58),2)-MAX('Calc base'!C$12,ROUND('Calc base'!C$13*AT57,2))&lt;1,ROUND(AT57*(1+'Calc base'!H58),2),MAX('Calc base'!C$12,ROUND('Calc base'!C$13*AT57,2))))</f>
        <v>48.87</v>
      </c>
      <c r="K58">
        <f>IF(AU57&lt;=0,0,IF(ROUND(AU57*(1+'Calc base'!I58),2)-MAX('Calc base'!D$12,ROUND('Calc base'!D$13*AU57,2))&lt;1,ROUND(AU57*(1+'Calc base'!I58),2),MAX('Calc base'!D$12,ROUND('Calc base'!D$13*AU57,2))))</f>
        <v>25</v>
      </c>
      <c r="L58">
        <f>IF(AV57&lt;=0,0,IF(ROUND(AV57*(1+'Calc base'!J58),2)-MAX('Calc base'!E$12,ROUND('Calc base'!E$13*AV57,2))&lt;1,ROUND(AV57*(1+'Calc base'!J58),2),MAX('Calc base'!E$12,ROUND('Calc base'!E$13*AV57,2))))</f>
        <v>210</v>
      </c>
      <c r="M58">
        <f>IF(AW57&lt;=0,0,IF(ROUND(AW57*(1+'Calc base'!K58),2)-MAX('Calc base'!F$12,ROUND('Calc base'!F$13*AW57,2))&lt;1,ROUND(AW57*(1+'Calc base'!K58),2),MAX('Calc base'!F$12,ROUND('Calc base'!F$13*AW57,2))))</f>
        <v>265</v>
      </c>
      <c r="N58">
        <f>IF(AX57&lt;=0,0,IF(ROUND(AX57*(1+'Calc base'!L58),2)-MAX('Calc base'!G$12,ROUND('Calc base'!G$13*AX57,2))&lt;1,ROUND(AX57*(1+'Calc base'!L58),2),MAX('Calc base'!G$12,ROUND('Calc base'!G$13*AX57,2))))</f>
        <v>0</v>
      </c>
      <c r="O58">
        <f>IF(AY57&lt;=0,0,IF(ROUND(AY57*(1+'Calc base'!M58),2)-MAX('Calc base'!H$12,ROUND('Calc base'!H$13*AY57,2))&lt;1,ROUND(AY57*(1+'Calc base'!M58),2),MAX('Calc base'!H$12,ROUND('Calc base'!H$13*AY57,2))))</f>
        <v>50</v>
      </c>
      <c r="P58">
        <f>IF(AZ57&lt;=0,0,IF(ROUND(AZ57*(1+'Calc base'!N58),2)-MAX('Calc base'!I$12,ROUND('Calc base'!I$13*AZ57,2))&lt;1,ROUND(AZ57*(1+'Calc base'!N58),2),MAX('Calc base'!I$12,ROUND('Calc base'!I$13*AZ57,2))))</f>
        <v>0</v>
      </c>
      <c r="Q58">
        <f>IF(BA57&lt;=0,0,IF(ROUND(BA57*(1+'Calc base'!O58),2)-MAX('Calc base'!J$12,ROUND('Calc base'!J$13*BA57,2))&lt;1,ROUND(BA57*(1+'Calc base'!O58),2),MAX('Calc base'!J$12,ROUND('Calc base'!J$13*BA57,2))))</f>
        <v>0</v>
      </c>
      <c r="R58">
        <f>IF(BB57&lt;=0,0,IF(ROUND(BB57*(1+'Calc base'!P58),2)-MAX('Calc base'!K$12,ROUND('Calc base'!K$13*BB57,2))&lt;1,ROUND(BB57*(1+'Calc base'!P58),2),MAX('Calc base'!K$12,ROUND('Calc base'!K$13*BB57,2))))</f>
        <v>0</v>
      </c>
      <c r="S58">
        <f>IF(BC57&lt;=0,0,IF(ROUND(BC57*(1+'Calc base'!Q58),2)-MAX('Calc base'!L$12,ROUND('Calc base'!L$13*BC57,2))&lt;1,ROUND(BC57*(1+'Calc base'!Q58),2),MAX('Calc base'!L$12,ROUND('Calc base'!L$13*BC57,2))))</f>
        <v>0</v>
      </c>
      <c r="T58">
        <f>IF(BD57&lt;=0,0,IF(ROUND(BD57*(1+'Calc base'!R58),2)-MAX('Calc base'!M$12,ROUND('Calc base'!M$13*BD57,2))&lt;1,ROUND(BD57*(1+'Calc base'!R58),2),MAX('Calc base'!M$12,ROUND('Calc base'!M$13*BD57,2))))</f>
        <v>0</v>
      </c>
      <c r="U58">
        <f>IF(BE57&lt;=0,0,IF(ROUND(BE57*(1+'Calc base'!S58),2)-MAX('Calc base'!N$12,ROUND('Calc base'!N$13*BE57,2))&lt;1,ROUND(BE57*(1+'Calc base'!S58),2),MAX('Calc base'!N$12,ROUND('Calc base'!N$13*BE57,2))))</f>
        <v>0</v>
      </c>
      <c r="AT58">
        <f>MAX(0,ROUND(AT57*(1+'Calc base'!H58),2)-J58)</f>
        <v>1605.77</v>
      </c>
      <c r="AU58">
        <f>MAX(0,ROUND(AU57*(1+'Calc base'!I58),2)-K58)</f>
        <v>332.71</v>
      </c>
      <c r="AV58">
        <f>MAX(0,ROUND(AV57*(1+'Calc base'!J58),2)-L58)</f>
        <v>1890.31</v>
      </c>
      <c r="AW58">
        <f>MAX(0,ROUND(AW57*(1+'Calc base'!K58),2)-M58)</f>
        <v>3045.92</v>
      </c>
      <c r="AX58">
        <f>MAX(0,ROUND(AX57*(1+'Calc base'!L58),2)-N58)</f>
        <v>0</v>
      </c>
      <c r="AY58">
        <f>MAX(0,ROUND(AY57*(1+'Calc base'!M58),2)-O58)</f>
        <v>100</v>
      </c>
      <c r="AZ58">
        <f>MAX(0,ROUND(AZ57*(1+'Calc base'!N58),2)-P58)</f>
        <v>0</v>
      </c>
      <c r="BA58">
        <f>MAX(0,ROUND(BA57*(1+'Calc base'!O58),2)-Q58)</f>
        <v>0</v>
      </c>
      <c r="BB58">
        <f>MAX(0,ROUND(BB57*(1+'Calc base'!P58),2)-R58)</f>
        <v>0</v>
      </c>
      <c r="BC58">
        <f>MAX(0,ROUND(BC57*(1+'Calc base'!Q58),2)-S58)</f>
        <v>0</v>
      </c>
      <c r="BD58">
        <f>MAX(0,ROUND(BD57*(1+'Calc base'!R58),2)-T58)</f>
        <v>0</v>
      </c>
      <c r="BE58">
        <f>MAX(0,ROUND(BE57*(1+'Calc base'!S58),2)-U58)</f>
        <v>0</v>
      </c>
    </row>
    <row r="59">
      <c r="A59" t="n">
        <v>29</v>
      </c>
      <c r="B59">
        <f>SUMPRODUCT(ROUND($AT58:$BE58*(1+'Calc base'!$H59:$S59),2))</f>
        <v>7036.8</v>
      </c>
      <c r="C59">
        <f>SUM(J59:U59)</f>
        <v>598.17</v>
      </c>
      <c r="G59">
        <f>SUM(AT59:BE59)</f>
        <v>6438.63</v>
      </c>
      <c r="H59">
        <f>B59-G58</f>
        <v>62.0899999999992</v>
      </c>
      <c r="I59">
        <f>B59-G59</f>
        <v>598.17</v>
      </c>
      <c r="J59">
        <f>IF(AT58&lt;=0,0,IF(ROUND(AT58*(1+'Calc base'!H59),2)-MAX('Calc base'!C$12,ROUND('Calc base'!C$13*AT58,2))&lt;1,ROUND(AT58*(1+'Calc base'!H59),2),MAX('Calc base'!C$12,ROUND('Calc base'!C$13*AT58,2))))</f>
        <v>48.17</v>
      </c>
      <c r="K59">
        <f>IF(AU58&lt;=0,0,IF(ROUND(AU58*(1+'Calc base'!I59),2)-MAX('Calc base'!D$12,ROUND('Calc base'!D$13*AU58,2))&lt;1,ROUND(AU58*(1+'Calc base'!I59),2),MAX('Calc base'!D$12,ROUND('Calc base'!D$13*AU58,2))))</f>
        <v>25</v>
      </c>
      <c r="L59">
        <f>IF(AV58&lt;=0,0,IF(ROUND(AV58*(1+'Calc base'!J59),2)-MAX('Calc base'!E$12,ROUND('Calc base'!E$13*AV58,2))&lt;1,ROUND(AV58*(1+'Calc base'!J59),2),MAX('Calc base'!E$12,ROUND('Calc base'!E$13*AV58,2))))</f>
        <v>210</v>
      </c>
      <c r="M59">
        <f>IF(AW58&lt;=0,0,IF(ROUND(AW58*(1+'Calc base'!K59),2)-MAX('Calc base'!F$12,ROUND('Calc base'!F$13*AW58,2))&lt;1,ROUND(AW58*(1+'Calc base'!K59),2),MAX('Calc base'!F$12,ROUND('Calc base'!F$13*AW58,2))))</f>
        <v>265</v>
      </c>
      <c r="N59">
        <f>IF(AX58&lt;=0,0,IF(ROUND(AX58*(1+'Calc base'!L59),2)-MAX('Calc base'!G$12,ROUND('Calc base'!G$13*AX58,2))&lt;1,ROUND(AX58*(1+'Calc base'!L59),2),MAX('Calc base'!G$12,ROUND('Calc base'!G$13*AX58,2))))</f>
        <v>0</v>
      </c>
      <c r="O59">
        <f>IF(AY58&lt;=0,0,IF(ROUND(AY58*(1+'Calc base'!M59),2)-MAX('Calc base'!H$12,ROUND('Calc base'!H$13*AY58,2))&lt;1,ROUND(AY58*(1+'Calc base'!M59),2),MAX('Calc base'!H$12,ROUND('Calc base'!H$13*AY58,2))))</f>
        <v>50</v>
      </c>
      <c r="P59">
        <f>IF(AZ58&lt;=0,0,IF(ROUND(AZ58*(1+'Calc base'!N59),2)-MAX('Calc base'!I$12,ROUND('Calc base'!I$13*AZ58,2))&lt;1,ROUND(AZ58*(1+'Calc base'!N59),2),MAX('Calc base'!I$12,ROUND('Calc base'!I$13*AZ58,2))))</f>
        <v>0</v>
      </c>
      <c r="Q59">
        <f>IF(BA58&lt;=0,0,IF(ROUND(BA58*(1+'Calc base'!O59),2)-MAX('Calc base'!J$12,ROUND('Calc base'!J$13*BA58,2))&lt;1,ROUND(BA58*(1+'Calc base'!O59),2),MAX('Calc base'!J$12,ROUND('Calc base'!J$13*BA58,2))))</f>
        <v>0</v>
      </c>
      <c r="R59">
        <f>IF(BB58&lt;=0,0,IF(ROUND(BB58*(1+'Calc base'!P59),2)-MAX('Calc base'!K$12,ROUND('Calc base'!K$13*BB58,2))&lt;1,ROUND(BB58*(1+'Calc base'!P59),2),MAX('Calc base'!K$12,ROUND('Calc base'!K$13*BB58,2))))</f>
        <v>0</v>
      </c>
      <c r="S59">
        <f>IF(BC58&lt;=0,0,IF(ROUND(BC58*(1+'Calc base'!Q59),2)-MAX('Calc base'!L$12,ROUND('Calc base'!L$13*BC58,2))&lt;1,ROUND(BC58*(1+'Calc base'!Q59),2),MAX('Calc base'!L$12,ROUND('Calc base'!L$13*BC58,2))))</f>
        <v>0</v>
      </c>
      <c r="T59">
        <f>IF(BD58&lt;=0,0,IF(ROUND(BD58*(1+'Calc base'!R59),2)-MAX('Calc base'!M$12,ROUND('Calc base'!M$13*BD58,2))&lt;1,ROUND(BD58*(1+'Calc base'!R59),2),MAX('Calc base'!M$12,ROUND('Calc base'!M$13*BD58,2))))</f>
        <v>0</v>
      </c>
      <c r="U59">
        <f>IF(BE58&lt;=0,0,IF(ROUND(BE58*(1+'Calc base'!S59),2)-MAX('Calc base'!N$12,ROUND('Calc base'!N$13*BE58,2))&lt;1,ROUND(BE58*(1+'Calc base'!S59),2),MAX('Calc base'!N$12,ROUND('Calc base'!N$13*BE58,2))))</f>
        <v>0</v>
      </c>
      <c r="AT59">
        <f>MAX(0,ROUND(AT58*(1+'Calc base'!H59),2)-J59)</f>
        <v>1582.89</v>
      </c>
      <c r="AU59">
        <f>MAX(0,ROUND(AU58*(1+'Calc base'!I59),2)-K59)</f>
        <v>313.78</v>
      </c>
      <c r="AV59">
        <f>MAX(0,ROUND(AV58*(1+'Calc base'!J59),2)-L59)</f>
        <v>1694.8</v>
      </c>
      <c r="AW59">
        <f>MAX(0,ROUND(AW58*(1+'Calc base'!K59),2)-M59)</f>
        <v>2797.16</v>
      </c>
      <c r="AX59">
        <f>MAX(0,ROUND(AX58*(1+'Calc base'!L59),2)-N59)</f>
        <v>0</v>
      </c>
      <c r="AY59">
        <f>MAX(0,ROUND(AY58*(1+'Calc base'!M59),2)-O59)</f>
        <v>50</v>
      </c>
      <c r="AZ59">
        <f>MAX(0,ROUND(AZ58*(1+'Calc base'!N59),2)-P59)</f>
        <v>0</v>
      </c>
      <c r="BA59">
        <f>MAX(0,ROUND(BA58*(1+'Calc base'!O59),2)-Q59)</f>
        <v>0</v>
      </c>
      <c r="BB59">
        <f>MAX(0,ROUND(BB58*(1+'Calc base'!P59),2)-R59)</f>
        <v>0</v>
      </c>
      <c r="BC59">
        <f>MAX(0,ROUND(BC58*(1+'Calc base'!Q59),2)-S59)</f>
        <v>0</v>
      </c>
      <c r="BD59">
        <f>MAX(0,ROUND(BD58*(1+'Calc base'!R59),2)-T59)</f>
        <v>0</v>
      </c>
      <c r="BE59">
        <f>MAX(0,ROUND(BE58*(1+'Calc base'!S59),2)-U59)</f>
        <v>0</v>
      </c>
    </row>
    <row r="60">
      <c r="A60" t="n">
        <v>30</v>
      </c>
      <c r="B60">
        <f>SUMPRODUCT(ROUND($AT59:$BE59*(1+'Calc base'!$H60:$S60),2))</f>
        <v>6497.2</v>
      </c>
      <c r="C60">
        <f>SUM(J60:U60)</f>
        <v>597.49</v>
      </c>
      <c r="G60">
        <f>SUM(AT60:BE60)</f>
        <v>5899.71</v>
      </c>
      <c r="H60">
        <f>B60-G59</f>
        <v>58.5700000000006</v>
      </c>
      <c r="I60">
        <f>B60-G60</f>
        <v>597.49</v>
      </c>
      <c r="J60">
        <f>IF(AT59&lt;=0,0,IF(ROUND(AT59*(1+'Calc base'!H60),2)-MAX('Calc base'!C$12,ROUND('Calc base'!C$13*AT59,2))&lt;1,ROUND(AT59*(1+'Calc base'!H60),2),MAX('Calc base'!C$12,ROUND('Calc base'!C$13*AT59,2))))</f>
        <v>47.49</v>
      </c>
      <c r="K60">
        <f>IF(AU59&lt;=0,0,IF(ROUND(AU59*(1+'Calc base'!I60),2)-MAX('Calc base'!D$12,ROUND('Calc base'!D$13*AU59,2))&lt;1,ROUND(AU59*(1+'Calc base'!I60),2),MAX('Calc base'!D$12,ROUND('Calc base'!D$13*AU59,2))))</f>
        <v>25</v>
      </c>
      <c r="L60">
        <f>IF(AV59&lt;=0,0,IF(ROUND(AV59*(1+'Calc base'!J60),2)-MAX('Calc base'!E$12,ROUND('Calc base'!E$13*AV59,2))&lt;1,ROUND(AV59*(1+'Calc base'!J60),2),MAX('Calc base'!E$12,ROUND('Calc base'!E$13*AV59,2))))</f>
        <v>210</v>
      </c>
      <c r="M60">
        <f>IF(AW59&lt;=0,0,IF(ROUND(AW59*(1+'Calc base'!K60),2)-MAX('Calc base'!F$12,ROUND('Calc base'!F$13*AW59,2))&lt;1,ROUND(AW59*(1+'Calc base'!K60),2),MAX('Calc base'!F$12,ROUND('Calc base'!F$13*AW59,2))))</f>
        <v>265</v>
      </c>
      <c r="N60">
        <f>IF(AX59&lt;=0,0,IF(ROUND(AX59*(1+'Calc base'!L60),2)-MAX('Calc base'!G$12,ROUND('Calc base'!G$13*AX59,2))&lt;1,ROUND(AX59*(1+'Calc base'!L60),2),MAX('Calc base'!G$12,ROUND('Calc base'!G$13*AX59,2))))</f>
        <v>0</v>
      </c>
      <c r="O60">
        <f>IF(AY59&lt;=0,0,IF(ROUND(AY59*(1+'Calc base'!M60),2)-MAX('Calc base'!H$12,ROUND('Calc base'!H$13*AY59,2))&lt;1,ROUND(AY59*(1+'Calc base'!M60),2),MAX('Calc base'!H$12,ROUND('Calc base'!H$13*AY59,2))))</f>
        <v>50</v>
      </c>
      <c r="P60">
        <f>IF(AZ59&lt;=0,0,IF(ROUND(AZ59*(1+'Calc base'!N60),2)-MAX('Calc base'!I$12,ROUND('Calc base'!I$13*AZ59,2))&lt;1,ROUND(AZ59*(1+'Calc base'!N60),2),MAX('Calc base'!I$12,ROUND('Calc base'!I$13*AZ59,2))))</f>
        <v>0</v>
      </c>
      <c r="Q60">
        <f>IF(BA59&lt;=0,0,IF(ROUND(BA59*(1+'Calc base'!O60),2)-MAX('Calc base'!J$12,ROUND('Calc base'!J$13*BA59,2))&lt;1,ROUND(BA59*(1+'Calc base'!O60),2),MAX('Calc base'!J$12,ROUND('Calc base'!J$13*BA59,2))))</f>
        <v>0</v>
      </c>
      <c r="R60">
        <f>IF(BB59&lt;=0,0,IF(ROUND(BB59*(1+'Calc base'!P60),2)-MAX('Calc base'!K$12,ROUND('Calc base'!K$13*BB59,2))&lt;1,ROUND(BB59*(1+'Calc base'!P60),2),MAX('Calc base'!K$12,ROUND('Calc base'!K$13*BB59,2))))</f>
        <v>0</v>
      </c>
      <c r="S60">
        <f>IF(BC59&lt;=0,0,IF(ROUND(BC59*(1+'Calc base'!Q60),2)-MAX('Calc base'!L$12,ROUND('Calc base'!L$13*BC59,2))&lt;1,ROUND(BC59*(1+'Calc base'!Q60),2),MAX('Calc base'!L$12,ROUND('Calc base'!L$13*BC59,2))))</f>
        <v>0</v>
      </c>
      <c r="T60">
        <f>IF(BD59&lt;=0,0,IF(ROUND(BD59*(1+'Calc base'!R60),2)-MAX('Calc base'!M$12,ROUND('Calc base'!M$13*BD59,2))&lt;1,ROUND(BD59*(1+'Calc base'!R60),2),MAX('Calc base'!M$12,ROUND('Calc base'!M$13*BD59,2))))</f>
        <v>0</v>
      </c>
      <c r="U60">
        <f>IF(BE59&lt;=0,0,IF(ROUND(BE59*(1+'Calc base'!S60),2)-MAX('Calc base'!N$12,ROUND('Calc base'!N$13*BE59,2))&lt;1,ROUND(BE59*(1+'Calc base'!S60),2),MAX('Calc base'!N$12,ROUND('Calc base'!N$13*BE59,2))))</f>
        <v>0</v>
      </c>
      <c r="AT60">
        <f>MAX(0,ROUND(AT59*(1+'Calc base'!H60),2)-J60)</f>
        <v>1560.33</v>
      </c>
      <c r="AU60">
        <f>MAX(0,ROUND(AU59*(1+'Calc base'!I60),2)-K60)</f>
        <v>294.51</v>
      </c>
      <c r="AV60">
        <f>MAX(0,ROUND(AV59*(1+'Calc base'!J60),2)-L60)</f>
        <v>1497.79</v>
      </c>
      <c r="AW60">
        <f>MAX(0,ROUND(AW59*(1+'Calc base'!K60),2)-M60)</f>
        <v>2547.08</v>
      </c>
      <c r="AX60">
        <f>MAX(0,ROUND(AX59*(1+'Calc base'!L60),2)-N60)</f>
        <v>0</v>
      </c>
      <c r="AY60">
        <f>MAX(0,ROUND(AY59*(1+'Calc base'!M60),2)-O60)</f>
        <v>0</v>
      </c>
      <c r="AZ60">
        <f>MAX(0,ROUND(AZ59*(1+'Calc base'!N60),2)-P60)</f>
        <v>0</v>
      </c>
      <c r="BA60">
        <f>MAX(0,ROUND(BA59*(1+'Calc base'!O60),2)-Q60)</f>
        <v>0</v>
      </c>
      <c r="BB60">
        <f>MAX(0,ROUND(BB59*(1+'Calc base'!P60),2)-R60)</f>
        <v>0</v>
      </c>
      <c r="BC60">
        <f>MAX(0,ROUND(BC59*(1+'Calc base'!Q60),2)-S60)</f>
        <v>0</v>
      </c>
      <c r="BD60">
        <f>MAX(0,ROUND(BD59*(1+'Calc base'!R60),2)-T60)</f>
        <v>0</v>
      </c>
      <c r="BE60">
        <f>MAX(0,ROUND(BE59*(1+'Calc base'!S60),2)-U60)</f>
        <v>0</v>
      </c>
    </row>
    <row r="61">
      <c r="A61" t="n">
        <v>31</v>
      </c>
      <c r="B61">
        <f>SUMPRODUCT(ROUND($AT60:$BE60*(1+'Calc base'!$H61:$S61),2))</f>
        <v>5954.72</v>
      </c>
      <c r="C61">
        <f>SUM(J61:U61)</f>
        <v>546.81</v>
      </c>
      <c r="G61">
        <f>SUM(AT61:BE61)</f>
        <v>5407.91</v>
      </c>
      <c r="H61">
        <f>B61-G60</f>
        <v>55.0100000000002</v>
      </c>
      <c r="I61">
        <f>B61-G61</f>
        <v>546.81</v>
      </c>
      <c r="J61">
        <f>IF(AT60&lt;=0,0,IF(ROUND(AT60*(1+'Calc base'!H61),2)-MAX('Calc base'!C$12,ROUND('Calc base'!C$13*AT60,2))&lt;1,ROUND(AT60*(1+'Calc base'!H61),2),MAX('Calc base'!C$12,ROUND('Calc base'!C$13*AT60,2))))</f>
        <v>46.81</v>
      </c>
      <c r="K61">
        <f>IF(AU60&lt;=0,0,IF(ROUND(AU60*(1+'Calc base'!I61),2)-MAX('Calc base'!D$12,ROUND('Calc base'!D$13*AU60,2))&lt;1,ROUND(AU60*(1+'Calc base'!I61),2),MAX('Calc base'!D$12,ROUND('Calc base'!D$13*AU60,2))))</f>
        <v>25</v>
      </c>
      <c r="L61">
        <f>IF(AV60&lt;=0,0,IF(ROUND(AV60*(1+'Calc base'!J61),2)-MAX('Calc base'!E$12,ROUND('Calc base'!E$13*AV60,2))&lt;1,ROUND(AV60*(1+'Calc base'!J61),2),MAX('Calc base'!E$12,ROUND('Calc base'!E$13*AV60,2))))</f>
        <v>210</v>
      </c>
      <c r="M61">
        <f>IF(AW60&lt;=0,0,IF(ROUND(AW60*(1+'Calc base'!K61),2)-MAX('Calc base'!F$12,ROUND('Calc base'!F$13*AW60,2))&lt;1,ROUND(AW60*(1+'Calc base'!K61),2),MAX('Calc base'!F$12,ROUND('Calc base'!F$13*AW60,2))))</f>
        <v>265</v>
      </c>
      <c r="N61">
        <f>IF(AX60&lt;=0,0,IF(ROUND(AX60*(1+'Calc base'!L61),2)-MAX('Calc base'!G$12,ROUND('Calc base'!G$13*AX60,2))&lt;1,ROUND(AX60*(1+'Calc base'!L61),2),MAX('Calc base'!G$12,ROUND('Calc base'!G$13*AX60,2))))</f>
        <v>0</v>
      </c>
      <c r="O61">
        <f>IF(AY60&lt;=0,0,IF(ROUND(AY60*(1+'Calc base'!M61),2)-MAX('Calc base'!H$12,ROUND('Calc base'!H$13*AY60,2))&lt;1,ROUND(AY60*(1+'Calc base'!M61),2),MAX('Calc base'!H$12,ROUND('Calc base'!H$13*AY60,2))))</f>
        <v>0</v>
      </c>
      <c r="P61">
        <f>IF(AZ60&lt;=0,0,IF(ROUND(AZ60*(1+'Calc base'!N61),2)-MAX('Calc base'!I$12,ROUND('Calc base'!I$13*AZ60,2))&lt;1,ROUND(AZ60*(1+'Calc base'!N61),2),MAX('Calc base'!I$12,ROUND('Calc base'!I$13*AZ60,2))))</f>
        <v>0</v>
      </c>
      <c r="Q61">
        <f>IF(BA60&lt;=0,0,IF(ROUND(BA60*(1+'Calc base'!O61),2)-MAX('Calc base'!J$12,ROUND('Calc base'!J$13*BA60,2))&lt;1,ROUND(BA60*(1+'Calc base'!O61),2),MAX('Calc base'!J$12,ROUND('Calc base'!J$13*BA60,2))))</f>
        <v>0</v>
      </c>
      <c r="R61">
        <f>IF(BB60&lt;=0,0,IF(ROUND(BB60*(1+'Calc base'!P61),2)-MAX('Calc base'!K$12,ROUND('Calc base'!K$13*BB60,2))&lt;1,ROUND(BB60*(1+'Calc base'!P61),2),MAX('Calc base'!K$12,ROUND('Calc base'!K$13*BB60,2))))</f>
        <v>0</v>
      </c>
      <c r="S61">
        <f>IF(BC60&lt;=0,0,IF(ROUND(BC60*(1+'Calc base'!Q61),2)-MAX('Calc base'!L$12,ROUND('Calc base'!L$13*BC60,2))&lt;1,ROUND(BC60*(1+'Calc base'!Q61),2),MAX('Calc base'!L$12,ROUND('Calc base'!L$13*BC60,2))))</f>
        <v>0</v>
      </c>
      <c r="T61">
        <f>IF(BD60&lt;=0,0,IF(ROUND(BD60*(1+'Calc base'!R61),2)-MAX('Calc base'!M$12,ROUND('Calc base'!M$13*BD60,2))&lt;1,ROUND(BD60*(1+'Calc base'!R61),2),MAX('Calc base'!M$12,ROUND('Calc base'!M$13*BD60,2))))</f>
        <v>0</v>
      </c>
      <c r="U61">
        <f>IF(BE60&lt;=0,0,IF(ROUND(BE60*(1+'Calc base'!S61),2)-MAX('Calc base'!N$12,ROUND('Calc base'!N$13*BE60,2))&lt;1,ROUND(BE60*(1+'Calc base'!S61),2),MAX('Calc base'!N$12,ROUND('Calc base'!N$13*BE60,2))))</f>
        <v>0</v>
      </c>
      <c r="AT61">
        <f>MAX(0,ROUND(AT60*(1+'Calc base'!H61),2)-J61)</f>
        <v>1538.1</v>
      </c>
      <c r="AU61">
        <f>MAX(0,ROUND(AU60*(1+'Calc base'!I61),2)-K61)</f>
        <v>274.88</v>
      </c>
      <c r="AV61">
        <f>MAX(0,ROUND(AV60*(1+'Calc base'!J61),2)-L61)</f>
        <v>1299.27</v>
      </c>
      <c r="AW61">
        <f>MAX(0,ROUND(AW60*(1+'Calc base'!K61),2)-M61)</f>
        <v>2295.66</v>
      </c>
      <c r="AX61">
        <f>MAX(0,ROUND(AX60*(1+'Calc base'!L61),2)-N61)</f>
        <v>0</v>
      </c>
      <c r="AY61">
        <f>MAX(0,ROUND(AY60*(1+'Calc base'!M61),2)-O61)</f>
        <v>0</v>
      </c>
      <c r="AZ61">
        <f>MAX(0,ROUND(AZ60*(1+'Calc base'!N61),2)-P61)</f>
        <v>0</v>
      </c>
      <c r="BA61">
        <f>MAX(0,ROUND(BA60*(1+'Calc base'!O61),2)-Q61)</f>
        <v>0</v>
      </c>
      <c r="BB61">
        <f>MAX(0,ROUND(BB60*(1+'Calc base'!P61),2)-R61)</f>
        <v>0</v>
      </c>
      <c r="BC61">
        <f>MAX(0,ROUND(BC60*(1+'Calc base'!Q61),2)-S61)</f>
        <v>0</v>
      </c>
      <c r="BD61">
        <f>MAX(0,ROUND(BD60*(1+'Calc base'!R61),2)-T61)</f>
        <v>0</v>
      </c>
      <c r="BE61">
        <f>MAX(0,ROUND(BE60*(1+'Calc base'!S61),2)-U61)</f>
        <v>0</v>
      </c>
    </row>
    <row r="62">
      <c r="A62" t="n">
        <v>32</v>
      </c>
      <c r="B62">
        <f>SUMPRODUCT(ROUND($AT61:$BE61*(1+'Calc base'!$H62:$S62),2))</f>
        <v>5459.36</v>
      </c>
      <c r="C62">
        <f>SUM(J62:U62)</f>
        <v>546.14</v>
      </c>
      <c r="G62">
        <f>SUM(AT62:BE62)</f>
        <v>4913.22</v>
      </c>
      <c r="H62">
        <f>B62-G61</f>
        <v>51.4499999999998</v>
      </c>
      <c r="I62">
        <f>B62-G62</f>
        <v>546.14</v>
      </c>
      <c r="J62">
        <f>IF(AT61&lt;=0,0,IF(ROUND(AT61*(1+'Calc base'!H62),2)-MAX('Calc base'!C$12,ROUND('Calc base'!C$13*AT61,2))&lt;1,ROUND(AT61*(1+'Calc base'!H62),2),MAX('Calc base'!C$12,ROUND('Calc base'!C$13*AT61,2))))</f>
        <v>46.14</v>
      </c>
      <c r="K62">
        <f>IF(AU61&lt;=0,0,IF(ROUND(AU61*(1+'Calc base'!I62),2)-MAX('Calc base'!D$12,ROUND('Calc base'!D$13*AU61,2))&lt;1,ROUND(AU61*(1+'Calc base'!I62),2),MAX('Calc base'!D$12,ROUND('Calc base'!D$13*AU61,2))))</f>
        <v>25</v>
      </c>
      <c r="L62">
        <f>IF(AV61&lt;=0,0,IF(ROUND(AV61*(1+'Calc base'!J62),2)-MAX('Calc base'!E$12,ROUND('Calc base'!E$13*AV61,2))&lt;1,ROUND(AV61*(1+'Calc base'!J62),2),MAX('Calc base'!E$12,ROUND('Calc base'!E$13*AV61,2))))</f>
        <v>210</v>
      </c>
      <c r="M62">
        <f>IF(AW61&lt;=0,0,IF(ROUND(AW61*(1+'Calc base'!K62),2)-MAX('Calc base'!F$12,ROUND('Calc base'!F$13*AW61,2))&lt;1,ROUND(AW61*(1+'Calc base'!K62),2),MAX('Calc base'!F$12,ROUND('Calc base'!F$13*AW61,2))))</f>
        <v>265</v>
      </c>
      <c r="N62">
        <f>IF(AX61&lt;=0,0,IF(ROUND(AX61*(1+'Calc base'!L62),2)-MAX('Calc base'!G$12,ROUND('Calc base'!G$13*AX61,2))&lt;1,ROUND(AX61*(1+'Calc base'!L62),2),MAX('Calc base'!G$12,ROUND('Calc base'!G$13*AX61,2))))</f>
        <v>0</v>
      </c>
      <c r="O62">
        <f>IF(AY61&lt;=0,0,IF(ROUND(AY61*(1+'Calc base'!M62),2)-MAX('Calc base'!H$12,ROUND('Calc base'!H$13*AY61,2))&lt;1,ROUND(AY61*(1+'Calc base'!M62),2),MAX('Calc base'!H$12,ROUND('Calc base'!H$13*AY61,2))))</f>
        <v>0</v>
      </c>
      <c r="P62">
        <f>IF(AZ61&lt;=0,0,IF(ROUND(AZ61*(1+'Calc base'!N62),2)-MAX('Calc base'!I$12,ROUND('Calc base'!I$13*AZ61,2))&lt;1,ROUND(AZ61*(1+'Calc base'!N62),2),MAX('Calc base'!I$12,ROUND('Calc base'!I$13*AZ61,2))))</f>
        <v>0</v>
      </c>
      <c r="Q62">
        <f>IF(BA61&lt;=0,0,IF(ROUND(BA61*(1+'Calc base'!O62),2)-MAX('Calc base'!J$12,ROUND('Calc base'!J$13*BA61,2))&lt;1,ROUND(BA61*(1+'Calc base'!O62),2),MAX('Calc base'!J$12,ROUND('Calc base'!J$13*BA61,2))))</f>
        <v>0</v>
      </c>
      <c r="R62">
        <f>IF(BB61&lt;=0,0,IF(ROUND(BB61*(1+'Calc base'!P62),2)-MAX('Calc base'!K$12,ROUND('Calc base'!K$13*BB61,2))&lt;1,ROUND(BB61*(1+'Calc base'!P62),2),MAX('Calc base'!K$12,ROUND('Calc base'!K$13*BB61,2))))</f>
        <v>0</v>
      </c>
      <c r="S62">
        <f>IF(BC61&lt;=0,0,IF(ROUND(BC61*(1+'Calc base'!Q62),2)-MAX('Calc base'!L$12,ROUND('Calc base'!L$13*BC61,2))&lt;1,ROUND(BC61*(1+'Calc base'!Q62),2),MAX('Calc base'!L$12,ROUND('Calc base'!L$13*BC61,2))))</f>
        <v>0</v>
      </c>
      <c r="T62">
        <f>IF(BD61&lt;=0,0,IF(ROUND(BD61*(1+'Calc base'!R62),2)-MAX('Calc base'!M$12,ROUND('Calc base'!M$13*BD61,2))&lt;1,ROUND(BD61*(1+'Calc base'!R62),2),MAX('Calc base'!M$12,ROUND('Calc base'!M$13*BD61,2))))</f>
        <v>0</v>
      </c>
      <c r="U62">
        <f>IF(BE61&lt;=0,0,IF(ROUND(BE61*(1+'Calc base'!S62),2)-MAX('Calc base'!N$12,ROUND('Calc base'!N$13*BE61,2))&lt;1,ROUND(BE61*(1+'Calc base'!S62),2),MAX('Calc base'!N$12,ROUND('Calc base'!N$13*BE61,2))))</f>
        <v>0</v>
      </c>
      <c r="AT62">
        <f>MAX(0,ROUND(AT61*(1+'Calc base'!H62),2)-J62)</f>
        <v>1516.19</v>
      </c>
      <c r="AU62">
        <f>MAX(0,ROUND(AU61*(1+'Calc base'!I62),2)-K62)</f>
        <v>254.9</v>
      </c>
      <c r="AV62">
        <f>MAX(0,ROUND(AV61*(1+'Calc base'!J62),2)-L62)</f>
        <v>1099.23</v>
      </c>
      <c r="AW62">
        <f>MAX(0,ROUND(AW61*(1+'Calc base'!K62),2)-M62)</f>
        <v>2042.9</v>
      </c>
      <c r="AX62">
        <f>MAX(0,ROUND(AX61*(1+'Calc base'!L62),2)-N62)</f>
        <v>0</v>
      </c>
      <c r="AY62">
        <f>MAX(0,ROUND(AY61*(1+'Calc base'!M62),2)-O62)</f>
        <v>0</v>
      </c>
      <c r="AZ62">
        <f>MAX(0,ROUND(AZ61*(1+'Calc base'!N62),2)-P62)</f>
        <v>0</v>
      </c>
      <c r="BA62">
        <f>MAX(0,ROUND(BA61*(1+'Calc base'!O62),2)-Q62)</f>
        <v>0</v>
      </c>
      <c r="BB62">
        <f>MAX(0,ROUND(BB61*(1+'Calc base'!P62),2)-R62)</f>
        <v>0</v>
      </c>
      <c r="BC62">
        <f>MAX(0,ROUND(BC61*(1+'Calc base'!Q62),2)-S62)</f>
        <v>0</v>
      </c>
      <c r="BD62">
        <f>MAX(0,ROUND(BD61*(1+'Calc base'!R62),2)-T62)</f>
        <v>0</v>
      </c>
      <c r="BE62">
        <f>MAX(0,ROUND(BE61*(1+'Calc base'!S62),2)-U62)</f>
        <v>0</v>
      </c>
    </row>
    <row r="63">
      <c r="A63" t="n">
        <v>33</v>
      </c>
      <c r="B63">
        <f>SUMPRODUCT(ROUND($AT62:$BE62*(1+'Calc base'!$H63:$S63),2))</f>
        <v>4961.08</v>
      </c>
      <c r="C63">
        <f>SUM(J63:U63)</f>
        <v>545.49</v>
      </c>
      <c r="G63">
        <f>SUM(AT63:BE63)</f>
        <v>4415.59</v>
      </c>
      <c r="H63">
        <f>B63-G62</f>
        <v>47.8600000000006</v>
      </c>
      <c r="I63">
        <f>B63-G63</f>
        <v>545.49</v>
      </c>
      <c r="J63">
        <f>IF(AT62&lt;=0,0,IF(ROUND(AT62*(1+'Calc base'!H63),2)-MAX('Calc base'!C$12,ROUND('Calc base'!C$13*AT62,2))&lt;1,ROUND(AT62*(1+'Calc base'!H63),2),MAX('Calc base'!C$12,ROUND('Calc base'!C$13*AT62,2))))</f>
        <v>45.49</v>
      </c>
      <c r="K63">
        <f>IF(AU62&lt;=0,0,IF(ROUND(AU62*(1+'Calc base'!I63),2)-MAX('Calc base'!D$12,ROUND('Calc base'!D$13*AU62,2))&lt;1,ROUND(AU62*(1+'Calc base'!I63),2),MAX('Calc base'!D$12,ROUND('Calc base'!D$13*AU62,2))))</f>
        <v>25</v>
      </c>
      <c r="L63">
        <f>IF(AV62&lt;=0,0,IF(ROUND(AV62*(1+'Calc base'!J63),2)-MAX('Calc base'!E$12,ROUND('Calc base'!E$13*AV62,2))&lt;1,ROUND(AV62*(1+'Calc base'!J63),2),MAX('Calc base'!E$12,ROUND('Calc base'!E$13*AV62,2))))</f>
        <v>210</v>
      </c>
      <c r="M63">
        <f>IF(AW62&lt;=0,0,IF(ROUND(AW62*(1+'Calc base'!K63),2)-MAX('Calc base'!F$12,ROUND('Calc base'!F$13*AW62,2))&lt;1,ROUND(AW62*(1+'Calc base'!K63),2),MAX('Calc base'!F$12,ROUND('Calc base'!F$13*AW62,2))))</f>
        <v>265</v>
      </c>
      <c r="N63">
        <f>IF(AX62&lt;=0,0,IF(ROUND(AX62*(1+'Calc base'!L63),2)-MAX('Calc base'!G$12,ROUND('Calc base'!G$13*AX62,2))&lt;1,ROUND(AX62*(1+'Calc base'!L63),2),MAX('Calc base'!G$12,ROUND('Calc base'!G$13*AX62,2))))</f>
        <v>0</v>
      </c>
      <c r="O63">
        <f>IF(AY62&lt;=0,0,IF(ROUND(AY62*(1+'Calc base'!M63),2)-MAX('Calc base'!H$12,ROUND('Calc base'!H$13*AY62,2))&lt;1,ROUND(AY62*(1+'Calc base'!M63),2),MAX('Calc base'!H$12,ROUND('Calc base'!H$13*AY62,2))))</f>
        <v>0</v>
      </c>
      <c r="P63">
        <f>IF(AZ62&lt;=0,0,IF(ROUND(AZ62*(1+'Calc base'!N63),2)-MAX('Calc base'!I$12,ROUND('Calc base'!I$13*AZ62,2))&lt;1,ROUND(AZ62*(1+'Calc base'!N63),2),MAX('Calc base'!I$12,ROUND('Calc base'!I$13*AZ62,2))))</f>
        <v>0</v>
      </c>
      <c r="Q63">
        <f>IF(BA62&lt;=0,0,IF(ROUND(BA62*(1+'Calc base'!O63),2)-MAX('Calc base'!J$12,ROUND('Calc base'!J$13*BA62,2))&lt;1,ROUND(BA62*(1+'Calc base'!O63),2),MAX('Calc base'!J$12,ROUND('Calc base'!J$13*BA62,2))))</f>
        <v>0</v>
      </c>
      <c r="R63">
        <f>IF(BB62&lt;=0,0,IF(ROUND(BB62*(1+'Calc base'!P63),2)-MAX('Calc base'!K$12,ROUND('Calc base'!K$13*BB62,2))&lt;1,ROUND(BB62*(1+'Calc base'!P63),2),MAX('Calc base'!K$12,ROUND('Calc base'!K$13*BB62,2))))</f>
        <v>0</v>
      </c>
      <c r="S63">
        <f>IF(BC62&lt;=0,0,IF(ROUND(BC62*(1+'Calc base'!Q63),2)-MAX('Calc base'!L$12,ROUND('Calc base'!L$13*BC62,2))&lt;1,ROUND(BC62*(1+'Calc base'!Q63),2),MAX('Calc base'!L$12,ROUND('Calc base'!L$13*BC62,2))))</f>
        <v>0</v>
      </c>
      <c r="T63">
        <f>IF(BD62&lt;=0,0,IF(ROUND(BD62*(1+'Calc base'!R63),2)-MAX('Calc base'!M$12,ROUND('Calc base'!M$13*BD62,2))&lt;1,ROUND(BD62*(1+'Calc base'!R63),2),MAX('Calc base'!M$12,ROUND('Calc base'!M$13*BD62,2))))</f>
        <v>0</v>
      </c>
      <c r="U63">
        <f>IF(BE62&lt;=0,0,IF(ROUND(BE62*(1+'Calc base'!S63),2)-MAX('Calc base'!N$12,ROUND('Calc base'!N$13*BE62,2))&lt;1,ROUND(BE62*(1+'Calc base'!S63),2),MAX('Calc base'!N$12,ROUND('Calc base'!N$13*BE62,2))))</f>
        <v>0</v>
      </c>
      <c r="AT63">
        <f>MAX(0,ROUND(AT62*(1+'Calc base'!H63),2)-J63)</f>
        <v>1494.58</v>
      </c>
      <c r="AU63">
        <f>MAX(0,ROUND(AU62*(1+'Calc base'!I63),2)-K63)</f>
        <v>234.55</v>
      </c>
      <c r="AV63">
        <f>MAX(0,ROUND(AV62*(1+'Calc base'!J63),2)-L63)</f>
        <v>897.66</v>
      </c>
      <c r="AW63">
        <f>MAX(0,ROUND(AW62*(1+'Calc base'!K63),2)-M63)</f>
        <v>1788.8</v>
      </c>
      <c r="AX63">
        <f>MAX(0,ROUND(AX62*(1+'Calc base'!L63),2)-N63)</f>
        <v>0</v>
      </c>
      <c r="AY63">
        <f>MAX(0,ROUND(AY62*(1+'Calc base'!M63),2)-O63)</f>
        <v>0</v>
      </c>
      <c r="AZ63">
        <f>MAX(0,ROUND(AZ62*(1+'Calc base'!N63),2)-P63)</f>
        <v>0</v>
      </c>
      <c r="BA63">
        <f>MAX(0,ROUND(BA62*(1+'Calc base'!O63),2)-Q63)</f>
        <v>0</v>
      </c>
      <c r="BB63">
        <f>MAX(0,ROUND(BB62*(1+'Calc base'!P63),2)-R63)</f>
        <v>0</v>
      </c>
      <c r="BC63">
        <f>MAX(0,ROUND(BC62*(1+'Calc base'!Q63),2)-S63)</f>
        <v>0</v>
      </c>
      <c r="BD63">
        <f>MAX(0,ROUND(BD62*(1+'Calc base'!R63),2)-T63)</f>
        <v>0</v>
      </c>
      <c r="BE63">
        <f>MAX(0,ROUND(BE62*(1+'Calc base'!S63),2)-U63)</f>
        <v>0</v>
      </c>
    </row>
    <row r="64">
      <c r="A64" t="n">
        <v>34</v>
      </c>
      <c r="B64">
        <f>SUMPRODUCT(ROUND($AT63:$BE63*(1+'Calc base'!$H64:$S64),2))</f>
        <v>4459.83</v>
      </c>
      <c r="C64">
        <f>SUM(J64:U64)</f>
        <v>544.84</v>
      </c>
      <c r="G64">
        <f>SUM(AT64:BE64)</f>
        <v>3914.99</v>
      </c>
      <c r="H64">
        <f>B64-G63</f>
        <v>44.2399999999998</v>
      </c>
      <c r="I64">
        <f>B64-G64</f>
        <v>544.84</v>
      </c>
      <c r="J64">
        <f>IF(AT63&lt;=0,0,IF(ROUND(AT63*(1+'Calc base'!H64),2)-MAX('Calc base'!C$12,ROUND('Calc base'!C$13*AT63,2))&lt;1,ROUND(AT63*(1+'Calc base'!H64),2),MAX('Calc base'!C$12,ROUND('Calc base'!C$13*AT63,2))))</f>
        <v>44.84</v>
      </c>
      <c r="K64">
        <f>IF(AU63&lt;=0,0,IF(ROUND(AU63*(1+'Calc base'!I64),2)-MAX('Calc base'!D$12,ROUND('Calc base'!D$13*AU63,2))&lt;1,ROUND(AU63*(1+'Calc base'!I64),2),MAX('Calc base'!D$12,ROUND('Calc base'!D$13*AU63,2))))</f>
        <v>25</v>
      </c>
      <c r="L64">
        <f>IF(AV63&lt;=0,0,IF(ROUND(AV63*(1+'Calc base'!J64),2)-MAX('Calc base'!E$12,ROUND('Calc base'!E$13*AV63,2))&lt;1,ROUND(AV63*(1+'Calc base'!J64),2),MAX('Calc base'!E$12,ROUND('Calc base'!E$13*AV63,2))))</f>
        <v>210</v>
      </c>
      <c r="M64">
        <f>IF(AW63&lt;=0,0,IF(ROUND(AW63*(1+'Calc base'!K64),2)-MAX('Calc base'!F$12,ROUND('Calc base'!F$13*AW63,2))&lt;1,ROUND(AW63*(1+'Calc base'!K64),2),MAX('Calc base'!F$12,ROUND('Calc base'!F$13*AW63,2))))</f>
        <v>265</v>
      </c>
      <c r="N64">
        <f>IF(AX63&lt;=0,0,IF(ROUND(AX63*(1+'Calc base'!L64),2)-MAX('Calc base'!G$12,ROUND('Calc base'!G$13*AX63,2))&lt;1,ROUND(AX63*(1+'Calc base'!L64),2),MAX('Calc base'!G$12,ROUND('Calc base'!G$13*AX63,2))))</f>
        <v>0</v>
      </c>
      <c r="O64">
        <f>IF(AY63&lt;=0,0,IF(ROUND(AY63*(1+'Calc base'!M64),2)-MAX('Calc base'!H$12,ROUND('Calc base'!H$13*AY63,2))&lt;1,ROUND(AY63*(1+'Calc base'!M64),2),MAX('Calc base'!H$12,ROUND('Calc base'!H$13*AY63,2))))</f>
        <v>0</v>
      </c>
      <c r="P64">
        <f>IF(AZ63&lt;=0,0,IF(ROUND(AZ63*(1+'Calc base'!N64),2)-MAX('Calc base'!I$12,ROUND('Calc base'!I$13*AZ63,2))&lt;1,ROUND(AZ63*(1+'Calc base'!N64),2),MAX('Calc base'!I$12,ROUND('Calc base'!I$13*AZ63,2))))</f>
        <v>0</v>
      </c>
      <c r="Q64">
        <f>IF(BA63&lt;=0,0,IF(ROUND(BA63*(1+'Calc base'!O64),2)-MAX('Calc base'!J$12,ROUND('Calc base'!J$13*BA63,2))&lt;1,ROUND(BA63*(1+'Calc base'!O64),2),MAX('Calc base'!J$12,ROUND('Calc base'!J$13*BA63,2))))</f>
        <v>0</v>
      </c>
      <c r="R64">
        <f>IF(BB63&lt;=0,0,IF(ROUND(BB63*(1+'Calc base'!P64),2)-MAX('Calc base'!K$12,ROUND('Calc base'!K$13*BB63,2))&lt;1,ROUND(BB63*(1+'Calc base'!P64),2),MAX('Calc base'!K$12,ROUND('Calc base'!K$13*BB63,2))))</f>
        <v>0</v>
      </c>
      <c r="S64">
        <f>IF(BC63&lt;=0,0,IF(ROUND(BC63*(1+'Calc base'!Q64),2)-MAX('Calc base'!L$12,ROUND('Calc base'!L$13*BC63,2))&lt;1,ROUND(BC63*(1+'Calc base'!Q64),2),MAX('Calc base'!L$12,ROUND('Calc base'!L$13*BC63,2))))</f>
        <v>0</v>
      </c>
      <c r="T64">
        <f>IF(BD63&lt;=0,0,IF(ROUND(BD63*(1+'Calc base'!R64),2)-MAX('Calc base'!M$12,ROUND('Calc base'!M$13*BD63,2))&lt;1,ROUND(BD63*(1+'Calc base'!R64),2),MAX('Calc base'!M$12,ROUND('Calc base'!M$13*BD63,2))))</f>
        <v>0</v>
      </c>
      <c r="U64">
        <f>IF(BE63&lt;=0,0,IF(ROUND(BE63*(1+'Calc base'!S64),2)-MAX('Calc base'!N$12,ROUND('Calc base'!N$13*BE63,2))&lt;1,ROUND(BE63*(1+'Calc base'!S64),2),MAX('Calc base'!N$12,ROUND('Calc base'!N$13*BE63,2))))</f>
        <v>0</v>
      </c>
      <c r="AT64">
        <f>MAX(0,ROUND(AT63*(1+'Calc base'!H64),2)-J64)</f>
        <v>1473.28</v>
      </c>
      <c r="AU64">
        <f>MAX(0,ROUND(AU63*(1+'Calc base'!I64),2)-K64)</f>
        <v>213.83</v>
      </c>
      <c r="AV64">
        <f>MAX(0,ROUND(AV63*(1+'Calc base'!J64),2)-L64)</f>
        <v>694.54</v>
      </c>
      <c r="AW64">
        <f>MAX(0,ROUND(AW63*(1+'Calc base'!K64),2)-M64)</f>
        <v>1533.34</v>
      </c>
      <c r="AX64">
        <f>MAX(0,ROUND(AX63*(1+'Calc base'!L64),2)-N64)</f>
        <v>0</v>
      </c>
      <c r="AY64">
        <f>MAX(0,ROUND(AY63*(1+'Calc base'!M64),2)-O64)</f>
        <v>0</v>
      </c>
      <c r="AZ64">
        <f>MAX(0,ROUND(AZ63*(1+'Calc base'!N64),2)-P64)</f>
        <v>0</v>
      </c>
      <c r="BA64">
        <f>MAX(0,ROUND(BA63*(1+'Calc base'!O64),2)-Q64)</f>
        <v>0</v>
      </c>
      <c r="BB64">
        <f>MAX(0,ROUND(BB63*(1+'Calc base'!P64),2)-R64)</f>
        <v>0</v>
      </c>
      <c r="BC64">
        <f>MAX(0,ROUND(BC63*(1+'Calc base'!Q64),2)-S64)</f>
        <v>0</v>
      </c>
      <c r="BD64">
        <f>MAX(0,ROUND(BD63*(1+'Calc base'!R64),2)-T64)</f>
        <v>0</v>
      </c>
      <c r="BE64">
        <f>MAX(0,ROUND(BE63*(1+'Calc base'!S64),2)-U64)</f>
        <v>0</v>
      </c>
    </row>
    <row r="65">
      <c r="A65" t="n">
        <v>35</v>
      </c>
      <c r="B65">
        <f>SUMPRODUCT(ROUND($AT64:$BE64*(1+'Calc base'!$H65:$S65),2))</f>
        <v>3955.59</v>
      </c>
      <c r="C65">
        <f>SUM(J65:U65)</f>
        <v>544.2</v>
      </c>
      <c r="G65">
        <f>SUM(AT65:BE65)</f>
        <v>3411.39</v>
      </c>
      <c r="H65">
        <f>B65-G64</f>
        <v>40.6000000000004</v>
      </c>
      <c r="I65">
        <f>B65-G65</f>
        <v>544.2</v>
      </c>
      <c r="J65">
        <f>IF(AT64&lt;=0,0,IF(ROUND(AT64*(1+'Calc base'!H65),2)-MAX('Calc base'!C$12,ROUND('Calc base'!C$13*AT64,2))&lt;1,ROUND(AT64*(1+'Calc base'!H65),2),MAX('Calc base'!C$12,ROUND('Calc base'!C$13*AT64,2))))</f>
        <v>44.2</v>
      </c>
      <c r="K65">
        <f>IF(AU64&lt;=0,0,IF(ROUND(AU64*(1+'Calc base'!I65),2)-MAX('Calc base'!D$12,ROUND('Calc base'!D$13*AU64,2))&lt;1,ROUND(AU64*(1+'Calc base'!I65),2),MAX('Calc base'!D$12,ROUND('Calc base'!D$13*AU64,2))))</f>
        <v>25</v>
      </c>
      <c r="L65">
        <f>IF(AV64&lt;=0,0,IF(ROUND(AV64*(1+'Calc base'!J65),2)-MAX('Calc base'!E$12,ROUND('Calc base'!E$13*AV64,2))&lt;1,ROUND(AV64*(1+'Calc base'!J65),2),MAX('Calc base'!E$12,ROUND('Calc base'!E$13*AV64,2))))</f>
        <v>210</v>
      </c>
      <c r="M65">
        <f>IF(AW64&lt;=0,0,IF(ROUND(AW64*(1+'Calc base'!K65),2)-MAX('Calc base'!F$12,ROUND('Calc base'!F$13*AW64,2))&lt;1,ROUND(AW64*(1+'Calc base'!K65),2),MAX('Calc base'!F$12,ROUND('Calc base'!F$13*AW64,2))))</f>
        <v>265</v>
      </c>
      <c r="N65">
        <f>IF(AX64&lt;=0,0,IF(ROUND(AX64*(1+'Calc base'!L65),2)-MAX('Calc base'!G$12,ROUND('Calc base'!G$13*AX64,2))&lt;1,ROUND(AX64*(1+'Calc base'!L65),2),MAX('Calc base'!G$12,ROUND('Calc base'!G$13*AX64,2))))</f>
        <v>0</v>
      </c>
      <c r="O65">
        <f>IF(AY64&lt;=0,0,IF(ROUND(AY64*(1+'Calc base'!M65),2)-MAX('Calc base'!H$12,ROUND('Calc base'!H$13*AY64,2))&lt;1,ROUND(AY64*(1+'Calc base'!M65),2),MAX('Calc base'!H$12,ROUND('Calc base'!H$13*AY64,2))))</f>
        <v>0</v>
      </c>
      <c r="P65">
        <f>IF(AZ64&lt;=0,0,IF(ROUND(AZ64*(1+'Calc base'!N65),2)-MAX('Calc base'!I$12,ROUND('Calc base'!I$13*AZ64,2))&lt;1,ROUND(AZ64*(1+'Calc base'!N65),2),MAX('Calc base'!I$12,ROUND('Calc base'!I$13*AZ64,2))))</f>
        <v>0</v>
      </c>
      <c r="Q65">
        <f>IF(BA64&lt;=0,0,IF(ROUND(BA64*(1+'Calc base'!O65),2)-MAX('Calc base'!J$12,ROUND('Calc base'!J$13*BA64,2))&lt;1,ROUND(BA64*(1+'Calc base'!O65),2),MAX('Calc base'!J$12,ROUND('Calc base'!J$13*BA64,2))))</f>
        <v>0</v>
      </c>
      <c r="R65">
        <f>IF(BB64&lt;=0,0,IF(ROUND(BB64*(1+'Calc base'!P65),2)-MAX('Calc base'!K$12,ROUND('Calc base'!K$13*BB64,2))&lt;1,ROUND(BB64*(1+'Calc base'!P65),2),MAX('Calc base'!K$12,ROUND('Calc base'!K$13*BB64,2))))</f>
        <v>0</v>
      </c>
      <c r="S65">
        <f>IF(BC64&lt;=0,0,IF(ROUND(BC64*(1+'Calc base'!Q65),2)-MAX('Calc base'!L$12,ROUND('Calc base'!L$13*BC64,2))&lt;1,ROUND(BC64*(1+'Calc base'!Q65),2),MAX('Calc base'!L$12,ROUND('Calc base'!L$13*BC64,2))))</f>
        <v>0</v>
      </c>
      <c r="T65">
        <f>IF(BD64&lt;=0,0,IF(ROUND(BD64*(1+'Calc base'!R65),2)-MAX('Calc base'!M$12,ROUND('Calc base'!M$13*BD64,2))&lt;1,ROUND(BD64*(1+'Calc base'!R65),2),MAX('Calc base'!M$12,ROUND('Calc base'!M$13*BD64,2))))</f>
        <v>0</v>
      </c>
      <c r="U65">
        <f>IF(BE64&lt;=0,0,IF(ROUND(BE64*(1+'Calc base'!S65),2)-MAX('Calc base'!N$12,ROUND('Calc base'!N$13*BE64,2))&lt;1,ROUND(BE64*(1+'Calc base'!S65),2),MAX('Calc base'!N$12,ROUND('Calc base'!N$13*BE64,2))))</f>
        <v>0</v>
      </c>
      <c r="AT65">
        <f>MAX(0,ROUND(AT64*(1+'Calc base'!H65),2)-J65)</f>
        <v>1452.28</v>
      </c>
      <c r="AU65">
        <f>MAX(0,ROUND(AU64*(1+'Calc base'!I65),2)-K65)</f>
        <v>192.73</v>
      </c>
      <c r="AV65">
        <f>MAX(0,ROUND(AV64*(1+'Calc base'!J65),2)-L65)</f>
        <v>489.86</v>
      </c>
      <c r="AW65">
        <f>MAX(0,ROUND(AW64*(1+'Calc base'!K65),2)-M65)</f>
        <v>1276.52</v>
      </c>
      <c r="AX65">
        <f>MAX(0,ROUND(AX64*(1+'Calc base'!L65),2)-N65)</f>
        <v>0</v>
      </c>
      <c r="AY65">
        <f>MAX(0,ROUND(AY64*(1+'Calc base'!M65),2)-O65)</f>
        <v>0</v>
      </c>
      <c r="AZ65">
        <f>MAX(0,ROUND(AZ64*(1+'Calc base'!N65),2)-P65)</f>
        <v>0</v>
      </c>
      <c r="BA65">
        <f>MAX(0,ROUND(BA64*(1+'Calc base'!O65),2)-Q65)</f>
        <v>0</v>
      </c>
      <c r="BB65">
        <f>MAX(0,ROUND(BB64*(1+'Calc base'!P65),2)-R65)</f>
        <v>0</v>
      </c>
      <c r="BC65">
        <f>MAX(0,ROUND(BC64*(1+'Calc base'!Q65),2)-S65)</f>
        <v>0</v>
      </c>
      <c r="BD65">
        <f>MAX(0,ROUND(BD64*(1+'Calc base'!R65),2)-T65)</f>
        <v>0</v>
      </c>
      <c r="BE65">
        <f>MAX(0,ROUND(BE64*(1+'Calc base'!S65),2)-U65)</f>
        <v>0</v>
      </c>
    </row>
    <row r="66">
      <c r="A66" t="n">
        <v>36</v>
      </c>
      <c r="B66">
        <f>SUMPRODUCT(ROUND($AT65:$BE65*(1+'Calc base'!$H66:$S66),2))</f>
        <v>3448.35</v>
      </c>
      <c r="C66">
        <f>SUM(J66:U66)</f>
        <v>543.57</v>
      </c>
      <c r="G66">
        <f>SUM(AT66:BE66)</f>
        <v>2904.78</v>
      </c>
      <c r="H66">
        <f>B66-G65</f>
        <v>36.96</v>
      </c>
      <c r="I66">
        <f>B66-G66</f>
        <v>543.57</v>
      </c>
      <c r="J66">
        <f>IF(AT65&lt;=0,0,IF(ROUND(AT65*(1+'Calc base'!H66),2)-MAX('Calc base'!C$12,ROUND('Calc base'!C$13*AT65,2))&lt;1,ROUND(AT65*(1+'Calc base'!H66),2),MAX('Calc base'!C$12,ROUND('Calc base'!C$13*AT65,2))))</f>
        <v>43.57</v>
      </c>
      <c r="K66">
        <f>IF(AU65&lt;=0,0,IF(ROUND(AU65*(1+'Calc base'!I66),2)-MAX('Calc base'!D$12,ROUND('Calc base'!D$13*AU65,2))&lt;1,ROUND(AU65*(1+'Calc base'!I66),2),MAX('Calc base'!D$12,ROUND('Calc base'!D$13*AU65,2))))</f>
        <v>25</v>
      </c>
      <c r="L66">
        <f>IF(AV65&lt;=0,0,IF(ROUND(AV65*(1+'Calc base'!J66),2)-MAX('Calc base'!E$12,ROUND('Calc base'!E$13*AV65,2))&lt;1,ROUND(AV65*(1+'Calc base'!J66),2),MAX('Calc base'!E$12,ROUND('Calc base'!E$13*AV65,2))))</f>
        <v>210</v>
      </c>
      <c r="M66">
        <f>IF(AW65&lt;=0,0,IF(ROUND(AW65*(1+'Calc base'!K66),2)-MAX('Calc base'!F$12,ROUND('Calc base'!F$13*AW65,2))&lt;1,ROUND(AW65*(1+'Calc base'!K66),2),MAX('Calc base'!F$12,ROUND('Calc base'!F$13*AW65,2))))</f>
        <v>265</v>
      </c>
      <c r="N66">
        <f>IF(AX65&lt;=0,0,IF(ROUND(AX65*(1+'Calc base'!L66),2)-MAX('Calc base'!G$12,ROUND('Calc base'!G$13*AX65,2))&lt;1,ROUND(AX65*(1+'Calc base'!L66),2),MAX('Calc base'!G$12,ROUND('Calc base'!G$13*AX65,2))))</f>
        <v>0</v>
      </c>
      <c r="O66">
        <f>IF(AY65&lt;=0,0,IF(ROUND(AY65*(1+'Calc base'!M66),2)-MAX('Calc base'!H$12,ROUND('Calc base'!H$13*AY65,2))&lt;1,ROUND(AY65*(1+'Calc base'!M66),2),MAX('Calc base'!H$12,ROUND('Calc base'!H$13*AY65,2))))</f>
        <v>0</v>
      </c>
      <c r="P66">
        <f>IF(AZ65&lt;=0,0,IF(ROUND(AZ65*(1+'Calc base'!N66),2)-MAX('Calc base'!I$12,ROUND('Calc base'!I$13*AZ65,2))&lt;1,ROUND(AZ65*(1+'Calc base'!N66),2),MAX('Calc base'!I$12,ROUND('Calc base'!I$13*AZ65,2))))</f>
        <v>0</v>
      </c>
      <c r="Q66">
        <f>IF(BA65&lt;=0,0,IF(ROUND(BA65*(1+'Calc base'!O66),2)-MAX('Calc base'!J$12,ROUND('Calc base'!J$13*BA65,2))&lt;1,ROUND(BA65*(1+'Calc base'!O66),2),MAX('Calc base'!J$12,ROUND('Calc base'!J$13*BA65,2))))</f>
        <v>0</v>
      </c>
      <c r="R66">
        <f>IF(BB65&lt;=0,0,IF(ROUND(BB65*(1+'Calc base'!P66),2)-MAX('Calc base'!K$12,ROUND('Calc base'!K$13*BB65,2))&lt;1,ROUND(BB65*(1+'Calc base'!P66),2),MAX('Calc base'!K$12,ROUND('Calc base'!K$13*BB65,2))))</f>
        <v>0</v>
      </c>
      <c r="S66">
        <f>IF(BC65&lt;=0,0,IF(ROUND(BC65*(1+'Calc base'!Q66),2)-MAX('Calc base'!L$12,ROUND('Calc base'!L$13*BC65,2))&lt;1,ROUND(BC65*(1+'Calc base'!Q66),2),MAX('Calc base'!L$12,ROUND('Calc base'!L$13*BC65,2))))</f>
        <v>0</v>
      </c>
      <c r="T66">
        <f>IF(BD65&lt;=0,0,IF(ROUND(BD65*(1+'Calc base'!R66),2)-MAX('Calc base'!M$12,ROUND('Calc base'!M$13*BD65,2))&lt;1,ROUND(BD65*(1+'Calc base'!R66),2),MAX('Calc base'!M$12,ROUND('Calc base'!M$13*BD65,2))))</f>
        <v>0</v>
      </c>
      <c r="U66">
        <f>IF(BE65&lt;=0,0,IF(ROUND(BE65*(1+'Calc base'!S66),2)-MAX('Calc base'!N$12,ROUND('Calc base'!N$13*BE65,2))&lt;1,ROUND(BE65*(1+'Calc base'!S66),2),MAX('Calc base'!N$12,ROUND('Calc base'!N$13*BE65,2))))</f>
        <v>0</v>
      </c>
      <c r="AT66">
        <f>MAX(0,ROUND(AT65*(1+'Calc base'!H66),2)-J66)</f>
        <v>1431.58</v>
      </c>
      <c r="AU66">
        <f>MAX(0,ROUND(AU65*(1+'Calc base'!I66),2)-K66)</f>
        <v>171.25</v>
      </c>
      <c r="AV66">
        <f>MAX(0,ROUND(AV65*(1+'Calc base'!J66),2)-L66)</f>
        <v>283.62</v>
      </c>
      <c r="AW66">
        <f>MAX(0,ROUND(AW65*(1+'Calc base'!K66),2)-M66)</f>
        <v>1018.33</v>
      </c>
      <c r="AX66">
        <f>MAX(0,ROUND(AX65*(1+'Calc base'!L66),2)-N66)</f>
        <v>0</v>
      </c>
      <c r="AY66">
        <f>MAX(0,ROUND(AY65*(1+'Calc base'!M66),2)-O66)</f>
        <v>0</v>
      </c>
      <c r="AZ66">
        <f>MAX(0,ROUND(AZ65*(1+'Calc base'!N66),2)-P66)</f>
        <v>0</v>
      </c>
      <c r="BA66">
        <f>MAX(0,ROUND(BA65*(1+'Calc base'!O66),2)-Q66)</f>
        <v>0</v>
      </c>
      <c r="BB66">
        <f>MAX(0,ROUND(BB65*(1+'Calc base'!P66),2)-R66)</f>
        <v>0</v>
      </c>
      <c r="BC66">
        <f>MAX(0,ROUND(BC65*(1+'Calc base'!Q66),2)-S66)</f>
        <v>0</v>
      </c>
      <c r="BD66">
        <f>MAX(0,ROUND(BD65*(1+'Calc base'!R66),2)-T66)</f>
        <v>0</v>
      </c>
      <c r="BE66">
        <f>MAX(0,ROUND(BE65*(1+'Calc base'!S66),2)-U66)</f>
        <v>0</v>
      </c>
    </row>
    <row r="67">
      <c r="A67" t="n">
        <v>37</v>
      </c>
      <c r="B67">
        <f>SUMPRODUCT(ROUND($AT66:$BE66*(1+'Calc base'!$H67:$S67),2))</f>
        <v>2938.06</v>
      </c>
      <c r="C67">
        <f>SUM(J67:U67)</f>
        <v>542.95</v>
      </c>
      <c r="G67">
        <f>SUM(AT67:BE67)</f>
        <v>2395.11</v>
      </c>
      <c r="H67">
        <f>B67-G66</f>
        <v>33.2799999999997</v>
      </c>
      <c r="I67">
        <f>B67-G67</f>
        <v>542.95</v>
      </c>
      <c r="J67">
        <f>IF(AT66&lt;=0,0,IF(ROUND(AT66*(1+'Calc base'!H67),2)-MAX('Calc base'!C$12,ROUND('Calc base'!C$13*AT66,2))&lt;1,ROUND(AT66*(1+'Calc base'!H67),2),MAX('Calc base'!C$12,ROUND('Calc base'!C$13*AT66,2))))</f>
        <v>42.95</v>
      </c>
      <c r="K67">
        <f>IF(AU66&lt;=0,0,IF(ROUND(AU66*(1+'Calc base'!I67),2)-MAX('Calc base'!D$12,ROUND('Calc base'!D$13*AU66,2))&lt;1,ROUND(AU66*(1+'Calc base'!I67),2),MAX('Calc base'!D$12,ROUND('Calc base'!D$13*AU66,2))))</f>
        <v>25</v>
      </c>
      <c r="L67">
        <f>IF(AV66&lt;=0,0,IF(ROUND(AV66*(1+'Calc base'!J67),2)-MAX('Calc base'!E$12,ROUND('Calc base'!E$13*AV66,2))&lt;1,ROUND(AV66*(1+'Calc base'!J67),2),MAX('Calc base'!E$12,ROUND('Calc base'!E$13*AV66,2))))</f>
        <v>210</v>
      </c>
      <c r="M67">
        <f>IF(AW66&lt;=0,0,IF(ROUND(AW66*(1+'Calc base'!K67),2)-MAX('Calc base'!F$12,ROUND('Calc base'!F$13*AW66,2))&lt;1,ROUND(AW66*(1+'Calc base'!K67),2),MAX('Calc base'!F$12,ROUND('Calc base'!F$13*AW66,2))))</f>
        <v>265</v>
      </c>
      <c r="N67">
        <f>IF(AX66&lt;=0,0,IF(ROUND(AX66*(1+'Calc base'!L67),2)-MAX('Calc base'!G$12,ROUND('Calc base'!G$13*AX66,2))&lt;1,ROUND(AX66*(1+'Calc base'!L67),2),MAX('Calc base'!G$12,ROUND('Calc base'!G$13*AX66,2))))</f>
        <v>0</v>
      </c>
      <c r="O67">
        <f>IF(AY66&lt;=0,0,IF(ROUND(AY66*(1+'Calc base'!M67),2)-MAX('Calc base'!H$12,ROUND('Calc base'!H$13*AY66,2))&lt;1,ROUND(AY66*(1+'Calc base'!M67),2),MAX('Calc base'!H$12,ROUND('Calc base'!H$13*AY66,2))))</f>
        <v>0</v>
      </c>
      <c r="P67">
        <f>IF(AZ66&lt;=0,0,IF(ROUND(AZ66*(1+'Calc base'!N67),2)-MAX('Calc base'!I$12,ROUND('Calc base'!I$13*AZ66,2))&lt;1,ROUND(AZ66*(1+'Calc base'!N67),2),MAX('Calc base'!I$12,ROUND('Calc base'!I$13*AZ66,2))))</f>
        <v>0</v>
      </c>
      <c r="Q67">
        <f>IF(BA66&lt;=0,0,IF(ROUND(BA66*(1+'Calc base'!O67),2)-MAX('Calc base'!J$12,ROUND('Calc base'!J$13*BA66,2))&lt;1,ROUND(BA66*(1+'Calc base'!O67),2),MAX('Calc base'!J$12,ROUND('Calc base'!J$13*BA66,2))))</f>
        <v>0</v>
      </c>
      <c r="R67">
        <f>IF(BB66&lt;=0,0,IF(ROUND(BB66*(1+'Calc base'!P67),2)-MAX('Calc base'!K$12,ROUND('Calc base'!K$13*BB66,2))&lt;1,ROUND(BB66*(1+'Calc base'!P67),2),MAX('Calc base'!K$12,ROUND('Calc base'!K$13*BB66,2))))</f>
        <v>0</v>
      </c>
      <c r="S67">
        <f>IF(BC66&lt;=0,0,IF(ROUND(BC66*(1+'Calc base'!Q67),2)-MAX('Calc base'!L$12,ROUND('Calc base'!L$13*BC66,2))&lt;1,ROUND(BC66*(1+'Calc base'!Q67),2),MAX('Calc base'!L$12,ROUND('Calc base'!L$13*BC66,2))))</f>
        <v>0</v>
      </c>
      <c r="T67">
        <f>IF(BD66&lt;=0,0,IF(ROUND(BD66*(1+'Calc base'!R67),2)-MAX('Calc base'!M$12,ROUND('Calc base'!M$13*BD66,2))&lt;1,ROUND(BD66*(1+'Calc base'!R67),2),MAX('Calc base'!M$12,ROUND('Calc base'!M$13*BD66,2))))</f>
        <v>0</v>
      </c>
      <c r="U67">
        <f>IF(BE66&lt;=0,0,IF(ROUND(BE66*(1+'Calc base'!S67),2)-MAX('Calc base'!N$12,ROUND('Calc base'!N$13*BE66,2))&lt;1,ROUND(BE66*(1+'Calc base'!S67),2),MAX('Calc base'!N$12,ROUND('Calc base'!N$13*BE66,2))))</f>
        <v>0</v>
      </c>
      <c r="AT67">
        <f>MAX(0,ROUND(AT66*(1+'Calc base'!H67),2)-J67)</f>
        <v>1411.18</v>
      </c>
      <c r="AU67">
        <f>MAX(0,ROUND(AU66*(1+'Calc base'!I67),2)-K67)</f>
        <v>149.38</v>
      </c>
      <c r="AV67">
        <f>MAX(0,ROUND(AV66*(1+'Calc base'!J67),2)-L67)</f>
        <v>75.79</v>
      </c>
      <c r="AW67">
        <f>MAX(0,ROUND(AW66*(1+'Calc base'!K67),2)-M67)</f>
        <v>758.76</v>
      </c>
      <c r="AX67">
        <f>MAX(0,ROUND(AX66*(1+'Calc base'!L67),2)-N67)</f>
        <v>0</v>
      </c>
      <c r="AY67">
        <f>MAX(0,ROUND(AY66*(1+'Calc base'!M67),2)-O67)</f>
        <v>0</v>
      </c>
      <c r="AZ67">
        <f>MAX(0,ROUND(AZ66*(1+'Calc base'!N67),2)-P67)</f>
        <v>0</v>
      </c>
      <c r="BA67">
        <f>MAX(0,ROUND(BA66*(1+'Calc base'!O67),2)-Q67)</f>
        <v>0</v>
      </c>
      <c r="BB67">
        <f>MAX(0,ROUND(BB66*(1+'Calc base'!P67),2)-R67)</f>
        <v>0</v>
      </c>
      <c r="BC67">
        <f>MAX(0,ROUND(BC66*(1+'Calc base'!Q67),2)-S67)</f>
        <v>0</v>
      </c>
      <c r="BD67">
        <f>MAX(0,ROUND(BD66*(1+'Calc base'!R67),2)-T67)</f>
        <v>0</v>
      </c>
      <c r="BE67">
        <f>MAX(0,ROUND(BE66*(1+'Calc base'!S67),2)-U67)</f>
        <v>0</v>
      </c>
    </row>
    <row r="68">
      <c r="A68" t="n">
        <v>38</v>
      </c>
      <c r="B68">
        <f>SUMPRODUCT(ROUND($AT67:$BE67*(1+'Calc base'!$H68:$S68),2))</f>
        <v>2424.7</v>
      </c>
      <c r="C68">
        <f>SUM(J68:U68)</f>
        <v>408.71</v>
      </c>
      <c r="G68">
        <f>SUM(AT68:BE68)</f>
        <v>2015.99</v>
      </c>
      <c r="H68">
        <f>B68-G67</f>
        <v>29.5899999999997</v>
      </c>
      <c r="I68">
        <f>B68-G68</f>
        <v>408.71</v>
      </c>
      <c r="J68">
        <f>IF(AT67&lt;=0,0,IF(ROUND(AT67*(1+'Calc base'!H68),2)-MAX('Calc base'!C$12,ROUND('Calc base'!C$13*AT67,2))&lt;1,ROUND(AT67*(1+'Calc base'!H68),2),MAX('Calc base'!C$12,ROUND('Calc base'!C$13*AT67,2))))</f>
        <v>42.34</v>
      </c>
      <c r="K68">
        <f>IF(AU67&lt;=0,0,IF(ROUND(AU67*(1+'Calc base'!I68),2)-MAX('Calc base'!D$12,ROUND('Calc base'!D$13*AU67,2))&lt;1,ROUND(AU67*(1+'Calc base'!I68),2),MAX('Calc base'!D$12,ROUND('Calc base'!D$13*AU67,2))))</f>
        <v>25</v>
      </c>
      <c r="L68">
        <f>IF(AV67&lt;=0,0,IF(ROUND(AV67*(1+'Calc base'!J68),2)-MAX('Calc base'!E$12,ROUND('Calc base'!E$13*AV67,2))&lt;1,ROUND(AV67*(1+'Calc base'!J68),2),MAX('Calc base'!E$12,ROUND('Calc base'!E$13*AV67,2))))</f>
        <v>76.37</v>
      </c>
      <c r="M68">
        <f>IF(AW67&lt;=0,0,IF(ROUND(AW67*(1+'Calc base'!K68),2)-MAX('Calc base'!F$12,ROUND('Calc base'!F$13*AW67,2))&lt;1,ROUND(AW67*(1+'Calc base'!K68),2),MAX('Calc base'!F$12,ROUND('Calc base'!F$13*AW67,2))))</f>
        <v>265</v>
      </c>
      <c r="N68">
        <f>IF(AX67&lt;=0,0,IF(ROUND(AX67*(1+'Calc base'!L68),2)-MAX('Calc base'!G$12,ROUND('Calc base'!G$13*AX67,2))&lt;1,ROUND(AX67*(1+'Calc base'!L68),2),MAX('Calc base'!G$12,ROUND('Calc base'!G$13*AX67,2))))</f>
        <v>0</v>
      </c>
      <c r="O68">
        <f>IF(AY67&lt;=0,0,IF(ROUND(AY67*(1+'Calc base'!M68),2)-MAX('Calc base'!H$12,ROUND('Calc base'!H$13*AY67,2))&lt;1,ROUND(AY67*(1+'Calc base'!M68),2),MAX('Calc base'!H$12,ROUND('Calc base'!H$13*AY67,2))))</f>
        <v>0</v>
      </c>
      <c r="P68">
        <f>IF(AZ67&lt;=0,0,IF(ROUND(AZ67*(1+'Calc base'!N68),2)-MAX('Calc base'!I$12,ROUND('Calc base'!I$13*AZ67,2))&lt;1,ROUND(AZ67*(1+'Calc base'!N68),2),MAX('Calc base'!I$12,ROUND('Calc base'!I$13*AZ67,2))))</f>
        <v>0</v>
      </c>
      <c r="Q68">
        <f>IF(BA67&lt;=0,0,IF(ROUND(BA67*(1+'Calc base'!O68),2)-MAX('Calc base'!J$12,ROUND('Calc base'!J$13*BA67,2))&lt;1,ROUND(BA67*(1+'Calc base'!O68),2),MAX('Calc base'!J$12,ROUND('Calc base'!J$13*BA67,2))))</f>
        <v>0</v>
      </c>
      <c r="R68">
        <f>IF(BB67&lt;=0,0,IF(ROUND(BB67*(1+'Calc base'!P68),2)-MAX('Calc base'!K$12,ROUND('Calc base'!K$13*BB67,2))&lt;1,ROUND(BB67*(1+'Calc base'!P68),2),MAX('Calc base'!K$12,ROUND('Calc base'!K$13*BB67,2))))</f>
        <v>0</v>
      </c>
      <c r="S68">
        <f>IF(BC67&lt;=0,0,IF(ROUND(BC67*(1+'Calc base'!Q68),2)-MAX('Calc base'!L$12,ROUND('Calc base'!L$13*BC67,2))&lt;1,ROUND(BC67*(1+'Calc base'!Q68),2),MAX('Calc base'!L$12,ROUND('Calc base'!L$13*BC67,2))))</f>
        <v>0</v>
      </c>
      <c r="T68">
        <f>IF(BD67&lt;=0,0,IF(ROUND(BD67*(1+'Calc base'!R68),2)-MAX('Calc base'!M$12,ROUND('Calc base'!M$13*BD67,2))&lt;1,ROUND(BD67*(1+'Calc base'!R68),2),MAX('Calc base'!M$12,ROUND('Calc base'!M$13*BD67,2))))</f>
        <v>0</v>
      </c>
      <c r="U68">
        <f>IF(BE67&lt;=0,0,IF(ROUND(BE67*(1+'Calc base'!S68),2)-MAX('Calc base'!N$12,ROUND('Calc base'!N$13*BE67,2))&lt;1,ROUND(BE67*(1+'Calc base'!S68),2),MAX('Calc base'!N$12,ROUND('Calc base'!N$13*BE67,2))))</f>
        <v>0</v>
      </c>
      <c r="AT68">
        <f>MAX(0,ROUND(AT67*(1+'Calc base'!H68),2)-J68)</f>
        <v>1391.07</v>
      </c>
      <c r="AU68">
        <f>MAX(0,ROUND(AU67*(1+'Calc base'!I68),2)-K68)</f>
        <v>127.11</v>
      </c>
      <c r="AV68">
        <f>MAX(0,ROUND(AV67*(1+'Calc base'!J68),2)-L68)</f>
        <v>0</v>
      </c>
      <c r="AW68">
        <f>MAX(0,ROUND(AW67*(1+'Calc base'!K68),2)-M68)</f>
        <v>497.81</v>
      </c>
      <c r="AX68">
        <f>MAX(0,ROUND(AX67*(1+'Calc base'!L68),2)-N68)</f>
        <v>0</v>
      </c>
      <c r="AY68">
        <f>MAX(0,ROUND(AY67*(1+'Calc base'!M68),2)-O68)</f>
        <v>0</v>
      </c>
      <c r="AZ68">
        <f>MAX(0,ROUND(AZ67*(1+'Calc base'!N68),2)-P68)</f>
        <v>0</v>
      </c>
      <c r="BA68">
        <f>MAX(0,ROUND(BA67*(1+'Calc base'!O68),2)-Q68)</f>
        <v>0</v>
      </c>
      <c r="BB68">
        <f>MAX(0,ROUND(BB67*(1+'Calc base'!P68),2)-R68)</f>
        <v>0</v>
      </c>
      <c r="BC68">
        <f>MAX(0,ROUND(BC67*(1+'Calc base'!Q68),2)-S68)</f>
        <v>0</v>
      </c>
      <c r="BD68">
        <f>MAX(0,ROUND(BD67*(1+'Calc base'!R68),2)-T68)</f>
        <v>0</v>
      </c>
      <c r="BE68">
        <f>MAX(0,ROUND(BE67*(1+'Calc base'!S68),2)-U68)</f>
        <v>0</v>
      </c>
    </row>
    <row r="69">
      <c r="A69" t="n">
        <v>39</v>
      </c>
      <c r="B69">
        <f>SUMPRODUCT(ROUND($AT68:$BE68*(1+'Calc base'!$H69:$S69),2))</f>
        <v>2042.87</v>
      </c>
      <c r="C69">
        <f>SUM(J69:U69)</f>
        <v>331.73</v>
      </c>
      <c r="G69">
        <f>SUM(AT69:BE69)</f>
        <v>1711.14</v>
      </c>
      <c r="H69">
        <f>B69-G68</f>
        <v>26.8799999999997</v>
      </c>
      <c r="I69">
        <f>B69-G69</f>
        <v>331.73</v>
      </c>
      <c r="J69">
        <f>IF(AT68&lt;=0,0,IF(ROUND(AT68*(1+'Calc base'!H69),2)-MAX('Calc base'!C$12,ROUND('Calc base'!C$13*AT68,2))&lt;1,ROUND(AT68*(1+'Calc base'!H69),2),MAX('Calc base'!C$12,ROUND('Calc base'!C$13*AT68,2))))</f>
        <v>41.73</v>
      </c>
      <c r="K69">
        <f>IF(AU68&lt;=0,0,IF(ROUND(AU68*(1+'Calc base'!I69),2)-MAX('Calc base'!D$12,ROUND('Calc base'!D$13*AU68,2))&lt;1,ROUND(AU68*(1+'Calc base'!I69),2),MAX('Calc base'!D$12,ROUND('Calc base'!D$13*AU68,2))))</f>
        <v>25</v>
      </c>
      <c r="L69">
        <f>IF(AV68&lt;=0,0,IF(ROUND(AV68*(1+'Calc base'!J69),2)-MAX('Calc base'!E$12,ROUND('Calc base'!E$13*AV68,2))&lt;1,ROUND(AV68*(1+'Calc base'!J69),2),MAX('Calc base'!E$12,ROUND('Calc base'!E$13*AV68,2))))</f>
        <v>0</v>
      </c>
      <c r="M69">
        <f>IF(AW68&lt;=0,0,IF(ROUND(AW68*(1+'Calc base'!K69),2)-MAX('Calc base'!F$12,ROUND('Calc base'!F$13*AW68,2))&lt;1,ROUND(AW68*(1+'Calc base'!K69),2),MAX('Calc base'!F$12,ROUND('Calc base'!F$13*AW68,2))))</f>
        <v>265</v>
      </c>
      <c r="N69">
        <f>IF(AX68&lt;=0,0,IF(ROUND(AX68*(1+'Calc base'!L69),2)-MAX('Calc base'!G$12,ROUND('Calc base'!G$13*AX68,2))&lt;1,ROUND(AX68*(1+'Calc base'!L69),2),MAX('Calc base'!G$12,ROUND('Calc base'!G$13*AX68,2))))</f>
        <v>0</v>
      </c>
      <c r="O69">
        <f>IF(AY68&lt;=0,0,IF(ROUND(AY68*(1+'Calc base'!M69),2)-MAX('Calc base'!H$12,ROUND('Calc base'!H$13*AY68,2))&lt;1,ROUND(AY68*(1+'Calc base'!M69),2),MAX('Calc base'!H$12,ROUND('Calc base'!H$13*AY68,2))))</f>
        <v>0</v>
      </c>
      <c r="P69">
        <f>IF(AZ68&lt;=0,0,IF(ROUND(AZ68*(1+'Calc base'!N69),2)-MAX('Calc base'!I$12,ROUND('Calc base'!I$13*AZ68,2))&lt;1,ROUND(AZ68*(1+'Calc base'!N69),2),MAX('Calc base'!I$12,ROUND('Calc base'!I$13*AZ68,2))))</f>
        <v>0</v>
      </c>
      <c r="Q69">
        <f>IF(BA68&lt;=0,0,IF(ROUND(BA68*(1+'Calc base'!O69),2)-MAX('Calc base'!J$12,ROUND('Calc base'!J$13*BA68,2))&lt;1,ROUND(BA68*(1+'Calc base'!O69),2),MAX('Calc base'!J$12,ROUND('Calc base'!J$13*BA68,2))))</f>
        <v>0</v>
      </c>
      <c r="R69">
        <f>IF(BB68&lt;=0,0,IF(ROUND(BB68*(1+'Calc base'!P69),2)-MAX('Calc base'!K$12,ROUND('Calc base'!K$13*BB68,2))&lt;1,ROUND(BB68*(1+'Calc base'!P69),2),MAX('Calc base'!K$12,ROUND('Calc base'!K$13*BB68,2))))</f>
        <v>0</v>
      </c>
      <c r="S69">
        <f>IF(BC68&lt;=0,0,IF(ROUND(BC68*(1+'Calc base'!Q69),2)-MAX('Calc base'!L$12,ROUND('Calc base'!L$13*BC68,2))&lt;1,ROUND(BC68*(1+'Calc base'!Q69),2),MAX('Calc base'!L$12,ROUND('Calc base'!L$13*BC68,2))))</f>
        <v>0</v>
      </c>
      <c r="T69">
        <f>IF(BD68&lt;=0,0,IF(ROUND(BD68*(1+'Calc base'!R69),2)-MAX('Calc base'!M$12,ROUND('Calc base'!M$13*BD68,2))&lt;1,ROUND(BD68*(1+'Calc base'!R69),2),MAX('Calc base'!M$12,ROUND('Calc base'!M$13*BD68,2))))</f>
        <v>0</v>
      </c>
      <c r="U69">
        <f>IF(BE68&lt;=0,0,IF(ROUND(BE68*(1+'Calc base'!S69),2)-MAX('Calc base'!N$12,ROUND('Calc base'!N$13*BE68,2))&lt;1,ROUND(BE68*(1+'Calc base'!S69),2),MAX('Calc base'!N$12,ROUND('Calc base'!N$13*BE68,2))))</f>
        <v>0</v>
      </c>
      <c r="AT69">
        <f>MAX(0,ROUND(AT68*(1+'Calc base'!H69),2)-J69)</f>
        <v>1371.25</v>
      </c>
      <c r="AU69">
        <f>MAX(0,ROUND(AU68*(1+'Calc base'!I69),2)-K69)</f>
        <v>104.43</v>
      </c>
      <c r="AV69">
        <f>MAX(0,ROUND(AV68*(1+'Calc base'!J69),2)-L69)</f>
        <v>0</v>
      </c>
      <c r="AW69">
        <f>MAX(0,ROUND(AW68*(1+'Calc base'!K69),2)-M69)</f>
        <v>235.46</v>
      </c>
      <c r="AX69">
        <f>MAX(0,ROUND(AX68*(1+'Calc base'!L69),2)-N69)</f>
        <v>0</v>
      </c>
      <c r="AY69">
        <f>MAX(0,ROUND(AY68*(1+'Calc base'!M69),2)-O69)</f>
        <v>0</v>
      </c>
      <c r="AZ69">
        <f>MAX(0,ROUND(AZ68*(1+'Calc base'!N69),2)-P69)</f>
        <v>0</v>
      </c>
      <c r="BA69">
        <f>MAX(0,ROUND(BA68*(1+'Calc base'!O69),2)-Q69)</f>
        <v>0</v>
      </c>
      <c r="BB69">
        <f>MAX(0,ROUND(BB68*(1+'Calc base'!P69),2)-R69)</f>
        <v>0</v>
      </c>
      <c r="BC69">
        <f>MAX(0,ROUND(BC68*(1+'Calc base'!Q69),2)-S69)</f>
        <v>0</v>
      </c>
      <c r="BD69">
        <f>MAX(0,ROUND(BD68*(1+'Calc base'!R69),2)-T69)</f>
        <v>0</v>
      </c>
      <c r="BE69">
        <f>MAX(0,ROUND(BE68*(1+'Calc base'!S69),2)-U69)</f>
        <v>0</v>
      </c>
    </row>
    <row r="70">
      <c r="A70" t="n">
        <v>40</v>
      </c>
      <c r="B70">
        <f>SUMPRODUCT(ROUND($AT69:$BE69*(1+'Calc base'!$H70:$S70),2))</f>
        <v>1735.91</v>
      </c>
      <c r="C70">
        <f>SUM(J70:U70)</f>
        <v>302.86</v>
      </c>
      <c r="G70">
        <f>SUM(AT70:BE70)</f>
        <v>1433.05</v>
      </c>
      <c r="H70">
        <f>B70-G69</f>
        <v>24.7699999999998</v>
      </c>
      <c r="I70">
        <f>B70-G70</f>
        <v>302.86</v>
      </c>
      <c r="J70">
        <f>IF(AT69&lt;=0,0,IF(ROUND(AT69*(1+'Calc base'!H70),2)-MAX('Calc base'!C$12,ROUND('Calc base'!C$13*AT69,2))&lt;1,ROUND(AT69*(1+'Calc base'!H70),2),MAX('Calc base'!C$12,ROUND('Calc base'!C$13*AT69,2))))</f>
        <v>41.14</v>
      </c>
      <c r="K70">
        <f>IF(AU69&lt;=0,0,IF(ROUND(AU69*(1+'Calc base'!I70),2)-MAX('Calc base'!D$12,ROUND('Calc base'!D$13*AU69,2))&lt;1,ROUND(AU69*(1+'Calc base'!I70),2),MAX('Calc base'!D$12,ROUND('Calc base'!D$13*AU69,2))))</f>
        <v>25</v>
      </c>
      <c r="L70">
        <f>IF(AV69&lt;=0,0,IF(ROUND(AV69*(1+'Calc base'!J70),2)-MAX('Calc base'!E$12,ROUND('Calc base'!E$13*AV69,2))&lt;1,ROUND(AV69*(1+'Calc base'!J70),2),MAX('Calc base'!E$12,ROUND('Calc base'!E$13*AV69,2))))</f>
        <v>0</v>
      </c>
      <c r="M70">
        <f>IF(AW69&lt;=0,0,IF(ROUND(AW69*(1+'Calc base'!K70),2)-MAX('Calc base'!F$12,ROUND('Calc base'!F$13*AW69,2))&lt;1,ROUND(AW69*(1+'Calc base'!K70),2),MAX('Calc base'!F$12,ROUND('Calc base'!F$13*AW69,2))))</f>
        <v>236.72</v>
      </c>
      <c r="N70">
        <f>IF(AX69&lt;=0,0,IF(ROUND(AX69*(1+'Calc base'!L70),2)-MAX('Calc base'!G$12,ROUND('Calc base'!G$13*AX69,2))&lt;1,ROUND(AX69*(1+'Calc base'!L70),2),MAX('Calc base'!G$12,ROUND('Calc base'!G$13*AX69,2))))</f>
        <v>0</v>
      </c>
      <c r="O70">
        <f>IF(AY69&lt;=0,0,IF(ROUND(AY69*(1+'Calc base'!M70),2)-MAX('Calc base'!H$12,ROUND('Calc base'!H$13*AY69,2))&lt;1,ROUND(AY69*(1+'Calc base'!M70),2),MAX('Calc base'!H$12,ROUND('Calc base'!H$13*AY69,2))))</f>
        <v>0</v>
      </c>
      <c r="P70">
        <f>IF(AZ69&lt;=0,0,IF(ROUND(AZ69*(1+'Calc base'!N70),2)-MAX('Calc base'!I$12,ROUND('Calc base'!I$13*AZ69,2))&lt;1,ROUND(AZ69*(1+'Calc base'!N70),2),MAX('Calc base'!I$12,ROUND('Calc base'!I$13*AZ69,2))))</f>
        <v>0</v>
      </c>
      <c r="Q70">
        <f>IF(BA69&lt;=0,0,IF(ROUND(BA69*(1+'Calc base'!O70),2)-MAX('Calc base'!J$12,ROUND('Calc base'!J$13*BA69,2))&lt;1,ROUND(BA69*(1+'Calc base'!O70),2),MAX('Calc base'!J$12,ROUND('Calc base'!J$13*BA69,2))))</f>
        <v>0</v>
      </c>
      <c r="R70">
        <f>IF(BB69&lt;=0,0,IF(ROUND(BB69*(1+'Calc base'!P70),2)-MAX('Calc base'!K$12,ROUND('Calc base'!K$13*BB69,2))&lt;1,ROUND(BB69*(1+'Calc base'!P70),2),MAX('Calc base'!K$12,ROUND('Calc base'!K$13*BB69,2))))</f>
        <v>0</v>
      </c>
      <c r="S70">
        <f>IF(BC69&lt;=0,0,IF(ROUND(BC69*(1+'Calc base'!Q70),2)-MAX('Calc base'!L$12,ROUND('Calc base'!L$13*BC69,2))&lt;1,ROUND(BC69*(1+'Calc base'!Q70),2),MAX('Calc base'!L$12,ROUND('Calc base'!L$13*BC69,2))))</f>
        <v>0</v>
      </c>
      <c r="T70">
        <f>IF(BD69&lt;=0,0,IF(ROUND(BD69*(1+'Calc base'!R70),2)-MAX('Calc base'!M$12,ROUND('Calc base'!M$13*BD69,2))&lt;1,ROUND(BD69*(1+'Calc base'!R70),2),MAX('Calc base'!M$12,ROUND('Calc base'!M$13*BD69,2))))</f>
        <v>0</v>
      </c>
      <c r="U70">
        <f>IF(BE69&lt;=0,0,IF(ROUND(BE69*(1+'Calc base'!S70),2)-MAX('Calc base'!N$12,ROUND('Calc base'!N$13*BE69,2))&lt;1,ROUND(BE69*(1+'Calc base'!S70),2),MAX('Calc base'!N$12,ROUND('Calc base'!N$13*BE69,2))))</f>
        <v>0</v>
      </c>
      <c r="AT70">
        <f>MAX(0,ROUND(AT69*(1+'Calc base'!H70),2)-J70)</f>
        <v>1351.71</v>
      </c>
      <c r="AU70">
        <f>MAX(0,ROUND(AU69*(1+'Calc base'!I70),2)-K70)</f>
        <v>81.34</v>
      </c>
      <c r="AV70">
        <f>MAX(0,ROUND(AV69*(1+'Calc base'!J70),2)-L70)</f>
        <v>0</v>
      </c>
      <c r="AW70">
        <f>MAX(0,ROUND(AW69*(1+'Calc base'!K70),2)-M70)</f>
        <v>0</v>
      </c>
      <c r="AX70">
        <f>MAX(0,ROUND(AX69*(1+'Calc base'!L70),2)-N70)</f>
        <v>0</v>
      </c>
      <c r="AY70">
        <f>MAX(0,ROUND(AY69*(1+'Calc base'!M70),2)-O70)</f>
        <v>0</v>
      </c>
      <c r="AZ70">
        <f>MAX(0,ROUND(AZ69*(1+'Calc base'!N70),2)-P70)</f>
        <v>0</v>
      </c>
      <c r="BA70">
        <f>MAX(0,ROUND(BA69*(1+'Calc base'!O70),2)-Q70)</f>
        <v>0</v>
      </c>
      <c r="BB70">
        <f>MAX(0,ROUND(BB69*(1+'Calc base'!P70),2)-R70)</f>
        <v>0</v>
      </c>
      <c r="BC70">
        <f>MAX(0,ROUND(BC69*(1+'Calc base'!Q70),2)-S70)</f>
        <v>0</v>
      </c>
      <c r="BD70">
        <f>MAX(0,ROUND(BD69*(1+'Calc base'!R70),2)-T70)</f>
        <v>0</v>
      </c>
      <c r="BE70">
        <f>MAX(0,ROUND(BE69*(1+'Calc base'!S70),2)-U70)</f>
        <v>0</v>
      </c>
    </row>
    <row r="71">
      <c r="A71" t="n">
        <v>41</v>
      </c>
      <c r="B71">
        <f>SUMPRODUCT(ROUND($AT70:$BE70*(1+'Calc base'!$H71:$S71),2))</f>
        <v>1455.82</v>
      </c>
      <c r="C71">
        <f>SUM(J71:U71)</f>
        <v>65.55</v>
      </c>
      <c r="G71">
        <f>SUM(AT71:BE71)</f>
        <v>1390.27</v>
      </c>
      <c r="H71">
        <f>B71-G70</f>
        <v>22.7700000000002</v>
      </c>
      <c r="I71">
        <f>B71-G71</f>
        <v>65.55</v>
      </c>
      <c r="J71">
        <f>IF(AT70&lt;=0,0,IF(ROUND(AT70*(1+'Calc base'!H71),2)-MAX('Calc base'!C$12,ROUND('Calc base'!C$13*AT70,2))&lt;1,ROUND(AT70*(1+'Calc base'!H71),2),MAX('Calc base'!C$12,ROUND('Calc base'!C$13*AT70,2))))</f>
        <v>40.55</v>
      </c>
      <c r="K71">
        <f>IF(AU70&lt;=0,0,IF(ROUND(AU70*(1+'Calc base'!I71),2)-MAX('Calc base'!D$12,ROUND('Calc base'!D$13*AU70,2))&lt;1,ROUND(AU70*(1+'Calc base'!I71),2),MAX('Calc base'!D$12,ROUND('Calc base'!D$13*AU70,2))))</f>
        <v>25</v>
      </c>
      <c r="L71">
        <f>IF(AV70&lt;=0,0,IF(ROUND(AV70*(1+'Calc base'!J71),2)-MAX('Calc base'!E$12,ROUND('Calc base'!E$13*AV70,2))&lt;1,ROUND(AV70*(1+'Calc base'!J71),2),MAX('Calc base'!E$12,ROUND('Calc base'!E$13*AV70,2))))</f>
        <v>0</v>
      </c>
      <c r="M71">
        <f>IF(AW70&lt;=0,0,IF(ROUND(AW70*(1+'Calc base'!K71),2)-MAX('Calc base'!F$12,ROUND('Calc base'!F$13*AW70,2))&lt;1,ROUND(AW70*(1+'Calc base'!K71),2),MAX('Calc base'!F$12,ROUND('Calc base'!F$13*AW70,2))))</f>
        <v>0</v>
      </c>
      <c r="N71">
        <f>IF(AX70&lt;=0,0,IF(ROUND(AX70*(1+'Calc base'!L71),2)-MAX('Calc base'!G$12,ROUND('Calc base'!G$13*AX70,2))&lt;1,ROUND(AX70*(1+'Calc base'!L71),2),MAX('Calc base'!G$12,ROUND('Calc base'!G$13*AX70,2))))</f>
        <v>0</v>
      </c>
      <c r="O71">
        <f>IF(AY70&lt;=0,0,IF(ROUND(AY70*(1+'Calc base'!M71),2)-MAX('Calc base'!H$12,ROUND('Calc base'!H$13*AY70,2))&lt;1,ROUND(AY70*(1+'Calc base'!M71),2),MAX('Calc base'!H$12,ROUND('Calc base'!H$13*AY70,2))))</f>
        <v>0</v>
      </c>
      <c r="P71">
        <f>IF(AZ70&lt;=0,0,IF(ROUND(AZ70*(1+'Calc base'!N71),2)-MAX('Calc base'!I$12,ROUND('Calc base'!I$13*AZ70,2))&lt;1,ROUND(AZ70*(1+'Calc base'!N71),2),MAX('Calc base'!I$12,ROUND('Calc base'!I$13*AZ70,2))))</f>
        <v>0</v>
      </c>
      <c r="Q71">
        <f>IF(BA70&lt;=0,0,IF(ROUND(BA70*(1+'Calc base'!O71),2)-MAX('Calc base'!J$12,ROUND('Calc base'!J$13*BA70,2))&lt;1,ROUND(BA70*(1+'Calc base'!O71),2),MAX('Calc base'!J$12,ROUND('Calc base'!J$13*BA70,2))))</f>
        <v>0</v>
      </c>
      <c r="R71">
        <f>IF(BB70&lt;=0,0,IF(ROUND(BB70*(1+'Calc base'!P71),2)-MAX('Calc base'!K$12,ROUND('Calc base'!K$13*BB70,2))&lt;1,ROUND(BB70*(1+'Calc base'!P71),2),MAX('Calc base'!K$12,ROUND('Calc base'!K$13*BB70,2))))</f>
        <v>0</v>
      </c>
      <c r="S71">
        <f>IF(BC70&lt;=0,0,IF(ROUND(BC70*(1+'Calc base'!Q71),2)-MAX('Calc base'!L$12,ROUND('Calc base'!L$13*BC70,2))&lt;1,ROUND(BC70*(1+'Calc base'!Q71),2),MAX('Calc base'!L$12,ROUND('Calc base'!L$13*BC70,2))))</f>
        <v>0</v>
      </c>
      <c r="T71">
        <f>IF(BD70&lt;=0,0,IF(ROUND(BD70*(1+'Calc base'!R71),2)-MAX('Calc base'!M$12,ROUND('Calc base'!M$13*BD70,2))&lt;1,ROUND(BD70*(1+'Calc base'!R71),2),MAX('Calc base'!M$12,ROUND('Calc base'!M$13*BD70,2))))</f>
        <v>0</v>
      </c>
      <c r="U71">
        <f>IF(BE70&lt;=0,0,IF(ROUND(BE70*(1+'Calc base'!S71),2)-MAX('Calc base'!N$12,ROUND('Calc base'!N$13*BE70,2))&lt;1,ROUND(BE70*(1+'Calc base'!S71),2),MAX('Calc base'!N$12,ROUND('Calc base'!N$13*BE70,2))))</f>
        <v>0</v>
      </c>
      <c r="AT71">
        <f>MAX(0,ROUND(AT70*(1+'Calc base'!H71),2)-J71)</f>
        <v>1332.45</v>
      </c>
      <c r="AU71">
        <f>MAX(0,ROUND(AU70*(1+'Calc base'!I71),2)-K71)</f>
        <v>57.82</v>
      </c>
      <c r="AV71">
        <f>MAX(0,ROUND(AV70*(1+'Calc base'!J71),2)-L71)</f>
        <v>0</v>
      </c>
      <c r="AW71">
        <f>MAX(0,ROUND(AW70*(1+'Calc base'!K71),2)-M71)</f>
        <v>0</v>
      </c>
      <c r="AX71">
        <f>MAX(0,ROUND(AX70*(1+'Calc base'!L71),2)-N71)</f>
        <v>0</v>
      </c>
      <c r="AY71">
        <f>MAX(0,ROUND(AY70*(1+'Calc base'!M71),2)-O71)</f>
        <v>0</v>
      </c>
      <c r="AZ71">
        <f>MAX(0,ROUND(AZ70*(1+'Calc base'!N71),2)-P71)</f>
        <v>0</v>
      </c>
      <c r="BA71">
        <f>MAX(0,ROUND(BA70*(1+'Calc base'!O71),2)-Q71)</f>
        <v>0</v>
      </c>
      <c r="BB71">
        <f>MAX(0,ROUND(BB70*(1+'Calc base'!P71),2)-R71)</f>
        <v>0</v>
      </c>
      <c r="BC71">
        <f>MAX(0,ROUND(BC70*(1+'Calc base'!Q71),2)-S71)</f>
        <v>0</v>
      </c>
      <c r="BD71">
        <f>MAX(0,ROUND(BD70*(1+'Calc base'!R71),2)-T71)</f>
        <v>0</v>
      </c>
      <c r="BE71">
        <f>MAX(0,ROUND(BE70*(1+'Calc base'!S71),2)-U71)</f>
        <v>0</v>
      </c>
    </row>
    <row r="72">
      <c r="A72" t="n">
        <v>42</v>
      </c>
      <c r="B72">
        <f>SUMPRODUCT(ROUND($AT71:$BE71*(1+'Calc base'!$H72:$S72),2))</f>
        <v>1412.32</v>
      </c>
      <c r="C72">
        <f>SUM(J72:U72)</f>
        <v>64.97</v>
      </c>
      <c r="G72">
        <f>SUM(AT72:BE72)</f>
        <v>1347.35</v>
      </c>
      <c r="H72">
        <f>B72-G71</f>
        <v>22.0500000000002</v>
      </c>
      <c r="I72">
        <f>B72-G72</f>
        <v>64.97</v>
      </c>
      <c r="J72">
        <f>IF(AT71&lt;=0,0,IF(ROUND(AT71*(1+'Calc base'!H72),2)-MAX('Calc base'!C$12,ROUND('Calc base'!C$13*AT71,2))&lt;1,ROUND(AT71*(1+'Calc base'!H72),2),MAX('Calc base'!C$12,ROUND('Calc base'!C$13*AT71,2))))</f>
        <v>39.97</v>
      </c>
      <c r="K72">
        <f>IF(AU71&lt;=0,0,IF(ROUND(AU71*(1+'Calc base'!I72),2)-MAX('Calc base'!D$12,ROUND('Calc base'!D$13*AU71,2))&lt;1,ROUND(AU71*(1+'Calc base'!I72),2),MAX('Calc base'!D$12,ROUND('Calc base'!D$13*AU71,2))))</f>
        <v>25</v>
      </c>
      <c r="L72">
        <f>IF(AV71&lt;=0,0,IF(ROUND(AV71*(1+'Calc base'!J72),2)-MAX('Calc base'!E$12,ROUND('Calc base'!E$13*AV71,2))&lt;1,ROUND(AV71*(1+'Calc base'!J72),2),MAX('Calc base'!E$12,ROUND('Calc base'!E$13*AV71,2))))</f>
        <v>0</v>
      </c>
      <c r="M72">
        <f>IF(AW71&lt;=0,0,IF(ROUND(AW71*(1+'Calc base'!K72),2)-MAX('Calc base'!F$12,ROUND('Calc base'!F$13*AW71,2))&lt;1,ROUND(AW71*(1+'Calc base'!K72),2),MAX('Calc base'!F$12,ROUND('Calc base'!F$13*AW71,2))))</f>
        <v>0</v>
      </c>
      <c r="N72">
        <f>IF(AX71&lt;=0,0,IF(ROUND(AX71*(1+'Calc base'!L72),2)-MAX('Calc base'!G$12,ROUND('Calc base'!G$13*AX71,2))&lt;1,ROUND(AX71*(1+'Calc base'!L72),2),MAX('Calc base'!G$12,ROUND('Calc base'!G$13*AX71,2))))</f>
        <v>0</v>
      </c>
      <c r="O72">
        <f>IF(AY71&lt;=0,0,IF(ROUND(AY71*(1+'Calc base'!M72),2)-MAX('Calc base'!H$12,ROUND('Calc base'!H$13*AY71,2))&lt;1,ROUND(AY71*(1+'Calc base'!M72),2),MAX('Calc base'!H$12,ROUND('Calc base'!H$13*AY71,2))))</f>
        <v>0</v>
      </c>
      <c r="P72">
        <f>IF(AZ71&lt;=0,0,IF(ROUND(AZ71*(1+'Calc base'!N72),2)-MAX('Calc base'!I$12,ROUND('Calc base'!I$13*AZ71,2))&lt;1,ROUND(AZ71*(1+'Calc base'!N72),2),MAX('Calc base'!I$12,ROUND('Calc base'!I$13*AZ71,2))))</f>
        <v>0</v>
      </c>
      <c r="Q72">
        <f>IF(BA71&lt;=0,0,IF(ROUND(BA71*(1+'Calc base'!O72),2)-MAX('Calc base'!J$12,ROUND('Calc base'!J$13*BA71,2))&lt;1,ROUND(BA71*(1+'Calc base'!O72),2),MAX('Calc base'!J$12,ROUND('Calc base'!J$13*BA71,2))))</f>
        <v>0</v>
      </c>
      <c r="R72">
        <f>IF(BB71&lt;=0,0,IF(ROUND(BB71*(1+'Calc base'!P72),2)-MAX('Calc base'!K$12,ROUND('Calc base'!K$13*BB71,2))&lt;1,ROUND(BB71*(1+'Calc base'!P72),2),MAX('Calc base'!K$12,ROUND('Calc base'!K$13*BB71,2))))</f>
        <v>0</v>
      </c>
      <c r="S72">
        <f>IF(BC71&lt;=0,0,IF(ROUND(BC71*(1+'Calc base'!Q72),2)-MAX('Calc base'!L$12,ROUND('Calc base'!L$13*BC71,2))&lt;1,ROUND(BC71*(1+'Calc base'!Q72),2),MAX('Calc base'!L$12,ROUND('Calc base'!L$13*BC71,2))))</f>
        <v>0</v>
      </c>
      <c r="T72">
        <f>IF(BD71&lt;=0,0,IF(ROUND(BD71*(1+'Calc base'!R72),2)-MAX('Calc base'!M$12,ROUND('Calc base'!M$13*BD71,2))&lt;1,ROUND(BD71*(1+'Calc base'!R72),2),MAX('Calc base'!M$12,ROUND('Calc base'!M$13*BD71,2))))</f>
        <v>0</v>
      </c>
      <c r="U72">
        <f>IF(BE71&lt;=0,0,IF(ROUND(BE71*(1+'Calc base'!S72),2)-MAX('Calc base'!N$12,ROUND('Calc base'!N$13*BE71,2))&lt;1,ROUND(BE71*(1+'Calc base'!S72),2),MAX('Calc base'!N$12,ROUND('Calc base'!N$13*BE71,2))))</f>
        <v>0</v>
      </c>
      <c r="AT72">
        <f>MAX(0,ROUND(AT71*(1+'Calc base'!H72),2)-J72)</f>
        <v>1313.47</v>
      </c>
      <c r="AU72">
        <f>MAX(0,ROUND(AU71*(1+'Calc base'!I72),2)-K72)</f>
        <v>33.88</v>
      </c>
      <c r="AV72">
        <f>MAX(0,ROUND(AV71*(1+'Calc base'!J72),2)-L72)</f>
        <v>0</v>
      </c>
      <c r="AW72">
        <f>MAX(0,ROUND(AW71*(1+'Calc base'!K72),2)-M72)</f>
        <v>0</v>
      </c>
      <c r="AX72">
        <f>MAX(0,ROUND(AX71*(1+'Calc base'!L72),2)-N72)</f>
        <v>0</v>
      </c>
      <c r="AY72">
        <f>MAX(0,ROUND(AY71*(1+'Calc base'!M72),2)-O72)</f>
        <v>0</v>
      </c>
      <c r="AZ72">
        <f>MAX(0,ROUND(AZ71*(1+'Calc base'!N72),2)-P72)</f>
        <v>0</v>
      </c>
      <c r="BA72">
        <f>MAX(0,ROUND(BA71*(1+'Calc base'!O72),2)-Q72)</f>
        <v>0</v>
      </c>
      <c r="BB72">
        <f>MAX(0,ROUND(BB71*(1+'Calc base'!P72),2)-R72)</f>
        <v>0</v>
      </c>
      <c r="BC72">
        <f>MAX(0,ROUND(BC71*(1+'Calc base'!Q72),2)-S72)</f>
        <v>0</v>
      </c>
      <c r="BD72">
        <f>MAX(0,ROUND(BD71*(1+'Calc base'!R72),2)-T72)</f>
        <v>0</v>
      </c>
      <c r="BE72">
        <f>MAX(0,ROUND(BE71*(1+'Calc base'!S72),2)-U72)</f>
        <v>0</v>
      </c>
    </row>
    <row r="73">
      <c r="A73" t="n">
        <v>43</v>
      </c>
      <c r="B73">
        <f>SUMPRODUCT(ROUND($AT72:$BE72*(1+'Calc base'!$H73:$S73),2))</f>
        <v>1368.66</v>
      </c>
      <c r="C73">
        <f>SUM(J73:U73)</f>
        <v>64.4</v>
      </c>
      <c r="G73">
        <f>SUM(AT73:BE73)</f>
        <v>1304.26</v>
      </c>
      <c r="H73">
        <f>B73-G72</f>
        <v>21.3099999999999</v>
      </c>
      <c r="I73">
        <f>B73-G73</f>
        <v>64.4000000000001</v>
      </c>
      <c r="J73">
        <f>IF(AT72&lt;=0,0,IF(ROUND(AT72*(1+'Calc base'!H73),2)-MAX('Calc base'!C$12,ROUND('Calc base'!C$13*AT72,2))&lt;1,ROUND(AT72*(1+'Calc base'!H73),2),MAX('Calc base'!C$12,ROUND('Calc base'!C$13*AT72,2))))</f>
        <v>39.4</v>
      </c>
      <c r="K73">
        <f>IF(AU72&lt;=0,0,IF(ROUND(AU72*(1+'Calc base'!I73),2)-MAX('Calc base'!D$12,ROUND('Calc base'!D$13*AU72,2))&lt;1,ROUND(AU72*(1+'Calc base'!I73),2),MAX('Calc base'!D$12,ROUND('Calc base'!D$13*AU72,2))))</f>
        <v>25</v>
      </c>
      <c r="L73">
        <f>IF(AV72&lt;=0,0,IF(ROUND(AV72*(1+'Calc base'!J73),2)-MAX('Calc base'!E$12,ROUND('Calc base'!E$13*AV72,2))&lt;1,ROUND(AV72*(1+'Calc base'!J73),2),MAX('Calc base'!E$12,ROUND('Calc base'!E$13*AV72,2))))</f>
        <v>0</v>
      </c>
      <c r="M73">
        <f>IF(AW72&lt;=0,0,IF(ROUND(AW72*(1+'Calc base'!K73),2)-MAX('Calc base'!F$12,ROUND('Calc base'!F$13*AW72,2))&lt;1,ROUND(AW72*(1+'Calc base'!K73),2),MAX('Calc base'!F$12,ROUND('Calc base'!F$13*AW72,2))))</f>
        <v>0</v>
      </c>
      <c r="N73">
        <f>IF(AX72&lt;=0,0,IF(ROUND(AX72*(1+'Calc base'!L73),2)-MAX('Calc base'!G$12,ROUND('Calc base'!G$13*AX72,2))&lt;1,ROUND(AX72*(1+'Calc base'!L73),2),MAX('Calc base'!G$12,ROUND('Calc base'!G$13*AX72,2))))</f>
        <v>0</v>
      </c>
      <c r="O73">
        <f>IF(AY72&lt;=0,0,IF(ROUND(AY72*(1+'Calc base'!M73),2)-MAX('Calc base'!H$12,ROUND('Calc base'!H$13*AY72,2))&lt;1,ROUND(AY72*(1+'Calc base'!M73),2),MAX('Calc base'!H$12,ROUND('Calc base'!H$13*AY72,2))))</f>
        <v>0</v>
      </c>
      <c r="P73">
        <f>IF(AZ72&lt;=0,0,IF(ROUND(AZ72*(1+'Calc base'!N73),2)-MAX('Calc base'!I$12,ROUND('Calc base'!I$13*AZ72,2))&lt;1,ROUND(AZ72*(1+'Calc base'!N73),2),MAX('Calc base'!I$12,ROUND('Calc base'!I$13*AZ72,2))))</f>
        <v>0</v>
      </c>
      <c r="Q73">
        <f>IF(BA72&lt;=0,0,IF(ROUND(BA72*(1+'Calc base'!O73),2)-MAX('Calc base'!J$12,ROUND('Calc base'!J$13*BA72,2))&lt;1,ROUND(BA72*(1+'Calc base'!O73),2),MAX('Calc base'!J$12,ROUND('Calc base'!J$13*BA72,2))))</f>
        <v>0</v>
      </c>
      <c r="R73">
        <f>IF(BB72&lt;=0,0,IF(ROUND(BB72*(1+'Calc base'!P73),2)-MAX('Calc base'!K$12,ROUND('Calc base'!K$13*BB72,2))&lt;1,ROUND(BB72*(1+'Calc base'!P73),2),MAX('Calc base'!K$12,ROUND('Calc base'!K$13*BB72,2))))</f>
        <v>0</v>
      </c>
      <c r="S73">
        <f>IF(BC72&lt;=0,0,IF(ROUND(BC72*(1+'Calc base'!Q73),2)-MAX('Calc base'!L$12,ROUND('Calc base'!L$13*BC72,2))&lt;1,ROUND(BC72*(1+'Calc base'!Q73),2),MAX('Calc base'!L$12,ROUND('Calc base'!L$13*BC72,2))))</f>
        <v>0</v>
      </c>
      <c r="T73">
        <f>IF(BD72&lt;=0,0,IF(ROUND(BD72*(1+'Calc base'!R73),2)-MAX('Calc base'!M$12,ROUND('Calc base'!M$13*BD72,2))&lt;1,ROUND(BD72*(1+'Calc base'!R73),2),MAX('Calc base'!M$12,ROUND('Calc base'!M$13*BD72,2))))</f>
        <v>0</v>
      </c>
      <c r="U73">
        <f>IF(BE72&lt;=0,0,IF(ROUND(BE72*(1+'Calc base'!S73),2)-MAX('Calc base'!N$12,ROUND('Calc base'!N$13*BE72,2))&lt;1,ROUND(BE72*(1+'Calc base'!S73),2),MAX('Calc base'!N$12,ROUND('Calc base'!N$13*BE72,2))))</f>
        <v>0</v>
      </c>
      <c r="AT73">
        <f>MAX(0,ROUND(AT72*(1+'Calc base'!H73),2)-J73)</f>
        <v>1294.76</v>
      </c>
      <c r="AU73">
        <f>MAX(0,ROUND(AU72*(1+'Calc base'!I73),2)-K73)</f>
        <v>9.5</v>
      </c>
      <c r="AV73">
        <f>MAX(0,ROUND(AV72*(1+'Calc base'!J73),2)-L73)</f>
        <v>0</v>
      </c>
      <c r="AW73">
        <f>MAX(0,ROUND(AW72*(1+'Calc base'!K73),2)-M73)</f>
        <v>0</v>
      </c>
      <c r="AX73">
        <f>MAX(0,ROUND(AX72*(1+'Calc base'!L73),2)-N73)</f>
        <v>0</v>
      </c>
      <c r="AY73">
        <f>MAX(0,ROUND(AY72*(1+'Calc base'!M73),2)-O73)</f>
        <v>0</v>
      </c>
      <c r="AZ73">
        <f>MAX(0,ROUND(AZ72*(1+'Calc base'!N73),2)-P73)</f>
        <v>0</v>
      </c>
      <c r="BA73">
        <f>MAX(0,ROUND(BA72*(1+'Calc base'!O73),2)-Q73)</f>
        <v>0</v>
      </c>
      <c r="BB73">
        <f>MAX(0,ROUND(BB72*(1+'Calc base'!P73),2)-R73)</f>
        <v>0</v>
      </c>
      <c r="BC73">
        <f>MAX(0,ROUND(BC72*(1+'Calc base'!Q73),2)-S73)</f>
        <v>0</v>
      </c>
      <c r="BD73">
        <f>MAX(0,ROUND(BD72*(1+'Calc base'!R73),2)-T73)</f>
        <v>0</v>
      </c>
      <c r="BE73">
        <f>MAX(0,ROUND(BE72*(1+'Calc base'!S73),2)-U73)</f>
        <v>0</v>
      </c>
    </row>
    <row r="74">
      <c r="A74" t="n">
        <v>44</v>
      </c>
      <c r="B74">
        <f>SUMPRODUCT(ROUND($AT73:$BE73*(1+'Calc base'!$H74:$S74),2))</f>
        <v>1324.82</v>
      </c>
      <c r="C74">
        <f>SUM(J74:U74)</f>
        <v>48.51</v>
      </c>
      <c r="G74">
        <f>SUM(AT74:BE74)</f>
        <v>1276.31</v>
      </c>
      <c r="H74">
        <f>B74-G73</f>
        <v>20.5600000000002</v>
      </c>
      <c r="I74">
        <f>B74-G74</f>
        <v>48.51</v>
      </c>
      <c r="J74">
        <f>IF(AT73&lt;=0,0,IF(ROUND(AT73*(1+'Calc base'!H74),2)-MAX('Calc base'!C$12,ROUND('Calc base'!C$13*AT73,2))&lt;1,ROUND(AT73*(1+'Calc base'!H74),2),MAX('Calc base'!C$12,ROUND('Calc base'!C$13*AT73,2))))</f>
        <v>38.84</v>
      </c>
      <c r="K74">
        <f>IF(AU73&lt;=0,0,IF(ROUND(AU73*(1+'Calc base'!I74),2)-MAX('Calc base'!D$12,ROUND('Calc base'!D$13*AU73,2))&lt;1,ROUND(AU73*(1+'Calc base'!I74),2),MAX('Calc base'!D$12,ROUND('Calc base'!D$13*AU73,2))))</f>
        <v>9.67</v>
      </c>
      <c r="L74">
        <f>IF(AV73&lt;=0,0,IF(ROUND(AV73*(1+'Calc base'!J74),2)-MAX('Calc base'!E$12,ROUND('Calc base'!E$13*AV73,2))&lt;1,ROUND(AV73*(1+'Calc base'!J74),2),MAX('Calc base'!E$12,ROUND('Calc base'!E$13*AV73,2))))</f>
        <v>0</v>
      </c>
      <c r="M74">
        <f>IF(AW73&lt;=0,0,IF(ROUND(AW73*(1+'Calc base'!K74),2)-MAX('Calc base'!F$12,ROUND('Calc base'!F$13*AW73,2))&lt;1,ROUND(AW73*(1+'Calc base'!K74),2),MAX('Calc base'!F$12,ROUND('Calc base'!F$13*AW73,2))))</f>
        <v>0</v>
      </c>
      <c r="N74">
        <f>IF(AX73&lt;=0,0,IF(ROUND(AX73*(1+'Calc base'!L74),2)-MAX('Calc base'!G$12,ROUND('Calc base'!G$13*AX73,2))&lt;1,ROUND(AX73*(1+'Calc base'!L74),2),MAX('Calc base'!G$12,ROUND('Calc base'!G$13*AX73,2))))</f>
        <v>0</v>
      </c>
      <c r="O74">
        <f>IF(AY73&lt;=0,0,IF(ROUND(AY73*(1+'Calc base'!M74),2)-MAX('Calc base'!H$12,ROUND('Calc base'!H$13*AY73,2))&lt;1,ROUND(AY73*(1+'Calc base'!M74),2),MAX('Calc base'!H$12,ROUND('Calc base'!H$13*AY73,2))))</f>
        <v>0</v>
      </c>
      <c r="P74">
        <f>IF(AZ73&lt;=0,0,IF(ROUND(AZ73*(1+'Calc base'!N74),2)-MAX('Calc base'!I$12,ROUND('Calc base'!I$13*AZ73,2))&lt;1,ROUND(AZ73*(1+'Calc base'!N74),2),MAX('Calc base'!I$12,ROUND('Calc base'!I$13*AZ73,2))))</f>
        <v>0</v>
      </c>
      <c r="Q74">
        <f>IF(BA73&lt;=0,0,IF(ROUND(BA73*(1+'Calc base'!O74),2)-MAX('Calc base'!J$12,ROUND('Calc base'!J$13*BA73,2))&lt;1,ROUND(BA73*(1+'Calc base'!O74),2),MAX('Calc base'!J$12,ROUND('Calc base'!J$13*BA73,2))))</f>
        <v>0</v>
      </c>
      <c r="R74">
        <f>IF(BB73&lt;=0,0,IF(ROUND(BB73*(1+'Calc base'!P74),2)-MAX('Calc base'!K$12,ROUND('Calc base'!K$13*BB73,2))&lt;1,ROUND(BB73*(1+'Calc base'!P74),2),MAX('Calc base'!K$12,ROUND('Calc base'!K$13*BB73,2))))</f>
        <v>0</v>
      </c>
      <c r="S74">
        <f>IF(BC73&lt;=0,0,IF(ROUND(BC73*(1+'Calc base'!Q74),2)-MAX('Calc base'!L$12,ROUND('Calc base'!L$13*BC73,2))&lt;1,ROUND(BC73*(1+'Calc base'!Q74),2),MAX('Calc base'!L$12,ROUND('Calc base'!L$13*BC73,2))))</f>
        <v>0</v>
      </c>
      <c r="T74">
        <f>IF(BD73&lt;=0,0,IF(ROUND(BD73*(1+'Calc base'!R74),2)-MAX('Calc base'!M$12,ROUND('Calc base'!M$13*BD73,2))&lt;1,ROUND(BD73*(1+'Calc base'!R74),2),MAX('Calc base'!M$12,ROUND('Calc base'!M$13*BD73,2))))</f>
        <v>0</v>
      </c>
      <c r="U74">
        <f>IF(BE73&lt;=0,0,IF(ROUND(BE73*(1+'Calc base'!S74),2)-MAX('Calc base'!N$12,ROUND('Calc base'!N$13*BE73,2))&lt;1,ROUND(BE73*(1+'Calc base'!S74),2),MAX('Calc base'!N$12,ROUND('Calc base'!N$13*BE73,2))))</f>
        <v>0</v>
      </c>
      <c r="AT74">
        <f>MAX(0,ROUND(AT73*(1+'Calc base'!H74),2)-J74)</f>
        <v>1276.31</v>
      </c>
      <c r="AU74">
        <f>MAX(0,ROUND(AU73*(1+'Calc base'!I74),2)-K74)</f>
        <v>0</v>
      </c>
      <c r="AV74">
        <f>MAX(0,ROUND(AV73*(1+'Calc base'!J74),2)-L74)</f>
        <v>0</v>
      </c>
      <c r="AW74">
        <f>MAX(0,ROUND(AW73*(1+'Calc base'!K74),2)-M74)</f>
        <v>0</v>
      </c>
      <c r="AX74">
        <f>MAX(0,ROUND(AX73*(1+'Calc base'!L74),2)-N74)</f>
        <v>0</v>
      </c>
      <c r="AY74">
        <f>MAX(0,ROUND(AY73*(1+'Calc base'!M74),2)-O74)</f>
        <v>0</v>
      </c>
      <c r="AZ74">
        <f>MAX(0,ROUND(AZ73*(1+'Calc base'!N74),2)-P74)</f>
        <v>0</v>
      </c>
      <c r="BA74">
        <f>MAX(0,ROUND(BA73*(1+'Calc base'!O74),2)-Q74)</f>
        <v>0</v>
      </c>
      <c r="BB74">
        <f>MAX(0,ROUND(BB73*(1+'Calc base'!P74),2)-R74)</f>
        <v>0</v>
      </c>
      <c r="BC74">
        <f>MAX(0,ROUND(BC73*(1+'Calc base'!Q74),2)-S74)</f>
        <v>0</v>
      </c>
      <c r="BD74">
        <f>MAX(0,ROUND(BD73*(1+'Calc base'!R74),2)-T74)</f>
        <v>0</v>
      </c>
      <c r="BE74">
        <f>MAX(0,ROUND(BE73*(1+'Calc base'!S74),2)-U74)</f>
        <v>0</v>
      </c>
    </row>
    <row r="75">
      <c r="A75" t="n">
        <v>45</v>
      </c>
      <c r="B75">
        <f>SUMPRODUCT(ROUND($AT74:$BE74*(1+'Calc base'!$H75:$S75),2))</f>
        <v>1296.41</v>
      </c>
      <c r="C75">
        <f>SUM(J75:U75)</f>
        <v>38.29</v>
      </c>
      <c r="G75">
        <f>SUM(AT75:BE75)</f>
        <v>1258.12</v>
      </c>
      <c r="H75">
        <f>B75-G74</f>
        <v>20.0999999999999</v>
      </c>
      <c r="I75">
        <f>B75-G75</f>
        <v>38.29</v>
      </c>
      <c r="J75">
        <f>IF(AT74&lt;=0,0,IF(ROUND(AT74*(1+'Calc base'!H75),2)-MAX('Calc base'!C$12,ROUND('Calc base'!C$13*AT74,2))&lt;1,ROUND(AT74*(1+'Calc base'!H75),2),MAX('Calc base'!C$12,ROUND('Calc base'!C$13*AT74,2))))</f>
        <v>38.29</v>
      </c>
      <c r="K75">
        <f>IF(AU74&lt;=0,0,IF(ROUND(AU74*(1+'Calc base'!I75),2)-MAX('Calc base'!D$12,ROUND('Calc base'!D$13*AU74,2))&lt;1,ROUND(AU74*(1+'Calc base'!I75),2),MAX('Calc base'!D$12,ROUND('Calc base'!D$13*AU74,2))))</f>
        <v>0</v>
      </c>
      <c r="L75">
        <f>IF(AV74&lt;=0,0,IF(ROUND(AV74*(1+'Calc base'!J75),2)-MAX('Calc base'!E$12,ROUND('Calc base'!E$13*AV74,2))&lt;1,ROUND(AV74*(1+'Calc base'!J75),2),MAX('Calc base'!E$12,ROUND('Calc base'!E$13*AV74,2))))</f>
        <v>0</v>
      </c>
      <c r="M75">
        <f>IF(AW74&lt;=0,0,IF(ROUND(AW74*(1+'Calc base'!K75),2)-MAX('Calc base'!F$12,ROUND('Calc base'!F$13*AW74,2))&lt;1,ROUND(AW74*(1+'Calc base'!K75),2),MAX('Calc base'!F$12,ROUND('Calc base'!F$13*AW74,2))))</f>
        <v>0</v>
      </c>
      <c r="N75">
        <f>IF(AX74&lt;=0,0,IF(ROUND(AX74*(1+'Calc base'!L75),2)-MAX('Calc base'!G$12,ROUND('Calc base'!G$13*AX74,2))&lt;1,ROUND(AX74*(1+'Calc base'!L75),2),MAX('Calc base'!G$12,ROUND('Calc base'!G$13*AX74,2))))</f>
        <v>0</v>
      </c>
      <c r="O75">
        <f>IF(AY74&lt;=0,0,IF(ROUND(AY74*(1+'Calc base'!M75),2)-MAX('Calc base'!H$12,ROUND('Calc base'!H$13*AY74,2))&lt;1,ROUND(AY74*(1+'Calc base'!M75),2),MAX('Calc base'!H$12,ROUND('Calc base'!H$13*AY74,2))))</f>
        <v>0</v>
      </c>
      <c r="P75">
        <f>IF(AZ74&lt;=0,0,IF(ROUND(AZ74*(1+'Calc base'!N75),2)-MAX('Calc base'!I$12,ROUND('Calc base'!I$13*AZ74,2))&lt;1,ROUND(AZ74*(1+'Calc base'!N75),2),MAX('Calc base'!I$12,ROUND('Calc base'!I$13*AZ74,2))))</f>
        <v>0</v>
      </c>
      <c r="Q75">
        <f>IF(BA74&lt;=0,0,IF(ROUND(BA74*(1+'Calc base'!O75),2)-MAX('Calc base'!J$12,ROUND('Calc base'!J$13*BA74,2))&lt;1,ROUND(BA74*(1+'Calc base'!O75),2),MAX('Calc base'!J$12,ROUND('Calc base'!J$13*BA74,2))))</f>
        <v>0</v>
      </c>
      <c r="R75">
        <f>IF(BB74&lt;=0,0,IF(ROUND(BB74*(1+'Calc base'!P75),2)-MAX('Calc base'!K$12,ROUND('Calc base'!K$13*BB74,2))&lt;1,ROUND(BB74*(1+'Calc base'!P75),2),MAX('Calc base'!K$12,ROUND('Calc base'!K$13*BB74,2))))</f>
        <v>0</v>
      </c>
      <c r="S75">
        <f>IF(BC74&lt;=0,0,IF(ROUND(BC74*(1+'Calc base'!Q75),2)-MAX('Calc base'!L$12,ROUND('Calc base'!L$13*BC74,2))&lt;1,ROUND(BC74*(1+'Calc base'!Q75),2),MAX('Calc base'!L$12,ROUND('Calc base'!L$13*BC74,2))))</f>
        <v>0</v>
      </c>
      <c r="T75">
        <f>IF(BD74&lt;=0,0,IF(ROUND(BD74*(1+'Calc base'!R75),2)-MAX('Calc base'!M$12,ROUND('Calc base'!M$13*BD74,2))&lt;1,ROUND(BD74*(1+'Calc base'!R75),2),MAX('Calc base'!M$12,ROUND('Calc base'!M$13*BD74,2))))</f>
        <v>0</v>
      </c>
      <c r="U75">
        <f>IF(BE74&lt;=0,0,IF(ROUND(BE74*(1+'Calc base'!S75),2)-MAX('Calc base'!N$12,ROUND('Calc base'!N$13*BE74,2))&lt;1,ROUND(BE74*(1+'Calc base'!S75),2),MAX('Calc base'!N$12,ROUND('Calc base'!N$13*BE74,2))))</f>
        <v>0</v>
      </c>
      <c r="AT75">
        <f>MAX(0,ROUND(AT74*(1+'Calc base'!H75),2)-J75)</f>
        <v>1258.12</v>
      </c>
      <c r="AU75">
        <f>MAX(0,ROUND(AU74*(1+'Calc base'!I75),2)-K75)</f>
        <v>0</v>
      </c>
      <c r="AV75">
        <f>MAX(0,ROUND(AV74*(1+'Calc base'!J75),2)-L75)</f>
        <v>0</v>
      </c>
      <c r="AW75">
        <f>MAX(0,ROUND(AW74*(1+'Calc base'!K75),2)-M75)</f>
        <v>0</v>
      </c>
      <c r="AX75">
        <f>MAX(0,ROUND(AX74*(1+'Calc base'!L75),2)-N75)</f>
        <v>0</v>
      </c>
      <c r="AY75">
        <f>MAX(0,ROUND(AY74*(1+'Calc base'!M75),2)-O75)</f>
        <v>0</v>
      </c>
      <c r="AZ75">
        <f>MAX(0,ROUND(AZ74*(1+'Calc base'!N75),2)-P75)</f>
        <v>0</v>
      </c>
      <c r="BA75">
        <f>MAX(0,ROUND(BA74*(1+'Calc base'!O75),2)-Q75)</f>
        <v>0</v>
      </c>
      <c r="BB75">
        <f>MAX(0,ROUND(BB74*(1+'Calc base'!P75),2)-R75)</f>
        <v>0</v>
      </c>
      <c r="BC75">
        <f>MAX(0,ROUND(BC74*(1+'Calc base'!Q75),2)-S75)</f>
        <v>0</v>
      </c>
      <c r="BD75">
        <f>MAX(0,ROUND(BD74*(1+'Calc base'!R75),2)-T75)</f>
        <v>0</v>
      </c>
      <c r="BE75">
        <f>MAX(0,ROUND(BE74*(1+'Calc base'!S75),2)-U75)</f>
        <v>0</v>
      </c>
    </row>
    <row r="76">
      <c r="A76" t="n">
        <v>46</v>
      </c>
      <c r="B76">
        <f>SUMPRODUCT(ROUND($AT75:$BE75*(1+'Calc base'!$H76:$S76),2))</f>
        <v>1277.94</v>
      </c>
      <c r="C76">
        <f>SUM(J76:U76)</f>
        <v>37.74</v>
      </c>
      <c r="G76">
        <f>SUM(AT76:BE76)</f>
        <v>1240.2</v>
      </c>
      <c r="H76">
        <f>B76-G75</f>
        <v>19.8199999999999</v>
      </c>
      <c r="I76">
        <f>B76-G76</f>
        <v>37.74</v>
      </c>
      <c r="J76">
        <f>IF(AT75&lt;=0,0,IF(ROUND(AT75*(1+'Calc base'!H76),2)-MAX('Calc base'!C$12,ROUND('Calc base'!C$13*AT75,2))&lt;1,ROUND(AT75*(1+'Calc base'!H76),2),MAX('Calc base'!C$12,ROUND('Calc base'!C$13*AT75,2))))</f>
        <v>37.74</v>
      </c>
      <c r="K76">
        <f>IF(AU75&lt;=0,0,IF(ROUND(AU75*(1+'Calc base'!I76),2)-MAX('Calc base'!D$12,ROUND('Calc base'!D$13*AU75,2))&lt;1,ROUND(AU75*(1+'Calc base'!I76),2),MAX('Calc base'!D$12,ROUND('Calc base'!D$13*AU75,2))))</f>
        <v>0</v>
      </c>
      <c r="L76">
        <f>IF(AV75&lt;=0,0,IF(ROUND(AV75*(1+'Calc base'!J76),2)-MAX('Calc base'!E$12,ROUND('Calc base'!E$13*AV75,2))&lt;1,ROUND(AV75*(1+'Calc base'!J76),2),MAX('Calc base'!E$12,ROUND('Calc base'!E$13*AV75,2))))</f>
        <v>0</v>
      </c>
      <c r="M76">
        <f>IF(AW75&lt;=0,0,IF(ROUND(AW75*(1+'Calc base'!K76),2)-MAX('Calc base'!F$12,ROUND('Calc base'!F$13*AW75,2))&lt;1,ROUND(AW75*(1+'Calc base'!K76),2),MAX('Calc base'!F$12,ROUND('Calc base'!F$13*AW75,2))))</f>
        <v>0</v>
      </c>
      <c r="N76">
        <f>IF(AX75&lt;=0,0,IF(ROUND(AX75*(1+'Calc base'!L76),2)-MAX('Calc base'!G$12,ROUND('Calc base'!G$13*AX75,2))&lt;1,ROUND(AX75*(1+'Calc base'!L76),2),MAX('Calc base'!G$12,ROUND('Calc base'!G$13*AX75,2))))</f>
        <v>0</v>
      </c>
      <c r="O76">
        <f>IF(AY75&lt;=0,0,IF(ROUND(AY75*(1+'Calc base'!M76),2)-MAX('Calc base'!H$12,ROUND('Calc base'!H$13*AY75,2))&lt;1,ROUND(AY75*(1+'Calc base'!M76),2),MAX('Calc base'!H$12,ROUND('Calc base'!H$13*AY75,2))))</f>
        <v>0</v>
      </c>
      <c r="P76">
        <f>IF(AZ75&lt;=0,0,IF(ROUND(AZ75*(1+'Calc base'!N76),2)-MAX('Calc base'!I$12,ROUND('Calc base'!I$13*AZ75,2))&lt;1,ROUND(AZ75*(1+'Calc base'!N76),2),MAX('Calc base'!I$12,ROUND('Calc base'!I$13*AZ75,2))))</f>
        <v>0</v>
      </c>
      <c r="Q76">
        <f>IF(BA75&lt;=0,0,IF(ROUND(BA75*(1+'Calc base'!O76),2)-MAX('Calc base'!J$12,ROUND('Calc base'!J$13*BA75,2))&lt;1,ROUND(BA75*(1+'Calc base'!O76),2),MAX('Calc base'!J$12,ROUND('Calc base'!J$13*BA75,2))))</f>
        <v>0</v>
      </c>
      <c r="R76">
        <f>IF(BB75&lt;=0,0,IF(ROUND(BB75*(1+'Calc base'!P76),2)-MAX('Calc base'!K$12,ROUND('Calc base'!K$13*BB75,2))&lt;1,ROUND(BB75*(1+'Calc base'!P76),2),MAX('Calc base'!K$12,ROUND('Calc base'!K$13*BB75,2))))</f>
        <v>0</v>
      </c>
      <c r="S76">
        <f>IF(BC75&lt;=0,0,IF(ROUND(BC75*(1+'Calc base'!Q76),2)-MAX('Calc base'!L$12,ROUND('Calc base'!L$13*BC75,2))&lt;1,ROUND(BC75*(1+'Calc base'!Q76),2),MAX('Calc base'!L$12,ROUND('Calc base'!L$13*BC75,2))))</f>
        <v>0</v>
      </c>
      <c r="T76">
        <f>IF(BD75&lt;=0,0,IF(ROUND(BD75*(1+'Calc base'!R76),2)-MAX('Calc base'!M$12,ROUND('Calc base'!M$13*BD75,2))&lt;1,ROUND(BD75*(1+'Calc base'!R76),2),MAX('Calc base'!M$12,ROUND('Calc base'!M$13*BD75,2))))</f>
        <v>0</v>
      </c>
      <c r="U76">
        <f>IF(BE75&lt;=0,0,IF(ROUND(BE75*(1+'Calc base'!S76),2)-MAX('Calc base'!N$12,ROUND('Calc base'!N$13*BE75,2))&lt;1,ROUND(BE75*(1+'Calc base'!S76),2),MAX('Calc base'!N$12,ROUND('Calc base'!N$13*BE75,2))))</f>
        <v>0</v>
      </c>
      <c r="AT76">
        <f>MAX(0,ROUND(AT75*(1+'Calc base'!H76),2)-J76)</f>
        <v>1240.2</v>
      </c>
      <c r="AU76">
        <f>MAX(0,ROUND(AU75*(1+'Calc base'!I76),2)-K76)</f>
        <v>0</v>
      </c>
      <c r="AV76">
        <f>MAX(0,ROUND(AV75*(1+'Calc base'!J76),2)-L76)</f>
        <v>0</v>
      </c>
      <c r="AW76">
        <f>MAX(0,ROUND(AW75*(1+'Calc base'!K76),2)-M76)</f>
        <v>0</v>
      </c>
      <c r="AX76">
        <f>MAX(0,ROUND(AX75*(1+'Calc base'!L76),2)-N76)</f>
        <v>0</v>
      </c>
      <c r="AY76">
        <f>MAX(0,ROUND(AY75*(1+'Calc base'!M76),2)-O76)</f>
        <v>0</v>
      </c>
      <c r="AZ76">
        <f>MAX(0,ROUND(AZ75*(1+'Calc base'!N76),2)-P76)</f>
        <v>0</v>
      </c>
      <c r="BA76">
        <f>MAX(0,ROUND(BA75*(1+'Calc base'!O76),2)-Q76)</f>
        <v>0</v>
      </c>
      <c r="BB76">
        <f>MAX(0,ROUND(BB75*(1+'Calc base'!P76),2)-R76)</f>
        <v>0</v>
      </c>
      <c r="BC76">
        <f>MAX(0,ROUND(BC75*(1+'Calc base'!Q76),2)-S76)</f>
        <v>0</v>
      </c>
      <c r="BD76">
        <f>MAX(0,ROUND(BD75*(1+'Calc base'!R76),2)-T76)</f>
        <v>0</v>
      </c>
      <c r="BE76">
        <f>MAX(0,ROUND(BE75*(1+'Calc base'!S76),2)-U76)</f>
        <v>0</v>
      </c>
    </row>
    <row r="77">
      <c r="A77" t="n">
        <v>47</v>
      </c>
      <c r="B77">
        <f>SUMPRODUCT(ROUND($AT76:$BE76*(1+'Calc base'!$H77:$S77),2))</f>
        <v>1259.73</v>
      </c>
      <c r="C77">
        <f>SUM(J77:U77)</f>
        <v>37.21</v>
      </c>
      <c r="G77">
        <f>SUM(AT77:BE77)</f>
        <v>1222.52</v>
      </c>
      <c r="H77">
        <f>B77-G76</f>
        <v>19.53</v>
      </c>
      <c r="I77">
        <f>B77-G77</f>
        <v>37.21</v>
      </c>
      <c r="J77">
        <f>IF(AT76&lt;=0,0,IF(ROUND(AT76*(1+'Calc base'!H77),2)-MAX('Calc base'!C$12,ROUND('Calc base'!C$13*AT76,2))&lt;1,ROUND(AT76*(1+'Calc base'!H77),2),MAX('Calc base'!C$12,ROUND('Calc base'!C$13*AT76,2))))</f>
        <v>37.21</v>
      </c>
      <c r="K77">
        <f>IF(AU76&lt;=0,0,IF(ROUND(AU76*(1+'Calc base'!I77),2)-MAX('Calc base'!D$12,ROUND('Calc base'!D$13*AU76,2))&lt;1,ROUND(AU76*(1+'Calc base'!I77),2),MAX('Calc base'!D$12,ROUND('Calc base'!D$13*AU76,2))))</f>
        <v>0</v>
      </c>
      <c r="L77">
        <f>IF(AV76&lt;=0,0,IF(ROUND(AV76*(1+'Calc base'!J77),2)-MAX('Calc base'!E$12,ROUND('Calc base'!E$13*AV76,2))&lt;1,ROUND(AV76*(1+'Calc base'!J77),2),MAX('Calc base'!E$12,ROUND('Calc base'!E$13*AV76,2))))</f>
        <v>0</v>
      </c>
      <c r="M77">
        <f>IF(AW76&lt;=0,0,IF(ROUND(AW76*(1+'Calc base'!K77),2)-MAX('Calc base'!F$12,ROUND('Calc base'!F$13*AW76,2))&lt;1,ROUND(AW76*(1+'Calc base'!K77),2),MAX('Calc base'!F$12,ROUND('Calc base'!F$13*AW76,2))))</f>
        <v>0</v>
      </c>
      <c r="N77">
        <f>IF(AX76&lt;=0,0,IF(ROUND(AX76*(1+'Calc base'!L77),2)-MAX('Calc base'!G$12,ROUND('Calc base'!G$13*AX76,2))&lt;1,ROUND(AX76*(1+'Calc base'!L77),2),MAX('Calc base'!G$12,ROUND('Calc base'!G$13*AX76,2))))</f>
        <v>0</v>
      </c>
      <c r="O77">
        <f>IF(AY76&lt;=0,0,IF(ROUND(AY76*(1+'Calc base'!M77),2)-MAX('Calc base'!H$12,ROUND('Calc base'!H$13*AY76,2))&lt;1,ROUND(AY76*(1+'Calc base'!M77),2),MAX('Calc base'!H$12,ROUND('Calc base'!H$13*AY76,2))))</f>
        <v>0</v>
      </c>
      <c r="P77">
        <f>IF(AZ76&lt;=0,0,IF(ROUND(AZ76*(1+'Calc base'!N77),2)-MAX('Calc base'!I$12,ROUND('Calc base'!I$13*AZ76,2))&lt;1,ROUND(AZ76*(1+'Calc base'!N77),2),MAX('Calc base'!I$12,ROUND('Calc base'!I$13*AZ76,2))))</f>
        <v>0</v>
      </c>
      <c r="Q77">
        <f>IF(BA76&lt;=0,0,IF(ROUND(BA76*(1+'Calc base'!O77),2)-MAX('Calc base'!J$12,ROUND('Calc base'!J$13*BA76,2))&lt;1,ROUND(BA76*(1+'Calc base'!O77),2),MAX('Calc base'!J$12,ROUND('Calc base'!J$13*BA76,2))))</f>
        <v>0</v>
      </c>
      <c r="R77">
        <f>IF(BB76&lt;=0,0,IF(ROUND(BB76*(1+'Calc base'!P77),2)-MAX('Calc base'!K$12,ROUND('Calc base'!K$13*BB76,2))&lt;1,ROUND(BB76*(1+'Calc base'!P77),2),MAX('Calc base'!K$12,ROUND('Calc base'!K$13*BB76,2))))</f>
        <v>0</v>
      </c>
      <c r="S77">
        <f>IF(BC76&lt;=0,0,IF(ROUND(BC76*(1+'Calc base'!Q77),2)-MAX('Calc base'!L$12,ROUND('Calc base'!L$13*BC76,2))&lt;1,ROUND(BC76*(1+'Calc base'!Q77),2),MAX('Calc base'!L$12,ROUND('Calc base'!L$13*BC76,2))))</f>
        <v>0</v>
      </c>
      <c r="T77">
        <f>IF(BD76&lt;=0,0,IF(ROUND(BD76*(1+'Calc base'!R77),2)-MAX('Calc base'!M$12,ROUND('Calc base'!M$13*BD76,2))&lt;1,ROUND(BD76*(1+'Calc base'!R77),2),MAX('Calc base'!M$12,ROUND('Calc base'!M$13*BD76,2))))</f>
        <v>0</v>
      </c>
      <c r="U77">
        <f>IF(BE76&lt;=0,0,IF(ROUND(BE76*(1+'Calc base'!S77),2)-MAX('Calc base'!N$12,ROUND('Calc base'!N$13*BE76,2))&lt;1,ROUND(BE76*(1+'Calc base'!S77),2),MAX('Calc base'!N$12,ROUND('Calc base'!N$13*BE76,2))))</f>
        <v>0</v>
      </c>
      <c r="AT77">
        <f>MAX(0,ROUND(AT76*(1+'Calc base'!H77),2)-J77)</f>
        <v>1222.52</v>
      </c>
      <c r="AU77">
        <f>MAX(0,ROUND(AU76*(1+'Calc base'!I77),2)-K77)</f>
        <v>0</v>
      </c>
      <c r="AV77">
        <f>MAX(0,ROUND(AV76*(1+'Calc base'!J77),2)-L77)</f>
        <v>0</v>
      </c>
      <c r="AW77">
        <f>MAX(0,ROUND(AW76*(1+'Calc base'!K77),2)-M77)</f>
        <v>0</v>
      </c>
      <c r="AX77">
        <f>MAX(0,ROUND(AX76*(1+'Calc base'!L77),2)-N77)</f>
        <v>0</v>
      </c>
      <c r="AY77">
        <f>MAX(0,ROUND(AY76*(1+'Calc base'!M77),2)-O77)</f>
        <v>0</v>
      </c>
      <c r="AZ77">
        <f>MAX(0,ROUND(AZ76*(1+'Calc base'!N77),2)-P77)</f>
        <v>0</v>
      </c>
      <c r="BA77">
        <f>MAX(0,ROUND(BA76*(1+'Calc base'!O77),2)-Q77)</f>
        <v>0</v>
      </c>
      <c r="BB77">
        <f>MAX(0,ROUND(BB76*(1+'Calc base'!P77),2)-R77)</f>
        <v>0</v>
      </c>
      <c r="BC77">
        <f>MAX(0,ROUND(BC76*(1+'Calc base'!Q77),2)-S77)</f>
        <v>0</v>
      </c>
      <c r="BD77">
        <f>MAX(0,ROUND(BD76*(1+'Calc base'!R77),2)-T77)</f>
        <v>0</v>
      </c>
      <c r="BE77">
        <f>MAX(0,ROUND(BE76*(1+'Calc base'!S77),2)-U77)</f>
        <v>0</v>
      </c>
    </row>
    <row r="78">
      <c r="A78" t="n">
        <v>48</v>
      </c>
      <c r="B78">
        <f>SUMPRODUCT(ROUND($AT77:$BE77*(1+'Calc base'!$H78:$S78),2))</f>
        <v>1241.77</v>
      </c>
      <c r="C78">
        <f>SUM(J78:U78)</f>
        <v>36.68</v>
      </c>
      <c r="G78">
        <f>SUM(AT78:BE78)</f>
        <v>1205.09</v>
      </c>
      <c r="H78">
        <f>B78-G77</f>
        <v>19.25</v>
      </c>
      <c r="I78">
        <f>B78-G78</f>
        <v>36.6800000000001</v>
      </c>
      <c r="J78">
        <f>IF(AT77&lt;=0,0,IF(ROUND(AT77*(1+'Calc base'!H78),2)-MAX('Calc base'!C$12,ROUND('Calc base'!C$13*AT77,2))&lt;1,ROUND(AT77*(1+'Calc base'!H78),2),MAX('Calc base'!C$12,ROUND('Calc base'!C$13*AT77,2))))</f>
        <v>36.68</v>
      </c>
      <c r="K78">
        <f>IF(AU77&lt;=0,0,IF(ROUND(AU77*(1+'Calc base'!I78),2)-MAX('Calc base'!D$12,ROUND('Calc base'!D$13*AU77,2))&lt;1,ROUND(AU77*(1+'Calc base'!I78),2),MAX('Calc base'!D$12,ROUND('Calc base'!D$13*AU77,2))))</f>
        <v>0</v>
      </c>
      <c r="L78">
        <f>IF(AV77&lt;=0,0,IF(ROUND(AV77*(1+'Calc base'!J78),2)-MAX('Calc base'!E$12,ROUND('Calc base'!E$13*AV77,2))&lt;1,ROUND(AV77*(1+'Calc base'!J78),2),MAX('Calc base'!E$12,ROUND('Calc base'!E$13*AV77,2))))</f>
        <v>0</v>
      </c>
      <c r="M78">
        <f>IF(AW77&lt;=0,0,IF(ROUND(AW77*(1+'Calc base'!K78),2)-MAX('Calc base'!F$12,ROUND('Calc base'!F$13*AW77,2))&lt;1,ROUND(AW77*(1+'Calc base'!K78),2),MAX('Calc base'!F$12,ROUND('Calc base'!F$13*AW77,2))))</f>
        <v>0</v>
      </c>
      <c r="N78">
        <f>IF(AX77&lt;=0,0,IF(ROUND(AX77*(1+'Calc base'!L78),2)-MAX('Calc base'!G$12,ROUND('Calc base'!G$13*AX77,2))&lt;1,ROUND(AX77*(1+'Calc base'!L78),2),MAX('Calc base'!G$12,ROUND('Calc base'!G$13*AX77,2))))</f>
        <v>0</v>
      </c>
      <c r="O78">
        <f>IF(AY77&lt;=0,0,IF(ROUND(AY77*(1+'Calc base'!M78),2)-MAX('Calc base'!H$12,ROUND('Calc base'!H$13*AY77,2))&lt;1,ROUND(AY77*(1+'Calc base'!M78),2),MAX('Calc base'!H$12,ROUND('Calc base'!H$13*AY77,2))))</f>
        <v>0</v>
      </c>
      <c r="P78">
        <f>IF(AZ77&lt;=0,0,IF(ROUND(AZ77*(1+'Calc base'!N78),2)-MAX('Calc base'!I$12,ROUND('Calc base'!I$13*AZ77,2))&lt;1,ROUND(AZ77*(1+'Calc base'!N78),2),MAX('Calc base'!I$12,ROUND('Calc base'!I$13*AZ77,2))))</f>
        <v>0</v>
      </c>
      <c r="Q78">
        <f>IF(BA77&lt;=0,0,IF(ROUND(BA77*(1+'Calc base'!O78),2)-MAX('Calc base'!J$12,ROUND('Calc base'!J$13*BA77,2))&lt;1,ROUND(BA77*(1+'Calc base'!O78),2),MAX('Calc base'!J$12,ROUND('Calc base'!J$13*BA77,2))))</f>
        <v>0</v>
      </c>
      <c r="R78">
        <f>IF(BB77&lt;=0,0,IF(ROUND(BB77*(1+'Calc base'!P78),2)-MAX('Calc base'!K$12,ROUND('Calc base'!K$13*BB77,2))&lt;1,ROUND(BB77*(1+'Calc base'!P78),2),MAX('Calc base'!K$12,ROUND('Calc base'!K$13*BB77,2))))</f>
        <v>0</v>
      </c>
      <c r="S78">
        <f>IF(BC77&lt;=0,0,IF(ROUND(BC77*(1+'Calc base'!Q78),2)-MAX('Calc base'!L$12,ROUND('Calc base'!L$13*BC77,2))&lt;1,ROUND(BC77*(1+'Calc base'!Q78),2),MAX('Calc base'!L$12,ROUND('Calc base'!L$13*BC77,2))))</f>
        <v>0</v>
      </c>
      <c r="T78">
        <f>IF(BD77&lt;=0,0,IF(ROUND(BD77*(1+'Calc base'!R78),2)-MAX('Calc base'!M$12,ROUND('Calc base'!M$13*BD77,2))&lt;1,ROUND(BD77*(1+'Calc base'!R78),2),MAX('Calc base'!M$12,ROUND('Calc base'!M$13*BD77,2))))</f>
        <v>0</v>
      </c>
      <c r="U78">
        <f>IF(BE77&lt;=0,0,IF(ROUND(BE77*(1+'Calc base'!S78),2)-MAX('Calc base'!N$12,ROUND('Calc base'!N$13*BE77,2))&lt;1,ROUND(BE77*(1+'Calc base'!S78),2),MAX('Calc base'!N$12,ROUND('Calc base'!N$13*BE77,2))))</f>
        <v>0</v>
      </c>
      <c r="AT78">
        <f>MAX(0,ROUND(AT77*(1+'Calc base'!H78),2)-J78)</f>
        <v>1205.09</v>
      </c>
      <c r="AU78">
        <f>MAX(0,ROUND(AU77*(1+'Calc base'!I78),2)-K78)</f>
        <v>0</v>
      </c>
      <c r="AV78">
        <f>MAX(0,ROUND(AV77*(1+'Calc base'!J78),2)-L78)</f>
        <v>0</v>
      </c>
      <c r="AW78">
        <f>MAX(0,ROUND(AW77*(1+'Calc base'!K78),2)-M78)</f>
        <v>0</v>
      </c>
      <c r="AX78">
        <f>MAX(0,ROUND(AX77*(1+'Calc base'!L78),2)-N78)</f>
        <v>0</v>
      </c>
      <c r="AY78">
        <f>MAX(0,ROUND(AY77*(1+'Calc base'!M78),2)-O78)</f>
        <v>0</v>
      </c>
      <c r="AZ78">
        <f>MAX(0,ROUND(AZ77*(1+'Calc base'!N78),2)-P78)</f>
        <v>0</v>
      </c>
      <c r="BA78">
        <f>MAX(0,ROUND(BA77*(1+'Calc base'!O78),2)-Q78)</f>
        <v>0</v>
      </c>
      <c r="BB78">
        <f>MAX(0,ROUND(BB77*(1+'Calc base'!P78),2)-R78)</f>
        <v>0</v>
      </c>
      <c r="BC78">
        <f>MAX(0,ROUND(BC77*(1+'Calc base'!Q78),2)-S78)</f>
        <v>0</v>
      </c>
      <c r="BD78">
        <f>MAX(0,ROUND(BD77*(1+'Calc base'!R78),2)-T78)</f>
        <v>0</v>
      </c>
      <c r="BE78">
        <f>MAX(0,ROUND(BE77*(1+'Calc base'!S78),2)-U78)</f>
        <v>0</v>
      </c>
    </row>
    <row r="79">
      <c r="A79" t="n">
        <v>49</v>
      </c>
      <c r="B79">
        <f>SUMPRODUCT(ROUND($AT78:$BE78*(1+'Calc base'!$H79:$S79),2))</f>
        <v>1224.07</v>
      </c>
      <c r="C79">
        <f>SUM(J79:U79)</f>
        <v>36.15</v>
      </c>
      <c r="G79">
        <f>SUM(AT79:BE79)</f>
        <v>1187.92</v>
      </c>
      <c r="H79">
        <f>B79-G78</f>
        <v>18.98</v>
      </c>
      <c r="I79">
        <f>B79-G79</f>
        <v>36.1500000000001</v>
      </c>
      <c r="J79">
        <f>IF(AT78&lt;=0,0,IF(ROUND(AT78*(1+'Calc base'!H79),2)-MAX('Calc base'!C$12,ROUND('Calc base'!C$13*AT78,2))&lt;1,ROUND(AT78*(1+'Calc base'!H79),2),MAX('Calc base'!C$12,ROUND('Calc base'!C$13*AT78,2))))</f>
        <v>36.15</v>
      </c>
      <c r="K79">
        <f>IF(AU78&lt;=0,0,IF(ROUND(AU78*(1+'Calc base'!I79),2)-MAX('Calc base'!D$12,ROUND('Calc base'!D$13*AU78,2))&lt;1,ROUND(AU78*(1+'Calc base'!I79),2),MAX('Calc base'!D$12,ROUND('Calc base'!D$13*AU78,2))))</f>
        <v>0</v>
      </c>
      <c r="L79">
        <f>IF(AV78&lt;=0,0,IF(ROUND(AV78*(1+'Calc base'!J79),2)-MAX('Calc base'!E$12,ROUND('Calc base'!E$13*AV78,2))&lt;1,ROUND(AV78*(1+'Calc base'!J79),2),MAX('Calc base'!E$12,ROUND('Calc base'!E$13*AV78,2))))</f>
        <v>0</v>
      </c>
      <c r="M79">
        <f>IF(AW78&lt;=0,0,IF(ROUND(AW78*(1+'Calc base'!K79),2)-MAX('Calc base'!F$12,ROUND('Calc base'!F$13*AW78,2))&lt;1,ROUND(AW78*(1+'Calc base'!K79),2),MAX('Calc base'!F$12,ROUND('Calc base'!F$13*AW78,2))))</f>
        <v>0</v>
      </c>
      <c r="N79">
        <f>IF(AX78&lt;=0,0,IF(ROUND(AX78*(1+'Calc base'!L79),2)-MAX('Calc base'!G$12,ROUND('Calc base'!G$13*AX78,2))&lt;1,ROUND(AX78*(1+'Calc base'!L79),2),MAX('Calc base'!G$12,ROUND('Calc base'!G$13*AX78,2))))</f>
        <v>0</v>
      </c>
      <c r="O79">
        <f>IF(AY78&lt;=0,0,IF(ROUND(AY78*(1+'Calc base'!M79),2)-MAX('Calc base'!H$12,ROUND('Calc base'!H$13*AY78,2))&lt;1,ROUND(AY78*(1+'Calc base'!M79),2),MAX('Calc base'!H$12,ROUND('Calc base'!H$13*AY78,2))))</f>
        <v>0</v>
      </c>
      <c r="P79">
        <f>IF(AZ78&lt;=0,0,IF(ROUND(AZ78*(1+'Calc base'!N79),2)-MAX('Calc base'!I$12,ROUND('Calc base'!I$13*AZ78,2))&lt;1,ROUND(AZ78*(1+'Calc base'!N79),2),MAX('Calc base'!I$12,ROUND('Calc base'!I$13*AZ78,2))))</f>
        <v>0</v>
      </c>
      <c r="Q79">
        <f>IF(BA78&lt;=0,0,IF(ROUND(BA78*(1+'Calc base'!O79),2)-MAX('Calc base'!J$12,ROUND('Calc base'!J$13*BA78,2))&lt;1,ROUND(BA78*(1+'Calc base'!O79),2),MAX('Calc base'!J$12,ROUND('Calc base'!J$13*BA78,2))))</f>
        <v>0</v>
      </c>
      <c r="R79">
        <f>IF(BB78&lt;=0,0,IF(ROUND(BB78*(1+'Calc base'!P79),2)-MAX('Calc base'!K$12,ROUND('Calc base'!K$13*BB78,2))&lt;1,ROUND(BB78*(1+'Calc base'!P79),2),MAX('Calc base'!K$12,ROUND('Calc base'!K$13*BB78,2))))</f>
        <v>0</v>
      </c>
      <c r="S79">
        <f>IF(BC78&lt;=0,0,IF(ROUND(BC78*(1+'Calc base'!Q79),2)-MAX('Calc base'!L$12,ROUND('Calc base'!L$13*BC78,2))&lt;1,ROUND(BC78*(1+'Calc base'!Q79),2),MAX('Calc base'!L$12,ROUND('Calc base'!L$13*BC78,2))))</f>
        <v>0</v>
      </c>
      <c r="T79">
        <f>IF(BD78&lt;=0,0,IF(ROUND(BD78*(1+'Calc base'!R79),2)-MAX('Calc base'!M$12,ROUND('Calc base'!M$13*BD78,2))&lt;1,ROUND(BD78*(1+'Calc base'!R79),2),MAX('Calc base'!M$12,ROUND('Calc base'!M$13*BD78,2))))</f>
        <v>0</v>
      </c>
      <c r="U79">
        <f>IF(BE78&lt;=0,0,IF(ROUND(BE78*(1+'Calc base'!S79),2)-MAX('Calc base'!N$12,ROUND('Calc base'!N$13*BE78,2))&lt;1,ROUND(BE78*(1+'Calc base'!S79),2),MAX('Calc base'!N$12,ROUND('Calc base'!N$13*BE78,2))))</f>
        <v>0</v>
      </c>
      <c r="AT79">
        <f>MAX(0,ROUND(AT78*(1+'Calc base'!H79),2)-J79)</f>
        <v>1187.92</v>
      </c>
      <c r="AU79">
        <f>MAX(0,ROUND(AU78*(1+'Calc base'!I79),2)-K79)</f>
        <v>0</v>
      </c>
      <c r="AV79">
        <f>MAX(0,ROUND(AV78*(1+'Calc base'!J79),2)-L79)</f>
        <v>0</v>
      </c>
      <c r="AW79">
        <f>MAX(0,ROUND(AW78*(1+'Calc base'!K79),2)-M79)</f>
        <v>0</v>
      </c>
      <c r="AX79">
        <f>MAX(0,ROUND(AX78*(1+'Calc base'!L79),2)-N79)</f>
        <v>0</v>
      </c>
      <c r="AY79">
        <f>MAX(0,ROUND(AY78*(1+'Calc base'!M79),2)-O79)</f>
        <v>0</v>
      </c>
      <c r="AZ79">
        <f>MAX(0,ROUND(AZ78*(1+'Calc base'!N79),2)-P79)</f>
        <v>0</v>
      </c>
      <c r="BA79">
        <f>MAX(0,ROUND(BA78*(1+'Calc base'!O79),2)-Q79)</f>
        <v>0</v>
      </c>
      <c r="BB79">
        <f>MAX(0,ROUND(BB78*(1+'Calc base'!P79),2)-R79)</f>
        <v>0</v>
      </c>
      <c r="BC79">
        <f>MAX(0,ROUND(BC78*(1+'Calc base'!Q79),2)-S79)</f>
        <v>0</v>
      </c>
      <c r="BD79">
        <f>MAX(0,ROUND(BD78*(1+'Calc base'!R79),2)-T79)</f>
        <v>0</v>
      </c>
      <c r="BE79">
        <f>MAX(0,ROUND(BE78*(1+'Calc base'!S79),2)-U79)</f>
        <v>0</v>
      </c>
    </row>
    <row r="80">
      <c r="A80" t="n">
        <v>50</v>
      </c>
      <c r="B80">
        <f>SUMPRODUCT(ROUND($AT79:$BE79*(1+'Calc base'!$H80:$S80),2))</f>
        <v>1206.63</v>
      </c>
      <c r="C80">
        <f>SUM(J80:U80)</f>
        <v>35.64</v>
      </c>
      <c r="G80">
        <f>SUM(AT80:BE80)</f>
        <v>1170.99</v>
      </c>
      <c r="H80">
        <f>B80-G79</f>
        <v>18.7100000000003</v>
      </c>
      <c r="I80">
        <f>B80-G80</f>
        <v>35.6400000000001</v>
      </c>
      <c r="J80">
        <f>IF(AT79&lt;=0,0,IF(ROUND(AT79*(1+'Calc base'!H80),2)-MAX('Calc base'!C$12,ROUND('Calc base'!C$13*AT79,2))&lt;1,ROUND(AT79*(1+'Calc base'!H80),2),MAX('Calc base'!C$12,ROUND('Calc base'!C$13*AT79,2))))</f>
        <v>35.64</v>
      </c>
      <c r="K80">
        <f>IF(AU79&lt;=0,0,IF(ROUND(AU79*(1+'Calc base'!I80),2)-MAX('Calc base'!D$12,ROUND('Calc base'!D$13*AU79,2))&lt;1,ROUND(AU79*(1+'Calc base'!I80),2),MAX('Calc base'!D$12,ROUND('Calc base'!D$13*AU79,2))))</f>
        <v>0</v>
      </c>
      <c r="L80">
        <f>IF(AV79&lt;=0,0,IF(ROUND(AV79*(1+'Calc base'!J80),2)-MAX('Calc base'!E$12,ROUND('Calc base'!E$13*AV79,2))&lt;1,ROUND(AV79*(1+'Calc base'!J80),2),MAX('Calc base'!E$12,ROUND('Calc base'!E$13*AV79,2))))</f>
        <v>0</v>
      </c>
      <c r="M80">
        <f>IF(AW79&lt;=0,0,IF(ROUND(AW79*(1+'Calc base'!K80),2)-MAX('Calc base'!F$12,ROUND('Calc base'!F$13*AW79,2))&lt;1,ROUND(AW79*(1+'Calc base'!K80),2),MAX('Calc base'!F$12,ROUND('Calc base'!F$13*AW79,2))))</f>
        <v>0</v>
      </c>
      <c r="N80">
        <f>IF(AX79&lt;=0,0,IF(ROUND(AX79*(1+'Calc base'!L80),2)-MAX('Calc base'!G$12,ROUND('Calc base'!G$13*AX79,2))&lt;1,ROUND(AX79*(1+'Calc base'!L80),2),MAX('Calc base'!G$12,ROUND('Calc base'!G$13*AX79,2))))</f>
        <v>0</v>
      </c>
      <c r="O80">
        <f>IF(AY79&lt;=0,0,IF(ROUND(AY79*(1+'Calc base'!M80),2)-MAX('Calc base'!H$12,ROUND('Calc base'!H$13*AY79,2))&lt;1,ROUND(AY79*(1+'Calc base'!M80),2),MAX('Calc base'!H$12,ROUND('Calc base'!H$13*AY79,2))))</f>
        <v>0</v>
      </c>
      <c r="P80">
        <f>IF(AZ79&lt;=0,0,IF(ROUND(AZ79*(1+'Calc base'!N80),2)-MAX('Calc base'!I$12,ROUND('Calc base'!I$13*AZ79,2))&lt;1,ROUND(AZ79*(1+'Calc base'!N80),2),MAX('Calc base'!I$12,ROUND('Calc base'!I$13*AZ79,2))))</f>
        <v>0</v>
      </c>
      <c r="Q80">
        <f>IF(BA79&lt;=0,0,IF(ROUND(BA79*(1+'Calc base'!O80),2)-MAX('Calc base'!J$12,ROUND('Calc base'!J$13*BA79,2))&lt;1,ROUND(BA79*(1+'Calc base'!O80),2),MAX('Calc base'!J$12,ROUND('Calc base'!J$13*BA79,2))))</f>
        <v>0</v>
      </c>
      <c r="R80">
        <f>IF(BB79&lt;=0,0,IF(ROUND(BB79*(1+'Calc base'!P80),2)-MAX('Calc base'!K$12,ROUND('Calc base'!K$13*BB79,2))&lt;1,ROUND(BB79*(1+'Calc base'!P80),2),MAX('Calc base'!K$12,ROUND('Calc base'!K$13*BB79,2))))</f>
        <v>0</v>
      </c>
      <c r="S80">
        <f>IF(BC79&lt;=0,0,IF(ROUND(BC79*(1+'Calc base'!Q80),2)-MAX('Calc base'!L$12,ROUND('Calc base'!L$13*BC79,2))&lt;1,ROUND(BC79*(1+'Calc base'!Q80),2),MAX('Calc base'!L$12,ROUND('Calc base'!L$13*BC79,2))))</f>
        <v>0</v>
      </c>
      <c r="T80">
        <f>IF(BD79&lt;=0,0,IF(ROUND(BD79*(1+'Calc base'!R80),2)-MAX('Calc base'!M$12,ROUND('Calc base'!M$13*BD79,2))&lt;1,ROUND(BD79*(1+'Calc base'!R80),2),MAX('Calc base'!M$12,ROUND('Calc base'!M$13*BD79,2))))</f>
        <v>0</v>
      </c>
      <c r="U80">
        <f>IF(BE79&lt;=0,0,IF(ROUND(BE79*(1+'Calc base'!S80),2)-MAX('Calc base'!N$12,ROUND('Calc base'!N$13*BE79,2))&lt;1,ROUND(BE79*(1+'Calc base'!S80),2),MAX('Calc base'!N$12,ROUND('Calc base'!N$13*BE79,2))))</f>
        <v>0</v>
      </c>
      <c r="AT80">
        <f>MAX(0,ROUND(AT79*(1+'Calc base'!H80),2)-J80)</f>
        <v>1170.99</v>
      </c>
      <c r="AU80">
        <f>MAX(0,ROUND(AU79*(1+'Calc base'!I80),2)-K80)</f>
        <v>0</v>
      </c>
      <c r="AV80">
        <f>MAX(0,ROUND(AV79*(1+'Calc base'!J80),2)-L80)</f>
        <v>0</v>
      </c>
      <c r="AW80">
        <f>MAX(0,ROUND(AW79*(1+'Calc base'!K80),2)-M80)</f>
        <v>0</v>
      </c>
      <c r="AX80">
        <f>MAX(0,ROUND(AX79*(1+'Calc base'!L80),2)-N80)</f>
        <v>0</v>
      </c>
      <c r="AY80">
        <f>MAX(0,ROUND(AY79*(1+'Calc base'!M80),2)-O80)</f>
        <v>0</v>
      </c>
      <c r="AZ80">
        <f>MAX(0,ROUND(AZ79*(1+'Calc base'!N80),2)-P80)</f>
        <v>0</v>
      </c>
      <c r="BA80">
        <f>MAX(0,ROUND(BA79*(1+'Calc base'!O80),2)-Q80)</f>
        <v>0</v>
      </c>
      <c r="BB80">
        <f>MAX(0,ROUND(BB79*(1+'Calc base'!P80),2)-R80)</f>
        <v>0</v>
      </c>
      <c r="BC80">
        <f>MAX(0,ROUND(BC79*(1+'Calc base'!Q80),2)-S80)</f>
        <v>0</v>
      </c>
      <c r="BD80">
        <f>MAX(0,ROUND(BD79*(1+'Calc base'!R80),2)-T80)</f>
        <v>0</v>
      </c>
      <c r="BE80">
        <f>MAX(0,ROUND(BE79*(1+'Calc base'!S80),2)-U80)</f>
        <v>0</v>
      </c>
    </row>
    <row r="81">
      <c r="A81" t="n">
        <v>51</v>
      </c>
      <c r="B81">
        <f>SUMPRODUCT(ROUND($AT80:$BE80*(1+'Calc base'!$H81:$S81),2))</f>
        <v>1189.43</v>
      </c>
      <c r="C81">
        <f>SUM(J81:U81)</f>
        <v>35.13</v>
      </c>
      <c r="G81">
        <f>SUM(AT81:BE81)</f>
        <v>1154.3</v>
      </c>
      <c r="H81">
        <f>B81-G80</f>
        <v>18.4400000000001</v>
      </c>
      <c r="I81">
        <f>B81-G81</f>
        <v>35.1300000000001</v>
      </c>
      <c r="J81">
        <f>IF(AT80&lt;=0,0,IF(ROUND(AT80*(1+'Calc base'!H81),2)-MAX('Calc base'!C$12,ROUND('Calc base'!C$13*AT80,2))&lt;1,ROUND(AT80*(1+'Calc base'!H81),2),MAX('Calc base'!C$12,ROUND('Calc base'!C$13*AT80,2))))</f>
        <v>35.13</v>
      </c>
      <c r="K81">
        <f>IF(AU80&lt;=0,0,IF(ROUND(AU80*(1+'Calc base'!I81),2)-MAX('Calc base'!D$12,ROUND('Calc base'!D$13*AU80,2))&lt;1,ROUND(AU80*(1+'Calc base'!I81),2),MAX('Calc base'!D$12,ROUND('Calc base'!D$13*AU80,2))))</f>
        <v>0</v>
      </c>
      <c r="L81">
        <f>IF(AV80&lt;=0,0,IF(ROUND(AV80*(1+'Calc base'!J81),2)-MAX('Calc base'!E$12,ROUND('Calc base'!E$13*AV80,2))&lt;1,ROUND(AV80*(1+'Calc base'!J81),2),MAX('Calc base'!E$12,ROUND('Calc base'!E$13*AV80,2))))</f>
        <v>0</v>
      </c>
      <c r="M81">
        <f>IF(AW80&lt;=0,0,IF(ROUND(AW80*(1+'Calc base'!K81),2)-MAX('Calc base'!F$12,ROUND('Calc base'!F$13*AW80,2))&lt;1,ROUND(AW80*(1+'Calc base'!K81),2),MAX('Calc base'!F$12,ROUND('Calc base'!F$13*AW80,2))))</f>
        <v>0</v>
      </c>
      <c r="N81">
        <f>IF(AX80&lt;=0,0,IF(ROUND(AX80*(1+'Calc base'!L81),2)-MAX('Calc base'!G$12,ROUND('Calc base'!G$13*AX80,2))&lt;1,ROUND(AX80*(1+'Calc base'!L81),2),MAX('Calc base'!G$12,ROUND('Calc base'!G$13*AX80,2))))</f>
        <v>0</v>
      </c>
      <c r="O81">
        <f>IF(AY80&lt;=0,0,IF(ROUND(AY80*(1+'Calc base'!M81),2)-MAX('Calc base'!H$12,ROUND('Calc base'!H$13*AY80,2))&lt;1,ROUND(AY80*(1+'Calc base'!M81),2),MAX('Calc base'!H$12,ROUND('Calc base'!H$13*AY80,2))))</f>
        <v>0</v>
      </c>
      <c r="P81">
        <f>IF(AZ80&lt;=0,0,IF(ROUND(AZ80*(1+'Calc base'!N81),2)-MAX('Calc base'!I$12,ROUND('Calc base'!I$13*AZ80,2))&lt;1,ROUND(AZ80*(1+'Calc base'!N81),2),MAX('Calc base'!I$12,ROUND('Calc base'!I$13*AZ80,2))))</f>
        <v>0</v>
      </c>
      <c r="Q81">
        <f>IF(BA80&lt;=0,0,IF(ROUND(BA80*(1+'Calc base'!O81),2)-MAX('Calc base'!J$12,ROUND('Calc base'!J$13*BA80,2))&lt;1,ROUND(BA80*(1+'Calc base'!O81),2),MAX('Calc base'!J$12,ROUND('Calc base'!J$13*BA80,2))))</f>
        <v>0</v>
      </c>
      <c r="R81">
        <f>IF(BB80&lt;=0,0,IF(ROUND(BB80*(1+'Calc base'!P81),2)-MAX('Calc base'!K$12,ROUND('Calc base'!K$13*BB80,2))&lt;1,ROUND(BB80*(1+'Calc base'!P81),2),MAX('Calc base'!K$12,ROUND('Calc base'!K$13*BB80,2))))</f>
        <v>0</v>
      </c>
      <c r="S81">
        <f>IF(BC80&lt;=0,0,IF(ROUND(BC80*(1+'Calc base'!Q81),2)-MAX('Calc base'!L$12,ROUND('Calc base'!L$13*BC80,2))&lt;1,ROUND(BC80*(1+'Calc base'!Q81),2),MAX('Calc base'!L$12,ROUND('Calc base'!L$13*BC80,2))))</f>
        <v>0</v>
      </c>
      <c r="T81">
        <f>IF(BD80&lt;=0,0,IF(ROUND(BD80*(1+'Calc base'!R81),2)-MAX('Calc base'!M$12,ROUND('Calc base'!M$13*BD80,2))&lt;1,ROUND(BD80*(1+'Calc base'!R81),2),MAX('Calc base'!M$12,ROUND('Calc base'!M$13*BD80,2))))</f>
        <v>0</v>
      </c>
      <c r="U81">
        <f>IF(BE80&lt;=0,0,IF(ROUND(BE80*(1+'Calc base'!S81),2)-MAX('Calc base'!N$12,ROUND('Calc base'!N$13*BE80,2))&lt;1,ROUND(BE80*(1+'Calc base'!S81),2),MAX('Calc base'!N$12,ROUND('Calc base'!N$13*BE80,2))))</f>
        <v>0</v>
      </c>
      <c r="AT81">
        <f>MAX(0,ROUND(AT80*(1+'Calc base'!H81),2)-J81)</f>
        <v>1154.3</v>
      </c>
      <c r="AU81">
        <f>MAX(0,ROUND(AU80*(1+'Calc base'!I81),2)-K81)</f>
        <v>0</v>
      </c>
      <c r="AV81">
        <f>MAX(0,ROUND(AV80*(1+'Calc base'!J81),2)-L81)</f>
        <v>0</v>
      </c>
      <c r="AW81">
        <f>MAX(0,ROUND(AW80*(1+'Calc base'!K81),2)-M81)</f>
        <v>0</v>
      </c>
      <c r="AX81">
        <f>MAX(0,ROUND(AX80*(1+'Calc base'!L81),2)-N81)</f>
        <v>0</v>
      </c>
      <c r="AY81">
        <f>MAX(0,ROUND(AY80*(1+'Calc base'!M81),2)-O81)</f>
        <v>0</v>
      </c>
      <c r="AZ81">
        <f>MAX(0,ROUND(AZ80*(1+'Calc base'!N81),2)-P81)</f>
        <v>0</v>
      </c>
      <c r="BA81">
        <f>MAX(0,ROUND(BA80*(1+'Calc base'!O81),2)-Q81)</f>
        <v>0</v>
      </c>
      <c r="BB81">
        <f>MAX(0,ROUND(BB80*(1+'Calc base'!P81),2)-R81)</f>
        <v>0</v>
      </c>
      <c r="BC81">
        <f>MAX(0,ROUND(BC80*(1+'Calc base'!Q81),2)-S81)</f>
        <v>0</v>
      </c>
      <c r="BD81">
        <f>MAX(0,ROUND(BD80*(1+'Calc base'!R81),2)-T81)</f>
        <v>0</v>
      </c>
      <c r="BE81">
        <f>MAX(0,ROUND(BE80*(1+'Calc base'!S81),2)-U81)</f>
        <v>0</v>
      </c>
    </row>
    <row r="82">
      <c r="A82" t="n">
        <v>52</v>
      </c>
      <c r="B82">
        <f>SUMPRODUCT(ROUND($AT81:$BE81*(1+'Calc base'!$H82:$S82),2))</f>
        <v>1172.48</v>
      </c>
      <c r="C82">
        <f>SUM(J82:U82)</f>
        <v>34.63</v>
      </c>
      <c r="G82">
        <f>SUM(AT82:BE82)</f>
        <v>1137.85</v>
      </c>
      <c r="H82">
        <f>B82-G81</f>
        <v>18.1800000000001</v>
      </c>
      <c r="I82">
        <f>B82-G82</f>
        <v>34.6300000000001</v>
      </c>
      <c r="J82">
        <f>IF(AT81&lt;=0,0,IF(ROUND(AT81*(1+'Calc base'!H82),2)-MAX('Calc base'!C$12,ROUND('Calc base'!C$13*AT81,2))&lt;1,ROUND(AT81*(1+'Calc base'!H82),2),MAX('Calc base'!C$12,ROUND('Calc base'!C$13*AT81,2))))</f>
        <v>34.63</v>
      </c>
      <c r="K82">
        <f>IF(AU81&lt;=0,0,IF(ROUND(AU81*(1+'Calc base'!I82),2)-MAX('Calc base'!D$12,ROUND('Calc base'!D$13*AU81,2))&lt;1,ROUND(AU81*(1+'Calc base'!I82),2),MAX('Calc base'!D$12,ROUND('Calc base'!D$13*AU81,2))))</f>
        <v>0</v>
      </c>
      <c r="L82">
        <f>IF(AV81&lt;=0,0,IF(ROUND(AV81*(1+'Calc base'!J82),2)-MAX('Calc base'!E$12,ROUND('Calc base'!E$13*AV81,2))&lt;1,ROUND(AV81*(1+'Calc base'!J82),2),MAX('Calc base'!E$12,ROUND('Calc base'!E$13*AV81,2))))</f>
        <v>0</v>
      </c>
      <c r="M82">
        <f>IF(AW81&lt;=0,0,IF(ROUND(AW81*(1+'Calc base'!K82),2)-MAX('Calc base'!F$12,ROUND('Calc base'!F$13*AW81,2))&lt;1,ROUND(AW81*(1+'Calc base'!K82),2),MAX('Calc base'!F$12,ROUND('Calc base'!F$13*AW81,2))))</f>
        <v>0</v>
      </c>
      <c r="N82">
        <f>IF(AX81&lt;=0,0,IF(ROUND(AX81*(1+'Calc base'!L82),2)-MAX('Calc base'!G$12,ROUND('Calc base'!G$13*AX81,2))&lt;1,ROUND(AX81*(1+'Calc base'!L82),2),MAX('Calc base'!G$12,ROUND('Calc base'!G$13*AX81,2))))</f>
        <v>0</v>
      </c>
      <c r="O82">
        <f>IF(AY81&lt;=0,0,IF(ROUND(AY81*(1+'Calc base'!M82),2)-MAX('Calc base'!H$12,ROUND('Calc base'!H$13*AY81,2))&lt;1,ROUND(AY81*(1+'Calc base'!M82),2),MAX('Calc base'!H$12,ROUND('Calc base'!H$13*AY81,2))))</f>
        <v>0</v>
      </c>
      <c r="P82">
        <f>IF(AZ81&lt;=0,0,IF(ROUND(AZ81*(1+'Calc base'!N82),2)-MAX('Calc base'!I$12,ROUND('Calc base'!I$13*AZ81,2))&lt;1,ROUND(AZ81*(1+'Calc base'!N82),2),MAX('Calc base'!I$12,ROUND('Calc base'!I$13*AZ81,2))))</f>
        <v>0</v>
      </c>
      <c r="Q82">
        <f>IF(BA81&lt;=0,0,IF(ROUND(BA81*(1+'Calc base'!O82),2)-MAX('Calc base'!J$12,ROUND('Calc base'!J$13*BA81,2))&lt;1,ROUND(BA81*(1+'Calc base'!O82),2),MAX('Calc base'!J$12,ROUND('Calc base'!J$13*BA81,2))))</f>
        <v>0</v>
      </c>
      <c r="R82">
        <f>IF(BB81&lt;=0,0,IF(ROUND(BB81*(1+'Calc base'!P82),2)-MAX('Calc base'!K$12,ROUND('Calc base'!K$13*BB81,2))&lt;1,ROUND(BB81*(1+'Calc base'!P82),2),MAX('Calc base'!K$12,ROUND('Calc base'!K$13*BB81,2))))</f>
        <v>0</v>
      </c>
      <c r="S82">
        <f>IF(BC81&lt;=0,0,IF(ROUND(BC81*(1+'Calc base'!Q82),2)-MAX('Calc base'!L$12,ROUND('Calc base'!L$13*BC81,2))&lt;1,ROUND(BC81*(1+'Calc base'!Q82),2),MAX('Calc base'!L$12,ROUND('Calc base'!L$13*BC81,2))))</f>
        <v>0</v>
      </c>
      <c r="T82">
        <f>IF(BD81&lt;=0,0,IF(ROUND(BD81*(1+'Calc base'!R82),2)-MAX('Calc base'!M$12,ROUND('Calc base'!M$13*BD81,2))&lt;1,ROUND(BD81*(1+'Calc base'!R82),2),MAX('Calc base'!M$12,ROUND('Calc base'!M$13*BD81,2))))</f>
        <v>0</v>
      </c>
      <c r="U82">
        <f>IF(BE81&lt;=0,0,IF(ROUND(BE81*(1+'Calc base'!S82),2)-MAX('Calc base'!N$12,ROUND('Calc base'!N$13*BE81,2))&lt;1,ROUND(BE81*(1+'Calc base'!S82),2),MAX('Calc base'!N$12,ROUND('Calc base'!N$13*BE81,2))))</f>
        <v>0</v>
      </c>
      <c r="AT82">
        <f>MAX(0,ROUND(AT81*(1+'Calc base'!H82),2)-J82)</f>
        <v>1137.85</v>
      </c>
      <c r="AU82">
        <f>MAX(0,ROUND(AU81*(1+'Calc base'!I82),2)-K82)</f>
        <v>0</v>
      </c>
      <c r="AV82">
        <f>MAX(0,ROUND(AV81*(1+'Calc base'!J82),2)-L82)</f>
        <v>0</v>
      </c>
      <c r="AW82">
        <f>MAX(0,ROUND(AW81*(1+'Calc base'!K82),2)-M82)</f>
        <v>0</v>
      </c>
      <c r="AX82">
        <f>MAX(0,ROUND(AX81*(1+'Calc base'!L82),2)-N82)</f>
        <v>0</v>
      </c>
      <c r="AY82">
        <f>MAX(0,ROUND(AY81*(1+'Calc base'!M82),2)-O82)</f>
        <v>0</v>
      </c>
      <c r="AZ82">
        <f>MAX(0,ROUND(AZ81*(1+'Calc base'!N82),2)-P82)</f>
        <v>0</v>
      </c>
      <c r="BA82">
        <f>MAX(0,ROUND(BA81*(1+'Calc base'!O82),2)-Q82)</f>
        <v>0</v>
      </c>
      <c r="BB82">
        <f>MAX(0,ROUND(BB81*(1+'Calc base'!P82),2)-R82)</f>
        <v>0</v>
      </c>
      <c r="BC82">
        <f>MAX(0,ROUND(BC81*(1+'Calc base'!Q82),2)-S82)</f>
        <v>0</v>
      </c>
      <c r="BD82">
        <f>MAX(0,ROUND(BD81*(1+'Calc base'!R82),2)-T82)</f>
        <v>0</v>
      </c>
      <c r="BE82">
        <f>MAX(0,ROUND(BE81*(1+'Calc base'!S82),2)-U82)</f>
        <v>0</v>
      </c>
    </row>
    <row r="83">
      <c r="A83" t="n">
        <v>53</v>
      </c>
      <c r="B83">
        <f>SUMPRODUCT(ROUND($AT82:$BE82*(1+'Calc base'!$H83:$S83),2))</f>
        <v>1155.77</v>
      </c>
      <c r="C83">
        <f>SUM(J83:U83)</f>
        <v>34.14</v>
      </c>
      <c r="G83">
        <f>SUM(AT83:BE83)</f>
        <v>1121.63</v>
      </c>
      <c r="H83">
        <f>B83-G82</f>
        <v>17.9200000000001</v>
      </c>
      <c r="I83">
        <f>B83-G83</f>
        <v>34.1400000000001</v>
      </c>
      <c r="J83">
        <f>IF(AT82&lt;=0,0,IF(ROUND(AT82*(1+'Calc base'!H83),2)-MAX('Calc base'!C$12,ROUND('Calc base'!C$13*AT82,2))&lt;1,ROUND(AT82*(1+'Calc base'!H83),2),MAX('Calc base'!C$12,ROUND('Calc base'!C$13*AT82,2))))</f>
        <v>34.14</v>
      </c>
      <c r="K83">
        <f>IF(AU82&lt;=0,0,IF(ROUND(AU82*(1+'Calc base'!I83),2)-MAX('Calc base'!D$12,ROUND('Calc base'!D$13*AU82,2))&lt;1,ROUND(AU82*(1+'Calc base'!I83),2),MAX('Calc base'!D$12,ROUND('Calc base'!D$13*AU82,2))))</f>
        <v>0</v>
      </c>
      <c r="L83">
        <f>IF(AV82&lt;=0,0,IF(ROUND(AV82*(1+'Calc base'!J83),2)-MAX('Calc base'!E$12,ROUND('Calc base'!E$13*AV82,2))&lt;1,ROUND(AV82*(1+'Calc base'!J83),2),MAX('Calc base'!E$12,ROUND('Calc base'!E$13*AV82,2))))</f>
        <v>0</v>
      </c>
      <c r="M83">
        <f>IF(AW82&lt;=0,0,IF(ROUND(AW82*(1+'Calc base'!K83),2)-MAX('Calc base'!F$12,ROUND('Calc base'!F$13*AW82,2))&lt;1,ROUND(AW82*(1+'Calc base'!K83),2),MAX('Calc base'!F$12,ROUND('Calc base'!F$13*AW82,2))))</f>
        <v>0</v>
      </c>
      <c r="N83">
        <f>IF(AX82&lt;=0,0,IF(ROUND(AX82*(1+'Calc base'!L83),2)-MAX('Calc base'!G$12,ROUND('Calc base'!G$13*AX82,2))&lt;1,ROUND(AX82*(1+'Calc base'!L83),2),MAX('Calc base'!G$12,ROUND('Calc base'!G$13*AX82,2))))</f>
        <v>0</v>
      </c>
      <c r="O83">
        <f>IF(AY82&lt;=0,0,IF(ROUND(AY82*(1+'Calc base'!M83),2)-MAX('Calc base'!H$12,ROUND('Calc base'!H$13*AY82,2))&lt;1,ROUND(AY82*(1+'Calc base'!M83),2),MAX('Calc base'!H$12,ROUND('Calc base'!H$13*AY82,2))))</f>
        <v>0</v>
      </c>
      <c r="P83">
        <f>IF(AZ82&lt;=0,0,IF(ROUND(AZ82*(1+'Calc base'!N83),2)-MAX('Calc base'!I$12,ROUND('Calc base'!I$13*AZ82,2))&lt;1,ROUND(AZ82*(1+'Calc base'!N83),2),MAX('Calc base'!I$12,ROUND('Calc base'!I$13*AZ82,2))))</f>
        <v>0</v>
      </c>
      <c r="Q83">
        <f>IF(BA82&lt;=0,0,IF(ROUND(BA82*(1+'Calc base'!O83),2)-MAX('Calc base'!J$12,ROUND('Calc base'!J$13*BA82,2))&lt;1,ROUND(BA82*(1+'Calc base'!O83),2),MAX('Calc base'!J$12,ROUND('Calc base'!J$13*BA82,2))))</f>
        <v>0</v>
      </c>
      <c r="R83">
        <f>IF(BB82&lt;=0,0,IF(ROUND(BB82*(1+'Calc base'!P83),2)-MAX('Calc base'!K$12,ROUND('Calc base'!K$13*BB82,2))&lt;1,ROUND(BB82*(1+'Calc base'!P83),2),MAX('Calc base'!K$12,ROUND('Calc base'!K$13*BB82,2))))</f>
        <v>0</v>
      </c>
      <c r="S83">
        <f>IF(BC82&lt;=0,0,IF(ROUND(BC82*(1+'Calc base'!Q83),2)-MAX('Calc base'!L$12,ROUND('Calc base'!L$13*BC82,2))&lt;1,ROUND(BC82*(1+'Calc base'!Q83),2),MAX('Calc base'!L$12,ROUND('Calc base'!L$13*BC82,2))))</f>
        <v>0</v>
      </c>
      <c r="T83">
        <f>IF(BD82&lt;=0,0,IF(ROUND(BD82*(1+'Calc base'!R83),2)-MAX('Calc base'!M$12,ROUND('Calc base'!M$13*BD82,2))&lt;1,ROUND(BD82*(1+'Calc base'!R83),2),MAX('Calc base'!M$12,ROUND('Calc base'!M$13*BD82,2))))</f>
        <v>0</v>
      </c>
      <c r="U83">
        <f>IF(BE82&lt;=0,0,IF(ROUND(BE82*(1+'Calc base'!S83),2)-MAX('Calc base'!N$12,ROUND('Calc base'!N$13*BE82,2))&lt;1,ROUND(BE82*(1+'Calc base'!S83),2),MAX('Calc base'!N$12,ROUND('Calc base'!N$13*BE82,2))))</f>
        <v>0</v>
      </c>
      <c r="AT83">
        <f>MAX(0,ROUND(AT82*(1+'Calc base'!H83),2)-J83)</f>
        <v>1121.63</v>
      </c>
      <c r="AU83">
        <f>MAX(0,ROUND(AU82*(1+'Calc base'!I83),2)-K83)</f>
        <v>0</v>
      </c>
      <c r="AV83">
        <f>MAX(0,ROUND(AV82*(1+'Calc base'!J83),2)-L83)</f>
        <v>0</v>
      </c>
      <c r="AW83">
        <f>MAX(0,ROUND(AW82*(1+'Calc base'!K83),2)-M83)</f>
        <v>0</v>
      </c>
      <c r="AX83">
        <f>MAX(0,ROUND(AX82*(1+'Calc base'!L83),2)-N83)</f>
        <v>0</v>
      </c>
      <c r="AY83">
        <f>MAX(0,ROUND(AY82*(1+'Calc base'!M83),2)-O83)</f>
        <v>0</v>
      </c>
      <c r="AZ83">
        <f>MAX(0,ROUND(AZ82*(1+'Calc base'!N83),2)-P83)</f>
        <v>0</v>
      </c>
      <c r="BA83">
        <f>MAX(0,ROUND(BA82*(1+'Calc base'!O83),2)-Q83)</f>
        <v>0</v>
      </c>
      <c r="BB83">
        <f>MAX(0,ROUND(BB82*(1+'Calc base'!P83),2)-R83)</f>
        <v>0</v>
      </c>
      <c r="BC83">
        <f>MAX(0,ROUND(BC82*(1+'Calc base'!Q83),2)-S83)</f>
        <v>0</v>
      </c>
      <c r="BD83">
        <f>MAX(0,ROUND(BD82*(1+'Calc base'!R83),2)-T83)</f>
        <v>0</v>
      </c>
      <c r="BE83">
        <f>MAX(0,ROUND(BE82*(1+'Calc base'!S83),2)-U83)</f>
        <v>0</v>
      </c>
    </row>
    <row r="84">
      <c r="A84" t="n">
        <v>54</v>
      </c>
      <c r="B84">
        <f>SUMPRODUCT(ROUND($AT83:$BE83*(1+'Calc base'!$H84:$S84),2))</f>
        <v>1139.3</v>
      </c>
      <c r="C84">
        <f>SUM(J84:U84)</f>
        <v>33.65</v>
      </c>
      <c r="G84">
        <f>SUM(AT84:BE84)</f>
        <v>1105.65</v>
      </c>
      <c r="H84">
        <f>B84-G83</f>
        <v>17.6700000000001</v>
      </c>
      <c r="I84">
        <f>B84-G84</f>
        <v>33.6500000000001</v>
      </c>
      <c r="J84">
        <f>IF(AT83&lt;=0,0,IF(ROUND(AT83*(1+'Calc base'!H84),2)-MAX('Calc base'!C$12,ROUND('Calc base'!C$13*AT83,2))&lt;1,ROUND(AT83*(1+'Calc base'!H84),2),MAX('Calc base'!C$12,ROUND('Calc base'!C$13*AT83,2))))</f>
        <v>33.65</v>
      </c>
      <c r="K84">
        <f>IF(AU83&lt;=0,0,IF(ROUND(AU83*(1+'Calc base'!I84),2)-MAX('Calc base'!D$12,ROUND('Calc base'!D$13*AU83,2))&lt;1,ROUND(AU83*(1+'Calc base'!I84),2),MAX('Calc base'!D$12,ROUND('Calc base'!D$13*AU83,2))))</f>
        <v>0</v>
      </c>
      <c r="L84">
        <f>IF(AV83&lt;=0,0,IF(ROUND(AV83*(1+'Calc base'!J84),2)-MAX('Calc base'!E$12,ROUND('Calc base'!E$13*AV83,2))&lt;1,ROUND(AV83*(1+'Calc base'!J84),2),MAX('Calc base'!E$12,ROUND('Calc base'!E$13*AV83,2))))</f>
        <v>0</v>
      </c>
      <c r="M84">
        <f>IF(AW83&lt;=0,0,IF(ROUND(AW83*(1+'Calc base'!K84),2)-MAX('Calc base'!F$12,ROUND('Calc base'!F$13*AW83,2))&lt;1,ROUND(AW83*(1+'Calc base'!K84),2),MAX('Calc base'!F$12,ROUND('Calc base'!F$13*AW83,2))))</f>
        <v>0</v>
      </c>
      <c r="N84">
        <f>IF(AX83&lt;=0,0,IF(ROUND(AX83*(1+'Calc base'!L84),2)-MAX('Calc base'!G$12,ROUND('Calc base'!G$13*AX83,2))&lt;1,ROUND(AX83*(1+'Calc base'!L84),2),MAX('Calc base'!G$12,ROUND('Calc base'!G$13*AX83,2))))</f>
        <v>0</v>
      </c>
      <c r="O84">
        <f>IF(AY83&lt;=0,0,IF(ROUND(AY83*(1+'Calc base'!M84),2)-MAX('Calc base'!H$12,ROUND('Calc base'!H$13*AY83,2))&lt;1,ROUND(AY83*(1+'Calc base'!M84),2),MAX('Calc base'!H$12,ROUND('Calc base'!H$13*AY83,2))))</f>
        <v>0</v>
      </c>
      <c r="P84">
        <f>IF(AZ83&lt;=0,0,IF(ROUND(AZ83*(1+'Calc base'!N84),2)-MAX('Calc base'!I$12,ROUND('Calc base'!I$13*AZ83,2))&lt;1,ROUND(AZ83*(1+'Calc base'!N84),2),MAX('Calc base'!I$12,ROUND('Calc base'!I$13*AZ83,2))))</f>
        <v>0</v>
      </c>
      <c r="Q84">
        <f>IF(BA83&lt;=0,0,IF(ROUND(BA83*(1+'Calc base'!O84),2)-MAX('Calc base'!J$12,ROUND('Calc base'!J$13*BA83,2))&lt;1,ROUND(BA83*(1+'Calc base'!O84),2),MAX('Calc base'!J$12,ROUND('Calc base'!J$13*BA83,2))))</f>
        <v>0</v>
      </c>
      <c r="R84">
        <f>IF(BB83&lt;=0,0,IF(ROUND(BB83*(1+'Calc base'!P84),2)-MAX('Calc base'!K$12,ROUND('Calc base'!K$13*BB83,2))&lt;1,ROUND(BB83*(1+'Calc base'!P84),2),MAX('Calc base'!K$12,ROUND('Calc base'!K$13*BB83,2))))</f>
        <v>0</v>
      </c>
      <c r="S84">
        <f>IF(BC83&lt;=0,0,IF(ROUND(BC83*(1+'Calc base'!Q84),2)-MAX('Calc base'!L$12,ROUND('Calc base'!L$13*BC83,2))&lt;1,ROUND(BC83*(1+'Calc base'!Q84),2),MAX('Calc base'!L$12,ROUND('Calc base'!L$13*BC83,2))))</f>
        <v>0</v>
      </c>
      <c r="T84">
        <f>IF(BD83&lt;=0,0,IF(ROUND(BD83*(1+'Calc base'!R84),2)-MAX('Calc base'!M$12,ROUND('Calc base'!M$13*BD83,2))&lt;1,ROUND(BD83*(1+'Calc base'!R84),2),MAX('Calc base'!M$12,ROUND('Calc base'!M$13*BD83,2))))</f>
        <v>0</v>
      </c>
      <c r="U84">
        <f>IF(BE83&lt;=0,0,IF(ROUND(BE83*(1+'Calc base'!S84),2)-MAX('Calc base'!N$12,ROUND('Calc base'!N$13*BE83,2))&lt;1,ROUND(BE83*(1+'Calc base'!S84),2),MAX('Calc base'!N$12,ROUND('Calc base'!N$13*BE83,2))))</f>
        <v>0</v>
      </c>
      <c r="AT84">
        <f>MAX(0,ROUND(AT83*(1+'Calc base'!H84),2)-J84)</f>
        <v>1105.65</v>
      </c>
      <c r="AU84">
        <f>MAX(0,ROUND(AU83*(1+'Calc base'!I84),2)-K84)</f>
        <v>0</v>
      </c>
      <c r="AV84">
        <f>MAX(0,ROUND(AV83*(1+'Calc base'!J84),2)-L84)</f>
        <v>0</v>
      </c>
      <c r="AW84">
        <f>MAX(0,ROUND(AW83*(1+'Calc base'!K84),2)-M84)</f>
        <v>0</v>
      </c>
      <c r="AX84">
        <f>MAX(0,ROUND(AX83*(1+'Calc base'!L84),2)-N84)</f>
        <v>0</v>
      </c>
      <c r="AY84">
        <f>MAX(0,ROUND(AY83*(1+'Calc base'!M84),2)-O84)</f>
        <v>0</v>
      </c>
      <c r="AZ84">
        <f>MAX(0,ROUND(AZ83*(1+'Calc base'!N84),2)-P84)</f>
        <v>0</v>
      </c>
      <c r="BA84">
        <f>MAX(0,ROUND(BA83*(1+'Calc base'!O84),2)-Q84)</f>
        <v>0</v>
      </c>
      <c r="BB84">
        <f>MAX(0,ROUND(BB83*(1+'Calc base'!P84),2)-R84)</f>
        <v>0</v>
      </c>
      <c r="BC84">
        <f>MAX(0,ROUND(BC83*(1+'Calc base'!Q84),2)-S84)</f>
        <v>0</v>
      </c>
      <c r="BD84">
        <f>MAX(0,ROUND(BD83*(1+'Calc base'!R84),2)-T84)</f>
        <v>0</v>
      </c>
      <c r="BE84">
        <f>MAX(0,ROUND(BE83*(1+'Calc base'!S84),2)-U84)</f>
        <v>0</v>
      </c>
    </row>
    <row r="85">
      <c r="A85" t="n">
        <v>55</v>
      </c>
      <c r="B85">
        <f>SUMPRODUCT(ROUND($AT84:$BE84*(1+'Calc base'!$H85:$S85),2))</f>
        <v>1123.06</v>
      </c>
      <c r="C85">
        <f>SUM(J85:U85)</f>
        <v>33.17</v>
      </c>
      <c r="G85">
        <f>SUM(AT85:BE85)</f>
        <v>1089.89</v>
      </c>
      <c r="H85">
        <f>B85-G84</f>
        <v>17.4100000000001</v>
      </c>
      <c r="I85">
        <f>B85-G85</f>
        <v>33.1700000000001</v>
      </c>
      <c r="J85">
        <f>IF(AT84&lt;=0,0,IF(ROUND(AT84*(1+'Calc base'!H85),2)-MAX('Calc base'!C$12,ROUND('Calc base'!C$13*AT84,2))&lt;1,ROUND(AT84*(1+'Calc base'!H85),2),MAX('Calc base'!C$12,ROUND('Calc base'!C$13*AT84,2))))</f>
        <v>33.17</v>
      </c>
      <c r="K85">
        <f>IF(AU84&lt;=0,0,IF(ROUND(AU84*(1+'Calc base'!I85),2)-MAX('Calc base'!D$12,ROUND('Calc base'!D$13*AU84,2))&lt;1,ROUND(AU84*(1+'Calc base'!I85),2),MAX('Calc base'!D$12,ROUND('Calc base'!D$13*AU84,2))))</f>
        <v>0</v>
      </c>
      <c r="L85">
        <f>IF(AV84&lt;=0,0,IF(ROUND(AV84*(1+'Calc base'!J85),2)-MAX('Calc base'!E$12,ROUND('Calc base'!E$13*AV84,2))&lt;1,ROUND(AV84*(1+'Calc base'!J85),2),MAX('Calc base'!E$12,ROUND('Calc base'!E$13*AV84,2))))</f>
        <v>0</v>
      </c>
      <c r="M85">
        <f>IF(AW84&lt;=0,0,IF(ROUND(AW84*(1+'Calc base'!K85),2)-MAX('Calc base'!F$12,ROUND('Calc base'!F$13*AW84,2))&lt;1,ROUND(AW84*(1+'Calc base'!K85),2),MAX('Calc base'!F$12,ROUND('Calc base'!F$13*AW84,2))))</f>
        <v>0</v>
      </c>
      <c r="N85">
        <f>IF(AX84&lt;=0,0,IF(ROUND(AX84*(1+'Calc base'!L85),2)-MAX('Calc base'!G$12,ROUND('Calc base'!G$13*AX84,2))&lt;1,ROUND(AX84*(1+'Calc base'!L85),2),MAX('Calc base'!G$12,ROUND('Calc base'!G$13*AX84,2))))</f>
        <v>0</v>
      </c>
      <c r="O85">
        <f>IF(AY84&lt;=0,0,IF(ROUND(AY84*(1+'Calc base'!M85),2)-MAX('Calc base'!H$12,ROUND('Calc base'!H$13*AY84,2))&lt;1,ROUND(AY84*(1+'Calc base'!M85),2),MAX('Calc base'!H$12,ROUND('Calc base'!H$13*AY84,2))))</f>
        <v>0</v>
      </c>
      <c r="P85">
        <f>IF(AZ84&lt;=0,0,IF(ROUND(AZ84*(1+'Calc base'!N85),2)-MAX('Calc base'!I$12,ROUND('Calc base'!I$13*AZ84,2))&lt;1,ROUND(AZ84*(1+'Calc base'!N85),2),MAX('Calc base'!I$12,ROUND('Calc base'!I$13*AZ84,2))))</f>
        <v>0</v>
      </c>
      <c r="Q85">
        <f>IF(BA84&lt;=0,0,IF(ROUND(BA84*(1+'Calc base'!O85),2)-MAX('Calc base'!J$12,ROUND('Calc base'!J$13*BA84,2))&lt;1,ROUND(BA84*(1+'Calc base'!O85),2),MAX('Calc base'!J$12,ROUND('Calc base'!J$13*BA84,2))))</f>
        <v>0</v>
      </c>
      <c r="R85">
        <f>IF(BB84&lt;=0,0,IF(ROUND(BB84*(1+'Calc base'!P85),2)-MAX('Calc base'!K$12,ROUND('Calc base'!K$13*BB84,2))&lt;1,ROUND(BB84*(1+'Calc base'!P85),2),MAX('Calc base'!K$12,ROUND('Calc base'!K$13*BB84,2))))</f>
        <v>0</v>
      </c>
      <c r="S85">
        <f>IF(BC84&lt;=0,0,IF(ROUND(BC84*(1+'Calc base'!Q85),2)-MAX('Calc base'!L$12,ROUND('Calc base'!L$13*BC84,2))&lt;1,ROUND(BC84*(1+'Calc base'!Q85),2),MAX('Calc base'!L$12,ROUND('Calc base'!L$13*BC84,2))))</f>
        <v>0</v>
      </c>
      <c r="T85">
        <f>IF(BD84&lt;=0,0,IF(ROUND(BD84*(1+'Calc base'!R85),2)-MAX('Calc base'!M$12,ROUND('Calc base'!M$13*BD84,2))&lt;1,ROUND(BD84*(1+'Calc base'!R85),2),MAX('Calc base'!M$12,ROUND('Calc base'!M$13*BD84,2))))</f>
        <v>0</v>
      </c>
      <c r="U85">
        <f>IF(BE84&lt;=0,0,IF(ROUND(BE84*(1+'Calc base'!S85),2)-MAX('Calc base'!N$12,ROUND('Calc base'!N$13*BE84,2))&lt;1,ROUND(BE84*(1+'Calc base'!S85),2),MAX('Calc base'!N$12,ROUND('Calc base'!N$13*BE84,2))))</f>
        <v>0</v>
      </c>
      <c r="AT85">
        <f>MAX(0,ROUND(AT84*(1+'Calc base'!H85),2)-J85)</f>
        <v>1089.89</v>
      </c>
      <c r="AU85">
        <f>MAX(0,ROUND(AU84*(1+'Calc base'!I85),2)-K85)</f>
        <v>0</v>
      </c>
      <c r="AV85">
        <f>MAX(0,ROUND(AV84*(1+'Calc base'!J85),2)-L85)</f>
        <v>0</v>
      </c>
      <c r="AW85">
        <f>MAX(0,ROUND(AW84*(1+'Calc base'!K85),2)-M85)</f>
        <v>0</v>
      </c>
      <c r="AX85">
        <f>MAX(0,ROUND(AX84*(1+'Calc base'!L85),2)-N85)</f>
        <v>0</v>
      </c>
      <c r="AY85">
        <f>MAX(0,ROUND(AY84*(1+'Calc base'!M85),2)-O85)</f>
        <v>0</v>
      </c>
      <c r="AZ85">
        <f>MAX(0,ROUND(AZ84*(1+'Calc base'!N85),2)-P85)</f>
        <v>0</v>
      </c>
      <c r="BA85">
        <f>MAX(0,ROUND(BA84*(1+'Calc base'!O85),2)-Q85)</f>
        <v>0</v>
      </c>
      <c r="BB85">
        <f>MAX(0,ROUND(BB84*(1+'Calc base'!P85),2)-R85)</f>
        <v>0</v>
      </c>
      <c r="BC85">
        <f>MAX(0,ROUND(BC84*(1+'Calc base'!Q85),2)-S85)</f>
        <v>0</v>
      </c>
      <c r="BD85">
        <f>MAX(0,ROUND(BD84*(1+'Calc base'!R85),2)-T85)</f>
        <v>0</v>
      </c>
      <c r="BE85">
        <f>MAX(0,ROUND(BE84*(1+'Calc base'!S85),2)-U85)</f>
        <v>0</v>
      </c>
    </row>
    <row r="86">
      <c r="A86" t="n">
        <v>56</v>
      </c>
      <c r="B86">
        <f>SUMPRODUCT(ROUND($AT85:$BE85*(1+'Calc base'!$H86:$S86),2))</f>
        <v>1107.06</v>
      </c>
      <c r="C86">
        <f>SUM(J86:U86)</f>
        <v>32.7</v>
      </c>
      <c r="G86">
        <f>SUM(AT86:BE86)</f>
        <v>1074.36</v>
      </c>
      <c r="H86">
        <f>B86-G85</f>
        <v>17.1700000000001</v>
      </c>
      <c r="I86">
        <f>B86-G86</f>
        <v>32.7</v>
      </c>
      <c r="J86">
        <f>IF(AT85&lt;=0,0,IF(ROUND(AT85*(1+'Calc base'!H86),2)-MAX('Calc base'!C$12,ROUND('Calc base'!C$13*AT85,2))&lt;1,ROUND(AT85*(1+'Calc base'!H86),2),MAX('Calc base'!C$12,ROUND('Calc base'!C$13*AT85,2))))</f>
        <v>32.7</v>
      </c>
      <c r="K86">
        <f>IF(AU85&lt;=0,0,IF(ROUND(AU85*(1+'Calc base'!I86),2)-MAX('Calc base'!D$12,ROUND('Calc base'!D$13*AU85,2))&lt;1,ROUND(AU85*(1+'Calc base'!I86),2),MAX('Calc base'!D$12,ROUND('Calc base'!D$13*AU85,2))))</f>
        <v>0</v>
      </c>
      <c r="L86">
        <f>IF(AV85&lt;=0,0,IF(ROUND(AV85*(1+'Calc base'!J86),2)-MAX('Calc base'!E$12,ROUND('Calc base'!E$13*AV85,2))&lt;1,ROUND(AV85*(1+'Calc base'!J86),2),MAX('Calc base'!E$12,ROUND('Calc base'!E$13*AV85,2))))</f>
        <v>0</v>
      </c>
      <c r="M86">
        <f>IF(AW85&lt;=0,0,IF(ROUND(AW85*(1+'Calc base'!K86),2)-MAX('Calc base'!F$12,ROUND('Calc base'!F$13*AW85,2))&lt;1,ROUND(AW85*(1+'Calc base'!K86),2),MAX('Calc base'!F$12,ROUND('Calc base'!F$13*AW85,2))))</f>
        <v>0</v>
      </c>
      <c r="N86">
        <f>IF(AX85&lt;=0,0,IF(ROUND(AX85*(1+'Calc base'!L86),2)-MAX('Calc base'!G$12,ROUND('Calc base'!G$13*AX85,2))&lt;1,ROUND(AX85*(1+'Calc base'!L86),2),MAX('Calc base'!G$12,ROUND('Calc base'!G$13*AX85,2))))</f>
        <v>0</v>
      </c>
      <c r="O86">
        <f>IF(AY85&lt;=0,0,IF(ROUND(AY85*(1+'Calc base'!M86),2)-MAX('Calc base'!H$12,ROUND('Calc base'!H$13*AY85,2))&lt;1,ROUND(AY85*(1+'Calc base'!M86),2),MAX('Calc base'!H$12,ROUND('Calc base'!H$13*AY85,2))))</f>
        <v>0</v>
      </c>
      <c r="P86">
        <f>IF(AZ85&lt;=0,0,IF(ROUND(AZ85*(1+'Calc base'!N86),2)-MAX('Calc base'!I$12,ROUND('Calc base'!I$13*AZ85,2))&lt;1,ROUND(AZ85*(1+'Calc base'!N86),2),MAX('Calc base'!I$12,ROUND('Calc base'!I$13*AZ85,2))))</f>
        <v>0</v>
      </c>
      <c r="Q86">
        <f>IF(BA85&lt;=0,0,IF(ROUND(BA85*(1+'Calc base'!O86),2)-MAX('Calc base'!J$12,ROUND('Calc base'!J$13*BA85,2))&lt;1,ROUND(BA85*(1+'Calc base'!O86),2),MAX('Calc base'!J$12,ROUND('Calc base'!J$13*BA85,2))))</f>
        <v>0</v>
      </c>
      <c r="R86">
        <f>IF(BB85&lt;=0,0,IF(ROUND(BB85*(1+'Calc base'!P86),2)-MAX('Calc base'!K$12,ROUND('Calc base'!K$13*BB85,2))&lt;1,ROUND(BB85*(1+'Calc base'!P86),2),MAX('Calc base'!K$12,ROUND('Calc base'!K$13*BB85,2))))</f>
        <v>0</v>
      </c>
      <c r="S86">
        <f>IF(BC85&lt;=0,0,IF(ROUND(BC85*(1+'Calc base'!Q86),2)-MAX('Calc base'!L$12,ROUND('Calc base'!L$13*BC85,2))&lt;1,ROUND(BC85*(1+'Calc base'!Q86),2),MAX('Calc base'!L$12,ROUND('Calc base'!L$13*BC85,2))))</f>
        <v>0</v>
      </c>
      <c r="T86">
        <f>IF(BD85&lt;=0,0,IF(ROUND(BD85*(1+'Calc base'!R86),2)-MAX('Calc base'!M$12,ROUND('Calc base'!M$13*BD85,2))&lt;1,ROUND(BD85*(1+'Calc base'!R86),2),MAX('Calc base'!M$12,ROUND('Calc base'!M$13*BD85,2))))</f>
        <v>0</v>
      </c>
      <c r="U86">
        <f>IF(BE85&lt;=0,0,IF(ROUND(BE85*(1+'Calc base'!S86),2)-MAX('Calc base'!N$12,ROUND('Calc base'!N$13*BE85,2))&lt;1,ROUND(BE85*(1+'Calc base'!S86),2),MAX('Calc base'!N$12,ROUND('Calc base'!N$13*BE85,2))))</f>
        <v>0</v>
      </c>
      <c r="AT86">
        <f>MAX(0,ROUND(AT85*(1+'Calc base'!H86),2)-J86)</f>
        <v>1074.36</v>
      </c>
      <c r="AU86">
        <f>MAX(0,ROUND(AU85*(1+'Calc base'!I86),2)-K86)</f>
        <v>0</v>
      </c>
      <c r="AV86">
        <f>MAX(0,ROUND(AV85*(1+'Calc base'!J86),2)-L86)</f>
        <v>0</v>
      </c>
      <c r="AW86">
        <f>MAX(0,ROUND(AW85*(1+'Calc base'!K86),2)-M86)</f>
        <v>0</v>
      </c>
      <c r="AX86">
        <f>MAX(0,ROUND(AX85*(1+'Calc base'!L86),2)-N86)</f>
        <v>0</v>
      </c>
      <c r="AY86">
        <f>MAX(0,ROUND(AY85*(1+'Calc base'!M86),2)-O86)</f>
        <v>0</v>
      </c>
      <c r="AZ86">
        <f>MAX(0,ROUND(AZ85*(1+'Calc base'!N86),2)-P86)</f>
        <v>0</v>
      </c>
      <c r="BA86">
        <f>MAX(0,ROUND(BA85*(1+'Calc base'!O86),2)-Q86)</f>
        <v>0</v>
      </c>
      <c r="BB86">
        <f>MAX(0,ROUND(BB85*(1+'Calc base'!P86),2)-R86)</f>
        <v>0</v>
      </c>
      <c r="BC86">
        <f>MAX(0,ROUND(BC85*(1+'Calc base'!Q86),2)-S86)</f>
        <v>0</v>
      </c>
      <c r="BD86">
        <f>MAX(0,ROUND(BD85*(1+'Calc base'!R86),2)-T86)</f>
        <v>0</v>
      </c>
      <c r="BE86">
        <f>MAX(0,ROUND(BE85*(1+'Calc base'!S86),2)-U86)</f>
        <v>0</v>
      </c>
    </row>
    <row r="87">
      <c r="A87" t="n">
        <v>57</v>
      </c>
      <c r="B87">
        <f>SUMPRODUCT(ROUND($AT86:$BE86*(1+'Calc base'!$H87:$S87),2))</f>
        <v>1091.28</v>
      </c>
      <c r="C87">
        <f>SUM(J87:U87)</f>
        <v>32.23</v>
      </c>
      <c r="G87">
        <f>SUM(AT87:BE87)</f>
        <v>1059.05</v>
      </c>
      <c r="H87">
        <f>B87-G86</f>
        <v>16.9200000000001</v>
      </c>
      <c r="I87">
        <f>B87-G87</f>
        <v>32.23</v>
      </c>
      <c r="J87">
        <f>IF(AT86&lt;=0,0,IF(ROUND(AT86*(1+'Calc base'!H87),2)-MAX('Calc base'!C$12,ROUND('Calc base'!C$13*AT86,2))&lt;1,ROUND(AT86*(1+'Calc base'!H87),2),MAX('Calc base'!C$12,ROUND('Calc base'!C$13*AT86,2))))</f>
        <v>32.23</v>
      </c>
      <c r="K87">
        <f>IF(AU86&lt;=0,0,IF(ROUND(AU86*(1+'Calc base'!I87),2)-MAX('Calc base'!D$12,ROUND('Calc base'!D$13*AU86,2))&lt;1,ROUND(AU86*(1+'Calc base'!I87),2),MAX('Calc base'!D$12,ROUND('Calc base'!D$13*AU86,2))))</f>
        <v>0</v>
      </c>
      <c r="L87">
        <f>IF(AV86&lt;=0,0,IF(ROUND(AV86*(1+'Calc base'!J87),2)-MAX('Calc base'!E$12,ROUND('Calc base'!E$13*AV86,2))&lt;1,ROUND(AV86*(1+'Calc base'!J87),2),MAX('Calc base'!E$12,ROUND('Calc base'!E$13*AV86,2))))</f>
        <v>0</v>
      </c>
      <c r="M87">
        <f>IF(AW86&lt;=0,0,IF(ROUND(AW86*(1+'Calc base'!K87),2)-MAX('Calc base'!F$12,ROUND('Calc base'!F$13*AW86,2))&lt;1,ROUND(AW86*(1+'Calc base'!K87),2),MAX('Calc base'!F$12,ROUND('Calc base'!F$13*AW86,2))))</f>
        <v>0</v>
      </c>
      <c r="N87">
        <f>IF(AX86&lt;=0,0,IF(ROUND(AX86*(1+'Calc base'!L87),2)-MAX('Calc base'!G$12,ROUND('Calc base'!G$13*AX86,2))&lt;1,ROUND(AX86*(1+'Calc base'!L87),2),MAX('Calc base'!G$12,ROUND('Calc base'!G$13*AX86,2))))</f>
        <v>0</v>
      </c>
      <c r="O87">
        <f>IF(AY86&lt;=0,0,IF(ROUND(AY86*(1+'Calc base'!M87),2)-MAX('Calc base'!H$12,ROUND('Calc base'!H$13*AY86,2))&lt;1,ROUND(AY86*(1+'Calc base'!M87),2),MAX('Calc base'!H$12,ROUND('Calc base'!H$13*AY86,2))))</f>
        <v>0</v>
      </c>
      <c r="P87">
        <f>IF(AZ86&lt;=0,0,IF(ROUND(AZ86*(1+'Calc base'!N87),2)-MAX('Calc base'!I$12,ROUND('Calc base'!I$13*AZ86,2))&lt;1,ROUND(AZ86*(1+'Calc base'!N87),2),MAX('Calc base'!I$12,ROUND('Calc base'!I$13*AZ86,2))))</f>
        <v>0</v>
      </c>
      <c r="Q87">
        <f>IF(BA86&lt;=0,0,IF(ROUND(BA86*(1+'Calc base'!O87),2)-MAX('Calc base'!J$12,ROUND('Calc base'!J$13*BA86,2))&lt;1,ROUND(BA86*(1+'Calc base'!O87),2),MAX('Calc base'!J$12,ROUND('Calc base'!J$13*BA86,2))))</f>
        <v>0</v>
      </c>
      <c r="R87">
        <f>IF(BB86&lt;=0,0,IF(ROUND(BB86*(1+'Calc base'!P87),2)-MAX('Calc base'!K$12,ROUND('Calc base'!K$13*BB86,2))&lt;1,ROUND(BB86*(1+'Calc base'!P87),2),MAX('Calc base'!K$12,ROUND('Calc base'!K$13*BB86,2))))</f>
        <v>0</v>
      </c>
      <c r="S87">
        <f>IF(BC86&lt;=0,0,IF(ROUND(BC86*(1+'Calc base'!Q87),2)-MAX('Calc base'!L$12,ROUND('Calc base'!L$13*BC86,2))&lt;1,ROUND(BC86*(1+'Calc base'!Q87),2),MAX('Calc base'!L$12,ROUND('Calc base'!L$13*BC86,2))))</f>
        <v>0</v>
      </c>
      <c r="T87">
        <f>IF(BD86&lt;=0,0,IF(ROUND(BD86*(1+'Calc base'!R87),2)-MAX('Calc base'!M$12,ROUND('Calc base'!M$13*BD86,2))&lt;1,ROUND(BD86*(1+'Calc base'!R87),2),MAX('Calc base'!M$12,ROUND('Calc base'!M$13*BD86,2))))</f>
        <v>0</v>
      </c>
      <c r="U87">
        <f>IF(BE86&lt;=0,0,IF(ROUND(BE86*(1+'Calc base'!S87),2)-MAX('Calc base'!N$12,ROUND('Calc base'!N$13*BE86,2))&lt;1,ROUND(BE86*(1+'Calc base'!S87),2),MAX('Calc base'!N$12,ROUND('Calc base'!N$13*BE86,2))))</f>
        <v>0</v>
      </c>
      <c r="AT87">
        <f>MAX(0,ROUND(AT86*(1+'Calc base'!H87),2)-J87)</f>
        <v>1059.05</v>
      </c>
      <c r="AU87">
        <f>MAX(0,ROUND(AU86*(1+'Calc base'!I87),2)-K87)</f>
        <v>0</v>
      </c>
      <c r="AV87">
        <f>MAX(0,ROUND(AV86*(1+'Calc base'!J87),2)-L87)</f>
        <v>0</v>
      </c>
      <c r="AW87">
        <f>MAX(0,ROUND(AW86*(1+'Calc base'!K87),2)-M87)</f>
        <v>0</v>
      </c>
      <c r="AX87">
        <f>MAX(0,ROUND(AX86*(1+'Calc base'!L87),2)-N87)</f>
        <v>0</v>
      </c>
      <c r="AY87">
        <f>MAX(0,ROUND(AY86*(1+'Calc base'!M87),2)-O87)</f>
        <v>0</v>
      </c>
      <c r="AZ87">
        <f>MAX(0,ROUND(AZ86*(1+'Calc base'!N87),2)-P87)</f>
        <v>0</v>
      </c>
      <c r="BA87">
        <f>MAX(0,ROUND(BA86*(1+'Calc base'!O87),2)-Q87)</f>
        <v>0</v>
      </c>
      <c r="BB87">
        <f>MAX(0,ROUND(BB86*(1+'Calc base'!P87),2)-R87)</f>
        <v>0</v>
      </c>
      <c r="BC87">
        <f>MAX(0,ROUND(BC86*(1+'Calc base'!Q87),2)-S87)</f>
        <v>0</v>
      </c>
      <c r="BD87">
        <f>MAX(0,ROUND(BD86*(1+'Calc base'!R87),2)-T87)</f>
        <v>0</v>
      </c>
      <c r="BE87">
        <f>MAX(0,ROUND(BE86*(1+'Calc base'!S87),2)-U87)</f>
        <v>0</v>
      </c>
    </row>
    <row r="88">
      <c r="A88" t="n">
        <v>58</v>
      </c>
      <c r="B88">
        <f>SUMPRODUCT(ROUND($AT87:$BE87*(1+'Calc base'!$H88:$S88),2))</f>
        <v>1075.73</v>
      </c>
      <c r="C88">
        <f>SUM(J88:U88)</f>
        <v>31.77</v>
      </c>
      <c r="G88">
        <f>SUM(AT88:BE88)</f>
        <v>1043.96</v>
      </c>
      <c r="H88">
        <f>B88-G87</f>
        <v>16.6800000000001</v>
      </c>
      <c r="I88">
        <f>B88-G88</f>
        <v>31.77</v>
      </c>
      <c r="J88">
        <f>IF(AT87&lt;=0,0,IF(ROUND(AT87*(1+'Calc base'!H88),2)-MAX('Calc base'!C$12,ROUND('Calc base'!C$13*AT87,2))&lt;1,ROUND(AT87*(1+'Calc base'!H88),2),MAX('Calc base'!C$12,ROUND('Calc base'!C$13*AT87,2))))</f>
        <v>31.77</v>
      </c>
      <c r="K88">
        <f>IF(AU87&lt;=0,0,IF(ROUND(AU87*(1+'Calc base'!I88),2)-MAX('Calc base'!D$12,ROUND('Calc base'!D$13*AU87,2))&lt;1,ROUND(AU87*(1+'Calc base'!I88),2),MAX('Calc base'!D$12,ROUND('Calc base'!D$13*AU87,2))))</f>
        <v>0</v>
      </c>
      <c r="L88">
        <f>IF(AV87&lt;=0,0,IF(ROUND(AV87*(1+'Calc base'!J88),2)-MAX('Calc base'!E$12,ROUND('Calc base'!E$13*AV87,2))&lt;1,ROUND(AV87*(1+'Calc base'!J88),2),MAX('Calc base'!E$12,ROUND('Calc base'!E$13*AV87,2))))</f>
        <v>0</v>
      </c>
      <c r="M88">
        <f>IF(AW87&lt;=0,0,IF(ROUND(AW87*(1+'Calc base'!K88),2)-MAX('Calc base'!F$12,ROUND('Calc base'!F$13*AW87,2))&lt;1,ROUND(AW87*(1+'Calc base'!K88),2),MAX('Calc base'!F$12,ROUND('Calc base'!F$13*AW87,2))))</f>
        <v>0</v>
      </c>
      <c r="N88">
        <f>IF(AX87&lt;=0,0,IF(ROUND(AX87*(1+'Calc base'!L88),2)-MAX('Calc base'!G$12,ROUND('Calc base'!G$13*AX87,2))&lt;1,ROUND(AX87*(1+'Calc base'!L88),2),MAX('Calc base'!G$12,ROUND('Calc base'!G$13*AX87,2))))</f>
        <v>0</v>
      </c>
      <c r="O88">
        <f>IF(AY87&lt;=0,0,IF(ROUND(AY87*(1+'Calc base'!M88),2)-MAX('Calc base'!H$12,ROUND('Calc base'!H$13*AY87,2))&lt;1,ROUND(AY87*(1+'Calc base'!M88),2),MAX('Calc base'!H$12,ROUND('Calc base'!H$13*AY87,2))))</f>
        <v>0</v>
      </c>
      <c r="P88">
        <f>IF(AZ87&lt;=0,0,IF(ROUND(AZ87*(1+'Calc base'!N88),2)-MAX('Calc base'!I$12,ROUND('Calc base'!I$13*AZ87,2))&lt;1,ROUND(AZ87*(1+'Calc base'!N88),2),MAX('Calc base'!I$12,ROUND('Calc base'!I$13*AZ87,2))))</f>
        <v>0</v>
      </c>
      <c r="Q88">
        <f>IF(BA87&lt;=0,0,IF(ROUND(BA87*(1+'Calc base'!O88),2)-MAX('Calc base'!J$12,ROUND('Calc base'!J$13*BA87,2))&lt;1,ROUND(BA87*(1+'Calc base'!O88),2),MAX('Calc base'!J$12,ROUND('Calc base'!J$13*BA87,2))))</f>
        <v>0</v>
      </c>
      <c r="R88">
        <f>IF(BB87&lt;=0,0,IF(ROUND(BB87*(1+'Calc base'!P88),2)-MAX('Calc base'!K$12,ROUND('Calc base'!K$13*BB87,2))&lt;1,ROUND(BB87*(1+'Calc base'!P88),2),MAX('Calc base'!K$12,ROUND('Calc base'!K$13*BB87,2))))</f>
        <v>0</v>
      </c>
      <c r="S88">
        <f>IF(BC87&lt;=0,0,IF(ROUND(BC87*(1+'Calc base'!Q88),2)-MAX('Calc base'!L$12,ROUND('Calc base'!L$13*BC87,2))&lt;1,ROUND(BC87*(1+'Calc base'!Q88),2),MAX('Calc base'!L$12,ROUND('Calc base'!L$13*BC87,2))))</f>
        <v>0</v>
      </c>
      <c r="T88">
        <f>IF(BD87&lt;=0,0,IF(ROUND(BD87*(1+'Calc base'!R88),2)-MAX('Calc base'!M$12,ROUND('Calc base'!M$13*BD87,2))&lt;1,ROUND(BD87*(1+'Calc base'!R88),2),MAX('Calc base'!M$12,ROUND('Calc base'!M$13*BD87,2))))</f>
        <v>0</v>
      </c>
      <c r="U88">
        <f>IF(BE87&lt;=0,0,IF(ROUND(BE87*(1+'Calc base'!S88),2)-MAX('Calc base'!N$12,ROUND('Calc base'!N$13*BE87,2))&lt;1,ROUND(BE87*(1+'Calc base'!S88),2),MAX('Calc base'!N$12,ROUND('Calc base'!N$13*BE87,2))))</f>
        <v>0</v>
      </c>
      <c r="AT88">
        <f>MAX(0,ROUND(AT87*(1+'Calc base'!H88),2)-J88)</f>
        <v>1043.96</v>
      </c>
      <c r="AU88">
        <f>MAX(0,ROUND(AU87*(1+'Calc base'!I88),2)-K88)</f>
        <v>0</v>
      </c>
      <c r="AV88">
        <f>MAX(0,ROUND(AV87*(1+'Calc base'!J88),2)-L88)</f>
        <v>0</v>
      </c>
      <c r="AW88">
        <f>MAX(0,ROUND(AW87*(1+'Calc base'!K88),2)-M88)</f>
        <v>0</v>
      </c>
      <c r="AX88">
        <f>MAX(0,ROUND(AX87*(1+'Calc base'!L88),2)-N88)</f>
        <v>0</v>
      </c>
      <c r="AY88">
        <f>MAX(0,ROUND(AY87*(1+'Calc base'!M88),2)-O88)</f>
        <v>0</v>
      </c>
      <c r="AZ88">
        <f>MAX(0,ROUND(AZ87*(1+'Calc base'!N88),2)-P88)</f>
        <v>0</v>
      </c>
      <c r="BA88">
        <f>MAX(0,ROUND(BA87*(1+'Calc base'!O88),2)-Q88)</f>
        <v>0</v>
      </c>
      <c r="BB88">
        <f>MAX(0,ROUND(BB87*(1+'Calc base'!P88),2)-R88)</f>
        <v>0</v>
      </c>
      <c r="BC88">
        <f>MAX(0,ROUND(BC87*(1+'Calc base'!Q88),2)-S88)</f>
        <v>0</v>
      </c>
      <c r="BD88">
        <f>MAX(0,ROUND(BD87*(1+'Calc base'!R88),2)-T88)</f>
        <v>0</v>
      </c>
      <c r="BE88">
        <f>MAX(0,ROUND(BE87*(1+'Calc base'!S88),2)-U88)</f>
        <v>0</v>
      </c>
    </row>
    <row r="89">
      <c r="A89" t="n">
        <v>59</v>
      </c>
      <c r="B89">
        <f>SUMPRODUCT(ROUND($AT88:$BE88*(1+'Calc base'!$H89:$S89),2))</f>
        <v>1060.4</v>
      </c>
      <c r="C89">
        <f>SUM(J89:U89)</f>
        <v>31.32</v>
      </c>
      <c r="G89">
        <f>SUM(AT89:BE89)</f>
        <v>1029.08</v>
      </c>
      <c r="H89">
        <f>B89-G88</f>
        <v>16.4400000000001</v>
      </c>
      <c r="I89">
        <f>B89-G89</f>
        <v>31.3199999999999</v>
      </c>
      <c r="J89">
        <f>IF(AT88&lt;=0,0,IF(ROUND(AT88*(1+'Calc base'!H89),2)-MAX('Calc base'!C$12,ROUND('Calc base'!C$13*AT88,2))&lt;1,ROUND(AT88*(1+'Calc base'!H89),2),MAX('Calc base'!C$12,ROUND('Calc base'!C$13*AT88,2))))</f>
        <v>31.32</v>
      </c>
      <c r="K89">
        <f>IF(AU88&lt;=0,0,IF(ROUND(AU88*(1+'Calc base'!I89),2)-MAX('Calc base'!D$12,ROUND('Calc base'!D$13*AU88,2))&lt;1,ROUND(AU88*(1+'Calc base'!I89),2),MAX('Calc base'!D$12,ROUND('Calc base'!D$13*AU88,2))))</f>
        <v>0</v>
      </c>
      <c r="L89">
        <f>IF(AV88&lt;=0,0,IF(ROUND(AV88*(1+'Calc base'!J89),2)-MAX('Calc base'!E$12,ROUND('Calc base'!E$13*AV88,2))&lt;1,ROUND(AV88*(1+'Calc base'!J89),2),MAX('Calc base'!E$12,ROUND('Calc base'!E$13*AV88,2))))</f>
        <v>0</v>
      </c>
      <c r="M89">
        <f>IF(AW88&lt;=0,0,IF(ROUND(AW88*(1+'Calc base'!K89),2)-MAX('Calc base'!F$12,ROUND('Calc base'!F$13*AW88,2))&lt;1,ROUND(AW88*(1+'Calc base'!K89),2),MAX('Calc base'!F$12,ROUND('Calc base'!F$13*AW88,2))))</f>
        <v>0</v>
      </c>
      <c r="N89">
        <f>IF(AX88&lt;=0,0,IF(ROUND(AX88*(1+'Calc base'!L89),2)-MAX('Calc base'!G$12,ROUND('Calc base'!G$13*AX88,2))&lt;1,ROUND(AX88*(1+'Calc base'!L89),2),MAX('Calc base'!G$12,ROUND('Calc base'!G$13*AX88,2))))</f>
        <v>0</v>
      </c>
      <c r="O89">
        <f>IF(AY88&lt;=0,0,IF(ROUND(AY88*(1+'Calc base'!M89),2)-MAX('Calc base'!H$12,ROUND('Calc base'!H$13*AY88,2))&lt;1,ROUND(AY88*(1+'Calc base'!M89),2),MAX('Calc base'!H$12,ROUND('Calc base'!H$13*AY88,2))))</f>
        <v>0</v>
      </c>
      <c r="P89">
        <f>IF(AZ88&lt;=0,0,IF(ROUND(AZ88*(1+'Calc base'!N89),2)-MAX('Calc base'!I$12,ROUND('Calc base'!I$13*AZ88,2))&lt;1,ROUND(AZ88*(1+'Calc base'!N89),2),MAX('Calc base'!I$12,ROUND('Calc base'!I$13*AZ88,2))))</f>
        <v>0</v>
      </c>
      <c r="Q89">
        <f>IF(BA88&lt;=0,0,IF(ROUND(BA88*(1+'Calc base'!O89),2)-MAX('Calc base'!J$12,ROUND('Calc base'!J$13*BA88,2))&lt;1,ROUND(BA88*(1+'Calc base'!O89),2),MAX('Calc base'!J$12,ROUND('Calc base'!J$13*BA88,2))))</f>
        <v>0</v>
      </c>
      <c r="R89">
        <f>IF(BB88&lt;=0,0,IF(ROUND(BB88*(1+'Calc base'!P89),2)-MAX('Calc base'!K$12,ROUND('Calc base'!K$13*BB88,2))&lt;1,ROUND(BB88*(1+'Calc base'!P89),2),MAX('Calc base'!K$12,ROUND('Calc base'!K$13*BB88,2))))</f>
        <v>0</v>
      </c>
      <c r="S89">
        <f>IF(BC88&lt;=0,0,IF(ROUND(BC88*(1+'Calc base'!Q89),2)-MAX('Calc base'!L$12,ROUND('Calc base'!L$13*BC88,2))&lt;1,ROUND(BC88*(1+'Calc base'!Q89),2),MAX('Calc base'!L$12,ROUND('Calc base'!L$13*BC88,2))))</f>
        <v>0</v>
      </c>
      <c r="T89">
        <f>IF(BD88&lt;=0,0,IF(ROUND(BD88*(1+'Calc base'!R89),2)-MAX('Calc base'!M$12,ROUND('Calc base'!M$13*BD88,2))&lt;1,ROUND(BD88*(1+'Calc base'!R89),2),MAX('Calc base'!M$12,ROUND('Calc base'!M$13*BD88,2))))</f>
        <v>0</v>
      </c>
      <c r="U89">
        <f>IF(BE88&lt;=0,0,IF(ROUND(BE88*(1+'Calc base'!S89),2)-MAX('Calc base'!N$12,ROUND('Calc base'!N$13*BE88,2))&lt;1,ROUND(BE88*(1+'Calc base'!S89),2),MAX('Calc base'!N$12,ROUND('Calc base'!N$13*BE88,2))))</f>
        <v>0</v>
      </c>
      <c r="AT89">
        <f>MAX(0,ROUND(AT88*(1+'Calc base'!H89),2)-J89)</f>
        <v>1029.08</v>
      </c>
      <c r="AU89">
        <f>MAX(0,ROUND(AU88*(1+'Calc base'!I89),2)-K89)</f>
        <v>0</v>
      </c>
      <c r="AV89">
        <f>MAX(0,ROUND(AV88*(1+'Calc base'!J89),2)-L89)</f>
        <v>0</v>
      </c>
      <c r="AW89">
        <f>MAX(0,ROUND(AW88*(1+'Calc base'!K89),2)-M89)</f>
        <v>0</v>
      </c>
      <c r="AX89">
        <f>MAX(0,ROUND(AX88*(1+'Calc base'!L89),2)-N89)</f>
        <v>0</v>
      </c>
      <c r="AY89">
        <f>MAX(0,ROUND(AY88*(1+'Calc base'!M89),2)-O89)</f>
        <v>0</v>
      </c>
      <c r="AZ89">
        <f>MAX(0,ROUND(AZ88*(1+'Calc base'!N89),2)-P89)</f>
        <v>0</v>
      </c>
      <c r="BA89">
        <f>MAX(0,ROUND(BA88*(1+'Calc base'!O89),2)-Q89)</f>
        <v>0</v>
      </c>
      <c r="BB89">
        <f>MAX(0,ROUND(BB88*(1+'Calc base'!P89),2)-R89)</f>
        <v>0</v>
      </c>
      <c r="BC89">
        <f>MAX(0,ROUND(BC88*(1+'Calc base'!Q89),2)-S89)</f>
        <v>0</v>
      </c>
      <c r="BD89">
        <f>MAX(0,ROUND(BD88*(1+'Calc base'!R89),2)-T89)</f>
        <v>0</v>
      </c>
      <c r="BE89">
        <f>MAX(0,ROUND(BE88*(1+'Calc base'!S89),2)-U89)</f>
        <v>0</v>
      </c>
    </row>
    <row r="90">
      <c r="A90" t="n">
        <v>60</v>
      </c>
      <c r="B90">
        <f>SUMPRODUCT(ROUND($AT89:$BE89*(1+'Calc base'!$H90:$S90),2))</f>
        <v>1045.29</v>
      </c>
      <c r="C90">
        <f>SUM(J90:U90)</f>
        <v>30.87</v>
      </c>
      <c r="G90">
        <f>SUM(AT90:BE90)</f>
        <v>1014.42</v>
      </c>
      <c r="H90">
        <f>B90-G89</f>
        <v>16.2099999999998</v>
      </c>
      <c r="I90">
        <f>B90-G90</f>
        <v>30.87</v>
      </c>
      <c r="J90">
        <f>IF(AT89&lt;=0,0,IF(ROUND(AT89*(1+'Calc base'!H90),2)-MAX('Calc base'!C$12,ROUND('Calc base'!C$13*AT89,2))&lt;1,ROUND(AT89*(1+'Calc base'!H90),2),MAX('Calc base'!C$12,ROUND('Calc base'!C$13*AT89,2))))</f>
        <v>30.87</v>
      </c>
      <c r="K90">
        <f>IF(AU89&lt;=0,0,IF(ROUND(AU89*(1+'Calc base'!I90),2)-MAX('Calc base'!D$12,ROUND('Calc base'!D$13*AU89,2))&lt;1,ROUND(AU89*(1+'Calc base'!I90),2),MAX('Calc base'!D$12,ROUND('Calc base'!D$13*AU89,2))))</f>
        <v>0</v>
      </c>
      <c r="L90">
        <f>IF(AV89&lt;=0,0,IF(ROUND(AV89*(1+'Calc base'!J90),2)-MAX('Calc base'!E$12,ROUND('Calc base'!E$13*AV89,2))&lt;1,ROUND(AV89*(1+'Calc base'!J90),2),MAX('Calc base'!E$12,ROUND('Calc base'!E$13*AV89,2))))</f>
        <v>0</v>
      </c>
      <c r="M90">
        <f>IF(AW89&lt;=0,0,IF(ROUND(AW89*(1+'Calc base'!K90),2)-MAX('Calc base'!F$12,ROUND('Calc base'!F$13*AW89,2))&lt;1,ROUND(AW89*(1+'Calc base'!K90),2),MAX('Calc base'!F$12,ROUND('Calc base'!F$13*AW89,2))))</f>
        <v>0</v>
      </c>
      <c r="N90">
        <f>IF(AX89&lt;=0,0,IF(ROUND(AX89*(1+'Calc base'!L90),2)-MAX('Calc base'!G$12,ROUND('Calc base'!G$13*AX89,2))&lt;1,ROUND(AX89*(1+'Calc base'!L90),2),MAX('Calc base'!G$12,ROUND('Calc base'!G$13*AX89,2))))</f>
        <v>0</v>
      </c>
      <c r="O90">
        <f>IF(AY89&lt;=0,0,IF(ROUND(AY89*(1+'Calc base'!M90),2)-MAX('Calc base'!H$12,ROUND('Calc base'!H$13*AY89,2))&lt;1,ROUND(AY89*(1+'Calc base'!M90),2),MAX('Calc base'!H$12,ROUND('Calc base'!H$13*AY89,2))))</f>
        <v>0</v>
      </c>
      <c r="P90">
        <f>IF(AZ89&lt;=0,0,IF(ROUND(AZ89*(1+'Calc base'!N90),2)-MAX('Calc base'!I$12,ROUND('Calc base'!I$13*AZ89,2))&lt;1,ROUND(AZ89*(1+'Calc base'!N90),2),MAX('Calc base'!I$12,ROUND('Calc base'!I$13*AZ89,2))))</f>
        <v>0</v>
      </c>
      <c r="Q90">
        <f>IF(BA89&lt;=0,0,IF(ROUND(BA89*(1+'Calc base'!O90),2)-MAX('Calc base'!J$12,ROUND('Calc base'!J$13*BA89,2))&lt;1,ROUND(BA89*(1+'Calc base'!O90),2),MAX('Calc base'!J$12,ROUND('Calc base'!J$13*BA89,2))))</f>
        <v>0</v>
      </c>
      <c r="R90">
        <f>IF(BB89&lt;=0,0,IF(ROUND(BB89*(1+'Calc base'!P90),2)-MAX('Calc base'!K$12,ROUND('Calc base'!K$13*BB89,2))&lt;1,ROUND(BB89*(1+'Calc base'!P90),2),MAX('Calc base'!K$12,ROUND('Calc base'!K$13*BB89,2))))</f>
        <v>0</v>
      </c>
      <c r="S90">
        <f>IF(BC89&lt;=0,0,IF(ROUND(BC89*(1+'Calc base'!Q90),2)-MAX('Calc base'!L$12,ROUND('Calc base'!L$13*BC89,2))&lt;1,ROUND(BC89*(1+'Calc base'!Q90),2),MAX('Calc base'!L$12,ROUND('Calc base'!L$13*BC89,2))))</f>
        <v>0</v>
      </c>
      <c r="T90">
        <f>IF(BD89&lt;=0,0,IF(ROUND(BD89*(1+'Calc base'!R90),2)-MAX('Calc base'!M$12,ROUND('Calc base'!M$13*BD89,2))&lt;1,ROUND(BD89*(1+'Calc base'!R90),2),MAX('Calc base'!M$12,ROUND('Calc base'!M$13*BD89,2))))</f>
        <v>0</v>
      </c>
      <c r="U90">
        <f>IF(BE89&lt;=0,0,IF(ROUND(BE89*(1+'Calc base'!S90),2)-MAX('Calc base'!N$12,ROUND('Calc base'!N$13*BE89,2))&lt;1,ROUND(BE89*(1+'Calc base'!S90),2),MAX('Calc base'!N$12,ROUND('Calc base'!N$13*BE89,2))))</f>
        <v>0</v>
      </c>
      <c r="AT90">
        <f>MAX(0,ROUND(AT89*(1+'Calc base'!H90),2)-J90)</f>
        <v>1014.42</v>
      </c>
      <c r="AU90">
        <f>MAX(0,ROUND(AU89*(1+'Calc base'!I90),2)-K90)</f>
        <v>0</v>
      </c>
      <c r="AV90">
        <f>MAX(0,ROUND(AV89*(1+'Calc base'!J90),2)-L90)</f>
        <v>0</v>
      </c>
      <c r="AW90">
        <f>MAX(0,ROUND(AW89*(1+'Calc base'!K90),2)-M90)</f>
        <v>0</v>
      </c>
      <c r="AX90">
        <f>MAX(0,ROUND(AX89*(1+'Calc base'!L90),2)-N90)</f>
        <v>0</v>
      </c>
      <c r="AY90">
        <f>MAX(0,ROUND(AY89*(1+'Calc base'!M90),2)-O90)</f>
        <v>0</v>
      </c>
      <c r="AZ90">
        <f>MAX(0,ROUND(AZ89*(1+'Calc base'!N90),2)-P90)</f>
        <v>0</v>
      </c>
      <c r="BA90">
        <f>MAX(0,ROUND(BA89*(1+'Calc base'!O90),2)-Q90)</f>
        <v>0</v>
      </c>
      <c r="BB90">
        <f>MAX(0,ROUND(BB89*(1+'Calc base'!P90),2)-R90)</f>
        <v>0</v>
      </c>
      <c r="BC90">
        <f>MAX(0,ROUND(BC89*(1+'Calc base'!Q90),2)-S90)</f>
        <v>0</v>
      </c>
      <c r="BD90">
        <f>MAX(0,ROUND(BD89*(1+'Calc base'!R90),2)-T90)</f>
        <v>0</v>
      </c>
      <c r="BE90">
        <f>MAX(0,ROUND(BE89*(1+'Calc base'!S90),2)-U90)</f>
        <v>0</v>
      </c>
    </row>
    <row r="91">
      <c r="A91" t="n">
        <v>61</v>
      </c>
      <c r="B91">
        <f>SUMPRODUCT(ROUND($AT90:$BE90*(1+'Calc base'!$H91:$S91),2))</f>
        <v>1030.4</v>
      </c>
      <c r="C91">
        <f>SUM(J91:U91)</f>
        <v>30.43</v>
      </c>
      <c r="G91">
        <f>SUM(AT91:BE91)</f>
        <v>999.97</v>
      </c>
      <c r="H91">
        <f>B91-G90</f>
        <v>15.9800000000001</v>
      </c>
      <c r="I91">
        <f>B91-G91</f>
        <v>30.43</v>
      </c>
      <c r="J91">
        <f>IF(AT90&lt;=0,0,IF(ROUND(AT90*(1+'Calc base'!H91),2)-MAX('Calc base'!C$12,ROUND('Calc base'!C$13*AT90,2))&lt;1,ROUND(AT90*(1+'Calc base'!H91),2),MAX('Calc base'!C$12,ROUND('Calc base'!C$13*AT90,2))))</f>
        <v>30.43</v>
      </c>
      <c r="K91">
        <f>IF(AU90&lt;=0,0,IF(ROUND(AU90*(1+'Calc base'!I91),2)-MAX('Calc base'!D$12,ROUND('Calc base'!D$13*AU90,2))&lt;1,ROUND(AU90*(1+'Calc base'!I91),2),MAX('Calc base'!D$12,ROUND('Calc base'!D$13*AU90,2))))</f>
        <v>0</v>
      </c>
      <c r="L91">
        <f>IF(AV90&lt;=0,0,IF(ROUND(AV90*(1+'Calc base'!J91),2)-MAX('Calc base'!E$12,ROUND('Calc base'!E$13*AV90,2))&lt;1,ROUND(AV90*(1+'Calc base'!J91),2),MAX('Calc base'!E$12,ROUND('Calc base'!E$13*AV90,2))))</f>
        <v>0</v>
      </c>
      <c r="M91">
        <f>IF(AW90&lt;=0,0,IF(ROUND(AW90*(1+'Calc base'!K91),2)-MAX('Calc base'!F$12,ROUND('Calc base'!F$13*AW90,2))&lt;1,ROUND(AW90*(1+'Calc base'!K91),2),MAX('Calc base'!F$12,ROUND('Calc base'!F$13*AW90,2))))</f>
        <v>0</v>
      </c>
      <c r="N91">
        <f>IF(AX90&lt;=0,0,IF(ROUND(AX90*(1+'Calc base'!L91),2)-MAX('Calc base'!G$12,ROUND('Calc base'!G$13*AX90,2))&lt;1,ROUND(AX90*(1+'Calc base'!L91),2),MAX('Calc base'!G$12,ROUND('Calc base'!G$13*AX90,2))))</f>
        <v>0</v>
      </c>
      <c r="O91">
        <f>IF(AY90&lt;=0,0,IF(ROUND(AY90*(1+'Calc base'!M91),2)-MAX('Calc base'!H$12,ROUND('Calc base'!H$13*AY90,2))&lt;1,ROUND(AY90*(1+'Calc base'!M91),2),MAX('Calc base'!H$12,ROUND('Calc base'!H$13*AY90,2))))</f>
        <v>0</v>
      </c>
      <c r="P91">
        <f>IF(AZ90&lt;=0,0,IF(ROUND(AZ90*(1+'Calc base'!N91),2)-MAX('Calc base'!I$12,ROUND('Calc base'!I$13*AZ90,2))&lt;1,ROUND(AZ90*(1+'Calc base'!N91),2),MAX('Calc base'!I$12,ROUND('Calc base'!I$13*AZ90,2))))</f>
        <v>0</v>
      </c>
      <c r="Q91">
        <f>IF(BA90&lt;=0,0,IF(ROUND(BA90*(1+'Calc base'!O91),2)-MAX('Calc base'!J$12,ROUND('Calc base'!J$13*BA90,2))&lt;1,ROUND(BA90*(1+'Calc base'!O91),2),MAX('Calc base'!J$12,ROUND('Calc base'!J$13*BA90,2))))</f>
        <v>0</v>
      </c>
      <c r="R91">
        <f>IF(BB90&lt;=0,0,IF(ROUND(BB90*(1+'Calc base'!P91),2)-MAX('Calc base'!K$12,ROUND('Calc base'!K$13*BB90,2))&lt;1,ROUND(BB90*(1+'Calc base'!P91),2),MAX('Calc base'!K$12,ROUND('Calc base'!K$13*BB90,2))))</f>
        <v>0</v>
      </c>
      <c r="S91">
        <f>IF(BC90&lt;=0,0,IF(ROUND(BC90*(1+'Calc base'!Q91),2)-MAX('Calc base'!L$12,ROUND('Calc base'!L$13*BC90,2))&lt;1,ROUND(BC90*(1+'Calc base'!Q91),2),MAX('Calc base'!L$12,ROUND('Calc base'!L$13*BC90,2))))</f>
        <v>0</v>
      </c>
      <c r="T91">
        <f>IF(BD90&lt;=0,0,IF(ROUND(BD90*(1+'Calc base'!R91),2)-MAX('Calc base'!M$12,ROUND('Calc base'!M$13*BD90,2))&lt;1,ROUND(BD90*(1+'Calc base'!R91),2),MAX('Calc base'!M$12,ROUND('Calc base'!M$13*BD90,2))))</f>
        <v>0</v>
      </c>
      <c r="U91">
        <f>IF(BE90&lt;=0,0,IF(ROUND(BE90*(1+'Calc base'!S91),2)-MAX('Calc base'!N$12,ROUND('Calc base'!N$13*BE90,2))&lt;1,ROUND(BE90*(1+'Calc base'!S91),2),MAX('Calc base'!N$12,ROUND('Calc base'!N$13*BE90,2))))</f>
        <v>0</v>
      </c>
      <c r="AT91">
        <f>MAX(0,ROUND(AT90*(1+'Calc base'!H91),2)-J91)</f>
        <v>999.97</v>
      </c>
      <c r="AU91">
        <f>MAX(0,ROUND(AU90*(1+'Calc base'!I91),2)-K91)</f>
        <v>0</v>
      </c>
      <c r="AV91">
        <f>MAX(0,ROUND(AV90*(1+'Calc base'!J91),2)-L91)</f>
        <v>0</v>
      </c>
      <c r="AW91">
        <f>MAX(0,ROUND(AW90*(1+'Calc base'!K91),2)-M91)</f>
        <v>0</v>
      </c>
      <c r="AX91">
        <f>MAX(0,ROUND(AX90*(1+'Calc base'!L91),2)-N91)</f>
        <v>0</v>
      </c>
      <c r="AY91">
        <f>MAX(0,ROUND(AY90*(1+'Calc base'!M91),2)-O91)</f>
        <v>0</v>
      </c>
      <c r="AZ91">
        <f>MAX(0,ROUND(AZ90*(1+'Calc base'!N91),2)-P91)</f>
        <v>0</v>
      </c>
      <c r="BA91">
        <f>MAX(0,ROUND(BA90*(1+'Calc base'!O91),2)-Q91)</f>
        <v>0</v>
      </c>
      <c r="BB91">
        <f>MAX(0,ROUND(BB90*(1+'Calc base'!P91),2)-R91)</f>
        <v>0</v>
      </c>
      <c r="BC91">
        <f>MAX(0,ROUND(BC90*(1+'Calc base'!Q91),2)-S91)</f>
        <v>0</v>
      </c>
      <c r="BD91">
        <f>MAX(0,ROUND(BD90*(1+'Calc base'!R91),2)-T91)</f>
        <v>0</v>
      </c>
      <c r="BE91">
        <f>MAX(0,ROUND(BE90*(1+'Calc base'!S91),2)-U91)</f>
        <v>0</v>
      </c>
    </row>
    <row r="92">
      <c r="A92" t="n">
        <v>62</v>
      </c>
      <c r="B92">
        <f>SUMPRODUCT(ROUND($AT91:$BE91*(1+'Calc base'!$H92:$S92),2))</f>
        <v>1015.72</v>
      </c>
      <c r="C92">
        <f>SUM(J92:U92)</f>
        <v>30</v>
      </c>
      <c r="G92">
        <f>SUM(AT92:BE92)</f>
        <v>985.72</v>
      </c>
      <c r="H92">
        <f>B92-G91</f>
        <v>15.7499999999999</v>
      </c>
      <c r="I92">
        <f>B92-G92</f>
        <v>30</v>
      </c>
      <c r="J92">
        <f>IF(AT91&lt;=0,0,IF(ROUND(AT91*(1+'Calc base'!H92),2)-MAX('Calc base'!C$12,ROUND('Calc base'!C$13*AT91,2))&lt;1,ROUND(AT91*(1+'Calc base'!H92),2),MAX('Calc base'!C$12,ROUND('Calc base'!C$13*AT91,2))))</f>
        <v>30</v>
      </c>
      <c r="K92">
        <f>IF(AU91&lt;=0,0,IF(ROUND(AU91*(1+'Calc base'!I92),2)-MAX('Calc base'!D$12,ROUND('Calc base'!D$13*AU91,2))&lt;1,ROUND(AU91*(1+'Calc base'!I92),2),MAX('Calc base'!D$12,ROUND('Calc base'!D$13*AU91,2))))</f>
        <v>0</v>
      </c>
      <c r="L92">
        <f>IF(AV91&lt;=0,0,IF(ROUND(AV91*(1+'Calc base'!J92),2)-MAX('Calc base'!E$12,ROUND('Calc base'!E$13*AV91,2))&lt;1,ROUND(AV91*(1+'Calc base'!J92),2),MAX('Calc base'!E$12,ROUND('Calc base'!E$13*AV91,2))))</f>
        <v>0</v>
      </c>
      <c r="M92">
        <f>IF(AW91&lt;=0,0,IF(ROUND(AW91*(1+'Calc base'!K92),2)-MAX('Calc base'!F$12,ROUND('Calc base'!F$13*AW91,2))&lt;1,ROUND(AW91*(1+'Calc base'!K92),2),MAX('Calc base'!F$12,ROUND('Calc base'!F$13*AW91,2))))</f>
        <v>0</v>
      </c>
      <c r="N92">
        <f>IF(AX91&lt;=0,0,IF(ROUND(AX91*(1+'Calc base'!L92),2)-MAX('Calc base'!G$12,ROUND('Calc base'!G$13*AX91,2))&lt;1,ROUND(AX91*(1+'Calc base'!L92),2),MAX('Calc base'!G$12,ROUND('Calc base'!G$13*AX91,2))))</f>
        <v>0</v>
      </c>
      <c r="O92">
        <f>IF(AY91&lt;=0,0,IF(ROUND(AY91*(1+'Calc base'!M92),2)-MAX('Calc base'!H$12,ROUND('Calc base'!H$13*AY91,2))&lt;1,ROUND(AY91*(1+'Calc base'!M92),2),MAX('Calc base'!H$12,ROUND('Calc base'!H$13*AY91,2))))</f>
        <v>0</v>
      </c>
      <c r="P92">
        <f>IF(AZ91&lt;=0,0,IF(ROUND(AZ91*(1+'Calc base'!N92),2)-MAX('Calc base'!I$12,ROUND('Calc base'!I$13*AZ91,2))&lt;1,ROUND(AZ91*(1+'Calc base'!N92),2),MAX('Calc base'!I$12,ROUND('Calc base'!I$13*AZ91,2))))</f>
        <v>0</v>
      </c>
      <c r="Q92">
        <f>IF(BA91&lt;=0,0,IF(ROUND(BA91*(1+'Calc base'!O92),2)-MAX('Calc base'!J$12,ROUND('Calc base'!J$13*BA91,2))&lt;1,ROUND(BA91*(1+'Calc base'!O92),2),MAX('Calc base'!J$12,ROUND('Calc base'!J$13*BA91,2))))</f>
        <v>0</v>
      </c>
      <c r="R92">
        <f>IF(BB91&lt;=0,0,IF(ROUND(BB91*(1+'Calc base'!P92),2)-MAX('Calc base'!K$12,ROUND('Calc base'!K$13*BB91,2))&lt;1,ROUND(BB91*(1+'Calc base'!P92),2),MAX('Calc base'!K$12,ROUND('Calc base'!K$13*BB91,2))))</f>
        <v>0</v>
      </c>
      <c r="S92">
        <f>IF(BC91&lt;=0,0,IF(ROUND(BC91*(1+'Calc base'!Q92),2)-MAX('Calc base'!L$12,ROUND('Calc base'!L$13*BC91,2))&lt;1,ROUND(BC91*(1+'Calc base'!Q92),2),MAX('Calc base'!L$12,ROUND('Calc base'!L$13*BC91,2))))</f>
        <v>0</v>
      </c>
      <c r="T92">
        <f>IF(BD91&lt;=0,0,IF(ROUND(BD91*(1+'Calc base'!R92),2)-MAX('Calc base'!M$12,ROUND('Calc base'!M$13*BD91,2))&lt;1,ROUND(BD91*(1+'Calc base'!R92),2),MAX('Calc base'!M$12,ROUND('Calc base'!M$13*BD91,2))))</f>
        <v>0</v>
      </c>
      <c r="U92">
        <f>IF(BE91&lt;=0,0,IF(ROUND(BE91*(1+'Calc base'!S92),2)-MAX('Calc base'!N$12,ROUND('Calc base'!N$13*BE91,2))&lt;1,ROUND(BE91*(1+'Calc base'!S92),2),MAX('Calc base'!N$12,ROUND('Calc base'!N$13*BE91,2))))</f>
        <v>0</v>
      </c>
      <c r="AT92">
        <f>MAX(0,ROUND(AT91*(1+'Calc base'!H92),2)-J92)</f>
        <v>985.72</v>
      </c>
      <c r="AU92">
        <f>MAX(0,ROUND(AU91*(1+'Calc base'!I92),2)-K92)</f>
        <v>0</v>
      </c>
      <c r="AV92">
        <f>MAX(0,ROUND(AV91*(1+'Calc base'!J92),2)-L92)</f>
        <v>0</v>
      </c>
      <c r="AW92">
        <f>MAX(0,ROUND(AW91*(1+'Calc base'!K92),2)-M92)</f>
        <v>0</v>
      </c>
      <c r="AX92">
        <f>MAX(0,ROUND(AX91*(1+'Calc base'!L92),2)-N92)</f>
        <v>0</v>
      </c>
      <c r="AY92">
        <f>MAX(0,ROUND(AY91*(1+'Calc base'!M92),2)-O92)</f>
        <v>0</v>
      </c>
      <c r="AZ92">
        <f>MAX(0,ROUND(AZ91*(1+'Calc base'!N92),2)-P92)</f>
        <v>0</v>
      </c>
      <c r="BA92">
        <f>MAX(0,ROUND(BA91*(1+'Calc base'!O92),2)-Q92)</f>
        <v>0</v>
      </c>
      <c r="BB92">
        <f>MAX(0,ROUND(BB91*(1+'Calc base'!P92),2)-R92)</f>
        <v>0</v>
      </c>
      <c r="BC92">
        <f>MAX(0,ROUND(BC91*(1+'Calc base'!Q92),2)-S92)</f>
        <v>0</v>
      </c>
      <c r="BD92">
        <f>MAX(0,ROUND(BD91*(1+'Calc base'!R92),2)-T92)</f>
        <v>0</v>
      </c>
      <c r="BE92">
        <f>MAX(0,ROUND(BE91*(1+'Calc base'!S92),2)-U92)</f>
        <v>0</v>
      </c>
    </row>
    <row r="93">
      <c r="A93" t="n">
        <v>63</v>
      </c>
      <c r="B93">
        <f>SUMPRODUCT(ROUND($AT92:$BE92*(1+'Calc base'!$H93:$S93),2))</f>
        <v>1001.25</v>
      </c>
      <c r="C93">
        <f>SUM(J93:U93)</f>
        <v>30</v>
      </c>
      <c r="G93">
        <f>SUM(AT93:BE93)</f>
        <v>971.25</v>
      </c>
      <c r="H93">
        <f>B93-G92</f>
        <v>15.53</v>
      </c>
      <c r="I93">
        <f>B93-G93</f>
        <v>30</v>
      </c>
      <c r="J93">
        <f>IF(AT92&lt;=0,0,IF(ROUND(AT92*(1+'Calc base'!H93),2)-MAX('Calc base'!C$12,ROUND('Calc base'!C$13*AT92,2))&lt;1,ROUND(AT92*(1+'Calc base'!H93),2),MAX('Calc base'!C$12,ROUND('Calc base'!C$13*AT92,2))))</f>
        <v>30</v>
      </c>
      <c r="K93">
        <f>IF(AU92&lt;=0,0,IF(ROUND(AU92*(1+'Calc base'!I93),2)-MAX('Calc base'!D$12,ROUND('Calc base'!D$13*AU92,2))&lt;1,ROUND(AU92*(1+'Calc base'!I93),2),MAX('Calc base'!D$12,ROUND('Calc base'!D$13*AU92,2))))</f>
        <v>0</v>
      </c>
      <c r="L93">
        <f>IF(AV92&lt;=0,0,IF(ROUND(AV92*(1+'Calc base'!J93),2)-MAX('Calc base'!E$12,ROUND('Calc base'!E$13*AV92,2))&lt;1,ROUND(AV92*(1+'Calc base'!J93),2),MAX('Calc base'!E$12,ROUND('Calc base'!E$13*AV92,2))))</f>
        <v>0</v>
      </c>
      <c r="M93">
        <f>IF(AW92&lt;=0,0,IF(ROUND(AW92*(1+'Calc base'!K93),2)-MAX('Calc base'!F$12,ROUND('Calc base'!F$13*AW92,2))&lt;1,ROUND(AW92*(1+'Calc base'!K93),2),MAX('Calc base'!F$12,ROUND('Calc base'!F$13*AW92,2))))</f>
        <v>0</v>
      </c>
      <c r="N93">
        <f>IF(AX92&lt;=0,0,IF(ROUND(AX92*(1+'Calc base'!L93),2)-MAX('Calc base'!G$12,ROUND('Calc base'!G$13*AX92,2))&lt;1,ROUND(AX92*(1+'Calc base'!L93),2),MAX('Calc base'!G$12,ROUND('Calc base'!G$13*AX92,2))))</f>
        <v>0</v>
      </c>
      <c r="O93">
        <f>IF(AY92&lt;=0,0,IF(ROUND(AY92*(1+'Calc base'!M93),2)-MAX('Calc base'!H$12,ROUND('Calc base'!H$13*AY92,2))&lt;1,ROUND(AY92*(1+'Calc base'!M93),2),MAX('Calc base'!H$12,ROUND('Calc base'!H$13*AY92,2))))</f>
        <v>0</v>
      </c>
      <c r="P93">
        <f>IF(AZ92&lt;=0,0,IF(ROUND(AZ92*(1+'Calc base'!N93),2)-MAX('Calc base'!I$12,ROUND('Calc base'!I$13*AZ92,2))&lt;1,ROUND(AZ92*(1+'Calc base'!N93),2),MAX('Calc base'!I$12,ROUND('Calc base'!I$13*AZ92,2))))</f>
        <v>0</v>
      </c>
      <c r="Q93">
        <f>IF(BA92&lt;=0,0,IF(ROUND(BA92*(1+'Calc base'!O93),2)-MAX('Calc base'!J$12,ROUND('Calc base'!J$13*BA92,2))&lt;1,ROUND(BA92*(1+'Calc base'!O93),2),MAX('Calc base'!J$12,ROUND('Calc base'!J$13*BA92,2))))</f>
        <v>0</v>
      </c>
      <c r="R93">
        <f>IF(BB92&lt;=0,0,IF(ROUND(BB92*(1+'Calc base'!P93),2)-MAX('Calc base'!K$12,ROUND('Calc base'!K$13*BB92,2))&lt;1,ROUND(BB92*(1+'Calc base'!P93),2),MAX('Calc base'!K$12,ROUND('Calc base'!K$13*BB92,2))))</f>
        <v>0</v>
      </c>
      <c r="S93">
        <f>IF(BC92&lt;=0,0,IF(ROUND(BC92*(1+'Calc base'!Q93),2)-MAX('Calc base'!L$12,ROUND('Calc base'!L$13*BC92,2))&lt;1,ROUND(BC92*(1+'Calc base'!Q93),2),MAX('Calc base'!L$12,ROUND('Calc base'!L$13*BC92,2))))</f>
        <v>0</v>
      </c>
      <c r="T93">
        <f>IF(BD92&lt;=0,0,IF(ROUND(BD92*(1+'Calc base'!R93),2)-MAX('Calc base'!M$12,ROUND('Calc base'!M$13*BD92,2))&lt;1,ROUND(BD92*(1+'Calc base'!R93),2),MAX('Calc base'!M$12,ROUND('Calc base'!M$13*BD92,2))))</f>
        <v>0</v>
      </c>
      <c r="U93">
        <f>IF(BE92&lt;=0,0,IF(ROUND(BE92*(1+'Calc base'!S93),2)-MAX('Calc base'!N$12,ROUND('Calc base'!N$13*BE92,2))&lt;1,ROUND(BE92*(1+'Calc base'!S93),2),MAX('Calc base'!N$12,ROUND('Calc base'!N$13*BE92,2))))</f>
        <v>0</v>
      </c>
      <c r="AT93">
        <f>MAX(0,ROUND(AT92*(1+'Calc base'!H93),2)-J93)</f>
        <v>971.25</v>
      </c>
      <c r="AU93">
        <f>MAX(0,ROUND(AU92*(1+'Calc base'!I93),2)-K93)</f>
        <v>0</v>
      </c>
      <c r="AV93">
        <f>MAX(0,ROUND(AV92*(1+'Calc base'!J93),2)-L93)</f>
        <v>0</v>
      </c>
      <c r="AW93">
        <f>MAX(0,ROUND(AW92*(1+'Calc base'!K93),2)-M93)</f>
        <v>0</v>
      </c>
      <c r="AX93">
        <f>MAX(0,ROUND(AX92*(1+'Calc base'!L93),2)-N93)</f>
        <v>0</v>
      </c>
      <c r="AY93">
        <f>MAX(0,ROUND(AY92*(1+'Calc base'!M93),2)-O93)</f>
        <v>0</v>
      </c>
      <c r="AZ93">
        <f>MAX(0,ROUND(AZ92*(1+'Calc base'!N93),2)-P93)</f>
        <v>0</v>
      </c>
      <c r="BA93">
        <f>MAX(0,ROUND(BA92*(1+'Calc base'!O93),2)-Q93)</f>
        <v>0</v>
      </c>
      <c r="BB93">
        <f>MAX(0,ROUND(BB92*(1+'Calc base'!P93),2)-R93)</f>
        <v>0</v>
      </c>
      <c r="BC93">
        <f>MAX(0,ROUND(BC92*(1+'Calc base'!Q93),2)-S93)</f>
        <v>0</v>
      </c>
      <c r="BD93">
        <f>MAX(0,ROUND(BD92*(1+'Calc base'!R93),2)-T93)</f>
        <v>0</v>
      </c>
      <c r="BE93">
        <f>MAX(0,ROUND(BE92*(1+'Calc base'!S93),2)-U93)</f>
        <v>0</v>
      </c>
    </row>
    <row r="94">
      <c r="A94" t="n">
        <v>64</v>
      </c>
      <c r="B94">
        <f>SUMPRODUCT(ROUND($AT93:$BE93*(1+'Calc base'!$H94:$S94),2))</f>
        <v>986.55</v>
      </c>
      <c r="C94">
        <f>SUM(J94:U94)</f>
        <v>30</v>
      </c>
      <c r="G94">
        <f>SUM(AT94:BE94)</f>
        <v>956.55</v>
      </c>
      <c r="H94">
        <f>B94-G93</f>
        <v>15.3</v>
      </c>
      <c r="I94">
        <f>B94-G94</f>
        <v>30</v>
      </c>
      <c r="J94">
        <f>IF(AT93&lt;=0,0,IF(ROUND(AT93*(1+'Calc base'!H94),2)-MAX('Calc base'!C$12,ROUND('Calc base'!C$13*AT93,2))&lt;1,ROUND(AT93*(1+'Calc base'!H94),2),MAX('Calc base'!C$12,ROUND('Calc base'!C$13*AT93,2))))</f>
        <v>30</v>
      </c>
      <c r="K94">
        <f>IF(AU93&lt;=0,0,IF(ROUND(AU93*(1+'Calc base'!I94),2)-MAX('Calc base'!D$12,ROUND('Calc base'!D$13*AU93,2))&lt;1,ROUND(AU93*(1+'Calc base'!I94),2),MAX('Calc base'!D$12,ROUND('Calc base'!D$13*AU93,2))))</f>
        <v>0</v>
      </c>
      <c r="L94">
        <f>IF(AV93&lt;=0,0,IF(ROUND(AV93*(1+'Calc base'!J94),2)-MAX('Calc base'!E$12,ROUND('Calc base'!E$13*AV93,2))&lt;1,ROUND(AV93*(1+'Calc base'!J94),2),MAX('Calc base'!E$12,ROUND('Calc base'!E$13*AV93,2))))</f>
        <v>0</v>
      </c>
      <c r="M94">
        <f>IF(AW93&lt;=0,0,IF(ROUND(AW93*(1+'Calc base'!K94),2)-MAX('Calc base'!F$12,ROUND('Calc base'!F$13*AW93,2))&lt;1,ROUND(AW93*(1+'Calc base'!K94),2),MAX('Calc base'!F$12,ROUND('Calc base'!F$13*AW93,2))))</f>
        <v>0</v>
      </c>
      <c r="N94">
        <f>IF(AX93&lt;=0,0,IF(ROUND(AX93*(1+'Calc base'!L94),2)-MAX('Calc base'!G$12,ROUND('Calc base'!G$13*AX93,2))&lt;1,ROUND(AX93*(1+'Calc base'!L94),2),MAX('Calc base'!G$12,ROUND('Calc base'!G$13*AX93,2))))</f>
        <v>0</v>
      </c>
      <c r="O94">
        <f>IF(AY93&lt;=0,0,IF(ROUND(AY93*(1+'Calc base'!M94),2)-MAX('Calc base'!H$12,ROUND('Calc base'!H$13*AY93,2))&lt;1,ROUND(AY93*(1+'Calc base'!M94),2),MAX('Calc base'!H$12,ROUND('Calc base'!H$13*AY93,2))))</f>
        <v>0</v>
      </c>
      <c r="P94">
        <f>IF(AZ93&lt;=0,0,IF(ROUND(AZ93*(1+'Calc base'!N94),2)-MAX('Calc base'!I$12,ROUND('Calc base'!I$13*AZ93,2))&lt;1,ROUND(AZ93*(1+'Calc base'!N94),2),MAX('Calc base'!I$12,ROUND('Calc base'!I$13*AZ93,2))))</f>
        <v>0</v>
      </c>
      <c r="Q94">
        <f>IF(BA93&lt;=0,0,IF(ROUND(BA93*(1+'Calc base'!O94),2)-MAX('Calc base'!J$12,ROUND('Calc base'!J$13*BA93,2))&lt;1,ROUND(BA93*(1+'Calc base'!O94),2),MAX('Calc base'!J$12,ROUND('Calc base'!J$13*BA93,2))))</f>
        <v>0</v>
      </c>
      <c r="R94">
        <f>IF(BB93&lt;=0,0,IF(ROUND(BB93*(1+'Calc base'!P94),2)-MAX('Calc base'!K$12,ROUND('Calc base'!K$13*BB93,2))&lt;1,ROUND(BB93*(1+'Calc base'!P94),2),MAX('Calc base'!K$12,ROUND('Calc base'!K$13*BB93,2))))</f>
        <v>0</v>
      </c>
      <c r="S94">
        <f>IF(BC93&lt;=0,0,IF(ROUND(BC93*(1+'Calc base'!Q94),2)-MAX('Calc base'!L$12,ROUND('Calc base'!L$13*BC93,2))&lt;1,ROUND(BC93*(1+'Calc base'!Q94),2),MAX('Calc base'!L$12,ROUND('Calc base'!L$13*BC93,2))))</f>
        <v>0</v>
      </c>
      <c r="T94">
        <f>IF(BD93&lt;=0,0,IF(ROUND(BD93*(1+'Calc base'!R94),2)-MAX('Calc base'!M$12,ROUND('Calc base'!M$13*BD93,2))&lt;1,ROUND(BD93*(1+'Calc base'!R94),2),MAX('Calc base'!M$12,ROUND('Calc base'!M$13*BD93,2))))</f>
        <v>0</v>
      </c>
      <c r="U94">
        <f>IF(BE93&lt;=0,0,IF(ROUND(BE93*(1+'Calc base'!S94),2)-MAX('Calc base'!N$12,ROUND('Calc base'!N$13*BE93,2))&lt;1,ROUND(BE93*(1+'Calc base'!S94),2),MAX('Calc base'!N$12,ROUND('Calc base'!N$13*BE93,2))))</f>
        <v>0</v>
      </c>
      <c r="AT94">
        <f>MAX(0,ROUND(AT93*(1+'Calc base'!H94),2)-J94)</f>
        <v>956.55</v>
      </c>
      <c r="AU94">
        <f>MAX(0,ROUND(AU93*(1+'Calc base'!I94),2)-K94)</f>
        <v>0</v>
      </c>
      <c r="AV94">
        <f>MAX(0,ROUND(AV93*(1+'Calc base'!J94),2)-L94)</f>
        <v>0</v>
      </c>
      <c r="AW94">
        <f>MAX(0,ROUND(AW93*(1+'Calc base'!K94),2)-M94)</f>
        <v>0</v>
      </c>
      <c r="AX94">
        <f>MAX(0,ROUND(AX93*(1+'Calc base'!L94),2)-N94)</f>
        <v>0</v>
      </c>
      <c r="AY94">
        <f>MAX(0,ROUND(AY93*(1+'Calc base'!M94),2)-O94)</f>
        <v>0</v>
      </c>
      <c r="AZ94">
        <f>MAX(0,ROUND(AZ93*(1+'Calc base'!N94),2)-P94)</f>
        <v>0</v>
      </c>
      <c r="BA94">
        <f>MAX(0,ROUND(BA93*(1+'Calc base'!O94),2)-Q94)</f>
        <v>0</v>
      </c>
      <c r="BB94">
        <f>MAX(0,ROUND(BB93*(1+'Calc base'!P94),2)-R94)</f>
        <v>0</v>
      </c>
      <c r="BC94">
        <f>MAX(0,ROUND(BC93*(1+'Calc base'!Q94),2)-S94)</f>
        <v>0</v>
      </c>
      <c r="BD94">
        <f>MAX(0,ROUND(BD93*(1+'Calc base'!R94),2)-T94)</f>
        <v>0</v>
      </c>
      <c r="BE94">
        <f>MAX(0,ROUND(BE93*(1+'Calc base'!S94),2)-U94)</f>
        <v>0</v>
      </c>
    </row>
    <row r="95">
      <c r="A95" t="n">
        <v>65</v>
      </c>
      <c r="B95">
        <f>SUMPRODUCT(ROUND($AT94:$BE94*(1+'Calc base'!$H95:$S95),2))</f>
        <v>971.62</v>
      </c>
      <c r="C95">
        <f>SUM(J95:U95)</f>
        <v>30</v>
      </c>
      <c r="G95">
        <f>SUM(AT95:BE95)</f>
        <v>941.62</v>
      </c>
      <c r="H95">
        <f>B95-G94</f>
        <v>15.0700000000001</v>
      </c>
      <c r="I95">
        <f>B95-G95</f>
        <v>30</v>
      </c>
      <c r="J95">
        <f>IF(AT94&lt;=0,0,IF(ROUND(AT94*(1+'Calc base'!H95),2)-MAX('Calc base'!C$12,ROUND('Calc base'!C$13*AT94,2))&lt;1,ROUND(AT94*(1+'Calc base'!H95),2),MAX('Calc base'!C$12,ROUND('Calc base'!C$13*AT94,2))))</f>
        <v>30</v>
      </c>
      <c r="K95">
        <f>IF(AU94&lt;=0,0,IF(ROUND(AU94*(1+'Calc base'!I95),2)-MAX('Calc base'!D$12,ROUND('Calc base'!D$13*AU94,2))&lt;1,ROUND(AU94*(1+'Calc base'!I95),2),MAX('Calc base'!D$12,ROUND('Calc base'!D$13*AU94,2))))</f>
        <v>0</v>
      </c>
      <c r="L95">
        <f>IF(AV94&lt;=0,0,IF(ROUND(AV94*(1+'Calc base'!J95),2)-MAX('Calc base'!E$12,ROUND('Calc base'!E$13*AV94,2))&lt;1,ROUND(AV94*(1+'Calc base'!J95),2),MAX('Calc base'!E$12,ROUND('Calc base'!E$13*AV94,2))))</f>
        <v>0</v>
      </c>
      <c r="M95">
        <f>IF(AW94&lt;=0,0,IF(ROUND(AW94*(1+'Calc base'!K95),2)-MAX('Calc base'!F$12,ROUND('Calc base'!F$13*AW94,2))&lt;1,ROUND(AW94*(1+'Calc base'!K95),2),MAX('Calc base'!F$12,ROUND('Calc base'!F$13*AW94,2))))</f>
        <v>0</v>
      </c>
      <c r="N95">
        <f>IF(AX94&lt;=0,0,IF(ROUND(AX94*(1+'Calc base'!L95),2)-MAX('Calc base'!G$12,ROUND('Calc base'!G$13*AX94,2))&lt;1,ROUND(AX94*(1+'Calc base'!L95),2),MAX('Calc base'!G$12,ROUND('Calc base'!G$13*AX94,2))))</f>
        <v>0</v>
      </c>
      <c r="O95">
        <f>IF(AY94&lt;=0,0,IF(ROUND(AY94*(1+'Calc base'!M95),2)-MAX('Calc base'!H$12,ROUND('Calc base'!H$13*AY94,2))&lt;1,ROUND(AY94*(1+'Calc base'!M95),2),MAX('Calc base'!H$12,ROUND('Calc base'!H$13*AY94,2))))</f>
        <v>0</v>
      </c>
      <c r="P95">
        <f>IF(AZ94&lt;=0,0,IF(ROUND(AZ94*(1+'Calc base'!N95),2)-MAX('Calc base'!I$12,ROUND('Calc base'!I$13*AZ94,2))&lt;1,ROUND(AZ94*(1+'Calc base'!N95),2),MAX('Calc base'!I$12,ROUND('Calc base'!I$13*AZ94,2))))</f>
        <v>0</v>
      </c>
      <c r="Q95">
        <f>IF(BA94&lt;=0,0,IF(ROUND(BA94*(1+'Calc base'!O95),2)-MAX('Calc base'!J$12,ROUND('Calc base'!J$13*BA94,2))&lt;1,ROUND(BA94*(1+'Calc base'!O95),2),MAX('Calc base'!J$12,ROUND('Calc base'!J$13*BA94,2))))</f>
        <v>0</v>
      </c>
      <c r="R95">
        <f>IF(BB94&lt;=0,0,IF(ROUND(BB94*(1+'Calc base'!P95),2)-MAX('Calc base'!K$12,ROUND('Calc base'!K$13*BB94,2))&lt;1,ROUND(BB94*(1+'Calc base'!P95),2),MAX('Calc base'!K$12,ROUND('Calc base'!K$13*BB94,2))))</f>
        <v>0</v>
      </c>
      <c r="S95">
        <f>IF(BC94&lt;=0,0,IF(ROUND(BC94*(1+'Calc base'!Q95),2)-MAX('Calc base'!L$12,ROUND('Calc base'!L$13*BC94,2))&lt;1,ROUND(BC94*(1+'Calc base'!Q95),2),MAX('Calc base'!L$12,ROUND('Calc base'!L$13*BC94,2))))</f>
        <v>0</v>
      </c>
      <c r="T95">
        <f>IF(BD94&lt;=0,0,IF(ROUND(BD94*(1+'Calc base'!R95),2)-MAX('Calc base'!M$12,ROUND('Calc base'!M$13*BD94,2))&lt;1,ROUND(BD94*(1+'Calc base'!R95),2),MAX('Calc base'!M$12,ROUND('Calc base'!M$13*BD94,2))))</f>
        <v>0</v>
      </c>
      <c r="U95">
        <f>IF(BE94&lt;=0,0,IF(ROUND(BE94*(1+'Calc base'!S95),2)-MAX('Calc base'!N$12,ROUND('Calc base'!N$13*BE94,2))&lt;1,ROUND(BE94*(1+'Calc base'!S95),2),MAX('Calc base'!N$12,ROUND('Calc base'!N$13*BE94,2))))</f>
        <v>0</v>
      </c>
      <c r="AT95">
        <f>MAX(0,ROUND(AT94*(1+'Calc base'!H95),2)-J95)</f>
        <v>941.62</v>
      </c>
      <c r="AU95">
        <f>MAX(0,ROUND(AU94*(1+'Calc base'!I95),2)-K95)</f>
        <v>0</v>
      </c>
      <c r="AV95">
        <f>MAX(0,ROUND(AV94*(1+'Calc base'!J95),2)-L95)</f>
        <v>0</v>
      </c>
      <c r="AW95">
        <f>MAX(0,ROUND(AW94*(1+'Calc base'!K95),2)-M95)</f>
        <v>0</v>
      </c>
      <c r="AX95">
        <f>MAX(0,ROUND(AX94*(1+'Calc base'!L95),2)-N95)</f>
        <v>0</v>
      </c>
      <c r="AY95">
        <f>MAX(0,ROUND(AY94*(1+'Calc base'!M95),2)-O95)</f>
        <v>0</v>
      </c>
      <c r="AZ95">
        <f>MAX(0,ROUND(AZ94*(1+'Calc base'!N95),2)-P95)</f>
        <v>0</v>
      </c>
      <c r="BA95">
        <f>MAX(0,ROUND(BA94*(1+'Calc base'!O95),2)-Q95)</f>
        <v>0</v>
      </c>
      <c r="BB95">
        <f>MAX(0,ROUND(BB94*(1+'Calc base'!P95),2)-R95)</f>
        <v>0</v>
      </c>
      <c r="BC95">
        <f>MAX(0,ROUND(BC94*(1+'Calc base'!Q95),2)-S95)</f>
        <v>0</v>
      </c>
      <c r="BD95">
        <f>MAX(0,ROUND(BD94*(1+'Calc base'!R95),2)-T95)</f>
        <v>0</v>
      </c>
      <c r="BE95">
        <f>MAX(0,ROUND(BE94*(1+'Calc base'!S95),2)-U95)</f>
        <v>0</v>
      </c>
    </row>
    <row r="96">
      <c r="A96" t="n">
        <v>66</v>
      </c>
      <c r="B96">
        <f>SUMPRODUCT(ROUND($AT95:$BE95*(1+'Calc base'!$H96:$S96),2))</f>
        <v>956.45</v>
      </c>
      <c r="C96">
        <f>SUM(J96:U96)</f>
        <v>30</v>
      </c>
      <c r="G96">
        <f>SUM(AT96:BE96)</f>
        <v>926.45</v>
      </c>
      <c r="H96">
        <f>B96-G95</f>
        <v>14.83</v>
      </c>
      <c r="I96">
        <f>B96-G96</f>
        <v>30</v>
      </c>
      <c r="J96">
        <f>IF(AT95&lt;=0,0,IF(ROUND(AT95*(1+'Calc base'!H96),2)-MAX('Calc base'!C$12,ROUND('Calc base'!C$13*AT95,2))&lt;1,ROUND(AT95*(1+'Calc base'!H96),2),MAX('Calc base'!C$12,ROUND('Calc base'!C$13*AT95,2))))</f>
        <v>30</v>
      </c>
      <c r="K96">
        <f>IF(AU95&lt;=0,0,IF(ROUND(AU95*(1+'Calc base'!I96),2)-MAX('Calc base'!D$12,ROUND('Calc base'!D$13*AU95,2))&lt;1,ROUND(AU95*(1+'Calc base'!I96),2),MAX('Calc base'!D$12,ROUND('Calc base'!D$13*AU95,2))))</f>
        <v>0</v>
      </c>
      <c r="L96">
        <f>IF(AV95&lt;=0,0,IF(ROUND(AV95*(1+'Calc base'!J96),2)-MAX('Calc base'!E$12,ROUND('Calc base'!E$13*AV95,2))&lt;1,ROUND(AV95*(1+'Calc base'!J96),2),MAX('Calc base'!E$12,ROUND('Calc base'!E$13*AV95,2))))</f>
        <v>0</v>
      </c>
      <c r="M96">
        <f>IF(AW95&lt;=0,0,IF(ROUND(AW95*(1+'Calc base'!K96),2)-MAX('Calc base'!F$12,ROUND('Calc base'!F$13*AW95,2))&lt;1,ROUND(AW95*(1+'Calc base'!K96),2),MAX('Calc base'!F$12,ROUND('Calc base'!F$13*AW95,2))))</f>
        <v>0</v>
      </c>
      <c r="N96">
        <f>IF(AX95&lt;=0,0,IF(ROUND(AX95*(1+'Calc base'!L96),2)-MAX('Calc base'!G$12,ROUND('Calc base'!G$13*AX95,2))&lt;1,ROUND(AX95*(1+'Calc base'!L96),2),MAX('Calc base'!G$12,ROUND('Calc base'!G$13*AX95,2))))</f>
        <v>0</v>
      </c>
      <c r="O96">
        <f>IF(AY95&lt;=0,0,IF(ROUND(AY95*(1+'Calc base'!M96),2)-MAX('Calc base'!H$12,ROUND('Calc base'!H$13*AY95,2))&lt;1,ROUND(AY95*(1+'Calc base'!M96),2),MAX('Calc base'!H$12,ROUND('Calc base'!H$13*AY95,2))))</f>
        <v>0</v>
      </c>
      <c r="P96">
        <f>IF(AZ95&lt;=0,0,IF(ROUND(AZ95*(1+'Calc base'!N96),2)-MAX('Calc base'!I$12,ROUND('Calc base'!I$13*AZ95,2))&lt;1,ROUND(AZ95*(1+'Calc base'!N96),2),MAX('Calc base'!I$12,ROUND('Calc base'!I$13*AZ95,2))))</f>
        <v>0</v>
      </c>
      <c r="Q96">
        <f>IF(BA95&lt;=0,0,IF(ROUND(BA95*(1+'Calc base'!O96),2)-MAX('Calc base'!J$12,ROUND('Calc base'!J$13*BA95,2))&lt;1,ROUND(BA95*(1+'Calc base'!O96),2),MAX('Calc base'!J$12,ROUND('Calc base'!J$13*BA95,2))))</f>
        <v>0</v>
      </c>
      <c r="R96">
        <f>IF(BB95&lt;=0,0,IF(ROUND(BB95*(1+'Calc base'!P96),2)-MAX('Calc base'!K$12,ROUND('Calc base'!K$13*BB95,2))&lt;1,ROUND(BB95*(1+'Calc base'!P96),2),MAX('Calc base'!K$12,ROUND('Calc base'!K$13*BB95,2))))</f>
        <v>0</v>
      </c>
      <c r="S96">
        <f>IF(BC95&lt;=0,0,IF(ROUND(BC95*(1+'Calc base'!Q96),2)-MAX('Calc base'!L$12,ROUND('Calc base'!L$13*BC95,2))&lt;1,ROUND(BC95*(1+'Calc base'!Q96),2),MAX('Calc base'!L$12,ROUND('Calc base'!L$13*BC95,2))))</f>
        <v>0</v>
      </c>
      <c r="T96">
        <f>IF(BD95&lt;=0,0,IF(ROUND(BD95*(1+'Calc base'!R96),2)-MAX('Calc base'!M$12,ROUND('Calc base'!M$13*BD95,2))&lt;1,ROUND(BD95*(1+'Calc base'!R96),2),MAX('Calc base'!M$12,ROUND('Calc base'!M$13*BD95,2))))</f>
        <v>0</v>
      </c>
      <c r="U96">
        <f>IF(BE95&lt;=0,0,IF(ROUND(BE95*(1+'Calc base'!S96),2)-MAX('Calc base'!N$12,ROUND('Calc base'!N$13*BE95,2))&lt;1,ROUND(BE95*(1+'Calc base'!S96),2),MAX('Calc base'!N$12,ROUND('Calc base'!N$13*BE95,2))))</f>
        <v>0</v>
      </c>
      <c r="AT96">
        <f>MAX(0,ROUND(AT95*(1+'Calc base'!H96),2)-J96)</f>
        <v>926.45</v>
      </c>
      <c r="AU96">
        <f>MAX(0,ROUND(AU95*(1+'Calc base'!I96),2)-K96)</f>
        <v>0</v>
      </c>
      <c r="AV96">
        <f>MAX(0,ROUND(AV95*(1+'Calc base'!J96),2)-L96)</f>
        <v>0</v>
      </c>
      <c r="AW96">
        <f>MAX(0,ROUND(AW95*(1+'Calc base'!K96),2)-M96)</f>
        <v>0</v>
      </c>
      <c r="AX96">
        <f>MAX(0,ROUND(AX95*(1+'Calc base'!L96),2)-N96)</f>
        <v>0</v>
      </c>
      <c r="AY96">
        <f>MAX(0,ROUND(AY95*(1+'Calc base'!M96),2)-O96)</f>
        <v>0</v>
      </c>
      <c r="AZ96">
        <f>MAX(0,ROUND(AZ95*(1+'Calc base'!N96),2)-P96)</f>
        <v>0</v>
      </c>
      <c r="BA96">
        <f>MAX(0,ROUND(BA95*(1+'Calc base'!O96),2)-Q96)</f>
        <v>0</v>
      </c>
      <c r="BB96">
        <f>MAX(0,ROUND(BB95*(1+'Calc base'!P96),2)-R96)</f>
        <v>0</v>
      </c>
      <c r="BC96">
        <f>MAX(0,ROUND(BC95*(1+'Calc base'!Q96),2)-S96)</f>
        <v>0</v>
      </c>
      <c r="BD96">
        <f>MAX(0,ROUND(BD95*(1+'Calc base'!R96),2)-T96)</f>
        <v>0</v>
      </c>
      <c r="BE96">
        <f>MAX(0,ROUND(BE95*(1+'Calc base'!S96),2)-U96)</f>
        <v>0</v>
      </c>
    </row>
    <row r="97">
      <c r="A97" t="n">
        <v>67</v>
      </c>
      <c r="B97">
        <f>SUMPRODUCT(ROUND($AT96:$BE96*(1+'Calc base'!$H97:$S97),2))</f>
        <v>941.04</v>
      </c>
      <c r="C97">
        <f>SUM(J97:U97)</f>
        <v>30</v>
      </c>
      <c r="G97">
        <f>SUM(AT97:BE97)</f>
        <v>911.04</v>
      </c>
      <c r="H97">
        <f>B97-G96</f>
        <v>14.5899999999999</v>
      </c>
      <c r="I97">
        <f>B97-G97</f>
        <v>30</v>
      </c>
      <c r="J97">
        <f>IF(AT96&lt;=0,0,IF(ROUND(AT96*(1+'Calc base'!H97),2)-MAX('Calc base'!C$12,ROUND('Calc base'!C$13*AT96,2))&lt;1,ROUND(AT96*(1+'Calc base'!H97),2),MAX('Calc base'!C$12,ROUND('Calc base'!C$13*AT96,2))))</f>
        <v>30</v>
      </c>
      <c r="K97">
        <f>IF(AU96&lt;=0,0,IF(ROUND(AU96*(1+'Calc base'!I97),2)-MAX('Calc base'!D$12,ROUND('Calc base'!D$13*AU96,2))&lt;1,ROUND(AU96*(1+'Calc base'!I97),2),MAX('Calc base'!D$12,ROUND('Calc base'!D$13*AU96,2))))</f>
        <v>0</v>
      </c>
      <c r="L97">
        <f>IF(AV96&lt;=0,0,IF(ROUND(AV96*(1+'Calc base'!J97),2)-MAX('Calc base'!E$12,ROUND('Calc base'!E$13*AV96,2))&lt;1,ROUND(AV96*(1+'Calc base'!J97),2),MAX('Calc base'!E$12,ROUND('Calc base'!E$13*AV96,2))))</f>
        <v>0</v>
      </c>
      <c r="M97">
        <f>IF(AW96&lt;=0,0,IF(ROUND(AW96*(1+'Calc base'!K97),2)-MAX('Calc base'!F$12,ROUND('Calc base'!F$13*AW96,2))&lt;1,ROUND(AW96*(1+'Calc base'!K97),2),MAX('Calc base'!F$12,ROUND('Calc base'!F$13*AW96,2))))</f>
        <v>0</v>
      </c>
      <c r="N97">
        <f>IF(AX96&lt;=0,0,IF(ROUND(AX96*(1+'Calc base'!L97),2)-MAX('Calc base'!G$12,ROUND('Calc base'!G$13*AX96,2))&lt;1,ROUND(AX96*(1+'Calc base'!L97),2),MAX('Calc base'!G$12,ROUND('Calc base'!G$13*AX96,2))))</f>
        <v>0</v>
      </c>
      <c r="O97">
        <f>IF(AY96&lt;=0,0,IF(ROUND(AY96*(1+'Calc base'!M97),2)-MAX('Calc base'!H$12,ROUND('Calc base'!H$13*AY96,2))&lt;1,ROUND(AY96*(1+'Calc base'!M97),2),MAX('Calc base'!H$12,ROUND('Calc base'!H$13*AY96,2))))</f>
        <v>0</v>
      </c>
      <c r="P97">
        <f>IF(AZ96&lt;=0,0,IF(ROUND(AZ96*(1+'Calc base'!N97),2)-MAX('Calc base'!I$12,ROUND('Calc base'!I$13*AZ96,2))&lt;1,ROUND(AZ96*(1+'Calc base'!N97),2),MAX('Calc base'!I$12,ROUND('Calc base'!I$13*AZ96,2))))</f>
        <v>0</v>
      </c>
      <c r="Q97">
        <f>IF(BA96&lt;=0,0,IF(ROUND(BA96*(1+'Calc base'!O97),2)-MAX('Calc base'!J$12,ROUND('Calc base'!J$13*BA96,2))&lt;1,ROUND(BA96*(1+'Calc base'!O97),2),MAX('Calc base'!J$12,ROUND('Calc base'!J$13*BA96,2))))</f>
        <v>0</v>
      </c>
      <c r="R97">
        <f>IF(BB96&lt;=0,0,IF(ROUND(BB96*(1+'Calc base'!P97),2)-MAX('Calc base'!K$12,ROUND('Calc base'!K$13*BB96,2))&lt;1,ROUND(BB96*(1+'Calc base'!P97),2),MAX('Calc base'!K$12,ROUND('Calc base'!K$13*BB96,2))))</f>
        <v>0</v>
      </c>
      <c r="S97">
        <f>IF(BC96&lt;=0,0,IF(ROUND(BC96*(1+'Calc base'!Q97),2)-MAX('Calc base'!L$12,ROUND('Calc base'!L$13*BC96,2))&lt;1,ROUND(BC96*(1+'Calc base'!Q97),2),MAX('Calc base'!L$12,ROUND('Calc base'!L$13*BC96,2))))</f>
        <v>0</v>
      </c>
      <c r="T97">
        <f>IF(BD96&lt;=0,0,IF(ROUND(BD96*(1+'Calc base'!R97),2)-MAX('Calc base'!M$12,ROUND('Calc base'!M$13*BD96,2))&lt;1,ROUND(BD96*(1+'Calc base'!R97),2),MAX('Calc base'!M$12,ROUND('Calc base'!M$13*BD96,2))))</f>
        <v>0</v>
      </c>
      <c r="U97">
        <f>IF(BE96&lt;=0,0,IF(ROUND(BE96*(1+'Calc base'!S97),2)-MAX('Calc base'!N$12,ROUND('Calc base'!N$13*BE96,2))&lt;1,ROUND(BE96*(1+'Calc base'!S97),2),MAX('Calc base'!N$12,ROUND('Calc base'!N$13*BE96,2))))</f>
        <v>0</v>
      </c>
      <c r="AT97">
        <f>MAX(0,ROUND(AT96*(1+'Calc base'!H97),2)-J97)</f>
        <v>911.04</v>
      </c>
      <c r="AU97">
        <f>MAX(0,ROUND(AU96*(1+'Calc base'!I97),2)-K97)</f>
        <v>0</v>
      </c>
      <c r="AV97">
        <f>MAX(0,ROUND(AV96*(1+'Calc base'!J97),2)-L97)</f>
        <v>0</v>
      </c>
      <c r="AW97">
        <f>MAX(0,ROUND(AW96*(1+'Calc base'!K97),2)-M97)</f>
        <v>0</v>
      </c>
      <c r="AX97">
        <f>MAX(0,ROUND(AX96*(1+'Calc base'!L97),2)-N97)</f>
        <v>0</v>
      </c>
      <c r="AY97">
        <f>MAX(0,ROUND(AY96*(1+'Calc base'!M97),2)-O97)</f>
        <v>0</v>
      </c>
      <c r="AZ97">
        <f>MAX(0,ROUND(AZ96*(1+'Calc base'!N97),2)-P97)</f>
        <v>0</v>
      </c>
      <c r="BA97">
        <f>MAX(0,ROUND(BA96*(1+'Calc base'!O97),2)-Q97)</f>
        <v>0</v>
      </c>
      <c r="BB97">
        <f>MAX(0,ROUND(BB96*(1+'Calc base'!P97),2)-R97)</f>
        <v>0</v>
      </c>
      <c r="BC97">
        <f>MAX(0,ROUND(BC96*(1+'Calc base'!Q97),2)-S97)</f>
        <v>0</v>
      </c>
      <c r="BD97">
        <f>MAX(0,ROUND(BD96*(1+'Calc base'!R97),2)-T97)</f>
        <v>0</v>
      </c>
      <c r="BE97">
        <f>MAX(0,ROUND(BE96*(1+'Calc base'!S97),2)-U97)</f>
        <v>0</v>
      </c>
    </row>
    <row r="98">
      <c r="A98" t="n">
        <v>68</v>
      </c>
      <c r="B98">
        <f>SUMPRODUCT(ROUND($AT97:$BE97*(1+'Calc base'!$H98:$S98),2))</f>
        <v>925.39</v>
      </c>
      <c r="C98">
        <f>SUM(J98:U98)</f>
        <v>30</v>
      </c>
      <c r="G98">
        <f>SUM(AT98:BE98)</f>
        <v>895.39</v>
      </c>
      <c r="H98">
        <f>B98-G97</f>
        <v>14.35</v>
      </c>
      <c r="I98">
        <f>B98-G98</f>
        <v>30</v>
      </c>
      <c r="J98">
        <f>IF(AT97&lt;=0,0,IF(ROUND(AT97*(1+'Calc base'!H98),2)-MAX('Calc base'!C$12,ROUND('Calc base'!C$13*AT97,2))&lt;1,ROUND(AT97*(1+'Calc base'!H98),2),MAX('Calc base'!C$12,ROUND('Calc base'!C$13*AT97,2))))</f>
        <v>30</v>
      </c>
      <c r="K98">
        <f>IF(AU97&lt;=0,0,IF(ROUND(AU97*(1+'Calc base'!I98),2)-MAX('Calc base'!D$12,ROUND('Calc base'!D$13*AU97,2))&lt;1,ROUND(AU97*(1+'Calc base'!I98),2),MAX('Calc base'!D$12,ROUND('Calc base'!D$13*AU97,2))))</f>
        <v>0</v>
      </c>
      <c r="L98">
        <f>IF(AV97&lt;=0,0,IF(ROUND(AV97*(1+'Calc base'!J98),2)-MAX('Calc base'!E$12,ROUND('Calc base'!E$13*AV97,2))&lt;1,ROUND(AV97*(1+'Calc base'!J98),2),MAX('Calc base'!E$12,ROUND('Calc base'!E$13*AV97,2))))</f>
        <v>0</v>
      </c>
      <c r="M98">
        <f>IF(AW97&lt;=0,0,IF(ROUND(AW97*(1+'Calc base'!K98),2)-MAX('Calc base'!F$12,ROUND('Calc base'!F$13*AW97,2))&lt;1,ROUND(AW97*(1+'Calc base'!K98),2),MAX('Calc base'!F$12,ROUND('Calc base'!F$13*AW97,2))))</f>
        <v>0</v>
      </c>
      <c r="N98">
        <f>IF(AX97&lt;=0,0,IF(ROUND(AX97*(1+'Calc base'!L98),2)-MAX('Calc base'!G$12,ROUND('Calc base'!G$13*AX97,2))&lt;1,ROUND(AX97*(1+'Calc base'!L98),2),MAX('Calc base'!G$12,ROUND('Calc base'!G$13*AX97,2))))</f>
        <v>0</v>
      </c>
      <c r="O98">
        <f>IF(AY97&lt;=0,0,IF(ROUND(AY97*(1+'Calc base'!M98),2)-MAX('Calc base'!H$12,ROUND('Calc base'!H$13*AY97,2))&lt;1,ROUND(AY97*(1+'Calc base'!M98),2),MAX('Calc base'!H$12,ROUND('Calc base'!H$13*AY97,2))))</f>
        <v>0</v>
      </c>
      <c r="P98">
        <f>IF(AZ97&lt;=0,0,IF(ROUND(AZ97*(1+'Calc base'!N98),2)-MAX('Calc base'!I$12,ROUND('Calc base'!I$13*AZ97,2))&lt;1,ROUND(AZ97*(1+'Calc base'!N98),2),MAX('Calc base'!I$12,ROUND('Calc base'!I$13*AZ97,2))))</f>
        <v>0</v>
      </c>
      <c r="Q98">
        <f>IF(BA97&lt;=0,0,IF(ROUND(BA97*(1+'Calc base'!O98),2)-MAX('Calc base'!J$12,ROUND('Calc base'!J$13*BA97,2))&lt;1,ROUND(BA97*(1+'Calc base'!O98),2),MAX('Calc base'!J$12,ROUND('Calc base'!J$13*BA97,2))))</f>
        <v>0</v>
      </c>
      <c r="R98">
        <f>IF(BB97&lt;=0,0,IF(ROUND(BB97*(1+'Calc base'!P98),2)-MAX('Calc base'!K$12,ROUND('Calc base'!K$13*BB97,2))&lt;1,ROUND(BB97*(1+'Calc base'!P98),2),MAX('Calc base'!K$12,ROUND('Calc base'!K$13*BB97,2))))</f>
        <v>0</v>
      </c>
      <c r="S98">
        <f>IF(BC97&lt;=0,0,IF(ROUND(BC97*(1+'Calc base'!Q98),2)-MAX('Calc base'!L$12,ROUND('Calc base'!L$13*BC97,2))&lt;1,ROUND(BC97*(1+'Calc base'!Q98),2),MAX('Calc base'!L$12,ROUND('Calc base'!L$13*BC97,2))))</f>
        <v>0</v>
      </c>
      <c r="T98">
        <f>IF(BD97&lt;=0,0,IF(ROUND(BD97*(1+'Calc base'!R98),2)-MAX('Calc base'!M$12,ROUND('Calc base'!M$13*BD97,2))&lt;1,ROUND(BD97*(1+'Calc base'!R98),2),MAX('Calc base'!M$12,ROUND('Calc base'!M$13*BD97,2))))</f>
        <v>0</v>
      </c>
      <c r="U98">
        <f>IF(BE97&lt;=0,0,IF(ROUND(BE97*(1+'Calc base'!S98),2)-MAX('Calc base'!N$12,ROUND('Calc base'!N$13*BE97,2))&lt;1,ROUND(BE97*(1+'Calc base'!S98),2),MAX('Calc base'!N$12,ROUND('Calc base'!N$13*BE97,2))))</f>
        <v>0</v>
      </c>
      <c r="AT98">
        <f>MAX(0,ROUND(AT97*(1+'Calc base'!H98),2)-J98)</f>
        <v>895.39</v>
      </c>
      <c r="AU98">
        <f>MAX(0,ROUND(AU97*(1+'Calc base'!I98),2)-K98)</f>
        <v>0</v>
      </c>
      <c r="AV98">
        <f>MAX(0,ROUND(AV97*(1+'Calc base'!J98),2)-L98)</f>
        <v>0</v>
      </c>
      <c r="AW98">
        <f>MAX(0,ROUND(AW97*(1+'Calc base'!K98),2)-M98)</f>
        <v>0</v>
      </c>
      <c r="AX98">
        <f>MAX(0,ROUND(AX97*(1+'Calc base'!L98),2)-N98)</f>
        <v>0</v>
      </c>
      <c r="AY98">
        <f>MAX(0,ROUND(AY97*(1+'Calc base'!M98),2)-O98)</f>
        <v>0</v>
      </c>
      <c r="AZ98">
        <f>MAX(0,ROUND(AZ97*(1+'Calc base'!N98),2)-P98)</f>
        <v>0</v>
      </c>
      <c r="BA98">
        <f>MAX(0,ROUND(BA97*(1+'Calc base'!O98),2)-Q98)</f>
        <v>0</v>
      </c>
      <c r="BB98">
        <f>MAX(0,ROUND(BB97*(1+'Calc base'!P98),2)-R98)</f>
        <v>0</v>
      </c>
      <c r="BC98">
        <f>MAX(0,ROUND(BC97*(1+'Calc base'!Q98),2)-S98)</f>
        <v>0</v>
      </c>
      <c r="BD98">
        <f>MAX(0,ROUND(BD97*(1+'Calc base'!R98),2)-T98)</f>
        <v>0</v>
      </c>
      <c r="BE98">
        <f>MAX(0,ROUND(BE97*(1+'Calc base'!S98),2)-U98)</f>
        <v>0</v>
      </c>
    </row>
    <row r="99">
      <c r="A99" t="n">
        <v>69</v>
      </c>
      <c r="B99">
        <f>SUMPRODUCT(ROUND($AT98:$BE98*(1+'Calc base'!$H99:$S99),2))</f>
        <v>909.49</v>
      </c>
      <c r="C99">
        <f>SUM(J99:U99)</f>
        <v>30</v>
      </c>
      <c r="G99">
        <f>SUM(AT99:BE99)</f>
        <v>879.49</v>
      </c>
      <c r="H99">
        <f>B99-G98</f>
        <v>14.1</v>
      </c>
      <c r="I99">
        <f>B99-G99</f>
        <v>30</v>
      </c>
      <c r="J99">
        <f>IF(AT98&lt;=0,0,IF(ROUND(AT98*(1+'Calc base'!H99),2)-MAX('Calc base'!C$12,ROUND('Calc base'!C$13*AT98,2))&lt;1,ROUND(AT98*(1+'Calc base'!H99),2),MAX('Calc base'!C$12,ROUND('Calc base'!C$13*AT98,2))))</f>
        <v>30</v>
      </c>
      <c r="K99">
        <f>IF(AU98&lt;=0,0,IF(ROUND(AU98*(1+'Calc base'!I99),2)-MAX('Calc base'!D$12,ROUND('Calc base'!D$13*AU98,2))&lt;1,ROUND(AU98*(1+'Calc base'!I99),2),MAX('Calc base'!D$12,ROUND('Calc base'!D$13*AU98,2))))</f>
        <v>0</v>
      </c>
      <c r="L99">
        <f>IF(AV98&lt;=0,0,IF(ROUND(AV98*(1+'Calc base'!J99),2)-MAX('Calc base'!E$12,ROUND('Calc base'!E$13*AV98,2))&lt;1,ROUND(AV98*(1+'Calc base'!J99),2),MAX('Calc base'!E$12,ROUND('Calc base'!E$13*AV98,2))))</f>
        <v>0</v>
      </c>
      <c r="M99">
        <f>IF(AW98&lt;=0,0,IF(ROUND(AW98*(1+'Calc base'!K99),2)-MAX('Calc base'!F$12,ROUND('Calc base'!F$13*AW98,2))&lt;1,ROUND(AW98*(1+'Calc base'!K99),2),MAX('Calc base'!F$12,ROUND('Calc base'!F$13*AW98,2))))</f>
        <v>0</v>
      </c>
      <c r="N99">
        <f>IF(AX98&lt;=0,0,IF(ROUND(AX98*(1+'Calc base'!L99),2)-MAX('Calc base'!G$12,ROUND('Calc base'!G$13*AX98,2))&lt;1,ROUND(AX98*(1+'Calc base'!L99),2),MAX('Calc base'!G$12,ROUND('Calc base'!G$13*AX98,2))))</f>
        <v>0</v>
      </c>
      <c r="O99">
        <f>IF(AY98&lt;=0,0,IF(ROUND(AY98*(1+'Calc base'!M99),2)-MAX('Calc base'!H$12,ROUND('Calc base'!H$13*AY98,2))&lt;1,ROUND(AY98*(1+'Calc base'!M99),2),MAX('Calc base'!H$12,ROUND('Calc base'!H$13*AY98,2))))</f>
        <v>0</v>
      </c>
      <c r="P99">
        <f>IF(AZ98&lt;=0,0,IF(ROUND(AZ98*(1+'Calc base'!N99),2)-MAX('Calc base'!I$12,ROUND('Calc base'!I$13*AZ98,2))&lt;1,ROUND(AZ98*(1+'Calc base'!N99),2),MAX('Calc base'!I$12,ROUND('Calc base'!I$13*AZ98,2))))</f>
        <v>0</v>
      </c>
      <c r="Q99">
        <f>IF(BA98&lt;=0,0,IF(ROUND(BA98*(1+'Calc base'!O99),2)-MAX('Calc base'!J$12,ROUND('Calc base'!J$13*BA98,2))&lt;1,ROUND(BA98*(1+'Calc base'!O99),2),MAX('Calc base'!J$12,ROUND('Calc base'!J$13*BA98,2))))</f>
        <v>0</v>
      </c>
      <c r="R99">
        <f>IF(BB98&lt;=0,0,IF(ROUND(BB98*(1+'Calc base'!P99),2)-MAX('Calc base'!K$12,ROUND('Calc base'!K$13*BB98,2))&lt;1,ROUND(BB98*(1+'Calc base'!P99),2),MAX('Calc base'!K$12,ROUND('Calc base'!K$13*BB98,2))))</f>
        <v>0</v>
      </c>
      <c r="S99">
        <f>IF(BC98&lt;=0,0,IF(ROUND(BC98*(1+'Calc base'!Q99),2)-MAX('Calc base'!L$12,ROUND('Calc base'!L$13*BC98,2))&lt;1,ROUND(BC98*(1+'Calc base'!Q99),2),MAX('Calc base'!L$12,ROUND('Calc base'!L$13*BC98,2))))</f>
        <v>0</v>
      </c>
      <c r="T99">
        <f>IF(BD98&lt;=0,0,IF(ROUND(BD98*(1+'Calc base'!R99),2)-MAX('Calc base'!M$12,ROUND('Calc base'!M$13*BD98,2))&lt;1,ROUND(BD98*(1+'Calc base'!R99),2),MAX('Calc base'!M$12,ROUND('Calc base'!M$13*BD98,2))))</f>
        <v>0</v>
      </c>
      <c r="U99">
        <f>IF(BE98&lt;=0,0,IF(ROUND(BE98*(1+'Calc base'!S99),2)-MAX('Calc base'!N$12,ROUND('Calc base'!N$13*BE98,2))&lt;1,ROUND(BE98*(1+'Calc base'!S99),2),MAX('Calc base'!N$12,ROUND('Calc base'!N$13*BE98,2))))</f>
        <v>0</v>
      </c>
      <c r="AT99">
        <f>MAX(0,ROUND(AT98*(1+'Calc base'!H99),2)-J99)</f>
        <v>879.49</v>
      </c>
      <c r="AU99">
        <f>MAX(0,ROUND(AU98*(1+'Calc base'!I99),2)-K99)</f>
        <v>0</v>
      </c>
      <c r="AV99">
        <f>MAX(0,ROUND(AV98*(1+'Calc base'!J99),2)-L99)</f>
        <v>0</v>
      </c>
      <c r="AW99">
        <f>MAX(0,ROUND(AW98*(1+'Calc base'!K99),2)-M99)</f>
        <v>0</v>
      </c>
      <c r="AX99">
        <f>MAX(0,ROUND(AX98*(1+'Calc base'!L99),2)-N99)</f>
        <v>0</v>
      </c>
      <c r="AY99">
        <f>MAX(0,ROUND(AY98*(1+'Calc base'!M99),2)-O99)</f>
        <v>0</v>
      </c>
      <c r="AZ99">
        <f>MAX(0,ROUND(AZ98*(1+'Calc base'!N99),2)-P99)</f>
        <v>0</v>
      </c>
      <c r="BA99">
        <f>MAX(0,ROUND(BA98*(1+'Calc base'!O99),2)-Q99)</f>
        <v>0</v>
      </c>
      <c r="BB99">
        <f>MAX(0,ROUND(BB98*(1+'Calc base'!P99),2)-R99)</f>
        <v>0</v>
      </c>
      <c r="BC99">
        <f>MAX(0,ROUND(BC98*(1+'Calc base'!Q99),2)-S99)</f>
        <v>0</v>
      </c>
      <c r="BD99">
        <f>MAX(0,ROUND(BD98*(1+'Calc base'!R99),2)-T99)</f>
        <v>0</v>
      </c>
      <c r="BE99">
        <f>MAX(0,ROUND(BE98*(1+'Calc base'!S99),2)-U99)</f>
        <v>0</v>
      </c>
    </row>
    <row r="100">
      <c r="A100" t="n">
        <v>70</v>
      </c>
      <c r="B100">
        <f>SUMPRODUCT(ROUND($AT99:$BE99*(1+'Calc base'!$H100:$S100),2))</f>
        <v>893.34</v>
      </c>
      <c r="C100">
        <f>SUM(J100:U100)</f>
        <v>30</v>
      </c>
      <c r="G100">
        <f>SUM(AT100:BE100)</f>
        <v>863.34</v>
      </c>
      <c r="H100">
        <f>B100-G99</f>
        <v>13.85</v>
      </c>
      <c r="I100">
        <f>B100-G100</f>
        <v>30</v>
      </c>
      <c r="J100">
        <f>IF(AT99&lt;=0,0,IF(ROUND(AT99*(1+'Calc base'!H100),2)-MAX('Calc base'!C$12,ROUND('Calc base'!C$13*AT99,2))&lt;1,ROUND(AT99*(1+'Calc base'!H100),2),MAX('Calc base'!C$12,ROUND('Calc base'!C$13*AT99,2))))</f>
        <v>30</v>
      </c>
      <c r="K100">
        <f>IF(AU99&lt;=0,0,IF(ROUND(AU99*(1+'Calc base'!I100),2)-MAX('Calc base'!D$12,ROUND('Calc base'!D$13*AU99,2))&lt;1,ROUND(AU99*(1+'Calc base'!I100),2),MAX('Calc base'!D$12,ROUND('Calc base'!D$13*AU99,2))))</f>
        <v>0</v>
      </c>
      <c r="L100">
        <f>IF(AV99&lt;=0,0,IF(ROUND(AV99*(1+'Calc base'!J100),2)-MAX('Calc base'!E$12,ROUND('Calc base'!E$13*AV99,2))&lt;1,ROUND(AV99*(1+'Calc base'!J100),2),MAX('Calc base'!E$12,ROUND('Calc base'!E$13*AV99,2))))</f>
        <v>0</v>
      </c>
      <c r="M100">
        <f>IF(AW99&lt;=0,0,IF(ROUND(AW99*(1+'Calc base'!K100),2)-MAX('Calc base'!F$12,ROUND('Calc base'!F$13*AW99,2))&lt;1,ROUND(AW99*(1+'Calc base'!K100),2),MAX('Calc base'!F$12,ROUND('Calc base'!F$13*AW99,2))))</f>
        <v>0</v>
      </c>
      <c r="N100">
        <f>IF(AX99&lt;=0,0,IF(ROUND(AX99*(1+'Calc base'!L100),2)-MAX('Calc base'!G$12,ROUND('Calc base'!G$13*AX99,2))&lt;1,ROUND(AX99*(1+'Calc base'!L100),2),MAX('Calc base'!G$12,ROUND('Calc base'!G$13*AX99,2))))</f>
        <v>0</v>
      </c>
      <c r="O100">
        <f>IF(AY99&lt;=0,0,IF(ROUND(AY99*(1+'Calc base'!M100),2)-MAX('Calc base'!H$12,ROUND('Calc base'!H$13*AY99,2))&lt;1,ROUND(AY99*(1+'Calc base'!M100),2),MAX('Calc base'!H$12,ROUND('Calc base'!H$13*AY99,2))))</f>
        <v>0</v>
      </c>
      <c r="P100">
        <f>IF(AZ99&lt;=0,0,IF(ROUND(AZ99*(1+'Calc base'!N100),2)-MAX('Calc base'!I$12,ROUND('Calc base'!I$13*AZ99,2))&lt;1,ROUND(AZ99*(1+'Calc base'!N100),2),MAX('Calc base'!I$12,ROUND('Calc base'!I$13*AZ99,2))))</f>
        <v>0</v>
      </c>
      <c r="Q100">
        <f>IF(BA99&lt;=0,0,IF(ROUND(BA99*(1+'Calc base'!O100),2)-MAX('Calc base'!J$12,ROUND('Calc base'!J$13*BA99,2))&lt;1,ROUND(BA99*(1+'Calc base'!O100),2),MAX('Calc base'!J$12,ROUND('Calc base'!J$13*BA99,2))))</f>
        <v>0</v>
      </c>
      <c r="R100">
        <f>IF(BB99&lt;=0,0,IF(ROUND(BB99*(1+'Calc base'!P100),2)-MAX('Calc base'!K$12,ROUND('Calc base'!K$13*BB99,2))&lt;1,ROUND(BB99*(1+'Calc base'!P100),2),MAX('Calc base'!K$12,ROUND('Calc base'!K$13*BB99,2))))</f>
        <v>0</v>
      </c>
      <c r="S100">
        <f>IF(BC99&lt;=0,0,IF(ROUND(BC99*(1+'Calc base'!Q100),2)-MAX('Calc base'!L$12,ROUND('Calc base'!L$13*BC99,2))&lt;1,ROUND(BC99*(1+'Calc base'!Q100),2),MAX('Calc base'!L$12,ROUND('Calc base'!L$13*BC99,2))))</f>
        <v>0</v>
      </c>
      <c r="T100">
        <f>IF(BD99&lt;=0,0,IF(ROUND(BD99*(1+'Calc base'!R100),2)-MAX('Calc base'!M$12,ROUND('Calc base'!M$13*BD99,2))&lt;1,ROUND(BD99*(1+'Calc base'!R100),2),MAX('Calc base'!M$12,ROUND('Calc base'!M$13*BD99,2))))</f>
        <v>0</v>
      </c>
      <c r="U100">
        <f>IF(BE99&lt;=0,0,IF(ROUND(BE99*(1+'Calc base'!S100),2)-MAX('Calc base'!N$12,ROUND('Calc base'!N$13*BE99,2))&lt;1,ROUND(BE99*(1+'Calc base'!S100),2),MAX('Calc base'!N$12,ROUND('Calc base'!N$13*BE99,2))))</f>
        <v>0</v>
      </c>
      <c r="AT100">
        <f>MAX(0,ROUND(AT99*(1+'Calc base'!H100),2)-J100)</f>
        <v>863.34</v>
      </c>
      <c r="AU100">
        <f>MAX(0,ROUND(AU99*(1+'Calc base'!I100),2)-K100)</f>
        <v>0</v>
      </c>
      <c r="AV100">
        <f>MAX(0,ROUND(AV99*(1+'Calc base'!J100),2)-L100)</f>
        <v>0</v>
      </c>
      <c r="AW100">
        <f>MAX(0,ROUND(AW99*(1+'Calc base'!K100),2)-M100)</f>
        <v>0</v>
      </c>
      <c r="AX100">
        <f>MAX(0,ROUND(AX99*(1+'Calc base'!L100),2)-N100)</f>
        <v>0</v>
      </c>
      <c r="AY100">
        <f>MAX(0,ROUND(AY99*(1+'Calc base'!M100),2)-O100)</f>
        <v>0</v>
      </c>
      <c r="AZ100">
        <f>MAX(0,ROUND(AZ99*(1+'Calc base'!N100),2)-P100)</f>
        <v>0</v>
      </c>
      <c r="BA100">
        <f>MAX(0,ROUND(BA99*(1+'Calc base'!O100),2)-Q100)</f>
        <v>0</v>
      </c>
      <c r="BB100">
        <f>MAX(0,ROUND(BB99*(1+'Calc base'!P100),2)-R100)</f>
        <v>0</v>
      </c>
      <c r="BC100">
        <f>MAX(0,ROUND(BC99*(1+'Calc base'!Q100),2)-S100)</f>
        <v>0</v>
      </c>
      <c r="BD100">
        <f>MAX(0,ROUND(BD99*(1+'Calc base'!R100),2)-T100)</f>
        <v>0</v>
      </c>
      <c r="BE100">
        <f>MAX(0,ROUND(BE99*(1+'Calc base'!S100),2)-U100)</f>
        <v>0</v>
      </c>
    </row>
    <row r="101">
      <c r="A101" t="n">
        <v>71</v>
      </c>
      <c r="B101">
        <f>SUMPRODUCT(ROUND($AT100:$BE100*(1+'Calc base'!$H101:$S101),2))</f>
        <v>876.94</v>
      </c>
      <c r="C101">
        <f>SUM(J101:U101)</f>
        <v>30</v>
      </c>
      <c r="G101">
        <f>SUM(AT101:BE101)</f>
        <v>846.94</v>
      </c>
      <c r="H101">
        <f>B101-G100</f>
        <v>13.6</v>
      </c>
      <c r="I101">
        <f>B101-G101</f>
        <v>30</v>
      </c>
      <c r="J101">
        <f>IF(AT100&lt;=0,0,IF(ROUND(AT100*(1+'Calc base'!H101),2)-MAX('Calc base'!C$12,ROUND('Calc base'!C$13*AT100,2))&lt;1,ROUND(AT100*(1+'Calc base'!H101),2),MAX('Calc base'!C$12,ROUND('Calc base'!C$13*AT100,2))))</f>
        <v>30</v>
      </c>
      <c r="K101">
        <f>IF(AU100&lt;=0,0,IF(ROUND(AU100*(1+'Calc base'!I101),2)-MAX('Calc base'!D$12,ROUND('Calc base'!D$13*AU100,2))&lt;1,ROUND(AU100*(1+'Calc base'!I101),2),MAX('Calc base'!D$12,ROUND('Calc base'!D$13*AU100,2))))</f>
        <v>0</v>
      </c>
      <c r="L101">
        <f>IF(AV100&lt;=0,0,IF(ROUND(AV100*(1+'Calc base'!J101),2)-MAX('Calc base'!E$12,ROUND('Calc base'!E$13*AV100,2))&lt;1,ROUND(AV100*(1+'Calc base'!J101),2),MAX('Calc base'!E$12,ROUND('Calc base'!E$13*AV100,2))))</f>
        <v>0</v>
      </c>
      <c r="M101">
        <f>IF(AW100&lt;=0,0,IF(ROUND(AW100*(1+'Calc base'!K101),2)-MAX('Calc base'!F$12,ROUND('Calc base'!F$13*AW100,2))&lt;1,ROUND(AW100*(1+'Calc base'!K101),2),MAX('Calc base'!F$12,ROUND('Calc base'!F$13*AW100,2))))</f>
        <v>0</v>
      </c>
      <c r="N101">
        <f>IF(AX100&lt;=0,0,IF(ROUND(AX100*(1+'Calc base'!L101),2)-MAX('Calc base'!G$12,ROUND('Calc base'!G$13*AX100,2))&lt;1,ROUND(AX100*(1+'Calc base'!L101),2),MAX('Calc base'!G$12,ROUND('Calc base'!G$13*AX100,2))))</f>
        <v>0</v>
      </c>
      <c r="O101">
        <f>IF(AY100&lt;=0,0,IF(ROUND(AY100*(1+'Calc base'!M101),2)-MAX('Calc base'!H$12,ROUND('Calc base'!H$13*AY100,2))&lt;1,ROUND(AY100*(1+'Calc base'!M101),2),MAX('Calc base'!H$12,ROUND('Calc base'!H$13*AY100,2))))</f>
        <v>0</v>
      </c>
      <c r="P101">
        <f>IF(AZ100&lt;=0,0,IF(ROUND(AZ100*(1+'Calc base'!N101),2)-MAX('Calc base'!I$12,ROUND('Calc base'!I$13*AZ100,2))&lt;1,ROUND(AZ100*(1+'Calc base'!N101),2),MAX('Calc base'!I$12,ROUND('Calc base'!I$13*AZ100,2))))</f>
        <v>0</v>
      </c>
      <c r="Q101">
        <f>IF(BA100&lt;=0,0,IF(ROUND(BA100*(1+'Calc base'!O101),2)-MAX('Calc base'!J$12,ROUND('Calc base'!J$13*BA100,2))&lt;1,ROUND(BA100*(1+'Calc base'!O101),2),MAX('Calc base'!J$12,ROUND('Calc base'!J$13*BA100,2))))</f>
        <v>0</v>
      </c>
      <c r="R101">
        <f>IF(BB100&lt;=0,0,IF(ROUND(BB100*(1+'Calc base'!P101),2)-MAX('Calc base'!K$12,ROUND('Calc base'!K$13*BB100,2))&lt;1,ROUND(BB100*(1+'Calc base'!P101),2),MAX('Calc base'!K$12,ROUND('Calc base'!K$13*BB100,2))))</f>
        <v>0</v>
      </c>
      <c r="S101">
        <f>IF(BC100&lt;=0,0,IF(ROUND(BC100*(1+'Calc base'!Q101),2)-MAX('Calc base'!L$12,ROUND('Calc base'!L$13*BC100,2))&lt;1,ROUND(BC100*(1+'Calc base'!Q101),2),MAX('Calc base'!L$12,ROUND('Calc base'!L$13*BC100,2))))</f>
        <v>0</v>
      </c>
      <c r="T101">
        <f>IF(BD100&lt;=0,0,IF(ROUND(BD100*(1+'Calc base'!R101),2)-MAX('Calc base'!M$12,ROUND('Calc base'!M$13*BD100,2))&lt;1,ROUND(BD100*(1+'Calc base'!R101),2),MAX('Calc base'!M$12,ROUND('Calc base'!M$13*BD100,2))))</f>
        <v>0</v>
      </c>
      <c r="U101">
        <f>IF(BE100&lt;=0,0,IF(ROUND(BE100*(1+'Calc base'!S101),2)-MAX('Calc base'!N$12,ROUND('Calc base'!N$13*BE100,2))&lt;1,ROUND(BE100*(1+'Calc base'!S101),2),MAX('Calc base'!N$12,ROUND('Calc base'!N$13*BE100,2))))</f>
        <v>0</v>
      </c>
      <c r="AT101">
        <f>MAX(0,ROUND(AT100*(1+'Calc base'!H101),2)-J101)</f>
        <v>846.94</v>
      </c>
      <c r="AU101">
        <f>MAX(0,ROUND(AU100*(1+'Calc base'!I101),2)-K101)</f>
        <v>0</v>
      </c>
      <c r="AV101">
        <f>MAX(0,ROUND(AV100*(1+'Calc base'!J101),2)-L101)</f>
        <v>0</v>
      </c>
      <c r="AW101">
        <f>MAX(0,ROUND(AW100*(1+'Calc base'!K101),2)-M101)</f>
        <v>0</v>
      </c>
      <c r="AX101">
        <f>MAX(0,ROUND(AX100*(1+'Calc base'!L101),2)-N101)</f>
        <v>0</v>
      </c>
      <c r="AY101">
        <f>MAX(0,ROUND(AY100*(1+'Calc base'!M101),2)-O101)</f>
        <v>0</v>
      </c>
      <c r="AZ101">
        <f>MAX(0,ROUND(AZ100*(1+'Calc base'!N101),2)-P101)</f>
        <v>0</v>
      </c>
      <c r="BA101">
        <f>MAX(0,ROUND(BA100*(1+'Calc base'!O101),2)-Q101)</f>
        <v>0</v>
      </c>
      <c r="BB101">
        <f>MAX(0,ROUND(BB100*(1+'Calc base'!P101),2)-R101)</f>
        <v>0</v>
      </c>
      <c r="BC101">
        <f>MAX(0,ROUND(BC100*(1+'Calc base'!Q101),2)-S101)</f>
        <v>0</v>
      </c>
      <c r="BD101">
        <f>MAX(0,ROUND(BD100*(1+'Calc base'!R101),2)-T101)</f>
        <v>0</v>
      </c>
      <c r="BE101">
        <f>MAX(0,ROUND(BE100*(1+'Calc base'!S101),2)-U101)</f>
        <v>0</v>
      </c>
    </row>
    <row r="102">
      <c r="A102" t="n">
        <v>72</v>
      </c>
      <c r="B102">
        <f>SUMPRODUCT(ROUND($AT101:$BE101*(1+'Calc base'!$H102:$S102),2))</f>
        <v>860.28</v>
      </c>
      <c r="C102">
        <f>SUM(J102:U102)</f>
        <v>30</v>
      </c>
      <c r="G102">
        <f>SUM(AT102:BE102)</f>
        <v>830.28</v>
      </c>
      <c r="H102">
        <f>B102-G101</f>
        <v>13.3399999999999</v>
      </c>
      <c r="I102">
        <f>B102-G102</f>
        <v>30</v>
      </c>
      <c r="J102">
        <f>IF(AT101&lt;=0,0,IF(ROUND(AT101*(1+'Calc base'!H102),2)-MAX('Calc base'!C$12,ROUND('Calc base'!C$13*AT101,2))&lt;1,ROUND(AT101*(1+'Calc base'!H102),2),MAX('Calc base'!C$12,ROUND('Calc base'!C$13*AT101,2))))</f>
        <v>30</v>
      </c>
      <c r="K102">
        <f>IF(AU101&lt;=0,0,IF(ROUND(AU101*(1+'Calc base'!I102),2)-MAX('Calc base'!D$12,ROUND('Calc base'!D$13*AU101,2))&lt;1,ROUND(AU101*(1+'Calc base'!I102),2),MAX('Calc base'!D$12,ROUND('Calc base'!D$13*AU101,2))))</f>
        <v>0</v>
      </c>
      <c r="L102">
        <f>IF(AV101&lt;=0,0,IF(ROUND(AV101*(1+'Calc base'!J102),2)-MAX('Calc base'!E$12,ROUND('Calc base'!E$13*AV101,2))&lt;1,ROUND(AV101*(1+'Calc base'!J102),2),MAX('Calc base'!E$12,ROUND('Calc base'!E$13*AV101,2))))</f>
        <v>0</v>
      </c>
      <c r="M102">
        <f>IF(AW101&lt;=0,0,IF(ROUND(AW101*(1+'Calc base'!K102),2)-MAX('Calc base'!F$12,ROUND('Calc base'!F$13*AW101,2))&lt;1,ROUND(AW101*(1+'Calc base'!K102),2),MAX('Calc base'!F$12,ROUND('Calc base'!F$13*AW101,2))))</f>
        <v>0</v>
      </c>
      <c r="N102">
        <f>IF(AX101&lt;=0,0,IF(ROUND(AX101*(1+'Calc base'!L102),2)-MAX('Calc base'!G$12,ROUND('Calc base'!G$13*AX101,2))&lt;1,ROUND(AX101*(1+'Calc base'!L102),2),MAX('Calc base'!G$12,ROUND('Calc base'!G$13*AX101,2))))</f>
        <v>0</v>
      </c>
      <c r="O102">
        <f>IF(AY101&lt;=0,0,IF(ROUND(AY101*(1+'Calc base'!M102),2)-MAX('Calc base'!H$12,ROUND('Calc base'!H$13*AY101,2))&lt;1,ROUND(AY101*(1+'Calc base'!M102),2),MAX('Calc base'!H$12,ROUND('Calc base'!H$13*AY101,2))))</f>
        <v>0</v>
      </c>
      <c r="P102">
        <f>IF(AZ101&lt;=0,0,IF(ROUND(AZ101*(1+'Calc base'!N102),2)-MAX('Calc base'!I$12,ROUND('Calc base'!I$13*AZ101,2))&lt;1,ROUND(AZ101*(1+'Calc base'!N102),2),MAX('Calc base'!I$12,ROUND('Calc base'!I$13*AZ101,2))))</f>
        <v>0</v>
      </c>
      <c r="Q102">
        <f>IF(BA101&lt;=0,0,IF(ROUND(BA101*(1+'Calc base'!O102),2)-MAX('Calc base'!J$12,ROUND('Calc base'!J$13*BA101,2))&lt;1,ROUND(BA101*(1+'Calc base'!O102),2),MAX('Calc base'!J$12,ROUND('Calc base'!J$13*BA101,2))))</f>
        <v>0</v>
      </c>
      <c r="R102">
        <f>IF(BB101&lt;=0,0,IF(ROUND(BB101*(1+'Calc base'!P102),2)-MAX('Calc base'!K$12,ROUND('Calc base'!K$13*BB101,2))&lt;1,ROUND(BB101*(1+'Calc base'!P102),2),MAX('Calc base'!K$12,ROUND('Calc base'!K$13*BB101,2))))</f>
        <v>0</v>
      </c>
      <c r="S102">
        <f>IF(BC101&lt;=0,0,IF(ROUND(BC101*(1+'Calc base'!Q102),2)-MAX('Calc base'!L$12,ROUND('Calc base'!L$13*BC101,2))&lt;1,ROUND(BC101*(1+'Calc base'!Q102),2),MAX('Calc base'!L$12,ROUND('Calc base'!L$13*BC101,2))))</f>
        <v>0</v>
      </c>
      <c r="T102">
        <f>IF(BD101&lt;=0,0,IF(ROUND(BD101*(1+'Calc base'!R102),2)-MAX('Calc base'!M$12,ROUND('Calc base'!M$13*BD101,2))&lt;1,ROUND(BD101*(1+'Calc base'!R102),2),MAX('Calc base'!M$12,ROUND('Calc base'!M$13*BD101,2))))</f>
        <v>0</v>
      </c>
      <c r="U102">
        <f>IF(BE101&lt;=0,0,IF(ROUND(BE101*(1+'Calc base'!S102),2)-MAX('Calc base'!N$12,ROUND('Calc base'!N$13*BE101,2))&lt;1,ROUND(BE101*(1+'Calc base'!S102),2),MAX('Calc base'!N$12,ROUND('Calc base'!N$13*BE101,2))))</f>
        <v>0</v>
      </c>
      <c r="AT102">
        <f>MAX(0,ROUND(AT101*(1+'Calc base'!H102),2)-J102)</f>
        <v>830.28</v>
      </c>
      <c r="AU102">
        <f>MAX(0,ROUND(AU101*(1+'Calc base'!I102),2)-K102)</f>
        <v>0</v>
      </c>
      <c r="AV102">
        <f>MAX(0,ROUND(AV101*(1+'Calc base'!J102),2)-L102)</f>
        <v>0</v>
      </c>
      <c r="AW102">
        <f>MAX(0,ROUND(AW101*(1+'Calc base'!K102),2)-M102)</f>
        <v>0</v>
      </c>
      <c r="AX102">
        <f>MAX(0,ROUND(AX101*(1+'Calc base'!L102),2)-N102)</f>
        <v>0</v>
      </c>
      <c r="AY102">
        <f>MAX(0,ROUND(AY101*(1+'Calc base'!M102),2)-O102)</f>
        <v>0</v>
      </c>
      <c r="AZ102">
        <f>MAX(0,ROUND(AZ101*(1+'Calc base'!N102),2)-P102)</f>
        <v>0</v>
      </c>
      <c r="BA102">
        <f>MAX(0,ROUND(BA101*(1+'Calc base'!O102),2)-Q102)</f>
        <v>0</v>
      </c>
      <c r="BB102">
        <f>MAX(0,ROUND(BB101*(1+'Calc base'!P102),2)-R102)</f>
        <v>0</v>
      </c>
      <c r="BC102">
        <f>MAX(0,ROUND(BC101*(1+'Calc base'!Q102),2)-S102)</f>
        <v>0</v>
      </c>
      <c r="BD102">
        <f>MAX(0,ROUND(BD101*(1+'Calc base'!R102),2)-T102)</f>
        <v>0</v>
      </c>
      <c r="BE102">
        <f>MAX(0,ROUND(BE101*(1+'Calc base'!S102),2)-U102)</f>
        <v>0</v>
      </c>
    </row>
    <row r="103">
      <c r="A103" t="n">
        <v>73</v>
      </c>
      <c r="B103">
        <f>SUMPRODUCT(ROUND($AT102:$BE102*(1+'Calc base'!$H103:$S103),2))</f>
        <v>843.36</v>
      </c>
      <c r="C103">
        <f>SUM(J103:U103)</f>
        <v>30</v>
      </c>
      <c r="G103">
        <f>SUM(AT103:BE103)</f>
        <v>813.36</v>
      </c>
      <c r="H103">
        <f>B103-G102</f>
        <v>13.08</v>
      </c>
      <c r="I103">
        <f>B103-G103</f>
        <v>30</v>
      </c>
      <c r="J103">
        <f>IF(AT102&lt;=0,0,IF(ROUND(AT102*(1+'Calc base'!H103),2)-MAX('Calc base'!C$12,ROUND('Calc base'!C$13*AT102,2))&lt;1,ROUND(AT102*(1+'Calc base'!H103),2),MAX('Calc base'!C$12,ROUND('Calc base'!C$13*AT102,2))))</f>
        <v>30</v>
      </c>
      <c r="K103">
        <f>IF(AU102&lt;=0,0,IF(ROUND(AU102*(1+'Calc base'!I103),2)-MAX('Calc base'!D$12,ROUND('Calc base'!D$13*AU102,2))&lt;1,ROUND(AU102*(1+'Calc base'!I103),2),MAX('Calc base'!D$12,ROUND('Calc base'!D$13*AU102,2))))</f>
        <v>0</v>
      </c>
      <c r="L103">
        <f>IF(AV102&lt;=0,0,IF(ROUND(AV102*(1+'Calc base'!J103),2)-MAX('Calc base'!E$12,ROUND('Calc base'!E$13*AV102,2))&lt;1,ROUND(AV102*(1+'Calc base'!J103),2),MAX('Calc base'!E$12,ROUND('Calc base'!E$13*AV102,2))))</f>
        <v>0</v>
      </c>
      <c r="M103">
        <f>IF(AW102&lt;=0,0,IF(ROUND(AW102*(1+'Calc base'!K103),2)-MAX('Calc base'!F$12,ROUND('Calc base'!F$13*AW102,2))&lt;1,ROUND(AW102*(1+'Calc base'!K103),2),MAX('Calc base'!F$12,ROUND('Calc base'!F$13*AW102,2))))</f>
        <v>0</v>
      </c>
      <c r="N103">
        <f>IF(AX102&lt;=0,0,IF(ROUND(AX102*(1+'Calc base'!L103),2)-MAX('Calc base'!G$12,ROUND('Calc base'!G$13*AX102,2))&lt;1,ROUND(AX102*(1+'Calc base'!L103),2),MAX('Calc base'!G$12,ROUND('Calc base'!G$13*AX102,2))))</f>
        <v>0</v>
      </c>
      <c r="O103">
        <f>IF(AY102&lt;=0,0,IF(ROUND(AY102*(1+'Calc base'!M103),2)-MAX('Calc base'!H$12,ROUND('Calc base'!H$13*AY102,2))&lt;1,ROUND(AY102*(1+'Calc base'!M103),2),MAX('Calc base'!H$12,ROUND('Calc base'!H$13*AY102,2))))</f>
        <v>0</v>
      </c>
      <c r="P103">
        <f>IF(AZ102&lt;=0,0,IF(ROUND(AZ102*(1+'Calc base'!N103),2)-MAX('Calc base'!I$12,ROUND('Calc base'!I$13*AZ102,2))&lt;1,ROUND(AZ102*(1+'Calc base'!N103),2),MAX('Calc base'!I$12,ROUND('Calc base'!I$13*AZ102,2))))</f>
        <v>0</v>
      </c>
      <c r="Q103">
        <f>IF(BA102&lt;=0,0,IF(ROUND(BA102*(1+'Calc base'!O103),2)-MAX('Calc base'!J$12,ROUND('Calc base'!J$13*BA102,2))&lt;1,ROUND(BA102*(1+'Calc base'!O103),2),MAX('Calc base'!J$12,ROUND('Calc base'!J$13*BA102,2))))</f>
        <v>0</v>
      </c>
      <c r="R103">
        <f>IF(BB102&lt;=0,0,IF(ROUND(BB102*(1+'Calc base'!P103),2)-MAX('Calc base'!K$12,ROUND('Calc base'!K$13*BB102,2))&lt;1,ROUND(BB102*(1+'Calc base'!P103),2),MAX('Calc base'!K$12,ROUND('Calc base'!K$13*BB102,2))))</f>
        <v>0</v>
      </c>
      <c r="S103">
        <f>IF(BC102&lt;=0,0,IF(ROUND(BC102*(1+'Calc base'!Q103),2)-MAX('Calc base'!L$12,ROUND('Calc base'!L$13*BC102,2))&lt;1,ROUND(BC102*(1+'Calc base'!Q103),2),MAX('Calc base'!L$12,ROUND('Calc base'!L$13*BC102,2))))</f>
        <v>0</v>
      </c>
      <c r="T103">
        <f>IF(BD102&lt;=0,0,IF(ROUND(BD102*(1+'Calc base'!R103),2)-MAX('Calc base'!M$12,ROUND('Calc base'!M$13*BD102,2))&lt;1,ROUND(BD102*(1+'Calc base'!R103),2),MAX('Calc base'!M$12,ROUND('Calc base'!M$13*BD102,2))))</f>
        <v>0</v>
      </c>
      <c r="U103">
        <f>IF(BE102&lt;=0,0,IF(ROUND(BE102*(1+'Calc base'!S103),2)-MAX('Calc base'!N$12,ROUND('Calc base'!N$13*BE102,2))&lt;1,ROUND(BE102*(1+'Calc base'!S103),2),MAX('Calc base'!N$12,ROUND('Calc base'!N$13*BE102,2))))</f>
        <v>0</v>
      </c>
      <c r="AT103">
        <f>MAX(0,ROUND(AT102*(1+'Calc base'!H103),2)-J103)</f>
        <v>813.36</v>
      </c>
      <c r="AU103">
        <f>MAX(0,ROUND(AU102*(1+'Calc base'!I103),2)-K103)</f>
        <v>0</v>
      </c>
      <c r="AV103">
        <f>MAX(0,ROUND(AV102*(1+'Calc base'!J103),2)-L103)</f>
        <v>0</v>
      </c>
      <c r="AW103">
        <f>MAX(0,ROUND(AW102*(1+'Calc base'!K103),2)-M103)</f>
        <v>0</v>
      </c>
      <c r="AX103">
        <f>MAX(0,ROUND(AX102*(1+'Calc base'!L103),2)-N103)</f>
        <v>0</v>
      </c>
      <c r="AY103">
        <f>MAX(0,ROUND(AY102*(1+'Calc base'!M103),2)-O103)</f>
        <v>0</v>
      </c>
      <c r="AZ103">
        <f>MAX(0,ROUND(AZ102*(1+'Calc base'!N103),2)-P103)</f>
        <v>0</v>
      </c>
      <c r="BA103">
        <f>MAX(0,ROUND(BA102*(1+'Calc base'!O103),2)-Q103)</f>
        <v>0</v>
      </c>
      <c r="BB103">
        <f>MAX(0,ROUND(BB102*(1+'Calc base'!P103),2)-R103)</f>
        <v>0</v>
      </c>
      <c r="BC103">
        <f>MAX(0,ROUND(BC102*(1+'Calc base'!Q103),2)-S103)</f>
        <v>0</v>
      </c>
      <c r="BD103">
        <f>MAX(0,ROUND(BD102*(1+'Calc base'!R103),2)-T103)</f>
        <v>0</v>
      </c>
      <c r="BE103">
        <f>MAX(0,ROUND(BE102*(1+'Calc base'!S103),2)-U103)</f>
        <v>0</v>
      </c>
    </row>
    <row r="104">
      <c r="A104" t="n">
        <v>74</v>
      </c>
      <c r="B104">
        <f>SUMPRODUCT(ROUND($AT103:$BE103*(1+'Calc base'!$H104:$S104),2))</f>
        <v>826.17</v>
      </c>
      <c r="C104">
        <f>SUM(J104:U104)</f>
        <v>30</v>
      </c>
      <c r="G104">
        <f>SUM(AT104:BE104)</f>
        <v>796.17</v>
      </c>
      <c r="H104">
        <f>B104-G103</f>
        <v>12.8099999999999</v>
      </c>
      <c r="I104">
        <f>B104-G104</f>
        <v>30</v>
      </c>
      <c r="J104">
        <f>IF(AT103&lt;=0,0,IF(ROUND(AT103*(1+'Calc base'!H104),2)-MAX('Calc base'!C$12,ROUND('Calc base'!C$13*AT103,2))&lt;1,ROUND(AT103*(1+'Calc base'!H104),2),MAX('Calc base'!C$12,ROUND('Calc base'!C$13*AT103,2))))</f>
        <v>30</v>
      </c>
      <c r="K104">
        <f>IF(AU103&lt;=0,0,IF(ROUND(AU103*(1+'Calc base'!I104),2)-MAX('Calc base'!D$12,ROUND('Calc base'!D$13*AU103,2))&lt;1,ROUND(AU103*(1+'Calc base'!I104),2),MAX('Calc base'!D$12,ROUND('Calc base'!D$13*AU103,2))))</f>
        <v>0</v>
      </c>
      <c r="L104">
        <f>IF(AV103&lt;=0,0,IF(ROUND(AV103*(1+'Calc base'!J104),2)-MAX('Calc base'!E$12,ROUND('Calc base'!E$13*AV103,2))&lt;1,ROUND(AV103*(1+'Calc base'!J104),2),MAX('Calc base'!E$12,ROUND('Calc base'!E$13*AV103,2))))</f>
        <v>0</v>
      </c>
      <c r="M104">
        <f>IF(AW103&lt;=0,0,IF(ROUND(AW103*(1+'Calc base'!K104),2)-MAX('Calc base'!F$12,ROUND('Calc base'!F$13*AW103,2))&lt;1,ROUND(AW103*(1+'Calc base'!K104),2),MAX('Calc base'!F$12,ROUND('Calc base'!F$13*AW103,2))))</f>
        <v>0</v>
      </c>
      <c r="N104">
        <f>IF(AX103&lt;=0,0,IF(ROUND(AX103*(1+'Calc base'!L104),2)-MAX('Calc base'!G$12,ROUND('Calc base'!G$13*AX103,2))&lt;1,ROUND(AX103*(1+'Calc base'!L104),2),MAX('Calc base'!G$12,ROUND('Calc base'!G$13*AX103,2))))</f>
        <v>0</v>
      </c>
      <c r="O104">
        <f>IF(AY103&lt;=0,0,IF(ROUND(AY103*(1+'Calc base'!M104),2)-MAX('Calc base'!H$12,ROUND('Calc base'!H$13*AY103,2))&lt;1,ROUND(AY103*(1+'Calc base'!M104),2),MAX('Calc base'!H$12,ROUND('Calc base'!H$13*AY103,2))))</f>
        <v>0</v>
      </c>
      <c r="P104">
        <f>IF(AZ103&lt;=0,0,IF(ROUND(AZ103*(1+'Calc base'!N104),2)-MAX('Calc base'!I$12,ROUND('Calc base'!I$13*AZ103,2))&lt;1,ROUND(AZ103*(1+'Calc base'!N104),2),MAX('Calc base'!I$12,ROUND('Calc base'!I$13*AZ103,2))))</f>
        <v>0</v>
      </c>
      <c r="Q104">
        <f>IF(BA103&lt;=0,0,IF(ROUND(BA103*(1+'Calc base'!O104),2)-MAX('Calc base'!J$12,ROUND('Calc base'!J$13*BA103,2))&lt;1,ROUND(BA103*(1+'Calc base'!O104),2),MAX('Calc base'!J$12,ROUND('Calc base'!J$13*BA103,2))))</f>
        <v>0</v>
      </c>
      <c r="R104">
        <f>IF(BB103&lt;=0,0,IF(ROUND(BB103*(1+'Calc base'!P104),2)-MAX('Calc base'!K$12,ROUND('Calc base'!K$13*BB103,2))&lt;1,ROUND(BB103*(1+'Calc base'!P104),2),MAX('Calc base'!K$12,ROUND('Calc base'!K$13*BB103,2))))</f>
        <v>0</v>
      </c>
      <c r="S104">
        <f>IF(BC103&lt;=0,0,IF(ROUND(BC103*(1+'Calc base'!Q104),2)-MAX('Calc base'!L$12,ROUND('Calc base'!L$13*BC103,2))&lt;1,ROUND(BC103*(1+'Calc base'!Q104),2),MAX('Calc base'!L$12,ROUND('Calc base'!L$13*BC103,2))))</f>
        <v>0</v>
      </c>
      <c r="T104">
        <f>IF(BD103&lt;=0,0,IF(ROUND(BD103*(1+'Calc base'!R104),2)-MAX('Calc base'!M$12,ROUND('Calc base'!M$13*BD103,2))&lt;1,ROUND(BD103*(1+'Calc base'!R104),2),MAX('Calc base'!M$12,ROUND('Calc base'!M$13*BD103,2))))</f>
        <v>0</v>
      </c>
      <c r="U104">
        <f>IF(BE103&lt;=0,0,IF(ROUND(BE103*(1+'Calc base'!S104),2)-MAX('Calc base'!N$12,ROUND('Calc base'!N$13*BE103,2))&lt;1,ROUND(BE103*(1+'Calc base'!S104),2),MAX('Calc base'!N$12,ROUND('Calc base'!N$13*BE103,2))))</f>
        <v>0</v>
      </c>
      <c r="AT104">
        <f>MAX(0,ROUND(AT103*(1+'Calc base'!H104),2)-J104)</f>
        <v>796.17</v>
      </c>
      <c r="AU104">
        <f>MAX(0,ROUND(AU103*(1+'Calc base'!I104),2)-K104)</f>
        <v>0</v>
      </c>
      <c r="AV104">
        <f>MAX(0,ROUND(AV103*(1+'Calc base'!J104),2)-L104)</f>
        <v>0</v>
      </c>
      <c r="AW104">
        <f>MAX(0,ROUND(AW103*(1+'Calc base'!K104),2)-M104)</f>
        <v>0</v>
      </c>
      <c r="AX104">
        <f>MAX(0,ROUND(AX103*(1+'Calc base'!L104),2)-N104)</f>
        <v>0</v>
      </c>
      <c r="AY104">
        <f>MAX(0,ROUND(AY103*(1+'Calc base'!M104),2)-O104)</f>
        <v>0</v>
      </c>
      <c r="AZ104">
        <f>MAX(0,ROUND(AZ103*(1+'Calc base'!N104),2)-P104)</f>
        <v>0</v>
      </c>
      <c r="BA104">
        <f>MAX(0,ROUND(BA103*(1+'Calc base'!O104),2)-Q104)</f>
        <v>0</v>
      </c>
      <c r="BB104">
        <f>MAX(0,ROUND(BB103*(1+'Calc base'!P104),2)-R104)</f>
        <v>0</v>
      </c>
      <c r="BC104">
        <f>MAX(0,ROUND(BC103*(1+'Calc base'!Q104),2)-S104)</f>
        <v>0</v>
      </c>
      <c r="BD104">
        <f>MAX(0,ROUND(BD103*(1+'Calc base'!R104),2)-T104)</f>
        <v>0</v>
      </c>
      <c r="BE104">
        <f>MAX(0,ROUND(BE103*(1+'Calc base'!S104),2)-U104)</f>
        <v>0</v>
      </c>
    </row>
    <row r="105">
      <c r="A105" t="n">
        <v>75</v>
      </c>
      <c r="B105">
        <f>SUMPRODUCT(ROUND($AT104:$BE104*(1+'Calc base'!$H105:$S105),2))</f>
        <v>808.71</v>
      </c>
      <c r="C105">
        <f>SUM(J105:U105)</f>
        <v>30</v>
      </c>
      <c r="G105">
        <f>SUM(AT105:BE105)</f>
        <v>778.71</v>
      </c>
      <c r="H105">
        <f>B105-G104</f>
        <v>12.5400000000001</v>
      </c>
      <c r="I105">
        <f>B105-G105</f>
        <v>30</v>
      </c>
      <c r="J105">
        <f>IF(AT104&lt;=0,0,IF(ROUND(AT104*(1+'Calc base'!H105),2)-MAX('Calc base'!C$12,ROUND('Calc base'!C$13*AT104,2))&lt;1,ROUND(AT104*(1+'Calc base'!H105),2),MAX('Calc base'!C$12,ROUND('Calc base'!C$13*AT104,2))))</f>
        <v>30</v>
      </c>
      <c r="K105">
        <f>IF(AU104&lt;=0,0,IF(ROUND(AU104*(1+'Calc base'!I105),2)-MAX('Calc base'!D$12,ROUND('Calc base'!D$13*AU104,2))&lt;1,ROUND(AU104*(1+'Calc base'!I105),2),MAX('Calc base'!D$12,ROUND('Calc base'!D$13*AU104,2))))</f>
        <v>0</v>
      </c>
      <c r="L105">
        <f>IF(AV104&lt;=0,0,IF(ROUND(AV104*(1+'Calc base'!J105),2)-MAX('Calc base'!E$12,ROUND('Calc base'!E$13*AV104,2))&lt;1,ROUND(AV104*(1+'Calc base'!J105),2),MAX('Calc base'!E$12,ROUND('Calc base'!E$13*AV104,2))))</f>
        <v>0</v>
      </c>
      <c r="M105">
        <f>IF(AW104&lt;=0,0,IF(ROUND(AW104*(1+'Calc base'!K105),2)-MAX('Calc base'!F$12,ROUND('Calc base'!F$13*AW104,2))&lt;1,ROUND(AW104*(1+'Calc base'!K105),2),MAX('Calc base'!F$12,ROUND('Calc base'!F$13*AW104,2))))</f>
        <v>0</v>
      </c>
      <c r="N105">
        <f>IF(AX104&lt;=0,0,IF(ROUND(AX104*(1+'Calc base'!L105),2)-MAX('Calc base'!G$12,ROUND('Calc base'!G$13*AX104,2))&lt;1,ROUND(AX104*(1+'Calc base'!L105),2),MAX('Calc base'!G$12,ROUND('Calc base'!G$13*AX104,2))))</f>
        <v>0</v>
      </c>
      <c r="O105">
        <f>IF(AY104&lt;=0,0,IF(ROUND(AY104*(1+'Calc base'!M105),2)-MAX('Calc base'!H$12,ROUND('Calc base'!H$13*AY104,2))&lt;1,ROUND(AY104*(1+'Calc base'!M105),2),MAX('Calc base'!H$12,ROUND('Calc base'!H$13*AY104,2))))</f>
        <v>0</v>
      </c>
      <c r="P105">
        <f>IF(AZ104&lt;=0,0,IF(ROUND(AZ104*(1+'Calc base'!N105),2)-MAX('Calc base'!I$12,ROUND('Calc base'!I$13*AZ104,2))&lt;1,ROUND(AZ104*(1+'Calc base'!N105),2),MAX('Calc base'!I$12,ROUND('Calc base'!I$13*AZ104,2))))</f>
        <v>0</v>
      </c>
      <c r="Q105">
        <f>IF(BA104&lt;=0,0,IF(ROUND(BA104*(1+'Calc base'!O105),2)-MAX('Calc base'!J$12,ROUND('Calc base'!J$13*BA104,2))&lt;1,ROUND(BA104*(1+'Calc base'!O105),2),MAX('Calc base'!J$12,ROUND('Calc base'!J$13*BA104,2))))</f>
        <v>0</v>
      </c>
      <c r="R105">
        <f>IF(BB104&lt;=0,0,IF(ROUND(BB104*(1+'Calc base'!P105),2)-MAX('Calc base'!K$12,ROUND('Calc base'!K$13*BB104,2))&lt;1,ROUND(BB104*(1+'Calc base'!P105),2),MAX('Calc base'!K$12,ROUND('Calc base'!K$13*BB104,2))))</f>
        <v>0</v>
      </c>
      <c r="S105">
        <f>IF(BC104&lt;=0,0,IF(ROUND(BC104*(1+'Calc base'!Q105),2)-MAX('Calc base'!L$12,ROUND('Calc base'!L$13*BC104,2))&lt;1,ROUND(BC104*(1+'Calc base'!Q105),2),MAX('Calc base'!L$12,ROUND('Calc base'!L$13*BC104,2))))</f>
        <v>0</v>
      </c>
      <c r="T105">
        <f>IF(BD104&lt;=0,0,IF(ROUND(BD104*(1+'Calc base'!R105),2)-MAX('Calc base'!M$12,ROUND('Calc base'!M$13*BD104,2))&lt;1,ROUND(BD104*(1+'Calc base'!R105),2),MAX('Calc base'!M$12,ROUND('Calc base'!M$13*BD104,2))))</f>
        <v>0</v>
      </c>
      <c r="U105">
        <f>IF(BE104&lt;=0,0,IF(ROUND(BE104*(1+'Calc base'!S105),2)-MAX('Calc base'!N$12,ROUND('Calc base'!N$13*BE104,2))&lt;1,ROUND(BE104*(1+'Calc base'!S105),2),MAX('Calc base'!N$12,ROUND('Calc base'!N$13*BE104,2))))</f>
        <v>0</v>
      </c>
      <c r="AT105">
        <f>MAX(0,ROUND(AT104*(1+'Calc base'!H105),2)-J105)</f>
        <v>778.71</v>
      </c>
      <c r="AU105">
        <f>MAX(0,ROUND(AU104*(1+'Calc base'!I105),2)-K105)</f>
        <v>0</v>
      </c>
      <c r="AV105">
        <f>MAX(0,ROUND(AV104*(1+'Calc base'!J105),2)-L105)</f>
        <v>0</v>
      </c>
      <c r="AW105">
        <f>MAX(0,ROUND(AW104*(1+'Calc base'!K105),2)-M105)</f>
        <v>0</v>
      </c>
      <c r="AX105">
        <f>MAX(0,ROUND(AX104*(1+'Calc base'!L105),2)-N105)</f>
        <v>0</v>
      </c>
      <c r="AY105">
        <f>MAX(0,ROUND(AY104*(1+'Calc base'!M105),2)-O105)</f>
        <v>0</v>
      </c>
      <c r="AZ105">
        <f>MAX(0,ROUND(AZ104*(1+'Calc base'!N105),2)-P105)</f>
        <v>0</v>
      </c>
      <c r="BA105">
        <f>MAX(0,ROUND(BA104*(1+'Calc base'!O105),2)-Q105)</f>
        <v>0</v>
      </c>
      <c r="BB105">
        <f>MAX(0,ROUND(BB104*(1+'Calc base'!P105),2)-R105)</f>
        <v>0</v>
      </c>
      <c r="BC105">
        <f>MAX(0,ROUND(BC104*(1+'Calc base'!Q105),2)-S105)</f>
        <v>0</v>
      </c>
      <c r="BD105">
        <f>MAX(0,ROUND(BD104*(1+'Calc base'!R105),2)-T105)</f>
        <v>0</v>
      </c>
      <c r="BE105">
        <f>MAX(0,ROUND(BE104*(1+'Calc base'!S105),2)-U105)</f>
        <v>0</v>
      </c>
    </row>
    <row r="106">
      <c r="A106" t="n">
        <v>76</v>
      </c>
      <c r="B106">
        <f>SUMPRODUCT(ROUND($AT105:$BE105*(1+'Calc base'!$H106:$S106),2))</f>
        <v>790.97</v>
      </c>
      <c r="C106">
        <f>SUM(J106:U106)</f>
        <v>30</v>
      </c>
      <c r="G106">
        <f>SUM(AT106:BE106)</f>
        <v>760.97</v>
      </c>
      <c r="H106">
        <f>B106-G105</f>
        <v>12.26</v>
      </c>
      <c r="I106">
        <f>B106-G106</f>
        <v>30</v>
      </c>
      <c r="J106">
        <f>IF(AT105&lt;=0,0,IF(ROUND(AT105*(1+'Calc base'!H106),2)-MAX('Calc base'!C$12,ROUND('Calc base'!C$13*AT105,2))&lt;1,ROUND(AT105*(1+'Calc base'!H106),2),MAX('Calc base'!C$12,ROUND('Calc base'!C$13*AT105,2))))</f>
        <v>30</v>
      </c>
      <c r="K106">
        <f>IF(AU105&lt;=0,0,IF(ROUND(AU105*(1+'Calc base'!I106),2)-MAX('Calc base'!D$12,ROUND('Calc base'!D$13*AU105,2))&lt;1,ROUND(AU105*(1+'Calc base'!I106),2),MAX('Calc base'!D$12,ROUND('Calc base'!D$13*AU105,2))))</f>
        <v>0</v>
      </c>
      <c r="L106">
        <f>IF(AV105&lt;=0,0,IF(ROUND(AV105*(1+'Calc base'!J106),2)-MAX('Calc base'!E$12,ROUND('Calc base'!E$13*AV105,2))&lt;1,ROUND(AV105*(1+'Calc base'!J106),2),MAX('Calc base'!E$12,ROUND('Calc base'!E$13*AV105,2))))</f>
        <v>0</v>
      </c>
      <c r="M106">
        <f>IF(AW105&lt;=0,0,IF(ROUND(AW105*(1+'Calc base'!K106),2)-MAX('Calc base'!F$12,ROUND('Calc base'!F$13*AW105,2))&lt;1,ROUND(AW105*(1+'Calc base'!K106),2),MAX('Calc base'!F$12,ROUND('Calc base'!F$13*AW105,2))))</f>
        <v>0</v>
      </c>
      <c r="N106">
        <f>IF(AX105&lt;=0,0,IF(ROUND(AX105*(1+'Calc base'!L106),2)-MAX('Calc base'!G$12,ROUND('Calc base'!G$13*AX105,2))&lt;1,ROUND(AX105*(1+'Calc base'!L106),2),MAX('Calc base'!G$12,ROUND('Calc base'!G$13*AX105,2))))</f>
        <v>0</v>
      </c>
      <c r="O106">
        <f>IF(AY105&lt;=0,0,IF(ROUND(AY105*(1+'Calc base'!M106),2)-MAX('Calc base'!H$12,ROUND('Calc base'!H$13*AY105,2))&lt;1,ROUND(AY105*(1+'Calc base'!M106),2),MAX('Calc base'!H$12,ROUND('Calc base'!H$13*AY105,2))))</f>
        <v>0</v>
      </c>
      <c r="P106">
        <f>IF(AZ105&lt;=0,0,IF(ROUND(AZ105*(1+'Calc base'!N106),2)-MAX('Calc base'!I$12,ROUND('Calc base'!I$13*AZ105,2))&lt;1,ROUND(AZ105*(1+'Calc base'!N106),2),MAX('Calc base'!I$12,ROUND('Calc base'!I$13*AZ105,2))))</f>
        <v>0</v>
      </c>
      <c r="Q106">
        <f>IF(BA105&lt;=0,0,IF(ROUND(BA105*(1+'Calc base'!O106),2)-MAX('Calc base'!J$12,ROUND('Calc base'!J$13*BA105,2))&lt;1,ROUND(BA105*(1+'Calc base'!O106),2),MAX('Calc base'!J$12,ROUND('Calc base'!J$13*BA105,2))))</f>
        <v>0</v>
      </c>
      <c r="R106">
        <f>IF(BB105&lt;=0,0,IF(ROUND(BB105*(1+'Calc base'!P106),2)-MAX('Calc base'!K$12,ROUND('Calc base'!K$13*BB105,2))&lt;1,ROUND(BB105*(1+'Calc base'!P106),2),MAX('Calc base'!K$12,ROUND('Calc base'!K$13*BB105,2))))</f>
        <v>0</v>
      </c>
      <c r="S106">
        <f>IF(BC105&lt;=0,0,IF(ROUND(BC105*(1+'Calc base'!Q106),2)-MAX('Calc base'!L$12,ROUND('Calc base'!L$13*BC105,2))&lt;1,ROUND(BC105*(1+'Calc base'!Q106),2),MAX('Calc base'!L$12,ROUND('Calc base'!L$13*BC105,2))))</f>
        <v>0</v>
      </c>
      <c r="T106">
        <f>IF(BD105&lt;=0,0,IF(ROUND(BD105*(1+'Calc base'!R106),2)-MAX('Calc base'!M$12,ROUND('Calc base'!M$13*BD105,2))&lt;1,ROUND(BD105*(1+'Calc base'!R106),2),MAX('Calc base'!M$12,ROUND('Calc base'!M$13*BD105,2))))</f>
        <v>0</v>
      </c>
      <c r="U106">
        <f>IF(BE105&lt;=0,0,IF(ROUND(BE105*(1+'Calc base'!S106),2)-MAX('Calc base'!N$12,ROUND('Calc base'!N$13*BE105,2))&lt;1,ROUND(BE105*(1+'Calc base'!S106),2),MAX('Calc base'!N$12,ROUND('Calc base'!N$13*BE105,2))))</f>
        <v>0</v>
      </c>
      <c r="AT106">
        <f>MAX(0,ROUND(AT105*(1+'Calc base'!H106),2)-J106)</f>
        <v>760.97</v>
      </c>
      <c r="AU106">
        <f>MAX(0,ROUND(AU105*(1+'Calc base'!I106),2)-K106)</f>
        <v>0</v>
      </c>
      <c r="AV106">
        <f>MAX(0,ROUND(AV105*(1+'Calc base'!J106),2)-L106)</f>
        <v>0</v>
      </c>
      <c r="AW106">
        <f>MAX(0,ROUND(AW105*(1+'Calc base'!K106),2)-M106)</f>
        <v>0</v>
      </c>
      <c r="AX106">
        <f>MAX(0,ROUND(AX105*(1+'Calc base'!L106),2)-N106)</f>
        <v>0</v>
      </c>
      <c r="AY106">
        <f>MAX(0,ROUND(AY105*(1+'Calc base'!M106),2)-O106)</f>
        <v>0</v>
      </c>
      <c r="AZ106">
        <f>MAX(0,ROUND(AZ105*(1+'Calc base'!N106),2)-P106)</f>
        <v>0</v>
      </c>
      <c r="BA106">
        <f>MAX(0,ROUND(BA105*(1+'Calc base'!O106),2)-Q106)</f>
        <v>0</v>
      </c>
      <c r="BB106">
        <f>MAX(0,ROUND(BB105*(1+'Calc base'!P106),2)-R106)</f>
        <v>0</v>
      </c>
      <c r="BC106">
        <f>MAX(0,ROUND(BC105*(1+'Calc base'!Q106),2)-S106)</f>
        <v>0</v>
      </c>
      <c r="BD106">
        <f>MAX(0,ROUND(BD105*(1+'Calc base'!R106),2)-T106)</f>
        <v>0</v>
      </c>
      <c r="BE106">
        <f>MAX(0,ROUND(BE105*(1+'Calc base'!S106),2)-U106)</f>
        <v>0</v>
      </c>
    </row>
    <row r="107">
      <c r="A107" t="n">
        <v>77</v>
      </c>
      <c r="B107">
        <f>SUMPRODUCT(ROUND($AT106:$BE106*(1+'Calc base'!$H107:$S107),2))</f>
        <v>772.96</v>
      </c>
      <c r="C107">
        <f>SUM(J107:U107)</f>
        <v>30</v>
      </c>
      <c r="G107">
        <f>SUM(AT107:BE107)</f>
        <v>742.96</v>
      </c>
      <c r="H107">
        <f>B107-G106</f>
        <v>11.99</v>
      </c>
      <c r="I107">
        <f>B107-G107</f>
        <v>30</v>
      </c>
      <c r="J107">
        <f>IF(AT106&lt;=0,0,IF(ROUND(AT106*(1+'Calc base'!H107),2)-MAX('Calc base'!C$12,ROUND('Calc base'!C$13*AT106,2))&lt;1,ROUND(AT106*(1+'Calc base'!H107),2),MAX('Calc base'!C$12,ROUND('Calc base'!C$13*AT106,2))))</f>
        <v>30</v>
      </c>
      <c r="K107">
        <f>IF(AU106&lt;=0,0,IF(ROUND(AU106*(1+'Calc base'!I107),2)-MAX('Calc base'!D$12,ROUND('Calc base'!D$13*AU106,2))&lt;1,ROUND(AU106*(1+'Calc base'!I107),2),MAX('Calc base'!D$12,ROUND('Calc base'!D$13*AU106,2))))</f>
        <v>0</v>
      </c>
      <c r="L107">
        <f>IF(AV106&lt;=0,0,IF(ROUND(AV106*(1+'Calc base'!J107),2)-MAX('Calc base'!E$12,ROUND('Calc base'!E$13*AV106,2))&lt;1,ROUND(AV106*(1+'Calc base'!J107),2),MAX('Calc base'!E$12,ROUND('Calc base'!E$13*AV106,2))))</f>
        <v>0</v>
      </c>
      <c r="M107">
        <f>IF(AW106&lt;=0,0,IF(ROUND(AW106*(1+'Calc base'!K107),2)-MAX('Calc base'!F$12,ROUND('Calc base'!F$13*AW106,2))&lt;1,ROUND(AW106*(1+'Calc base'!K107),2),MAX('Calc base'!F$12,ROUND('Calc base'!F$13*AW106,2))))</f>
        <v>0</v>
      </c>
      <c r="N107">
        <f>IF(AX106&lt;=0,0,IF(ROUND(AX106*(1+'Calc base'!L107),2)-MAX('Calc base'!G$12,ROUND('Calc base'!G$13*AX106,2))&lt;1,ROUND(AX106*(1+'Calc base'!L107),2),MAX('Calc base'!G$12,ROUND('Calc base'!G$13*AX106,2))))</f>
        <v>0</v>
      </c>
      <c r="O107">
        <f>IF(AY106&lt;=0,0,IF(ROUND(AY106*(1+'Calc base'!M107),2)-MAX('Calc base'!H$12,ROUND('Calc base'!H$13*AY106,2))&lt;1,ROUND(AY106*(1+'Calc base'!M107),2),MAX('Calc base'!H$12,ROUND('Calc base'!H$13*AY106,2))))</f>
        <v>0</v>
      </c>
      <c r="P107">
        <f>IF(AZ106&lt;=0,0,IF(ROUND(AZ106*(1+'Calc base'!N107),2)-MAX('Calc base'!I$12,ROUND('Calc base'!I$13*AZ106,2))&lt;1,ROUND(AZ106*(1+'Calc base'!N107),2),MAX('Calc base'!I$12,ROUND('Calc base'!I$13*AZ106,2))))</f>
        <v>0</v>
      </c>
      <c r="Q107">
        <f>IF(BA106&lt;=0,0,IF(ROUND(BA106*(1+'Calc base'!O107),2)-MAX('Calc base'!J$12,ROUND('Calc base'!J$13*BA106,2))&lt;1,ROUND(BA106*(1+'Calc base'!O107),2),MAX('Calc base'!J$12,ROUND('Calc base'!J$13*BA106,2))))</f>
        <v>0</v>
      </c>
      <c r="R107">
        <f>IF(BB106&lt;=0,0,IF(ROUND(BB106*(1+'Calc base'!P107),2)-MAX('Calc base'!K$12,ROUND('Calc base'!K$13*BB106,2))&lt;1,ROUND(BB106*(1+'Calc base'!P107),2),MAX('Calc base'!K$12,ROUND('Calc base'!K$13*BB106,2))))</f>
        <v>0</v>
      </c>
      <c r="S107">
        <f>IF(BC106&lt;=0,0,IF(ROUND(BC106*(1+'Calc base'!Q107),2)-MAX('Calc base'!L$12,ROUND('Calc base'!L$13*BC106,2))&lt;1,ROUND(BC106*(1+'Calc base'!Q107),2),MAX('Calc base'!L$12,ROUND('Calc base'!L$13*BC106,2))))</f>
        <v>0</v>
      </c>
      <c r="T107">
        <f>IF(BD106&lt;=0,0,IF(ROUND(BD106*(1+'Calc base'!R107),2)-MAX('Calc base'!M$12,ROUND('Calc base'!M$13*BD106,2))&lt;1,ROUND(BD106*(1+'Calc base'!R107),2),MAX('Calc base'!M$12,ROUND('Calc base'!M$13*BD106,2))))</f>
        <v>0</v>
      </c>
      <c r="U107">
        <f>IF(BE106&lt;=0,0,IF(ROUND(BE106*(1+'Calc base'!S107),2)-MAX('Calc base'!N$12,ROUND('Calc base'!N$13*BE106,2))&lt;1,ROUND(BE106*(1+'Calc base'!S107),2),MAX('Calc base'!N$12,ROUND('Calc base'!N$13*BE106,2))))</f>
        <v>0</v>
      </c>
      <c r="AT107">
        <f>MAX(0,ROUND(AT106*(1+'Calc base'!H107),2)-J107)</f>
        <v>742.96</v>
      </c>
      <c r="AU107">
        <f>MAX(0,ROUND(AU106*(1+'Calc base'!I107),2)-K107)</f>
        <v>0</v>
      </c>
      <c r="AV107">
        <f>MAX(0,ROUND(AV106*(1+'Calc base'!J107),2)-L107)</f>
        <v>0</v>
      </c>
      <c r="AW107">
        <f>MAX(0,ROUND(AW106*(1+'Calc base'!K107),2)-M107)</f>
        <v>0</v>
      </c>
      <c r="AX107">
        <f>MAX(0,ROUND(AX106*(1+'Calc base'!L107),2)-N107)</f>
        <v>0</v>
      </c>
      <c r="AY107">
        <f>MAX(0,ROUND(AY106*(1+'Calc base'!M107),2)-O107)</f>
        <v>0</v>
      </c>
      <c r="AZ107">
        <f>MAX(0,ROUND(AZ106*(1+'Calc base'!N107),2)-P107)</f>
        <v>0</v>
      </c>
      <c r="BA107">
        <f>MAX(0,ROUND(BA106*(1+'Calc base'!O107),2)-Q107)</f>
        <v>0</v>
      </c>
      <c r="BB107">
        <f>MAX(0,ROUND(BB106*(1+'Calc base'!P107),2)-R107)</f>
        <v>0</v>
      </c>
      <c r="BC107">
        <f>MAX(0,ROUND(BC106*(1+'Calc base'!Q107),2)-S107)</f>
        <v>0</v>
      </c>
      <c r="BD107">
        <f>MAX(0,ROUND(BD106*(1+'Calc base'!R107),2)-T107)</f>
        <v>0</v>
      </c>
      <c r="BE107">
        <f>MAX(0,ROUND(BE106*(1+'Calc base'!S107),2)-U107)</f>
        <v>0</v>
      </c>
    </row>
    <row r="108">
      <c r="A108" t="n">
        <v>78</v>
      </c>
      <c r="B108">
        <f>SUMPRODUCT(ROUND($AT107:$BE107*(1+'Calc base'!$H108:$S108),2))</f>
        <v>754.66</v>
      </c>
      <c r="C108">
        <f>SUM(J108:U108)</f>
        <v>30</v>
      </c>
      <c r="G108">
        <f>SUM(AT108:BE108)</f>
        <v>724.66</v>
      </c>
      <c r="H108">
        <f>B108-G107</f>
        <v>11.6999999999999</v>
      </c>
      <c r="I108">
        <f>B108-G108</f>
        <v>30</v>
      </c>
      <c r="J108">
        <f>IF(AT107&lt;=0,0,IF(ROUND(AT107*(1+'Calc base'!H108),2)-MAX('Calc base'!C$12,ROUND('Calc base'!C$13*AT107,2))&lt;1,ROUND(AT107*(1+'Calc base'!H108),2),MAX('Calc base'!C$12,ROUND('Calc base'!C$13*AT107,2))))</f>
        <v>30</v>
      </c>
      <c r="K108">
        <f>IF(AU107&lt;=0,0,IF(ROUND(AU107*(1+'Calc base'!I108),2)-MAX('Calc base'!D$12,ROUND('Calc base'!D$13*AU107,2))&lt;1,ROUND(AU107*(1+'Calc base'!I108),2),MAX('Calc base'!D$12,ROUND('Calc base'!D$13*AU107,2))))</f>
        <v>0</v>
      </c>
      <c r="L108">
        <f>IF(AV107&lt;=0,0,IF(ROUND(AV107*(1+'Calc base'!J108),2)-MAX('Calc base'!E$12,ROUND('Calc base'!E$13*AV107,2))&lt;1,ROUND(AV107*(1+'Calc base'!J108),2),MAX('Calc base'!E$12,ROUND('Calc base'!E$13*AV107,2))))</f>
        <v>0</v>
      </c>
      <c r="M108">
        <f>IF(AW107&lt;=0,0,IF(ROUND(AW107*(1+'Calc base'!K108),2)-MAX('Calc base'!F$12,ROUND('Calc base'!F$13*AW107,2))&lt;1,ROUND(AW107*(1+'Calc base'!K108),2),MAX('Calc base'!F$12,ROUND('Calc base'!F$13*AW107,2))))</f>
        <v>0</v>
      </c>
      <c r="N108">
        <f>IF(AX107&lt;=0,0,IF(ROUND(AX107*(1+'Calc base'!L108),2)-MAX('Calc base'!G$12,ROUND('Calc base'!G$13*AX107,2))&lt;1,ROUND(AX107*(1+'Calc base'!L108),2),MAX('Calc base'!G$12,ROUND('Calc base'!G$13*AX107,2))))</f>
        <v>0</v>
      </c>
      <c r="O108">
        <f>IF(AY107&lt;=0,0,IF(ROUND(AY107*(1+'Calc base'!M108),2)-MAX('Calc base'!H$12,ROUND('Calc base'!H$13*AY107,2))&lt;1,ROUND(AY107*(1+'Calc base'!M108),2),MAX('Calc base'!H$12,ROUND('Calc base'!H$13*AY107,2))))</f>
        <v>0</v>
      </c>
      <c r="P108">
        <f>IF(AZ107&lt;=0,0,IF(ROUND(AZ107*(1+'Calc base'!N108),2)-MAX('Calc base'!I$12,ROUND('Calc base'!I$13*AZ107,2))&lt;1,ROUND(AZ107*(1+'Calc base'!N108),2),MAX('Calc base'!I$12,ROUND('Calc base'!I$13*AZ107,2))))</f>
        <v>0</v>
      </c>
      <c r="Q108">
        <f>IF(BA107&lt;=0,0,IF(ROUND(BA107*(1+'Calc base'!O108),2)-MAX('Calc base'!J$12,ROUND('Calc base'!J$13*BA107,2))&lt;1,ROUND(BA107*(1+'Calc base'!O108),2),MAX('Calc base'!J$12,ROUND('Calc base'!J$13*BA107,2))))</f>
        <v>0</v>
      </c>
      <c r="R108">
        <f>IF(BB107&lt;=0,0,IF(ROUND(BB107*(1+'Calc base'!P108),2)-MAX('Calc base'!K$12,ROUND('Calc base'!K$13*BB107,2))&lt;1,ROUND(BB107*(1+'Calc base'!P108),2),MAX('Calc base'!K$12,ROUND('Calc base'!K$13*BB107,2))))</f>
        <v>0</v>
      </c>
      <c r="S108">
        <f>IF(BC107&lt;=0,0,IF(ROUND(BC107*(1+'Calc base'!Q108),2)-MAX('Calc base'!L$12,ROUND('Calc base'!L$13*BC107,2))&lt;1,ROUND(BC107*(1+'Calc base'!Q108),2),MAX('Calc base'!L$12,ROUND('Calc base'!L$13*BC107,2))))</f>
        <v>0</v>
      </c>
      <c r="T108">
        <f>IF(BD107&lt;=0,0,IF(ROUND(BD107*(1+'Calc base'!R108),2)-MAX('Calc base'!M$12,ROUND('Calc base'!M$13*BD107,2))&lt;1,ROUND(BD107*(1+'Calc base'!R108),2),MAX('Calc base'!M$12,ROUND('Calc base'!M$13*BD107,2))))</f>
        <v>0</v>
      </c>
      <c r="U108">
        <f>IF(BE107&lt;=0,0,IF(ROUND(BE107*(1+'Calc base'!S108),2)-MAX('Calc base'!N$12,ROUND('Calc base'!N$13*BE107,2))&lt;1,ROUND(BE107*(1+'Calc base'!S108),2),MAX('Calc base'!N$12,ROUND('Calc base'!N$13*BE107,2))))</f>
        <v>0</v>
      </c>
      <c r="AT108">
        <f>MAX(0,ROUND(AT107*(1+'Calc base'!H108),2)-J108)</f>
        <v>724.66</v>
      </c>
      <c r="AU108">
        <f>MAX(0,ROUND(AU107*(1+'Calc base'!I108),2)-K108)</f>
        <v>0</v>
      </c>
      <c r="AV108">
        <f>MAX(0,ROUND(AV107*(1+'Calc base'!J108),2)-L108)</f>
        <v>0</v>
      </c>
      <c r="AW108">
        <f>MAX(0,ROUND(AW107*(1+'Calc base'!K108),2)-M108)</f>
        <v>0</v>
      </c>
      <c r="AX108">
        <f>MAX(0,ROUND(AX107*(1+'Calc base'!L108),2)-N108)</f>
        <v>0</v>
      </c>
      <c r="AY108">
        <f>MAX(0,ROUND(AY107*(1+'Calc base'!M108),2)-O108)</f>
        <v>0</v>
      </c>
      <c r="AZ108">
        <f>MAX(0,ROUND(AZ107*(1+'Calc base'!N108),2)-P108)</f>
        <v>0</v>
      </c>
      <c r="BA108">
        <f>MAX(0,ROUND(BA107*(1+'Calc base'!O108),2)-Q108)</f>
        <v>0</v>
      </c>
      <c r="BB108">
        <f>MAX(0,ROUND(BB107*(1+'Calc base'!P108),2)-R108)</f>
        <v>0</v>
      </c>
      <c r="BC108">
        <f>MAX(0,ROUND(BC107*(1+'Calc base'!Q108),2)-S108)</f>
        <v>0</v>
      </c>
      <c r="BD108">
        <f>MAX(0,ROUND(BD107*(1+'Calc base'!R108),2)-T108)</f>
        <v>0</v>
      </c>
      <c r="BE108">
        <f>MAX(0,ROUND(BE107*(1+'Calc base'!S108),2)-U108)</f>
        <v>0</v>
      </c>
    </row>
    <row r="109">
      <c r="A109" t="n">
        <v>79</v>
      </c>
      <c r="B109">
        <f>SUMPRODUCT(ROUND($AT108:$BE108*(1+'Calc base'!$H109:$S109),2))</f>
        <v>736.07</v>
      </c>
      <c r="C109">
        <f>SUM(J109:U109)</f>
        <v>30</v>
      </c>
      <c r="G109">
        <f>SUM(AT109:BE109)</f>
        <v>706.07</v>
      </c>
      <c r="H109">
        <f>B109-G108</f>
        <v>11.4100000000001</v>
      </c>
      <c r="I109">
        <f>B109-G109</f>
        <v>30</v>
      </c>
      <c r="J109">
        <f>IF(AT108&lt;=0,0,IF(ROUND(AT108*(1+'Calc base'!H109),2)-MAX('Calc base'!C$12,ROUND('Calc base'!C$13*AT108,2))&lt;1,ROUND(AT108*(1+'Calc base'!H109),2),MAX('Calc base'!C$12,ROUND('Calc base'!C$13*AT108,2))))</f>
        <v>30</v>
      </c>
      <c r="K109">
        <f>IF(AU108&lt;=0,0,IF(ROUND(AU108*(1+'Calc base'!I109),2)-MAX('Calc base'!D$12,ROUND('Calc base'!D$13*AU108,2))&lt;1,ROUND(AU108*(1+'Calc base'!I109),2),MAX('Calc base'!D$12,ROUND('Calc base'!D$13*AU108,2))))</f>
        <v>0</v>
      </c>
      <c r="L109">
        <f>IF(AV108&lt;=0,0,IF(ROUND(AV108*(1+'Calc base'!J109),2)-MAX('Calc base'!E$12,ROUND('Calc base'!E$13*AV108,2))&lt;1,ROUND(AV108*(1+'Calc base'!J109),2),MAX('Calc base'!E$12,ROUND('Calc base'!E$13*AV108,2))))</f>
        <v>0</v>
      </c>
      <c r="M109">
        <f>IF(AW108&lt;=0,0,IF(ROUND(AW108*(1+'Calc base'!K109),2)-MAX('Calc base'!F$12,ROUND('Calc base'!F$13*AW108,2))&lt;1,ROUND(AW108*(1+'Calc base'!K109),2),MAX('Calc base'!F$12,ROUND('Calc base'!F$13*AW108,2))))</f>
        <v>0</v>
      </c>
      <c r="N109">
        <f>IF(AX108&lt;=0,0,IF(ROUND(AX108*(1+'Calc base'!L109),2)-MAX('Calc base'!G$12,ROUND('Calc base'!G$13*AX108,2))&lt;1,ROUND(AX108*(1+'Calc base'!L109),2),MAX('Calc base'!G$12,ROUND('Calc base'!G$13*AX108,2))))</f>
        <v>0</v>
      </c>
      <c r="O109">
        <f>IF(AY108&lt;=0,0,IF(ROUND(AY108*(1+'Calc base'!M109),2)-MAX('Calc base'!H$12,ROUND('Calc base'!H$13*AY108,2))&lt;1,ROUND(AY108*(1+'Calc base'!M109),2),MAX('Calc base'!H$12,ROUND('Calc base'!H$13*AY108,2))))</f>
        <v>0</v>
      </c>
      <c r="P109">
        <f>IF(AZ108&lt;=0,0,IF(ROUND(AZ108*(1+'Calc base'!N109),2)-MAX('Calc base'!I$12,ROUND('Calc base'!I$13*AZ108,2))&lt;1,ROUND(AZ108*(1+'Calc base'!N109),2),MAX('Calc base'!I$12,ROUND('Calc base'!I$13*AZ108,2))))</f>
        <v>0</v>
      </c>
      <c r="Q109">
        <f>IF(BA108&lt;=0,0,IF(ROUND(BA108*(1+'Calc base'!O109),2)-MAX('Calc base'!J$12,ROUND('Calc base'!J$13*BA108,2))&lt;1,ROUND(BA108*(1+'Calc base'!O109),2),MAX('Calc base'!J$12,ROUND('Calc base'!J$13*BA108,2))))</f>
        <v>0</v>
      </c>
      <c r="R109">
        <f>IF(BB108&lt;=0,0,IF(ROUND(BB108*(1+'Calc base'!P109),2)-MAX('Calc base'!K$12,ROUND('Calc base'!K$13*BB108,2))&lt;1,ROUND(BB108*(1+'Calc base'!P109),2),MAX('Calc base'!K$12,ROUND('Calc base'!K$13*BB108,2))))</f>
        <v>0</v>
      </c>
      <c r="S109">
        <f>IF(BC108&lt;=0,0,IF(ROUND(BC108*(1+'Calc base'!Q109),2)-MAX('Calc base'!L$12,ROUND('Calc base'!L$13*BC108,2))&lt;1,ROUND(BC108*(1+'Calc base'!Q109),2),MAX('Calc base'!L$12,ROUND('Calc base'!L$13*BC108,2))))</f>
        <v>0</v>
      </c>
      <c r="T109">
        <f>IF(BD108&lt;=0,0,IF(ROUND(BD108*(1+'Calc base'!R109),2)-MAX('Calc base'!M$12,ROUND('Calc base'!M$13*BD108,2))&lt;1,ROUND(BD108*(1+'Calc base'!R109),2),MAX('Calc base'!M$12,ROUND('Calc base'!M$13*BD108,2))))</f>
        <v>0</v>
      </c>
      <c r="U109">
        <f>IF(BE108&lt;=0,0,IF(ROUND(BE108*(1+'Calc base'!S109),2)-MAX('Calc base'!N$12,ROUND('Calc base'!N$13*BE108,2))&lt;1,ROUND(BE108*(1+'Calc base'!S109),2),MAX('Calc base'!N$12,ROUND('Calc base'!N$13*BE108,2))))</f>
        <v>0</v>
      </c>
      <c r="AT109">
        <f>MAX(0,ROUND(AT108*(1+'Calc base'!H109),2)-J109)</f>
        <v>706.07</v>
      </c>
      <c r="AU109">
        <f>MAX(0,ROUND(AU108*(1+'Calc base'!I109),2)-K109)</f>
        <v>0</v>
      </c>
      <c r="AV109">
        <f>MAX(0,ROUND(AV108*(1+'Calc base'!J109),2)-L109)</f>
        <v>0</v>
      </c>
      <c r="AW109">
        <f>MAX(0,ROUND(AW108*(1+'Calc base'!K109),2)-M109)</f>
        <v>0</v>
      </c>
      <c r="AX109">
        <f>MAX(0,ROUND(AX108*(1+'Calc base'!L109),2)-N109)</f>
        <v>0</v>
      </c>
      <c r="AY109">
        <f>MAX(0,ROUND(AY108*(1+'Calc base'!M109),2)-O109)</f>
        <v>0</v>
      </c>
      <c r="AZ109">
        <f>MAX(0,ROUND(AZ108*(1+'Calc base'!N109),2)-P109)</f>
        <v>0</v>
      </c>
      <c r="BA109">
        <f>MAX(0,ROUND(BA108*(1+'Calc base'!O109),2)-Q109)</f>
        <v>0</v>
      </c>
      <c r="BB109">
        <f>MAX(0,ROUND(BB108*(1+'Calc base'!P109),2)-R109)</f>
        <v>0</v>
      </c>
      <c r="BC109">
        <f>MAX(0,ROUND(BC108*(1+'Calc base'!Q109),2)-S109)</f>
        <v>0</v>
      </c>
      <c r="BD109">
        <f>MAX(0,ROUND(BD108*(1+'Calc base'!R109),2)-T109)</f>
        <v>0</v>
      </c>
      <c r="BE109">
        <f>MAX(0,ROUND(BE108*(1+'Calc base'!S109),2)-U109)</f>
        <v>0</v>
      </c>
    </row>
    <row r="110">
      <c r="A110" t="n">
        <v>80</v>
      </c>
      <c r="B110">
        <f>SUMPRODUCT(ROUND($AT109:$BE109*(1+'Calc base'!$H110:$S110),2))</f>
        <v>717.19</v>
      </c>
      <c r="C110">
        <f>SUM(J110:U110)</f>
        <v>30</v>
      </c>
      <c r="G110">
        <f>SUM(AT110:BE110)</f>
        <v>687.19</v>
      </c>
      <c r="H110">
        <f>B110-G109</f>
        <v>11.12</v>
      </c>
      <c r="I110">
        <f>B110-G110</f>
        <v>30</v>
      </c>
      <c r="J110">
        <f>IF(AT109&lt;=0,0,IF(ROUND(AT109*(1+'Calc base'!H110),2)-MAX('Calc base'!C$12,ROUND('Calc base'!C$13*AT109,2))&lt;1,ROUND(AT109*(1+'Calc base'!H110),2),MAX('Calc base'!C$12,ROUND('Calc base'!C$13*AT109,2))))</f>
        <v>30</v>
      </c>
      <c r="K110">
        <f>IF(AU109&lt;=0,0,IF(ROUND(AU109*(1+'Calc base'!I110),2)-MAX('Calc base'!D$12,ROUND('Calc base'!D$13*AU109,2))&lt;1,ROUND(AU109*(1+'Calc base'!I110),2),MAX('Calc base'!D$12,ROUND('Calc base'!D$13*AU109,2))))</f>
        <v>0</v>
      </c>
      <c r="L110">
        <f>IF(AV109&lt;=0,0,IF(ROUND(AV109*(1+'Calc base'!J110),2)-MAX('Calc base'!E$12,ROUND('Calc base'!E$13*AV109,2))&lt;1,ROUND(AV109*(1+'Calc base'!J110),2),MAX('Calc base'!E$12,ROUND('Calc base'!E$13*AV109,2))))</f>
        <v>0</v>
      </c>
      <c r="M110">
        <f>IF(AW109&lt;=0,0,IF(ROUND(AW109*(1+'Calc base'!K110),2)-MAX('Calc base'!F$12,ROUND('Calc base'!F$13*AW109,2))&lt;1,ROUND(AW109*(1+'Calc base'!K110),2),MAX('Calc base'!F$12,ROUND('Calc base'!F$13*AW109,2))))</f>
        <v>0</v>
      </c>
      <c r="N110">
        <f>IF(AX109&lt;=0,0,IF(ROUND(AX109*(1+'Calc base'!L110),2)-MAX('Calc base'!G$12,ROUND('Calc base'!G$13*AX109,2))&lt;1,ROUND(AX109*(1+'Calc base'!L110),2),MAX('Calc base'!G$12,ROUND('Calc base'!G$13*AX109,2))))</f>
        <v>0</v>
      </c>
      <c r="O110">
        <f>IF(AY109&lt;=0,0,IF(ROUND(AY109*(1+'Calc base'!M110),2)-MAX('Calc base'!H$12,ROUND('Calc base'!H$13*AY109,2))&lt;1,ROUND(AY109*(1+'Calc base'!M110),2),MAX('Calc base'!H$12,ROUND('Calc base'!H$13*AY109,2))))</f>
        <v>0</v>
      </c>
      <c r="P110">
        <f>IF(AZ109&lt;=0,0,IF(ROUND(AZ109*(1+'Calc base'!N110),2)-MAX('Calc base'!I$12,ROUND('Calc base'!I$13*AZ109,2))&lt;1,ROUND(AZ109*(1+'Calc base'!N110),2),MAX('Calc base'!I$12,ROUND('Calc base'!I$13*AZ109,2))))</f>
        <v>0</v>
      </c>
      <c r="Q110">
        <f>IF(BA109&lt;=0,0,IF(ROUND(BA109*(1+'Calc base'!O110),2)-MAX('Calc base'!J$12,ROUND('Calc base'!J$13*BA109,2))&lt;1,ROUND(BA109*(1+'Calc base'!O110),2),MAX('Calc base'!J$12,ROUND('Calc base'!J$13*BA109,2))))</f>
        <v>0</v>
      </c>
      <c r="R110">
        <f>IF(BB109&lt;=0,0,IF(ROUND(BB109*(1+'Calc base'!P110),2)-MAX('Calc base'!K$12,ROUND('Calc base'!K$13*BB109,2))&lt;1,ROUND(BB109*(1+'Calc base'!P110),2),MAX('Calc base'!K$12,ROUND('Calc base'!K$13*BB109,2))))</f>
        <v>0</v>
      </c>
      <c r="S110">
        <f>IF(BC109&lt;=0,0,IF(ROUND(BC109*(1+'Calc base'!Q110),2)-MAX('Calc base'!L$12,ROUND('Calc base'!L$13*BC109,2))&lt;1,ROUND(BC109*(1+'Calc base'!Q110),2),MAX('Calc base'!L$12,ROUND('Calc base'!L$13*BC109,2))))</f>
        <v>0</v>
      </c>
      <c r="T110">
        <f>IF(BD109&lt;=0,0,IF(ROUND(BD109*(1+'Calc base'!R110),2)-MAX('Calc base'!M$12,ROUND('Calc base'!M$13*BD109,2))&lt;1,ROUND(BD109*(1+'Calc base'!R110),2),MAX('Calc base'!M$12,ROUND('Calc base'!M$13*BD109,2))))</f>
        <v>0</v>
      </c>
      <c r="U110">
        <f>IF(BE109&lt;=0,0,IF(ROUND(BE109*(1+'Calc base'!S110),2)-MAX('Calc base'!N$12,ROUND('Calc base'!N$13*BE109,2))&lt;1,ROUND(BE109*(1+'Calc base'!S110),2),MAX('Calc base'!N$12,ROUND('Calc base'!N$13*BE109,2))))</f>
        <v>0</v>
      </c>
      <c r="AT110">
        <f>MAX(0,ROUND(AT109*(1+'Calc base'!H110),2)-J110)</f>
        <v>687.19</v>
      </c>
      <c r="AU110">
        <f>MAX(0,ROUND(AU109*(1+'Calc base'!I110),2)-K110)</f>
        <v>0</v>
      </c>
      <c r="AV110">
        <f>MAX(0,ROUND(AV109*(1+'Calc base'!J110),2)-L110)</f>
        <v>0</v>
      </c>
      <c r="AW110">
        <f>MAX(0,ROUND(AW109*(1+'Calc base'!K110),2)-M110)</f>
        <v>0</v>
      </c>
      <c r="AX110">
        <f>MAX(0,ROUND(AX109*(1+'Calc base'!L110),2)-N110)</f>
        <v>0</v>
      </c>
      <c r="AY110">
        <f>MAX(0,ROUND(AY109*(1+'Calc base'!M110),2)-O110)</f>
        <v>0</v>
      </c>
      <c r="AZ110">
        <f>MAX(0,ROUND(AZ109*(1+'Calc base'!N110),2)-P110)</f>
        <v>0</v>
      </c>
      <c r="BA110">
        <f>MAX(0,ROUND(BA109*(1+'Calc base'!O110),2)-Q110)</f>
        <v>0</v>
      </c>
      <c r="BB110">
        <f>MAX(0,ROUND(BB109*(1+'Calc base'!P110),2)-R110)</f>
        <v>0</v>
      </c>
      <c r="BC110">
        <f>MAX(0,ROUND(BC109*(1+'Calc base'!Q110),2)-S110)</f>
        <v>0</v>
      </c>
      <c r="BD110">
        <f>MAX(0,ROUND(BD109*(1+'Calc base'!R110),2)-T110)</f>
        <v>0</v>
      </c>
      <c r="BE110">
        <f>MAX(0,ROUND(BE109*(1+'Calc base'!S110),2)-U110)</f>
        <v>0</v>
      </c>
    </row>
    <row r="111">
      <c r="A111" t="n">
        <v>81</v>
      </c>
      <c r="B111">
        <f>SUMPRODUCT(ROUND($AT110:$BE110*(1+'Calc base'!$H111:$S111),2))</f>
        <v>698.01</v>
      </c>
      <c r="C111">
        <f>SUM(J111:U111)</f>
        <v>30</v>
      </c>
      <c r="G111">
        <f>SUM(AT111:BE111)</f>
        <v>668.01</v>
      </c>
      <c r="H111">
        <f>B111-G110</f>
        <v>10.8199999999999</v>
      </c>
      <c r="I111">
        <f>B111-G111</f>
        <v>30</v>
      </c>
      <c r="J111">
        <f>IF(AT110&lt;=0,0,IF(ROUND(AT110*(1+'Calc base'!H111),2)-MAX('Calc base'!C$12,ROUND('Calc base'!C$13*AT110,2))&lt;1,ROUND(AT110*(1+'Calc base'!H111),2),MAX('Calc base'!C$12,ROUND('Calc base'!C$13*AT110,2))))</f>
        <v>30</v>
      </c>
      <c r="K111">
        <f>IF(AU110&lt;=0,0,IF(ROUND(AU110*(1+'Calc base'!I111),2)-MAX('Calc base'!D$12,ROUND('Calc base'!D$13*AU110,2))&lt;1,ROUND(AU110*(1+'Calc base'!I111),2),MAX('Calc base'!D$12,ROUND('Calc base'!D$13*AU110,2))))</f>
        <v>0</v>
      </c>
      <c r="L111">
        <f>IF(AV110&lt;=0,0,IF(ROUND(AV110*(1+'Calc base'!J111),2)-MAX('Calc base'!E$12,ROUND('Calc base'!E$13*AV110,2))&lt;1,ROUND(AV110*(1+'Calc base'!J111),2),MAX('Calc base'!E$12,ROUND('Calc base'!E$13*AV110,2))))</f>
        <v>0</v>
      </c>
      <c r="M111">
        <f>IF(AW110&lt;=0,0,IF(ROUND(AW110*(1+'Calc base'!K111),2)-MAX('Calc base'!F$12,ROUND('Calc base'!F$13*AW110,2))&lt;1,ROUND(AW110*(1+'Calc base'!K111),2),MAX('Calc base'!F$12,ROUND('Calc base'!F$13*AW110,2))))</f>
        <v>0</v>
      </c>
      <c r="N111">
        <f>IF(AX110&lt;=0,0,IF(ROUND(AX110*(1+'Calc base'!L111),2)-MAX('Calc base'!G$12,ROUND('Calc base'!G$13*AX110,2))&lt;1,ROUND(AX110*(1+'Calc base'!L111),2),MAX('Calc base'!G$12,ROUND('Calc base'!G$13*AX110,2))))</f>
        <v>0</v>
      </c>
      <c r="O111">
        <f>IF(AY110&lt;=0,0,IF(ROUND(AY110*(1+'Calc base'!M111),2)-MAX('Calc base'!H$12,ROUND('Calc base'!H$13*AY110,2))&lt;1,ROUND(AY110*(1+'Calc base'!M111),2),MAX('Calc base'!H$12,ROUND('Calc base'!H$13*AY110,2))))</f>
        <v>0</v>
      </c>
      <c r="P111">
        <f>IF(AZ110&lt;=0,0,IF(ROUND(AZ110*(1+'Calc base'!N111),2)-MAX('Calc base'!I$12,ROUND('Calc base'!I$13*AZ110,2))&lt;1,ROUND(AZ110*(1+'Calc base'!N111),2),MAX('Calc base'!I$12,ROUND('Calc base'!I$13*AZ110,2))))</f>
        <v>0</v>
      </c>
      <c r="Q111">
        <f>IF(BA110&lt;=0,0,IF(ROUND(BA110*(1+'Calc base'!O111),2)-MAX('Calc base'!J$12,ROUND('Calc base'!J$13*BA110,2))&lt;1,ROUND(BA110*(1+'Calc base'!O111),2),MAX('Calc base'!J$12,ROUND('Calc base'!J$13*BA110,2))))</f>
        <v>0</v>
      </c>
      <c r="R111">
        <f>IF(BB110&lt;=0,0,IF(ROUND(BB110*(1+'Calc base'!P111),2)-MAX('Calc base'!K$12,ROUND('Calc base'!K$13*BB110,2))&lt;1,ROUND(BB110*(1+'Calc base'!P111),2),MAX('Calc base'!K$12,ROUND('Calc base'!K$13*BB110,2))))</f>
        <v>0</v>
      </c>
      <c r="S111">
        <f>IF(BC110&lt;=0,0,IF(ROUND(BC110*(1+'Calc base'!Q111),2)-MAX('Calc base'!L$12,ROUND('Calc base'!L$13*BC110,2))&lt;1,ROUND(BC110*(1+'Calc base'!Q111),2),MAX('Calc base'!L$12,ROUND('Calc base'!L$13*BC110,2))))</f>
        <v>0</v>
      </c>
      <c r="T111">
        <f>IF(BD110&lt;=0,0,IF(ROUND(BD110*(1+'Calc base'!R111),2)-MAX('Calc base'!M$12,ROUND('Calc base'!M$13*BD110,2))&lt;1,ROUND(BD110*(1+'Calc base'!R111),2),MAX('Calc base'!M$12,ROUND('Calc base'!M$13*BD110,2))))</f>
        <v>0</v>
      </c>
      <c r="U111">
        <f>IF(BE110&lt;=0,0,IF(ROUND(BE110*(1+'Calc base'!S111),2)-MAX('Calc base'!N$12,ROUND('Calc base'!N$13*BE110,2))&lt;1,ROUND(BE110*(1+'Calc base'!S111),2),MAX('Calc base'!N$12,ROUND('Calc base'!N$13*BE110,2))))</f>
        <v>0</v>
      </c>
      <c r="AT111">
        <f>MAX(0,ROUND(AT110*(1+'Calc base'!H111),2)-J111)</f>
        <v>668.01</v>
      </c>
      <c r="AU111">
        <f>MAX(0,ROUND(AU110*(1+'Calc base'!I111),2)-K111)</f>
        <v>0</v>
      </c>
      <c r="AV111">
        <f>MAX(0,ROUND(AV110*(1+'Calc base'!J111),2)-L111)</f>
        <v>0</v>
      </c>
      <c r="AW111">
        <f>MAX(0,ROUND(AW110*(1+'Calc base'!K111),2)-M111)</f>
        <v>0</v>
      </c>
      <c r="AX111">
        <f>MAX(0,ROUND(AX110*(1+'Calc base'!L111),2)-N111)</f>
        <v>0</v>
      </c>
      <c r="AY111">
        <f>MAX(0,ROUND(AY110*(1+'Calc base'!M111),2)-O111)</f>
        <v>0</v>
      </c>
      <c r="AZ111">
        <f>MAX(0,ROUND(AZ110*(1+'Calc base'!N111),2)-P111)</f>
        <v>0</v>
      </c>
      <c r="BA111">
        <f>MAX(0,ROUND(BA110*(1+'Calc base'!O111),2)-Q111)</f>
        <v>0</v>
      </c>
      <c r="BB111">
        <f>MAX(0,ROUND(BB110*(1+'Calc base'!P111),2)-R111)</f>
        <v>0</v>
      </c>
      <c r="BC111">
        <f>MAX(0,ROUND(BC110*(1+'Calc base'!Q111),2)-S111)</f>
        <v>0</v>
      </c>
      <c r="BD111">
        <f>MAX(0,ROUND(BD110*(1+'Calc base'!R111),2)-T111)</f>
        <v>0</v>
      </c>
      <c r="BE111">
        <f>MAX(0,ROUND(BE110*(1+'Calc base'!S111),2)-U111)</f>
        <v>0</v>
      </c>
    </row>
    <row r="112">
      <c r="A112" t="n">
        <v>82</v>
      </c>
      <c r="B112">
        <f>SUMPRODUCT(ROUND($AT111:$BE111*(1+'Calc base'!$H112:$S112),2))</f>
        <v>678.53</v>
      </c>
      <c r="C112">
        <f>SUM(J112:U112)</f>
        <v>30</v>
      </c>
      <c r="G112">
        <f>SUM(AT112:BE112)</f>
        <v>648.53</v>
      </c>
      <c r="H112">
        <f>B112-G111</f>
        <v>10.52</v>
      </c>
      <c r="I112">
        <f>B112-G112</f>
        <v>30</v>
      </c>
      <c r="J112">
        <f>IF(AT111&lt;=0,0,IF(ROUND(AT111*(1+'Calc base'!H112),2)-MAX('Calc base'!C$12,ROUND('Calc base'!C$13*AT111,2))&lt;1,ROUND(AT111*(1+'Calc base'!H112),2),MAX('Calc base'!C$12,ROUND('Calc base'!C$13*AT111,2))))</f>
        <v>30</v>
      </c>
      <c r="K112">
        <f>IF(AU111&lt;=0,0,IF(ROUND(AU111*(1+'Calc base'!I112),2)-MAX('Calc base'!D$12,ROUND('Calc base'!D$13*AU111,2))&lt;1,ROUND(AU111*(1+'Calc base'!I112),2),MAX('Calc base'!D$12,ROUND('Calc base'!D$13*AU111,2))))</f>
        <v>0</v>
      </c>
      <c r="L112">
        <f>IF(AV111&lt;=0,0,IF(ROUND(AV111*(1+'Calc base'!J112),2)-MAX('Calc base'!E$12,ROUND('Calc base'!E$13*AV111,2))&lt;1,ROUND(AV111*(1+'Calc base'!J112),2),MAX('Calc base'!E$12,ROUND('Calc base'!E$13*AV111,2))))</f>
        <v>0</v>
      </c>
      <c r="M112">
        <f>IF(AW111&lt;=0,0,IF(ROUND(AW111*(1+'Calc base'!K112),2)-MAX('Calc base'!F$12,ROUND('Calc base'!F$13*AW111,2))&lt;1,ROUND(AW111*(1+'Calc base'!K112),2),MAX('Calc base'!F$12,ROUND('Calc base'!F$13*AW111,2))))</f>
        <v>0</v>
      </c>
      <c r="N112">
        <f>IF(AX111&lt;=0,0,IF(ROUND(AX111*(1+'Calc base'!L112),2)-MAX('Calc base'!G$12,ROUND('Calc base'!G$13*AX111,2))&lt;1,ROUND(AX111*(1+'Calc base'!L112),2),MAX('Calc base'!G$12,ROUND('Calc base'!G$13*AX111,2))))</f>
        <v>0</v>
      </c>
      <c r="O112">
        <f>IF(AY111&lt;=0,0,IF(ROUND(AY111*(1+'Calc base'!M112),2)-MAX('Calc base'!H$12,ROUND('Calc base'!H$13*AY111,2))&lt;1,ROUND(AY111*(1+'Calc base'!M112),2),MAX('Calc base'!H$12,ROUND('Calc base'!H$13*AY111,2))))</f>
        <v>0</v>
      </c>
      <c r="P112">
        <f>IF(AZ111&lt;=0,0,IF(ROUND(AZ111*(1+'Calc base'!N112),2)-MAX('Calc base'!I$12,ROUND('Calc base'!I$13*AZ111,2))&lt;1,ROUND(AZ111*(1+'Calc base'!N112),2),MAX('Calc base'!I$12,ROUND('Calc base'!I$13*AZ111,2))))</f>
        <v>0</v>
      </c>
      <c r="Q112">
        <f>IF(BA111&lt;=0,0,IF(ROUND(BA111*(1+'Calc base'!O112),2)-MAX('Calc base'!J$12,ROUND('Calc base'!J$13*BA111,2))&lt;1,ROUND(BA111*(1+'Calc base'!O112),2),MAX('Calc base'!J$12,ROUND('Calc base'!J$13*BA111,2))))</f>
        <v>0</v>
      </c>
      <c r="R112">
        <f>IF(BB111&lt;=0,0,IF(ROUND(BB111*(1+'Calc base'!P112),2)-MAX('Calc base'!K$12,ROUND('Calc base'!K$13*BB111,2))&lt;1,ROUND(BB111*(1+'Calc base'!P112),2),MAX('Calc base'!K$12,ROUND('Calc base'!K$13*BB111,2))))</f>
        <v>0</v>
      </c>
      <c r="S112">
        <f>IF(BC111&lt;=0,0,IF(ROUND(BC111*(1+'Calc base'!Q112),2)-MAX('Calc base'!L$12,ROUND('Calc base'!L$13*BC111,2))&lt;1,ROUND(BC111*(1+'Calc base'!Q112),2),MAX('Calc base'!L$12,ROUND('Calc base'!L$13*BC111,2))))</f>
        <v>0</v>
      </c>
      <c r="T112">
        <f>IF(BD111&lt;=0,0,IF(ROUND(BD111*(1+'Calc base'!R112),2)-MAX('Calc base'!M$12,ROUND('Calc base'!M$13*BD111,2))&lt;1,ROUND(BD111*(1+'Calc base'!R112),2),MAX('Calc base'!M$12,ROUND('Calc base'!M$13*BD111,2))))</f>
        <v>0</v>
      </c>
      <c r="U112">
        <f>IF(BE111&lt;=0,0,IF(ROUND(BE111*(1+'Calc base'!S112),2)-MAX('Calc base'!N$12,ROUND('Calc base'!N$13*BE111,2))&lt;1,ROUND(BE111*(1+'Calc base'!S112),2),MAX('Calc base'!N$12,ROUND('Calc base'!N$13*BE111,2))))</f>
        <v>0</v>
      </c>
      <c r="AT112">
        <f>MAX(0,ROUND(AT111*(1+'Calc base'!H112),2)-J112)</f>
        <v>648.53</v>
      </c>
      <c r="AU112">
        <f>MAX(0,ROUND(AU111*(1+'Calc base'!I112),2)-K112)</f>
        <v>0</v>
      </c>
      <c r="AV112">
        <f>MAX(0,ROUND(AV111*(1+'Calc base'!J112),2)-L112)</f>
        <v>0</v>
      </c>
      <c r="AW112">
        <f>MAX(0,ROUND(AW111*(1+'Calc base'!K112),2)-M112)</f>
        <v>0</v>
      </c>
      <c r="AX112">
        <f>MAX(0,ROUND(AX111*(1+'Calc base'!L112),2)-N112)</f>
        <v>0</v>
      </c>
      <c r="AY112">
        <f>MAX(0,ROUND(AY111*(1+'Calc base'!M112),2)-O112)</f>
        <v>0</v>
      </c>
      <c r="AZ112">
        <f>MAX(0,ROUND(AZ111*(1+'Calc base'!N112),2)-P112)</f>
        <v>0</v>
      </c>
      <c r="BA112">
        <f>MAX(0,ROUND(BA111*(1+'Calc base'!O112),2)-Q112)</f>
        <v>0</v>
      </c>
      <c r="BB112">
        <f>MAX(0,ROUND(BB111*(1+'Calc base'!P112),2)-R112)</f>
        <v>0</v>
      </c>
      <c r="BC112">
        <f>MAX(0,ROUND(BC111*(1+'Calc base'!Q112),2)-S112)</f>
        <v>0</v>
      </c>
      <c r="BD112">
        <f>MAX(0,ROUND(BD111*(1+'Calc base'!R112),2)-T112)</f>
        <v>0</v>
      </c>
      <c r="BE112">
        <f>MAX(0,ROUND(BE111*(1+'Calc base'!S112),2)-U112)</f>
        <v>0</v>
      </c>
    </row>
    <row r="113">
      <c r="A113" t="n">
        <v>83</v>
      </c>
      <c r="B113">
        <f>SUMPRODUCT(ROUND($AT112:$BE112*(1+'Calc base'!$H113:$S113),2))</f>
        <v>658.74</v>
      </c>
      <c r="C113">
        <f>SUM(J113:U113)</f>
        <v>30</v>
      </c>
      <c r="G113">
        <f>SUM(AT113:BE113)</f>
        <v>628.74</v>
      </c>
      <c r="H113">
        <f>B113-G112</f>
        <v>10.21</v>
      </c>
      <c r="I113">
        <f>B113-G113</f>
        <v>30</v>
      </c>
      <c r="J113">
        <f>IF(AT112&lt;=0,0,IF(ROUND(AT112*(1+'Calc base'!H113),2)-MAX('Calc base'!C$12,ROUND('Calc base'!C$13*AT112,2))&lt;1,ROUND(AT112*(1+'Calc base'!H113),2),MAX('Calc base'!C$12,ROUND('Calc base'!C$13*AT112,2))))</f>
        <v>30</v>
      </c>
      <c r="K113">
        <f>IF(AU112&lt;=0,0,IF(ROUND(AU112*(1+'Calc base'!I113),2)-MAX('Calc base'!D$12,ROUND('Calc base'!D$13*AU112,2))&lt;1,ROUND(AU112*(1+'Calc base'!I113),2),MAX('Calc base'!D$12,ROUND('Calc base'!D$13*AU112,2))))</f>
        <v>0</v>
      </c>
      <c r="L113">
        <f>IF(AV112&lt;=0,0,IF(ROUND(AV112*(1+'Calc base'!J113),2)-MAX('Calc base'!E$12,ROUND('Calc base'!E$13*AV112,2))&lt;1,ROUND(AV112*(1+'Calc base'!J113),2),MAX('Calc base'!E$12,ROUND('Calc base'!E$13*AV112,2))))</f>
        <v>0</v>
      </c>
      <c r="M113">
        <f>IF(AW112&lt;=0,0,IF(ROUND(AW112*(1+'Calc base'!K113),2)-MAX('Calc base'!F$12,ROUND('Calc base'!F$13*AW112,2))&lt;1,ROUND(AW112*(1+'Calc base'!K113),2),MAX('Calc base'!F$12,ROUND('Calc base'!F$13*AW112,2))))</f>
        <v>0</v>
      </c>
      <c r="N113">
        <f>IF(AX112&lt;=0,0,IF(ROUND(AX112*(1+'Calc base'!L113),2)-MAX('Calc base'!G$12,ROUND('Calc base'!G$13*AX112,2))&lt;1,ROUND(AX112*(1+'Calc base'!L113),2),MAX('Calc base'!G$12,ROUND('Calc base'!G$13*AX112,2))))</f>
        <v>0</v>
      </c>
      <c r="O113">
        <f>IF(AY112&lt;=0,0,IF(ROUND(AY112*(1+'Calc base'!M113),2)-MAX('Calc base'!H$12,ROUND('Calc base'!H$13*AY112,2))&lt;1,ROUND(AY112*(1+'Calc base'!M113),2),MAX('Calc base'!H$12,ROUND('Calc base'!H$13*AY112,2))))</f>
        <v>0</v>
      </c>
      <c r="P113">
        <f>IF(AZ112&lt;=0,0,IF(ROUND(AZ112*(1+'Calc base'!N113),2)-MAX('Calc base'!I$12,ROUND('Calc base'!I$13*AZ112,2))&lt;1,ROUND(AZ112*(1+'Calc base'!N113),2),MAX('Calc base'!I$12,ROUND('Calc base'!I$13*AZ112,2))))</f>
        <v>0</v>
      </c>
      <c r="Q113">
        <f>IF(BA112&lt;=0,0,IF(ROUND(BA112*(1+'Calc base'!O113),2)-MAX('Calc base'!J$12,ROUND('Calc base'!J$13*BA112,2))&lt;1,ROUND(BA112*(1+'Calc base'!O113),2),MAX('Calc base'!J$12,ROUND('Calc base'!J$13*BA112,2))))</f>
        <v>0</v>
      </c>
      <c r="R113">
        <f>IF(BB112&lt;=0,0,IF(ROUND(BB112*(1+'Calc base'!P113),2)-MAX('Calc base'!K$12,ROUND('Calc base'!K$13*BB112,2))&lt;1,ROUND(BB112*(1+'Calc base'!P113),2),MAX('Calc base'!K$12,ROUND('Calc base'!K$13*BB112,2))))</f>
        <v>0</v>
      </c>
      <c r="S113">
        <f>IF(BC112&lt;=0,0,IF(ROUND(BC112*(1+'Calc base'!Q113),2)-MAX('Calc base'!L$12,ROUND('Calc base'!L$13*BC112,2))&lt;1,ROUND(BC112*(1+'Calc base'!Q113),2),MAX('Calc base'!L$12,ROUND('Calc base'!L$13*BC112,2))))</f>
        <v>0</v>
      </c>
      <c r="T113">
        <f>IF(BD112&lt;=0,0,IF(ROUND(BD112*(1+'Calc base'!R113),2)-MAX('Calc base'!M$12,ROUND('Calc base'!M$13*BD112,2))&lt;1,ROUND(BD112*(1+'Calc base'!R113),2),MAX('Calc base'!M$12,ROUND('Calc base'!M$13*BD112,2))))</f>
        <v>0</v>
      </c>
      <c r="U113">
        <f>IF(BE112&lt;=0,0,IF(ROUND(BE112*(1+'Calc base'!S113),2)-MAX('Calc base'!N$12,ROUND('Calc base'!N$13*BE112,2))&lt;1,ROUND(BE112*(1+'Calc base'!S113),2),MAX('Calc base'!N$12,ROUND('Calc base'!N$13*BE112,2))))</f>
        <v>0</v>
      </c>
      <c r="AT113">
        <f>MAX(0,ROUND(AT112*(1+'Calc base'!H113),2)-J113)</f>
        <v>628.74</v>
      </c>
      <c r="AU113">
        <f>MAX(0,ROUND(AU112*(1+'Calc base'!I113),2)-K113)</f>
        <v>0</v>
      </c>
      <c r="AV113">
        <f>MAX(0,ROUND(AV112*(1+'Calc base'!J113),2)-L113)</f>
        <v>0</v>
      </c>
      <c r="AW113">
        <f>MAX(0,ROUND(AW112*(1+'Calc base'!K113),2)-M113)</f>
        <v>0</v>
      </c>
      <c r="AX113">
        <f>MAX(0,ROUND(AX112*(1+'Calc base'!L113),2)-N113)</f>
        <v>0</v>
      </c>
      <c r="AY113">
        <f>MAX(0,ROUND(AY112*(1+'Calc base'!M113),2)-O113)</f>
        <v>0</v>
      </c>
      <c r="AZ113">
        <f>MAX(0,ROUND(AZ112*(1+'Calc base'!N113),2)-P113)</f>
        <v>0</v>
      </c>
      <c r="BA113">
        <f>MAX(0,ROUND(BA112*(1+'Calc base'!O113),2)-Q113)</f>
        <v>0</v>
      </c>
      <c r="BB113">
        <f>MAX(0,ROUND(BB112*(1+'Calc base'!P113),2)-R113)</f>
        <v>0</v>
      </c>
      <c r="BC113">
        <f>MAX(0,ROUND(BC112*(1+'Calc base'!Q113),2)-S113)</f>
        <v>0</v>
      </c>
      <c r="BD113">
        <f>MAX(0,ROUND(BD112*(1+'Calc base'!R113),2)-T113)</f>
        <v>0</v>
      </c>
      <c r="BE113">
        <f>MAX(0,ROUND(BE112*(1+'Calc base'!S113),2)-U113)</f>
        <v>0</v>
      </c>
    </row>
    <row r="114">
      <c r="A114" t="n">
        <v>84</v>
      </c>
      <c r="B114">
        <f>SUMPRODUCT(ROUND($AT113:$BE113*(1+'Calc base'!$H114:$S114),2))</f>
        <v>638.64</v>
      </c>
      <c r="C114">
        <f>SUM(J114:U114)</f>
        <v>30</v>
      </c>
      <c r="G114">
        <f>SUM(AT114:BE114)</f>
        <v>608.64</v>
      </c>
      <c r="H114">
        <f>B114-G113</f>
        <v>9.89999999999998</v>
      </c>
      <c r="I114">
        <f>B114-G114</f>
        <v>30</v>
      </c>
      <c r="J114">
        <f>IF(AT113&lt;=0,0,IF(ROUND(AT113*(1+'Calc base'!H114),2)-MAX('Calc base'!C$12,ROUND('Calc base'!C$13*AT113,2))&lt;1,ROUND(AT113*(1+'Calc base'!H114),2),MAX('Calc base'!C$12,ROUND('Calc base'!C$13*AT113,2))))</f>
        <v>30</v>
      </c>
      <c r="K114">
        <f>IF(AU113&lt;=0,0,IF(ROUND(AU113*(1+'Calc base'!I114),2)-MAX('Calc base'!D$12,ROUND('Calc base'!D$13*AU113,2))&lt;1,ROUND(AU113*(1+'Calc base'!I114),2),MAX('Calc base'!D$12,ROUND('Calc base'!D$13*AU113,2))))</f>
        <v>0</v>
      </c>
      <c r="L114">
        <f>IF(AV113&lt;=0,0,IF(ROUND(AV113*(1+'Calc base'!J114),2)-MAX('Calc base'!E$12,ROUND('Calc base'!E$13*AV113,2))&lt;1,ROUND(AV113*(1+'Calc base'!J114),2),MAX('Calc base'!E$12,ROUND('Calc base'!E$13*AV113,2))))</f>
        <v>0</v>
      </c>
      <c r="M114">
        <f>IF(AW113&lt;=0,0,IF(ROUND(AW113*(1+'Calc base'!K114),2)-MAX('Calc base'!F$12,ROUND('Calc base'!F$13*AW113,2))&lt;1,ROUND(AW113*(1+'Calc base'!K114),2),MAX('Calc base'!F$12,ROUND('Calc base'!F$13*AW113,2))))</f>
        <v>0</v>
      </c>
      <c r="N114">
        <f>IF(AX113&lt;=0,0,IF(ROUND(AX113*(1+'Calc base'!L114),2)-MAX('Calc base'!G$12,ROUND('Calc base'!G$13*AX113,2))&lt;1,ROUND(AX113*(1+'Calc base'!L114),2),MAX('Calc base'!G$12,ROUND('Calc base'!G$13*AX113,2))))</f>
        <v>0</v>
      </c>
      <c r="O114">
        <f>IF(AY113&lt;=0,0,IF(ROUND(AY113*(1+'Calc base'!M114),2)-MAX('Calc base'!H$12,ROUND('Calc base'!H$13*AY113,2))&lt;1,ROUND(AY113*(1+'Calc base'!M114),2),MAX('Calc base'!H$12,ROUND('Calc base'!H$13*AY113,2))))</f>
        <v>0</v>
      </c>
      <c r="P114">
        <f>IF(AZ113&lt;=0,0,IF(ROUND(AZ113*(1+'Calc base'!N114),2)-MAX('Calc base'!I$12,ROUND('Calc base'!I$13*AZ113,2))&lt;1,ROUND(AZ113*(1+'Calc base'!N114),2),MAX('Calc base'!I$12,ROUND('Calc base'!I$13*AZ113,2))))</f>
        <v>0</v>
      </c>
      <c r="Q114">
        <f>IF(BA113&lt;=0,0,IF(ROUND(BA113*(1+'Calc base'!O114),2)-MAX('Calc base'!J$12,ROUND('Calc base'!J$13*BA113,2))&lt;1,ROUND(BA113*(1+'Calc base'!O114),2),MAX('Calc base'!J$12,ROUND('Calc base'!J$13*BA113,2))))</f>
        <v>0</v>
      </c>
      <c r="R114">
        <f>IF(BB113&lt;=0,0,IF(ROUND(BB113*(1+'Calc base'!P114),2)-MAX('Calc base'!K$12,ROUND('Calc base'!K$13*BB113,2))&lt;1,ROUND(BB113*(1+'Calc base'!P114),2),MAX('Calc base'!K$12,ROUND('Calc base'!K$13*BB113,2))))</f>
        <v>0</v>
      </c>
      <c r="S114">
        <f>IF(BC113&lt;=0,0,IF(ROUND(BC113*(1+'Calc base'!Q114),2)-MAX('Calc base'!L$12,ROUND('Calc base'!L$13*BC113,2))&lt;1,ROUND(BC113*(1+'Calc base'!Q114),2),MAX('Calc base'!L$12,ROUND('Calc base'!L$13*BC113,2))))</f>
        <v>0</v>
      </c>
      <c r="T114">
        <f>IF(BD113&lt;=0,0,IF(ROUND(BD113*(1+'Calc base'!R114),2)-MAX('Calc base'!M$12,ROUND('Calc base'!M$13*BD113,2))&lt;1,ROUND(BD113*(1+'Calc base'!R114),2),MAX('Calc base'!M$12,ROUND('Calc base'!M$13*BD113,2))))</f>
        <v>0</v>
      </c>
      <c r="U114">
        <f>IF(BE113&lt;=0,0,IF(ROUND(BE113*(1+'Calc base'!S114),2)-MAX('Calc base'!N$12,ROUND('Calc base'!N$13*BE113,2))&lt;1,ROUND(BE113*(1+'Calc base'!S114),2),MAX('Calc base'!N$12,ROUND('Calc base'!N$13*BE113,2))))</f>
        <v>0</v>
      </c>
      <c r="AT114">
        <f>MAX(0,ROUND(AT113*(1+'Calc base'!H114),2)-J114)</f>
        <v>608.64</v>
      </c>
      <c r="AU114">
        <f>MAX(0,ROUND(AU113*(1+'Calc base'!I114),2)-K114)</f>
        <v>0</v>
      </c>
      <c r="AV114">
        <f>MAX(0,ROUND(AV113*(1+'Calc base'!J114),2)-L114)</f>
        <v>0</v>
      </c>
      <c r="AW114">
        <f>MAX(0,ROUND(AW113*(1+'Calc base'!K114),2)-M114)</f>
        <v>0</v>
      </c>
      <c r="AX114">
        <f>MAX(0,ROUND(AX113*(1+'Calc base'!L114),2)-N114)</f>
        <v>0</v>
      </c>
      <c r="AY114">
        <f>MAX(0,ROUND(AY113*(1+'Calc base'!M114),2)-O114)</f>
        <v>0</v>
      </c>
      <c r="AZ114">
        <f>MAX(0,ROUND(AZ113*(1+'Calc base'!N114),2)-P114)</f>
        <v>0</v>
      </c>
      <c r="BA114">
        <f>MAX(0,ROUND(BA113*(1+'Calc base'!O114),2)-Q114)</f>
        <v>0</v>
      </c>
      <c r="BB114">
        <f>MAX(0,ROUND(BB113*(1+'Calc base'!P114),2)-R114)</f>
        <v>0</v>
      </c>
      <c r="BC114">
        <f>MAX(0,ROUND(BC113*(1+'Calc base'!Q114),2)-S114)</f>
        <v>0</v>
      </c>
      <c r="BD114">
        <f>MAX(0,ROUND(BD113*(1+'Calc base'!R114),2)-T114)</f>
        <v>0</v>
      </c>
      <c r="BE114">
        <f>MAX(0,ROUND(BE113*(1+'Calc base'!S114),2)-U114)</f>
        <v>0</v>
      </c>
    </row>
    <row r="115">
      <c r="A115" t="n">
        <v>85</v>
      </c>
      <c r="B115">
        <f>SUMPRODUCT(ROUND($AT114:$BE114*(1+'Calc base'!$H115:$S115),2))</f>
        <v>618.23</v>
      </c>
      <c r="C115">
        <f>SUM(J115:U115)</f>
        <v>30</v>
      </c>
      <c r="G115">
        <f>SUM(AT115:BE115)</f>
        <v>588.23</v>
      </c>
      <c r="H115">
        <f>B115-G114</f>
        <v>9.59000000000003</v>
      </c>
      <c r="I115">
        <f>B115-G115</f>
        <v>30</v>
      </c>
      <c r="J115">
        <f>IF(AT114&lt;=0,0,IF(ROUND(AT114*(1+'Calc base'!H115),2)-MAX('Calc base'!C$12,ROUND('Calc base'!C$13*AT114,2))&lt;1,ROUND(AT114*(1+'Calc base'!H115),2),MAX('Calc base'!C$12,ROUND('Calc base'!C$13*AT114,2))))</f>
        <v>30</v>
      </c>
      <c r="K115">
        <f>IF(AU114&lt;=0,0,IF(ROUND(AU114*(1+'Calc base'!I115),2)-MAX('Calc base'!D$12,ROUND('Calc base'!D$13*AU114,2))&lt;1,ROUND(AU114*(1+'Calc base'!I115),2),MAX('Calc base'!D$12,ROUND('Calc base'!D$13*AU114,2))))</f>
        <v>0</v>
      </c>
      <c r="L115">
        <f>IF(AV114&lt;=0,0,IF(ROUND(AV114*(1+'Calc base'!J115),2)-MAX('Calc base'!E$12,ROUND('Calc base'!E$13*AV114,2))&lt;1,ROUND(AV114*(1+'Calc base'!J115),2),MAX('Calc base'!E$12,ROUND('Calc base'!E$13*AV114,2))))</f>
        <v>0</v>
      </c>
      <c r="M115">
        <f>IF(AW114&lt;=0,0,IF(ROUND(AW114*(1+'Calc base'!K115),2)-MAX('Calc base'!F$12,ROUND('Calc base'!F$13*AW114,2))&lt;1,ROUND(AW114*(1+'Calc base'!K115),2),MAX('Calc base'!F$12,ROUND('Calc base'!F$13*AW114,2))))</f>
        <v>0</v>
      </c>
      <c r="N115">
        <f>IF(AX114&lt;=0,0,IF(ROUND(AX114*(1+'Calc base'!L115),2)-MAX('Calc base'!G$12,ROUND('Calc base'!G$13*AX114,2))&lt;1,ROUND(AX114*(1+'Calc base'!L115),2),MAX('Calc base'!G$12,ROUND('Calc base'!G$13*AX114,2))))</f>
        <v>0</v>
      </c>
      <c r="O115">
        <f>IF(AY114&lt;=0,0,IF(ROUND(AY114*(1+'Calc base'!M115),2)-MAX('Calc base'!H$12,ROUND('Calc base'!H$13*AY114,2))&lt;1,ROUND(AY114*(1+'Calc base'!M115),2),MAX('Calc base'!H$12,ROUND('Calc base'!H$13*AY114,2))))</f>
        <v>0</v>
      </c>
      <c r="P115">
        <f>IF(AZ114&lt;=0,0,IF(ROUND(AZ114*(1+'Calc base'!N115),2)-MAX('Calc base'!I$12,ROUND('Calc base'!I$13*AZ114,2))&lt;1,ROUND(AZ114*(1+'Calc base'!N115),2),MAX('Calc base'!I$12,ROUND('Calc base'!I$13*AZ114,2))))</f>
        <v>0</v>
      </c>
      <c r="Q115">
        <f>IF(BA114&lt;=0,0,IF(ROUND(BA114*(1+'Calc base'!O115),2)-MAX('Calc base'!J$12,ROUND('Calc base'!J$13*BA114,2))&lt;1,ROUND(BA114*(1+'Calc base'!O115),2),MAX('Calc base'!J$12,ROUND('Calc base'!J$13*BA114,2))))</f>
        <v>0</v>
      </c>
      <c r="R115">
        <f>IF(BB114&lt;=0,0,IF(ROUND(BB114*(1+'Calc base'!P115),2)-MAX('Calc base'!K$12,ROUND('Calc base'!K$13*BB114,2))&lt;1,ROUND(BB114*(1+'Calc base'!P115),2),MAX('Calc base'!K$12,ROUND('Calc base'!K$13*BB114,2))))</f>
        <v>0</v>
      </c>
      <c r="S115">
        <f>IF(BC114&lt;=0,0,IF(ROUND(BC114*(1+'Calc base'!Q115),2)-MAX('Calc base'!L$12,ROUND('Calc base'!L$13*BC114,2))&lt;1,ROUND(BC114*(1+'Calc base'!Q115),2),MAX('Calc base'!L$12,ROUND('Calc base'!L$13*BC114,2))))</f>
        <v>0</v>
      </c>
      <c r="T115">
        <f>IF(BD114&lt;=0,0,IF(ROUND(BD114*(1+'Calc base'!R115),2)-MAX('Calc base'!M$12,ROUND('Calc base'!M$13*BD114,2))&lt;1,ROUND(BD114*(1+'Calc base'!R115),2),MAX('Calc base'!M$12,ROUND('Calc base'!M$13*BD114,2))))</f>
        <v>0</v>
      </c>
      <c r="U115">
        <f>IF(BE114&lt;=0,0,IF(ROUND(BE114*(1+'Calc base'!S115),2)-MAX('Calc base'!N$12,ROUND('Calc base'!N$13*BE114,2))&lt;1,ROUND(BE114*(1+'Calc base'!S115),2),MAX('Calc base'!N$12,ROUND('Calc base'!N$13*BE114,2))))</f>
        <v>0</v>
      </c>
      <c r="AT115">
        <f>MAX(0,ROUND(AT114*(1+'Calc base'!H115),2)-J115)</f>
        <v>588.23</v>
      </c>
      <c r="AU115">
        <f>MAX(0,ROUND(AU114*(1+'Calc base'!I115),2)-K115)</f>
        <v>0</v>
      </c>
      <c r="AV115">
        <f>MAX(0,ROUND(AV114*(1+'Calc base'!J115),2)-L115)</f>
        <v>0</v>
      </c>
      <c r="AW115">
        <f>MAX(0,ROUND(AW114*(1+'Calc base'!K115),2)-M115)</f>
        <v>0</v>
      </c>
      <c r="AX115">
        <f>MAX(0,ROUND(AX114*(1+'Calc base'!L115),2)-N115)</f>
        <v>0</v>
      </c>
      <c r="AY115">
        <f>MAX(0,ROUND(AY114*(1+'Calc base'!M115),2)-O115)</f>
        <v>0</v>
      </c>
      <c r="AZ115">
        <f>MAX(0,ROUND(AZ114*(1+'Calc base'!N115),2)-P115)</f>
        <v>0</v>
      </c>
      <c r="BA115">
        <f>MAX(0,ROUND(BA114*(1+'Calc base'!O115),2)-Q115)</f>
        <v>0</v>
      </c>
      <c r="BB115">
        <f>MAX(0,ROUND(BB114*(1+'Calc base'!P115),2)-R115)</f>
        <v>0</v>
      </c>
      <c r="BC115">
        <f>MAX(0,ROUND(BC114*(1+'Calc base'!Q115),2)-S115)</f>
        <v>0</v>
      </c>
      <c r="BD115">
        <f>MAX(0,ROUND(BD114*(1+'Calc base'!R115),2)-T115)</f>
        <v>0</v>
      </c>
      <c r="BE115">
        <f>MAX(0,ROUND(BE114*(1+'Calc base'!S115),2)-U115)</f>
        <v>0</v>
      </c>
    </row>
    <row r="116">
      <c r="A116" t="n">
        <v>86</v>
      </c>
      <c r="B116">
        <f>SUMPRODUCT(ROUND($AT115:$BE115*(1+'Calc base'!$H116:$S116),2))</f>
        <v>597.49</v>
      </c>
      <c r="C116">
        <f>SUM(J116:U116)</f>
        <v>30</v>
      </c>
      <c r="G116">
        <f>SUM(AT116:BE116)</f>
        <v>567.49</v>
      </c>
      <c r="H116">
        <f>B116-G115</f>
        <v>9.25999999999999</v>
      </c>
      <c r="I116">
        <f>B116-G116</f>
        <v>30</v>
      </c>
      <c r="J116">
        <f>IF(AT115&lt;=0,0,IF(ROUND(AT115*(1+'Calc base'!H116),2)-MAX('Calc base'!C$12,ROUND('Calc base'!C$13*AT115,2))&lt;1,ROUND(AT115*(1+'Calc base'!H116),2),MAX('Calc base'!C$12,ROUND('Calc base'!C$13*AT115,2))))</f>
        <v>30</v>
      </c>
      <c r="K116">
        <f>IF(AU115&lt;=0,0,IF(ROUND(AU115*(1+'Calc base'!I116),2)-MAX('Calc base'!D$12,ROUND('Calc base'!D$13*AU115,2))&lt;1,ROUND(AU115*(1+'Calc base'!I116),2),MAX('Calc base'!D$12,ROUND('Calc base'!D$13*AU115,2))))</f>
        <v>0</v>
      </c>
      <c r="L116">
        <f>IF(AV115&lt;=0,0,IF(ROUND(AV115*(1+'Calc base'!J116),2)-MAX('Calc base'!E$12,ROUND('Calc base'!E$13*AV115,2))&lt;1,ROUND(AV115*(1+'Calc base'!J116),2),MAX('Calc base'!E$12,ROUND('Calc base'!E$13*AV115,2))))</f>
        <v>0</v>
      </c>
      <c r="M116">
        <f>IF(AW115&lt;=0,0,IF(ROUND(AW115*(1+'Calc base'!K116),2)-MAX('Calc base'!F$12,ROUND('Calc base'!F$13*AW115,2))&lt;1,ROUND(AW115*(1+'Calc base'!K116),2),MAX('Calc base'!F$12,ROUND('Calc base'!F$13*AW115,2))))</f>
        <v>0</v>
      </c>
      <c r="N116">
        <f>IF(AX115&lt;=0,0,IF(ROUND(AX115*(1+'Calc base'!L116),2)-MAX('Calc base'!G$12,ROUND('Calc base'!G$13*AX115,2))&lt;1,ROUND(AX115*(1+'Calc base'!L116),2),MAX('Calc base'!G$12,ROUND('Calc base'!G$13*AX115,2))))</f>
        <v>0</v>
      </c>
      <c r="O116">
        <f>IF(AY115&lt;=0,0,IF(ROUND(AY115*(1+'Calc base'!M116),2)-MAX('Calc base'!H$12,ROUND('Calc base'!H$13*AY115,2))&lt;1,ROUND(AY115*(1+'Calc base'!M116),2),MAX('Calc base'!H$12,ROUND('Calc base'!H$13*AY115,2))))</f>
        <v>0</v>
      </c>
      <c r="P116">
        <f>IF(AZ115&lt;=0,0,IF(ROUND(AZ115*(1+'Calc base'!N116),2)-MAX('Calc base'!I$12,ROUND('Calc base'!I$13*AZ115,2))&lt;1,ROUND(AZ115*(1+'Calc base'!N116),2),MAX('Calc base'!I$12,ROUND('Calc base'!I$13*AZ115,2))))</f>
        <v>0</v>
      </c>
      <c r="Q116">
        <f>IF(BA115&lt;=0,0,IF(ROUND(BA115*(1+'Calc base'!O116),2)-MAX('Calc base'!J$12,ROUND('Calc base'!J$13*BA115,2))&lt;1,ROUND(BA115*(1+'Calc base'!O116),2),MAX('Calc base'!J$12,ROUND('Calc base'!J$13*BA115,2))))</f>
        <v>0</v>
      </c>
      <c r="R116">
        <f>IF(BB115&lt;=0,0,IF(ROUND(BB115*(1+'Calc base'!P116),2)-MAX('Calc base'!K$12,ROUND('Calc base'!K$13*BB115,2))&lt;1,ROUND(BB115*(1+'Calc base'!P116),2),MAX('Calc base'!K$12,ROUND('Calc base'!K$13*BB115,2))))</f>
        <v>0</v>
      </c>
      <c r="S116">
        <f>IF(BC115&lt;=0,0,IF(ROUND(BC115*(1+'Calc base'!Q116),2)-MAX('Calc base'!L$12,ROUND('Calc base'!L$13*BC115,2))&lt;1,ROUND(BC115*(1+'Calc base'!Q116),2),MAX('Calc base'!L$12,ROUND('Calc base'!L$13*BC115,2))))</f>
        <v>0</v>
      </c>
      <c r="T116">
        <f>IF(BD115&lt;=0,0,IF(ROUND(BD115*(1+'Calc base'!R116),2)-MAX('Calc base'!M$12,ROUND('Calc base'!M$13*BD115,2))&lt;1,ROUND(BD115*(1+'Calc base'!R116),2),MAX('Calc base'!M$12,ROUND('Calc base'!M$13*BD115,2))))</f>
        <v>0</v>
      </c>
      <c r="U116">
        <f>IF(BE115&lt;=0,0,IF(ROUND(BE115*(1+'Calc base'!S116),2)-MAX('Calc base'!N$12,ROUND('Calc base'!N$13*BE115,2))&lt;1,ROUND(BE115*(1+'Calc base'!S116),2),MAX('Calc base'!N$12,ROUND('Calc base'!N$13*BE115,2))))</f>
        <v>0</v>
      </c>
      <c r="AT116">
        <f>MAX(0,ROUND(AT115*(1+'Calc base'!H116),2)-J116)</f>
        <v>567.49</v>
      </c>
      <c r="AU116">
        <f>MAX(0,ROUND(AU115*(1+'Calc base'!I116),2)-K116)</f>
        <v>0</v>
      </c>
      <c r="AV116">
        <f>MAX(0,ROUND(AV115*(1+'Calc base'!J116),2)-L116)</f>
        <v>0</v>
      </c>
      <c r="AW116">
        <f>MAX(0,ROUND(AW115*(1+'Calc base'!K116),2)-M116)</f>
        <v>0</v>
      </c>
      <c r="AX116">
        <f>MAX(0,ROUND(AX115*(1+'Calc base'!L116),2)-N116)</f>
        <v>0</v>
      </c>
      <c r="AY116">
        <f>MAX(0,ROUND(AY115*(1+'Calc base'!M116),2)-O116)</f>
        <v>0</v>
      </c>
      <c r="AZ116">
        <f>MAX(0,ROUND(AZ115*(1+'Calc base'!N116),2)-P116)</f>
        <v>0</v>
      </c>
      <c r="BA116">
        <f>MAX(0,ROUND(BA115*(1+'Calc base'!O116),2)-Q116)</f>
        <v>0</v>
      </c>
      <c r="BB116">
        <f>MAX(0,ROUND(BB115*(1+'Calc base'!P116),2)-R116)</f>
        <v>0</v>
      </c>
      <c r="BC116">
        <f>MAX(0,ROUND(BC115*(1+'Calc base'!Q116),2)-S116)</f>
        <v>0</v>
      </c>
      <c r="BD116">
        <f>MAX(0,ROUND(BD115*(1+'Calc base'!R116),2)-T116)</f>
        <v>0</v>
      </c>
      <c r="BE116">
        <f>MAX(0,ROUND(BE115*(1+'Calc base'!S116),2)-U116)</f>
        <v>0</v>
      </c>
    </row>
    <row r="117">
      <c r="A117" t="n">
        <v>87</v>
      </c>
      <c r="B117">
        <f>SUMPRODUCT(ROUND($AT116:$BE116*(1+'Calc base'!$H117:$S117),2))</f>
        <v>576.43</v>
      </c>
      <c r="C117">
        <f>SUM(J117:U117)</f>
        <v>30</v>
      </c>
      <c r="G117">
        <f>SUM(AT117:BE117)</f>
        <v>546.43</v>
      </c>
      <c r="H117">
        <f>B117-G116</f>
        <v>8.93999999999994</v>
      </c>
      <c r="I117">
        <f>B117-G117</f>
        <v>30</v>
      </c>
      <c r="J117">
        <f>IF(AT116&lt;=0,0,IF(ROUND(AT116*(1+'Calc base'!H117),2)-MAX('Calc base'!C$12,ROUND('Calc base'!C$13*AT116,2))&lt;1,ROUND(AT116*(1+'Calc base'!H117),2),MAX('Calc base'!C$12,ROUND('Calc base'!C$13*AT116,2))))</f>
        <v>30</v>
      </c>
      <c r="K117">
        <f>IF(AU116&lt;=0,0,IF(ROUND(AU116*(1+'Calc base'!I117),2)-MAX('Calc base'!D$12,ROUND('Calc base'!D$13*AU116,2))&lt;1,ROUND(AU116*(1+'Calc base'!I117),2),MAX('Calc base'!D$12,ROUND('Calc base'!D$13*AU116,2))))</f>
        <v>0</v>
      </c>
      <c r="L117">
        <f>IF(AV116&lt;=0,0,IF(ROUND(AV116*(1+'Calc base'!J117),2)-MAX('Calc base'!E$12,ROUND('Calc base'!E$13*AV116,2))&lt;1,ROUND(AV116*(1+'Calc base'!J117),2),MAX('Calc base'!E$12,ROUND('Calc base'!E$13*AV116,2))))</f>
        <v>0</v>
      </c>
      <c r="M117">
        <f>IF(AW116&lt;=0,0,IF(ROUND(AW116*(1+'Calc base'!K117),2)-MAX('Calc base'!F$12,ROUND('Calc base'!F$13*AW116,2))&lt;1,ROUND(AW116*(1+'Calc base'!K117),2),MAX('Calc base'!F$12,ROUND('Calc base'!F$13*AW116,2))))</f>
        <v>0</v>
      </c>
      <c r="N117">
        <f>IF(AX116&lt;=0,0,IF(ROUND(AX116*(1+'Calc base'!L117),2)-MAX('Calc base'!G$12,ROUND('Calc base'!G$13*AX116,2))&lt;1,ROUND(AX116*(1+'Calc base'!L117),2),MAX('Calc base'!G$12,ROUND('Calc base'!G$13*AX116,2))))</f>
        <v>0</v>
      </c>
      <c r="O117">
        <f>IF(AY116&lt;=0,0,IF(ROUND(AY116*(1+'Calc base'!M117),2)-MAX('Calc base'!H$12,ROUND('Calc base'!H$13*AY116,2))&lt;1,ROUND(AY116*(1+'Calc base'!M117),2),MAX('Calc base'!H$12,ROUND('Calc base'!H$13*AY116,2))))</f>
        <v>0</v>
      </c>
      <c r="P117">
        <f>IF(AZ116&lt;=0,0,IF(ROUND(AZ116*(1+'Calc base'!N117),2)-MAX('Calc base'!I$12,ROUND('Calc base'!I$13*AZ116,2))&lt;1,ROUND(AZ116*(1+'Calc base'!N117),2),MAX('Calc base'!I$12,ROUND('Calc base'!I$13*AZ116,2))))</f>
        <v>0</v>
      </c>
      <c r="Q117">
        <f>IF(BA116&lt;=0,0,IF(ROUND(BA116*(1+'Calc base'!O117),2)-MAX('Calc base'!J$12,ROUND('Calc base'!J$13*BA116,2))&lt;1,ROUND(BA116*(1+'Calc base'!O117),2),MAX('Calc base'!J$12,ROUND('Calc base'!J$13*BA116,2))))</f>
        <v>0</v>
      </c>
      <c r="R117">
        <f>IF(BB116&lt;=0,0,IF(ROUND(BB116*(1+'Calc base'!P117),2)-MAX('Calc base'!K$12,ROUND('Calc base'!K$13*BB116,2))&lt;1,ROUND(BB116*(1+'Calc base'!P117),2),MAX('Calc base'!K$12,ROUND('Calc base'!K$13*BB116,2))))</f>
        <v>0</v>
      </c>
      <c r="S117">
        <f>IF(BC116&lt;=0,0,IF(ROUND(BC116*(1+'Calc base'!Q117),2)-MAX('Calc base'!L$12,ROUND('Calc base'!L$13*BC116,2))&lt;1,ROUND(BC116*(1+'Calc base'!Q117),2),MAX('Calc base'!L$12,ROUND('Calc base'!L$13*BC116,2))))</f>
        <v>0</v>
      </c>
      <c r="T117">
        <f>IF(BD116&lt;=0,0,IF(ROUND(BD116*(1+'Calc base'!R117),2)-MAX('Calc base'!M$12,ROUND('Calc base'!M$13*BD116,2))&lt;1,ROUND(BD116*(1+'Calc base'!R117),2),MAX('Calc base'!M$12,ROUND('Calc base'!M$13*BD116,2))))</f>
        <v>0</v>
      </c>
      <c r="U117">
        <f>IF(BE116&lt;=0,0,IF(ROUND(BE116*(1+'Calc base'!S117),2)-MAX('Calc base'!N$12,ROUND('Calc base'!N$13*BE116,2))&lt;1,ROUND(BE116*(1+'Calc base'!S117),2),MAX('Calc base'!N$12,ROUND('Calc base'!N$13*BE116,2))))</f>
        <v>0</v>
      </c>
      <c r="AT117">
        <f>MAX(0,ROUND(AT116*(1+'Calc base'!H117),2)-J117)</f>
        <v>546.43</v>
      </c>
      <c r="AU117">
        <f>MAX(0,ROUND(AU116*(1+'Calc base'!I117),2)-K117)</f>
        <v>0</v>
      </c>
      <c r="AV117">
        <f>MAX(0,ROUND(AV116*(1+'Calc base'!J117),2)-L117)</f>
        <v>0</v>
      </c>
      <c r="AW117">
        <f>MAX(0,ROUND(AW116*(1+'Calc base'!K117),2)-M117)</f>
        <v>0</v>
      </c>
      <c r="AX117">
        <f>MAX(0,ROUND(AX116*(1+'Calc base'!L117),2)-N117)</f>
        <v>0</v>
      </c>
      <c r="AY117">
        <f>MAX(0,ROUND(AY116*(1+'Calc base'!M117),2)-O117)</f>
        <v>0</v>
      </c>
      <c r="AZ117">
        <f>MAX(0,ROUND(AZ116*(1+'Calc base'!N117),2)-P117)</f>
        <v>0</v>
      </c>
      <c r="BA117">
        <f>MAX(0,ROUND(BA116*(1+'Calc base'!O117),2)-Q117)</f>
        <v>0</v>
      </c>
      <c r="BB117">
        <f>MAX(0,ROUND(BB116*(1+'Calc base'!P117),2)-R117)</f>
        <v>0</v>
      </c>
      <c r="BC117">
        <f>MAX(0,ROUND(BC116*(1+'Calc base'!Q117),2)-S117)</f>
        <v>0</v>
      </c>
      <c r="BD117">
        <f>MAX(0,ROUND(BD116*(1+'Calc base'!R117),2)-T117)</f>
        <v>0</v>
      </c>
      <c r="BE117">
        <f>MAX(0,ROUND(BE116*(1+'Calc base'!S117),2)-U117)</f>
        <v>0</v>
      </c>
    </row>
    <row r="118">
      <c r="A118" t="n">
        <v>88</v>
      </c>
      <c r="B118">
        <f>SUMPRODUCT(ROUND($AT117:$BE117*(1+'Calc base'!$H118:$S118),2))</f>
        <v>555.04</v>
      </c>
      <c r="C118">
        <f>SUM(J118:U118)</f>
        <v>30</v>
      </c>
      <c r="G118">
        <f>SUM(AT118:BE118)</f>
        <v>525.04</v>
      </c>
      <c r="H118">
        <f>B118-G117</f>
        <v>8.61000000000001</v>
      </c>
      <c r="I118">
        <f>B118-G118</f>
        <v>30</v>
      </c>
      <c r="J118">
        <f>IF(AT117&lt;=0,0,IF(ROUND(AT117*(1+'Calc base'!H118),2)-MAX('Calc base'!C$12,ROUND('Calc base'!C$13*AT117,2))&lt;1,ROUND(AT117*(1+'Calc base'!H118),2),MAX('Calc base'!C$12,ROUND('Calc base'!C$13*AT117,2))))</f>
        <v>30</v>
      </c>
      <c r="K118">
        <f>IF(AU117&lt;=0,0,IF(ROUND(AU117*(1+'Calc base'!I118),2)-MAX('Calc base'!D$12,ROUND('Calc base'!D$13*AU117,2))&lt;1,ROUND(AU117*(1+'Calc base'!I118),2),MAX('Calc base'!D$12,ROUND('Calc base'!D$13*AU117,2))))</f>
        <v>0</v>
      </c>
      <c r="L118">
        <f>IF(AV117&lt;=0,0,IF(ROUND(AV117*(1+'Calc base'!J118),2)-MAX('Calc base'!E$12,ROUND('Calc base'!E$13*AV117,2))&lt;1,ROUND(AV117*(1+'Calc base'!J118),2),MAX('Calc base'!E$12,ROUND('Calc base'!E$13*AV117,2))))</f>
        <v>0</v>
      </c>
      <c r="M118">
        <f>IF(AW117&lt;=0,0,IF(ROUND(AW117*(1+'Calc base'!K118),2)-MAX('Calc base'!F$12,ROUND('Calc base'!F$13*AW117,2))&lt;1,ROUND(AW117*(1+'Calc base'!K118),2),MAX('Calc base'!F$12,ROUND('Calc base'!F$13*AW117,2))))</f>
        <v>0</v>
      </c>
      <c r="N118">
        <f>IF(AX117&lt;=0,0,IF(ROUND(AX117*(1+'Calc base'!L118),2)-MAX('Calc base'!G$12,ROUND('Calc base'!G$13*AX117,2))&lt;1,ROUND(AX117*(1+'Calc base'!L118),2),MAX('Calc base'!G$12,ROUND('Calc base'!G$13*AX117,2))))</f>
        <v>0</v>
      </c>
      <c r="O118">
        <f>IF(AY117&lt;=0,0,IF(ROUND(AY117*(1+'Calc base'!M118),2)-MAX('Calc base'!H$12,ROUND('Calc base'!H$13*AY117,2))&lt;1,ROUND(AY117*(1+'Calc base'!M118),2),MAX('Calc base'!H$12,ROUND('Calc base'!H$13*AY117,2))))</f>
        <v>0</v>
      </c>
      <c r="P118">
        <f>IF(AZ117&lt;=0,0,IF(ROUND(AZ117*(1+'Calc base'!N118),2)-MAX('Calc base'!I$12,ROUND('Calc base'!I$13*AZ117,2))&lt;1,ROUND(AZ117*(1+'Calc base'!N118),2),MAX('Calc base'!I$12,ROUND('Calc base'!I$13*AZ117,2))))</f>
        <v>0</v>
      </c>
      <c r="Q118">
        <f>IF(BA117&lt;=0,0,IF(ROUND(BA117*(1+'Calc base'!O118),2)-MAX('Calc base'!J$12,ROUND('Calc base'!J$13*BA117,2))&lt;1,ROUND(BA117*(1+'Calc base'!O118),2),MAX('Calc base'!J$12,ROUND('Calc base'!J$13*BA117,2))))</f>
        <v>0</v>
      </c>
      <c r="R118">
        <f>IF(BB117&lt;=0,0,IF(ROUND(BB117*(1+'Calc base'!P118),2)-MAX('Calc base'!K$12,ROUND('Calc base'!K$13*BB117,2))&lt;1,ROUND(BB117*(1+'Calc base'!P118),2),MAX('Calc base'!K$12,ROUND('Calc base'!K$13*BB117,2))))</f>
        <v>0</v>
      </c>
      <c r="S118">
        <f>IF(BC117&lt;=0,0,IF(ROUND(BC117*(1+'Calc base'!Q118),2)-MAX('Calc base'!L$12,ROUND('Calc base'!L$13*BC117,2))&lt;1,ROUND(BC117*(1+'Calc base'!Q118),2),MAX('Calc base'!L$12,ROUND('Calc base'!L$13*BC117,2))))</f>
        <v>0</v>
      </c>
      <c r="T118">
        <f>IF(BD117&lt;=0,0,IF(ROUND(BD117*(1+'Calc base'!R118),2)-MAX('Calc base'!M$12,ROUND('Calc base'!M$13*BD117,2))&lt;1,ROUND(BD117*(1+'Calc base'!R118),2),MAX('Calc base'!M$12,ROUND('Calc base'!M$13*BD117,2))))</f>
        <v>0</v>
      </c>
      <c r="U118">
        <f>IF(BE117&lt;=0,0,IF(ROUND(BE117*(1+'Calc base'!S118),2)-MAX('Calc base'!N$12,ROUND('Calc base'!N$13*BE117,2))&lt;1,ROUND(BE117*(1+'Calc base'!S118),2),MAX('Calc base'!N$12,ROUND('Calc base'!N$13*BE117,2))))</f>
        <v>0</v>
      </c>
      <c r="AT118">
        <f>MAX(0,ROUND(AT117*(1+'Calc base'!H118),2)-J118)</f>
        <v>525.04</v>
      </c>
      <c r="AU118">
        <f>MAX(0,ROUND(AU117*(1+'Calc base'!I118),2)-K118)</f>
        <v>0</v>
      </c>
      <c r="AV118">
        <f>MAX(0,ROUND(AV117*(1+'Calc base'!J118),2)-L118)</f>
        <v>0</v>
      </c>
      <c r="AW118">
        <f>MAX(0,ROUND(AW117*(1+'Calc base'!K118),2)-M118)</f>
        <v>0</v>
      </c>
      <c r="AX118">
        <f>MAX(0,ROUND(AX117*(1+'Calc base'!L118),2)-N118)</f>
        <v>0</v>
      </c>
      <c r="AY118">
        <f>MAX(0,ROUND(AY117*(1+'Calc base'!M118),2)-O118)</f>
        <v>0</v>
      </c>
      <c r="AZ118">
        <f>MAX(0,ROUND(AZ117*(1+'Calc base'!N118),2)-P118)</f>
        <v>0</v>
      </c>
      <c r="BA118">
        <f>MAX(0,ROUND(BA117*(1+'Calc base'!O118),2)-Q118)</f>
        <v>0</v>
      </c>
      <c r="BB118">
        <f>MAX(0,ROUND(BB117*(1+'Calc base'!P118),2)-R118)</f>
        <v>0</v>
      </c>
      <c r="BC118">
        <f>MAX(0,ROUND(BC117*(1+'Calc base'!Q118),2)-S118)</f>
        <v>0</v>
      </c>
      <c r="BD118">
        <f>MAX(0,ROUND(BD117*(1+'Calc base'!R118),2)-T118)</f>
        <v>0</v>
      </c>
      <c r="BE118">
        <f>MAX(0,ROUND(BE117*(1+'Calc base'!S118),2)-U118)</f>
        <v>0</v>
      </c>
    </row>
    <row r="119">
      <c r="A119" t="n">
        <v>89</v>
      </c>
      <c r="B119">
        <f>SUMPRODUCT(ROUND($AT118:$BE118*(1+'Calc base'!$H119:$S119),2))</f>
        <v>533.31</v>
      </c>
      <c r="C119">
        <f>SUM(J119:U119)</f>
        <v>30</v>
      </c>
      <c r="G119">
        <f>SUM(AT119:BE119)</f>
        <v>503.31</v>
      </c>
      <c r="H119">
        <f>B119-G118</f>
        <v>8.26999999999998</v>
      </c>
      <c r="I119">
        <f>B119-G119</f>
        <v>30</v>
      </c>
      <c r="J119">
        <f>IF(AT118&lt;=0,0,IF(ROUND(AT118*(1+'Calc base'!H119),2)-MAX('Calc base'!C$12,ROUND('Calc base'!C$13*AT118,2))&lt;1,ROUND(AT118*(1+'Calc base'!H119),2),MAX('Calc base'!C$12,ROUND('Calc base'!C$13*AT118,2))))</f>
        <v>30</v>
      </c>
      <c r="K119">
        <f>IF(AU118&lt;=0,0,IF(ROUND(AU118*(1+'Calc base'!I119),2)-MAX('Calc base'!D$12,ROUND('Calc base'!D$13*AU118,2))&lt;1,ROUND(AU118*(1+'Calc base'!I119),2),MAX('Calc base'!D$12,ROUND('Calc base'!D$13*AU118,2))))</f>
        <v>0</v>
      </c>
      <c r="L119">
        <f>IF(AV118&lt;=0,0,IF(ROUND(AV118*(1+'Calc base'!J119),2)-MAX('Calc base'!E$12,ROUND('Calc base'!E$13*AV118,2))&lt;1,ROUND(AV118*(1+'Calc base'!J119),2),MAX('Calc base'!E$12,ROUND('Calc base'!E$13*AV118,2))))</f>
        <v>0</v>
      </c>
      <c r="M119">
        <f>IF(AW118&lt;=0,0,IF(ROUND(AW118*(1+'Calc base'!K119),2)-MAX('Calc base'!F$12,ROUND('Calc base'!F$13*AW118,2))&lt;1,ROUND(AW118*(1+'Calc base'!K119),2),MAX('Calc base'!F$12,ROUND('Calc base'!F$13*AW118,2))))</f>
        <v>0</v>
      </c>
      <c r="N119">
        <f>IF(AX118&lt;=0,0,IF(ROUND(AX118*(1+'Calc base'!L119),2)-MAX('Calc base'!G$12,ROUND('Calc base'!G$13*AX118,2))&lt;1,ROUND(AX118*(1+'Calc base'!L119),2),MAX('Calc base'!G$12,ROUND('Calc base'!G$13*AX118,2))))</f>
        <v>0</v>
      </c>
      <c r="O119">
        <f>IF(AY118&lt;=0,0,IF(ROUND(AY118*(1+'Calc base'!M119),2)-MAX('Calc base'!H$12,ROUND('Calc base'!H$13*AY118,2))&lt;1,ROUND(AY118*(1+'Calc base'!M119),2),MAX('Calc base'!H$12,ROUND('Calc base'!H$13*AY118,2))))</f>
        <v>0</v>
      </c>
      <c r="P119">
        <f>IF(AZ118&lt;=0,0,IF(ROUND(AZ118*(1+'Calc base'!N119),2)-MAX('Calc base'!I$12,ROUND('Calc base'!I$13*AZ118,2))&lt;1,ROUND(AZ118*(1+'Calc base'!N119),2),MAX('Calc base'!I$12,ROUND('Calc base'!I$13*AZ118,2))))</f>
        <v>0</v>
      </c>
      <c r="Q119">
        <f>IF(BA118&lt;=0,0,IF(ROUND(BA118*(1+'Calc base'!O119),2)-MAX('Calc base'!J$12,ROUND('Calc base'!J$13*BA118,2))&lt;1,ROUND(BA118*(1+'Calc base'!O119),2),MAX('Calc base'!J$12,ROUND('Calc base'!J$13*BA118,2))))</f>
        <v>0</v>
      </c>
      <c r="R119">
        <f>IF(BB118&lt;=0,0,IF(ROUND(BB118*(1+'Calc base'!P119),2)-MAX('Calc base'!K$12,ROUND('Calc base'!K$13*BB118,2))&lt;1,ROUND(BB118*(1+'Calc base'!P119),2),MAX('Calc base'!K$12,ROUND('Calc base'!K$13*BB118,2))))</f>
        <v>0</v>
      </c>
      <c r="S119">
        <f>IF(BC118&lt;=0,0,IF(ROUND(BC118*(1+'Calc base'!Q119),2)-MAX('Calc base'!L$12,ROUND('Calc base'!L$13*BC118,2))&lt;1,ROUND(BC118*(1+'Calc base'!Q119),2),MAX('Calc base'!L$12,ROUND('Calc base'!L$13*BC118,2))))</f>
        <v>0</v>
      </c>
      <c r="T119">
        <f>IF(BD118&lt;=0,0,IF(ROUND(BD118*(1+'Calc base'!R119),2)-MAX('Calc base'!M$12,ROUND('Calc base'!M$13*BD118,2))&lt;1,ROUND(BD118*(1+'Calc base'!R119),2),MAX('Calc base'!M$12,ROUND('Calc base'!M$13*BD118,2))))</f>
        <v>0</v>
      </c>
      <c r="U119">
        <f>IF(BE118&lt;=0,0,IF(ROUND(BE118*(1+'Calc base'!S119),2)-MAX('Calc base'!N$12,ROUND('Calc base'!N$13*BE118,2))&lt;1,ROUND(BE118*(1+'Calc base'!S119),2),MAX('Calc base'!N$12,ROUND('Calc base'!N$13*BE118,2))))</f>
        <v>0</v>
      </c>
      <c r="AT119">
        <f>MAX(0,ROUND(AT118*(1+'Calc base'!H119),2)-J119)</f>
        <v>503.31</v>
      </c>
      <c r="AU119">
        <f>MAX(0,ROUND(AU118*(1+'Calc base'!I119),2)-K119)</f>
        <v>0</v>
      </c>
      <c r="AV119">
        <f>MAX(0,ROUND(AV118*(1+'Calc base'!J119),2)-L119)</f>
        <v>0</v>
      </c>
      <c r="AW119">
        <f>MAX(0,ROUND(AW118*(1+'Calc base'!K119),2)-M119)</f>
        <v>0</v>
      </c>
      <c r="AX119">
        <f>MAX(0,ROUND(AX118*(1+'Calc base'!L119),2)-N119)</f>
        <v>0</v>
      </c>
      <c r="AY119">
        <f>MAX(0,ROUND(AY118*(1+'Calc base'!M119),2)-O119)</f>
        <v>0</v>
      </c>
      <c r="AZ119">
        <f>MAX(0,ROUND(AZ118*(1+'Calc base'!N119),2)-P119)</f>
        <v>0</v>
      </c>
      <c r="BA119">
        <f>MAX(0,ROUND(BA118*(1+'Calc base'!O119),2)-Q119)</f>
        <v>0</v>
      </c>
      <c r="BB119">
        <f>MAX(0,ROUND(BB118*(1+'Calc base'!P119),2)-R119)</f>
        <v>0</v>
      </c>
      <c r="BC119">
        <f>MAX(0,ROUND(BC118*(1+'Calc base'!Q119),2)-S119)</f>
        <v>0</v>
      </c>
      <c r="BD119">
        <f>MAX(0,ROUND(BD118*(1+'Calc base'!R119),2)-T119)</f>
        <v>0</v>
      </c>
      <c r="BE119">
        <f>MAX(0,ROUND(BE118*(1+'Calc base'!S119),2)-U119)</f>
        <v>0</v>
      </c>
    </row>
    <row r="120">
      <c r="A120" t="n">
        <v>90</v>
      </c>
      <c r="B120">
        <f>SUMPRODUCT(ROUND($AT119:$BE119*(1+'Calc base'!$H120:$S120),2))</f>
        <v>511.24</v>
      </c>
      <c r="C120">
        <f>SUM(J120:U120)</f>
        <v>30</v>
      </c>
      <c r="G120">
        <f>SUM(AT120:BE120)</f>
        <v>481.24</v>
      </c>
      <c r="H120">
        <f>B120-G119</f>
        <v>7.93000000000006</v>
      </c>
      <c r="I120">
        <f>B120-G120</f>
        <v>30</v>
      </c>
      <c r="J120">
        <f>IF(AT119&lt;=0,0,IF(ROUND(AT119*(1+'Calc base'!H120),2)-MAX('Calc base'!C$12,ROUND('Calc base'!C$13*AT119,2))&lt;1,ROUND(AT119*(1+'Calc base'!H120),2),MAX('Calc base'!C$12,ROUND('Calc base'!C$13*AT119,2))))</f>
        <v>30</v>
      </c>
      <c r="K120">
        <f>IF(AU119&lt;=0,0,IF(ROUND(AU119*(1+'Calc base'!I120),2)-MAX('Calc base'!D$12,ROUND('Calc base'!D$13*AU119,2))&lt;1,ROUND(AU119*(1+'Calc base'!I120),2),MAX('Calc base'!D$12,ROUND('Calc base'!D$13*AU119,2))))</f>
        <v>0</v>
      </c>
      <c r="L120">
        <f>IF(AV119&lt;=0,0,IF(ROUND(AV119*(1+'Calc base'!J120),2)-MAX('Calc base'!E$12,ROUND('Calc base'!E$13*AV119,2))&lt;1,ROUND(AV119*(1+'Calc base'!J120),2),MAX('Calc base'!E$12,ROUND('Calc base'!E$13*AV119,2))))</f>
        <v>0</v>
      </c>
      <c r="M120">
        <f>IF(AW119&lt;=0,0,IF(ROUND(AW119*(1+'Calc base'!K120),2)-MAX('Calc base'!F$12,ROUND('Calc base'!F$13*AW119,2))&lt;1,ROUND(AW119*(1+'Calc base'!K120),2),MAX('Calc base'!F$12,ROUND('Calc base'!F$13*AW119,2))))</f>
        <v>0</v>
      </c>
      <c r="N120">
        <f>IF(AX119&lt;=0,0,IF(ROUND(AX119*(1+'Calc base'!L120),2)-MAX('Calc base'!G$12,ROUND('Calc base'!G$13*AX119,2))&lt;1,ROUND(AX119*(1+'Calc base'!L120),2),MAX('Calc base'!G$12,ROUND('Calc base'!G$13*AX119,2))))</f>
        <v>0</v>
      </c>
      <c r="O120">
        <f>IF(AY119&lt;=0,0,IF(ROUND(AY119*(1+'Calc base'!M120),2)-MAX('Calc base'!H$12,ROUND('Calc base'!H$13*AY119,2))&lt;1,ROUND(AY119*(1+'Calc base'!M120),2),MAX('Calc base'!H$12,ROUND('Calc base'!H$13*AY119,2))))</f>
        <v>0</v>
      </c>
      <c r="P120">
        <f>IF(AZ119&lt;=0,0,IF(ROUND(AZ119*(1+'Calc base'!N120),2)-MAX('Calc base'!I$12,ROUND('Calc base'!I$13*AZ119,2))&lt;1,ROUND(AZ119*(1+'Calc base'!N120),2),MAX('Calc base'!I$12,ROUND('Calc base'!I$13*AZ119,2))))</f>
        <v>0</v>
      </c>
      <c r="Q120">
        <f>IF(BA119&lt;=0,0,IF(ROUND(BA119*(1+'Calc base'!O120),2)-MAX('Calc base'!J$12,ROUND('Calc base'!J$13*BA119,2))&lt;1,ROUND(BA119*(1+'Calc base'!O120),2),MAX('Calc base'!J$12,ROUND('Calc base'!J$13*BA119,2))))</f>
        <v>0</v>
      </c>
      <c r="R120">
        <f>IF(BB119&lt;=0,0,IF(ROUND(BB119*(1+'Calc base'!P120),2)-MAX('Calc base'!K$12,ROUND('Calc base'!K$13*BB119,2))&lt;1,ROUND(BB119*(1+'Calc base'!P120),2),MAX('Calc base'!K$12,ROUND('Calc base'!K$13*BB119,2))))</f>
        <v>0</v>
      </c>
      <c r="S120">
        <f>IF(BC119&lt;=0,0,IF(ROUND(BC119*(1+'Calc base'!Q120),2)-MAX('Calc base'!L$12,ROUND('Calc base'!L$13*BC119,2))&lt;1,ROUND(BC119*(1+'Calc base'!Q120),2),MAX('Calc base'!L$12,ROUND('Calc base'!L$13*BC119,2))))</f>
        <v>0</v>
      </c>
      <c r="T120">
        <f>IF(BD119&lt;=0,0,IF(ROUND(BD119*(1+'Calc base'!R120),2)-MAX('Calc base'!M$12,ROUND('Calc base'!M$13*BD119,2))&lt;1,ROUND(BD119*(1+'Calc base'!R120),2),MAX('Calc base'!M$12,ROUND('Calc base'!M$13*BD119,2))))</f>
        <v>0</v>
      </c>
      <c r="U120">
        <f>IF(BE119&lt;=0,0,IF(ROUND(BE119*(1+'Calc base'!S120),2)-MAX('Calc base'!N$12,ROUND('Calc base'!N$13*BE119,2))&lt;1,ROUND(BE119*(1+'Calc base'!S120),2),MAX('Calc base'!N$12,ROUND('Calc base'!N$13*BE119,2))))</f>
        <v>0</v>
      </c>
      <c r="AT120">
        <f>MAX(0,ROUND(AT119*(1+'Calc base'!H120),2)-J120)</f>
        <v>481.24</v>
      </c>
      <c r="AU120">
        <f>MAX(0,ROUND(AU119*(1+'Calc base'!I120),2)-K120)</f>
        <v>0</v>
      </c>
      <c r="AV120">
        <f>MAX(0,ROUND(AV119*(1+'Calc base'!J120),2)-L120)</f>
        <v>0</v>
      </c>
      <c r="AW120">
        <f>MAX(0,ROUND(AW119*(1+'Calc base'!K120),2)-M120)</f>
        <v>0</v>
      </c>
      <c r="AX120">
        <f>MAX(0,ROUND(AX119*(1+'Calc base'!L120),2)-N120)</f>
        <v>0</v>
      </c>
      <c r="AY120">
        <f>MAX(0,ROUND(AY119*(1+'Calc base'!M120),2)-O120)</f>
        <v>0</v>
      </c>
      <c r="AZ120">
        <f>MAX(0,ROUND(AZ119*(1+'Calc base'!N120),2)-P120)</f>
        <v>0</v>
      </c>
      <c r="BA120">
        <f>MAX(0,ROUND(BA119*(1+'Calc base'!O120),2)-Q120)</f>
        <v>0</v>
      </c>
      <c r="BB120">
        <f>MAX(0,ROUND(BB119*(1+'Calc base'!P120),2)-R120)</f>
        <v>0</v>
      </c>
      <c r="BC120">
        <f>MAX(0,ROUND(BC119*(1+'Calc base'!Q120),2)-S120)</f>
        <v>0</v>
      </c>
      <c r="BD120">
        <f>MAX(0,ROUND(BD119*(1+'Calc base'!R120),2)-T120)</f>
        <v>0</v>
      </c>
      <c r="BE120">
        <f>MAX(0,ROUND(BE119*(1+'Calc base'!S120),2)-U120)</f>
        <v>0</v>
      </c>
    </row>
    <row r="121">
      <c r="A121" t="n">
        <v>91</v>
      </c>
      <c r="B121">
        <f>SUMPRODUCT(ROUND($AT120:$BE120*(1+'Calc base'!$H121:$S121),2))</f>
        <v>488.82</v>
      </c>
      <c r="C121">
        <f>SUM(J121:U121)</f>
        <v>30</v>
      </c>
      <c r="G121">
        <f>SUM(AT121:BE121)</f>
        <v>458.82</v>
      </c>
      <c r="H121">
        <f>B121-G120</f>
        <v>7.57999999999998</v>
      </c>
      <c r="I121">
        <f>B121-G121</f>
        <v>30</v>
      </c>
      <c r="J121">
        <f>IF(AT120&lt;=0,0,IF(ROUND(AT120*(1+'Calc base'!H121),2)-MAX('Calc base'!C$12,ROUND('Calc base'!C$13*AT120,2))&lt;1,ROUND(AT120*(1+'Calc base'!H121),2),MAX('Calc base'!C$12,ROUND('Calc base'!C$13*AT120,2))))</f>
        <v>30</v>
      </c>
      <c r="K121">
        <f>IF(AU120&lt;=0,0,IF(ROUND(AU120*(1+'Calc base'!I121),2)-MAX('Calc base'!D$12,ROUND('Calc base'!D$13*AU120,2))&lt;1,ROUND(AU120*(1+'Calc base'!I121),2),MAX('Calc base'!D$12,ROUND('Calc base'!D$13*AU120,2))))</f>
        <v>0</v>
      </c>
      <c r="L121">
        <f>IF(AV120&lt;=0,0,IF(ROUND(AV120*(1+'Calc base'!J121),2)-MAX('Calc base'!E$12,ROUND('Calc base'!E$13*AV120,2))&lt;1,ROUND(AV120*(1+'Calc base'!J121),2),MAX('Calc base'!E$12,ROUND('Calc base'!E$13*AV120,2))))</f>
        <v>0</v>
      </c>
      <c r="M121">
        <f>IF(AW120&lt;=0,0,IF(ROUND(AW120*(1+'Calc base'!K121),2)-MAX('Calc base'!F$12,ROUND('Calc base'!F$13*AW120,2))&lt;1,ROUND(AW120*(1+'Calc base'!K121),2),MAX('Calc base'!F$12,ROUND('Calc base'!F$13*AW120,2))))</f>
        <v>0</v>
      </c>
      <c r="N121">
        <f>IF(AX120&lt;=0,0,IF(ROUND(AX120*(1+'Calc base'!L121),2)-MAX('Calc base'!G$12,ROUND('Calc base'!G$13*AX120,2))&lt;1,ROUND(AX120*(1+'Calc base'!L121),2),MAX('Calc base'!G$12,ROUND('Calc base'!G$13*AX120,2))))</f>
        <v>0</v>
      </c>
      <c r="O121">
        <f>IF(AY120&lt;=0,0,IF(ROUND(AY120*(1+'Calc base'!M121),2)-MAX('Calc base'!H$12,ROUND('Calc base'!H$13*AY120,2))&lt;1,ROUND(AY120*(1+'Calc base'!M121),2),MAX('Calc base'!H$12,ROUND('Calc base'!H$13*AY120,2))))</f>
        <v>0</v>
      </c>
      <c r="P121">
        <f>IF(AZ120&lt;=0,0,IF(ROUND(AZ120*(1+'Calc base'!N121),2)-MAX('Calc base'!I$12,ROUND('Calc base'!I$13*AZ120,2))&lt;1,ROUND(AZ120*(1+'Calc base'!N121),2),MAX('Calc base'!I$12,ROUND('Calc base'!I$13*AZ120,2))))</f>
        <v>0</v>
      </c>
      <c r="Q121">
        <f>IF(BA120&lt;=0,0,IF(ROUND(BA120*(1+'Calc base'!O121),2)-MAX('Calc base'!J$12,ROUND('Calc base'!J$13*BA120,2))&lt;1,ROUND(BA120*(1+'Calc base'!O121),2),MAX('Calc base'!J$12,ROUND('Calc base'!J$13*BA120,2))))</f>
        <v>0</v>
      </c>
      <c r="R121">
        <f>IF(BB120&lt;=0,0,IF(ROUND(BB120*(1+'Calc base'!P121),2)-MAX('Calc base'!K$12,ROUND('Calc base'!K$13*BB120,2))&lt;1,ROUND(BB120*(1+'Calc base'!P121),2),MAX('Calc base'!K$12,ROUND('Calc base'!K$13*BB120,2))))</f>
        <v>0</v>
      </c>
      <c r="S121">
        <f>IF(BC120&lt;=0,0,IF(ROUND(BC120*(1+'Calc base'!Q121),2)-MAX('Calc base'!L$12,ROUND('Calc base'!L$13*BC120,2))&lt;1,ROUND(BC120*(1+'Calc base'!Q121),2),MAX('Calc base'!L$12,ROUND('Calc base'!L$13*BC120,2))))</f>
        <v>0</v>
      </c>
      <c r="T121">
        <f>IF(BD120&lt;=0,0,IF(ROUND(BD120*(1+'Calc base'!R121),2)-MAX('Calc base'!M$12,ROUND('Calc base'!M$13*BD120,2))&lt;1,ROUND(BD120*(1+'Calc base'!R121),2),MAX('Calc base'!M$12,ROUND('Calc base'!M$13*BD120,2))))</f>
        <v>0</v>
      </c>
      <c r="U121">
        <f>IF(BE120&lt;=0,0,IF(ROUND(BE120*(1+'Calc base'!S121),2)-MAX('Calc base'!N$12,ROUND('Calc base'!N$13*BE120,2))&lt;1,ROUND(BE120*(1+'Calc base'!S121),2),MAX('Calc base'!N$12,ROUND('Calc base'!N$13*BE120,2))))</f>
        <v>0</v>
      </c>
      <c r="AT121">
        <f>MAX(0,ROUND(AT120*(1+'Calc base'!H121),2)-J121)</f>
        <v>458.82</v>
      </c>
      <c r="AU121">
        <f>MAX(0,ROUND(AU120*(1+'Calc base'!I121),2)-K121)</f>
        <v>0</v>
      </c>
      <c r="AV121">
        <f>MAX(0,ROUND(AV120*(1+'Calc base'!J121),2)-L121)</f>
        <v>0</v>
      </c>
      <c r="AW121">
        <f>MAX(0,ROUND(AW120*(1+'Calc base'!K121),2)-M121)</f>
        <v>0</v>
      </c>
      <c r="AX121">
        <f>MAX(0,ROUND(AX120*(1+'Calc base'!L121),2)-N121)</f>
        <v>0</v>
      </c>
      <c r="AY121">
        <f>MAX(0,ROUND(AY120*(1+'Calc base'!M121),2)-O121)</f>
        <v>0</v>
      </c>
      <c r="AZ121">
        <f>MAX(0,ROUND(AZ120*(1+'Calc base'!N121),2)-P121)</f>
        <v>0</v>
      </c>
      <c r="BA121">
        <f>MAX(0,ROUND(BA120*(1+'Calc base'!O121),2)-Q121)</f>
        <v>0</v>
      </c>
      <c r="BB121">
        <f>MAX(0,ROUND(BB120*(1+'Calc base'!P121),2)-R121)</f>
        <v>0</v>
      </c>
      <c r="BC121">
        <f>MAX(0,ROUND(BC120*(1+'Calc base'!Q121),2)-S121)</f>
        <v>0</v>
      </c>
      <c r="BD121">
        <f>MAX(0,ROUND(BD120*(1+'Calc base'!R121),2)-T121)</f>
        <v>0</v>
      </c>
      <c r="BE121">
        <f>MAX(0,ROUND(BE120*(1+'Calc base'!S121),2)-U121)</f>
        <v>0</v>
      </c>
    </row>
    <row r="122">
      <c r="A122" t="n">
        <v>92</v>
      </c>
      <c r="B122">
        <f>SUMPRODUCT(ROUND($AT121:$BE121*(1+'Calc base'!$H122:$S122),2))</f>
        <v>466.05</v>
      </c>
      <c r="C122">
        <f>SUM(J122:U122)</f>
        <v>30</v>
      </c>
      <c r="G122">
        <f>SUM(AT122:BE122)</f>
        <v>436.05</v>
      </c>
      <c r="H122">
        <f>B122-G121</f>
        <v>7.23000000000002</v>
      </c>
      <c r="I122">
        <f>B122-G122</f>
        <v>30</v>
      </c>
      <c r="J122">
        <f>IF(AT121&lt;=0,0,IF(ROUND(AT121*(1+'Calc base'!H122),2)-MAX('Calc base'!C$12,ROUND('Calc base'!C$13*AT121,2))&lt;1,ROUND(AT121*(1+'Calc base'!H122),2),MAX('Calc base'!C$12,ROUND('Calc base'!C$13*AT121,2))))</f>
        <v>30</v>
      </c>
      <c r="K122">
        <f>IF(AU121&lt;=0,0,IF(ROUND(AU121*(1+'Calc base'!I122),2)-MAX('Calc base'!D$12,ROUND('Calc base'!D$13*AU121,2))&lt;1,ROUND(AU121*(1+'Calc base'!I122),2),MAX('Calc base'!D$12,ROUND('Calc base'!D$13*AU121,2))))</f>
        <v>0</v>
      </c>
      <c r="L122">
        <f>IF(AV121&lt;=0,0,IF(ROUND(AV121*(1+'Calc base'!J122),2)-MAX('Calc base'!E$12,ROUND('Calc base'!E$13*AV121,2))&lt;1,ROUND(AV121*(1+'Calc base'!J122),2),MAX('Calc base'!E$12,ROUND('Calc base'!E$13*AV121,2))))</f>
        <v>0</v>
      </c>
      <c r="M122">
        <f>IF(AW121&lt;=0,0,IF(ROUND(AW121*(1+'Calc base'!K122),2)-MAX('Calc base'!F$12,ROUND('Calc base'!F$13*AW121,2))&lt;1,ROUND(AW121*(1+'Calc base'!K122),2),MAX('Calc base'!F$12,ROUND('Calc base'!F$13*AW121,2))))</f>
        <v>0</v>
      </c>
      <c r="N122">
        <f>IF(AX121&lt;=0,0,IF(ROUND(AX121*(1+'Calc base'!L122),2)-MAX('Calc base'!G$12,ROUND('Calc base'!G$13*AX121,2))&lt;1,ROUND(AX121*(1+'Calc base'!L122),2),MAX('Calc base'!G$12,ROUND('Calc base'!G$13*AX121,2))))</f>
        <v>0</v>
      </c>
      <c r="O122">
        <f>IF(AY121&lt;=0,0,IF(ROUND(AY121*(1+'Calc base'!M122),2)-MAX('Calc base'!H$12,ROUND('Calc base'!H$13*AY121,2))&lt;1,ROUND(AY121*(1+'Calc base'!M122),2),MAX('Calc base'!H$12,ROUND('Calc base'!H$13*AY121,2))))</f>
        <v>0</v>
      </c>
      <c r="P122">
        <f>IF(AZ121&lt;=0,0,IF(ROUND(AZ121*(1+'Calc base'!N122),2)-MAX('Calc base'!I$12,ROUND('Calc base'!I$13*AZ121,2))&lt;1,ROUND(AZ121*(1+'Calc base'!N122),2),MAX('Calc base'!I$12,ROUND('Calc base'!I$13*AZ121,2))))</f>
        <v>0</v>
      </c>
      <c r="Q122">
        <f>IF(BA121&lt;=0,0,IF(ROUND(BA121*(1+'Calc base'!O122),2)-MAX('Calc base'!J$12,ROUND('Calc base'!J$13*BA121,2))&lt;1,ROUND(BA121*(1+'Calc base'!O122),2),MAX('Calc base'!J$12,ROUND('Calc base'!J$13*BA121,2))))</f>
        <v>0</v>
      </c>
      <c r="R122">
        <f>IF(BB121&lt;=0,0,IF(ROUND(BB121*(1+'Calc base'!P122),2)-MAX('Calc base'!K$12,ROUND('Calc base'!K$13*BB121,2))&lt;1,ROUND(BB121*(1+'Calc base'!P122),2),MAX('Calc base'!K$12,ROUND('Calc base'!K$13*BB121,2))))</f>
        <v>0</v>
      </c>
      <c r="S122">
        <f>IF(BC121&lt;=0,0,IF(ROUND(BC121*(1+'Calc base'!Q122),2)-MAX('Calc base'!L$12,ROUND('Calc base'!L$13*BC121,2))&lt;1,ROUND(BC121*(1+'Calc base'!Q122),2),MAX('Calc base'!L$12,ROUND('Calc base'!L$13*BC121,2))))</f>
        <v>0</v>
      </c>
      <c r="T122">
        <f>IF(BD121&lt;=0,0,IF(ROUND(BD121*(1+'Calc base'!R122),2)-MAX('Calc base'!M$12,ROUND('Calc base'!M$13*BD121,2))&lt;1,ROUND(BD121*(1+'Calc base'!R122),2),MAX('Calc base'!M$12,ROUND('Calc base'!M$13*BD121,2))))</f>
        <v>0</v>
      </c>
      <c r="U122">
        <f>IF(BE121&lt;=0,0,IF(ROUND(BE121*(1+'Calc base'!S122),2)-MAX('Calc base'!N$12,ROUND('Calc base'!N$13*BE121,2))&lt;1,ROUND(BE121*(1+'Calc base'!S122),2),MAX('Calc base'!N$12,ROUND('Calc base'!N$13*BE121,2))))</f>
        <v>0</v>
      </c>
      <c r="AT122">
        <f>MAX(0,ROUND(AT121*(1+'Calc base'!H122),2)-J122)</f>
        <v>436.05</v>
      </c>
      <c r="AU122">
        <f>MAX(0,ROUND(AU121*(1+'Calc base'!I122),2)-K122)</f>
        <v>0</v>
      </c>
      <c r="AV122">
        <f>MAX(0,ROUND(AV121*(1+'Calc base'!J122),2)-L122)</f>
        <v>0</v>
      </c>
      <c r="AW122">
        <f>MAX(0,ROUND(AW121*(1+'Calc base'!K122),2)-M122)</f>
        <v>0</v>
      </c>
      <c r="AX122">
        <f>MAX(0,ROUND(AX121*(1+'Calc base'!L122),2)-N122)</f>
        <v>0</v>
      </c>
      <c r="AY122">
        <f>MAX(0,ROUND(AY121*(1+'Calc base'!M122),2)-O122)</f>
        <v>0</v>
      </c>
      <c r="AZ122">
        <f>MAX(0,ROUND(AZ121*(1+'Calc base'!N122),2)-P122)</f>
        <v>0</v>
      </c>
      <c r="BA122">
        <f>MAX(0,ROUND(BA121*(1+'Calc base'!O122),2)-Q122)</f>
        <v>0</v>
      </c>
      <c r="BB122">
        <f>MAX(0,ROUND(BB121*(1+'Calc base'!P122),2)-R122)</f>
        <v>0</v>
      </c>
      <c r="BC122">
        <f>MAX(0,ROUND(BC121*(1+'Calc base'!Q122),2)-S122)</f>
        <v>0</v>
      </c>
      <c r="BD122">
        <f>MAX(0,ROUND(BD121*(1+'Calc base'!R122),2)-T122)</f>
        <v>0</v>
      </c>
      <c r="BE122">
        <f>MAX(0,ROUND(BE121*(1+'Calc base'!S122),2)-U122)</f>
        <v>0</v>
      </c>
    </row>
    <row r="123">
      <c r="A123" t="n">
        <v>93</v>
      </c>
      <c r="B123">
        <f>SUMPRODUCT(ROUND($AT122:$BE122*(1+'Calc base'!$H123:$S123),2))</f>
        <v>442.92</v>
      </c>
      <c r="C123">
        <f>SUM(J123:U123)</f>
        <v>30</v>
      </c>
      <c r="G123">
        <f>SUM(AT123:BE123)</f>
        <v>412.92</v>
      </c>
      <c r="H123">
        <f>B123-G122</f>
        <v>6.87</v>
      </c>
      <c r="I123">
        <f>B123-G123</f>
        <v>30</v>
      </c>
      <c r="J123">
        <f>IF(AT122&lt;=0,0,IF(ROUND(AT122*(1+'Calc base'!H123),2)-MAX('Calc base'!C$12,ROUND('Calc base'!C$13*AT122,2))&lt;1,ROUND(AT122*(1+'Calc base'!H123),2),MAX('Calc base'!C$12,ROUND('Calc base'!C$13*AT122,2))))</f>
        <v>30</v>
      </c>
      <c r="K123">
        <f>IF(AU122&lt;=0,0,IF(ROUND(AU122*(1+'Calc base'!I123),2)-MAX('Calc base'!D$12,ROUND('Calc base'!D$13*AU122,2))&lt;1,ROUND(AU122*(1+'Calc base'!I123),2),MAX('Calc base'!D$12,ROUND('Calc base'!D$13*AU122,2))))</f>
        <v>0</v>
      </c>
      <c r="L123">
        <f>IF(AV122&lt;=0,0,IF(ROUND(AV122*(1+'Calc base'!J123),2)-MAX('Calc base'!E$12,ROUND('Calc base'!E$13*AV122,2))&lt;1,ROUND(AV122*(1+'Calc base'!J123),2),MAX('Calc base'!E$12,ROUND('Calc base'!E$13*AV122,2))))</f>
        <v>0</v>
      </c>
      <c r="M123">
        <f>IF(AW122&lt;=0,0,IF(ROUND(AW122*(1+'Calc base'!K123),2)-MAX('Calc base'!F$12,ROUND('Calc base'!F$13*AW122,2))&lt;1,ROUND(AW122*(1+'Calc base'!K123),2),MAX('Calc base'!F$12,ROUND('Calc base'!F$13*AW122,2))))</f>
        <v>0</v>
      </c>
      <c r="N123">
        <f>IF(AX122&lt;=0,0,IF(ROUND(AX122*(1+'Calc base'!L123),2)-MAX('Calc base'!G$12,ROUND('Calc base'!G$13*AX122,2))&lt;1,ROUND(AX122*(1+'Calc base'!L123),2),MAX('Calc base'!G$12,ROUND('Calc base'!G$13*AX122,2))))</f>
        <v>0</v>
      </c>
      <c r="O123">
        <f>IF(AY122&lt;=0,0,IF(ROUND(AY122*(1+'Calc base'!M123),2)-MAX('Calc base'!H$12,ROUND('Calc base'!H$13*AY122,2))&lt;1,ROUND(AY122*(1+'Calc base'!M123),2),MAX('Calc base'!H$12,ROUND('Calc base'!H$13*AY122,2))))</f>
        <v>0</v>
      </c>
      <c r="P123">
        <f>IF(AZ122&lt;=0,0,IF(ROUND(AZ122*(1+'Calc base'!N123),2)-MAX('Calc base'!I$12,ROUND('Calc base'!I$13*AZ122,2))&lt;1,ROUND(AZ122*(1+'Calc base'!N123),2),MAX('Calc base'!I$12,ROUND('Calc base'!I$13*AZ122,2))))</f>
        <v>0</v>
      </c>
      <c r="Q123">
        <f>IF(BA122&lt;=0,0,IF(ROUND(BA122*(1+'Calc base'!O123),2)-MAX('Calc base'!J$12,ROUND('Calc base'!J$13*BA122,2))&lt;1,ROUND(BA122*(1+'Calc base'!O123),2),MAX('Calc base'!J$12,ROUND('Calc base'!J$13*BA122,2))))</f>
        <v>0</v>
      </c>
      <c r="R123">
        <f>IF(BB122&lt;=0,0,IF(ROUND(BB122*(1+'Calc base'!P123),2)-MAX('Calc base'!K$12,ROUND('Calc base'!K$13*BB122,2))&lt;1,ROUND(BB122*(1+'Calc base'!P123),2),MAX('Calc base'!K$12,ROUND('Calc base'!K$13*BB122,2))))</f>
        <v>0</v>
      </c>
      <c r="S123">
        <f>IF(BC122&lt;=0,0,IF(ROUND(BC122*(1+'Calc base'!Q123),2)-MAX('Calc base'!L$12,ROUND('Calc base'!L$13*BC122,2))&lt;1,ROUND(BC122*(1+'Calc base'!Q123),2),MAX('Calc base'!L$12,ROUND('Calc base'!L$13*BC122,2))))</f>
        <v>0</v>
      </c>
      <c r="T123">
        <f>IF(BD122&lt;=0,0,IF(ROUND(BD122*(1+'Calc base'!R123),2)-MAX('Calc base'!M$12,ROUND('Calc base'!M$13*BD122,2))&lt;1,ROUND(BD122*(1+'Calc base'!R123),2),MAX('Calc base'!M$12,ROUND('Calc base'!M$13*BD122,2))))</f>
        <v>0</v>
      </c>
      <c r="U123">
        <f>IF(BE122&lt;=0,0,IF(ROUND(BE122*(1+'Calc base'!S123),2)-MAX('Calc base'!N$12,ROUND('Calc base'!N$13*BE122,2))&lt;1,ROUND(BE122*(1+'Calc base'!S123),2),MAX('Calc base'!N$12,ROUND('Calc base'!N$13*BE122,2))))</f>
        <v>0</v>
      </c>
      <c r="AT123">
        <f>MAX(0,ROUND(AT122*(1+'Calc base'!H123),2)-J123)</f>
        <v>412.92</v>
      </c>
      <c r="AU123">
        <f>MAX(0,ROUND(AU122*(1+'Calc base'!I123),2)-K123)</f>
        <v>0</v>
      </c>
      <c r="AV123">
        <f>MAX(0,ROUND(AV122*(1+'Calc base'!J123),2)-L123)</f>
        <v>0</v>
      </c>
      <c r="AW123">
        <f>MAX(0,ROUND(AW122*(1+'Calc base'!K123),2)-M123)</f>
        <v>0</v>
      </c>
      <c r="AX123">
        <f>MAX(0,ROUND(AX122*(1+'Calc base'!L123),2)-N123)</f>
        <v>0</v>
      </c>
      <c r="AY123">
        <f>MAX(0,ROUND(AY122*(1+'Calc base'!M123),2)-O123)</f>
        <v>0</v>
      </c>
      <c r="AZ123">
        <f>MAX(0,ROUND(AZ122*(1+'Calc base'!N123),2)-P123)</f>
        <v>0</v>
      </c>
      <c r="BA123">
        <f>MAX(0,ROUND(BA122*(1+'Calc base'!O123),2)-Q123)</f>
        <v>0</v>
      </c>
      <c r="BB123">
        <f>MAX(0,ROUND(BB122*(1+'Calc base'!P123),2)-R123)</f>
        <v>0</v>
      </c>
      <c r="BC123">
        <f>MAX(0,ROUND(BC122*(1+'Calc base'!Q123),2)-S123)</f>
        <v>0</v>
      </c>
      <c r="BD123">
        <f>MAX(0,ROUND(BD122*(1+'Calc base'!R123),2)-T123)</f>
        <v>0</v>
      </c>
      <c r="BE123">
        <f>MAX(0,ROUND(BE122*(1+'Calc base'!S123),2)-U123)</f>
        <v>0</v>
      </c>
    </row>
    <row r="124">
      <c r="A124" t="n">
        <v>94</v>
      </c>
      <c r="B124">
        <f>SUMPRODUCT(ROUND($AT123:$BE123*(1+'Calc base'!$H124:$S124),2))</f>
        <v>419.42</v>
      </c>
      <c r="C124">
        <f>SUM(J124:U124)</f>
        <v>30</v>
      </c>
      <c r="G124">
        <f>SUM(AT124:BE124)</f>
        <v>389.42</v>
      </c>
      <c r="H124">
        <f>B124-G123</f>
        <v>6.5</v>
      </c>
      <c r="I124">
        <f>B124-G124</f>
        <v>30</v>
      </c>
      <c r="J124">
        <f>IF(AT123&lt;=0,0,IF(ROUND(AT123*(1+'Calc base'!H124),2)-MAX('Calc base'!C$12,ROUND('Calc base'!C$13*AT123,2))&lt;1,ROUND(AT123*(1+'Calc base'!H124),2),MAX('Calc base'!C$12,ROUND('Calc base'!C$13*AT123,2))))</f>
        <v>30</v>
      </c>
      <c r="K124">
        <f>IF(AU123&lt;=0,0,IF(ROUND(AU123*(1+'Calc base'!I124),2)-MAX('Calc base'!D$12,ROUND('Calc base'!D$13*AU123,2))&lt;1,ROUND(AU123*(1+'Calc base'!I124),2),MAX('Calc base'!D$12,ROUND('Calc base'!D$13*AU123,2))))</f>
        <v>0</v>
      </c>
      <c r="L124">
        <f>IF(AV123&lt;=0,0,IF(ROUND(AV123*(1+'Calc base'!J124),2)-MAX('Calc base'!E$12,ROUND('Calc base'!E$13*AV123,2))&lt;1,ROUND(AV123*(1+'Calc base'!J124),2),MAX('Calc base'!E$12,ROUND('Calc base'!E$13*AV123,2))))</f>
        <v>0</v>
      </c>
      <c r="M124">
        <f>IF(AW123&lt;=0,0,IF(ROUND(AW123*(1+'Calc base'!K124),2)-MAX('Calc base'!F$12,ROUND('Calc base'!F$13*AW123,2))&lt;1,ROUND(AW123*(1+'Calc base'!K124),2),MAX('Calc base'!F$12,ROUND('Calc base'!F$13*AW123,2))))</f>
        <v>0</v>
      </c>
      <c r="N124">
        <f>IF(AX123&lt;=0,0,IF(ROUND(AX123*(1+'Calc base'!L124),2)-MAX('Calc base'!G$12,ROUND('Calc base'!G$13*AX123,2))&lt;1,ROUND(AX123*(1+'Calc base'!L124),2),MAX('Calc base'!G$12,ROUND('Calc base'!G$13*AX123,2))))</f>
        <v>0</v>
      </c>
      <c r="O124">
        <f>IF(AY123&lt;=0,0,IF(ROUND(AY123*(1+'Calc base'!M124),2)-MAX('Calc base'!H$12,ROUND('Calc base'!H$13*AY123,2))&lt;1,ROUND(AY123*(1+'Calc base'!M124),2),MAX('Calc base'!H$12,ROUND('Calc base'!H$13*AY123,2))))</f>
        <v>0</v>
      </c>
      <c r="P124">
        <f>IF(AZ123&lt;=0,0,IF(ROUND(AZ123*(1+'Calc base'!N124),2)-MAX('Calc base'!I$12,ROUND('Calc base'!I$13*AZ123,2))&lt;1,ROUND(AZ123*(1+'Calc base'!N124),2),MAX('Calc base'!I$12,ROUND('Calc base'!I$13*AZ123,2))))</f>
        <v>0</v>
      </c>
      <c r="Q124">
        <f>IF(BA123&lt;=0,0,IF(ROUND(BA123*(1+'Calc base'!O124),2)-MAX('Calc base'!J$12,ROUND('Calc base'!J$13*BA123,2))&lt;1,ROUND(BA123*(1+'Calc base'!O124),2),MAX('Calc base'!J$12,ROUND('Calc base'!J$13*BA123,2))))</f>
        <v>0</v>
      </c>
      <c r="R124">
        <f>IF(BB123&lt;=0,0,IF(ROUND(BB123*(1+'Calc base'!P124),2)-MAX('Calc base'!K$12,ROUND('Calc base'!K$13*BB123,2))&lt;1,ROUND(BB123*(1+'Calc base'!P124),2),MAX('Calc base'!K$12,ROUND('Calc base'!K$13*BB123,2))))</f>
        <v>0</v>
      </c>
      <c r="S124">
        <f>IF(BC123&lt;=0,0,IF(ROUND(BC123*(1+'Calc base'!Q124),2)-MAX('Calc base'!L$12,ROUND('Calc base'!L$13*BC123,2))&lt;1,ROUND(BC123*(1+'Calc base'!Q124),2),MAX('Calc base'!L$12,ROUND('Calc base'!L$13*BC123,2))))</f>
        <v>0</v>
      </c>
      <c r="T124">
        <f>IF(BD123&lt;=0,0,IF(ROUND(BD123*(1+'Calc base'!R124),2)-MAX('Calc base'!M$12,ROUND('Calc base'!M$13*BD123,2))&lt;1,ROUND(BD123*(1+'Calc base'!R124),2),MAX('Calc base'!M$12,ROUND('Calc base'!M$13*BD123,2))))</f>
        <v>0</v>
      </c>
      <c r="U124">
        <f>IF(BE123&lt;=0,0,IF(ROUND(BE123*(1+'Calc base'!S124),2)-MAX('Calc base'!N$12,ROUND('Calc base'!N$13*BE123,2))&lt;1,ROUND(BE123*(1+'Calc base'!S124),2),MAX('Calc base'!N$12,ROUND('Calc base'!N$13*BE123,2))))</f>
        <v>0</v>
      </c>
      <c r="AT124">
        <f>MAX(0,ROUND(AT123*(1+'Calc base'!H124),2)-J124)</f>
        <v>389.42</v>
      </c>
      <c r="AU124">
        <f>MAX(0,ROUND(AU123*(1+'Calc base'!I124),2)-K124)</f>
        <v>0</v>
      </c>
      <c r="AV124">
        <f>MAX(0,ROUND(AV123*(1+'Calc base'!J124),2)-L124)</f>
        <v>0</v>
      </c>
      <c r="AW124">
        <f>MAX(0,ROUND(AW123*(1+'Calc base'!K124),2)-M124)</f>
        <v>0</v>
      </c>
      <c r="AX124">
        <f>MAX(0,ROUND(AX123*(1+'Calc base'!L124),2)-N124)</f>
        <v>0</v>
      </c>
      <c r="AY124">
        <f>MAX(0,ROUND(AY123*(1+'Calc base'!M124),2)-O124)</f>
        <v>0</v>
      </c>
      <c r="AZ124">
        <f>MAX(0,ROUND(AZ123*(1+'Calc base'!N124),2)-P124)</f>
        <v>0</v>
      </c>
      <c r="BA124">
        <f>MAX(0,ROUND(BA123*(1+'Calc base'!O124),2)-Q124)</f>
        <v>0</v>
      </c>
      <c r="BB124">
        <f>MAX(0,ROUND(BB123*(1+'Calc base'!P124),2)-R124)</f>
        <v>0</v>
      </c>
      <c r="BC124">
        <f>MAX(0,ROUND(BC123*(1+'Calc base'!Q124),2)-S124)</f>
        <v>0</v>
      </c>
      <c r="BD124">
        <f>MAX(0,ROUND(BD123*(1+'Calc base'!R124),2)-T124)</f>
        <v>0</v>
      </c>
      <c r="BE124">
        <f>MAX(0,ROUND(BE123*(1+'Calc base'!S124),2)-U124)</f>
        <v>0</v>
      </c>
    </row>
    <row r="125">
      <c r="A125" t="n">
        <v>95</v>
      </c>
      <c r="B125">
        <f>SUMPRODUCT(ROUND($AT124:$BE124*(1+'Calc base'!$H125:$S125),2))</f>
        <v>395.55</v>
      </c>
      <c r="C125">
        <f>SUM(J125:U125)</f>
        <v>30</v>
      </c>
      <c r="G125">
        <f>SUM(AT125:BE125)</f>
        <v>365.55</v>
      </c>
      <c r="H125">
        <f>B125-G124</f>
        <v>6.13</v>
      </c>
      <c r="I125">
        <f>B125-G125</f>
        <v>30</v>
      </c>
      <c r="J125">
        <f>IF(AT124&lt;=0,0,IF(ROUND(AT124*(1+'Calc base'!H125),2)-MAX('Calc base'!C$12,ROUND('Calc base'!C$13*AT124,2))&lt;1,ROUND(AT124*(1+'Calc base'!H125),2),MAX('Calc base'!C$12,ROUND('Calc base'!C$13*AT124,2))))</f>
        <v>30</v>
      </c>
      <c r="K125">
        <f>IF(AU124&lt;=0,0,IF(ROUND(AU124*(1+'Calc base'!I125),2)-MAX('Calc base'!D$12,ROUND('Calc base'!D$13*AU124,2))&lt;1,ROUND(AU124*(1+'Calc base'!I125),2),MAX('Calc base'!D$12,ROUND('Calc base'!D$13*AU124,2))))</f>
        <v>0</v>
      </c>
      <c r="L125">
        <f>IF(AV124&lt;=0,0,IF(ROUND(AV124*(1+'Calc base'!J125),2)-MAX('Calc base'!E$12,ROUND('Calc base'!E$13*AV124,2))&lt;1,ROUND(AV124*(1+'Calc base'!J125),2),MAX('Calc base'!E$12,ROUND('Calc base'!E$13*AV124,2))))</f>
        <v>0</v>
      </c>
      <c r="M125">
        <f>IF(AW124&lt;=0,0,IF(ROUND(AW124*(1+'Calc base'!K125),2)-MAX('Calc base'!F$12,ROUND('Calc base'!F$13*AW124,2))&lt;1,ROUND(AW124*(1+'Calc base'!K125),2),MAX('Calc base'!F$12,ROUND('Calc base'!F$13*AW124,2))))</f>
        <v>0</v>
      </c>
      <c r="N125">
        <f>IF(AX124&lt;=0,0,IF(ROUND(AX124*(1+'Calc base'!L125),2)-MAX('Calc base'!G$12,ROUND('Calc base'!G$13*AX124,2))&lt;1,ROUND(AX124*(1+'Calc base'!L125),2),MAX('Calc base'!G$12,ROUND('Calc base'!G$13*AX124,2))))</f>
        <v>0</v>
      </c>
      <c r="O125">
        <f>IF(AY124&lt;=0,0,IF(ROUND(AY124*(1+'Calc base'!M125),2)-MAX('Calc base'!H$12,ROUND('Calc base'!H$13*AY124,2))&lt;1,ROUND(AY124*(1+'Calc base'!M125),2),MAX('Calc base'!H$12,ROUND('Calc base'!H$13*AY124,2))))</f>
        <v>0</v>
      </c>
      <c r="P125">
        <f>IF(AZ124&lt;=0,0,IF(ROUND(AZ124*(1+'Calc base'!N125),2)-MAX('Calc base'!I$12,ROUND('Calc base'!I$13*AZ124,2))&lt;1,ROUND(AZ124*(1+'Calc base'!N125),2),MAX('Calc base'!I$12,ROUND('Calc base'!I$13*AZ124,2))))</f>
        <v>0</v>
      </c>
      <c r="Q125">
        <f>IF(BA124&lt;=0,0,IF(ROUND(BA124*(1+'Calc base'!O125),2)-MAX('Calc base'!J$12,ROUND('Calc base'!J$13*BA124,2))&lt;1,ROUND(BA124*(1+'Calc base'!O125),2),MAX('Calc base'!J$12,ROUND('Calc base'!J$13*BA124,2))))</f>
        <v>0</v>
      </c>
      <c r="R125">
        <f>IF(BB124&lt;=0,0,IF(ROUND(BB124*(1+'Calc base'!P125),2)-MAX('Calc base'!K$12,ROUND('Calc base'!K$13*BB124,2))&lt;1,ROUND(BB124*(1+'Calc base'!P125),2),MAX('Calc base'!K$12,ROUND('Calc base'!K$13*BB124,2))))</f>
        <v>0</v>
      </c>
      <c r="S125">
        <f>IF(BC124&lt;=0,0,IF(ROUND(BC124*(1+'Calc base'!Q125),2)-MAX('Calc base'!L$12,ROUND('Calc base'!L$13*BC124,2))&lt;1,ROUND(BC124*(1+'Calc base'!Q125),2),MAX('Calc base'!L$12,ROUND('Calc base'!L$13*BC124,2))))</f>
        <v>0</v>
      </c>
      <c r="T125">
        <f>IF(BD124&lt;=0,0,IF(ROUND(BD124*(1+'Calc base'!R125),2)-MAX('Calc base'!M$12,ROUND('Calc base'!M$13*BD124,2))&lt;1,ROUND(BD124*(1+'Calc base'!R125),2),MAX('Calc base'!M$12,ROUND('Calc base'!M$13*BD124,2))))</f>
        <v>0</v>
      </c>
      <c r="U125">
        <f>IF(BE124&lt;=0,0,IF(ROUND(BE124*(1+'Calc base'!S125),2)-MAX('Calc base'!N$12,ROUND('Calc base'!N$13*BE124,2))&lt;1,ROUND(BE124*(1+'Calc base'!S125),2),MAX('Calc base'!N$12,ROUND('Calc base'!N$13*BE124,2))))</f>
        <v>0</v>
      </c>
      <c r="AT125">
        <f>MAX(0,ROUND(AT124*(1+'Calc base'!H125),2)-J125)</f>
        <v>365.55</v>
      </c>
      <c r="AU125">
        <f>MAX(0,ROUND(AU124*(1+'Calc base'!I125),2)-K125)</f>
        <v>0</v>
      </c>
      <c r="AV125">
        <f>MAX(0,ROUND(AV124*(1+'Calc base'!J125),2)-L125)</f>
        <v>0</v>
      </c>
      <c r="AW125">
        <f>MAX(0,ROUND(AW124*(1+'Calc base'!K125),2)-M125)</f>
        <v>0</v>
      </c>
      <c r="AX125">
        <f>MAX(0,ROUND(AX124*(1+'Calc base'!L125),2)-N125)</f>
        <v>0</v>
      </c>
      <c r="AY125">
        <f>MAX(0,ROUND(AY124*(1+'Calc base'!M125),2)-O125)</f>
        <v>0</v>
      </c>
      <c r="AZ125">
        <f>MAX(0,ROUND(AZ124*(1+'Calc base'!N125),2)-P125)</f>
        <v>0</v>
      </c>
      <c r="BA125">
        <f>MAX(0,ROUND(BA124*(1+'Calc base'!O125),2)-Q125)</f>
        <v>0</v>
      </c>
      <c r="BB125">
        <f>MAX(0,ROUND(BB124*(1+'Calc base'!P125),2)-R125)</f>
        <v>0</v>
      </c>
      <c r="BC125">
        <f>MAX(0,ROUND(BC124*(1+'Calc base'!Q125),2)-S125)</f>
        <v>0</v>
      </c>
      <c r="BD125">
        <f>MAX(0,ROUND(BD124*(1+'Calc base'!R125),2)-T125)</f>
        <v>0</v>
      </c>
      <c r="BE125">
        <f>MAX(0,ROUND(BE124*(1+'Calc base'!S125),2)-U125)</f>
        <v>0</v>
      </c>
    </row>
    <row r="126">
      <c r="A126" t="n">
        <v>96</v>
      </c>
      <c r="B126">
        <f>SUMPRODUCT(ROUND($AT125:$BE125*(1+'Calc base'!$H126:$S126),2))</f>
        <v>371.31</v>
      </c>
      <c r="C126">
        <f>SUM(J126:U126)</f>
        <v>30</v>
      </c>
      <c r="G126">
        <f>SUM(AT126:BE126)</f>
        <v>341.31</v>
      </c>
      <c r="H126">
        <f>B126-G125</f>
        <v>5.75999999999999</v>
      </c>
      <c r="I126">
        <f>B126-G126</f>
        <v>30</v>
      </c>
      <c r="J126">
        <f>IF(AT125&lt;=0,0,IF(ROUND(AT125*(1+'Calc base'!H126),2)-MAX('Calc base'!C$12,ROUND('Calc base'!C$13*AT125,2))&lt;1,ROUND(AT125*(1+'Calc base'!H126),2),MAX('Calc base'!C$12,ROUND('Calc base'!C$13*AT125,2))))</f>
        <v>30</v>
      </c>
      <c r="K126">
        <f>IF(AU125&lt;=0,0,IF(ROUND(AU125*(1+'Calc base'!I126),2)-MAX('Calc base'!D$12,ROUND('Calc base'!D$13*AU125,2))&lt;1,ROUND(AU125*(1+'Calc base'!I126),2),MAX('Calc base'!D$12,ROUND('Calc base'!D$13*AU125,2))))</f>
        <v>0</v>
      </c>
      <c r="L126">
        <f>IF(AV125&lt;=0,0,IF(ROUND(AV125*(1+'Calc base'!J126),2)-MAX('Calc base'!E$12,ROUND('Calc base'!E$13*AV125,2))&lt;1,ROUND(AV125*(1+'Calc base'!J126),2),MAX('Calc base'!E$12,ROUND('Calc base'!E$13*AV125,2))))</f>
        <v>0</v>
      </c>
      <c r="M126">
        <f>IF(AW125&lt;=0,0,IF(ROUND(AW125*(1+'Calc base'!K126),2)-MAX('Calc base'!F$12,ROUND('Calc base'!F$13*AW125,2))&lt;1,ROUND(AW125*(1+'Calc base'!K126),2),MAX('Calc base'!F$12,ROUND('Calc base'!F$13*AW125,2))))</f>
        <v>0</v>
      </c>
      <c r="N126">
        <f>IF(AX125&lt;=0,0,IF(ROUND(AX125*(1+'Calc base'!L126),2)-MAX('Calc base'!G$12,ROUND('Calc base'!G$13*AX125,2))&lt;1,ROUND(AX125*(1+'Calc base'!L126),2),MAX('Calc base'!G$12,ROUND('Calc base'!G$13*AX125,2))))</f>
        <v>0</v>
      </c>
      <c r="O126">
        <f>IF(AY125&lt;=0,0,IF(ROUND(AY125*(1+'Calc base'!M126),2)-MAX('Calc base'!H$12,ROUND('Calc base'!H$13*AY125,2))&lt;1,ROUND(AY125*(1+'Calc base'!M126),2),MAX('Calc base'!H$12,ROUND('Calc base'!H$13*AY125,2))))</f>
        <v>0</v>
      </c>
      <c r="P126">
        <f>IF(AZ125&lt;=0,0,IF(ROUND(AZ125*(1+'Calc base'!N126),2)-MAX('Calc base'!I$12,ROUND('Calc base'!I$13*AZ125,2))&lt;1,ROUND(AZ125*(1+'Calc base'!N126),2),MAX('Calc base'!I$12,ROUND('Calc base'!I$13*AZ125,2))))</f>
        <v>0</v>
      </c>
      <c r="Q126">
        <f>IF(BA125&lt;=0,0,IF(ROUND(BA125*(1+'Calc base'!O126),2)-MAX('Calc base'!J$12,ROUND('Calc base'!J$13*BA125,2))&lt;1,ROUND(BA125*(1+'Calc base'!O126),2),MAX('Calc base'!J$12,ROUND('Calc base'!J$13*BA125,2))))</f>
        <v>0</v>
      </c>
      <c r="R126">
        <f>IF(BB125&lt;=0,0,IF(ROUND(BB125*(1+'Calc base'!P126),2)-MAX('Calc base'!K$12,ROUND('Calc base'!K$13*BB125,2))&lt;1,ROUND(BB125*(1+'Calc base'!P126),2),MAX('Calc base'!K$12,ROUND('Calc base'!K$13*BB125,2))))</f>
        <v>0</v>
      </c>
      <c r="S126">
        <f>IF(BC125&lt;=0,0,IF(ROUND(BC125*(1+'Calc base'!Q126),2)-MAX('Calc base'!L$12,ROUND('Calc base'!L$13*BC125,2))&lt;1,ROUND(BC125*(1+'Calc base'!Q126),2),MAX('Calc base'!L$12,ROUND('Calc base'!L$13*BC125,2))))</f>
        <v>0</v>
      </c>
      <c r="T126">
        <f>IF(BD125&lt;=0,0,IF(ROUND(BD125*(1+'Calc base'!R126),2)-MAX('Calc base'!M$12,ROUND('Calc base'!M$13*BD125,2))&lt;1,ROUND(BD125*(1+'Calc base'!R126),2),MAX('Calc base'!M$12,ROUND('Calc base'!M$13*BD125,2))))</f>
        <v>0</v>
      </c>
      <c r="U126">
        <f>IF(BE125&lt;=0,0,IF(ROUND(BE125*(1+'Calc base'!S126),2)-MAX('Calc base'!N$12,ROUND('Calc base'!N$13*BE125,2))&lt;1,ROUND(BE125*(1+'Calc base'!S126),2),MAX('Calc base'!N$12,ROUND('Calc base'!N$13*BE125,2))))</f>
        <v>0</v>
      </c>
      <c r="AT126">
        <f>MAX(0,ROUND(AT125*(1+'Calc base'!H126),2)-J126)</f>
        <v>341.31</v>
      </c>
      <c r="AU126">
        <f>MAX(0,ROUND(AU125*(1+'Calc base'!I126),2)-K126)</f>
        <v>0</v>
      </c>
      <c r="AV126">
        <f>MAX(0,ROUND(AV125*(1+'Calc base'!J126),2)-L126)</f>
        <v>0</v>
      </c>
      <c r="AW126">
        <f>MAX(0,ROUND(AW125*(1+'Calc base'!K126),2)-M126)</f>
        <v>0</v>
      </c>
      <c r="AX126">
        <f>MAX(0,ROUND(AX125*(1+'Calc base'!L126),2)-N126)</f>
        <v>0</v>
      </c>
      <c r="AY126">
        <f>MAX(0,ROUND(AY125*(1+'Calc base'!M126),2)-O126)</f>
        <v>0</v>
      </c>
      <c r="AZ126">
        <f>MAX(0,ROUND(AZ125*(1+'Calc base'!N126),2)-P126)</f>
        <v>0</v>
      </c>
      <c r="BA126">
        <f>MAX(0,ROUND(BA125*(1+'Calc base'!O126),2)-Q126)</f>
        <v>0</v>
      </c>
      <c r="BB126">
        <f>MAX(0,ROUND(BB125*(1+'Calc base'!P126),2)-R126)</f>
        <v>0</v>
      </c>
      <c r="BC126">
        <f>MAX(0,ROUND(BC125*(1+'Calc base'!Q126),2)-S126)</f>
        <v>0</v>
      </c>
      <c r="BD126">
        <f>MAX(0,ROUND(BD125*(1+'Calc base'!R126),2)-T126)</f>
        <v>0</v>
      </c>
      <c r="BE126">
        <f>MAX(0,ROUND(BE125*(1+'Calc base'!S126),2)-U126)</f>
        <v>0</v>
      </c>
    </row>
    <row r="127">
      <c r="A127" t="n">
        <v>97</v>
      </c>
      <c r="B127">
        <f>SUMPRODUCT(ROUND($AT126:$BE126*(1+'Calc base'!$H127:$S127),2))</f>
        <v>346.69</v>
      </c>
      <c r="C127">
        <f>SUM(J127:U127)</f>
        <v>30</v>
      </c>
      <c r="G127">
        <f>SUM(AT127:BE127)</f>
        <v>316.69</v>
      </c>
      <c r="H127">
        <f>B127-G126</f>
        <v>5.38</v>
      </c>
      <c r="I127">
        <f>B127-G127</f>
        <v>30</v>
      </c>
      <c r="J127">
        <f>IF(AT126&lt;=0,0,IF(ROUND(AT126*(1+'Calc base'!H127),2)-MAX('Calc base'!C$12,ROUND('Calc base'!C$13*AT126,2))&lt;1,ROUND(AT126*(1+'Calc base'!H127),2),MAX('Calc base'!C$12,ROUND('Calc base'!C$13*AT126,2))))</f>
        <v>30</v>
      </c>
      <c r="K127">
        <f>IF(AU126&lt;=0,0,IF(ROUND(AU126*(1+'Calc base'!I127),2)-MAX('Calc base'!D$12,ROUND('Calc base'!D$13*AU126,2))&lt;1,ROUND(AU126*(1+'Calc base'!I127),2),MAX('Calc base'!D$12,ROUND('Calc base'!D$13*AU126,2))))</f>
        <v>0</v>
      </c>
      <c r="L127">
        <f>IF(AV126&lt;=0,0,IF(ROUND(AV126*(1+'Calc base'!J127),2)-MAX('Calc base'!E$12,ROUND('Calc base'!E$13*AV126,2))&lt;1,ROUND(AV126*(1+'Calc base'!J127),2),MAX('Calc base'!E$12,ROUND('Calc base'!E$13*AV126,2))))</f>
        <v>0</v>
      </c>
      <c r="M127">
        <f>IF(AW126&lt;=0,0,IF(ROUND(AW126*(1+'Calc base'!K127),2)-MAX('Calc base'!F$12,ROUND('Calc base'!F$13*AW126,2))&lt;1,ROUND(AW126*(1+'Calc base'!K127),2),MAX('Calc base'!F$12,ROUND('Calc base'!F$13*AW126,2))))</f>
        <v>0</v>
      </c>
      <c r="N127">
        <f>IF(AX126&lt;=0,0,IF(ROUND(AX126*(1+'Calc base'!L127),2)-MAX('Calc base'!G$12,ROUND('Calc base'!G$13*AX126,2))&lt;1,ROUND(AX126*(1+'Calc base'!L127),2),MAX('Calc base'!G$12,ROUND('Calc base'!G$13*AX126,2))))</f>
        <v>0</v>
      </c>
      <c r="O127">
        <f>IF(AY126&lt;=0,0,IF(ROUND(AY126*(1+'Calc base'!M127),2)-MAX('Calc base'!H$12,ROUND('Calc base'!H$13*AY126,2))&lt;1,ROUND(AY126*(1+'Calc base'!M127),2),MAX('Calc base'!H$12,ROUND('Calc base'!H$13*AY126,2))))</f>
        <v>0</v>
      </c>
      <c r="P127">
        <f>IF(AZ126&lt;=0,0,IF(ROUND(AZ126*(1+'Calc base'!N127),2)-MAX('Calc base'!I$12,ROUND('Calc base'!I$13*AZ126,2))&lt;1,ROUND(AZ126*(1+'Calc base'!N127),2),MAX('Calc base'!I$12,ROUND('Calc base'!I$13*AZ126,2))))</f>
        <v>0</v>
      </c>
      <c r="Q127">
        <f>IF(BA126&lt;=0,0,IF(ROUND(BA126*(1+'Calc base'!O127),2)-MAX('Calc base'!J$12,ROUND('Calc base'!J$13*BA126,2))&lt;1,ROUND(BA126*(1+'Calc base'!O127),2),MAX('Calc base'!J$12,ROUND('Calc base'!J$13*BA126,2))))</f>
        <v>0</v>
      </c>
      <c r="R127">
        <f>IF(BB126&lt;=0,0,IF(ROUND(BB126*(1+'Calc base'!P127),2)-MAX('Calc base'!K$12,ROUND('Calc base'!K$13*BB126,2))&lt;1,ROUND(BB126*(1+'Calc base'!P127),2),MAX('Calc base'!K$12,ROUND('Calc base'!K$13*BB126,2))))</f>
        <v>0</v>
      </c>
      <c r="S127">
        <f>IF(BC126&lt;=0,0,IF(ROUND(BC126*(1+'Calc base'!Q127),2)-MAX('Calc base'!L$12,ROUND('Calc base'!L$13*BC126,2))&lt;1,ROUND(BC126*(1+'Calc base'!Q127),2),MAX('Calc base'!L$12,ROUND('Calc base'!L$13*BC126,2))))</f>
        <v>0</v>
      </c>
      <c r="T127">
        <f>IF(BD126&lt;=0,0,IF(ROUND(BD126*(1+'Calc base'!R127),2)-MAX('Calc base'!M$12,ROUND('Calc base'!M$13*BD126,2))&lt;1,ROUND(BD126*(1+'Calc base'!R127),2),MAX('Calc base'!M$12,ROUND('Calc base'!M$13*BD126,2))))</f>
        <v>0</v>
      </c>
      <c r="U127">
        <f>IF(BE126&lt;=0,0,IF(ROUND(BE126*(1+'Calc base'!S127),2)-MAX('Calc base'!N$12,ROUND('Calc base'!N$13*BE126,2))&lt;1,ROUND(BE126*(1+'Calc base'!S127),2),MAX('Calc base'!N$12,ROUND('Calc base'!N$13*BE126,2))))</f>
        <v>0</v>
      </c>
      <c r="AT127">
        <f>MAX(0,ROUND(AT126*(1+'Calc base'!H127),2)-J127)</f>
        <v>316.69</v>
      </c>
      <c r="AU127">
        <f>MAX(0,ROUND(AU126*(1+'Calc base'!I127),2)-K127)</f>
        <v>0</v>
      </c>
      <c r="AV127">
        <f>MAX(0,ROUND(AV126*(1+'Calc base'!J127),2)-L127)</f>
        <v>0</v>
      </c>
      <c r="AW127">
        <f>MAX(0,ROUND(AW126*(1+'Calc base'!K127),2)-M127)</f>
        <v>0</v>
      </c>
      <c r="AX127">
        <f>MAX(0,ROUND(AX126*(1+'Calc base'!L127),2)-N127)</f>
        <v>0</v>
      </c>
      <c r="AY127">
        <f>MAX(0,ROUND(AY126*(1+'Calc base'!M127),2)-O127)</f>
        <v>0</v>
      </c>
      <c r="AZ127">
        <f>MAX(0,ROUND(AZ126*(1+'Calc base'!N127),2)-P127)</f>
        <v>0</v>
      </c>
      <c r="BA127">
        <f>MAX(0,ROUND(BA126*(1+'Calc base'!O127),2)-Q127)</f>
        <v>0</v>
      </c>
      <c r="BB127">
        <f>MAX(0,ROUND(BB126*(1+'Calc base'!P127),2)-R127)</f>
        <v>0</v>
      </c>
      <c r="BC127">
        <f>MAX(0,ROUND(BC126*(1+'Calc base'!Q127),2)-S127)</f>
        <v>0</v>
      </c>
      <c r="BD127">
        <f>MAX(0,ROUND(BD126*(1+'Calc base'!R127),2)-T127)</f>
        <v>0</v>
      </c>
      <c r="BE127">
        <f>MAX(0,ROUND(BE126*(1+'Calc base'!S127),2)-U127)</f>
        <v>0</v>
      </c>
    </row>
    <row r="128">
      <c r="A128" t="n">
        <v>98</v>
      </c>
      <c r="B128">
        <f>SUMPRODUCT(ROUND($AT127:$BE127*(1+'Calc base'!$H128:$S128),2))</f>
        <v>321.68</v>
      </c>
      <c r="C128">
        <f>SUM(J128:U128)</f>
        <v>30</v>
      </c>
      <c r="G128">
        <f>SUM(AT128:BE128)</f>
        <v>291.68</v>
      </c>
      <c r="H128">
        <f>B128-G127</f>
        <v>4.99000000000001</v>
      </c>
      <c r="I128">
        <f>B128-G128</f>
        <v>30</v>
      </c>
      <c r="J128">
        <f>IF(AT127&lt;=0,0,IF(ROUND(AT127*(1+'Calc base'!H128),2)-MAX('Calc base'!C$12,ROUND('Calc base'!C$13*AT127,2))&lt;1,ROUND(AT127*(1+'Calc base'!H128),2),MAX('Calc base'!C$12,ROUND('Calc base'!C$13*AT127,2))))</f>
        <v>30</v>
      </c>
      <c r="K128">
        <f>IF(AU127&lt;=0,0,IF(ROUND(AU127*(1+'Calc base'!I128),2)-MAX('Calc base'!D$12,ROUND('Calc base'!D$13*AU127,2))&lt;1,ROUND(AU127*(1+'Calc base'!I128),2),MAX('Calc base'!D$12,ROUND('Calc base'!D$13*AU127,2))))</f>
        <v>0</v>
      </c>
      <c r="L128">
        <f>IF(AV127&lt;=0,0,IF(ROUND(AV127*(1+'Calc base'!J128),2)-MAX('Calc base'!E$12,ROUND('Calc base'!E$13*AV127,2))&lt;1,ROUND(AV127*(1+'Calc base'!J128),2),MAX('Calc base'!E$12,ROUND('Calc base'!E$13*AV127,2))))</f>
        <v>0</v>
      </c>
      <c r="M128">
        <f>IF(AW127&lt;=0,0,IF(ROUND(AW127*(1+'Calc base'!K128),2)-MAX('Calc base'!F$12,ROUND('Calc base'!F$13*AW127,2))&lt;1,ROUND(AW127*(1+'Calc base'!K128),2),MAX('Calc base'!F$12,ROUND('Calc base'!F$13*AW127,2))))</f>
        <v>0</v>
      </c>
      <c r="N128">
        <f>IF(AX127&lt;=0,0,IF(ROUND(AX127*(1+'Calc base'!L128),2)-MAX('Calc base'!G$12,ROUND('Calc base'!G$13*AX127,2))&lt;1,ROUND(AX127*(1+'Calc base'!L128),2),MAX('Calc base'!G$12,ROUND('Calc base'!G$13*AX127,2))))</f>
        <v>0</v>
      </c>
      <c r="O128">
        <f>IF(AY127&lt;=0,0,IF(ROUND(AY127*(1+'Calc base'!M128),2)-MAX('Calc base'!H$12,ROUND('Calc base'!H$13*AY127,2))&lt;1,ROUND(AY127*(1+'Calc base'!M128),2),MAX('Calc base'!H$12,ROUND('Calc base'!H$13*AY127,2))))</f>
        <v>0</v>
      </c>
      <c r="P128">
        <f>IF(AZ127&lt;=0,0,IF(ROUND(AZ127*(1+'Calc base'!N128),2)-MAX('Calc base'!I$12,ROUND('Calc base'!I$13*AZ127,2))&lt;1,ROUND(AZ127*(1+'Calc base'!N128),2),MAX('Calc base'!I$12,ROUND('Calc base'!I$13*AZ127,2))))</f>
        <v>0</v>
      </c>
      <c r="Q128">
        <f>IF(BA127&lt;=0,0,IF(ROUND(BA127*(1+'Calc base'!O128),2)-MAX('Calc base'!J$12,ROUND('Calc base'!J$13*BA127,2))&lt;1,ROUND(BA127*(1+'Calc base'!O128),2),MAX('Calc base'!J$12,ROUND('Calc base'!J$13*BA127,2))))</f>
        <v>0</v>
      </c>
      <c r="R128">
        <f>IF(BB127&lt;=0,0,IF(ROUND(BB127*(1+'Calc base'!P128),2)-MAX('Calc base'!K$12,ROUND('Calc base'!K$13*BB127,2))&lt;1,ROUND(BB127*(1+'Calc base'!P128),2),MAX('Calc base'!K$12,ROUND('Calc base'!K$13*BB127,2))))</f>
        <v>0</v>
      </c>
      <c r="S128">
        <f>IF(BC127&lt;=0,0,IF(ROUND(BC127*(1+'Calc base'!Q128),2)-MAX('Calc base'!L$12,ROUND('Calc base'!L$13*BC127,2))&lt;1,ROUND(BC127*(1+'Calc base'!Q128),2),MAX('Calc base'!L$12,ROUND('Calc base'!L$13*BC127,2))))</f>
        <v>0</v>
      </c>
      <c r="T128">
        <f>IF(BD127&lt;=0,0,IF(ROUND(BD127*(1+'Calc base'!R128),2)-MAX('Calc base'!M$12,ROUND('Calc base'!M$13*BD127,2))&lt;1,ROUND(BD127*(1+'Calc base'!R128),2),MAX('Calc base'!M$12,ROUND('Calc base'!M$13*BD127,2))))</f>
        <v>0</v>
      </c>
      <c r="U128">
        <f>IF(BE127&lt;=0,0,IF(ROUND(BE127*(1+'Calc base'!S128),2)-MAX('Calc base'!N$12,ROUND('Calc base'!N$13*BE127,2))&lt;1,ROUND(BE127*(1+'Calc base'!S128),2),MAX('Calc base'!N$12,ROUND('Calc base'!N$13*BE127,2))))</f>
        <v>0</v>
      </c>
      <c r="AT128">
        <f>MAX(0,ROUND(AT127*(1+'Calc base'!H128),2)-J128)</f>
        <v>291.68</v>
      </c>
      <c r="AU128">
        <f>MAX(0,ROUND(AU127*(1+'Calc base'!I128),2)-K128)</f>
        <v>0</v>
      </c>
      <c r="AV128">
        <f>MAX(0,ROUND(AV127*(1+'Calc base'!J128),2)-L128)</f>
        <v>0</v>
      </c>
      <c r="AW128">
        <f>MAX(0,ROUND(AW127*(1+'Calc base'!K128),2)-M128)</f>
        <v>0</v>
      </c>
      <c r="AX128">
        <f>MAX(0,ROUND(AX127*(1+'Calc base'!L128),2)-N128)</f>
        <v>0</v>
      </c>
      <c r="AY128">
        <f>MAX(0,ROUND(AY127*(1+'Calc base'!M128),2)-O128)</f>
        <v>0</v>
      </c>
      <c r="AZ128">
        <f>MAX(0,ROUND(AZ127*(1+'Calc base'!N128),2)-P128)</f>
        <v>0</v>
      </c>
      <c r="BA128">
        <f>MAX(0,ROUND(BA127*(1+'Calc base'!O128),2)-Q128)</f>
        <v>0</v>
      </c>
      <c r="BB128">
        <f>MAX(0,ROUND(BB127*(1+'Calc base'!P128),2)-R128)</f>
        <v>0</v>
      </c>
      <c r="BC128">
        <f>MAX(0,ROUND(BC127*(1+'Calc base'!Q128),2)-S128)</f>
        <v>0</v>
      </c>
      <c r="BD128">
        <f>MAX(0,ROUND(BD127*(1+'Calc base'!R128),2)-T128)</f>
        <v>0</v>
      </c>
      <c r="BE128">
        <f>MAX(0,ROUND(BE127*(1+'Calc base'!S128),2)-U128)</f>
        <v>0</v>
      </c>
    </row>
    <row r="129">
      <c r="A129" t="n">
        <v>99</v>
      </c>
      <c r="B129">
        <f>SUMPRODUCT(ROUND($AT128:$BE128*(1+'Calc base'!$H129:$S129),2))</f>
        <v>296.27</v>
      </c>
      <c r="C129">
        <f>SUM(J129:U129)</f>
        <v>30</v>
      </c>
      <c r="G129">
        <f>SUM(AT129:BE129)</f>
        <v>266.27</v>
      </c>
      <c r="H129">
        <f>B129-G128</f>
        <v>4.58999999999998</v>
      </c>
      <c r="I129">
        <f>B129-G129</f>
        <v>30</v>
      </c>
      <c r="J129">
        <f>IF(AT128&lt;=0,0,IF(ROUND(AT128*(1+'Calc base'!H129),2)-MAX('Calc base'!C$12,ROUND('Calc base'!C$13*AT128,2))&lt;1,ROUND(AT128*(1+'Calc base'!H129),2),MAX('Calc base'!C$12,ROUND('Calc base'!C$13*AT128,2))))</f>
        <v>30</v>
      </c>
      <c r="K129">
        <f>IF(AU128&lt;=0,0,IF(ROUND(AU128*(1+'Calc base'!I129),2)-MAX('Calc base'!D$12,ROUND('Calc base'!D$13*AU128,2))&lt;1,ROUND(AU128*(1+'Calc base'!I129),2),MAX('Calc base'!D$12,ROUND('Calc base'!D$13*AU128,2))))</f>
        <v>0</v>
      </c>
      <c r="L129">
        <f>IF(AV128&lt;=0,0,IF(ROUND(AV128*(1+'Calc base'!J129),2)-MAX('Calc base'!E$12,ROUND('Calc base'!E$13*AV128,2))&lt;1,ROUND(AV128*(1+'Calc base'!J129),2),MAX('Calc base'!E$12,ROUND('Calc base'!E$13*AV128,2))))</f>
        <v>0</v>
      </c>
      <c r="M129">
        <f>IF(AW128&lt;=0,0,IF(ROUND(AW128*(1+'Calc base'!K129),2)-MAX('Calc base'!F$12,ROUND('Calc base'!F$13*AW128,2))&lt;1,ROUND(AW128*(1+'Calc base'!K129),2),MAX('Calc base'!F$12,ROUND('Calc base'!F$13*AW128,2))))</f>
        <v>0</v>
      </c>
      <c r="N129">
        <f>IF(AX128&lt;=0,0,IF(ROUND(AX128*(1+'Calc base'!L129),2)-MAX('Calc base'!G$12,ROUND('Calc base'!G$13*AX128,2))&lt;1,ROUND(AX128*(1+'Calc base'!L129),2),MAX('Calc base'!G$12,ROUND('Calc base'!G$13*AX128,2))))</f>
        <v>0</v>
      </c>
      <c r="O129">
        <f>IF(AY128&lt;=0,0,IF(ROUND(AY128*(1+'Calc base'!M129),2)-MAX('Calc base'!H$12,ROUND('Calc base'!H$13*AY128,2))&lt;1,ROUND(AY128*(1+'Calc base'!M129),2),MAX('Calc base'!H$12,ROUND('Calc base'!H$13*AY128,2))))</f>
        <v>0</v>
      </c>
      <c r="P129">
        <f>IF(AZ128&lt;=0,0,IF(ROUND(AZ128*(1+'Calc base'!N129),2)-MAX('Calc base'!I$12,ROUND('Calc base'!I$13*AZ128,2))&lt;1,ROUND(AZ128*(1+'Calc base'!N129),2),MAX('Calc base'!I$12,ROUND('Calc base'!I$13*AZ128,2))))</f>
        <v>0</v>
      </c>
      <c r="Q129">
        <f>IF(BA128&lt;=0,0,IF(ROUND(BA128*(1+'Calc base'!O129),2)-MAX('Calc base'!J$12,ROUND('Calc base'!J$13*BA128,2))&lt;1,ROUND(BA128*(1+'Calc base'!O129),2),MAX('Calc base'!J$12,ROUND('Calc base'!J$13*BA128,2))))</f>
        <v>0</v>
      </c>
      <c r="R129">
        <f>IF(BB128&lt;=0,0,IF(ROUND(BB128*(1+'Calc base'!P129),2)-MAX('Calc base'!K$12,ROUND('Calc base'!K$13*BB128,2))&lt;1,ROUND(BB128*(1+'Calc base'!P129),2),MAX('Calc base'!K$12,ROUND('Calc base'!K$13*BB128,2))))</f>
        <v>0</v>
      </c>
      <c r="S129">
        <f>IF(BC128&lt;=0,0,IF(ROUND(BC128*(1+'Calc base'!Q129),2)-MAX('Calc base'!L$12,ROUND('Calc base'!L$13*BC128,2))&lt;1,ROUND(BC128*(1+'Calc base'!Q129),2),MAX('Calc base'!L$12,ROUND('Calc base'!L$13*BC128,2))))</f>
        <v>0</v>
      </c>
      <c r="T129">
        <f>IF(BD128&lt;=0,0,IF(ROUND(BD128*(1+'Calc base'!R129),2)-MAX('Calc base'!M$12,ROUND('Calc base'!M$13*BD128,2))&lt;1,ROUND(BD128*(1+'Calc base'!R129),2),MAX('Calc base'!M$12,ROUND('Calc base'!M$13*BD128,2))))</f>
        <v>0</v>
      </c>
      <c r="U129">
        <f>IF(BE128&lt;=0,0,IF(ROUND(BE128*(1+'Calc base'!S129),2)-MAX('Calc base'!N$12,ROUND('Calc base'!N$13*BE128,2))&lt;1,ROUND(BE128*(1+'Calc base'!S129),2),MAX('Calc base'!N$12,ROUND('Calc base'!N$13*BE128,2))))</f>
        <v>0</v>
      </c>
      <c r="AT129">
        <f>MAX(0,ROUND(AT128*(1+'Calc base'!H129),2)-J129)</f>
        <v>266.27</v>
      </c>
      <c r="AU129">
        <f>MAX(0,ROUND(AU128*(1+'Calc base'!I129),2)-K129)</f>
        <v>0</v>
      </c>
      <c r="AV129">
        <f>MAX(0,ROUND(AV128*(1+'Calc base'!J129),2)-L129)</f>
        <v>0</v>
      </c>
      <c r="AW129">
        <f>MAX(0,ROUND(AW128*(1+'Calc base'!K129),2)-M129)</f>
        <v>0</v>
      </c>
      <c r="AX129">
        <f>MAX(0,ROUND(AX128*(1+'Calc base'!L129),2)-N129)</f>
        <v>0</v>
      </c>
      <c r="AY129">
        <f>MAX(0,ROUND(AY128*(1+'Calc base'!M129),2)-O129)</f>
        <v>0</v>
      </c>
      <c r="AZ129">
        <f>MAX(0,ROUND(AZ128*(1+'Calc base'!N129),2)-P129)</f>
        <v>0</v>
      </c>
      <c r="BA129">
        <f>MAX(0,ROUND(BA128*(1+'Calc base'!O129),2)-Q129)</f>
        <v>0</v>
      </c>
      <c r="BB129">
        <f>MAX(0,ROUND(BB128*(1+'Calc base'!P129),2)-R129)</f>
        <v>0</v>
      </c>
      <c r="BC129">
        <f>MAX(0,ROUND(BC128*(1+'Calc base'!Q129),2)-S129)</f>
        <v>0</v>
      </c>
      <c r="BD129">
        <f>MAX(0,ROUND(BD128*(1+'Calc base'!R129),2)-T129)</f>
        <v>0</v>
      </c>
      <c r="BE129">
        <f>MAX(0,ROUND(BE128*(1+'Calc base'!S129),2)-U129)</f>
        <v>0</v>
      </c>
    </row>
    <row r="130">
      <c r="A130" t="n">
        <v>100</v>
      </c>
      <c r="B130">
        <f>SUMPRODUCT(ROUND($AT129:$BE129*(1+'Calc base'!$H130:$S130),2))</f>
        <v>270.46</v>
      </c>
      <c r="C130">
        <f>SUM(J130:U130)</f>
        <v>30</v>
      </c>
      <c r="G130">
        <f>SUM(AT130:BE130)</f>
        <v>240.46</v>
      </c>
      <c r="H130">
        <f>B130-G129</f>
        <v>4.19</v>
      </c>
      <c r="I130">
        <f>B130-G130</f>
        <v>30</v>
      </c>
      <c r="J130">
        <f>IF(AT129&lt;=0,0,IF(ROUND(AT129*(1+'Calc base'!H130),2)-MAX('Calc base'!C$12,ROUND('Calc base'!C$13*AT129,2))&lt;1,ROUND(AT129*(1+'Calc base'!H130),2),MAX('Calc base'!C$12,ROUND('Calc base'!C$13*AT129,2))))</f>
        <v>30</v>
      </c>
      <c r="K130">
        <f>IF(AU129&lt;=0,0,IF(ROUND(AU129*(1+'Calc base'!I130),2)-MAX('Calc base'!D$12,ROUND('Calc base'!D$13*AU129,2))&lt;1,ROUND(AU129*(1+'Calc base'!I130),2),MAX('Calc base'!D$12,ROUND('Calc base'!D$13*AU129,2))))</f>
        <v>0</v>
      </c>
      <c r="L130">
        <f>IF(AV129&lt;=0,0,IF(ROUND(AV129*(1+'Calc base'!J130),2)-MAX('Calc base'!E$12,ROUND('Calc base'!E$13*AV129,2))&lt;1,ROUND(AV129*(1+'Calc base'!J130),2),MAX('Calc base'!E$12,ROUND('Calc base'!E$13*AV129,2))))</f>
        <v>0</v>
      </c>
      <c r="M130">
        <f>IF(AW129&lt;=0,0,IF(ROUND(AW129*(1+'Calc base'!K130),2)-MAX('Calc base'!F$12,ROUND('Calc base'!F$13*AW129,2))&lt;1,ROUND(AW129*(1+'Calc base'!K130),2),MAX('Calc base'!F$12,ROUND('Calc base'!F$13*AW129,2))))</f>
        <v>0</v>
      </c>
      <c r="N130">
        <f>IF(AX129&lt;=0,0,IF(ROUND(AX129*(1+'Calc base'!L130),2)-MAX('Calc base'!G$12,ROUND('Calc base'!G$13*AX129,2))&lt;1,ROUND(AX129*(1+'Calc base'!L130),2),MAX('Calc base'!G$12,ROUND('Calc base'!G$13*AX129,2))))</f>
        <v>0</v>
      </c>
      <c r="O130">
        <f>IF(AY129&lt;=0,0,IF(ROUND(AY129*(1+'Calc base'!M130),2)-MAX('Calc base'!H$12,ROUND('Calc base'!H$13*AY129,2))&lt;1,ROUND(AY129*(1+'Calc base'!M130),2),MAX('Calc base'!H$12,ROUND('Calc base'!H$13*AY129,2))))</f>
        <v>0</v>
      </c>
      <c r="P130">
        <f>IF(AZ129&lt;=0,0,IF(ROUND(AZ129*(1+'Calc base'!N130),2)-MAX('Calc base'!I$12,ROUND('Calc base'!I$13*AZ129,2))&lt;1,ROUND(AZ129*(1+'Calc base'!N130),2),MAX('Calc base'!I$12,ROUND('Calc base'!I$13*AZ129,2))))</f>
        <v>0</v>
      </c>
      <c r="Q130">
        <f>IF(BA129&lt;=0,0,IF(ROUND(BA129*(1+'Calc base'!O130),2)-MAX('Calc base'!J$12,ROUND('Calc base'!J$13*BA129,2))&lt;1,ROUND(BA129*(1+'Calc base'!O130),2),MAX('Calc base'!J$12,ROUND('Calc base'!J$13*BA129,2))))</f>
        <v>0</v>
      </c>
      <c r="R130">
        <f>IF(BB129&lt;=0,0,IF(ROUND(BB129*(1+'Calc base'!P130),2)-MAX('Calc base'!K$12,ROUND('Calc base'!K$13*BB129,2))&lt;1,ROUND(BB129*(1+'Calc base'!P130),2),MAX('Calc base'!K$12,ROUND('Calc base'!K$13*BB129,2))))</f>
        <v>0</v>
      </c>
      <c r="S130">
        <f>IF(BC129&lt;=0,0,IF(ROUND(BC129*(1+'Calc base'!Q130),2)-MAX('Calc base'!L$12,ROUND('Calc base'!L$13*BC129,2))&lt;1,ROUND(BC129*(1+'Calc base'!Q130),2),MAX('Calc base'!L$12,ROUND('Calc base'!L$13*BC129,2))))</f>
        <v>0</v>
      </c>
      <c r="T130">
        <f>IF(BD129&lt;=0,0,IF(ROUND(BD129*(1+'Calc base'!R130),2)-MAX('Calc base'!M$12,ROUND('Calc base'!M$13*BD129,2))&lt;1,ROUND(BD129*(1+'Calc base'!R130),2),MAX('Calc base'!M$12,ROUND('Calc base'!M$13*BD129,2))))</f>
        <v>0</v>
      </c>
      <c r="U130">
        <f>IF(BE129&lt;=0,0,IF(ROUND(BE129*(1+'Calc base'!S130),2)-MAX('Calc base'!N$12,ROUND('Calc base'!N$13*BE129,2))&lt;1,ROUND(BE129*(1+'Calc base'!S130),2),MAX('Calc base'!N$12,ROUND('Calc base'!N$13*BE129,2))))</f>
        <v>0</v>
      </c>
      <c r="AT130">
        <f>MAX(0,ROUND(AT129*(1+'Calc base'!H130),2)-J130)</f>
        <v>240.46</v>
      </c>
      <c r="AU130">
        <f>MAX(0,ROUND(AU129*(1+'Calc base'!I130),2)-K130)</f>
        <v>0</v>
      </c>
      <c r="AV130">
        <f>MAX(0,ROUND(AV129*(1+'Calc base'!J130),2)-L130)</f>
        <v>0</v>
      </c>
      <c r="AW130">
        <f>MAX(0,ROUND(AW129*(1+'Calc base'!K130),2)-M130)</f>
        <v>0</v>
      </c>
      <c r="AX130">
        <f>MAX(0,ROUND(AX129*(1+'Calc base'!L130),2)-N130)</f>
        <v>0</v>
      </c>
      <c r="AY130">
        <f>MAX(0,ROUND(AY129*(1+'Calc base'!M130),2)-O130)</f>
        <v>0</v>
      </c>
      <c r="AZ130">
        <f>MAX(0,ROUND(AZ129*(1+'Calc base'!N130),2)-P130)</f>
        <v>0</v>
      </c>
      <c r="BA130">
        <f>MAX(0,ROUND(BA129*(1+'Calc base'!O130),2)-Q130)</f>
        <v>0</v>
      </c>
      <c r="BB130">
        <f>MAX(0,ROUND(BB129*(1+'Calc base'!P130),2)-R130)</f>
        <v>0</v>
      </c>
      <c r="BC130">
        <f>MAX(0,ROUND(BC129*(1+'Calc base'!Q130),2)-S130)</f>
        <v>0</v>
      </c>
      <c r="BD130">
        <f>MAX(0,ROUND(BD129*(1+'Calc base'!R130),2)-T130)</f>
        <v>0</v>
      </c>
      <c r="BE130">
        <f>MAX(0,ROUND(BE129*(1+'Calc base'!S130),2)-U130)</f>
        <v>0</v>
      </c>
    </row>
    <row r="131">
      <c r="A131" t="n">
        <v>101</v>
      </c>
      <c r="B131">
        <f>SUMPRODUCT(ROUND($AT130:$BE130*(1+'Calc base'!$H131:$S131),2))</f>
        <v>244.25</v>
      </c>
      <c r="C131">
        <f>SUM(J131:U131)</f>
        <v>30</v>
      </c>
      <c r="G131">
        <f>SUM(AT131:BE131)</f>
        <v>214.25</v>
      </c>
      <c r="H131">
        <f>B131-G130</f>
        <v>3.79000000000002</v>
      </c>
      <c r="I131">
        <f>B131-G131</f>
        <v>30</v>
      </c>
      <c r="J131">
        <f>IF(AT130&lt;=0,0,IF(ROUND(AT130*(1+'Calc base'!H131),2)-MAX('Calc base'!C$12,ROUND('Calc base'!C$13*AT130,2))&lt;1,ROUND(AT130*(1+'Calc base'!H131),2),MAX('Calc base'!C$12,ROUND('Calc base'!C$13*AT130,2))))</f>
        <v>30</v>
      </c>
      <c r="K131">
        <f>IF(AU130&lt;=0,0,IF(ROUND(AU130*(1+'Calc base'!I131),2)-MAX('Calc base'!D$12,ROUND('Calc base'!D$13*AU130,2))&lt;1,ROUND(AU130*(1+'Calc base'!I131),2),MAX('Calc base'!D$12,ROUND('Calc base'!D$13*AU130,2))))</f>
        <v>0</v>
      </c>
      <c r="L131">
        <f>IF(AV130&lt;=0,0,IF(ROUND(AV130*(1+'Calc base'!J131),2)-MAX('Calc base'!E$12,ROUND('Calc base'!E$13*AV130,2))&lt;1,ROUND(AV130*(1+'Calc base'!J131),2),MAX('Calc base'!E$12,ROUND('Calc base'!E$13*AV130,2))))</f>
        <v>0</v>
      </c>
      <c r="M131">
        <f>IF(AW130&lt;=0,0,IF(ROUND(AW130*(1+'Calc base'!K131),2)-MAX('Calc base'!F$12,ROUND('Calc base'!F$13*AW130,2))&lt;1,ROUND(AW130*(1+'Calc base'!K131),2),MAX('Calc base'!F$12,ROUND('Calc base'!F$13*AW130,2))))</f>
        <v>0</v>
      </c>
      <c r="N131">
        <f>IF(AX130&lt;=0,0,IF(ROUND(AX130*(1+'Calc base'!L131),2)-MAX('Calc base'!G$12,ROUND('Calc base'!G$13*AX130,2))&lt;1,ROUND(AX130*(1+'Calc base'!L131),2),MAX('Calc base'!G$12,ROUND('Calc base'!G$13*AX130,2))))</f>
        <v>0</v>
      </c>
      <c r="O131">
        <f>IF(AY130&lt;=0,0,IF(ROUND(AY130*(1+'Calc base'!M131),2)-MAX('Calc base'!H$12,ROUND('Calc base'!H$13*AY130,2))&lt;1,ROUND(AY130*(1+'Calc base'!M131),2),MAX('Calc base'!H$12,ROUND('Calc base'!H$13*AY130,2))))</f>
        <v>0</v>
      </c>
      <c r="P131">
        <f>IF(AZ130&lt;=0,0,IF(ROUND(AZ130*(1+'Calc base'!N131),2)-MAX('Calc base'!I$12,ROUND('Calc base'!I$13*AZ130,2))&lt;1,ROUND(AZ130*(1+'Calc base'!N131),2),MAX('Calc base'!I$12,ROUND('Calc base'!I$13*AZ130,2))))</f>
        <v>0</v>
      </c>
      <c r="Q131">
        <f>IF(BA130&lt;=0,0,IF(ROUND(BA130*(1+'Calc base'!O131),2)-MAX('Calc base'!J$12,ROUND('Calc base'!J$13*BA130,2))&lt;1,ROUND(BA130*(1+'Calc base'!O131),2),MAX('Calc base'!J$12,ROUND('Calc base'!J$13*BA130,2))))</f>
        <v>0</v>
      </c>
      <c r="R131">
        <f>IF(BB130&lt;=0,0,IF(ROUND(BB130*(1+'Calc base'!P131),2)-MAX('Calc base'!K$12,ROUND('Calc base'!K$13*BB130,2))&lt;1,ROUND(BB130*(1+'Calc base'!P131),2),MAX('Calc base'!K$12,ROUND('Calc base'!K$13*BB130,2))))</f>
        <v>0</v>
      </c>
      <c r="S131">
        <f>IF(BC130&lt;=0,0,IF(ROUND(BC130*(1+'Calc base'!Q131),2)-MAX('Calc base'!L$12,ROUND('Calc base'!L$13*BC130,2))&lt;1,ROUND(BC130*(1+'Calc base'!Q131),2),MAX('Calc base'!L$12,ROUND('Calc base'!L$13*BC130,2))))</f>
        <v>0</v>
      </c>
      <c r="T131">
        <f>IF(BD130&lt;=0,0,IF(ROUND(BD130*(1+'Calc base'!R131),2)-MAX('Calc base'!M$12,ROUND('Calc base'!M$13*BD130,2))&lt;1,ROUND(BD130*(1+'Calc base'!R131),2),MAX('Calc base'!M$12,ROUND('Calc base'!M$13*BD130,2))))</f>
        <v>0</v>
      </c>
      <c r="U131">
        <f>IF(BE130&lt;=0,0,IF(ROUND(BE130*(1+'Calc base'!S131),2)-MAX('Calc base'!N$12,ROUND('Calc base'!N$13*BE130,2))&lt;1,ROUND(BE130*(1+'Calc base'!S131),2),MAX('Calc base'!N$12,ROUND('Calc base'!N$13*BE130,2))))</f>
        <v>0</v>
      </c>
      <c r="AT131">
        <f>MAX(0,ROUND(AT130*(1+'Calc base'!H131),2)-J131)</f>
        <v>214.25</v>
      </c>
      <c r="AU131">
        <f>MAX(0,ROUND(AU130*(1+'Calc base'!I131),2)-K131)</f>
        <v>0</v>
      </c>
      <c r="AV131">
        <f>MAX(0,ROUND(AV130*(1+'Calc base'!J131),2)-L131)</f>
        <v>0</v>
      </c>
      <c r="AW131">
        <f>MAX(0,ROUND(AW130*(1+'Calc base'!K131),2)-M131)</f>
        <v>0</v>
      </c>
      <c r="AX131">
        <f>MAX(0,ROUND(AX130*(1+'Calc base'!L131),2)-N131)</f>
        <v>0</v>
      </c>
      <c r="AY131">
        <f>MAX(0,ROUND(AY130*(1+'Calc base'!M131),2)-O131)</f>
        <v>0</v>
      </c>
      <c r="AZ131">
        <f>MAX(0,ROUND(AZ130*(1+'Calc base'!N131),2)-P131)</f>
        <v>0</v>
      </c>
      <c r="BA131">
        <f>MAX(0,ROUND(BA130*(1+'Calc base'!O131),2)-Q131)</f>
        <v>0</v>
      </c>
      <c r="BB131">
        <f>MAX(0,ROUND(BB130*(1+'Calc base'!P131),2)-R131)</f>
        <v>0</v>
      </c>
      <c r="BC131">
        <f>MAX(0,ROUND(BC130*(1+'Calc base'!Q131),2)-S131)</f>
        <v>0</v>
      </c>
      <c r="BD131">
        <f>MAX(0,ROUND(BD130*(1+'Calc base'!R131),2)-T131)</f>
        <v>0</v>
      </c>
      <c r="BE131">
        <f>MAX(0,ROUND(BE130*(1+'Calc base'!S131),2)-U131)</f>
        <v>0</v>
      </c>
    </row>
    <row r="132">
      <c r="A132" t="n">
        <v>102</v>
      </c>
      <c r="B132">
        <f>SUMPRODUCT(ROUND($AT131:$BE131*(1+'Calc base'!$H132:$S132),2))</f>
        <v>217.62</v>
      </c>
      <c r="C132">
        <f>SUM(J132:U132)</f>
        <v>30</v>
      </c>
      <c r="G132">
        <f>SUM(AT132:BE132)</f>
        <v>187.62</v>
      </c>
      <c r="H132">
        <f>B132-G131</f>
        <v>3.37</v>
      </c>
      <c r="I132">
        <f>B132-G132</f>
        <v>30</v>
      </c>
      <c r="J132">
        <f>IF(AT131&lt;=0,0,IF(ROUND(AT131*(1+'Calc base'!H132),2)-MAX('Calc base'!C$12,ROUND('Calc base'!C$13*AT131,2))&lt;1,ROUND(AT131*(1+'Calc base'!H132),2),MAX('Calc base'!C$12,ROUND('Calc base'!C$13*AT131,2))))</f>
        <v>30</v>
      </c>
      <c r="K132">
        <f>IF(AU131&lt;=0,0,IF(ROUND(AU131*(1+'Calc base'!I132),2)-MAX('Calc base'!D$12,ROUND('Calc base'!D$13*AU131,2))&lt;1,ROUND(AU131*(1+'Calc base'!I132),2),MAX('Calc base'!D$12,ROUND('Calc base'!D$13*AU131,2))))</f>
        <v>0</v>
      </c>
      <c r="L132">
        <f>IF(AV131&lt;=0,0,IF(ROUND(AV131*(1+'Calc base'!J132),2)-MAX('Calc base'!E$12,ROUND('Calc base'!E$13*AV131,2))&lt;1,ROUND(AV131*(1+'Calc base'!J132),2),MAX('Calc base'!E$12,ROUND('Calc base'!E$13*AV131,2))))</f>
        <v>0</v>
      </c>
      <c r="M132">
        <f>IF(AW131&lt;=0,0,IF(ROUND(AW131*(1+'Calc base'!K132),2)-MAX('Calc base'!F$12,ROUND('Calc base'!F$13*AW131,2))&lt;1,ROUND(AW131*(1+'Calc base'!K132),2),MAX('Calc base'!F$12,ROUND('Calc base'!F$13*AW131,2))))</f>
        <v>0</v>
      </c>
      <c r="N132">
        <f>IF(AX131&lt;=0,0,IF(ROUND(AX131*(1+'Calc base'!L132),2)-MAX('Calc base'!G$12,ROUND('Calc base'!G$13*AX131,2))&lt;1,ROUND(AX131*(1+'Calc base'!L132),2),MAX('Calc base'!G$12,ROUND('Calc base'!G$13*AX131,2))))</f>
        <v>0</v>
      </c>
      <c r="O132">
        <f>IF(AY131&lt;=0,0,IF(ROUND(AY131*(1+'Calc base'!M132),2)-MAX('Calc base'!H$12,ROUND('Calc base'!H$13*AY131,2))&lt;1,ROUND(AY131*(1+'Calc base'!M132),2),MAX('Calc base'!H$12,ROUND('Calc base'!H$13*AY131,2))))</f>
        <v>0</v>
      </c>
      <c r="P132">
        <f>IF(AZ131&lt;=0,0,IF(ROUND(AZ131*(1+'Calc base'!N132),2)-MAX('Calc base'!I$12,ROUND('Calc base'!I$13*AZ131,2))&lt;1,ROUND(AZ131*(1+'Calc base'!N132),2),MAX('Calc base'!I$12,ROUND('Calc base'!I$13*AZ131,2))))</f>
        <v>0</v>
      </c>
      <c r="Q132">
        <f>IF(BA131&lt;=0,0,IF(ROUND(BA131*(1+'Calc base'!O132),2)-MAX('Calc base'!J$12,ROUND('Calc base'!J$13*BA131,2))&lt;1,ROUND(BA131*(1+'Calc base'!O132),2),MAX('Calc base'!J$12,ROUND('Calc base'!J$13*BA131,2))))</f>
        <v>0</v>
      </c>
      <c r="R132">
        <f>IF(BB131&lt;=0,0,IF(ROUND(BB131*(1+'Calc base'!P132),2)-MAX('Calc base'!K$12,ROUND('Calc base'!K$13*BB131,2))&lt;1,ROUND(BB131*(1+'Calc base'!P132),2),MAX('Calc base'!K$12,ROUND('Calc base'!K$13*BB131,2))))</f>
        <v>0</v>
      </c>
      <c r="S132">
        <f>IF(BC131&lt;=0,0,IF(ROUND(BC131*(1+'Calc base'!Q132),2)-MAX('Calc base'!L$12,ROUND('Calc base'!L$13*BC131,2))&lt;1,ROUND(BC131*(1+'Calc base'!Q132),2),MAX('Calc base'!L$12,ROUND('Calc base'!L$13*BC131,2))))</f>
        <v>0</v>
      </c>
      <c r="T132">
        <f>IF(BD131&lt;=0,0,IF(ROUND(BD131*(1+'Calc base'!R132),2)-MAX('Calc base'!M$12,ROUND('Calc base'!M$13*BD131,2))&lt;1,ROUND(BD131*(1+'Calc base'!R132),2),MAX('Calc base'!M$12,ROUND('Calc base'!M$13*BD131,2))))</f>
        <v>0</v>
      </c>
      <c r="U132">
        <f>IF(BE131&lt;=0,0,IF(ROUND(BE131*(1+'Calc base'!S132),2)-MAX('Calc base'!N$12,ROUND('Calc base'!N$13*BE131,2))&lt;1,ROUND(BE131*(1+'Calc base'!S132),2),MAX('Calc base'!N$12,ROUND('Calc base'!N$13*BE131,2))))</f>
        <v>0</v>
      </c>
      <c r="AT132">
        <f>MAX(0,ROUND(AT131*(1+'Calc base'!H132),2)-J132)</f>
        <v>187.62</v>
      </c>
      <c r="AU132">
        <f>MAX(0,ROUND(AU131*(1+'Calc base'!I132),2)-K132)</f>
        <v>0</v>
      </c>
      <c r="AV132">
        <f>MAX(0,ROUND(AV131*(1+'Calc base'!J132),2)-L132)</f>
        <v>0</v>
      </c>
      <c r="AW132">
        <f>MAX(0,ROUND(AW131*(1+'Calc base'!K132),2)-M132)</f>
        <v>0</v>
      </c>
      <c r="AX132">
        <f>MAX(0,ROUND(AX131*(1+'Calc base'!L132),2)-N132)</f>
        <v>0</v>
      </c>
      <c r="AY132">
        <f>MAX(0,ROUND(AY131*(1+'Calc base'!M132),2)-O132)</f>
        <v>0</v>
      </c>
      <c r="AZ132">
        <f>MAX(0,ROUND(AZ131*(1+'Calc base'!N132),2)-P132)</f>
        <v>0</v>
      </c>
      <c r="BA132">
        <f>MAX(0,ROUND(BA131*(1+'Calc base'!O132),2)-Q132)</f>
        <v>0</v>
      </c>
      <c r="BB132">
        <f>MAX(0,ROUND(BB131*(1+'Calc base'!P132),2)-R132)</f>
        <v>0</v>
      </c>
      <c r="BC132">
        <f>MAX(0,ROUND(BC131*(1+'Calc base'!Q132),2)-S132)</f>
        <v>0</v>
      </c>
      <c r="BD132">
        <f>MAX(0,ROUND(BD131*(1+'Calc base'!R132),2)-T132)</f>
        <v>0</v>
      </c>
      <c r="BE132">
        <f>MAX(0,ROUND(BE131*(1+'Calc base'!S132),2)-U132)</f>
        <v>0</v>
      </c>
    </row>
    <row r="133">
      <c r="A133" t="n">
        <v>103</v>
      </c>
      <c r="B133">
        <f>SUMPRODUCT(ROUND($AT132:$BE132*(1+'Calc base'!$H133:$S133),2))</f>
        <v>190.58</v>
      </c>
      <c r="C133">
        <f>SUM(J133:U133)</f>
        <v>30</v>
      </c>
      <c r="G133">
        <f>SUM(AT133:BE133)</f>
        <v>160.58</v>
      </c>
      <c r="H133">
        <f>B133-G132</f>
        <v>2.96000000000001</v>
      </c>
      <c r="I133">
        <f>B133-G133</f>
        <v>30</v>
      </c>
      <c r="J133">
        <f>IF(AT132&lt;=0,0,IF(ROUND(AT132*(1+'Calc base'!H133),2)-MAX('Calc base'!C$12,ROUND('Calc base'!C$13*AT132,2))&lt;1,ROUND(AT132*(1+'Calc base'!H133),2),MAX('Calc base'!C$12,ROUND('Calc base'!C$13*AT132,2))))</f>
        <v>30</v>
      </c>
      <c r="K133">
        <f>IF(AU132&lt;=0,0,IF(ROUND(AU132*(1+'Calc base'!I133),2)-MAX('Calc base'!D$12,ROUND('Calc base'!D$13*AU132,2))&lt;1,ROUND(AU132*(1+'Calc base'!I133),2),MAX('Calc base'!D$12,ROUND('Calc base'!D$13*AU132,2))))</f>
        <v>0</v>
      </c>
      <c r="L133">
        <f>IF(AV132&lt;=0,0,IF(ROUND(AV132*(1+'Calc base'!J133),2)-MAX('Calc base'!E$12,ROUND('Calc base'!E$13*AV132,2))&lt;1,ROUND(AV132*(1+'Calc base'!J133),2),MAX('Calc base'!E$12,ROUND('Calc base'!E$13*AV132,2))))</f>
        <v>0</v>
      </c>
      <c r="M133">
        <f>IF(AW132&lt;=0,0,IF(ROUND(AW132*(1+'Calc base'!K133),2)-MAX('Calc base'!F$12,ROUND('Calc base'!F$13*AW132,2))&lt;1,ROUND(AW132*(1+'Calc base'!K133),2),MAX('Calc base'!F$12,ROUND('Calc base'!F$13*AW132,2))))</f>
        <v>0</v>
      </c>
      <c r="N133">
        <f>IF(AX132&lt;=0,0,IF(ROUND(AX132*(1+'Calc base'!L133),2)-MAX('Calc base'!G$12,ROUND('Calc base'!G$13*AX132,2))&lt;1,ROUND(AX132*(1+'Calc base'!L133),2),MAX('Calc base'!G$12,ROUND('Calc base'!G$13*AX132,2))))</f>
        <v>0</v>
      </c>
      <c r="O133">
        <f>IF(AY132&lt;=0,0,IF(ROUND(AY132*(1+'Calc base'!M133),2)-MAX('Calc base'!H$12,ROUND('Calc base'!H$13*AY132,2))&lt;1,ROUND(AY132*(1+'Calc base'!M133),2),MAX('Calc base'!H$12,ROUND('Calc base'!H$13*AY132,2))))</f>
        <v>0</v>
      </c>
      <c r="P133">
        <f>IF(AZ132&lt;=0,0,IF(ROUND(AZ132*(1+'Calc base'!N133),2)-MAX('Calc base'!I$12,ROUND('Calc base'!I$13*AZ132,2))&lt;1,ROUND(AZ132*(1+'Calc base'!N133),2),MAX('Calc base'!I$12,ROUND('Calc base'!I$13*AZ132,2))))</f>
        <v>0</v>
      </c>
      <c r="Q133">
        <f>IF(BA132&lt;=0,0,IF(ROUND(BA132*(1+'Calc base'!O133),2)-MAX('Calc base'!J$12,ROUND('Calc base'!J$13*BA132,2))&lt;1,ROUND(BA132*(1+'Calc base'!O133),2),MAX('Calc base'!J$12,ROUND('Calc base'!J$13*BA132,2))))</f>
        <v>0</v>
      </c>
      <c r="R133">
        <f>IF(BB132&lt;=0,0,IF(ROUND(BB132*(1+'Calc base'!P133),2)-MAX('Calc base'!K$12,ROUND('Calc base'!K$13*BB132,2))&lt;1,ROUND(BB132*(1+'Calc base'!P133),2),MAX('Calc base'!K$12,ROUND('Calc base'!K$13*BB132,2))))</f>
        <v>0</v>
      </c>
      <c r="S133">
        <f>IF(BC132&lt;=0,0,IF(ROUND(BC132*(1+'Calc base'!Q133),2)-MAX('Calc base'!L$12,ROUND('Calc base'!L$13*BC132,2))&lt;1,ROUND(BC132*(1+'Calc base'!Q133),2),MAX('Calc base'!L$12,ROUND('Calc base'!L$13*BC132,2))))</f>
        <v>0</v>
      </c>
      <c r="T133">
        <f>IF(BD132&lt;=0,0,IF(ROUND(BD132*(1+'Calc base'!R133),2)-MAX('Calc base'!M$12,ROUND('Calc base'!M$13*BD132,2))&lt;1,ROUND(BD132*(1+'Calc base'!R133),2),MAX('Calc base'!M$12,ROUND('Calc base'!M$13*BD132,2))))</f>
        <v>0</v>
      </c>
      <c r="U133">
        <f>IF(BE132&lt;=0,0,IF(ROUND(BE132*(1+'Calc base'!S133),2)-MAX('Calc base'!N$12,ROUND('Calc base'!N$13*BE132,2))&lt;1,ROUND(BE132*(1+'Calc base'!S133),2),MAX('Calc base'!N$12,ROUND('Calc base'!N$13*BE132,2))))</f>
        <v>0</v>
      </c>
      <c r="AT133">
        <f>MAX(0,ROUND(AT132*(1+'Calc base'!H133),2)-J133)</f>
        <v>160.58</v>
      </c>
      <c r="AU133">
        <f>MAX(0,ROUND(AU132*(1+'Calc base'!I133),2)-K133)</f>
        <v>0</v>
      </c>
      <c r="AV133">
        <f>MAX(0,ROUND(AV132*(1+'Calc base'!J133),2)-L133)</f>
        <v>0</v>
      </c>
      <c r="AW133">
        <f>MAX(0,ROUND(AW132*(1+'Calc base'!K133),2)-M133)</f>
        <v>0</v>
      </c>
      <c r="AX133">
        <f>MAX(0,ROUND(AX132*(1+'Calc base'!L133),2)-N133)</f>
        <v>0</v>
      </c>
      <c r="AY133">
        <f>MAX(0,ROUND(AY132*(1+'Calc base'!M133),2)-O133)</f>
        <v>0</v>
      </c>
      <c r="AZ133">
        <f>MAX(0,ROUND(AZ132*(1+'Calc base'!N133),2)-P133)</f>
        <v>0</v>
      </c>
      <c r="BA133">
        <f>MAX(0,ROUND(BA132*(1+'Calc base'!O133),2)-Q133)</f>
        <v>0</v>
      </c>
      <c r="BB133">
        <f>MAX(0,ROUND(BB132*(1+'Calc base'!P133),2)-R133)</f>
        <v>0</v>
      </c>
      <c r="BC133">
        <f>MAX(0,ROUND(BC132*(1+'Calc base'!Q133),2)-S133)</f>
        <v>0</v>
      </c>
      <c r="BD133">
        <f>MAX(0,ROUND(BD132*(1+'Calc base'!R133),2)-T133)</f>
        <v>0</v>
      </c>
      <c r="BE133">
        <f>MAX(0,ROUND(BE132*(1+'Calc base'!S133),2)-U133)</f>
        <v>0</v>
      </c>
    </row>
    <row r="134">
      <c r="A134" t="n">
        <v>104</v>
      </c>
      <c r="B134">
        <f>SUMPRODUCT(ROUND($AT133:$BE133*(1+'Calc base'!$H134:$S134),2))</f>
        <v>163.11</v>
      </c>
      <c r="C134">
        <f>SUM(J134:U134)</f>
        <v>30</v>
      </c>
      <c r="G134">
        <f>SUM(AT134:BE134)</f>
        <v>133.11</v>
      </c>
      <c r="H134">
        <f>B134-G133</f>
        <v>2.53</v>
      </c>
      <c r="I134">
        <f>B134-G134</f>
        <v>30</v>
      </c>
      <c r="J134">
        <f>IF(AT133&lt;=0,0,IF(ROUND(AT133*(1+'Calc base'!H134),2)-MAX('Calc base'!C$12,ROUND('Calc base'!C$13*AT133,2))&lt;1,ROUND(AT133*(1+'Calc base'!H134),2),MAX('Calc base'!C$12,ROUND('Calc base'!C$13*AT133,2))))</f>
        <v>30</v>
      </c>
      <c r="K134">
        <f>IF(AU133&lt;=0,0,IF(ROUND(AU133*(1+'Calc base'!I134),2)-MAX('Calc base'!D$12,ROUND('Calc base'!D$13*AU133,2))&lt;1,ROUND(AU133*(1+'Calc base'!I134),2),MAX('Calc base'!D$12,ROUND('Calc base'!D$13*AU133,2))))</f>
        <v>0</v>
      </c>
      <c r="L134">
        <f>IF(AV133&lt;=0,0,IF(ROUND(AV133*(1+'Calc base'!J134),2)-MAX('Calc base'!E$12,ROUND('Calc base'!E$13*AV133,2))&lt;1,ROUND(AV133*(1+'Calc base'!J134),2),MAX('Calc base'!E$12,ROUND('Calc base'!E$13*AV133,2))))</f>
        <v>0</v>
      </c>
      <c r="M134">
        <f>IF(AW133&lt;=0,0,IF(ROUND(AW133*(1+'Calc base'!K134),2)-MAX('Calc base'!F$12,ROUND('Calc base'!F$13*AW133,2))&lt;1,ROUND(AW133*(1+'Calc base'!K134),2),MAX('Calc base'!F$12,ROUND('Calc base'!F$13*AW133,2))))</f>
        <v>0</v>
      </c>
      <c r="N134">
        <f>IF(AX133&lt;=0,0,IF(ROUND(AX133*(1+'Calc base'!L134),2)-MAX('Calc base'!G$12,ROUND('Calc base'!G$13*AX133,2))&lt;1,ROUND(AX133*(1+'Calc base'!L134),2),MAX('Calc base'!G$12,ROUND('Calc base'!G$13*AX133,2))))</f>
        <v>0</v>
      </c>
      <c r="O134">
        <f>IF(AY133&lt;=0,0,IF(ROUND(AY133*(1+'Calc base'!M134),2)-MAX('Calc base'!H$12,ROUND('Calc base'!H$13*AY133,2))&lt;1,ROUND(AY133*(1+'Calc base'!M134),2),MAX('Calc base'!H$12,ROUND('Calc base'!H$13*AY133,2))))</f>
        <v>0</v>
      </c>
      <c r="P134">
        <f>IF(AZ133&lt;=0,0,IF(ROUND(AZ133*(1+'Calc base'!N134),2)-MAX('Calc base'!I$12,ROUND('Calc base'!I$13*AZ133,2))&lt;1,ROUND(AZ133*(1+'Calc base'!N134),2),MAX('Calc base'!I$12,ROUND('Calc base'!I$13*AZ133,2))))</f>
        <v>0</v>
      </c>
      <c r="Q134">
        <f>IF(BA133&lt;=0,0,IF(ROUND(BA133*(1+'Calc base'!O134),2)-MAX('Calc base'!J$12,ROUND('Calc base'!J$13*BA133,2))&lt;1,ROUND(BA133*(1+'Calc base'!O134),2),MAX('Calc base'!J$12,ROUND('Calc base'!J$13*BA133,2))))</f>
        <v>0</v>
      </c>
      <c r="R134">
        <f>IF(BB133&lt;=0,0,IF(ROUND(BB133*(1+'Calc base'!P134),2)-MAX('Calc base'!K$12,ROUND('Calc base'!K$13*BB133,2))&lt;1,ROUND(BB133*(1+'Calc base'!P134),2),MAX('Calc base'!K$12,ROUND('Calc base'!K$13*BB133,2))))</f>
        <v>0</v>
      </c>
      <c r="S134">
        <f>IF(BC133&lt;=0,0,IF(ROUND(BC133*(1+'Calc base'!Q134),2)-MAX('Calc base'!L$12,ROUND('Calc base'!L$13*BC133,2))&lt;1,ROUND(BC133*(1+'Calc base'!Q134),2),MAX('Calc base'!L$12,ROUND('Calc base'!L$13*BC133,2))))</f>
        <v>0</v>
      </c>
      <c r="T134">
        <f>IF(BD133&lt;=0,0,IF(ROUND(BD133*(1+'Calc base'!R134),2)-MAX('Calc base'!M$12,ROUND('Calc base'!M$13*BD133,2))&lt;1,ROUND(BD133*(1+'Calc base'!R134),2),MAX('Calc base'!M$12,ROUND('Calc base'!M$13*BD133,2))))</f>
        <v>0</v>
      </c>
      <c r="U134">
        <f>IF(BE133&lt;=0,0,IF(ROUND(BE133*(1+'Calc base'!S134),2)-MAX('Calc base'!N$12,ROUND('Calc base'!N$13*BE133,2))&lt;1,ROUND(BE133*(1+'Calc base'!S134),2),MAX('Calc base'!N$12,ROUND('Calc base'!N$13*BE133,2))))</f>
        <v>0</v>
      </c>
      <c r="AT134">
        <f>MAX(0,ROUND(AT133*(1+'Calc base'!H134),2)-J134)</f>
        <v>133.11</v>
      </c>
      <c r="AU134">
        <f>MAX(0,ROUND(AU133*(1+'Calc base'!I134),2)-K134)</f>
        <v>0</v>
      </c>
      <c r="AV134">
        <f>MAX(0,ROUND(AV133*(1+'Calc base'!J134),2)-L134)</f>
        <v>0</v>
      </c>
      <c r="AW134">
        <f>MAX(0,ROUND(AW133*(1+'Calc base'!K134),2)-M134)</f>
        <v>0</v>
      </c>
      <c r="AX134">
        <f>MAX(0,ROUND(AX133*(1+'Calc base'!L134),2)-N134)</f>
        <v>0</v>
      </c>
      <c r="AY134">
        <f>MAX(0,ROUND(AY133*(1+'Calc base'!M134),2)-O134)</f>
        <v>0</v>
      </c>
      <c r="AZ134">
        <f>MAX(0,ROUND(AZ133*(1+'Calc base'!N134),2)-P134)</f>
        <v>0</v>
      </c>
      <c r="BA134">
        <f>MAX(0,ROUND(BA133*(1+'Calc base'!O134),2)-Q134)</f>
        <v>0</v>
      </c>
      <c r="BB134">
        <f>MAX(0,ROUND(BB133*(1+'Calc base'!P134),2)-R134)</f>
        <v>0</v>
      </c>
      <c r="BC134">
        <f>MAX(0,ROUND(BC133*(1+'Calc base'!Q134),2)-S134)</f>
        <v>0</v>
      </c>
      <c r="BD134">
        <f>MAX(0,ROUND(BD133*(1+'Calc base'!R134),2)-T134)</f>
        <v>0</v>
      </c>
      <c r="BE134">
        <f>MAX(0,ROUND(BE133*(1+'Calc base'!S134),2)-U134)</f>
        <v>0</v>
      </c>
    </row>
    <row r="135">
      <c r="A135" t="n">
        <v>105</v>
      </c>
      <c r="B135">
        <f>SUMPRODUCT(ROUND($AT134:$BE134*(1+'Calc base'!$H135:$S135),2))</f>
        <v>135.21</v>
      </c>
      <c r="C135">
        <f>SUM(J135:U135)</f>
        <v>30</v>
      </c>
      <c r="G135">
        <f>SUM(AT135:BE135)</f>
        <v>105.21</v>
      </c>
      <c r="H135">
        <f>B135-G134</f>
        <v>2.09999999999999</v>
      </c>
      <c r="I135">
        <f>B135-G135</f>
        <v>30</v>
      </c>
      <c r="J135">
        <f>IF(AT134&lt;=0,0,IF(ROUND(AT134*(1+'Calc base'!H135),2)-MAX('Calc base'!C$12,ROUND('Calc base'!C$13*AT134,2))&lt;1,ROUND(AT134*(1+'Calc base'!H135),2),MAX('Calc base'!C$12,ROUND('Calc base'!C$13*AT134,2))))</f>
        <v>30</v>
      </c>
      <c r="K135">
        <f>IF(AU134&lt;=0,0,IF(ROUND(AU134*(1+'Calc base'!I135),2)-MAX('Calc base'!D$12,ROUND('Calc base'!D$13*AU134,2))&lt;1,ROUND(AU134*(1+'Calc base'!I135),2),MAX('Calc base'!D$12,ROUND('Calc base'!D$13*AU134,2))))</f>
        <v>0</v>
      </c>
      <c r="L135">
        <f>IF(AV134&lt;=0,0,IF(ROUND(AV134*(1+'Calc base'!J135),2)-MAX('Calc base'!E$12,ROUND('Calc base'!E$13*AV134,2))&lt;1,ROUND(AV134*(1+'Calc base'!J135),2),MAX('Calc base'!E$12,ROUND('Calc base'!E$13*AV134,2))))</f>
        <v>0</v>
      </c>
      <c r="M135">
        <f>IF(AW134&lt;=0,0,IF(ROUND(AW134*(1+'Calc base'!K135),2)-MAX('Calc base'!F$12,ROUND('Calc base'!F$13*AW134,2))&lt;1,ROUND(AW134*(1+'Calc base'!K135),2),MAX('Calc base'!F$12,ROUND('Calc base'!F$13*AW134,2))))</f>
        <v>0</v>
      </c>
      <c r="N135">
        <f>IF(AX134&lt;=0,0,IF(ROUND(AX134*(1+'Calc base'!L135),2)-MAX('Calc base'!G$12,ROUND('Calc base'!G$13*AX134,2))&lt;1,ROUND(AX134*(1+'Calc base'!L135),2),MAX('Calc base'!G$12,ROUND('Calc base'!G$13*AX134,2))))</f>
        <v>0</v>
      </c>
      <c r="O135">
        <f>IF(AY134&lt;=0,0,IF(ROUND(AY134*(1+'Calc base'!M135),2)-MAX('Calc base'!H$12,ROUND('Calc base'!H$13*AY134,2))&lt;1,ROUND(AY134*(1+'Calc base'!M135),2),MAX('Calc base'!H$12,ROUND('Calc base'!H$13*AY134,2))))</f>
        <v>0</v>
      </c>
      <c r="P135">
        <f>IF(AZ134&lt;=0,0,IF(ROUND(AZ134*(1+'Calc base'!N135),2)-MAX('Calc base'!I$12,ROUND('Calc base'!I$13*AZ134,2))&lt;1,ROUND(AZ134*(1+'Calc base'!N135),2),MAX('Calc base'!I$12,ROUND('Calc base'!I$13*AZ134,2))))</f>
        <v>0</v>
      </c>
      <c r="Q135">
        <f>IF(BA134&lt;=0,0,IF(ROUND(BA134*(1+'Calc base'!O135),2)-MAX('Calc base'!J$12,ROUND('Calc base'!J$13*BA134,2))&lt;1,ROUND(BA134*(1+'Calc base'!O135),2),MAX('Calc base'!J$12,ROUND('Calc base'!J$13*BA134,2))))</f>
        <v>0</v>
      </c>
      <c r="R135">
        <f>IF(BB134&lt;=0,0,IF(ROUND(BB134*(1+'Calc base'!P135),2)-MAX('Calc base'!K$12,ROUND('Calc base'!K$13*BB134,2))&lt;1,ROUND(BB134*(1+'Calc base'!P135),2),MAX('Calc base'!K$12,ROUND('Calc base'!K$13*BB134,2))))</f>
        <v>0</v>
      </c>
      <c r="S135">
        <f>IF(BC134&lt;=0,0,IF(ROUND(BC134*(1+'Calc base'!Q135),2)-MAX('Calc base'!L$12,ROUND('Calc base'!L$13*BC134,2))&lt;1,ROUND(BC134*(1+'Calc base'!Q135),2),MAX('Calc base'!L$12,ROUND('Calc base'!L$13*BC134,2))))</f>
        <v>0</v>
      </c>
      <c r="T135">
        <f>IF(BD134&lt;=0,0,IF(ROUND(BD134*(1+'Calc base'!R135),2)-MAX('Calc base'!M$12,ROUND('Calc base'!M$13*BD134,2))&lt;1,ROUND(BD134*(1+'Calc base'!R135),2),MAX('Calc base'!M$12,ROUND('Calc base'!M$13*BD134,2))))</f>
        <v>0</v>
      </c>
      <c r="U135">
        <f>IF(BE134&lt;=0,0,IF(ROUND(BE134*(1+'Calc base'!S135),2)-MAX('Calc base'!N$12,ROUND('Calc base'!N$13*BE134,2))&lt;1,ROUND(BE134*(1+'Calc base'!S135),2),MAX('Calc base'!N$12,ROUND('Calc base'!N$13*BE134,2))))</f>
        <v>0</v>
      </c>
      <c r="AT135">
        <f>MAX(0,ROUND(AT134*(1+'Calc base'!H135),2)-J135)</f>
        <v>105.21</v>
      </c>
      <c r="AU135">
        <f>MAX(0,ROUND(AU134*(1+'Calc base'!I135),2)-K135)</f>
        <v>0</v>
      </c>
      <c r="AV135">
        <f>MAX(0,ROUND(AV134*(1+'Calc base'!J135),2)-L135)</f>
        <v>0</v>
      </c>
      <c r="AW135">
        <f>MAX(0,ROUND(AW134*(1+'Calc base'!K135),2)-M135)</f>
        <v>0</v>
      </c>
      <c r="AX135">
        <f>MAX(0,ROUND(AX134*(1+'Calc base'!L135),2)-N135)</f>
        <v>0</v>
      </c>
      <c r="AY135">
        <f>MAX(0,ROUND(AY134*(1+'Calc base'!M135),2)-O135)</f>
        <v>0</v>
      </c>
      <c r="AZ135">
        <f>MAX(0,ROUND(AZ134*(1+'Calc base'!N135),2)-P135)</f>
        <v>0</v>
      </c>
      <c r="BA135">
        <f>MAX(0,ROUND(BA134*(1+'Calc base'!O135),2)-Q135)</f>
        <v>0</v>
      </c>
      <c r="BB135">
        <f>MAX(0,ROUND(BB134*(1+'Calc base'!P135),2)-R135)</f>
        <v>0</v>
      </c>
      <c r="BC135">
        <f>MAX(0,ROUND(BC134*(1+'Calc base'!Q135),2)-S135)</f>
        <v>0</v>
      </c>
      <c r="BD135">
        <f>MAX(0,ROUND(BD134*(1+'Calc base'!R135),2)-T135)</f>
        <v>0</v>
      </c>
      <c r="BE135">
        <f>MAX(0,ROUND(BE134*(1+'Calc base'!S135),2)-U135)</f>
        <v>0</v>
      </c>
    </row>
    <row r="136">
      <c r="A136" t="n">
        <v>106</v>
      </c>
      <c r="B136">
        <f>SUMPRODUCT(ROUND($AT135:$BE135*(1+'Calc base'!$H136:$S136),2))</f>
        <v>106.87</v>
      </c>
      <c r="C136">
        <f>SUM(J136:U136)</f>
        <v>30</v>
      </c>
      <c r="G136">
        <f>SUM(AT136:BE136)</f>
        <v>76.87</v>
      </c>
      <c r="H136">
        <f>B136-G135</f>
        <v>1.66</v>
      </c>
      <c r="I136">
        <f>B136-G136</f>
        <v>30</v>
      </c>
      <c r="J136">
        <f>IF(AT135&lt;=0,0,IF(ROUND(AT135*(1+'Calc base'!H136),2)-MAX('Calc base'!C$12,ROUND('Calc base'!C$13*AT135,2))&lt;1,ROUND(AT135*(1+'Calc base'!H136),2),MAX('Calc base'!C$12,ROUND('Calc base'!C$13*AT135,2))))</f>
        <v>30</v>
      </c>
      <c r="K136">
        <f>IF(AU135&lt;=0,0,IF(ROUND(AU135*(1+'Calc base'!I136),2)-MAX('Calc base'!D$12,ROUND('Calc base'!D$13*AU135,2))&lt;1,ROUND(AU135*(1+'Calc base'!I136),2),MAX('Calc base'!D$12,ROUND('Calc base'!D$13*AU135,2))))</f>
        <v>0</v>
      </c>
      <c r="L136">
        <f>IF(AV135&lt;=0,0,IF(ROUND(AV135*(1+'Calc base'!J136),2)-MAX('Calc base'!E$12,ROUND('Calc base'!E$13*AV135,2))&lt;1,ROUND(AV135*(1+'Calc base'!J136),2),MAX('Calc base'!E$12,ROUND('Calc base'!E$13*AV135,2))))</f>
        <v>0</v>
      </c>
      <c r="M136">
        <f>IF(AW135&lt;=0,0,IF(ROUND(AW135*(1+'Calc base'!K136),2)-MAX('Calc base'!F$12,ROUND('Calc base'!F$13*AW135,2))&lt;1,ROUND(AW135*(1+'Calc base'!K136),2),MAX('Calc base'!F$12,ROUND('Calc base'!F$13*AW135,2))))</f>
        <v>0</v>
      </c>
      <c r="N136">
        <f>IF(AX135&lt;=0,0,IF(ROUND(AX135*(1+'Calc base'!L136),2)-MAX('Calc base'!G$12,ROUND('Calc base'!G$13*AX135,2))&lt;1,ROUND(AX135*(1+'Calc base'!L136),2),MAX('Calc base'!G$12,ROUND('Calc base'!G$13*AX135,2))))</f>
        <v>0</v>
      </c>
      <c r="O136">
        <f>IF(AY135&lt;=0,0,IF(ROUND(AY135*(1+'Calc base'!M136),2)-MAX('Calc base'!H$12,ROUND('Calc base'!H$13*AY135,2))&lt;1,ROUND(AY135*(1+'Calc base'!M136),2),MAX('Calc base'!H$12,ROUND('Calc base'!H$13*AY135,2))))</f>
        <v>0</v>
      </c>
      <c r="P136">
        <f>IF(AZ135&lt;=0,0,IF(ROUND(AZ135*(1+'Calc base'!N136),2)-MAX('Calc base'!I$12,ROUND('Calc base'!I$13*AZ135,2))&lt;1,ROUND(AZ135*(1+'Calc base'!N136),2),MAX('Calc base'!I$12,ROUND('Calc base'!I$13*AZ135,2))))</f>
        <v>0</v>
      </c>
      <c r="Q136">
        <f>IF(BA135&lt;=0,0,IF(ROUND(BA135*(1+'Calc base'!O136),2)-MAX('Calc base'!J$12,ROUND('Calc base'!J$13*BA135,2))&lt;1,ROUND(BA135*(1+'Calc base'!O136),2),MAX('Calc base'!J$12,ROUND('Calc base'!J$13*BA135,2))))</f>
        <v>0</v>
      </c>
      <c r="R136">
        <f>IF(BB135&lt;=0,0,IF(ROUND(BB135*(1+'Calc base'!P136),2)-MAX('Calc base'!K$12,ROUND('Calc base'!K$13*BB135,2))&lt;1,ROUND(BB135*(1+'Calc base'!P136),2),MAX('Calc base'!K$12,ROUND('Calc base'!K$13*BB135,2))))</f>
        <v>0</v>
      </c>
      <c r="S136">
        <f>IF(BC135&lt;=0,0,IF(ROUND(BC135*(1+'Calc base'!Q136),2)-MAX('Calc base'!L$12,ROUND('Calc base'!L$13*BC135,2))&lt;1,ROUND(BC135*(1+'Calc base'!Q136),2),MAX('Calc base'!L$12,ROUND('Calc base'!L$13*BC135,2))))</f>
        <v>0</v>
      </c>
      <c r="T136">
        <f>IF(BD135&lt;=0,0,IF(ROUND(BD135*(1+'Calc base'!R136),2)-MAX('Calc base'!M$12,ROUND('Calc base'!M$13*BD135,2))&lt;1,ROUND(BD135*(1+'Calc base'!R136),2),MAX('Calc base'!M$12,ROUND('Calc base'!M$13*BD135,2))))</f>
        <v>0</v>
      </c>
      <c r="U136">
        <f>IF(BE135&lt;=0,0,IF(ROUND(BE135*(1+'Calc base'!S136),2)-MAX('Calc base'!N$12,ROUND('Calc base'!N$13*BE135,2))&lt;1,ROUND(BE135*(1+'Calc base'!S136),2),MAX('Calc base'!N$12,ROUND('Calc base'!N$13*BE135,2))))</f>
        <v>0</v>
      </c>
      <c r="AT136">
        <f>MAX(0,ROUND(AT135*(1+'Calc base'!H136),2)-J136)</f>
        <v>76.87</v>
      </c>
      <c r="AU136">
        <f>MAX(0,ROUND(AU135*(1+'Calc base'!I136),2)-K136)</f>
        <v>0</v>
      </c>
      <c r="AV136">
        <f>MAX(0,ROUND(AV135*(1+'Calc base'!J136),2)-L136)</f>
        <v>0</v>
      </c>
      <c r="AW136">
        <f>MAX(0,ROUND(AW135*(1+'Calc base'!K136),2)-M136)</f>
        <v>0</v>
      </c>
      <c r="AX136">
        <f>MAX(0,ROUND(AX135*(1+'Calc base'!L136),2)-N136)</f>
        <v>0</v>
      </c>
      <c r="AY136">
        <f>MAX(0,ROUND(AY135*(1+'Calc base'!M136),2)-O136)</f>
        <v>0</v>
      </c>
      <c r="AZ136">
        <f>MAX(0,ROUND(AZ135*(1+'Calc base'!N136),2)-P136)</f>
        <v>0</v>
      </c>
      <c r="BA136">
        <f>MAX(0,ROUND(BA135*(1+'Calc base'!O136),2)-Q136)</f>
        <v>0</v>
      </c>
      <c r="BB136">
        <f>MAX(0,ROUND(BB135*(1+'Calc base'!P136),2)-R136)</f>
        <v>0</v>
      </c>
      <c r="BC136">
        <f>MAX(0,ROUND(BC135*(1+'Calc base'!Q136),2)-S136)</f>
        <v>0</v>
      </c>
      <c r="BD136">
        <f>MAX(0,ROUND(BD135*(1+'Calc base'!R136),2)-T136)</f>
        <v>0</v>
      </c>
      <c r="BE136">
        <f>MAX(0,ROUND(BE135*(1+'Calc base'!S136),2)-U136)</f>
        <v>0</v>
      </c>
    </row>
    <row r="137">
      <c r="A137" t="n">
        <v>107</v>
      </c>
      <c r="B137">
        <f>SUMPRODUCT(ROUND($AT136:$BE136*(1+'Calc base'!$H137:$S137),2))</f>
        <v>78.08</v>
      </c>
      <c r="C137">
        <f>SUM(J137:U137)</f>
        <v>30</v>
      </c>
      <c r="G137">
        <f>SUM(AT137:BE137)</f>
        <v>48.08</v>
      </c>
      <c r="H137">
        <f>B137-G136</f>
        <v>1.20999999999999</v>
      </c>
      <c r="I137">
        <f>B137-G137</f>
        <v>30</v>
      </c>
      <c r="J137">
        <f>IF(AT136&lt;=0,0,IF(ROUND(AT136*(1+'Calc base'!H137),2)-MAX('Calc base'!C$12,ROUND('Calc base'!C$13*AT136,2))&lt;1,ROUND(AT136*(1+'Calc base'!H137),2),MAX('Calc base'!C$12,ROUND('Calc base'!C$13*AT136,2))))</f>
        <v>30</v>
      </c>
      <c r="K137">
        <f>IF(AU136&lt;=0,0,IF(ROUND(AU136*(1+'Calc base'!I137),2)-MAX('Calc base'!D$12,ROUND('Calc base'!D$13*AU136,2))&lt;1,ROUND(AU136*(1+'Calc base'!I137),2),MAX('Calc base'!D$12,ROUND('Calc base'!D$13*AU136,2))))</f>
        <v>0</v>
      </c>
      <c r="L137">
        <f>IF(AV136&lt;=0,0,IF(ROUND(AV136*(1+'Calc base'!J137),2)-MAX('Calc base'!E$12,ROUND('Calc base'!E$13*AV136,2))&lt;1,ROUND(AV136*(1+'Calc base'!J137),2),MAX('Calc base'!E$12,ROUND('Calc base'!E$13*AV136,2))))</f>
        <v>0</v>
      </c>
      <c r="M137">
        <f>IF(AW136&lt;=0,0,IF(ROUND(AW136*(1+'Calc base'!K137),2)-MAX('Calc base'!F$12,ROUND('Calc base'!F$13*AW136,2))&lt;1,ROUND(AW136*(1+'Calc base'!K137),2),MAX('Calc base'!F$12,ROUND('Calc base'!F$13*AW136,2))))</f>
        <v>0</v>
      </c>
      <c r="N137">
        <f>IF(AX136&lt;=0,0,IF(ROUND(AX136*(1+'Calc base'!L137),2)-MAX('Calc base'!G$12,ROUND('Calc base'!G$13*AX136,2))&lt;1,ROUND(AX136*(1+'Calc base'!L137),2),MAX('Calc base'!G$12,ROUND('Calc base'!G$13*AX136,2))))</f>
        <v>0</v>
      </c>
      <c r="O137">
        <f>IF(AY136&lt;=0,0,IF(ROUND(AY136*(1+'Calc base'!M137),2)-MAX('Calc base'!H$12,ROUND('Calc base'!H$13*AY136,2))&lt;1,ROUND(AY136*(1+'Calc base'!M137),2),MAX('Calc base'!H$12,ROUND('Calc base'!H$13*AY136,2))))</f>
        <v>0</v>
      </c>
      <c r="P137">
        <f>IF(AZ136&lt;=0,0,IF(ROUND(AZ136*(1+'Calc base'!N137),2)-MAX('Calc base'!I$12,ROUND('Calc base'!I$13*AZ136,2))&lt;1,ROUND(AZ136*(1+'Calc base'!N137),2),MAX('Calc base'!I$12,ROUND('Calc base'!I$13*AZ136,2))))</f>
        <v>0</v>
      </c>
      <c r="Q137">
        <f>IF(BA136&lt;=0,0,IF(ROUND(BA136*(1+'Calc base'!O137),2)-MAX('Calc base'!J$12,ROUND('Calc base'!J$13*BA136,2))&lt;1,ROUND(BA136*(1+'Calc base'!O137),2),MAX('Calc base'!J$12,ROUND('Calc base'!J$13*BA136,2))))</f>
        <v>0</v>
      </c>
      <c r="R137">
        <f>IF(BB136&lt;=0,0,IF(ROUND(BB136*(1+'Calc base'!P137),2)-MAX('Calc base'!K$12,ROUND('Calc base'!K$13*BB136,2))&lt;1,ROUND(BB136*(1+'Calc base'!P137),2),MAX('Calc base'!K$12,ROUND('Calc base'!K$13*BB136,2))))</f>
        <v>0</v>
      </c>
      <c r="S137">
        <f>IF(BC136&lt;=0,0,IF(ROUND(BC136*(1+'Calc base'!Q137),2)-MAX('Calc base'!L$12,ROUND('Calc base'!L$13*BC136,2))&lt;1,ROUND(BC136*(1+'Calc base'!Q137),2),MAX('Calc base'!L$12,ROUND('Calc base'!L$13*BC136,2))))</f>
        <v>0</v>
      </c>
      <c r="T137">
        <f>IF(BD136&lt;=0,0,IF(ROUND(BD136*(1+'Calc base'!R137),2)-MAX('Calc base'!M$12,ROUND('Calc base'!M$13*BD136,2))&lt;1,ROUND(BD136*(1+'Calc base'!R137),2),MAX('Calc base'!M$12,ROUND('Calc base'!M$13*BD136,2))))</f>
        <v>0</v>
      </c>
      <c r="U137">
        <f>IF(BE136&lt;=0,0,IF(ROUND(BE136*(1+'Calc base'!S137),2)-MAX('Calc base'!N$12,ROUND('Calc base'!N$13*BE136,2))&lt;1,ROUND(BE136*(1+'Calc base'!S137),2),MAX('Calc base'!N$12,ROUND('Calc base'!N$13*BE136,2))))</f>
        <v>0</v>
      </c>
      <c r="AT137">
        <f>MAX(0,ROUND(AT136*(1+'Calc base'!H137),2)-J137)</f>
        <v>48.08</v>
      </c>
      <c r="AU137">
        <f>MAX(0,ROUND(AU136*(1+'Calc base'!I137),2)-K137)</f>
        <v>0</v>
      </c>
      <c r="AV137">
        <f>MAX(0,ROUND(AV136*(1+'Calc base'!J137),2)-L137)</f>
        <v>0</v>
      </c>
      <c r="AW137">
        <f>MAX(0,ROUND(AW136*(1+'Calc base'!K137),2)-M137)</f>
        <v>0</v>
      </c>
      <c r="AX137">
        <f>MAX(0,ROUND(AX136*(1+'Calc base'!L137),2)-N137)</f>
        <v>0</v>
      </c>
      <c r="AY137">
        <f>MAX(0,ROUND(AY136*(1+'Calc base'!M137),2)-O137)</f>
        <v>0</v>
      </c>
      <c r="AZ137">
        <f>MAX(0,ROUND(AZ136*(1+'Calc base'!N137),2)-P137)</f>
        <v>0</v>
      </c>
      <c r="BA137">
        <f>MAX(0,ROUND(BA136*(1+'Calc base'!O137),2)-Q137)</f>
        <v>0</v>
      </c>
      <c r="BB137">
        <f>MAX(0,ROUND(BB136*(1+'Calc base'!P137),2)-R137)</f>
        <v>0</v>
      </c>
      <c r="BC137">
        <f>MAX(0,ROUND(BC136*(1+'Calc base'!Q137),2)-S137)</f>
        <v>0</v>
      </c>
      <c r="BD137">
        <f>MAX(0,ROUND(BD136*(1+'Calc base'!R137),2)-T137)</f>
        <v>0</v>
      </c>
      <c r="BE137">
        <f>MAX(0,ROUND(BE136*(1+'Calc base'!S137),2)-U137)</f>
        <v>0</v>
      </c>
    </row>
    <row r="138">
      <c r="A138" t="n">
        <v>108</v>
      </c>
      <c r="B138">
        <f>SUMPRODUCT(ROUND($AT137:$BE137*(1+'Calc base'!$H138:$S138),2))</f>
        <v>48.84</v>
      </c>
      <c r="C138">
        <f>SUM(J138:U138)</f>
        <v>30</v>
      </c>
      <c r="G138">
        <f>SUM(AT138:BE138)</f>
        <v>18.84</v>
      </c>
      <c r="H138">
        <f>B138-G137</f>
        <v>0.760000000000005</v>
      </c>
      <c r="I138">
        <f>B138-G138</f>
        <v>30</v>
      </c>
      <c r="J138">
        <f>IF(AT137&lt;=0,0,IF(ROUND(AT137*(1+'Calc base'!H138),2)-MAX('Calc base'!C$12,ROUND('Calc base'!C$13*AT137,2))&lt;1,ROUND(AT137*(1+'Calc base'!H138),2),MAX('Calc base'!C$12,ROUND('Calc base'!C$13*AT137,2))))</f>
        <v>30</v>
      </c>
      <c r="K138">
        <f>IF(AU137&lt;=0,0,IF(ROUND(AU137*(1+'Calc base'!I138),2)-MAX('Calc base'!D$12,ROUND('Calc base'!D$13*AU137,2))&lt;1,ROUND(AU137*(1+'Calc base'!I138),2),MAX('Calc base'!D$12,ROUND('Calc base'!D$13*AU137,2))))</f>
        <v>0</v>
      </c>
      <c r="L138">
        <f>IF(AV137&lt;=0,0,IF(ROUND(AV137*(1+'Calc base'!J138),2)-MAX('Calc base'!E$12,ROUND('Calc base'!E$13*AV137,2))&lt;1,ROUND(AV137*(1+'Calc base'!J138),2),MAX('Calc base'!E$12,ROUND('Calc base'!E$13*AV137,2))))</f>
        <v>0</v>
      </c>
      <c r="M138">
        <f>IF(AW137&lt;=0,0,IF(ROUND(AW137*(1+'Calc base'!K138),2)-MAX('Calc base'!F$12,ROUND('Calc base'!F$13*AW137,2))&lt;1,ROUND(AW137*(1+'Calc base'!K138),2),MAX('Calc base'!F$12,ROUND('Calc base'!F$13*AW137,2))))</f>
        <v>0</v>
      </c>
      <c r="N138">
        <f>IF(AX137&lt;=0,0,IF(ROUND(AX137*(1+'Calc base'!L138),2)-MAX('Calc base'!G$12,ROUND('Calc base'!G$13*AX137,2))&lt;1,ROUND(AX137*(1+'Calc base'!L138),2),MAX('Calc base'!G$12,ROUND('Calc base'!G$13*AX137,2))))</f>
        <v>0</v>
      </c>
      <c r="O138">
        <f>IF(AY137&lt;=0,0,IF(ROUND(AY137*(1+'Calc base'!M138),2)-MAX('Calc base'!H$12,ROUND('Calc base'!H$13*AY137,2))&lt;1,ROUND(AY137*(1+'Calc base'!M138),2),MAX('Calc base'!H$12,ROUND('Calc base'!H$13*AY137,2))))</f>
        <v>0</v>
      </c>
      <c r="P138">
        <f>IF(AZ137&lt;=0,0,IF(ROUND(AZ137*(1+'Calc base'!N138),2)-MAX('Calc base'!I$12,ROUND('Calc base'!I$13*AZ137,2))&lt;1,ROUND(AZ137*(1+'Calc base'!N138),2),MAX('Calc base'!I$12,ROUND('Calc base'!I$13*AZ137,2))))</f>
        <v>0</v>
      </c>
      <c r="Q138">
        <f>IF(BA137&lt;=0,0,IF(ROUND(BA137*(1+'Calc base'!O138),2)-MAX('Calc base'!J$12,ROUND('Calc base'!J$13*BA137,2))&lt;1,ROUND(BA137*(1+'Calc base'!O138),2),MAX('Calc base'!J$12,ROUND('Calc base'!J$13*BA137,2))))</f>
        <v>0</v>
      </c>
      <c r="R138">
        <f>IF(BB137&lt;=0,0,IF(ROUND(BB137*(1+'Calc base'!P138),2)-MAX('Calc base'!K$12,ROUND('Calc base'!K$13*BB137,2))&lt;1,ROUND(BB137*(1+'Calc base'!P138),2),MAX('Calc base'!K$12,ROUND('Calc base'!K$13*BB137,2))))</f>
        <v>0</v>
      </c>
      <c r="S138">
        <f>IF(BC137&lt;=0,0,IF(ROUND(BC137*(1+'Calc base'!Q138),2)-MAX('Calc base'!L$12,ROUND('Calc base'!L$13*BC137,2))&lt;1,ROUND(BC137*(1+'Calc base'!Q138),2),MAX('Calc base'!L$12,ROUND('Calc base'!L$13*BC137,2))))</f>
        <v>0</v>
      </c>
      <c r="T138">
        <f>IF(BD137&lt;=0,0,IF(ROUND(BD137*(1+'Calc base'!R138),2)-MAX('Calc base'!M$12,ROUND('Calc base'!M$13*BD137,2))&lt;1,ROUND(BD137*(1+'Calc base'!R138),2),MAX('Calc base'!M$12,ROUND('Calc base'!M$13*BD137,2))))</f>
        <v>0</v>
      </c>
      <c r="U138">
        <f>IF(BE137&lt;=0,0,IF(ROUND(BE137*(1+'Calc base'!S138),2)-MAX('Calc base'!N$12,ROUND('Calc base'!N$13*BE137,2))&lt;1,ROUND(BE137*(1+'Calc base'!S138),2),MAX('Calc base'!N$12,ROUND('Calc base'!N$13*BE137,2))))</f>
        <v>0</v>
      </c>
      <c r="AT138">
        <f>MAX(0,ROUND(AT137*(1+'Calc base'!H138),2)-J138)</f>
        <v>18.84</v>
      </c>
      <c r="AU138">
        <f>MAX(0,ROUND(AU137*(1+'Calc base'!I138),2)-K138)</f>
        <v>0</v>
      </c>
      <c r="AV138">
        <f>MAX(0,ROUND(AV137*(1+'Calc base'!J138),2)-L138)</f>
        <v>0</v>
      </c>
      <c r="AW138">
        <f>MAX(0,ROUND(AW137*(1+'Calc base'!K138),2)-M138)</f>
        <v>0</v>
      </c>
      <c r="AX138">
        <f>MAX(0,ROUND(AX137*(1+'Calc base'!L138),2)-N138)</f>
        <v>0</v>
      </c>
      <c r="AY138">
        <f>MAX(0,ROUND(AY137*(1+'Calc base'!M138),2)-O138)</f>
        <v>0</v>
      </c>
      <c r="AZ138">
        <f>MAX(0,ROUND(AZ137*(1+'Calc base'!N138),2)-P138)</f>
        <v>0</v>
      </c>
      <c r="BA138">
        <f>MAX(0,ROUND(BA137*(1+'Calc base'!O138),2)-Q138)</f>
        <v>0</v>
      </c>
      <c r="BB138">
        <f>MAX(0,ROUND(BB137*(1+'Calc base'!P138),2)-R138)</f>
        <v>0</v>
      </c>
      <c r="BC138">
        <f>MAX(0,ROUND(BC137*(1+'Calc base'!Q138),2)-S138)</f>
        <v>0</v>
      </c>
      <c r="BD138">
        <f>MAX(0,ROUND(BD137*(1+'Calc base'!R138),2)-T138)</f>
        <v>0</v>
      </c>
      <c r="BE138">
        <f>MAX(0,ROUND(BE137*(1+'Calc base'!S138),2)-U138)</f>
        <v>0</v>
      </c>
    </row>
    <row r="139">
      <c r="A139" t="n">
        <v>109</v>
      </c>
      <c r="B139">
        <f>SUMPRODUCT(ROUND($AT138:$BE138*(1+'Calc base'!$H139:$S139),2))</f>
        <v>19.14</v>
      </c>
      <c r="C139">
        <f>SUM(J139:U139)</f>
        <v>19.14</v>
      </c>
      <c r="G139">
        <f>SUM(AT139:BE139)</f>
        <v>0</v>
      </c>
      <c r="H139">
        <f>B139-G138</f>
        <v>0.299999999999997</v>
      </c>
      <c r="I139">
        <f>B139-G139</f>
        <v>19.14</v>
      </c>
      <c r="J139">
        <f>IF(AT138&lt;=0,0,IF(ROUND(AT138*(1+'Calc base'!H139),2)-MAX('Calc base'!C$12,ROUND('Calc base'!C$13*AT138,2))&lt;1,ROUND(AT138*(1+'Calc base'!H139),2),MAX('Calc base'!C$12,ROUND('Calc base'!C$13*AT138,2))))</f>
        <v>19.14</v>
      </c>
      <c r="K139">
        <f>IF(AU138&lt;=0,0,IF(ROUND(AU138*(1+'Calc base'!I139),2)-MAX('Calc base'!D$12,ROUND('Calc base'!D$13*AU138,2))&lt;1,ROUND(AU138*(1+'Calc base'!I139),2),MAX('Calc base'!D$12,ROUND('Calc base'!D$13*AU138,2))))</f>
        <v>0</v>
      </c>
      <c r="L139">
        <f>IF(AV138&lt;=0,0,IF(ROUND(AV138*(1+'Calc base'!J139),2)-MAX('Calc base'!E$12,ROUND('Calc base'!E$13*AV138,2))&lt;1,ROUND(AV138*(1+'Calc base'!J139),2),MAX('Calc base'!E$12,ROUND('Calc base'!E$13*AV138,2))))</f>
        <v>0</v>
      </c>
      <c r="M139">
        <f>IF(AW138&lt;=0,0,IF(ROUND(AW138*(1+'Calc base'!K139),2)-MAX('Calc base'!F$12,ROUND('Calc base'!F$13*AW138,2))&lt;1,ROUND(AW138*(1+'Calc base'!K139),2),MAX('Calc base'!F$12,ROUND('Calc base'!F$13*AW138,2))))</f>
        <v>0</v>
      </c>
      <c r="N139">
        <f>IF(AX138&lt;=0,0,IF(ROUND(AX138*(1+'Calc base'!L139),2)-MAX('Calc base'!G$12,ROUND('Calc base'!G$13*AX138,2))&lt;1,ROUND(AX138*(1+'Calc base'!L139),2),MAX('Calc base'!G$12,ROUND('Calc base'!G$13*AX138,2))))</f>
        <v>0</v>
      </c>
      <c r="O139">
        <f>IF(AY138&lt;=0,0,IF(ROUND(AY138*(1+'Calc base'!M139),2)-MAX('Calc base'!H$12,ROUND('Calc base'!H$13*AY138,2))&lt;1,ROUND(AY138*(1+'Calc base'!M139),2),MAX('Calc base'!H$12,ROUND('Calc base'!H$13*AY138,2))))</f>
        <v>0</v>
      </c>
      <c r="P139">
        <f>IF(AZ138&lt;=0,0,IF(ROUND(AZ138*(1+'Calc base'!N139),2)-MAX('Calc base'!I$12,ROUND('Calc base'!I$13*AZ138,2))&lt;1,ROUND(AZ138*(1+'Calc base'!N139),2),MAX('Calc base'!I$12,ROUND('Calc base'!I$13*AZ138,2))))</f>
        <v>0</v>
      </c>
      <c r="Q139">
        <f>IF(BA138&lt;=0,0,IF(ROUND(BA138*(1+'Calc base'!O139),2)-MAX('Calc base'!J$12,ROUND('Calc base'!J$13*BA138,2))&lt;1,ROUND(BA138*(1+'Calc base'!O139),2),MAX('Calc base'!J$12,ROUND('Calc base'!J$13*BA138,2))))</f>
        <v>0</v>
      </c>
      <c r="R139">
        <f>IF(BB138&lt;=0,0,IF(ROUND(BB138*(1+'Calc base'!P139),2)-MAX('Calc base'!K$12,ROUND('Calc base'!K$13*BB138,2))&lt;1,ROUND(BB138*(1+'Calc base'!P139),2),MAX('Calc base'!K$12,ROUND('Calc base'!K$13*BB138,2))))</f>
        <v>0</v>
      </c>
      <c r="S139">
        <f>IF(BC138&lt;=0,0,IF(ROUND(BC138*(1+'Calc base'!Q139),2)-MAX('Calc base'!L$12,ROUND('Calc base'!L$13*BC138,2))&lt;1,ROUND(BC138*(1+'Calc base'!Q139),2),MAX('Calc base'!L$12,ROUND('Calc base'!L$13*BC138,2))))</f>
        <v>0</v>
      </c>
      <c r="T139">
        <f>IF(BD138&lt;=0,0,IF(ROUND(BD138*(1+'Calc base'!R139),2)-MAX('Calc base'!M$12,ROUND('Calc base'!M$13*BD138,2))&lt;1,ROUND(BD138*(1+'Calc base'!R139),2),MAX('Calc base'!M$12,ROUND('Calc base'!M$13*BD138,2))))</f>
        <v>0</v>
      </c>
      <c r="U139">
        <f>IF(BE138&lt;=0,0,IF(ROUND(BE138*(1+'Calc base'!S139),2)-MAX('Calc base'!N$12,ROUND('Calc base'!N$13*BE138,2))&lt;1,ROUND(BE138*(1+'Calc base'!S139),2),MAX('Calc base'!N$12,ROUND('Calc base'!N$13*BE138,2))))</f>
        <v>0</v>
      </c>
      <c r="AT139">
        <f>MAX(0,ROUND(AT138*(1+'Calc base'!H139),2)-J139)</f>
        <v>0</v>
      </c>
      <c r="AU139">
        <f>MAX(0,ROUND(AU138*(1+'Calc base'!I139),2)-K139)</f>
        <v>0</v>
      </c>
      <c r="AV139">
        <f>MAX(0,ROUND(AV138*(1+'Calc base'!J139),2)-L139)</f>
        <v>0</v>
      </c>
      <c r="AW139">
        <f>MAX(0,ROUND(AW138*(1+'Calc base'!K139),2)-M139)</f>
        <v>0</v>
      </c>
      <c r="AX139">
        <f>MAX(0,ROUND(AX138*(1+'Calc base'!L139),2)-N139)</f>
        <v>0</v>
      </c>
      <c r="AY139">
        <f>MAX(0,ROUND(AY138*(1+'Calc base'!M139),2)-O139)</f>
        <v>0</v>
      </c>
      <c r="AZ139">
        <f>MAX(0,ROUND(AZ138*(1+'Calc base'!N139),2)-P139)</f>
        <v>0</v>
      </c>
      <c r="BA139">
        <f>MAX(0,ROUND(BA138*(1+'Calc base'!O139),2)-Q139)</f>
        <v>0</v>
      </c>
      <c r="BB139">
        <f>MAX(0,ROUND(BB138*(1+'Calc base'!P139),2)-R139)</f>
        <v>0</v>
      </c>
      <c r="BC139">
        <f>MAX(0,ROUND(BC138*(1+'Calc base'!Q139),2)-S139)</f>
        <v>0</v>
      </c>
      <c r="BD139">
        <f>MAX(0,ROUND(BD138*(1+'Calc base'!R139),2)-T139)</f>
        <v>0</v>
      </c>
      <c r="BE139">
        <f>MAX(0,ROUND(BE138*(1+'Calc base'!S139),2)-U139)</f>
        <v>0</v>
      </c>
    </row>
    <row r="140">
      <c r="A140" t="n">
        <v>110</v>
      </c>
      <c r="B140">
        <f>SUMPRODUCT(ROUND($AT139:$BE139*(1+'Calc base'!$H140:$S140),2))</f>
        <v>0</v>
      </c>
      <c r="C140">
        <f>SUM(J140:U140)</f>
        <v>0</v>
      </c>
      <c r="G140">
        <f>SUM(AT140:BE140)</f>
        <v>0</v>
      </c>
      <c r="H140">
        <f>B140-G139</f>
        <v>0</v>
      </c>
      <c r="I140">
        <f>B140-G140</f>
        <v>0</v>
      </c>
      <c r="J140">
        <f>IF(AT139&lt;=0,0,IF(ROUND(AT139*(1+'Calc base'!H140),2)-MAX('Calc base'!C$12,ROUND('Calc base'!C$13*AT139,2))&lt;1,ROUND(AT139*(1+'Calc base'!H140),2),MAX('Calc base'!C$12,ROUND('Calc base'!C$13*AT139,2))))</f>
        <v>0</v>
      </c>
      <c r="K140">
        <f>IF(AU139&lt;=0,0,IF(ROUND(AU139*(1+'Calc base'!I140),2)-MAX('Calc base'!D$12,ROUND('Calc base'!D$13*AU139,2))&lt;1,ROUND(AU139*(1+'Calc base'!I140),2),MAX('Calc base'!D$12,ROUND('Calc base'!D$13*AU139,2))))</f>
        <v>0</v>
      </c>
      <c r="L140">
        <f>IF(AV139&lt;=0,0,IF(ROUND(AV139*(1+'Calc base'!J140),2)-MAX('Calc base'!E$12,ROUND('Calc base'!E$13*AV139,2))&lt;1,ROUND(AV139*(1+'Calc base'!J140),2),MAX('Calc base'!E$12,ROUND('Calc base'!E$13*AV139,2))))</f>
        <v>0</v>
      </c>
      <c r="M140">
        <f>IF(AW139&lt;=0,0,IF(ROUND(AW139*(1+'Calc base'!K140),2)-MAX('Calc base'!F$12,ROUND('Calc base'!F$13*AW139,2))&lt;1,ROUND(AW139*(1+'Calc base'!K140),2),MAX('Calc base'!F$12,ROUND('Calc base'!F$13*AW139,2))))</f>
        <v>0</v>
      </c>
      <c r="N140">
        <f>IF(AX139&lt;=0,0,IF(ROUND(AX139*(1+'Calc base'!L140),2)-MAX('Calc base'!G$12,ROUND('Calc base'!G$13*AX139,2))&lt;1,ROUND(AX139*(1+'Calc base'!L140),2),MAX('Calc base'!G$12,ROUND('Calc base'!G$13*AX139,2))))</f>
        <v>0</v>
      </c>
      <c r="O140">
        <f>IF(AY139&lt;=0,0,IF(ROUND(AY139*(1+'Calc base'!M140),2)-MAX('Calc base'!H$12,ROUND('Calc base'!H$13*AY139,2))&lt;1,ROUND(AY139*(1+'Calc base'!M140),2),MAX('Calc base'!H$12,ROUND('Calc base'!H$13*AY139,2))))</f>
        <v>0</v>
      </c>
      <c r="P140">
        <f>IF(AZ139&lt;=0,0,IF(ROUND(AZ139*(1+'Calc base'!N140),2)-MAX('Calc base'!I$12,ROUND('Calc base'!I$13*AZ139,2))&lt;1,ROUND(AZ139*(1+'Calc base'!N140),2),MAX('Calc base'!I$12,ROUND('Calc base'!I$13*AZ139,2))))</f>
        <v>0</v>
      </c>
      <c r="Q140">
        <f>IF(BA139&lt;=0,0,IF(ROUND(BA139*(1+'Calc base'!O140),2)-MAX('Calc base'!J$12,ROUND('Calc base'!J$13*BA139,2))&lt;1,ROUND(BA139*(1+'Calc base'!O140),2),MAX('Calc base'!J$12,ROUND('Calc base'!J$13*BA139,2))))</f>
        <v>0</v>
      </c>
      <c r="R140">
        <f>IF(BB139&lt;=0,0,IF(ROUND(BB139*(1+'Calc base'!P140),2)-MAX('Calc base'!K$12,ROUND('Calc base'!K$13*BB139,2))&lt;1,ROUND(BB139*(1+'Calc base'!P140),2),MAX('Calc base'!K$12,ROUND('Calc base'!K$13*BB139,2))))</f>
        <v>0</v>
      </c>
      <c r="S140">
        <f>IF(BC139&lt;=0,0,IF(ROUND(BC139*(1+'Calc base'!Q140),2)-MAX('Calc base'!L$12,ROUND('Calc base'!L$13*BC139,2))&lt;1,ROUND(BC139*(1+'Calc base'!Q140),2),MAX('Calc base'!L$12,ROUND('Calc base'!L$13*BC139,2))))</f>
        <v>0</v>
      </c>
      <c r="T140">
        <f>IF(BD139&lt;=0,0,IF(ROUND(BD139*(1+'Calc base'!R140),2)-MAX('Calc base'!M$12,ROUND('Calc base'!M$13*BD139,2))&lt;1,ROUND(BD139*(1+'Calc base'!R140),2),MAX('Calc base'!M$12,ROUND('Calc base'!M$13*BD139,2))))</f>
        <v>0</v>
      </c>
      <c r="U140">
        <f>IF(BE139&lt;=0,0,IF(ROUND(BE139*(1+'Calc base'!S140),2)-MAX('Calc base'!N$12,ROUND('Calc base'!N$13*BE139,2))&lt;1,ROUND(BE139*(1+'Calc base'!S140),2),MAX('Calc base'!N$12,ROUND('Calc base'!N$13*BE139,2))))</f>
        <v>0</v>
      </c>
      <c r="AT140">
        <f>MAX(0,ROUND(AT139*(1+'Calc base'!H140),2)-J140)</f>
        <v>0</v>
      </c>
      <c r="AU140">
        <f>MAX(0,ROUND(AU139*(1+'Calc base'!I140),2)-K140)</f>
        <v>0</v>
      </c>
      <c r="AV140">
        <f>MAX(0,ROUND(AV139*(1+'Calc base'!J140),2)-L140)</f>
        <v>0</v>
      </c>
      <c r="AW140">
        <f>MAX(0,ROUND(AW139*(1+'Calc base'!K140),2)-M140)</f>
        <v>0</v>
      </c>
      <c r="AX140">
        <f>MAX(0,ROUND(AX139*(1+'Calc base'!L140),2)-N140)</f>
        <v>0</v>
      </c>
      <c r="AY140">
        <f>MAX(0,ROUND(AY139*(1+'Calc base'!M140),2)-O140)</f>
        <v>0</v>
      </c>
      <c r="AZ140">
        <f>MAX(0,ROUND(AZ139*(1+'Calc base'!N140),2)-P140)</f>
        <v>0</v>
      </c>
      <c r="BA140">
        <f>MAX(0,ROUND(BA139*(1+'Calc base'!O140),2)-Q140)</f>
        <v>0</v>
      </c>
      <c r="BB140">
        <f>MAX(0,ROUND(BB139*(1+'Calc base'!P140),2)-R140)</f>
        <v>0</v>
      </c>
      <c r="BC140">
        <f>MAX(0,ROUND(BC139*(1+'Calc base'!Q140),2)-S140)</f>
        <v>0</v>
      </c>
      <c r="BD140">
        <f>MAX(0,ROUND(BD139*(1+'Calc base'!R140),2)-T140)</f>
        <v>0</v>
      </c>
      <c r="BE140">
        <f>MAX(0,ROUND(BE139*(1+'Calc base'!S140),2)-U140)</f>
        <v>0</v>
      </c>
    </row>
    <row r="141">
      <c r="A141" t="n">
        <v>111</v>
      </c>
      <c r="B141">
        <f>SUMPRODUCT(ROUND($AT140:$BE140*(1+'Calc base'!$H141:$S141),2))</f>
        <v>0</v>
      </c>
      <c r="C141">
        <f>SUM(J141:U141)</f>
        <v>0</v>
      </c>
      <c r="G141">
        <f>SUM(AT141:BE141)</f>
        <v>0</v>
      </c>
      <c r="H141">
        <f>B141-G140</f>
        <v>0</v>
      </c>
      <c r="I141">
        <f>B141-G141</f>
        <v>0</v>
      </c>
      <c r="J141">
        <f>IF(AT140&lt;=0,0,IF(ROUND(AT140*(1+'Calc base'!H141),2)-MAX('Calc base'!C$12,ROUND('Calc base'!C$13*AT140,2))&lt;1,ROUND(AT140*(1+'Calc base'!H141),2),MAX('Calc base'!C$12,ROUND('Calc base'!C$13*AT140,2))))</f>
        <v>0</v>
      </c>
      <c r="K141">
        <f>IF(AU140&lt;=0,0,IF(ROUND(AU140*(1+'Calc base'!I141),2)-MAX('Calc base'!D$12,ROUND('Calc base'!D$13*AU140,2))&lt;1,ROUND(AU140*(1+'Calc base'!I141),2),MAX('Calc base'!D$12,ROUND('Calc base'!D$13*AU140,2))))</f>
        <v>0</v>
      </c>
      <c r="L141">
        <f>IF(AV140&lt;=0,0,IF(ROUND(AV140*(1+'Calc base'!J141),2)-MAX('Calc base'!E$12,ROUND('Calc base'!E$13*AV140,2))&lt;1,ROUND(AV140*(1+'Calc base'!J141),2),MAX('Calc base'!E$12,ROUND('Calc base'!E$13*AV140,2))))</f>
        <v>0</v>
      </c>
      <c r="M141">
        <f>IF(AW140&lt;=0,0,IF(ROUND(AW140*(1+'Calc base'!K141),2)-MAX('Calc base'!F$12,ROUND('Calc base'!F$13*AW140,2))&lt;1,ROUND(AW140*(1+'Calc base'!K141),2),MAX('Calc base'!F$12,ROUND('Calc base'!F$13*AW140,2))))</f>
        <v>0</v>
      </c>
      <c r="N141">
        <f>IF(AX140&lt;=0,0,IF(ROUND(AX140*(1+'Calc base'!L141),2)-MAX('Calc base'!G$12,ROUND('Calc base'!G$13*AX140,2))&lt;1,ROUND(AX140*(1+'Calc base'!L141),2),MAX('Calc base'!G$12,ROUND('Calc base'!G$13*AX140,2))))</f>
        <v>0</v>
      </c>
      <c r="O141">
        <f>IF(AY140&lt;=0,0,IF(ROUND(AY140*(1+'Calc base'!M141),2)-MAX('Calc base'!H$12,ROUND('Calc base'!H$13*AY140,2))&lt;1,ROUND(AY140*(1+'Calc base'!M141),2),MAX('Calc base'!H$12,ROUND('Calc base'!H$13*AY140,2))))</f>
        <v>0</v>
      </c>
      <c r="P141">
        <f>IF(AZ140&lt;=0,0,IF(ROUND(AZ140*(1+'Calc base'!N141),2)-MAX('Calc base'!I$12,ROUND('Calc base'!I$13*AZ140,2))&lt;1,ROUND(AZ140*(1+'Calc base'!N141),2),MAX('Calc base'!I$12,ROUND('Calc base'!I$13*AZ140,2))))</f>
        <v>0</v>
      </c>
      <c r="Q141">
        <f>IF(BA140&lt;=0,0,IF(ROUND(BA140*(1+'Calc base'!O141),2)-MAX('Calc base'!J$12,ROUND('Calc base'!J$13*BA140,2))&lt;1,ROUND(BA140*(1+'Calc base'!O141),2),MAX('Calc base'!J$12,ROUND('Calc base'!J$13*BA140,2))))</f>
        <v>0</v>
      </c>
      <c r="R141">
        <f>IF(BB140&lt;=0,0,IF(ROUND(BB140*(1+'Calc base'!P141),2)-MAX('Calc base'!K$12,ROUND('Calc base'!K$13*BB140,2))&lt;1,ROUND(BB140*(1+'Calc base'!P141),2),MAX('Calc base'!K$12,ROUND('Calc base'!K$13*BB140,2))))</f>
        <v>0</v>
      </c>
      <c r="S141">
        <f>IF(BC140&lt;=0,0,IF(ROUND(BC140*(1+'Calc base'!Q141),2)-MAX('Calc base'!L$12,ROUND('Calc base'!L$13*BC140,2))&lt;1,ROUND(BC140*(1+'Calc base'!Q141),2),MAX('Calc base'!L$12,ROUND('Calc base'!L$13*BC140,2))))</f>
        <v>0</v>
      </c>
      <c r="T141">
        <f>IF(BD140&lt;=0,0,IF(ROUND(BD140*(1+'Calc base'!R141),2)-MAX('Calc base'!M$12,ROUND('Calc base'!M$13*BD140,2))&lt;1,ROUND(BD140*(1+'Calc base'!R141),2),MAX('Calc base'!M$12,ROUND('Calc base'!M$13*BD140,2))))</f>
        <v>0</v>
      </c>
      <c r="U141">
        <f>IF(BE140&lt;=0,0,IF(ROUND(BE140*(1+'Calc base'!S141),2)-MAX('Calc base'!N$12,ROUND('Calc base'!N$13*BE140,2))&lt;1,ROUND(BE140*(1+'Calc base'!S141),2),MAX('Calc base'!N$12,ROUND('Calc base'!N$13*BE140,2))))</f>
        <v>0</v>
      </c>
      <c r="AT141">
        <f>MAX(0,ROUND(AT140*(1+'Calc base'!H141),2)-J141)</f>
        <v>0</v>
      </c>
      <c r="AU141">
        <f>MAX(0,ROUND(AU140*(1+'Calc base'!I141),2)-K141)</f>
        <v>0</v>
      </c>
      <c r="AV141">
        <f>MAX(0,ROUND(AV140*(1+'Calc base'!J141),2)-L141)</f>
        <v>0</v>
      </c>
      <c r="AW141">
        <f>MAX(0,ROUND(AW140*(1+'Calc base'!K141),2)-M141)</f>
        <v>0</v>
      </c>
      <c r="AX141">
        <f>MAX(0,ROUND(AX140*(1+'Calc base'!L141),2)-N141)</f>
        <v>0</v>
      </c>
      <c r="AY141">
        <f>MAX(0,ROUND(AY140*(1+'Calc base'!M141),2)-O141)</f>
        <v>0</v>
      </c>
      <c r="AZ141">
        <f>MAX(0,ROUND(AZ140*(1+'Calc base'!N141),2)-P141)</f>
        <v>0</v>
      </c>
      <c r="BA141">
        <f>MAX(0,ROUND(BA140*(1+'Calc base'!O141),2)-Q141)</f>
        <v>0</v>
      </c>
      <c r="BB141">
        <f>MAX(0,ROUND(BB140*(1+'Calc base'!P141),2)-R141)</f>
        <v>0</v>
      </c>
      <c r="BC141">
        <f>MAX(0,ROUND(BC140*(1+'Calc base'!Q141),2)-S141)</f>
        <v>0</v>
      </c>
      <c r="BD141">
        <f>MAX(0,ROUND(BD140*(1+'Calc base'!R141),2)-T141)</f>
        <v>0</v>
      </c>
      <c r="BE141">
        <f>MAX(0,ROUND(BE140*(1+'Calc base'!S141),2)-U141)</f>
        <v>0</v>
      </c>
    </row>
    <row r="142">
      <c r="A142" t="n">
        <v>112</v>
      </c>
      <c r="B142">
        <f>SUMPRODUCT(ROUND($AT141:$BE141*(1+'Calc base'!$H142:$S142),2))</f>
        <v>0</v>
      </c>
      <c r="C142">
        <f>SUM(J142:U142)</f>
        <v>0</v>
      </c>
      <c r="G142">
        <f>SUM(AT142:BE142)</f>
        <v>0</v>
      </c>
      <c r="H142">
        <f>B142-G141</f>
        <v>0</v>
      </c>
      <c r="I142">
        <f>B142-G142</f>
        <v>0</v>
      </c>
      <c r="J142">
        <f>IF(AT141&lt;=0,0,IF(ROUND(AT141*(1+'Calc base'!H142),2)-MAX('Calc base'!C$12,ROUND('Calc base'!C$13*AT141,2))&lt;1,ROUND(AT141*(1+'Calc base'!H142),2),MAX('Calc base'!C$12,ROUND('Calc base'!C$13*AT141,2))))</f>
        <v>0</v>
      </c>
      <c r="K142">
        <f>IF(AU141&lt;=0,0,IF(ROUND(AU141*(1+'Calc base'!I142),2)-MAX('Calc base'!D$12,ROUND('Calc base'!D$13*AU141,2))&lt;1,ROUND(AU141*(1+'Calc base'!I142),2),MAX('Calc base'!D$12,ROUND('Calc base'!D$13*AU141,2))))</f>
        <v>0</v>
      </c>
      <c r="L142">
        <f>IF(AV141&lt;=0,0,IF(ROUND(AV141*(1+'Calc base'!J142),2)-MAX('Calc base'!E$12,ROUND('Calc base'!E$13*AV141,2))&lt;1,ROUND(AV141*(1+'Calc base'!J142),2),MAX('Calc base'!E$12,ROUND('Calc base'!E$13*AV141,2))))</f>
        <v>0</v>
      </c>
      <c r="M142">
        <f>IF(AW141&lt;=0,0,IF(ROUND(AW141*(1+'Calc base'!K142),2)-MAX('Calc base'!F$12,ROUND('Calc base'!F$13*AW141,2))&lt;1,ROUND(AW141*(1+'Calc base'!K142),2),MAX('Calc base'!F$12,ROUND('Calc base'!F$13*AW141,2))))</f>
        <v>0</v>
      </c>
      <c r="N142">
        <f>IF(AX141&lt;=0,0,IF(ROUND(AX141*(1+'Calc base'!L142),2)-MAX('Calc base'!G$12,ROUND('Calc base'!G$13*AX141,2))&lt;1,ROUND(AX141*(1+'Calc base'!L142),2),MAX('Calc base'!G$12,ROUND('Calc base'!G$13*AX141,2))))</f>
        <v>0</v>
      </c>
      <c r="O142">
        <f>IF(AY141&lt;=0,0,IF(ROUND(AY141*(1+'Calc base'!M142),2)-MAX('Calc base'!H$12,ROUND('Calc base'!H$13*AY141,2))&lt;1,ROUND(AY141*(1+'Calc base'!M142),2),MAX('Calc base'!H$12,ROUND('Calc base'!H$13*AY141,2))))</f>
        <v>0</v>
      </c>
      <c r="P142">
        <f>IF(AZ141&lt;=0,0,IF(ROUND(AZ141*(1+'Calc base'!N142),2)-MAX('Calc base'!I$12,ROUND('Calc base'!I$13*AZ141,2))&lt;1,ROUND(AZ141*(1+'Calc base'!N142),2),MAX('Calc base'!I$12,ROUND('Calc base'!I$13*AZ141,2))))</f>
        <v>0</v>
      </c>
      <c r="Q142">
        <f>IF(BA141&lt;=0,0,IF(ROUND(BA141*(1+'Calc base'!O142),2)-MAX('Calc base'!J$12,ROUND('Calc base'!J$13*BA141,2))&lt;1,ROUND(BA141*(1+'Calc base'!O142),2),MAX('Calc base'!J$12,ROUND('Calc base'!J$13*BA141,2))))</f>
        <v>0</v>
      </c>
      <c r="R142">
        <f>IF(BB141&lt;=0,0,IF(ROUND(BB141*(1+'Calc base'!P142),2)-MAX('Calc base'!K$12,ROUND('Calc base'!K$13*BB141,2))&lt;1,ROUND(BB141*(1+'Calc base'!P142),2),MAX('Calc base'!K$12,ROUND('Calc base'!K$13*BB141,2))))</f>
        <v>0</v>
      </c>
      <c r="S142">
        <f>IF(BC141&lt;=0,0,IF(ROUND(BC141*(1+'Calc base'!Q142),2)-MAX('Calc base'!L$12,ROUND('Calc base'!L$13*BC141,2))&lt;1,ROUND(BC141*(1+'Calc base'!Q142),2),MAX('Calc base'!L$12,ROUND('Calc base'!L$13*BC141,2))))</f>
        <v>0</v>
      </c>
      <c r="T142">
        <f>IF(BD141&lt;=0,0,IF(ROUND(BD141*(1+'Calc base'!R142),2)-MAX('Calc base'!M$12,ROUND('Calc base'!M$13*BD141,2))&lt;1,ROUND(BD141*(1+'Calc base'!R142),2),MAX('Calc base'!M$12,ROUND('Calc base'!M$13*BD141,2))))</f>
        <v>0</v>
      </c>
      <c r="U142">
        <f>IF(BE141&lt;=0,0,IF(ROUND(BE141*(1+'Calc base'!S142),2)-MAX('Calc base'!N$12,ROUND('Calc base'!N$13*BE141,2))&lt;1,ROUND(BE141*(1+'Calc base'!S142),2),MAX('Calc base'!N$12,ROUND('Calc base'!N$13*BE141,2))))</f>
        <v>0</v>
      </c>
      <c r="AT142">
        <f>MAX(0,ROUND(AT141*(1+'Calc base'!H142),2)-J142)</f>
        <v>0</v>
      </c>
      <c r="AU142">
        <f>MAX(0,ROUND(AU141*(1+'Calc base'!I142),2)-K142)</f>
        <v>0</v>
      </c>
      <c r="AV142">
        <f>MAX(0,ROUND(AV141*(1+'Calc base'!J142),2)-L142)</f>
        <v>0</v>
      </c>
      <c r="AW142">
        <f>MAX(0,ROUND(AW141*(1+'Calc base'!K142),2)-M142)</f>
        <v>0</v>
      </c>
      <c r="AX142">
        <f>MAX(0,ROUND(AX141*(1+'Calc base'!L142),2)-N142)</f>
        <v>0</v>
      </c>
      <c r="AY142">
        <f>MAX(0,ROUND(AY141*(1+'Calc base'!M142),2)-O142)</f>
        <v>0</v>
      </c>
      <c r="AZ142">
        <f>MAX(0,ROUND(AZ141*(1+'Calc base'!N142),2)-P142)</f>
        <v>0</v>
      </c>
      <c r="BA142">
        <f>MAX(0,ROUND(BA141*(1+'Calc base'!O142),2)-Q142)</f>
        <v>0</v>
      </c>
      <c r="BB142">
        <f>MAX(0,ROUND(BB141*(1+'Calc base'!P142),2)-R142)</f>
        <v>0</v>
      </c>
      <c r="BC142">
        <f>MAX(0,ROUND(BC141*(1+'Calc base'!Q142),2)-S142)</f>
        <v>0</v>
      </c>
      <c r="BD142">
        <f>MAX(0,ROUND(BD141*(1+'Calc base'!R142),2)-T142)</f>
        <v>0</v>
      </c>
      <c r="BE142">
        <f>MAX(0,ROUND(BE141*(1+'Calc base'!S142),2)-U142)</f>
        <v>0</v>
      </c>
    </row>
    <row r="143">
      <c r="A143" t="n">
        <v>113</v>
      </c>
      <c r="B143">
        <f>SUMPRODUCT(ROUND($AT142:$BE142*(1+'Calc base'!$H143:$S143),2))</f>
        <v>0</v>
      </c>
      <c r="C143">
        <f>SUM(J143:U143)</f>
        <v>0</v>
      </c>
      <c r="G143">
        <f>SUM(AT143:BE143)</f>
        <v>0</v>
      </c>
      <c r="H143">
        <f>B143-G142</f>
        <v>0</v>
      </c>
      <c r="I143">
        <f>B143-G143</f>
        <v>0</v>
      </c>
      <c r="J143">
        <f>IF(AT142&lt;=0,0,IF(ROUND(AT142*(1+'Calc base'!H143),2)-MAX('Calc base'!C$12,ROUND('Calc base'!C$13*AT142,2))&lt;1,ROUND(AT142*(1+'Calc base'!H143),2),MAX('Calc base'!C$12,ROUND('Calc base'!C$13*AT142,2))))</f>
        <v>0</v>
      </c>
      <c r="K143">
        <f>IF(AU142&lt;=0,0,IF(ROUND(AU142*(1+'Calc base'!I143),2)-MAX('Calc base'!D$12,ROUND('Calc base'!D$13*AU142,2))&lt;1,ROUND(AU142*(1+'Calc base'!I143),2),MAX('Calc base'!D$12,ROUND('Calc base'!D$13*AU142,2))))</f>
        <v>0</v>
      </c>
      <c r="L143">
        <f>IF(AV142&lt;=0,0,IF(ROUND(AV142*(1+'Calc base'!J143),2)-MAX('Calc base'!E$12,ROUND('Calc base'!E$13*AV142,2))&lt;1,ROUND(AV142*(1+'Calc base'!J143),2),MAX('Calc base'!E$12,ROUND('Calc base'!E$13*AV142,2))))</f>
        <v>0</v>
      </c>
      <c r="M143">
        <f>IF(AW142&lt;=0,0,IF(ROUND(AW142*(1+'Calc base'!K143),2)-MAX('Calc base'!F$12,ROUND('Calc base'!F$13*AW142,2))&lt;1,ROUND(AW142*(1+'Calc base'!K143),2),MAX('Calc base'!F$12,ROUND('Calc base'!F$13*AW142,2))))</f>
        <v>0</v>
      </c>
      <c r="N143">
        <f>IF(AX142&lt;=0,0,IF(ROUND(AX142*(1+'Calc base'!L143),2)-MAX('Calc base'!G$12,ROUND('Calc base'!G$13*AX142,2))&lt;1,ROUND(AX142*(1+'Calc base'!L143),2),MAX('Calc base'!G$12,ROUND('Calc base'!G$13*AX142,2))))</f>
        <v>0</v>
      </c>
      <c r="O143">
        <f>IF(AY142&lt;=0,0,IF(ROUND(AY142*(1+'Calc base'!M143),2)-MAX('Calc base'!H$12,ROUND('Calc base'!H$13*AY142,2))&lt;1,ROUND(AY142*(1+'Calc base'!M143),2),MAX('Calc base'!H$12,ROUND('Calc base'!H$13*AY142,2))))</f>
        <v>0</v>
      </c>
      <c r="P143">
        <f>IF(AZ142&lt;=0,0,IF(ROUND(AZ142*(1+'Calc base'!N143),2)-MAX('Calc base'!I$12,ROUND('Calc base'!I$13*AZ142,2))&lt;1,ROUND(AZ142*(1+'Calc base'!N143),2),MAX('Calc base'!I$12,ROUND('Calc base'!I$13*AZ142,2))))</f>
        <v>0</v>
      </c>
      <c r="Q143">
        <f>IF(BA142&lt;=0,0,IF(ROUND(BA142*(1+'Calc base'!O143),2)-MAX('Calc base'!J$12,ROUND('Calc base'!J$13*BA142,2))&lt;1,ROUND(BA142*(1+'Calc base'!O143),2),MAX('Calc base'!J$12,ROUND('Calc base'!J$13*BA142,2))))</f>
        <v>0</v>
      </c>
      <c r="R143">
        <f>IF(BB142&lt;=0,0,IF(ROUND(BB142*(1+'Calc base'!P143),2)-MAX('Calc base'!K$12,ROUND('Calc base'!K$13*BB142,2))&lt;1,ROUND(BB142*(1+'Calc base'!P143),2),MAX('Calc base'!K$12,ROUND('Calc base'!K$13*BB142,2))))</f>
        <v>0</v>
      </c>
      <c r="S143">
        <f>IF(BC142&lt;=0,0,IF(ROUND(BC142*(1+'Calc base'!Q143),2)-MAX('Calc base'!L$12,ROUND('Calc base'!L$13*BC142,2))&lt;1,ROUND(BC142*(1+'Calc base'!Q143),2),MAX('Calc base'!L$12,ROUND('Calc base'!L$13*BC142,2))))</f>
        <v>0</v>
      </c>
      <c r="T143">
        <f>IF(BD142&lt;=0,0,IF(ROUND(BD142*(1+'Calc base'!R143),2)-MAX('Calc base'!M$12,ROUND('Calc base'!M$13*BD142,2))&lt;1,ROUND(BD142*(1+'Calc base'!R143),2),MAX('Calc base'!M$12,ROUND('Calc base'!M$13*BD142,2))))</f>
        <v>0</v>
      </c>
      <c r="U143">
        <f>IF(BE142&lt;=0,0,IF(ROUND(BE142*(1+'Calc base'!S143),2)-MAX('Calc base'!N$12,ROUND('Calc base'!N$13*BE142,2))&lt;1,ROUND(BE142*(1+'Calc base'!S143),2),MAX('Calc base'!N$12,ROUND('Calc base'!N$13*BE142,2))))</f>
        <v>0</v>
      </c>
      <c r="AT143">
        <f>MAX(0,ROUND(AT142*(1+'Calc base'!H143),2)-J143)</f>
        <v>0</v>
      </c>
      <c r="AU143">
        <f>MAX(0,ROUND(AU142*(1+'Calc base'!I143),2)-K143)</f>
        <v>0</v>
      </c>
      <c r="AV143">
        <f>MAX(0,ROUND(AV142*(1+'Calc base'!J143),2)-L143)</f>
        <v>0</v>
      </c>
      <c r="AW143">
        <f>MAX(0,ROUND(AW142*(1+'Calc base'!K143),2)-M143)</f>
        <v>0</v>
      </c>
      <c r="AX143">
        <f>MAX(0,ROUND(AX142*(1+'Calc base'!L143),2)-N143)</f>
        <v>0</v>
      </c>
      <c r="AY143">
        <f>MAX(0,ROUND(AY142*(1+'Calc base'!M143),2)-O143)</f>
        <v>0</v>
      </c>
      <c r="AZ143">
        <f>MAX(0,ROUND(AZ142*(1+'Calc base'!N143),2)-P143)</f>
        <v>0</v>
      </c>
      <c r="BA143">
        <f>MAX(0,ROUND(BA142*(1+'Calc base'!O143),2)-Q143)</f>
        <v>0</v>
      </c>
      <c r="BB143">
        <f>MAX(0,ROUND(BB142*(1+'Calc base'!P143),2)-R143)</f>
        <v>0</v>
      </c>
      <c r="BC143">
        <f>MAX(0,ROUND(BC142*(1+'Calc base'!Q143),2)-S143)</f>
        <v>0</v>
      </c>
      <c r="BD143">
        <f>MAX(0,ROUND(BD142*(1+'Calc base'!R143),2)-T143)</f>
        <v>0</v>
      </c>
      <c r="BE143">
        <f>MAX(0,ROUND(BE142*(1+'Calc base'!S143),2)-U143)</f>
        <v>0</v>
      </c>
    </row>
    <row r="144">
      <c r="A144" t="n">
        <v>114</v>
      </c>
      <c r="B144">
        <f>SUMPRODUCT(ROUND($AT143:$BE143*(1+'Calc base'!$H144:$S144),2))</f>
        <v>0</v>
      </c>
      <c r="C144">
        <f>SUM(J144:U144)</f>
        <v>0</v>
      </c>
      <c r="G144">
        <f>SUM(AT144:BE144)</f>
        <v>0</v>
      </c>
      <c r="H144">
        <f>B144-G143</f>
        <v>0</v>
      </c>
      <c r="I144">
        <f>B144-G144</f>
        <v>0</v>
      </c>
      <c r="J144">
        <f>IF(AT143&lt;=0,0,IF(ROUND(AT143*(1+'Calc base'!H144),2)-MAX('Calc base'!C$12,ROUND('Calc base'!C$13*AT143,2))&lt;1,ROUND(AT143*(1+'Calc base'!H144),2),MAX('Calc base'!C$12,ROUND('Calc base'!C$13*AT143,2))))</f>
        <v>0</v>
      </c>
      <c r="K144">
        <f>IF(AU143&lt;=0,0,IF(ROUND(AU143*(1+'Calc base'!I144),2)-MAX('Calc base'!D$12,ROUND('Calc base'!D$13*AU143,2))&lt;1,ROUND(AU143*(1+'Calc base'!I144),2),MAX('Calc base'!D$12,ROUND('Calc base'!D$13*AU143,2))))</f>
        <v>0</v>
      </c>
      <c r="L144">
        <f>IF(AV143&lt;=0,0,IF(ROUND(AV143*(1+'Calc base'!J144),2)-MAX('Calc base'!E$12,ROUND('Calc base'!E$13*AV143,2))&lt;1,ROUND(AV143*(1+'Calc base'!J144),2),MAX('Calc base'!E$12,ROUND('Calc base'!E$13*AV143,2))))</f>
        <v>0</v>
      </c>
      <c r="M144">
        <f>IF(AW143&lt;=0,0,IF(ROUND(AW143*(1+'Calc base'!K144),2)-MAX('Calc base'!F$12,ROUND('Calc base'!F$13*AW143,2))&lt;1,ROUND(AW143*(1+'Calc base'!K144),2),MAX('Calc base'!F$12,ROUND('Calc base'!F$13*AW143,2))))</f>
        <v>0</v>
      </c>
      <c r="N144">
        <f>IF(AX143&lt;=0,0,IF(ROUND(AX143*(1+'Calc base'!L144),2)-MAX('Calc base'!G$12,ROUND('Calc base'!G$13*AX143,2))&lt;1,ROUND(AX143*(1+'Calc base'!L144),2),MAX('Calc base'!G$12,ROUND('Calc base'!G$13*AX143,2))))</f>
        <v>0</v>
      </c>
      <c r="O144">
        <f>IF(AY143&lt;=0,0,IF(ROUND(AY143*(1+'Calc base'!M144),2)-MAX('Calc base'!H$12,ROUND('Calc base'!H$13*AY143,2))&lt;1,ROUND(AY143*(1+'Calc base'!M144),2),MAX('Calc base'!H$12,ROUND('Calc base'!H$13*AY143,2))))</f>
        <v>0</v>
      </c>
      <c r="P144">
        <f>IF(AZ143&lt;=0,0,IF(ROUND(AZ143*(1+'Calc base'!N144),2)-MAX('Calc base'!I$12,ROUND('Calc base'!I$13*AZ143,2))&lt;1,ROUND(AZ143*(1+'Calc base'!N144),2),MAX('Calc base'!I$12,ROUND('Calc base'!I$13*AZ143,2))))</f>
        <v>0</v>
      </c>
      <c r="Q144">
        <f>IF(BA143&lt;=0,0,IF(ROUND(BA143*(1+'Calc base'!O144),2)-MAX('Calc base'!J$12,ROUND('Calc base'!J$13*BA143,2))&lt;1,ROUND(BA143*(1+'Calc base'!O144),2),MAX('Calc base'!J$12,ROUND('Calc base'!J$13*BA143,2))))</f>
        <v>0</v>
      </c>
      <c r="R144">
        <f>IF(BB143&lt;=0,0,IF(ROUND(BB143*(1+'Calc base'!P144),2)-MAX('Calc base'!K$12,ROUND('Calc base'!K$13*BB143,2))&lt;1,ROUND(BB143*(1+'Calc base'!P144),2),MAX('Calc base'!K$12,ROUND('Calc base'!K$13*BB143,2))))</f>
        <v>0</v>
      </c>
      <c r="S144">
        <f>IF(BC143&lt;=0,0,IF(ROUND(BC143*(1+'Calc base'!Q144),2)-MAX('Calc base'!L$12,ROUND('Calc base'!L$13*BC143,2))&lt;1,ROUND(BC143*(1+'Calc base'!Q144),2),MAX('Calc base'!L$12,ROUND('Calc base'!L$13*BC143,2))))</f>
        <v>0</v>
      </c>
      <c r="T144">
        <f>IF(BD143&lt;=0,0,IF(ROUND(BD143*(1+'Calc base'!R144),2)-MAX('Calc base'!M$12,ROUND('Calc base'!M$13*BD143,2))&lt;1,ROUND(BD143*(1+'Calc base'!R144),2),MAX('Calc base'!M$12,ROUND('Calc base'!M$13*BD143,2))))</f>
        <v>0</v>
      </c>
      <c r="U144">
        <f>IF(BE143&lt;=0,0,IF(ROUND(BE143*(1+'Calc base'!S144),2)-MAX('Calc base'!N$12,ROUND('Calc base'!N$13*BE143,2))&lt;1,ROUND(BE143*(1+'Calc base'!S144),2),MAX('Calc base'!N$12,ROUND('Calc base'!N$13*BE143,2))))</f>
        <v>0</v>
      </c>
      <c r="AT144">
        <f>MAX(0,ROUND(AT143*(1+'Calc base'!H144),2)-J144)</f>
        <v>0</v>
      </c>
      <c r="AU144">
        <f>MAX(0,ROUND(AU143*(1+'Calc base'!I144),2)-K144)</f>
        <v>0</v>
      </c>
      <c r="AV144">
        <f>MAX(0,ROUND(AV143*(1+'Calc base'!J144),2)-L144)</f>
        <v>0</v>
      </c>
      <c r="AW144">
        <f>MAX(0,ROUND(AW143*(1+'Calc base'!K144),2)-M144)</f>
        <v>0</v>
      </c>
      <c r="AX144">
        <f>MAX(0,ROUND(AX143*(1+'Calc base'!L144),2)-N144)</f>
        <v>0</v>
      </c>
      <c r="AY144">
        <f>MAX(0,ROUND(AY143*(1+'Calc base'!M144),2)-O144)</f>
        <v>0</v>
      </c>
      <c r="AZ144">
        <f>MAX(0,ROUND(AZ143*(1+'Calc base'!N144),2)-P144)</f>
        <v>0</v>
      </c>
      <c r="BA144">
        <f>MAX(0,ROUND(BA143*(1+'Calc base'!O144),2)-Q144)</f>
        <v>0</v>
      </c>
      <c r="BB144">
        <f>MAX(0,ROUND(BB143*(1+'Calc base'!P144),2)-R144)</f>
        <v>0</v>
      </c>
      <c r="BC144">
        <f>MAX(0,ROUND(BC143*(1+'Calc base'!Q144),2)-S144)</f>
        <v>0</v>
      </c>
      <c r="BD144">
        <f>MAX(0,ROUND(BD143*(1+'Calc base'!R144),2)-T144)</f>
        <v>0</v>
      </c>
      <c r="BE144">
        <f>MAX(0,ROUND(BE143*(1+'Calc base'!S144),2)-U144)</f>
        <v>0</v>
      </c>
    </row>
    <row r="145">
      <c r="A145" t="n">
        <v>115</v>
      </c>
      <c r="B145">
        <f>SUMPRODUCT(ROUND($AT144:$BE144*(1+'Calc base'!$H145:$S145),2))</f>
        <v>0</v>
      </c>
      <c r="C145">
        <f>SUM(J145:U145)</f>
        <v>0</v>
      </c>
      <c r="G145">
        <f>SUM(AT145:BE145)</f>
        <v>0</v>
      </c>
      <c r="H145">
        <f>B145-G144</f>
        <v>0</v>
      </c>
      <c r="I145">
        <f>B145-G145</f>
        <v>0</v>
      </c>
      <c r="J145">
        <f>IF(AT144&lt;=0,0,IF(ROUND(AT144*(1+'Calc base'!H145),2)-MAX('Calc base'!C$12,ROUND('Calc base'!C$13*AT144,2))&lt;1,ROUND(AT144*(1+'Calc base'!H145),2),MAX('Calc base'!C$12,ROUND('Calc base'!C$13*AT144,2))))</f>
        <v>0</v>
      </c>
      <c r="K145">
        <f>IF(AU144&lt;=0,0,IF(ROUND(AU144*(1+'Calc base'!I145),2)-MAX('Calc base'!D$12,ROUND('Calc base'!D$13*AU144,2))&lt;1,ROUND(AU144*(1+'Calc base'!I145),2),MAX('Calc base'!D$12,ROUND('Calc base'!D$13*AU144,2))))</f>
        <v>0</v>
      </c>
      <c r="L145">
        <f>IF(AV144&lt;=0,0,IF(ROUND(AV144*(1+'Calc base'!J145),2)-MAX('Calc base'!E$12,ROUND('Calc base'!E$13*AV144,2))&lt;1,ROUND(AV144*(1+'Calc base'!J145),2),MAX('Calc base'!E$12,ROUND('Calc base'!E$13*AV144,2))))</f>
        <v>0</v>
      </c>
      <c r="M145">
        <f>IF(AW144&lt;=0,0,IF(ROUND(AW144*(1+'Calc base'!K145),2)-MAX('Calc base'!F$12,ROUND('Calc base'!F$13*AW144,2))&lt;1,ROUND(AW144*(1+'Calc base'!K145),2),MAX('Calc base'!F$12,ROUND('Calc base'!F$13*AW144,2))))</f>
        <v>0</v>
      </c>
      <c r="N145">
        <f>IF(AX144&lt;=0,0,IF(ROUND(AX144*(1+'Calc base'!L145),2)-MAX('Calc base'!G$12,ROUND('Calc base'!G$13*AX144,2))&lt;1,ROUND(AX144*(1+'Calc base'!L145),2),MAX('Calc base'!G$12,ROUND('Calc base'!G$13*AX144,2))))</f>
        <v>0</v>
      </c>
      <c r="O145">
        <f>IF(AY144&lt;=0,0,IF(ROUND(AY144*(1+'Calc base'!M145),2)-MAX('Calc base'!H$12,ROUND('Calc base'!H$13*AY144,2))&lt;1,ROUND(AY144*(1+'Calc base'!M145),2),MAX('Calc base'!H$12,ROUND('Calc base'!H$13*AY144,2))))</f>
        <v>0</v>
      </c>
      <c r="P145">
        <f>IF(AZ144&lt;=0,0,IF(ROUND(AZ144*(1+'Calc base'!N145),2)-MAX('Calc base'!I$12,ROUND('Calc base'!I$13*AZ144,2))&lt;1,ROUND(AZ144*(1+'Calc base'!N145),2),MAX('Calc base'!I$12,ROUND('Calc base'!I$13*AZ144,2))))</f>
        <v>0</v>
      </c>
      <c r="Q145">
        <f>IF(BA144&lt;=0,0,IF(ROUND(BA144*(1+'Calc base'!O145),2)-MAX('Calc base'!J$12,ROUND('Calc base'!J$13*BA144,2))&lt;1,ROUND(BA144*(1+'Calc base'!O145),2),MAX('Calc base'!J$12,ROUND('Calc base'!J$13*BA144,2))))</f>
        <v>0</v>
      </c>
      <c r="R145">
        <f>IF(BB144&lt;=0,0,IF(ROUND(BB144*(1+'Calc base'!P145),2)-MAX('Calc base'!K$12,ROUND('Calc base'!K$13*BB144,2))&lt;1,ROUND(BB144*(1+'Calc base'!P145),2),MAX('Calc base'!K$12,ROUND('Calc base'!K$13*BB144,2))))</f>
        <v>0</v>
      </c>
      <c r="S145">
        <f>IF(BC144&lt;=0,0,IF(ROUND(BC144*(1+'Calc base'!Q145),2)-MAX('Calc base'!L$12,ROUND('Calc base'!L$13*BC144,2))&lt;1,ROUND(BC144*(1+'Calc base'!Q145),2),MAX('Calc base'!L$12,ROUND('Calc base'!L$13*BC144,2))))</f>
        <v>0</v>
      </c>
      <c r="T145">
        <f>IF(BD144&lt;=0,0,IF(ROUND(BD144*(1+'Calc base'!R145),2)-MAX('Calc base'!M$12,ROUND('Calc base'!M$13*BD144,2))&lt;1,ROUND(BD144*(1+'Calc base'!R145),2),MAX('Calc base'!M$12,ROUND('Calc base'!M$13*BD144,2))))</f>
        <v>0</v>
      </c>
      <c r="U145">
        <f>IF(BE144&lt;=0,0,IF(ROUND(BE144*(1+'Calc base'!S145),2)-MAX('Calc base'!N$12,ROUND('Calc base'!N$13*BE144,2))&lt;1,ROUND(BE144*(1+'Calc base'!S145),2),MAX('Calc base'!N$12,ROUND('Calc base'!N$13*BE144,2))))</f>
        <v>0</v>
      </c>
      <c r="AT145">
        <f>MAX(0,ROUND(AT144*(1+'Calc base'!H145),2)-J145)</f>
        <v>0</v>
      </c>
      <c r="AU145">
        <f>MAX(0,ROUND(AU144*(1+'Calc base'!I145),2)-K145)</f>
        <v>0</v>
      </c>
      <c r="AV145">
        <f>MAX(0,ROUND(AV144*(1+'Calc base'!J145),2)-L145)</f>
        <v>0</v>
      </c>
      <c r="AW145">
        <f>MAX(0,ROUND(AW144*(1+'Calc base'!K145),2)-M145)</f>
        <v>0</v>
      </c>
      <c r="AX145">
        <f>MAX(0,ROUND(AX144*(1+'Calc base'!L145),2)-N145)</f>
        <v>0</v>
      </c>
      <c r="AY145">
        <f>MAX(0,ROUND(AY144*(1+'Calc base'!M145),2)-O145)</f>
        <v>0</v>
      </c>
      <c r="AZ145">
        <f>MAX(0,ROUND(AZ144*(1+'Calc base'!N145),2)-P145)</f>
        <v>0</v>
      </c>
      <c r="BA145">
        <f>MAX(0,ROUND(BA144*(1+'Calc base'!O145),2)-Q145)</f>
        <v>0</v>
      </c>
      <c r="BB145">
        <f>MAX(0,ROUND(BB144*(1+'Calc base'!P145),2)-R145)</f>
        <v>0</v>
      </c>
      <c r="BC145">
        <f>MAX(0,ROUND(BC144*(1+'Calc base'!Q145),2)-S145)</f>
        <v>0</v>
      </c>
      <c r="BD145">
        <f>MAX(0,ROUND(BD144*(1+'Calc base'!R145),2)-T145)</f>
        <v>0</v>
      </c>
      <c r="BE145">
        <f>MAX(0,ROUND(BE144*(1+'Calc base'!S145),2)-U145)</f>
        <v>0</v>
      </c>
    </row>
    <row r="146">
      <c r="A146" t="n">
        <v>116</v>
      </c>
      <c r="B146">
        <f>SUMPRODUCT(ROUND($AT145:$BE145*(1+'Calc base'!$H146:$S146),2))</f>
        <v>0</v>
      </c>
      <c r="C146">
        <f>SUM(J146:U146)</f>
        <v>0</v>
      </c>
      <c r="G146">
        <f>SUM(AT146:BE146)</f>
        <v>0</v>
      </c>
      <c r="H146">
        <f>B146-G145</f>
        <v>0</v>
      </c>
      <c r="I146">
        <f>B146-G146</f>
        <v>0</v>
      </c>
      <c r="J146">
        <f>IF(AT145&lt;=0,0,IF(ROUND(AT145*(1+'Calc base'!H146),2)-MAX('Calc base'!C$12,ROUND('Calc base'!C$13*AT145,2))&lt;1,ROUND(AT145*(1+'Calc base'!H146),2),MAX('Calc base'!C$12,ROUND('Calc base'!C$13*AT145,2))))</f>
        <v>0</v>
      </c>
      <c r="K146">
        <f>IF(AU145&lt;=0,0,IF(ROUND(AU145*(1+'Calc base'!I146),2)-MAX('Calc base'!D$12,ROUND('Calc base'!D$13*AU145,2))&lt;1,ROUND(AU145*(1+'Calc base'!I146),2),MAX('Calc base'!D$12,ROUND('Calc base'!D$13*AU145,2))))</f>
        <v>0</v>
      </c>
      <c r="L146">
        <f>IF(AV145&lt;=0,0,IF(ROUND(AV145*(1+'Calc base'!J146),2)-MAX('Calc base'!E$12,ROUND('Calc base'!E$13*AV145,2))&lt;1,ROUND(AV145*(1+'Calc base'!J146),2),MAX('Calc base'!E$12,ROUND('Calc base'!E$13*AV145,2))))</f>
        <v>0</v>
      </c>
      <c r="M146">
        <f>IF(AW145&lt;=0,0,IF(ROUND(AW145*(1+'Calc base'!K146),2)-MAX('Calc base'!F$12,ROUND('Calc base'!F$13*AW145,2))&lt;1,ROUND(AW145*(1+'Calc base'!K146),2),MAX('Calc base'!F$12,ROUND('Calc base'!F$13*AW145,2))))</f>
        <v>0</v>
      </c>
      <c r="N146">
        <f>IF(AX145&lt;=0,0,IF(ROUND(AX145*(1+'Calc base'!L146),2)-MAX('Calc base'!G$12,ROUND('Calc base'!G$13*AX145,2))&lt;1,ROUND(AX145*(1+'Calc base'!L146),2),MAX('Calc base'!G$12,ROUND('Calc base'!G$13*AX145,2))))</f>
        <v>0</v>
      </c>
      <c r="O146">
        <f>IF(AY145&lt;=0,0,IF(ROUND(AY145*(1+'Calc base'!M146),2)-MAX('Calc base'!H$12,ROUND('Calc base'!H$13*AY145,2))&lt;1,ROUND(AY145*(1+'Calc base'!M146),2),MAX('Calc base'!H$12,ROUND('Calc base'!H$13*AY145,2))))</f>
        <v>0</v>
      </c>
      <c r="P146">
        <f>IF(AZ145&lt;=0,0,IF(ROUND(AZ145*(1+'Calc base'!N146),2)-MAX('Calc base'!I$12,ROUND('Calc base'!I$13*AZ145,2))&lt;1,ROUND(AZ145*(1+'Calc base'!N146),2),MAX('Calc base'!I$12,ROUND('Calc base'!I$13*AZ145,2))))</f>
        <v>0</v>
      </c>
      <c r="Q146">
        <f>IF(BA145&lt;=0,0,IF(ROUND(BA145*(1+'Calc base'!O146),2)-MAX('Calc base'!J$12,ROUND('Calc base'!J$13*BA145,2))&lt;1,ROUND(BA145*(1+'Calc base'!O146),2),MAX('Calc base'!J$12,ROUND('Calc base'!J$13*BA145,2))))</f>
        <v>0</v>
      </c>
      <c r="R146">
        <f>IF(BB145&lt;=0,0,IF(ROUND(BB145*(1+'Calc base'!P146),2)-MAX('Calc base'!K$12,ROUND('Calc base'!K$13*BB145,2))&lt;1,ROUND(BB145*(1+'Calc base'!P146),2),MAX('Calc base'!K$12,ROUND('Calc base'!K$13*BB145,2))))</f>
        <v>0</v>
      </c>
      <c r="S146">
        <f>IF(BC145&lt;=0,0,IF(ROUND(BC145*(1+'Calc base'!Q146),2)-MAX('Calc base'!L$12,ROUND('Calc base'!L$13*BC145,2))&lt;1,ROUND(BC145*(1+'Calc base'!Q146),2),MAX('Calc base'!L$12,ROUND('Calc base'!L$13*BC145,2))))</f>
        <v>0</v>
      </c>
      <c r="T146">
        <f>IF(BD145&lt;=0,0,IF(ROUND(BD145*(1+'Calc base'!R146),2)-MAX('Calc base'!M$12,ROUND('Calc base'!M$13*BD145,2))&lt;1,ROUND(BD145*(1+'Calc base'!R146),2),MAX('Calc base'!M$12,ROUND('Calc base'!M$13*BD145,2))))</f>
        <v>0</v>
      </c>
      <c r="U146">
        <f>IF(BE145&lt;=0,0,IF(ROUND(BE145*(1+'Calc base'!S146),2)-MAX('Calc base'!N$12,ROUND('Calc base'!N$13*BE145,2))&lt;1,ROUND(BE145*(1+'Calc base'!S146),2),MAX('Calc base'!N$12,ROUND('Calc base'!N$13*BE145,2))))</f>
        <v>0</v>
      </c>
      <c r="AT146">
        <f>MAX(0,ROUND(AT145*(1+'Calc base'!H146),2)-J146)</f>
        <v>0</v>
      </c>
      <c r="AU146">
        <f>MAX(0,ROUND(AU145*(1+'Calc base'!I146),2)-K146)</f>
        <v>0</v>
      </c>
      <c r="AV146">
        <f>MAX(0,ROUND(AV145*(1+'Calc base'!J146),2)-L146)</f>
        <v>0</v>
      </c>
      <c r="AW146">
        <f>MAX(0,ROUND(AW145*(1+'Calc base'!K146),2)-M146)</f>
        <v>0</v>
      </c>
      <c r="AX146">
        <f>MAX(0,ROUND(AX145*(1+'Calc base'!L146),2)-N146)</f>
        <v>0</v>
      </c>
      <c r="AY146">
        <f>MAX(0,ROUND(AY145*(1+'Calc base'!M146),2)-O146)</f>
        <v>0</v>
      </c>
      <c r="AZ146">
        <f>MAX(0,ROUND(AZ145*(1+'Calc base'!N146),2)-P146)</f>
        <v>0</v>
      </c>
      <c r="BA146">
        <f>MAX(0,ROUND(BA145*(1+'Calc base'!O146),2)-Q146)</f>
        <v>0</v>
      </c>
      <c r="BB146">
        <f>MAX(0,ROUND(BB145*(1+'Calc base'!P146),2)-R146)</f>
        <v>0</v>
      </c>
      <c r="BC146">
        <f>MAX(0,ROUND(BC145*(1+'Calc base'!Q146),2)-S146)</f>
        <v>0</v>
      </c>
      <c r="BD146">
        <f>MAX(0,ROUND(BD145*(1+'Calc base'!R146),2)-T146)</f>
        <v>0</v>
      </c>
      <c r="BE146">
        <f>MAX(0,ROUND(BE145*(1+'Calc base'!S146),2)-U146)</f>
        <v>0</v>
      </c>
    </row>
    <row r="147">
      <c r="A147" t="n">
        <v>117</v>
      </c>
      <c r="B147">
        <f>SUMPRODUCT(ROUND($AT146:$BE146*(1+'Calc base'!$H147:$S147),2))</f>
        <v>0</v>
      </c>
      <c r="C147">
        <f>SUM(J147:U147)</f>
        <v>0</v>
      </c>
      <c r="G147">
        <f>SUM(AT147:BE147)</f>
        <v>0</v>
      </c>
      <c r="H147">
        <f>B147-G146</f>
        <v>0</v>
      </c>
      <c r="I147">
        <f>B147-G147</f>
        <v>0</v>
      </c>
      <c r="J147">
        <f>IF(AT146&lt;=0,0,IF(ROUND(AT146*(1+'Calc base'!H147),2)-MAX('Calc base'!C$12,ROUND('Calc base'!C$13*AT146,2))&lt;1,ROUND(AT146*(1+'Calc base'!H147),2),MAX('Calc base'!C$12,ROUND('Calc base'!C$13*AT146,2))))</f>
        <v>0</v>
      </c>
      <c r="K147">
        <f>IF(AU146&lt;=0,0,IF(ROUND(AU146*(1+'Calc base'!I147),2)-MAX('Calc base'!D$12,ROUND('Calc base'!D$13*AU146,2))&lt;1,ROUND(AU146*(1+'Calc base'!I147),2),MAX('Calc base'!D$12,ROUND('Calc base'!D$13*AU146,2))))</f>
        <v>0</v>
      </c>
      <c r="L147">
        <f>IF(AV146&lt;=0,0,IF(ROUND(AV146*(1+'Calc base'!J147),2)-MAX('Calc base'!E$12,ROUND('Calc base'!E$13*AV146,2))&lt;1,ROUND(AV146*(1+'Calc base'!J147),2),MAX('Calc base'!E$12,ROUND('Calc base'!E$13*AV146,2))))</f>
        <v>0</v>
      </c>
      <c r="M147">
        <f>IF(AW146&lt;=0,0,IF(ROUND(AW146*(1+'Calc base'!K147),2)-MAX('Calc base'!F$12,ROUND('Calc base'!F$13*AW146,2))&lt;1,ROUND(AW146*(1+'Calc base'!K147),2),MAX('Calc base'!F$12,ROUND('Calc base'!F$13*AW146,2))))</f>
        <v>0</v>
      </c>
      <c r="N147">
        <f>IF(AX146&lt;=0,0,IF(ROUND(AX146*(1+'Calc base'!L147),2)-MAX('Calc base'!G$12,ROUND('Calc base'!G$13*AX146,2))&lt;1,ROUND(AX146*(1+'Calc base'!L147),2),MAX('Calc base'!G$12,ROUND('Calc base'!G$13*AX146,2))))</f>
        <v>0</v>
      </c>
      <c r="O147">
        <f>IF(AY146&lt;=0,0,IF(ROUND(AY146*(1+'Calc base'!M147),2)-MAX('Calc base'!H$12,ROUND('Calc base'!H$13*AY146,2))&lt;1,ROUND(AY146*(1+'Calc base'!M147),2),MAX('Calc base'!H$12,ROUND('Calc base'!H$13*AY146,2))))</f>
        <v>0</v>
      </c>
      <c r="P147">
        <f>IF(AZ146&lt;=0,0,IF(ROUND(AZ146*(1+'Calc base'!N147),2)-MAX('Calc base'!I$12,ROUND('Calc base'!I$13*AZ146,2))&lt;1,ROUND(AZ146*(1+'Calc base'!N147),2),MAX('Calc base'!I$12,ROUND('Calc base'!I$13*AZ146,2))))</f>
        <v>0</v>
      </c>
      <c r="Q147">
        <f>IF(BA146&lt;=0,0,IF(ROUND(BA146*(1+'Calc base'!O147),2)-MAX('Calc base'!J$12,ROUND('Calc base'!J$13*BA146,2))&lt;1,ROUND(BA146*(1+'Calc base'!O147),2),MAX('Calc base'!J$12,ROUND('Calc base'!J$13*BA146,2))))</f>
        <v>0</v>
      </c>
      <c r="R147">
        <f>IF(BB146&lt;=0,0,IF(ROUND(BB146*(1+'Calc base'!P147),2)-MAX('Calc base'!K$12,ROUND('Calc base'!K$13*BB146,2))&lt;1,ROUND(BB146*(1+'Calc base'!P147),2),MAX('Calc base'!K$12,ROUND('Calc base'!K$13*BB146,2))))</f>
        <v>0</v>
      </c>
      <c r="S147">
        <f>IF(BC146&lt;=0,0,IF(ROUND(BC146*(1+'Calc base'!Q147),2)-MAX('Calc base'!L$12,ROUND('Calc base'!L$13*BC146,2))&lt;1,ROUND(BC146*(1+'Calc base'!Q147),2),MAX('Calc base'!L$12,ROUND('Calc base'!L$13*BC146,2))))</f>
        <v>0</v>
      </c>
      <c r="T147">
        <f>IF(BD146&lt;=0,0,IF(ROUND(BD146*(1+'Calc base'!R147),2)-MAX('Calc base'!M$12,ROUND('Calc base'!M$13*BD146,2))&lt;1,ROUND(BD146*(1+'Calc base'!R147),2),MAX('Calc base'!M$12,ROUND('Calc base'!M$13*BD146,2))))</f>
        <v>0</v>
      </c>
      <c r="U147">
        <f>IF(BE146&lt;=0,0,IF(ROUND(BE146*(1+'Calc base'!S147),2)-MAX('Calc base'!N$12,ROUND('Calc base'!N$13*BE146,2))&lt;1,ROUND(BE146*(1+'Calc base'!S147),2),MAX('Calc base'!N$12,ROUND('Calc base'!N$13*BE146,2))))</f>
        <v>0</v>
      </c>
      <c r="AT147">
        <f>MAX(0,ROUND(AT146*(1+'Calc base'!H147),2)-J147)</f>
        <v>0</v>
      </c>
      <c r="AU147">
        <f>MAX(0,ROUND(AU146*(1+'Calc base'!I147),2)-K147)</f>
        <v>0</v>
      </c>
      <c r="AV147">
        <f>MAX(0,ROUND(AV146*(1+'Calc base'!J147),2)-L147)</f>
        <v>0</v>
      </c>
      <c r="AW147">
        <f>MAX(0,ROUND(AW146*(1+'Calc base'!K147),2)-M147)</f>
        <v>0</v>
      </c>
      <c r="AX147">
        <f>MAX(0,ROUND(AX146*(1+'Calc base'!L147),2)-N147)</f>
        <v>0</v>
      </c>
      <c r="AY147">
        <f>MAX(0,ROUND(AY146*(1+'Calc base'!M147),2)-O147)</f>
        <v>0</v>
      </c>
      <c r="AZ147">
        <f>MAX(0,ROUND(AZ146*(1+'Calc base'!N147),2)-P147)</f>
        <v>0</v>
      </c>
      <c r="BA147">
        <f>MAX(0,ROUND(BA146*(1+'Calc base'!O147),2)-Q147)</f>
        <v>0</v>
      </c>
      <c r="BB147">
        <f>MAX(0,ROUND(BB146*(1+'Calc base'!P147),2)-R147)</f>
        <v>0</v>
      </c>
      <c r="BC147">
        <f>MAX(0,ROUND(BC146*(1+'Calc base'!Q147),2)-S147)</f>
        <v>0</v>
      </c>
      <c r="BD147">
        <f>MAX(0,ROUND(BD146*(1+'Calc base'!R147),2)-T147)</f>
        <v>0</v>
      </c>
      <c r="BE147">
        <f>MAX(0,ROUND(BE146*(1+'Calc base'!S147),2)-U147)</f>
        <v>0</v>
      </c>
    </row>
    <row r="148">
      <c r="A148" t="n">
        <v>118</v>
      </c>
      <c r="B148">
        <f>SUMPRODUCT(ROUND($AT147:$BE147*(1+'Calc base'!$H148:$S148),2))</f>
        <v>0</v>
      </c>
      <c r="C148">
        <f>SUM(J148:U148)</f>
        <v>0</v>
      </c>
      <c r="G148">
        <f>SUM(AT148:BE148)</f>
        <v>0</v>
      </c>
      <c r="H148">
        <f>B148-G147</f>
        <v>0</v>
      </c>
      <c r="I148">
        <f>B148-G148</f>
        <v>0</v>
      </c>
      <c r="J148">
        <f>IF(AT147&lt;=0,0,IF(ROUND(AT147*(1+'Calc base'!H148),2)-MAX('Calc base'!C$12,ROUND('Calc base'!C$13*AT147,2))&lt;1,ROUND(AT147*(1+'Calc base'!H148),2),MAX('Calc base'!C$12,ROUND('Calc base'!C$13*AT147,2))))</f>
        <v>0</v>
      </c>
      <c r="K148">
        <f>IF(AU147&lt;=0,0,IF(ROUND(AU147*(1+'Calc base'!I148),2)-MAX('Calc base'!D$12,ROUND('Calc base'!D$13*AU147,2))&lt;1,ROUND(AU147*(1+'Calc base'!I148),2),MAX('Calc base'!D$12,ROUND('Calc base'!D$13*AU147,2))))</f>
        <v>0</v>
      </c>
      <c r="L148">
        <f>IF(AV147&lt;=0,0,IF(ROUND(AV147*(1+'Calc base'!J148),2)-MAX('Calc base'!E$12,ROUND('Calc base'!E$13*AV147,2))&lt;1,ROUND(AV147*(1+'Calc base'!J148),2),MAX('Calc base'!E$12,ROUND('Calc base'!E$13*AV147,2))))</f>
        <v>0</v>
      </c>
      <c r="M148">
        <f>IF(AW147&lt;=0,0,IF(ROUND(AW147*(1+'Calc base'!K148),2)-MAX('Calc base'!F$12,ROUND('Calc base'!F$13*AW147,2))&lt;1,ROUND(AW147*(1+'Calc base'!K148),2),MAX('Calc base'!F$12,ROUND('Calc base'!F$13*AW147,2))))</f>
        <v>0</v>
      </c>
      <c r="N148">
        <f>IF(AX147&lt;=0,0,IF(ROUND(AX147*(1+'Calc base'!L148),2)-MAX('Calc base'!G$12,ROUND('Calc base'!G$13*AX147,2))&lt;1,ROUND(AX147*(1+'Calc base'!L148),2),MAX('Calc base'!G$12,ROUND('Calc base'!G$13*AX147,2))))</f>
        <v>0</v>
      </c>
      <c r="O148">
        <f>IF(AY147&lt;=0,0,IF(ROUND(AY147*(1+'Calc base'!M148),2)-MAX('Calc base'!H$12,ROUND('Calc base'!H$13*AY147,2))&lt;1,ROUND(AY147*(1+'Calc base'!M148),2),MAX('Calc base'!H$12,ROUND('Calc base'!H$13*AY147,2))))</f>
        <v>0</v>
      </c>
      <c r="P148">
        <f>IF(AZ147&lt;=0,0,IF(ROUND(AZ147*(1+'Calc base'!N148),2)-MAX('Calc base'!I$12,ROUND('Calc base'!I$13*AZ147,2))&lt;1,ROUND(AZ147*(1+'Calc base'!N148),2),MAX('Calc base'!I$12,ROUND('Calc base'!I$13*AZ147,2))))</f>
        <v>0</v>
      </c>
      <c r="Q148">
        <f>IF(BA147&lt;=0,0,IF(ROUND(BA147*(1+'Calc base'!O148),2)-MAX('Calc base'!J$12,ROUND('Calc base'!J$13*BA147,2))&lt;1,ROUND(BA147*(1+'Calc base'!O148),2),MAX('Calc base'!J$12,ROUND('Calc base'!J$13*BA147,2))))</f>
        <v>0</v>
      </c>
      <c r="R148">
        <f>IF(BB147&lt;=0,0,IF(ROUND(BB147*(1+'Calc base'!P148),2)-MAX('Calc base'!K$12,ROUND('Calc base'!K$13*BB147,2))&lt;1,ROUND(BB147*(1+'Calc base'!P148),2),MAX('Calc base'!K$12,ROUND('Calc base'!K$13*BB147,2))))</f>
        <v>0</v>
      </c>
      <c r="S148">
        <f>IF(BC147&lt;=0,0,IF(ROUND(BC147*(1+'Calc base'!Q148),2)-MAX('Calc base'!L$12,ROUND('Calc base'!L$13*BC147,2))&lt;1,ROUND(BC147*(1+'Calc base'!Q148),2),MAX('Calc base'!L$12,ROUND('Calc base'!L$13*BC147,2))))</f>
        <v>0</v>
      </c>
      <c r="T148">
        <f>IF(BD147&lt;=0,0,IF(ROUND(BD147*(1+'Calc base'!R148),2)-MAX('Calc base'!M$12,ROUND('Calc base'!M$13*BD147,2))&lt;1,ROUND(BD147*(1+'Calc base'!R148),2),MAX('Calc base'!M$12,ROUND('Calc base'!M$13*BD147,2))))</f>
        <v>0</v>
      </c>
      <c r="U148">
        <f>IF(BE147&lt;=0,0,IF(ROUND(BE147*(1+'Calc base'!S148),2)-MAX('Calc base'!N$12,ROUND('Calc base'!N$13*BE147,2))&lt;1,ROUND(BE147*(1+'Calc base'!S148),2),MAX('Calc base'!N$12,ROUND('Calc base'!N$13*BE147,2))))</f>
        <v>0</v>
      </c>
      <c r="AT148">
        <f>MAX(0,ROUND(AT147*(1+'Calc base'!H148),2)-J148)</f>
        <v>0</v>
      </c>
      <c r="AU148">
        <f>MAX(0,ROUND(AU147*(1+'Calc base'!I148),2)-K148)</f>
        <v>0</v>
      </c>
      <c r="AV148">
        <f>MAX(0,ROUND(AV147*(1+'Calc base'!J148),2)-L148)</f>
        <v>0</v>
      </c>
      <c r="AW148">
        <f>MAX(0,ROUND(AW147*(1+'Calc base'!K148),2)-M148)</f>
        <v>0</v>
      </c>
      <c r="AX148">
        <f>MAX(0,ROUND(AX147*(1+'Calc base'!L148),2)-N148)</f>
        <v>0</v>
      </c>
      <c r="AY148">
        <f>MAX(0,ROUND(AY147*(1+'Calc base'!M148),2)-O148)</f>
        <v>0</v>
      </c>
      <c r="AZ148">
        <f>MAX(0,ROUND(AZ147*(1+'Calc base'!N148),2)-P148)</f>
        <v>0</v>
      </c>
      <c r="BA148">
        <f>MAX(0,ROUND(BA147*(1+'Calc base'!O148),2)-Q148)</f>
        <v>0</v>
      </c>
      <c r="BB148">
        <f>MAX(0,ROUND(BB147*(1+'Calc base'!P148),2)-R148)</f>
        <v>0</v>
      </c>
      <c r="BC148">
        <f>MAX(0,ROUND(BC147*(1+'Calc base'!Q148),2)-S148)</f>
        <v>0</v>
      </c>
      <c r="BD148">
        <f>MAX(0,ROUND(BD147*(1+'Calc base'!R148),2)-T148)</f>
        <v>0</v>
      </c>
      <c r="BE148">
        <f>MAX(0,ROUND(BE147*(1+'Calc base'!S148),2)-U148)</f>
        <v>0</v>
      </c>
    </row>
    <row r="149">
      <c r="A149" t="n">
        <v>119</v>
      </c>
      <c r="B149">
        <f>SUMPRODUCT(ROUND($AT148:$BE148*(1+'Calc base'!$H149:$S149),2))</f>
        <v>0</v>
      </c>
      <c r="C149">
        <f>SUM(J149:U149)</f>
        <v>0</v>
      </c>
      <c r="G149">
        <f>SUM(AT149:BE149)</f>
        <v>0</v>
      </c>
      <c r="H149">
        <f>B149-G148</f>
        <v>0</v>
      </c>
      <c r="I149">
        <f>B149-G149</f>
        <v>0</v>
      </c>
      <c r="J149">
        <f>IF(AT148&lt;=0,0,IF(ROUND(AT148*(1+'Calc base'!H149),2)-MAX('Calc base'!C$12,ROUND('Calc base'!C$13*AT148,2))&lt;1,ROUND(AT148*(1+'Calc base'!H149),2),MAX('Calc base'!C$12,ROUND('Calc base'!C$13*AT148,2))))</f>
        <v>0</v>
      </c>
      <c r="K149">
        <f>IF(AU148&lt;=0,0,IF(ROUND(AU148*(1+'Calc base'!I149),2)-MAX('Calc base'!D$12,ROUND('Calc base'!D$13*AU148,2))&lt;1,ROUND(AU148*(1+'Calc base'!I149),2),MAX('Calc base'!D$12,ROUND('Calc base'!D$13*AU148,2))))</f>
        <v>0</v>
      </c>
      <c r="L149">
        <f>IF(AV148&lt;=0,0,IF(ROUND(AV148*(1+'Calc base'!J149),2)-MAX('Calc base'!E$12,ROUND('Calc base'!E$13*AV148,2))&lt;1,ROUND(AV148*(1+'Calc base'!J149),2),MAX('Calc base'!E$12,ROUND('Calc base'!E$13*AV148,2))))</f>
        <v>0</v>
      </c>
      <c r="M149">
        <f>IF(AW148&lt;=0,0,IF(ROUND(AW148*(1+'Calc base'!K149),2)-MAX('Calc base'!F$12,ROUND('Calc base'!F$13*AW148,2))&lt;1,ROUND(AW148*(1+'Calc base'!K149),2),MAX('Calc base'!F$12,ROUND('Calc base'!F$13*AW148,2))))</f>
        <v>0</v>
      </c>
      <c r="N149">
        <f>IF(AX148&lt;=0,0,IF(ROUND(AX148*(1+'Calc base'!L149),2)-MAX('Calc base'!G$12,ROUND('Calc base'!G$13*AX148,2))&lt;1,ROUND(AX148*(1+'Calc base'!L149),2),MAX('Calc base'!G$12,ROUND('Calc base'!G$13*AX148,2))))</f>
        <v>0</v>
      </c>
      <c r="O149">
        <f>IF(AY148&lt;=0,0,IF(ROUND(AY148*(1+'Calc base'!M149),2)-MAX('Calc base'!H$12,ROUND('Calc base'!H$13*AY148,2))&lt;1,ROUND(AY148*(1+'Calc base'!M149),2),MAX('Calc base'!H$12,ROUND('Calc base'!H$13*AY148,2))))</f>
        <v>0</v>
      </c>
      <c r="P149">
        <f>IF(AZ148&lt;=0,0,IF(ROUND(AZ148*(1+'Calc base'!N149),2)-MAX('Calc base'!I$12,ROUND('Calc base'!I$13*AZ148,2))&lt;1,ROUND(AZ148*(1+'Calc base'!N149),2),MAX('Calc base'!I$12,ROUND('Calc base'!I$13*AZ148,2))))</f>
        <v>0</v>
      </c>
      <c r="Q149">
        <f>IF(BA148&lt;=0,0,IF(ROUND(BA148*(1+'Calc base'!O149),2)-MAX('Calc base'!J$12,ROUND('Calc base'!J$13*BA148,2))&lt;1,ROUND(BA148*(1+'Calc base'!O149),2),MAX('Calc base'!J$12,ROUND('Calc base'!J$13*BA148,2))))</f>
        <v>0</v>
      </c>
      <c r="R149">
        <f>IF(BB148&lt;=0,0,IF(ROUND(BB148*(1+'Calc base'!P149),2)-MAX('Calc base'!K$12,ROUND('Calc base'!K$13*BB148,2))&lt;1,ROUND(BB148*(1+'Calc base'!P149),2),MAX('Calc base'!K$12,ROUND('Calc base'!K$13*BB148,2))))</f>
        <v>0</v>
      </c>
      <c r="S149">
        <f>IF(BC148&lt;=0,0,IF(ROUND(BC148*(1+'Calc base'!Q149),2)-MAX('Calc base'!L$12,ROUND('Calc base'!L$13*BC148,2))&lt;1,ROUND(BC148*(1+'Calc base'!Q149),2),MAX('Calc base'!L$12,ROUND('Calc base'!L$13*BC148,2))))</f>
        <v>0</v>
      </c>
      <c r="T149">
        <f>IF(BD148&lt;=0,0,IF(ROUND(BD148*(1+'Calc base'!R149),2)-MAX('Calc base'!M$12,ROUND('Calc base'!M$13*BD148,2))&lt;1,ROUND(BD148*(1+'Calc base'!R149),2),MAX('Calc base'!M$12,ROUND('Calc base'!M$13*BD148,2))))</f>
        <v>0</v>
      </c>
      <c r="U149">
        <f>IF(BE148&lt;=0,0,IF(ROUND(BE148*(1+'Calc base'!S149),2)-MAX('Calc base'!N$12,ROUND('Calc base'!N$13*BE148,2))&lt;1,ROUND(BE148*(1+'Calc base'!S149),2),MAX('Calc base'!N$12,ROUND('Calc base'!N$13*BE148,2))))</f>
        <v>0</v>
      </c>
      <c r="AT149">
        <f>MAX(0,ROUND(AT148*(1+'Calc base'!H149),2)-J149)</f>
        <v>0</v>
      </c>
      <c r="AU149">
        <f>MAX(0,ROUND(AU148*(1+'Calc base'!I149),2)-K149)</f>
        <v>0</v>
      </c>
      <c r="AV149">
        <f>MAX(0,ROUND(AV148*(1+'Calc base'!J149),2)-L149)</f>
        <v>0</v>
      </c>
      <c r="AW149">
        <f>MAX(0,ROUND(AW148*(1+'Calc base'!K149),2)-M149)</f>
        <v>0</v>
      </c>
      <c r="AX149">
        <f>MAX(0,ROUND(AX148*(1+'Calc base'!L149),2)-N149)</f>
        <v>0</v>
      </c>
      <c r="AY149">
        <f>MAX(0,ROUND(AY148*(1+'Calc base'!M149),2)-O149)</f>
        <v>0</v>
      </c>
      <c r="AZ149">
        <f>MAX(0,ROUND(AZ148*(1+'Calc base'!N149),2)-P149)</f>
        <v>0</v>
      </c>
      <c r="BA149">
        <f>MAX(0,ROUND(BA148*(1+'Calc base'!O149),2)-Q149)</f>
        <v>0</v>
      </c>
      <c r="BB149">
        <f>MAX(0,ROUND(BB148*(1+'Calc base'!P149),2)-R149)</f>
        <v>0</v>
      </c>
      <c r="BC149">
        <f>MAX(0,ROUND(BC148*(1+'Calc base'!Q149),2)-S149)</f>
        <v>0</v>
      </c>
      <c r="BD149">
        <f>MAX(0,ROUND(BD148*(1+'Calc base'!R149),2)-T149)</f>
        <v>0</v>
      </c>
      <c r="BE149">
        <f>MAX(0,ROUND(BE148*(1+'Calc base'!S149),2)-U149)</f>
        <v>0</v>
      </c>
    </row>
    <row r="150">
      <c r="A150" t="n">
        <v>120</v>
      </c>
      <c r="B150">
        <f>SUMPRODUCT(ROUND($AT149:$BE149*(1+'Calc base'!$H150:$S150),2))</f>
        <v>0</v>
      </c>
      <c r="C150">
        <f>SUM(J150:U150)</f>
        <v>0</v>
      </c>
      <c r="G150">
        <f>SUM(AT150:BE150)</f>
        <v>0</v>
      </c>
      <c r="H150">
        <f>B150-G149</f>
        <v>0</v>
      </c>
      <c r="I150">
        <f>B150-G150</f>
        <v>0</v>
      </c>
      <c r="J150">
        <f>IF(AT149&lt;=0,0,IF(ROUND(AT149*(1+'Calc base'!H150),2)-MAX('Calc base'!C$12,ROUND('Calc base'!C$13*AT149,2))&lt;1,ROUND(AT149*(1+'Calc base'!H150),2),MAX('Calc base'!C$12,ROUND('Calc base'!C$13*AT149,2))))</f>
        <v>0</v>
      </c>
      <c r="K150">
        <f>IF(AU149&lt;=0,0,IF(ROUND(AU149*(1+'Calc base'!I150),2)-MAX('Calc base'!D$12,ROUND('Calc base'!D$13*AU149,2))&lt;1,ROUND(AU149*(1+'Calc base'!I150),2),MAX('Calc base'!D$12,ROUND('Calc base'!D$13*AU149,2))))</f>
        <v>0</v>
      </c>
      <c r="L150">
        <f>IF(AV149&lt;=0,0,IF(ROUND(AV149*(1+'Calc base'!J150),2)-MAX('Calc base'!E$12,ROUND('Calc base'!E$13*AV149,2))&lt;1,ROUND(AV149*(1+'Calc base'!J150),2),MAX('Calc base'!E$12,ROUND('Calc base'!E$13*AV149,2))))</f>
        <v>0</v>
      </c>
      <c r="M150">
        <f>IF(AW149&lt;=0,0,IF(ROUND(AW149*(1+'Calc base'!K150),2)-MAX('Calc base'!F$12,ROUND('Calc base'!F$13*AW149,2))&lt;1,ROUND(AW149*(1+'Calc base'!K150),2),MAX('Calc base'!F$12,ROUND('Calc base'!F$13*AW149,2))))</f>
        <v>0</v>
      </c>
      <c r="N150">
        <f>IF(AX149&lt;=0,0,IF(ROUND(AX149*(1+'Calc base'!L150),2)-MAX('Calc base'!G$12,ROUND('Calc base'!G$13*AX149,2))&lt;1,ROUND(AX149*(1+'Calc base'!L150),2),MAX('Calc base'!G$12,ROUND('Calc base'!G$13*AX149,2))))</f>
        <v>0</v>
      </c>
      <c r="O150">
        <f>IF(AY149&lt;=0,0,IF(ROUND(AY149*(1+'Calc base'!M150),2)-MAX('Calc base'!H$12,ROUND('Calc base'!H$13*AY149,2))&lt;1,ROUND(AY149*(1+'Calc base'!M150),2),MAX('Calc base'!H$12,ROUND('Calc base'!H$13*AY149,2))))</f>
        <v>0</v>
      </c>
      <c r="P150">
        <f>IF(AZ149&lt;=0,0,IF(ROUND(AZ149*(1+'Calc base'!N150),2)-MAX('Calc base'!I$12,ROUND('Calc base'!I$13*AZ149,2))&lt;1,ROUND(AZ149*(1+'Calc base'!N150),2),MAX('Calc base'!I$12,ROUND('Calc base'!I$13*AZ149,2))))</f>
        <v>0</v>
      </c>
      <c r="Q150">
        <f>IF(BA149&lt;=0,0,IF(ROUND(BA149*(1+'Calc base'!O150),2)-MAX('Calc base'!J$12,ROUND('Calc base'!J$13*BA149,2))&lt;1,ROUND(BA149*(1+'Calc base'!O150),2),MAX('Calc base'!J$12,ROUND('Calc base'!J$13*BA149,2))))</f>
        <v>0</v>
      </c>
      <c r="R150">
        <f>IF(BB149&lt;=0,0,IF(ROUND(BB149*(1+'Calc base'!P150),2)-MAX('Calc base'!K$12,ROUND('Calc base'!K$13*BB149,2))&lt;1,ROUND(BB149*(1+'Calc base'!P150),2),MAX('Calc base'!K$12,ROUND('Calc base'!K$13*BB149,2))))</f>
        <v>0</v>
      </c>
      <c r="S150">
        <f>IF(BC149&lt;=0,0,IF(ROUND(BC149*(1+'Calc base'!Q150),2)-MAX('Calc base'!L$12,ROUND('Calc base'!L$13*BC149,2))&lt;1,ROUND(BC149*(1+'Calc base'!Q150),2),MAX('Calc base'!L$12,ROUND('Calc base'!L$13*BC149,2))))</f>
        <v>0</v>
      </c>
      <c r="T150">
        <f>IF(BD149&lt;=0,0,IF(ROUND(BD149*(1+'Calc base'!R150),2)-MAX('Calc base'!M$12,ROUND('Calc base'!M$13*BD149,2))&lt;1,ROUND(BD149*(1+'Calc base'!R150),2),MAX('Calc base'!M$12,ROUND('Calc base'!M$13*BD149,2))))</f>
        <v>0</v>
      </c>
      <c r="U150">
        <f>IF(BE149&lt;=0,0,IF(ROUND(BE149*(1+'Calc base'!S150),2)-MAX('Calc base'!N$12,ROUND('Calc base'!N$13*BE149,2))&lt;1,ROUND(BE149*(1+'Calc base'!S150),2),MAX('Calc base'!N$12,ROUND('Calc base'!N$13*BE149,2))))</f>
        <v>0</v>
      </c>
      <c r="AT150">
        <f>MAX(0,ROUND(AT149*(1+'Calc base'!H150),2)-J150)</f>
        <v>0</v>
      </c>
      <c r="AU150">
        <f>MAX(0,ROUND(AU149*(1+'Calc base'!I150),2)-K150)</f>
        <v>0</v>
      </c>
      <c r="AV150">
        <f>MAX(0,ROUND(AV149*(1+'Calc base'!J150),2)-L150)</f>
        <v>0</v>
      </c>
      <c r="AW150">
        <f>MAX(0,ROUND(AW149*(1+'Calc base'!K150),2)-M150)</f>
        <v>0</v>
      </c>
      <c r="AX150">
        <f>MAX(0,ROUND(AX149*(1+'Calc base'!L150),2)-N150)</f>
        <v>0</v>
      </c>
      <c r="AY150">
        <f>MAX(0,ROUND(AY149*(1+'Calc base'!M150),2)-O150)</f>
        <v>0</v>
      </c>
      <c r="AZ150">
        <f>MAX(0,ROUND(AZ149*(1+'Calc base'!N150),2)-P150)</f>
        <v>0</v>
      </c>
      <c r="BA150">
        <f>MAX(0,ROUND(BA149*(1+'Calc base'!O150),2)-Q150)</f>
        <v>0</v>
      </c>
      <c r="BB150">
        <f>MAX(0,ROUND(BB149*(1+'Calc base'!P150),2)-R150)</f>
        <v>0</v>
      </c>
      <c r="BC150">
        <f>MAX(0,ROUND(BC149*(1+'Calc base'!Q150),2)-S150)</f>
        <v>0</v>
      </c>
      <c r="BD150">
        <f>MAX(0,ROUND(BD149*(1+'Calc base'!R150),2)-T150)</f>
        <v>0</v>
      </c>
      <c r="BE150">
        <f>MAX(0,ROUND(BE149*(1+'Calc base'!S150),2)-U150)</f>
        <v>0</v>
      </c>
    </row>
    <row r="151">
      <c r="A151" t="n">
        <v>121</v>
      </c>
      <c r="B151">
        <f>SUMPRODUCT(ROUND($AT150:$BE150*(1+'Calc base'!$H151:$S151),2))</f>
        <v>0</v>
      </c>
      <c r="C151">
        <f>SUM(J151:U151)</f>
        <v>0</v>
      </c>
      <c r="G151">
        <f>SUM(AT151:BE151)</f>
        <v>0</v>
      </c>
      <c r="H151">
        <f>B151-G150</f>
        <v>0</v>
      </c>
      <c r="I151">
        <f>B151-G151</f>
        <v>0</v>
      </c>
      <c r="J151">
        <f>IF(AT150&lt;=0,0,IF(ROUND(AT150*(1+'Calc base'!H151),2)-MAX('Calc base'!C$12,ROUND('Calc base'!C$13*AT150,2))&lt;1,ROUND(AT150*(1+'Calc base'!H151),2),MAX('Calc base'!C$12,ROUND('Calc base'!C$13*AT150,2))))</f>
        <v>0</v>
      </c>
      <c r="K151">
        <f>IF(AU150&lt;=0,0,IF(ROUND(AU150*(1+'Calc base'!I151),2)-MAX('Calc base'!D$12,ROUND('Calc base'!D$13*AU150,2))&lt;1,ROUND(AU150*(1+'Calc base'!I151),2),MAX('Calc base'!D$12,ROUND('Calc base'!D$13*AU150,2))))</f>
        <v>0</v>
      </c>
      <c r="L151">
        <f>IF(AV150&lt;=0,0,IF(ROUND(AV150*(1+'Calc base'!J151),2)-MAX('Calc base'!E$12,ROUND('Calc base'!E$13*AV150,2))&lt;1,ROUND(AV150*(1+'Calc base'!J151),2),MAX('Calc base'!E$12,ROUND('Calc base'!E$13*AV150,2))))</f>
        <v>0</v>
      </c>
      <c r="M151">
        <f>IF(AW150&lt;=0,0,IF(ROUND(AW150*(1+'Calc base'!K151),2)-MAX('Calc base'!F$12,ROUND('Calc base'!F$13*AW150,2))&lt;1,ROUND(AW150*(1+'Calc base'!K151),2),MAX('Calc base'!F$12,ROUND('Calc base'!F$13*AW150,2))))</f>
        <v>0</v>
      </c>
      <c r="N151">
        <f>IF(AX150&lt;=0,0,IF(ROUND(AX150*(1+'Calc base'!L151),2)-MAX('Calc base'!G$12,ROUND('Calc base'!G$13*AX150,2))&lt;1,ROUND(AX150*(1+'Calc base'!L151),2),MAX('Calc base'!G$12,ROUND('Calc base'!G$13*AX150,2))))</f>
        <v>0</v>
      </c>
      <c r="O151">
        <f>IF(AY150&lt;=0,0,IF(ROUND(AY150*(1+'Calc base'!M151),2)-MAX('Calc base'!H$12,ROUND('Calc base'!H$13*AY150,2))&lt;1,ROUND(AY150*(1+'Calc base'!M151),2),MAX('Calc base'!H$12,ROUND('Calc base'!H$13*AY150,2))))</f>
        <v>0</v>
      </c>
      <c r="P151">
        <f>IF(AZ150&lt;=0,0,IF(ROUND(AZ150*(1+'Calc base'!N151),2)-MAX('Calc base'!I$12,ROUND('Calc base'!I$13*AZ150,2))&lt;1,ROUND(AZ150*(1+'Calc base'!N151),2),MAX('Calc base'!I$12,ROUND('Calc base'!I$13*AZ150,2))))</f>
        <v>0</v>
      </c>
      <c r="Q151">
        <f>IF(BA150&lt;=0,0,IF(ROUND(BA150*(1+'Calc base'!O151),2)-MAX('Calc base'!J$12,ROUND('Calc base'!J$13*BA150,2))&lt;1,ROUND(BA150*(1+'Calc base'!O151),2),MAX('Calc base'!J$12,ROUND('Calc base'!J$13*BA150,2))))</f>
        <v>0</v>
      </c>
      <c r="R151">
        <f>IF(BB150&lt;=0,0,IF(ROUND(BB150*(1+'Calc base'!P151),2)-MAX('Calc base'!K$12,ROUND('Calc base'!K$13*BB150,2))&lt;1,ROUND(BB150*(1+'Calc base'!P151),2),MAX('Calc base'!K$12,ROUND('Calc base'!K$13*BB150,2))))</f>
        <v>0</v>
      </c>
      <c r="S151">
        <f>IF(BC150&lt;=0,0,IF(ROUND(BC150*(1+'Calc base'!Q151),2)-MAX('Calc base'!L$12,ROUND('Calc base'!L$13*BC150,2))&lt;1,ROUND(BC150*(1+'Calc base'!Q151),2),MAX('Calc base'!L$12,ROUND('Calc base'!L$13*BC150,2))))</f>
        <v>0</v>
      </c>
      <c r="T151">
        <f>IF(BD150&lt;=0,0,IF(ROUND(BD150*(1+'Calc base'!R151),2)-MAX('Calc base'!M$12,ROUND('Calc base'!M$13*BD150,2))&lt;1,ROUND(BD150*(1+'Calc base'!R151),2),MAX('Calc base'!M$12,ROUND('Calc base'!M$13*BD150,2))))</f>
        <v>0</v>
      </c>
      <c r="U151">
        <f>IF(BE150&lt;=0,0,IF(ROUND(BE150*(1+'Calc base'!S151),2)-MAX('Calc base'!N$12,ROUND('Calc base'!N$13*BE150,2))&lt;1,ROUND(BE150*(1+'Calc base'!S151),2),MAX('Calc base'!N$12,ROUND('Calc base'!N$13*BE150,2))))</f>
        <v>0</v>
      </c>
      <c r="AT151">
        <f>MAX(0,ROUND(AT150*(1+'Calc base'!H151),2)-J151)</f>
        <v>0</v>
      </c>
      <c r="AU151">
        <f>MAX(0,ROUND(AU150*(1+'Calc base'!I151),2)-K151)</f>
        <v>0</v>
      </c>
      <c r="AV151">
        <f>MAX(0,ROUND(AV150*(1+'Calc base'!J151),2)-L151)</f>
        <v>0</v>
      </c>
      <c r="AW151">
        <f>MAX(0,ROUND(AW150*(1+'Calc base'!K151),2)-M151)</f>
        <v>0</v>
      </c>
      <c r="AX151">
        <f>MAX(0,ROUND(AX150*(1+'Calc base'!L151),2)-N151)</f>
        <v>0</v>
      </c>
      <c r="AY151">
        <f>MAX(0,ROUND(AY150*(1+'Calc base'!M151),2)-O151)</f>
        <v>0</v>
      </c>
      <c r="AZ151">
        <f>MAX(0,ROUND(AZ150*(1+'Calc base'!N151),2)-P151)</f>
        <v>0</v>
      </c>
      <c r="BA151">
        <f>MAX(0,ROUND(BA150*(1+'Calc base'!O151),2)-Q151)</f>
        <v>0</v>
      </c>
      <c r="BB151">
        <f>MAX(0,ROUND(BB150*(1+'Calc base'!P151),2)-R151)</f>
        <v>0</v>
      </c>
      <c r="BC151">
        <f>MAX(0,ROUND(BC150*(1+'Calc base'!Q151),2)-S151)</f>
        <v>0</v>
      </c>
      <c r="BD151">
        <f>MAX(0,ROUND(BD150*(1+'Calc base'!R151),2)-T151)</f>
        <v>0</v>
      </c>
      <c r="BE151">
        <f>MAX(0,ROUND(BE150*(1+'Calc base'!S151),2)-U151)</f>
        <v>0</v>
      </c>
    </row>
    <row r="152">
      <c r="A152" t="n">
        <v>122</v>
      </c>
      <c r="B152">
        <f>SUMPRODUCT(ROUND($AT151:$BE151*(1+'Calc base'!$H152:$S152),2))</f>
        <v>0</v>
      </c>
      <c r="C152">
        <f>SUM(J152:U152)</f>
        <v>0</v>
      </c>
      <c r="G152">
        <f>SUM(AT152:BE152)</f>
        <v>0</v>
      </c>
      <c r="H152">
        <f>B152-G151</f>
        <v>0</v>
      </c>
      <c r="I152">
        <f>B152-G152</f>
        <v>0</v>
      </c>
      <c r="J152">
        <f>IF(AT151&lt;=0,0,IF(ROUND(AT151*(1+'Calc base'!H152),2)-MAX('Calc base'!C$12,ROUND('Calc base'!C$13*AT151,2))&lt;1,ROUND(AT151*(1+'Calc base'!H152),2),MAX('Calc base'!C$12,ROUND('Calc base'!C$13*AT151,2))))</f>
        <v>0</v>
      </c>
      <c r="K152">
        <f>IF(AU151&lt;=0,0,IF(ROUND(AU151*(1+'Calc base'!I152),2)-MAX('Calc base'!D$12,ROUND('Calc base'!D$13*AU151,2))&lt;1,ROUND(AU151*(1+'Calc base'!I152),2),MAX('Calc base'!D$12,ROUND('Calc base'!D$13*AU151,2))))</f>
        <v>0</v>
      </c>
      <c r="L152">
        <f>IF(AV151&lt;=0,0,IF(ROUND(AV151*(1+'Calc base'!J152),2)-MAX('Calc base'!E$12,ROUND('Calc base'!E$13*AV151,2))&lt;1,ROUND(AV151*(1+'Calc base'!J152),2),MAX('Calc base'!E$12,ROUND('Calc base'!E$13*AV151,2))))</f>
        <v>0</v>
      </c>
      <c r="M152">
        <f>IF(AW151&lt;=0,0,IF(ROUND(AW151*(1+'Calc base'!K152),2)-MAX('Calc base'!F$12,ROUND('Calc base'!F$13*AW151,2))&lt;1,ROUND(AW151*(1+'Calc base'!K152),2),MAX('Calc base'!F$12,ROUND('Calc base'!F$13*AW151,2))))</f>
        <v>0</v>
      </c>
      <c r="N152">
        <f>IF(AX151&lt;=0,0,IF(ROUND(AX151*(1+'Calc base'!L152),2)-MAX('Calc base'!G$12,ROUND('Calc base'!G$13*AX151,2))&lt;1,ROUND(AX151*(1+'Calc base'!L152),2),MAX('Calc base'!G$12,ROUND('Calc base'!G$13*AX151,2))))</f>
        <v>0</v>
      </c>
      <c r="O152">
        <f>IF(AY151&lt;=0,0,IF(ROUND(AY151*(1+'Calc base'!M152),2)-MAX('Calc base'!H$12,ROUND('Calc base'!H$13*AY151,2))&lt;1,ROUND(AY151*(1+'Calc base'!M152),2),MAX('Calc base'!H$12,ROUND('Calc base'!H$13*AY151,2))))</f>
        <v>0</v>
      </c>
      <c r="P152">
        <f>IF(AZ151&lt;=0,0,IF(ROUND(AZ151*(1+'Calc base'!N152),2)-MAX('Calc base'!I$12,ROUND('Calc base'!I$13*AZ151,2))&lt;1,ROUND(AZ151*(1+'Calc base'!N152),2),MAX('Calc base'!I$12,ROUND('Calc base'!I$13*AZ151,2))))</f>
        <v>0</v>
      </c>
      <c r="Q152">
        <f>IF(BA151&lt;=0,0,IF(ROUND(BA151*(1+'Calc base'!O152),2)-MAX('Calc base'!J$12,ROUND('Calc base'!J$13*BA151,2))&lt;1,ROUND(BA151*(1+'Calc base'!O152),2),MAX('Calc base'!J$12,ROUND('Calc base'!J$13*BA151,2))))</f>
        <v>0</v>
      </c>
      <c r="R152">
        <f>IF(BB151&lt;=0,0,IF(ROUND(BB151*(1+'Calc base'!P152),2)-MAX('Calc base'!K$12,ROUND('Calc base'!K$13*BB151,2))&lt;1,ROUND(BB151*(1+'Calc base'!P152),2),MAX('Calc base'!K$12,ROUND('Calc base'!K$13*BB151,2))))</f>
        <v>0</v>
      </c>
      <c r="S152">
        <f>IF(BC151&lt;=0,0,IF(ROUND(BC151*(1+'Calc base'!Q152),2)-MAX('Calc base'!L$12,ROUND('Calc base'!L$13*BC151,2))&lt;1,ROUND(BC151*(1+'Calc base'!Q152),2),MAX('Calc base'!L$12,ROUND('Calc base'!L$13*BC151,2))))</f>
        <v>0</v>
      </c>
      <c r="T152">
        <f>IF(BD151&lt;=0,0,IF(ROUND(BD151*(1+'Calc base'!R152),2)-MAX('Calc base'!M$12,ROUND('Calc base'!M$13*BD151,2))&lt;1,ROUND(BD151*(1+'Calc base'!R152),2),MAX('Calc base'!M$12,ROUND('Calc base'!M$13*BD151,2))))</f>
        <v>0</v>
      </c>
      <c r="U152">
        <f>IF(BE151&lt;=0,0,IF(ROUND(BE151*(1+'Calc base'!S152),2)-MAX('Calc base'!N$12,ROUND('Calc base'!N$13*BE151,2))&lt;1,ROUND(BE151*(1+'Calc base'!S152),2),MAX('Calc base'!N$12,ROUND('Calc base'!N$13*BE151,2))))</f>
        <v>0</v>
      </c>
      <c r="AT152">
        <f>MAX(0,ROUND(AT151*(1+'Calc base'!H152),2)-J152)</f>
        <v>0</v>
      </c>
      <c r="AU152">
        <f>MAX(0,ROUND(AU151*(1+'Calc base'!I152),2)-K152)</f>
        <v>0</v>
      </c>
      <c r="AV152">
        <f>MAX(0,ROUND(AV151*(1+'Calc base'!J152),2)-L152)</f>
        <v>0</v>
      </c>
      <c r="AW152">
        <f>MAX(0,ROUND(AW151*(1+'Calc base'!K152),2)-M152)</f>
        <v>0</v>
      </c>
      <c r="AX152">
        <f>MAX(0,ROUND(AX151*(1+'Calc base'!L152),2)-N152)</f>
        <v>0</v>
      </c>
      <c r="AY152">
        <f>MAX(0,ROUND(AY151*(1+'Calc base'!M152),2)-O152)</f>
        <v>0</v>
      </c>
      <c r="AZ152">
        <f>MAX(0,ROUND(AZ151*(1+'Calc base'!N152),2)-P152)</f>
        <v>0</v>
      </c>
      <c r="BA152">
        <f>MAX(0,ROUND(BA151*(1+'Calc base'!O152),2)-Q152)</f>
        <v>0</v>
      </c>
      <c r="BB152">
        <f>MAX(0,ROUND(BB151*(1+'Calc base'!P152),2)-R152)</f>
        <v>0</v>
      </c>
      <c r="BC152">
        <f>MAX(0,ROUND(BC151*(1+'Calc base'!Q152),2)-S152)</f>
        <v>0</v>
      </c>
      <c r="BD152">
        <f>MAX(0,ROUND(BD151*(1+'Calc base'!R152),2)-T152)</f>
        <v>0</v>
      </c>
      <c r="BE152">
        <f>MAX(0,ROUND(BE151*(1+'Calc base'!S152),2)-U152)</f>
        <v>0</v>
      </c>
    </row>
    <row r="153">
      <c r="A153" t="n">
        <v>123</v>
      </c>
      <c r="B153">
        <f>SUMPRODUCT(ROUND($AT152:$BE152*(1+'Calc base'!$H153:$S153),2))</f>
        <v>0</v>
      </c>
      <c r="C153">
        <f>SUM(J153:U153)</f>
        <v>0</v>
      </c>
      <c r="G153">
        <f>SUM(AT153:BE153)</f>
        <v>0</v>
      </c>
      <c r="H153">
        <f>B153-G152</f>
        <v>0</v>
      </c>
      <c r="I153">
        <f>B153-G153</f>
        <v>0</v>
      </c>
      <c r="J153">
        <f>IF(AT152&lt;=0,0,IF(ROUND(AT152*(1+'Calc base'!H153),2)-MAX('Calc base'!C$12,ROUND('Calc base'!C$13*AT152,2))&lt;1,ROUND(AT152*(1+'Calc base'!H153),2),MAX('Calc base'!C$12,ROUND('Calc base'!C$13*AT152,2))))</f>
        <v>0</v>
      </c>
      <c r="K153">
        <f>IF(AU152&lt;=0,0,IF(ROUND(AU152*(1+'Calc base'!I153),2)-MAX('Calc base'!D$12,ROUND('Calc base'!D$13*AU152,2))&lt;1,ROUND(AU152*(1+'Calc base'!I153),2),MAX('Calc base'!D$12,ROUND('Calc base'!D$13*AU152,2))))</f>
        <v>0</v>
      </c>
      <c r="L153">
        <f>IF(AV152&lt;=0,0,IF(ROUND(AV152*(1+'Calc base'!J153),2)-MAX('Calc base'!E$12,ROUND('Calc base'!E$13*AV152,2))&lt;1,ROUND(AV152*(1+'Calc base'!J153),2),MAX('Calc base'!E$12,ROUND('Calc base'!E$13*AV152,2))))</f>
        <v>0</v>
      </c>
      <c r="M153">
        <f>IF(AW152&lt;=0,0,IF(ROUND(AW152*(1+'Calc base'!K153),2)-MAX('Calc base'!F$12,ROUND('Calc base'!F$13*AW152,2))&lt;1,ROUND(AW152*(1+'Calc base'!K153),2),MAX('Calc base'!F$12,ROUND('Calc base'!F$13*AW152,2))))</f>
        <v>0</v>
      </c>
      <c r="N153">
        <f>IF(AX152&lt;=0,0,IF(ROUND(AX152*(1+'Calc base'!L153),2)-MAX('Calc base'!G$12,ROUND('Calc base'!G$13*AX152,2))&lt;1,ROUND(AX152*(1+'Calc base'!L153),2),MAX('Calc base'!G$12,ROUND('Calc base'!G$13*AX152,2))))</f>
        <v>0</v>
      </c>
      <c r="O153">
        <f>IF(AY152&lt;=0,0,IF(ROUND(AY152*(1+'Calc base'!M153),2)-MAX('Calc base'!H$12,ROUND('Calc base'!H$13*AY152,2))&lt;1,ROUND(AY152*(1+'Calc base'!M153),2),MAX('Calc base'!H$12,ROUND('Calc base'!H$13*AY152,2))))</f>
        <v>0</v>
      </c>
      <c r="P153">
        <f>IF(AZ152&lt;=0,0,IF(ROUND(AZ152*(1+'Calc base'!N153),2)-MAX('Calc base'!I$12,ROUND('Calc base'!I$13*AZ152,2))&lt;1,ROUND(AZ152*(1+'Calc base'!N153),2),MAX('Calc base'!I$12,ROUND('Calc base'!I$13*AZ152,2))))</f>
        <v>0</v>
      </c>
      <c r="Q153">
        <f>IF(BA152&lt;=0,0,IF(ROUND(BA152*(1+'Calc base'!O153),2)-MAX('Calc base'!J$12,ROUND('Calc base'!J$13*BA152,2))&lt;1,ROUND(BA152*(1+'Calc base'!O153),2),MAX('Calc base'!J$12,ROUND('Calc base'!J$13*BA152,2))))</f>
        <v>0</v>
      </c>
      <c r="R153">
        <f>IF(BB152&lt;=0,0,IF(ROUND(BB152*(1+'Calc base'!P153),2)-MAX('Calc base'!K$12,ROUND('Calc base'!K$13*BB152,2))&lt;1,ROUND(BB152*(1+'Calc base'!P153),2),MAX('Calc base'!K$12,ROUND('Calc base'!K$13*BB152,2))))</f>
        <v>0</v>
      </c>
      <c r="S153">
        <f>IF(BC152&lt;=0,0,IF(ROUND(BC152*(1+'Calc base'!Q153),2)-MAX('Calc base'!L$12,ROUND('Calc base'!L$13*BC152,2))&lt;1,ROUND(BC152*(1+'Calc base'!Q153),2),MAX('Calc base'!L$12,ROUND('Calc base'!L$13*BC152,2))))</f>
        <v>0</v>
      </c>
      <c r="T153">
        <f>IF(BD152&lt;=0,0,IF(ROUND(BD152*(1+'Calc base'!R153),2)-MAX('Calc base'!M$12,ROUND('Calc base'!M$13*BD152,2))&lt;1,ROUND(BD152*(1+'Calc base'!R153),2),MAX('Calc base'!M$12,ROUND('Calc base'!M$13*BD152,2))))</f>
        <v>0</v>
      </c>
      <c r="U153">
        <f>IF(BE152&lt;=0,0,IF(ROUND(BE152*(1+'Calc base'!S153),2)-MAX('Calc base'!N$12,ROUND('Calc base'!N$13*BE152,2))&lt;1,ROUND(BE152*(1+'Calc base'!S153),2),MAX('Calc base'!N$12,ROUND('Calc base'!N$13*BE152,2))))</f>
        <v>0</v>
      </c>
      <c r="AT153">
        <f>MAX(0,ROUND(AT152*(1+'Calc base'!H153),2)-J153)</f>
        <v>0</v>
      </c>
      <c r="AU153">
        <f>MAX(0,ROUND(AU152*(1+'Calc base'!I153),2)-K153)</f>
        <v>0</v>
      </c>
      <c r="AV153">
        <f>MAX(0,ROUND(AV152*(1+'Calc base'!J153),2)-L153)</f>
        <v>0</v>
      </c>
      <c r="AW153">
        <f>MAX(0,ROUND(AW152*(1+'Calc base'!K153),2)-M153)</f>
        <v>0</v>
      </c>
      <c r="AX153">
        <f>MAX(0,ROUND(AX152*(1+'Calc base'!L153),2)-N153)</f>
        <v>0</v>
      </c>
      <c r="AY153">
        <f>MAX(0,ROUND(AY152*(1+'Calc base'!M153),2)-O153)</f>
        <v>0</v>
      </c>
      <c r="AZ153">
        <f>MAX(0,ROUND(AZ152*(1+'Calc base'!N153),2)-P153)</f>
        <v>0</v>
      </c>
      <c r="BA153">
        <f>MAX(0,ROUND(BA152*(1+'Calc base'!O153),2)-Q153)</f>
        <v>0</v>
      </c>
      <c r="BB153">
        <f>MAX(0,ROUND(BB152*(1+'Calc base'!P153),2)-R153)</f>
        <v>0</v>
      </c>
      <c r="BC153">
        <f>MAX(0,ROUND(BC152*(1+'Calc base'!Q153),2)-S153)</f>
        <v>0</v>
      </c>
      <c r="BD153">
        <f>MAX(0,ROUND(BD152*(1+'Calc base'!R153),2)-T153)</f>
        <v>0</v>
      </c>
      <c r="BE153">
        <f>MAX(0,ROUND(BE152*(1+'Calc base'!S153),2)-U153)</f>
        <v>0</v>
      </c>
    </row>
    <row r="154">
      <c r="A154" t="n">
        <v>124</v>
      </c>
      <c r="B154">
        <f>SUMPRODUCT(ROUND($AT153:$BE153*(1+'Calc base'!$H154:$S154),2))</f>
        <v>0</v>
      </c>
      <c r="C154">
        <f>SUM(J154:U154)</f>
        <v>0</v>
      </c>
      <c r="G154">
        <f>SUM(AT154:BE154)</f>
        <v>0</v>
      </c>
      <c r="H154">
        <f>B154-G153</f>
        <v>0</v>
      </c>
      <c r="I154">
        <f>B154-G154</f>
        <v>0</v>
      </c>
      <c r="J154">
        <f>IF(AT153&lt;=0,0,IF(ROUND(AT153*(1+'Calc base'!H154),2)-MAX('Calc base'!C$12,ROUND('Calc base'!C$13*AT153,2))&lt;1,ROUND(AT153*(1+'Calc base'!H154),2),MAX('Calc base'!C$12,ROUND('Calc base'!C$13*AT153,2))))</f>
        <v>0</v>
      </c>
      <c r="K154">
        <f>IF(AU153&lt;=0,0,IF(ROUND(AU153*(1+'Calc base'!I154),2)-MAX('Calc base'!D$12,ROUND('Calc base'!D$13*AU153,2))&lt;1,ROUND(AU153*(1+'Calc base'!I154),2),MAX('Calc base'!D$12,ROUND('Calc base'!D$13*AU153,2))))</f>
        <v>0</v>
      </c>
      <c r="L154">
        <f>IF(AV153&lt;=0,0,IF(ROUND(AV153*(1+'Calc base'!J154),2)-MAX('Calc base'!E$12,ROUND('Calc base'!E$13*AV153,2))&lt;1,ROUND(AV153*(1+'Calc base'!J154),2),MAX('Calc base'!E$12,ROUND('Calc base'!E$13*AV153,2))))</f>
        <v>0</v>
      </c>
      <c r="M154">
        <f>IF(AW153&lt;=0,0,IF(ROUND(AW153*(1+'Calc base'!K154),2)-MAX('Calc base'!F$12,ROUND('Calc base'!F$13*AW153,2))&lt;1,ROUND(AW153*(1+'Calc base'!K154),2),MAX('Calc base'!F$12,ROUND('Calc base'!F$13*AW153,2))))</f>
        <v>0</v>
      </c>
      <c r="N154">
        <f>IF(AX153&lt;=0,0,IF(ROUND(AX153*(1+'Calc base'!L154),2)-MAX('Calc base'!G$12,ROUND('Calc base'!G$13*AX153,2))&lt;1,ROUND(AX153*(1+'Calc base'!L154),2),MAX('Calc base'!G$12,ROUND('Calc base'!G$13*AX153,2))))</f>
        <v>0</v>
      </c>
      <c r="O154">
        <f>IF(AY153&lt;=0,0,IF(ROUND(AY153*(1+'Calc base'!M154),2)-MAX('Calc base'!H$12,ROUND('Calc base'!H$13*AY153,2))&lt;1,ROUND(AY153*(1+'Calc base'!M154),2),MAX('Calc base'!H$12,ROUND('Calc base'!H$13*AY153,2))))</f>
        <v>0</v>
      </c>
      <c r="P154">
        <f>IF(AZ153&lt;=0,0,IF(ROUND(AZ153*(1+'Calc base'!N154),2)-MAX('Calc base'!I$12,ROUND('Calc base'!I$13*AZ153,2))&lt;1,ROUND(AZ153*(1+'Calc base'!N154),2),MAX('Calc base'!I$12,ROUND('Calc base'!I$13*AZ153,2))))</f>
        <v>0</v>
      </c>
      <c r="Q154">
        <f>IF(BA153&lt;=0,0,IF(ROUND(BA153*(1+'Calc base'!O154),2)-MAX('Calc base'!J$12,ROUND('Calc base'!J$13*BA153,2))&lt;1,ROUND(BA153*(1+'Calc base'!O154),2),MAX('Calc base'!J$12,ROUND('Calc base'!J$13*BA153,2))))</f>
        <v>0</v>
      </c>
      <c r="R154">
        <f>IF(BB153&lt;=0,0,IF(ROUND(BB153*(1+'Calc base'!P154),2)-MAX('Calc base'!K$12,ROUND('Calc base'!K$13*BB153,2))&lt;1,ROUND(BB153*(1+'Calc base'!P154),2),MAX('Calc base'!K$12,ROUND('Calc base'!K$13*BB153,2))))</f>
        <v>0</v>
      </c>
      <c r="S154">
        <f>IF(BC153&lt;=0,0,IF(ROUND(BC153*(1+'Calc base'!Q154),2)-MAX('Calc base'!L$12,ROUND('Calc base'!L$13*BC153,2))&lt;1,ROUND(BC153*(1+'Calc base'!Q154),2),MAX('Calc base'!L$12,ROUND('Calc base'!L$13*BC153,2))))</f>
        <v>0</v>
      </c>
      <c r="T154">
        <f>IF(BD153&lt;=0,0,IF(ROUND(BD153*(1+'Calc base'!R154),2)-MAX('Calc base'!M$12,ROUND('Calc base'!M$13*BD153,2))&lt;1,ROUND(BD153*(1+'Calc base'!R154),2),MAX('Calc base'!M$12,ROUND('Calc base'!M$13*BD153,2))))</f>
        <v>0</v>
      </c>
      <c r="U154">
        <f>IF(BE153&lt;=0,0,IF(ROUND(BE153*(1+'Calc base'!S154),2)-MAX('Calc base'!N$12,ROUND('Calc base'!N$13*BE153,2))&lt;1,ROUND(BE153*(1+'Calc base'!S154),2),MAX('Calc base'!N$12,ROUND('Calc base'!N$13*BE153,2))))</f>
        <v>0</v>
      </c>
      <c r="AT154">
        <f>MAX(0,ROUND(AT153*(1+'Calc base'!H154),2)-J154)</f>
        <v>0</v>
      </c>
      <c r="AU154">
        <f>MAX(0,ROUND(AU153*(1+'Calc base'!I154),2)-K154)</f>
        <v>0</v>
      </c>
      <c r="AV154">
        <f>MAX(0,ROUND(AV153*(1+'Calc base'!J154),2)-L154)</f>
        <v>0</v>
      </c>
      <c r="AW154">
        <f>MAX(0,ROUND(AW153*(1+'Calc base'!K154),2)-M154)</f>
        <v>0</v>
      </c>
      <c r="AX154">
        <f>MAX(0,ROUND(AX153*(1+'Calc base'!L154),2)-N154)</f>
        <v>0</v>
      </c>
      <c r="AY154">
        <f>MAX(0,ROUND(AY153*(1+'Calc base'!M154),2)-O154)</f>
        <v>0</v>
      </c>
      <c r="AZ154">
        <f>MAX(0,ROUND(AZ153*(1+'Calc base'!N154),2)-P154)</f>
        <v>0</v>
      </c>
      <c r="BA154">
        <f>MAX(0,ROUND(BA153*(1+'Calc base'!O154),2)-Q154)</f>
        <v>0</v>
      </c>
      <c r="BB154">
        <f>MAX(0,ROUND(BB153*(1+'Calc base'!P154),2)-R154)</f>
        <v>0</v>
      </c>
      <c r="BC154">
        <f>MAX(0,ROUND(BC153*(1+'Calc base'!Q154),2)-S154)</f>
        <v>0</v>
      </c>
      <c r="BD154">
        <f>MAX(0,ROUND(BD153*(1+'Calc base'!R154),2)-T154)</f>
        <v>0</v>
      </c>
      <c r="BE154">
        <f>MAX(0,ROUND(BE153*(1+'Calc base'!S154),2)-U154)</f>
        <v>0</v>
      </c>
    </row>
    <row r="155">
      <c r="A155" t="n">
        <v>125</v>
      </c>
      <c r="B155">
        <f>SUMPRODUCT(ROUND($AT154:$BE154*(1+'Calc base'!$H155:$S155),2))</f>
        <v>0</v>
      </c>
      <c r="C155">
        <f>SUM(J155:U155)</f>
        <v>0</v>
      </c>
      <c r="G155">
        <f>SUM(AT155:BE155)</f>
        <v>0</v>
      </c>
      <c r="H155">
        <f>B155-G154</f>
        <v>0</v>
      </c>
      <c r="I155">
        <f>B155-G155</f>
        <v>0</v>
      </c>
      <c r="J155">
        <f>IF(AT154&lt;=0,0,IF(ROUND(AT154*(1+'Calc base'!H155),2)-MAX('Calc base'!C$12,ROUND('Calc base'!C$13*AT154,2))&lt;1,ROUND(AT154*(1+'Calc base'!H155),2),MAX('Calc base'!C$12,ROUND('Calc base'!C$13*AT154,2))))</f>
        <v>0</v>
      </c>
      <c r="K155">
        <f>IF(AU154&lt;=0,0,IF(ROUND(AU154*(1+'Calc base'!I155),2)-MAX('Calc base'!D$12,ROUND('Calc base'!D$13*AU154,2))&lt;1,ROUND(AU154*(1+'Calc base'!I155),2),MAX('Calc base'!D$12,ROUND('Calc base'!D$13*AU154,2))))</f>
        <v>0</v>
      </c>
      <c r="L155">
        <f>IF(AV154&lt;=0,0,IF(ROUND(AV154*(1+'Calc base'!J155),2)-MAX('Calc base'!E$12,ROUND('Calc base'!E$13*AV154,2))&lt;1,ROUND(AV154*(1+'Calc base'!J155),2),MAX('Calc base'!E$12,ROUND('Calc base'!E$13*AV154,2))))</f>
        <v>0</v>
      </c>
      <c r="M155">
        <f>IF(AW154&lt;=0,0,IF(ROUND(AW154*(1+'Calc base'!K155),2)-MAX('Calc base'!F$12,ROUND('Calc base'!F$13*AW154,2))&lt;1,ROUND(AW154*(1+'Calc base'!K155),2),MAX('Calc base'!F$12,ROUND('Calc base'!F$13*AW154,2))))</f>
        <v>0</v>
      </c>
      <c r="N155">
        <f>IF(AX154&lt;=0,0,IF(ROUND(AX154*(1+'Calc base'!L155),2)-MAX('Calc base'!G$12,ROUND('Calc base'!G$13*AX154,2))&lt;1,ROUND(AX154*(1+'Calc base'!L155),2),MAX('Calc base'!G$12,ROUND('Calc base'!G$13*AX154,2))))</f>
        <v>0</v>
      </c>
      <c r="O155">
        <f>IF(AY154&lt;=0,0,IF(ROUND(AY154*(1+'Calc base'!M155),2)-MAX('Calc base'!H$12,ROUND('Calc base'!H$13*AY154,2))&lt;1,ROUND(AY154*(1+'Calc base'!M155),2),MAX('Calc base'!H$12,ROUND('Calc base'!H$13*AY154,2))))</f>
        <v>0</v>
      </c>
      <c r="P155">
        <f>IF(AZ154&lt;=0,0,IF(ROUND(AZ154*(1+'Calc base'!N155),2)-MAX('Calc base'!I$12,ROUND('Calc base'!I$13*AZ154,2))&lt;1,ROUND(AZ154*(1+'Calc base'!N155),2),MAX('Calc base'!I$12,ROUND('Calc base'!I$13*AZ154,2))))</f>
        <v>0</v>
      </c>
      <c r="Q155">
        <f>IF(BA154&lt;=0,0,IF(ROUND(BA154*(1+'Calc base'!O155),2)-MAX('Calc base'!J$12,ROUND('Calc base'!J$13*BA154,2))&lt;1,ROUND(BA154*(1+'Calc base'!O155),2),MAX('Calc base'!J$12,ROUND('Calc base'!J$13*BA154,2))))</f>
        <v>0</v>
      </c>
      <c r="R155">
        <f>IF(BB154&lt;=0,0,IF(ROUND(BB154*(1+'Calc base'!P155),2)-MAX('Calc base'!K$12,ROUND('Calc base'!K$13*BB154,2))&lt;1,ROUND(BB154*(1+'Calc base'!P155),2),MAX('Calc base'!K$12,ROUND('Calc base'!K$13*BB154,2))))</f>
        <v>0</v>
      </c>
      <c r="S155">
        <f>IF(BC154&lt;=0,0,IF(ROUND(BC154*(1+'Calc base'!Q155),2)-MAX('Calc base'!L$12,ROUND('Calc base'!L$13*BC154,2))&lt;1,ROUND(BC154*(1+'Calc base'!Q155),2),MAX('Calc base'!L$12,ROUND('Calc base'!L$13*BC154,2))))</f>
        <v>0</v>
      </c>
      <c r="T155">
        <f>IF(BD154&lt;=0,0,IF(ROUND(BD154*(1+'Calc base'!R155),2)-MAX('Calc base'!M$12,ROUND('Calc base'!M$13*BD154,2))&lt;1,ROUND(BD154*(1+'Calc base'!R155),2),MAX('Calc base'!M$12,ROUND('Calc base'!M$13*BD154,2))))</f>
        <v>0</v>
      </c>
      <c r="U155">
        <f>IF(BE154&lt;=0,0,IF(ROUND(BE154*(1+'Calc base'!S155),2)-MAX('Calc base'!N$12,ROUND('Calc base'!N$13*BE154,2))&lt;1,ROUND(BE154*(1+'Calc base'!S155),2),MAX('Calc base'!N$12,ROUND('Calc base'!N$13*BE154,2))))</f>
        <v>0</v>
      </c>
      <c r="AT155">
        <f>MAX(0,ROUND(AT154*(1+'Calc base'!H155),2)-J155)</f>
        <v>0</v>
      </c>
      <c r="AU155">
        <f>MAX(0,ROUND(AU154*(1+'Calc base'!I155),2)-K155)</f>
        <v>0</v>
      </c>
      <c r="AV155">
        <f>MAX(0,ROUND(AV154*(1+'Calc base'!J155),2)-L155)</f>
        <v>0</v>
      </c>
      <c r="AW155">
        <f>MAX(0,ROUND(AW154*(1+'Calc base'!K155),2)-M155)</f>
        <v>0</v>
      </c>
      <c r="AX155">
        <f>MAX(0,ROUND(AX154*(1+'Calc base'!L155),2)-N155)</f>
        <v>0</v>
      </c>
      <c r="AY155">
        <f>MAX(0,ROUND(AY154*(1+'Calc base'!M155),2)-O155)</f>
        <v>0</v>
      </c>
      <c r="AZ155">
        <f>MAX(0,ROUND(AZ154*(1+'Calc base'!N155),2)-P155)</f>
        <v>0</v>
      </c>
      <c r="BA155">
        <f>MAX(0,ROUND(BA154*(1+'Calc base'!O155),2)-Q155)</f>
        <v>0</v>
      </c>
      <c r="BB155">
        <f>MAX(0,ROUND(BB154*(1+'Calc base'!P155),2)-R155)</f>
        <v>0</v>
      </c>
      <c r="BC155">
        <f>MAX(0,ROUND(BC154*(1+'Calc base'!Q155),2)-S155)</f>
        <v>0</v>
      </c>
      <c r="BD155">
        <f>MAX(0,ROUND(BD154*(1+'Calc base'!R155),2)-T155)</f>
        <v>0</v>
      </c>
      <c r="BE155">
        <f>MAX(0,ROUND(BE154*(1+'Calc base'!S155),2)-U155)</f>
        <v>0</v>
      </c>
    </row>
    <row r="156">
      <c r="A156" t="n">
        <v>126</v>
      </c>
      <c r="B156">
        <f>SUMPRODUCT(ROUND($AT155:$BE155*(1+'Calc base'!$H156:$S156),2))</f>
        <v>0</v>
      </c>
      <c r="C156">
        <f>SUM(J156:U156)</f>
        <v>0</v>
      </c>
      <c r="G156">
        <f>SUM(AT156:BE156)</f>
        <v>0</v>
      </c>
      <c r="H156">
        <f>B156-G155</f>
        <v>0</v>
      </c>
      <c r="I156">
        <f>B156-G156</f>
        <v>0</v>
      </c>
      <c r="J156">
        <f>IF(AT155&lt;=0,0,IF(ROUND(AT155*(1+'Calc base'!H156),2)-MAX('Calc base'!C$12,ROUND('Calc base'!C$13*AT155,2))&lt;1,ROUND(AT155*(1+'Calc base'!H156),2),MAX('Calc base'!C$12,ROUND('Calc base'!C$13*AT155,2))))</f>
        <v>0</v>
      </c>
      <c r="K156">
        <f>IF(AU155&lt;=0,0,IF(ROUND(AU155*(1+'Calc base'!I156),2)-MAX('Calc base'!D$12,ROUND('Calc base'!D$13*AU155,2))&lt;1,ROUND(AU155*(1+'Calc base'!I156),2),MAX('Calc base'!D$12,ROUND('Calc base'!D$13*AU155,2))))</f>
        <v>0</v>
      </c>
      <c r="L156">
        <f>IF(AV155&lt;=0,0,IF(ROUND(AV155*(1+'Calc base'!J156),2)-MAX('Calc base'!E$12,ROUND('Calc base'!E$13*AV155,2))&lt;1,ROUND(AV155*(1+'Calc base'!J156),2),MAX('Calc base'!E$12,ROUND('Calc base'!E$13*AV155,2))))</f>
        <v>0</v>
      </c>
      <c r="M156">
        <f>IF(AW155&lt;=0,0,IF(ROUND(AW155*(1+'Calc base'!K156),2)-MAX('Calc base'!F$12,ROUND('Calc base'!F$13*AW155,2))&lt;1,ROUND(AW155*(1+'Calc base'!K156),2),MAX('Calc base'!F$12,ROUND('Calc base'!F$13*AW155,2))))</f>
        <v>0</v>
      </c>
      <c r="N156">
        <f>IF(AX155&lt;=0,0,IF(ROUND(AX155*(1+'Calc base'!L156),2)-MAX('Calc base'!G$12,ROUND('Calc base'!G$13*AX155,2))&lt;1,ROUND(AX155*(1+'Calc base'!L156),2),MAX('Calc base'!G$12,ROUND('Calc base'!G$13*AX155,2))))</f>
        <v>0</v>
      </c>
      <c r="O156">
        <f>IF(AY155&lt;=0,0,IF(ROUND(AY155*(1+'Calc base'!M156),2)-MAX('Calc base'!H$12,ROUND('Calc base'!H$13*AY155,2))&lt;1,ROUND(AY155*(1+'Calc base'!M156),2),MAX('Calc base'!H$12,ROUND('Calc base'!H$13*AY155,2))))</f>
        <v>0</v>
      </c>
      <c r="P156">
        <f>IF(AZ155&lt;=0,0,IF(ROUND(AZ155*(1+'Calc base'!N156),2)-MAX('Calc base'!I$12,ROUND('Calc base'!I$13*AZ155,2))&lt;1,ROUND(AZ155*(1+'Calc base'!N156),2),MAX('Calc base'!I$12,ROUND('Calc base'!I$13*AZ155,2))))</f>
        <v>0</v>
      </c>
      <c r="Q156">
        <f>IF(BA155&lt;=0,0,IF(ROUND(BA155*(1+'Calc base'!O156),2)-MAX('Calc base'!J$12,ROUND('Calc base'!J$13*BA155,2))&lt;1,ROUND(BA155*(1+'Calc base'!O156),2),MAX('Calc base'!J$12,ROUND('Calc base'!J$13*BA155,2))))</f>
        <v>0</v>
      </c>
      <c r="R156">
        <f>IF(BB155&lt;=0,0,IF(ROUND(BB155*(1+'Calc base'!P156),2)-MAX('Calc base'!K$12,ROUND('Calc base'!K$13*BB155,2))&lt;1,ROUND(BB155*(1+'Calc base'!P156),2),MAX('Calc base'!K$12,ROUND('Calc base'!K$13*BB155,2))))</f>
        <v>0</v>
      </c>
      <c r="S156">
        <f>IF(BC155&lt;=0,0,IF(ROUND(BC155*(1+'Calc base'!Q156),2)-MAX('Calc base'!L$12,ROUND('Calc base'!L$13*BC155,2))&lt;1,ROUND(BC155*(1+'Calc base'!Q156),2),MAX('Calc base'!L$12,ROUND('Calc base'!L$13*BC155,2))))</f>
        <v>0</v>
      </c>
      <c r="T156">
        <f>IF(BD155&lt;=0,0,IF(ROUND(BD155*(1+'Calc base'!R156),2)-MAX('Calc base'!M$12,ROUND('Calc base'!M$13*BD155,2))&lt;1,ROUND(BD155*(1+'Calc base'!R156),2),MAX('Calc base'!M$12,ROUND('Calc base'!M$13*BD155,2))))</f>
        <v>0</v>
      </c>
      <c r="U156">
        <f>IF(BE155&lt;=0,0,IF(ROUND(BE155*(1+'Calc base'!S156),2)-MAX('Calc base'!N$12,ROUND('Calc base'!N$13*BE155,2))&lt;1,ROUND(BE155*(1+'Calc base'!S156),2),MAX('Calc base'!N$12,ROUND('Calc base'!N$13*BE155,2))))</f>
        <v>0</v>
      </c>
      <c r="AT156">
        <f>MAX(0,ROUND(AT155*(1+'Calc base'!H156),2)-J156)</f>
        <v>0</v>
      </c>
      <c r="AU156">
        <f>MAX(0,ROUND(AU155*(1+'Calc base'!I156),2)-K156)</f>
        <v>0</v>
      </c>
      <c r="AV156">
        <f>MAX(0,ROUND(AV155*(1+'Calc base'!J156),2)-L156)</f>
        <v>0</v>
      </c>
      <c r="AW156">
        <f>MAX(0,ROUND(AW155*(1+'Calc base'!K156),2)-M156)</f>
        <v>0</v>
      </c>
      <c r="AX156">
        <f>MAX(0,ROUND(AX155*(1+'Calc base'!L156),2)-N156)</f>
        <v>0</v>
      </c>
      <c r="AY156">
        <f>MAX(0,ROUND(AY155*(1+'Calc base'!M156),2)-O156)</f>
        <v>0</v>
      </c>
      <c r="AZ156">
        <f>MAX(0,ROUND(AZ155*(1+'Calc base'!N156),2)-P156)</f>
        <v>0</v>
      </c>
      <c r="BA156">
        <f>MAX(0,ROUND(BA155*(1+'Calc base'!O156),2)-Q156)</f>
        <v>0</v>
      </c>
      <c r="BB156">
        <f>MAX(0,ROUND(BB155*(1+'Calc base'!P156),2)-R156)</f>
        <v>0</v>
      </c>
      <c r="BC156">
        <f>MAX(0,ROUND(BC155*(1+'Calc base'!Q156),2)-S156)</f>
        <v>0</v>
      </c>
      <c r="BD156">
        <f>MAX(0,ROUND(BD155*(1+'Calc base'!R156),2)-T156)</f>
        <v>0</v>
      </c>
      <c r="BE156">
        <f>MAX(0,ROUND(BE155*(1+'Calc base'!S156),2)-U156)</f>
        <v>0</v>
      </c>
    </row>
    <row r="157">
      <c r="A157" t="n">
        <v>127</v>
      </c>
      <c r="B157">
        <f>SUMPRODUCT(ROUND($AT156:$BE156*(1+'Calc base'!$H157:$S157),2))</f>
        <v>0</v>
      </c>
      <c r="C157">
        <f>SUM(J157:U157)</f>
        <v>0</v>
      </c>
      <c r="G157">
        <f>SUM(AT157:BE157)</f>
        <v>0</v>
      </c>
      <c r="H157">
        <f>B157-G156</f>
        <v>0</v>
      </c>
      <c r="I157">
        <f>B157-G157</f>
        <v>0</v>
      </c>
      <c r="J157">
        <f>IF(AT156&lt;=0,0,IF(ROUND(AT156*(1+'Calc base'!H157),2)-MAX('Calc base'!C$12,ROUND('Calc base'!C$13*AT156,2))&lt;1,ROUND(AT156*(1+'Calc base'!H157),2),MAX('Calc base'!C$12,ROUND('Calc base'!C$13*AT156,2))))</f>
        <v>0</v>
      </c>
      <c r="K157">
        <f>IF(AU156&lt;=0,0,IF(ROUND(AU156*(1+'Calc base'!I157),2)-MAX('Calc base'!D$12,ROUND('Calc base'!D$13*AU156,2))&lt;1,ROUND(AU156*(1+'Calc base'!I157),2),MAX('Calc base'!D$12,ROUND('Calc base'!D$13*AU156,2))))</f>
        <v>0</v>
      </c>
      <c r="L157">
        <f>IF(AV156&lt;=0,0,IF(ROUND(AV156*(1+'Calc base'!J157),2)-MAX('Calc base'!E$12,ROUND('Calc base'!E$13*AV156,2))&lt;1,ROUND(AV156*(1+'Calc base'!J157),2),MAX('Calc base'!E$12,ROUND('Calc base'!E$13*AV156,2))))</f>
        <v>0</v>
      </c>
      <c r="M157">
        <f>IF(AW156&lt;=0,0,IF(ROUND(AW156*(1+'Calc base'!K157),2)-MAX('Calc base'!F$12,ROUND('Calc base'!F$13*AW156,2))&lt;1,ROUND(AW156*(1+'Calc base'!K157),2),MAX('Calc base'!F$12,ROUND('Calc base'!F$13*AW156,2))))</f>
        <v>0</v>
      </c>
      <c r="N157">
        <f>IF(AX156&lt;=0,0,IF(ROUND(AX156*(1+'Calc base'!L157),2)-MAX('Calc base'!G$12,ROUND('Calc base'!G$13*AX156,2))&lt;1,ROUND(AX156*(1+'Calc base'!L157),2),MAX('Calc base'!G$12,ROUND('Calc base'!G$13*AX156,2))))</f>
        <v>0</v>
      </c>
      <c r="O157">
        <f>IF(AY156&lt;=0,0,IF(ROUND(AY156*(1+'Calc base'!M157),2)-MAX('Calc base'!H$12,ROUND('Calc base'!H$13*AY156,2))&lt;1,ROUND(AY156*(1+'Calc base'!M157),2),MAX('Calc base'!H$12,ROUND('Calc base'!H$13*AY156,2))))</f>
        <v>0</v>
      </c>
      <c r="P157">
        <f>IF(AZ156&lt;=0,0,IF(ROUND(AZ156*(1+'Calc base'!N157),2)-MAX('Calc base'!I$12,ROUND('Calc base'!I$13*AZ156,2))&lt;1,ROUND(AZ156*(1+'Calc base'!N157),2),MAX('Calc base'!I$12,ROUND('Calc base'!I$13*AZ156,2))))</f>
        <v>0</v>
      </c>
      <c r="Q157">
        <f>IF(BA156&lt;=0,0,IF(ROUND(BA156*(1+'Calc base'!O157),2)-MAX('Calc base'!J$12,ROUND('Calc base'!J$13*BA156,2))&lt;1,ROUND(BA156*(1+'Calc base'!O157),2),MAX('Calc base'!J$12,ROUND('Calc base'!J$13*BA156,2))))</f>
        <v>0</v>
      </c>
      <c r="R157">
        <f>IF(BB156&lt;=0,0,IF(ROUND(BB156*(1+'Calc base'!P157),2)-MAX('Calc base'!K$12,ROUND('Calc base'!K$13*BB156,2))&lt;1,ROUND(BB156*(1+'Calc base'!P157),2),MAX('Calc base'!K$12,ROUND('Calc base'!K$13*BB156,2))))</f>
        <v>0</v>
      </c>
      <c r="S157">
        <f>IF(BC156&lt;=0,0,IF(ROUND(BC156*(1+'Calc base'!Q157),2)-MAX('Calc base'!L$12,ROUND('Calc base'!L$13*BC156,2))&lt;1,ROUND(BC156*(1+'Calc base'!Q157),2),MAX('Calc base'!L$12,ROUND('Calc base'!L$13*BC156,2))))</f>
        <v>0</v>
      </c>
      <c r="T157">
        <f>IF(BD156&lt;=0,0,IF(ROUND(BD156*(1+'Calc base'!R157),2)-MAX('Calc base'!M$12,ROUND('Calc base'!M$13*BD156,2))&lt;1,ROUND(BD156*(1+'Calc base'!R157),2),MAX('Calc base'!M$12,ROUND('Calc base'!M$13*BD156,2))))</f>
        <v>0</v>
      </c>
      <c r="U157">
        <f>IF(BE156&lt;=0,0,IF(ROUND(BE156*(1+'Calc base'!S157),2)-MAX('Calc base'!N$12,ROUND('Calc base'!N$13*BE156,2))&lt;1,ROUND(BE156*(1+'Calc base'!S157),2),MAX('Calc base'!N$12,ROUND('Calc base'!N$13*BE156,2))))</f>
        <v>0</v>
      </c>
      <c r="AT157">
        <f>MAX(0,ROUND(AT156*(1+'Calc base'!H157),2)-J157)</f>
        <v>0</v>
      </c>
      <c r="AU157">
        <f>MAX(0,ROUND(AU156*(1+'Calc base'!I157),2)-K157)</f>
        <v>0</v>
      </c>
      <c r="AV157">
        <f>MAX(0,ROUND(AV156*(1+'Calc base'!J157),2)-L157)</f>
        <v>0</v>
      </c>
      <c r="AW157">
        <f>MAX(0,ROUND(AW156*(1+'Calc base'!K157),2)-M157)</f>
        <v>0</v>
      </c>
      <c r="AX157">
        <f>MAX(0,ROUND(AX156*(1+'Calc base'!L157),2)-N157)</f>
        <v>0</v>
      </c>
      <c r="AY157">
        <f>MAX(0,ROUND(AY156*(1+'Calc base'!M157),2)-O157)</f>
        <v>0</v>
      </c>
      <c r="AZ157">
        <f>MAX(0,ROUND(AZ156*(1+'Calc base'!N157),2)-P157)</f>
        <v>0</v>
      </c>
      <c r="BA157">
        <f>MAX(0,ROUND(BA156*(1+'Calc base'!O157),2)-Q157)</f>
        <v>0</v>
      </c>
      <c r="BB157">
        <f>MAX(0,ROUND(BB156*(1+'Calc base'!P157),2)-R157)</f>
        <v>0</v>
      </c>
      <c r="BC157">
        <f>MAX(0,ROUND(BC156*(1+'Calc base'!Q157),2)-S157)</f>
        <v>0</v>
      </c>
      <c r="BD157">
        <f>MAX(0,ROUND(BD156*(1+'Calc base'!R157),2)-T157)</f>
        <v>0</v>
      </c>
      <c r="BE157">
        <f>MAX(0,ROUND(BE156*(1+'Calc base'!S157),2)-U157)</f>
        <v>0</v>
      </c>
    </row>
    <row r="158">
      <c r="A158" t="n">
        <v>128</v>
      </c>
      <c r="B158">
        <f>SUMPRODUCT(ROUND($AT157:$BE157*(1+'Calc base'!$H158:$S158),2))</f>
        <v>0</v>
      </c>
      <c r="C158">
        <f>SUM(J158:U158)</f>
        <v>0</v>
      </c>
      <c r="G158">
        <f>SUM(AT158:BE158)</f>
        <v>0</v>
      </c>
      <c r="H158">
        <f>B158-G157</f>
        <v>0</v>
      </c>
      <c r="I158">
        <f>B158-G158</f>
        <v>0</v>
      </c>
      <c r="J158">
        <f>IF(AT157&lt;=0,0,IF(ROUND(AT157*(1+'Calc base'!H158),2)-MAX('Calc base'!C$12,ROUND('Calc base'!C$13*AT157,2))&lt;1,ROUND(AT157*(1+'Calc base'!H158),2),MAX('Calc base'!C$12,ROUND('Calc base'!C$13*AT157,2))))</f>
        <v>0</v>
      </c>
      <c r="K158">
        <f>IF(AU157&lt;=0,0,IF(ROUND(AU157*(1+'Calc base'!I158),2)-MAX('Calc base'!D$12,ROUND('Calc base'!D$13*AU157,2))&lt;1,ROUND(AU157*(1+'Calc base'!I158),2),MAX('Calc base'!D$12,ROUND('Calc base'!D$13*AU157,2))))</f>
        <v>0</v>
      </c>
      <c r="L158">
        <f>IF(AV157&lt;=0,0,IF(ROUND(AV157*(1+'Calc base'!J158),2)-MAX('Calc base'!E$12,ROUND('Calc base'!E$13*AV157,2))&lt;1,ROUND(AV157*(1+'Calc base'!J158),2),MAX('Calc base'!E$12,ROUND('Calc base'!E$13*AV157,2))))</f>
        <v>0</v>
      </c>
      <c r="M158">
        <f>IF(AW157&lt;=0,0,IF(ROUND(AW157*(1+'Calc base'!K158),2)-MAX('Calc base'!F$12,ROUND('Calc base'!F$13*AW157,2))&lt;1,ROUND(AW157*(1+'Calc base'!K158),2),MAX('Calc base'!F$12,ROUND('Calc base'!F$13*AW157,2))))</f>
        <v>0</v>
      </c>
      <c r="N158">
        <f>IF(AX157&lt;=0,0,IF(ROUND(AX157*(1+'Calc base'!L158),2)-MAX('Calc base'!G$12,ROUND('Calc base'!G$13*AX157,2))&lt;1,ROUND(AX157*(1+'Calc base'!L158),2),MAX('Calc base'!G$12,ROUND('Calc base'!G$13*AX157,2))))</f>
        <v>0</v>
      </c>
      <c r="O158">
        <f>IF(AY157&lt;=0,0,IF(ROUND(AY157*(1+'Calc base'!M158),2)-MAX('Calc base'!H$12,ROUND('Calc base'!H$13*AY157,2))&lt;1,ROUND(AY157*(1+'Calc base'!M158),2),MAX('Calc base'!H$12,ROUND('Calc base'!H$13*AY157,2))))</f>
        <v>0</v>
      </c>
      <c r="P158">
        <f>IF(AZ157&lt;=0,0,IF(ROUND(AZ157*(1+'Calc base'!N158),2)-MAX('Calc base'!I$12,ROUND('Calc base'!I$13*AZ157,2))&lt;1,ROUND(AZ157*(1+'Calc base'!N158),2),MAX('Calc base'!I$12,ROUND('Calc base'!I$13*AZ157,2))))</f>
        <v>0</v>
      </c>
      <c r="Q158">
        <f>IF(BA157&lt;=0,0,IF(ROUND(BA157*(1+'Calc base'!O158),2)-MAX('Calc base'!J$12,ROUND('Calc base'!J$13*BA157,2))&lt;1,ROUND(BA157*(1+'Calc base'!O158),2),MAX('Calc base'!J$12,ROUND('Calc base'!J$13*BA157,2))))</f>
        <v>0</v>
      </c>
      <c r="R158">
        <f>IF(BB157&lt;=0,0,IF(ROUND(BB157*(1+'Calc base'!P158),2)-MAX('Calc base'!K$12,ROUND('Calc base'!K$13*BB157,2))&lt;1,ROUND(BB157*(1+'Calc base'!P158),2),MAX('Calc base'!K$12,ROUND('Calc base'!K$13*BB157,2))))</f>
        <v>0</v>
      </c>
      <c r="S158">
        <f>IF(BC157&lt;=0,0,IF(ROUND(BC157*(1+'Calc base'!Q158),2)-MAX('Calc base'!L$12,ROUND('Calc base'!L$13*BC157,2))&lt;1,ROUND(BC157*(1+'Calc base'!Q158),2),MAX('Calc base'!L$12,ROUND('Calc base'!L$13*BC157,2))))</f>
        <v>0</v>
      </c>
      <c r="T158">
        <f>IF(BD157&lt;=0,0,IF(ROUND(BD157*(1+'Calc base'!R158),2)-MAX('Calc base'!M$12,ROUND('Calc base'!M$13*BD157,2))&lt;1,ROUND(BD157*(1+'Calc base'!R158),2),MAX('Calc base'!M$12,ROUND('Calc base'!M$13*BD157,2))))</f>
        <v>0</v>
      </c>
      <c r="U158">
        <f>IF(BE157&lt;=0,0,IF(ROUND(BE157*(1+'Calc base'!S158),2)-MAX('Calc base'!N$12,ROUND('Calc base'!N$13*BE157,2))&lt;1,ROUND(BE157*(1+'Calc base'!S158),2),MAX('Calc base'!N$12,ROUND('Calc base'!N$13*BE157,2))))</f>
        <v>0</v>
      </c>
      <c r="AT158">
        <f>MAX(0,ROUND(AT157*(1+'Calc base'!H158),2)-J158)</f>
        <v>0</v>
      </c>
      <c r="AU158">
        <f>MAX(0,ROUND(AU157*(1+'Calc base'!I158),2)-K158)</f>
        <v>0</v>
      </c>
      <c r="AV158">
        <f>MAX(0,ROUND(AV157*(1+'Calc base'!J158),2)-L158)</f>
        <v>0</v>
      </c>
      <c r="AW158">
        <f>MAX(0,ROUND(AW157*(1+'Calc base'!K158),2)-M158)</f>
        <v>0</v>
      </c>
      <c r="AX158">
        <f>MAX(0,ROUND(AX157*(1+'Calc base'!L158),2)-N158)</f>
        <v>0</v>
      </c>
      <c r="AY158">
        <f>MAX(0,ROUND(AY157*(1+'Calc base'!M158),2)-O158)</f>
        <v>0</v>
      </c>
      <c r="AZ158">
        <f>MAX(0,ROUND(AZ157*(1+'Calc base'!N158),2)-P158)</f>
        <v>0</v>
      </c>
      <c r="BA158">
        <f>MAX(0,ROUND(BA157*(1+'Calc base'!O158),2)-Q158)</f>
        <v>0</v>
      </c>
      <c r="BB158">
        <f>MAX(0,ROUND(BB157*(1+'Calc base'!P158),2)-R158)</f>
        <v>0</v>
      </c>
      <c r="BC158">
        <f>MAX(0,ROUND(BC157*(1+'Calc base'!Q158),2)-S158)</f>
        <v>0</v>
      </c>
      <c r="BD158">
        <f>MAX(0,ROUND(BD157*(1+'Calc base'!R158),2)-T158)</f>
        <v>0</v>
      </c>
      <c r="BE158">
        <f>MAX(0,ROUND(BE157*(1+'Calc base'!S158),2)-U158)</f>
        <v>0</v>
      </c>
    </row>
    <row r="159">
      <c r="A159" t="n">
        <v>129</v>
      </c>
      <c r="B159">
        <f>SUMPRODUCT(ROUND($AT158:$BE158*(1+'Calc base'!$H159:$S159),2))</f>
        <v>0</v>
      </c>
      <c r="C159">
        <f>SUM(J159:U159)</f>
        <v>0</v>
      </c>
      <c r="G159">
        <f>SUM(AT159:BE159)</f>
        <v>0</v>
      </c>
      <c r="H159">
        <f>B159-G158</f>
        <v>0</v>
      </c>
      <c r="I159">
        <f>B159-G159</f>
        <v>0</v>
      </c>
      <c r="J159">
        <f>IF(AT158&lt;=0,0,IF(ROUND(AT158*(1+'Calc base'!H159),2)-MAX('Calc base'!C$12,ROUND('Calc base'!C$13*AT158,2))&lt;1,ROUND(AT158*(1+'Calc base'!H159),2),MAX('Calc base'!C$12,ROUND('Calc base'!C$13*AT158,2))))</f>
        <v>0</v>
      </c>
      <c r="K159">
        <f>IF(AU158&lt;=0,0,IF(ROUND(AU158*(1+'Calc base'!I159),2)-MAX('Calc base'!D$12,ROUND('Calc base'!D$13*AU158,2))&lt;1,ROUND(AU158*(1+'Calc base'!I159),2),MAX('Calc base'!D$12,ROUND('Calc base'!D$13*AU158,2))))</f>
        <v>0</v>
      </c>
      <c r="L159">
        <f>IF(AV158&lt;=0,0,IF(ROUND(AV158*(1+'Calc base'!J159),2)-MAX('Calc base'!E$12,ROUND('Calc base'!E$13*AV158,2))&lt;1,ROUND(AV158*(1+'Calc base'!J159),2),MAX('Calc base'!E$12,ROUND('Calc base'!E$13*AV158,2))))</f>
        <v>0</v>
      </c>
      <c r="M159">
        <f>IF(AW158&lt;=0,0,IF(ROUND(AW158*(1+'Calc base'!K159),2)-MAX('Calc base'!F$12,ROUND('Calc base'!F$13*AW158,2))&lt;1,ROUND(AW158*(1+'Calc base'!K159),2),MAX('Calc base'!F$12,ROUND('Calc base'!F$13*AW158,2))))</f>
        <v>0</v>
      </c>
      <c r="N159">
        <f>IF(AX158&lt;=0,0,IF(ROUND(AX158*(1+'Calc base'!L159),2)-MAX('Calc base'!G$12,ROUND('Calc base'!G$13*AX158,2))&lt;1,ROUND(AX158*(1+'Calc base'!L159),2),MAX('Calc base'!G$12,ROUND('Calc base'!G$13*AX158,2))))</f>
        <v>0</v>
      </c>
      <c r="O159">
        <f>IF(AY158&lt;=0,0,IF(ROUND(AY158*(1+'Calc base'!M159),2)-MAX('Calc base'!H$12,ROUND('Calc base'!H$13*AY158,2))&lt;1,ROUND(AY158*(1+'Calc base'!M159),2),MAX('Calc base'!H$12,ROUND('Calc base'!H$13*AY158,2))))</f>
        <v>0</v>
      </c>
      <c r="P159">
        <f>IF(AZ158&lt;=0,0,IF(ROUND(AZ158*(1+'Calc base'!N159),2)-MAX('Calc base'!I$12,ROUND('Calc base'!I$13*AZ158,2))&lt;1,ROUND(AZ158*(1+'Calc base'!N159),2),MAX('Calc base'!I$12,ROUND('Calc base'!I$13*AZ158,2))))</f>
        <v>0</v>
      </c>
      <c r="Q159">
        <f>IF(BA158&lt;=0,0,IF(ROUND(BA158*(1+'Calc base'!O159),2)-MAX('Calc base'!J$12,ROUND('Calc base'!J$13*BA158,2))&lt;1,ROUND(BA158*(1+'Calc base'!O159),2),MAX('Calc base'!J$12,ROUND('Calc base'!J$13*BA158,2))))</f>
        <v>0</v>
      </c>
      <c r="R159">
        <f>IF(BB158&lt;=0,0,IF(ROUND(BB158*(1+'Calc base'!P159),2)-MAX('Calc base'!K$12,ROUND('Calc base'!K$13*BB158,2))&lt;1,ROUND(BB158*(1+'Calc base'!P159),2),MAX('Calc base'!K$12,ROUND('Calc base'!K$13*BB158,2))))</f>
        <v>0</v>
      </c>
      <c r="S159">
        <f>IF(BC158&lt;=0,0,IF(ROUND(BC158*(1+'Calc base'!Q159),2)-MAX('Calc base'!L$12,ROUND('Calc base'!L$13*BC158,2))&lt;1,ROUND(BC158*(1+'Calc base'!Q159),2),MAX('Calc base'!L$12,ROUND('Calc base'!L$13*BC158,2))))</f>
        <v>0</v>
      </c>
      <c r="T159">
        <f>IF(BD158&lt;=0,0,IF(ROUND(BD158*(1+'Calc base'!R159),2)-MAX('Calc base'!M$12,ROUND('Calc base'!M$13*BD158,2))&lt;1,ROUND(BD158*(1+'Calc base'!R159),2),MAX('Calc base'!M$12,ROUND('Calc base'!M$13*BD158,2))))</f>
        <v>0</v>
      </c>
      <c r="U159">
        <f>IF(BE158&lt;=0,0,IF(ROUND(BE158*(1+'Calc base'!S159),2)-MAX('Calc base'!N$12,ROUND('Calc base'!N$13*BE158,2))&lt;1,ROUND(BE158*(1+'Calc base'!S159),2),MAX('Calc base'!N$12,ROUND('Calc base'!N$13*BE158,2))))</f>
        <v>0</v>
      </c>
      <c r="AT159">
        <f>MAX(0,ROUND(AT158*(1+'Calc base'!H159),2)-J159)</f>
        <v>0</v>
      </c>
      <c r="AU159">
        <f>MAX(0,ROUND(AU158*(1+'Calc base'!I159),2)-K159)</f>
        <v>0</v>
      </c>
      <c r="AV159">
        <f>MAX(0,ROUND(AV158*(1+'Calc base'!J159),2)-L159)</f>
        <v>0</v>
      </c>
      <c r="AW159">
        <f>MAX(0,ROUND(AW158*(1+'Calc base'!K159),2)-M159)</f>
        <v>0</v>
      </c>
      <c r="AX159">
        <f>MAX(0,ROUND(AX158*(1+'Calc base'!L159),2)-N159)</f>
        <v>0</v>
      </c>
      <c r="AY159">
        <f>MAX(0,ROUND(AY158*(1+'Calc base'!M159),2)-O159)</f>
        <v>0</v>
      </c>
      <c r="AZ159">
        <f>MAX(0,ROUND(AZ158*(1+'Calc base'!N159),2)-P159)</f>
        <v>0</v>
      </c>
      <c r="BA159">
        <f>MAX(0,ROUND(BA158*(1+'Calc base'!O159),2)-Q159)</f>
        <v>0</v>
      </c>
      <c r="BB159">
        <f>MAX(0,ROUND(BB158*(1+'Calc base'!P159),2)-R159)</f>
        <v>0</v>
      </c>
      <c r="BC159">
        <f>MAX(0,ROUND(BC158*(1+'Calc base'!Q159),2)-S159)</f>
        <v>0</v>
      </c>
      <c r="BD159">
        <f>MAX(0,ROUND(BD158*(1+'Calc base'!R159),2)-T159)</f>
        <v>0</v>
      </c>
      <c r="BE159">
        <f>MAX(0,ROUND(BE158*(1+'Calc base'!S159),2)-U159)</f>
        <v>0</v>
      </c>
    </row>
    <row r="160">
      <c r="A160" t="n">
        <v>130</v>
      </c>
      <c r="B160">
        <f>SUMPRODUCT(ROUND($AT159:$BE159*(1+'Calc base'!$H160:$S160),2))</f>
        <v>0</v>
      </c>
      <c r="C160">
        <f>SUM(J160:U160)</f>
        <v>0</v>
      </c>
      <c r="G160">
        <f>SUM(AT160:BE160)</f>
        <v>0</v>
      </c>
      <c r="H160">
        <f>B160-G159</f>
        <v>0</v>
      </c>
      <c r="I160">
        <f>B160-G160</f>
        <v>0</v>
      </c>
      <c r="J160">
        <f>IF(AT159&lt;=0,0,IF(ROUND(AT159*(1+'Calc base'!H160),2)-MAX('Calc base'!C$12,ROUND('Calc base'!C$13*AT159,2))&lt;1,ROUND(AT159*(1+'Calc base'!H160),2),MAX('Calc base'!C$12,ROUND('Calc base'!C$13*AT159,2))))</f>
        <v>0</v>
      </c>
      <c r="K160">
        <f>IF(AU159&lt;=0,0,IF(ROUND(AU159*(1+'Calc base'!I160),2)-MAX('Calc base'!D$12,ROUND('Calc base'!D$13*AU159,2))&lt;1,ROUND(AU159*(1+'Calc base'!I160),2),MAX('Calc base'!D$12,ROUND('Calc base'!D$13*AU159,2))))</f>
        <v>0</v>
      </c>
      <c r="L160">
        <f>IF(AV159&lt;=0,0,IF(ROUND(AV159*(1+'Calc base'!J160),2)-MAX('Calc base'!E$12,ROUND('Calc base'!E$13*AV159,2))&lt;1,ROUND(AV159*(1+'Calc base'!J160),2),MAX('Calc base'!E$12,ROUND('Calc base'!E$13*AV159,2))))</f>
        <v>0</v>
      </c>
      <c r="M160">
        <f>IF(AW159&lt;=0,0,IF(ROUND(AW159*(1+'Calc base'!K160),2)-MAX('Calc base'!F$12,ROUND('Calc base'!F$13*AW159,2))&lt;1,ROUND(AW159*(1+'Calc base'!K160),2),MAX('Calc base'!F$12,ROUND('Calc base'!F$13*AW159,2))))</f>
        <v>0</v>
      </c>
      <c r="N160">
        <f>IF(AX159&lt;=0,0,IF(ROUND(AX159*(1+'Calc base'!L160),2)-MAX('Calc base'!G$12,ROUND('Calc base'!G$13*AX159,2))&lt;1,ROUND(AX159*(1+'Calc base'!L160),2),MAX('Calc base'!G$12,ROUND('Calc base'!G$13*AX159,2))))</f>
        <v>0</v>
      </c>
      <c r="O160">
        <f>IF(AY159&lt;=0,0,IF(ROUND(AY159*(1+'Calc base'!M160),2)-MAX('Calc base'!H$12,ROUND('Calc base'!H$13*AY159,2))&lt;1,ROUND(AY159*(1+'Calc base'!M160),2),MAX('Calc base'!H$12,ROUND('Calc base'!H$13*AY159,2))))</f>
        <v>0</v>
      </c>
      <c r="P160">
        <f>IF(AZ159&lt;=0,0,IF(ROUND(AZ159*(1+'Calc base'!N160),2)-MAX('Calc base'!I$12,ROUND('Calc base'!I$13*AZ159,2))&lt;1,ROUND(AZ159*(1+'Calc base'!N160),2),MAX('Calc base'!I$12,ROUND('Calc base'!I$13*AZ159,2))))</f>
        <v>0</v>
      </c>
      <c r="Q160">
        <f>IF(BA159&lt;=0,0,IF(ROUND(BA159*(1+'Calc base'!O160),2)-MAX('Calc base'!J$12,ROUND('Calc base'!J$13*BA159,2))&lt;1,ROUND(BA159*(1+'Calc base'!O160),2),MAX('Calc base'!J$12,ROUND('Calc base'!J$13*BA159,2))))</f>
        <v>0</v>
      </c>
      <c r="R160">
        <f>IF(BB159&lt;=0,0,IF(ROUND(BB159*(1+'Calc base'!P160),2)-MAX('Calc base'!K$12,ROUND('Calc base'!K$13*BB159,2))&lt;1,ROUND(BB159*(1+'Calc base'!P160),2),MAX('Calc base'!K$12,ROUND('Calc base'!K$13*BB159,2))))</f>
        <v>0</v>
      </c>
      <c r="S160">
        <f>IF(BC159&lt;=0,0,IF(ROUND(BC159*(1+'Calc base'!Q160),2)-MAX('Calc base'!L$12,ROUND('Calc base'!L$13*BC159,2))&lt;1,ROUND(BC159*(1+'Calc base'!Q160),2),MAX('Calc base'!L$12,ROUND('Calc base'!L$13*BC159,2))))</f>
        <v>0</v>
      </c>
      <c r="T160">
        <f>IF(BD159&lt;=0,0,IF(ROUND(BD159*(1+'Calc base'!R160),2)-MAX('Calc base'!M$12,ROUND('Calc base'!M$13*BD159,2))&lt;1,ROUND(BD159*(1+'Calc base'!R160),2),MAX('Calc base'!M$12,ROUND('Calc base'!M$13*BD159,2))))</f>
        <v>0</v>
      </c>
      <c r="U160">
        <f>IF(BE159&lt;=0,0,IF(ROUND(BE159*(1+'Calc base'!S160),2)-MAX('Calc base'!N$12,ROUND('Calc base'!N$13*BE159,2))&lt;1,ROUND(BE159*(1+'Calc base'!S160),2),MAX('Calc base'!N$12,ROUND('Calc base'!N$13*BE159,2))))</f>
        <v>0</v>
      </c>
      <c r="AT160">
        <f>MAX(0,ROUND(AT159*(1+'Calc base'!H160),2)-J160)</f>
        <v>0</v>
      </c>
      <c r="AU160">
        <f>MAX(0,ROUND(AU159*(1+'Calc base'!I160),2)-K160)</f>
        <v>0</v>
      </c>
      <c r="AV160">
        <f>MAX(0,ROUND(AV159*(1+'Calc base'!J160),2)-L160)</f>
        <v>0</v>
      </c>
      <c r="AW160">
        <f>MAX(0,ROUND(AW159*(1+'Calc base'!K160),2)-M160)</f>
        <v>0</v>
      </c>
      <c r="AX160">
        <f>MAX(0,ROUND(AX159*(1+'Calc base'!L160),2)-N160)</f>
        <v>0</v>
      </c>
      <c r="AY160">
        <f>MAX(0,ROUND(AY159*(1+'Calc base'!M160),2)-O160)</f>
        <v>0</v>
      </c>
      <c r="AZ160">
        <f>MAX(0,ROUND(AZ159*(1+'Calc base'!N160),2)-P160)</f>
        <v>0</v>
      </c>
      <c r="BA160">
        <f>MAX(0,ROUND(BA159*(1+'Calc base'!O160),2)-Q160)</f>
        <v>0</v>
      </c>
      <c r="BB160">
        <f>MAX(0,ROUND(BB159*(1+'Calc base'!P160),2)-R160)</f>
        <v>0</v>
      </c>
      <c r="BC160">
        <f>MAX(0,ROUND(BC159*(1+'Calc base'!Q160),2)-S160)</f>
        <v>0</v>
      </c>
      <c r="BD160">
        <f>MAX(0,ROUND(BD159*(1+'Calc base'!R160),2)-T160)</f>
        <v>0</v>
      </c>
      <c r="BE160">
        <f>MAX(0,ROUND(BE159*(1+'Calc base'!S160),2)-U160)</f>
        <v>0</v>
      </c>
    </row>
    <row r="161">
      <c r="A161" t="n">
        <v>131</v>
      </c>
      <c r="B161">
        <f>SUMPRODUCT(ROUND($AT160:$BE160*(1+'Calc base'!$H161:$S161),2))</f>
        <v>0</v>
      </c>
      <c r="C161">
        <f>SUM(J161:U161)</f>
        <v>0</v>
      </c>
      <c r="G161">
        <f>SUM(AT161:BE161)</f>
        <v>0</v>
      </c>
      <c r="H161">
        <f>B161-G160</f>
        <v>0</v>
      </c>
      <c r="I161">
        <f>B161-G161</f>
        <v>0</v>
      </c>
      <c r="J161">
        <f>IF(AT160&lt;=0,0,IF(ROUND(AT160*(1+'Calc base'!H161),2)-MAX('Calc base'!C$12,ROUND('Calc base'!C$13*AT160,2))&lt;1,ROUND(AT160*(1+'Calc base'!H161),2),MAX('Calc base'!C$12,ROUND('Calc base'!C$13*AT160,2))))</f>
        <v>0</v>
      </c>
      <c r="K161">
        <f>IF(AU160&lt;=0,0,IF(ROUND(AU160*(1+'Calc base'!I161),2)-MAX('Calc base'!D$12,ROUND('Calc base'!D$13*AU160,2))&lt;1,ROUND(AU160*(1+'Calc base'!I161),2),MAX('Calc base'!D$12,ROUND('Calc base'!D$13*AU160,2))))</f>
        <v>0</v>
      </c>
      <c r="L161">
        <f>IF(AV160&lt;=0,0,IF(ROUND(AV160*(1+'Calc base'!J161),2)-MAX('Calc base'!E$12,ROUND('Calc base'!E$13*AV160,2))&lt;1,ROUND(AV160*(1+'Calc base'!J161),2),MAX('Calc base'!E$12,ROUND('Calc base'!E$13*AV160,2))))</f>
        <v>0</v>
      </c>
      <c r="M161">
        <f>IF(AW160&lt;=0,0,IF(ROUND(AW160*(1+'Calc base'!K161),2)-MAX('Calc base'!F$12,ROUND('Calc base'!F$13*AW160,2))&lt;1,ROUND(AW160*(1+'Calc base'!K161),2),MAX('Calc base'!F$12,ROUND('Calc base'!F$13*AW160,2))))</f>
        <v>0</v>
      </c>
      <c r="N161">
        <f>IF(AX160&lt;=0,0,IF(ROUND(AX160*(1+'Calc base'!L161),2)-MAX('Calc base'!G$12,ROUND('Calc base'!G$13*AX160,2))&lt;1,ROUND(AX160*(1+'Calc base'!L161),2),MAX('Calc base'!G$12,ROUND('Calc base'!G$13*AX160,2))))</f>
        <v>0</v>
      </c>
      <c r="O161">
        <f>IF(AY160&lt;=0,0,IF(ROUND(AY160*(1+'Calc base'!M161),2)-MAX('Calc base'!H$12,ROUND('Calc base'!H$13*AY160,2))&lt;1,ROUND(AY160*(1+'Calc base'!M161),2),MAX('Calc base'!H$12,ROUND('Calc base'!H$13*AY160,2))))</f>
        <v>0</v>
      </c>
      <c r="P161">
        <f>IF(AZ160&lt;=0,0,IF(ROUND(AZ160*(1+'Calc base'!N161),2)-MAX('Calc base'!I$12,ROUND('Calc base'!I$13*AZ160,2))&lt;1,ROUND(AZ160*(1+'Calc base'!N161),2),MAX('Calc base'!I$12,ROUND('Calc base'!I$13*AZ160,2))))</f>
        <v>0</v>
      </c>
      <c r="Q161">
        <f>IF(BA160&lt;=0,0,IF(ROUND(BA160*(1+'Calc base'!O161),2)-MAX('Calc base'!J$12,ROUND('Calc base'!J$13*BA160,2))&lt;1,ROUND(BA160*(1+'Calc base'!O161),2),MAX('Calc base'!J$12,ROUND('Calc base'!J$13*BA160,2))))</f>
        <v>0</v>
      </c>
      <c r="R161">
        <f>IF(BB160&lt;=0,0,IF(ROUND(BB160*(1+'Calc base'!P161),2)-MAX('Calc base'!K$12,ROUND('Calc base'!K$13*BB160,2))&lt;1,ROUND(BB160*(1+'Calc base'!P161),2),MAX('Calc base'!K$12,ROUND('Calc base'!K$13*BB160,2))))</f>
        <v>0</v>
      </c>
      <c r="S161">
        <f>IF(BC160&lt;=0,0,IF(ROUND(BC160*(1+'Calc base'!Q161),2)-MAX('Calc base'!L$12,ROUND('Calc base'!L$13*BC160,2))&lt;1,ROUND(BC160*(1+'Calc base'!Q161),2),MAX('Calc base'!L$12,ROUND('Calc base'!L$13*BC160,2))))</f>
        <v>0</v>
      </c>
      <c r="T161">
        <f>IF(BD160&lt;=0,0,IF(ROUND(BD160*(1+'Calc base'!R161),2)-MAX('Calc base'!M$12,ROUND('Calc base'!M$13*BD160,2))&lt;1,ROUND(BD160*(1+'Calc base'!R161),2),MAX('Calc base'!M$12,ROUND('Calc base'!M$13*BD160,2))))</f>
        <v>0</v>
      </c>
      <c r="U161">
        <f>IF(BE160&lt;=0,0,IF(ROUND(BE160*(1+'Calc base'!S161),2)-MAX('Calc base'!N$12,ROUND('Calc base'!N$13*BE160,2))&lt;1,ROUND(BE160*(1+'Calc base'!S161),2),MAX('Calc base'!N$12,ROUND('Calc base'!N$13*BE160,2))))</f>
        <v>0</v>
      </c>
      <c r="AT161">
        <f>MAX(0,ROUND(AT160*(1+'Calc base'!H161),2)-J161)</f>
        <v>0</v>
      </c>
      <c r="AU161">
        <f>MAX(0,ROUND(AU160*(1+'Calc base'!I161),2)-K161)</f>
        <v>0</v>
      </c>
      <c r="AV161">
        <f>MAX(0,ROUND(AV160*(1+'Calc base'!J161),2)-L161)</f>
        <v>0</v>
      </c>
      <c r="AW161">
        <f>MAX(0,ROUND(AW160*(1+'Calc base'!K161),2)-M161)</f>
        <v>0</v>
      </c>
      <c r="AX161">
        <f>MAX(0,ROUND(AX160*(1+'Calc base'!L161),2)-N161)</f>
        <v>0</v>
      </c>
      <c r="AY161">
        <f>MAX(0,ROUND(AY160*(1+'Calc base'!M161),2)-O161)</f>
        <v>0</v>
      </c>
      <c r="AZ161">
        <f>MAX(0,ROUND(AZ160*(1+'Calc base'!N161),2)-P161)</f>
        <v>0</v>
      </c>
      <c r="BA161">
        <f>MAX(0,ROUND(BA160*(1+'Calc base'!O161),2)-Q161)</f>
        <v>0</v>
      </c>
      <c r="BB161">
        <f>MAX(0,ROUND(BB160*(1+'Calc base'!P161),2)-R161)</f>
        <v>0</v>
      </c>
      <c r="BC161">
        <f>MAX(0,ROUND(BC160*(1+'Calc base'!Q161),2)-S161)</f>
        <v>0</v>
      </c>
      <c r="BD161">
        <f>MAX(0,ROUND(BD160*(1+'Calc base'!R161),2)-T161)</f>
        <v>0</v>
      </c>
      <c r="BE161">
        <f>MAX(0,ROUND(BE160*(1+'Calc base'!S161),2)-U161)</f>
        <v>0</v>
      </c>
    </row>
    <row r="162">
      <c r="A162" t="n">
        <v>132</v>
      </c>
      <c r="B162">
        <f>SUMPRODUCT(ROUND($AT161:$BE161*(1+'Calc base'!$H162:$S162),2))</f>
        <v>0</v>
      </c>
      <c r="C162">
        <f>SUM(J162:U162)</f>
        <v>0</v>
      </c>
      <c r="G162">
        <f>SUM(AT162:BE162)</f>
        <v>0</v>
      </c>
      <c r="H162">
        <f>B162-G161</f>
        <v>0</v>
      </c>
      <c r="I162">
        <f>B162-G162</f>
        <v>0</v>
      </c>
      <c r="J162">
        <f>IF(AT161&lt;=0,0,IF(ROUND(AT161*(1+'Calc base'!H162),2)-MAX('Calc base'!C$12,ROUND('Calc base'!C$13*AT161,2))&lt;1,ROUND(AT161*(1+'Calc base'!H162),2),MAX('Calc base'!C$12,ROUND('Calc base'!C$13*AT161,2))))</f>
        <v>0</v>
      </c>
      <c r="K162">
        <f>IF(AU161&lt;=0,0,IF(ROUND(AU161*(1+'Calc base'!I162),2)-MAX('Calc base'!D$12,ROUND('Calc base'!D$13*AU161,2))&lt;1,ROUND(AU161*(1+'Calc base'!I162),2),MAX('Calc base'!D$12,ROUND('Calc base'!D$13*AU161,2))))</f>
        <v>0</v>
      </c>
      <c r="L162">
        <f>IF(AV161&lt;=0,0,IF(ROUND(AV161*(1+'Calc base'!J162),2)-MAX('Calc base'!E$12,ROUND('Calc base'!E$13*AV161,2))&lt;1,ROUND(AV161*(1+'Calc base'!J162),2),MAX('Calc base'!E$12,ROUND('Calc base'!E$13*AV161,2))))</f>
        <v>0</v>
      </c>
      <c r="M162">
        <f>IF(AW161&lt;=0,0,IF(ROUND(AW161*(1+'Calc base'!K162),2)-MAX('Calc base'!F$12,ROUND('Calc base'!F$13*AW161,2))&lt;1,ROUND(AW161*(1+'Calc base'!K162),2),MAX('Calc base'!F$12,ROUND('Calc base'!F$13*AW161,2))))</f>
        <v>0</v>
      </c>
      <c r="N162">
        <f>IF(AX161&lt;=0,0,IF(ROUND(AX161*(1+'Calc base'!L162),2)-MAX('Calc base'!G$12,ROUND('Calc base'!G$13*AX161,2))&lt;1,ROUND(AX161*(1+'Calc base'!L162),2),MAX('Calc base'!G$12,ROUND('Calc base'!G$13*AX161,2))))</f>
        <v>0</v>
      </c>
      <c r="O162">
        <f>IF(AY161&lt;=0,0,IF(ROUND(AY161*(1+'Calc base'!M162),2)-MAX('Calc base'!H$12,ROUND('Calc base'!H$13*AY161,2))&lt;1,ROUND(AY161*(1+'Calc base'!M162),2),MAX('Calc base'!H$12,ROUND('Calc base'!H$13*AY161,2))))</f>
        <v>0</v>
      </c>
      <c r="P162">
        <f>IF(AZ161&lt;=0,0,IF(ROUND(AZ161*(1+'Calc base'!N162),2)-MAX('Calc base'!I$12,ROUND('Calc base'!I$13*AZ161,2))&lt;1,ROUND(AZ161*(1+'Calc base'!N162),2),MAX('Calc base'!I$12,ROUND('Calc base'!I$13*AZ161,2))))</f>
        <v>0</v>
      </c>
      <c r="Q162">
        <f>IF(BA161&lt;=0,0,IF(ROUND(BA161*(1+'Calc base'!O162),2)-MAX('Calc base'!J$12,ROUND('Calc base'!J$13*BA161,2))&lt;1,ROUND(BA161*(1+'Calc base'!O162),2),MAX('Calc base'!J$12,ROUND('Calc base'!J$13*BA161,2))))</f>
        <v>0</v>
      </c>
      <c r="R162">
        <f>IF(BB161&lt;=0,0,IF(ROUND(BB161*(1+'Calc base'!P162),2)-MAX('Calc base'!K$12,ROUND('Calc base'!K$13*BB161,2))&lt;1,ROUND(BB161*(1+'Calc base'!P162),2),MAX('Calc base'!K$12,ROUND('Calc base'!K$13*BB161,2))))</f>
        <v>0</v>
      </c>
      <c r="S162">
        <f>IF(BC161&lt;=0,0,IF(ROUND(BC161*(1+'Calc base'!Q162),2)-MAX('Calc base'!L$12,ROUND('Calc base'!L$13*BC161,2))&lt;1,ROUND(BC161*(1+'Calc base'!Q162),2),MAX('Calc base'!L$12,ROUND('Calc base'!L$13*BC161,2))))</f>
        <v>0</v>
      </c>
      <c r="T162">
        <f>IF(BD161&lt;=0,0,IF(ROUND(BD161*(1+'Calc base'!R162),2)-MAX('Calc base'!M$12,ROUND('Calc base'!M$13*BD161,2))&lt;1,ROUND(BD161*(1+'Calc base'!R162),2),MAX('Calc base'!M$12,ROUND('Calc base'!M$13*BD161,2))))</f>
        <v>0</v>
      </c>
      <c r="U162">
        <f>IF(BE161&lt;=0,0,IF(ROUND(BE161*(1+'Calc base'!S162),2)-MAX('Calc base'!N$12,ROUND('Calc base'!N$13*BE161,2))&lt;1,ROUND(BE161*(1+'Calc base'!S162),2),MAX('Calc base'!N$12,ROUND('Calc base'!N$13*BE161,2))))</f>
        <v>0</v>
      </c>
      <c r="AT162">
        <f>MAX(0,ROUND(AT161*(1+'Calc base'!H162),2)-J162)</f>
        <v>0</v>
      </c>
      <c r="AU162">
        <f>MAX(0,ROUND(AU161*(1+'Calc base'!I162),2)-K162)</f>
        <v>0</v>
      </c>
      <c r="AV162">
        <f>MAX(0,ROUND(AV161*(1+'Calc base'!J162),2)-L162)</f>
        <v>0</v>
      </c>
      <c r="AW162">
        <f>MAX(0,ROUND(AW161*(1+'Calc base'!K162),2)-M162)</f>
        <v>0</v>
      </c>
      <c r="AX162">
        <f>MAX(0,ROUND(AX161*(1+'Calc base'!L162),2)-N162)</f>
        <v>0</v>
      </c>
      <c r="AY162">
        <f>MAX(0,ROUND(AY161*(1+'Calc base'!M162),2)-O162)</f>
        <v>0</v>
      </c>
      <c r="AZ162">
        <f>MAX(0,ROUND(AZ161*(1+'Calc base'!N162),2)-P162)</f>
        <v>0</v>
      </c>
      <c r="BA162">
        <f>MAX(0,ROUND(BA161*(1+'Calc base'!O162),2)-Q162)</f>
        <v>0</v>
      </c>
      <c r="BB162">
        <f>MAX(0,ROUND(BB161*(1+'Calc base'!P162),2)-R162)</f>
        <v>0</v>
      </c>
      <c r="BC162">
        <f>MAX(0,ROUND(BC161*(1+'Calc base'!Q162),2)-S162)</f>
        <v>0</v>
      </c>
      <c r="BD162">
        <f>MAX(0,ROUND(BD161*(1+'Calc base'!R162),2)-T162)</f>
        <v>0</v>
      </c>
      <c r="BE162">
        <f>MAX(0,ROUND(BE161*(1+'Calc base'!S162),2)-U162)</f>
        <v>0</v>
      </c>
    </row>
    <row r="163">
      <c r="A163" t="n">
        <v>133</v>
      </c>
      <c r="B163">
        <f>SUMPRODUCT(ROUND($AT162:$BE162*(1+'Calc base'!$H163:$S163),2))</f>
        <v>0</v>
      </c>
      <c r="C163">
        <f>SUM(J163:U163)</f>
        <v>0</v>
      </c>
      <c r="G163">
        <f>SUM(AT163:BE163)</f>
        <v>0</v>
      </c>
      <c r="H163">
        <f>B163-G162</f>
        <v>0</v>
      </c>
      <c r="I163">
        <f>B163-G163</f>
        <v>0</v>
      </c>
      <c r="J163">
        <f>IF(AT162&lt;=0,0,IF(ROUND(AT162*(1+'Calc base'!H163),2)-MAX('Calc base'!C$12,ROUND('Calc base'!C$13*AT162,2))&lt;1,ROUND(AT162*(1+'Calc base'!H163),2),MAX('Calc base'!C$12,ROUND('Calc base'!C$13*AT162,2))))</f>
        <v>0</v>
      </c>
      <c r="K163">
        <f>IF(AU162&lt;=0,0,IF(ROUND(AU162*(1+'Calc base'!I163),2)-MAX('Calc base'!D$12,ROUND('Calc base'!D$13*AU162,2))&lt;1,ROUND(AU162*(1+'Calc base'!I163),2),MAX('Calc base'!D$12,ROUND('Calc base'!D$13*AU162,2))))</f>
        <v>0</v>
      </c>
      <c r="L163">
        <f>IF(AV162&lt;=0,0,IF(ROUND(AV162*(1+'Calc base'!J163),2)-MAX('Calc base'!E$12,ROUND('Calc base'!E$13*AV162,2))&lt;1,ROUND(AV162*(1+'Calc base'!J163),2),MAX('Calc base'!E$12,ROUND('Calc base'!E$13*AV162,2))))</f>
        <v>0</v>
      </c>
      <c r="M163">
        <f>IF(AW162&lt;=0,0,IF(ROUND(AW162*(1+'Calc base'!K163),2)-MAX('Calc base'!F$12,ROUND('Calc base'!F$13*AW162,2))&lt;1,ROUND(AW162*(1+'Calc base'!K163),2),MAX('Calc base'!F$12,ROUND('Calc base'!F$13*AW162,2))))</f>
        <v>0</v>
      </c>
      <c r="N163">
        <f>IF(AX162&lt;=0,0,IF(ROUND(AX162*(1+'Calc base'!L163),2)-MAX('Calc base'!G$12,ROUND('Calc base'!G$13*AX162,2))&lt;1,ROUND(AX162*(1+'Calc base'!L163),2),MAX('Calc base'!G$12,ROUND('Calc base'!G$13*AX162,2))))</f>
        <v>0</v>
      </c>
      <c r="O163">
        <f>IF(AY162&lt;=0,0,IF(ROUND(AY162*(1+'Calc base'!M163),2)-MAX('Calc base'!H$12,ROUND('Calc base'!H$13*AY162,2))&lt;1,ROUND(AY162*(1+'Calc base'!M163),2),MAX('Calc base'!H$12,ROUND('Calc base'!H$13*AY162,2))))</f>
        <v>0</v>
      </c>
      <c r="P163">
        <f>IF(AZ162&lt;=0,0,IF(ROUND(AZ162*(1+'Calc base'!N163),2)-MAX('Calc base'!I$12,ROUND('Calc base'!I$13*AZ162,2))&lt;1,ROUND(AZ162*(1+'Calc base'!N163),2),MAX('Calc base'!I$12,ROUND('Calc base'!I$13*AZ162,2))))</f>
        <v>0</v>
      </c>
      <c r="Q163">
        <f>IF(BA162&lt;=0,0,IF(ROUND(BA162*(1+'Calc base'!O163),2)-MAX('Calc base'!J$12,ROUND('Calc base'!J$13*BA162,2))&lt;1,ROUND(BA162*(1+'Calc base'!O163),2),MAX('Calc base'!J$12,ROUND('Calc base'!J$13*BA162,2))))</f>
        <v>0</v>
      </c>
      <c r="R163">
        <f>IF(BB162&lt;=0,0,IF(ROUND(BB162*(1+'Calc base'!P163),2)-MAX('Calc base'!K$12,ROUND('Calc base'!K$13*BB162,2))&lt;1,ROUND(BB162*(1+'Calc base'!P163),2),MAX('Calc base'!K$12,ROUND('Calc base'!K$13*BB162,2))))</f>
        <v>0</v>
      </c>
      <c r="S163">
        <f>IF(BC162&lt;=0,0,IF(ROUND(BC162*(1+'Calc base'!Q163),2)-MAX('Calc base'!L$12,ROUND('Calc base'!L$13*BC162,2))&lt;1,ROUND(BC162*(1+'Calc base'!Q163),2),MAX('Calc base'!L$12,ROUND('Calc base'!L$13*BC162,2))))</f>
        <v>0</v>
      </c>
      <c r="T163">
        <f>IF(BD162&lt;=0,0,IF(ROUND(BD162*(1+'Calc base'!R163),2)-MAX('Calc base'!M$12,ROUND('Calc base'!M$13*BD162,2))&lt;1,ROUND(BD162*(1+'Calc base'!R163),2),MAX('Calc base'!M$12,ROUND('Calc base'!M$13*BD162,2))))</f>
        <v>0</v>
      </c>
      <c r="U163">
        <f>IF(BE162&lt;=0,0,IF(ROUND(BE162*(1+'Calc base'!S163),2)-MAX('Calc base'!N$12,ROUND('Calc base'!N$13*BE162,2))&lt;1,ROUND(BE162*(1+'Calc base'!S163),2),MAX('Calc base'!N$12,ROUND('Calc base'!N$13*BE162,2))))</f>
        <v>0</v>
      </c>
      <c r="AT163">
        <f>MAX(0,ROUND(AT162*(1+'Calc base'!H163),2)-J163)</f>
        <v>0</v>
      </c>
      <c r="AU163">
        <f>MAX(0,ROUND(AU162*(1+'Calc base'!I163),2)-K163)</f>
        <v>0</v>
      </c>
      <c r="AV163">
        <f>MAX(0,ROUND(AV162*(1+'Calc base'!J163),2)-L163)</f>
        <v>0</v>
      </c>
      <c r="AW163">
        <f>MAX(0,ROUND(AW162*(1+'Calc base'!K163),2)-M163)</f>
        <v>0</v>
      </c>
      <c r="AX163">
        <f>MAX(0,ROUND(AX162*(1+'Calc base'!L163),2)-N163)</f>
        <v>0</v>
      </c>
      <c r="AY163">
        <f>MAX(0,ROUND(AY162*(1+'Calc base'!M163),2)-O163)</f>
        <v>0</v>
      </c>
      <c r="AZ163">
        <f>MAX(0,ROUND(AZ162*(1+'Calc base'!N163),2)-P163)</f>
        <v>0</v>
      </c>
      <c r="BA163">
        <f>MAX(0,ROUND(BA162*(1+'Calc base'!O163),2)-Q163)</f>
        <v>0</v>
      </c>
      <c r="BB163">
        <f>MAX(0,ROUND(BB162*(1+'Calc base'!P163),2)-R163)</f>
        <v>0</v>
      </c>
      <c r="BC163">
        <f>MAX(0,ROUND(BC162*(1+'Calc base'!Q163),2)-S163)</f>
        <v>0</v>
      </c>
      <c r="BD163">
        <f>MAX(0,ROUND(BD162*(1+'Calc base'!R163),2)-T163)</f>
        <v>0</v>
      </c>
      <c r="BE163">
        <f>MAX(0,ROUND(BE162*(1+'Calc base'!S163),2)-U163)</f>
        <v>0</v>
      </c>
    </row>
    <row r="164">
      <c r="A164" t="n">
        <v>134</v>
      </c>
      <c r="B164">
        <f>SUMPRODUCT(ROUND($AT163:$BE163*(1+'Calc base'!$H164:$S164),2))</f>
        <v>0</v>
      </c>
      <c r="C164">
        <f>SUM(J164:U164)</f>
        <v>0</v>
      </c>
      <c r="G164">
        <f>SUM(AT164:BE164)</f>
        <v>0</v>
      </c>
      <c r="H164">
        <f>B164-G163</f>
        <v>0</v>
      </c>
      <c r="I164">
        <f>B164-G164</f>
        <v>0</v>
      </c>
      <c r="J164">
        <f>IF(AT163&lt;=0,0,IF(ROUND(AT163*(1+'Calc base'!H164),2)-MAX('Calc base'!C$12,ROUND('Calc base'!C$13*AT163,2))&lt;1,ROUND(AT163*(1+'Calc base'!H164),2),MAX('Calc base'!C$12,ROUND('Calc base'!C$13*AT163,2))))</f>
        <v>0</v>
      </c>
      <c r="K164">
        <f>IF(AU163&lt;=0,0,IF(ROUND(AU163*(1+'Calc base'!I164),2)-MAX('Calc base'!D$12,ROUND('Calc base'!D$13*AU163,2))&lt;1,ROUND(AU163*(1+'Calc base'!I164),2),MAX('Calc base'!D$12,ROUND('Calc base'!D$13*AU163,2))))</f>
        <v>0</v>
      </c>
      <c r="L164">
        <f>IF(AV163&lt;=0,0,IF(ROUND(AV163*(1+'Calc base'!J164),2)-MAX('Calc base'!E$12,ROUND('Calc base'!E$13*AV163,2))&lt;1,ROUND(AV163*(1+'Calc base'!J164),2),MAX('Calc base'!E$12,ROUND('Calc base'!E$13*AV163,2))))</f>
        <v>0</v>
      </c>
      <c r="M164">
        <f>IF(AW163&lt;=0,0,IF(ROUND(AW163*(1+'Calc base'!K164),2)-MAX('Calc base'!F$12,ROUND('Calc base'!F$13*AW163,2))&lt;1,ROUND(AW163*(1+'Calc base'!K164),2),MAX('Calc base'!F$12,ROUND('Calc base'!F$13*AW163,2))))</f>
        <v>0</v>
      </c>
      <c r="N164">
        <f>IF(AX163&lt;=0,0,IF(ROUND(AX163*(1+'Calc base'!L164),2)-MAX('Calc base'!G$12,ROUND('Calc base'!G$13*AX163,2))&lt;1,ROUND(AX163*(1+'Calc base'!L164),2),MAX('Calc base'!G$12,ROUND('Calc base'!G$13*AX163,2))))</f>
        <v>0</v>
      </c>
      <c r="O164">
        <f>IF(AY163&lt;=0,0,IF(ROUND(AY163*(1+'Calc base'!M164),2)-MAX('Calc base'!H$12,ROUND('Calc base'!H$13*AY163,2))&lt;1,ROUND(AY163*(1+'Calc base'!M164),2),MAX('Calc base'!H$12,ROUND('Calc base'!H$13*AY163,2))))</f>
        <v>0</v>
      </c>
      <c r="P164">
        <f>IF(AZ163&lt;=0,0,IF(ROUND(AZ163*(1+'Calc base'!N164),2)-MAX('Calc base'!I$12,ROUND('Calc base'!I$13*AZ163,2))&lt;1,ROUND(AZ163*(1+'Calc base'!N164),2),MAX('Calc base'!I$12,ROUND('Calc base'!I$13*AZ163,2))))</f>
        <v>0</v>
      </c>
      <c r="Q164">
        <f>IF(BA163&lt;=0,0,IF(ROUND(BA163*(1+'Calc base'!O164),2)-MAX('Calc base'!J$12,ROUND('Calc base'!J$13*BA163,2))&lt;1,ROUND(BA163*(1+'Calc base'!O164),2),MAX('Calc base'!J$12,ROUND('Calc base'!J$13*BA163,2))))</f>
        <v>0</v>
      </c>
      <c r="R164">
        <f>IF(BB163&lt;=0,0,IF(ROUND(BB163*(1+'Calc base'!P164),2)-MAX('Calc base'!K$12,ROUND('Calc base'!K$13*BB163,2))&lt;1,ROUND(BB163*(1+'Calc base'!P164),2),MAX('Calc base'!K$12,ROUND('Calc base'!K$13*BB163,2))))</f>
        <v>0</v>
      </c>
      <c r="S164">
        <f>IF(BC163&lt;=0,0,IF(ROUND(BC163*(1+'Calc base'!Q164),2)-MAX('Calc base'!L$12,ROUND('Calc base'!L$13*BC163,2))&lt;1,ROUND(BC163*(1+'Calc base'!Q164),2),MAX('Calc base'!L$12,ROUND('Calc base'!L$13*BC163,2))))</f>
        <v>0</v>
      </c>
      <c r="T164">
        <f>IF(BD163&lt;=0,0,IF(ROUND(BD163*(1+'Calc base'!R164),2)-MAX('Calc base'!M$12,ROUND('Calc base'!M$13*BD163,2))&lt;1,ROUND(BD163*(1+'Calc base'!R164),2),MAX('Calc base'!M$12,ROUND('Calc base'!M$13*BD163,2))))</f>
        <v>0</v>
      </c>
      <c r="U164">
        <f>IF(BE163&lt;=0,0,IF(ROUND(BE163*(1+'Calc base'!S164),2)-MAX('Calc base'!N$12,ROUND('Calc base'!N$13*BE163,2))&lt;1,ROUND(BE163*(1+'Calc base'!S164),2),MAX('Calc base'!N$12,ROUND('Calc base'!N$13*BE163,2))))</f>
        <v>0</v>
      </c>
      <c r="AT164">
        <f>MAX(0,ROUND(AT163*(1+'Calc base'!H164),2)-J164)</f>
        <v>0</v>
      </c>
      <c r="AU164">
        <f>MAX(0,ROUND(AU163*(1+'Calc base'!I164),2)-K164)</f>
        <v>0</v>
      </c>
      <c r="AV164">
        <f>MAX(0,ROUND(AV163*(1+'Calc base'!J164),2)-L164)</f>
        <v>0</v>
      </c>
      <c r="AW164">
        <f>MAX(0,ROUND(AW163*(1+'Calc base'!K164),2)-M164)</f>
        <v>0</v>
      </c>
      <c r="AX164">
        <f>MAX(0,ROUND(AX163*(1+'Calc base'!L164),2)-N164)</f>
        <v>0</v>
      </c>
      <c r="AY164">
        <f>MAX(0,ROUND(AY163*(1+'Calc base'!M164),2)-O164)</f>
        <v>0</v>
      </c>
      <c r="AZ164">
        <f>MAX(0,ROUND(AZ163*(1+'Calc base'!N164),2)-P164)</f>
        <v>0</v>
      </c>
      <c r="BA164">
        <f>MAX(0,ROUND(BA163*(1+'Calc base'!O164),2)-Q164)</f>
        <v>0</v>
      </c>
      <c r="BB164">
        <f>MAX(0,ROUND(BB163*(1+'Calc base'!P164),2)-R164)</f>
        <v>0</v>
      </c>
      <c r="BC164">
        <f>MAX(0,ROUND(BC163*(1+'Calc base'!Q164),2)-S164)</f>
        <v>0</v>
      </c>
      <c r="BD164">
        <f>MAX(0,ROUND(BD163*(1+'Calc base'!R164),2)-T164)</f>
        <v>0</v>
      </c>
      <c r="BE164">
        <f>MAX(0,ROUND(BE163*(1+'Calc base'!S164),2)-U164)</f>
        <v>0</v>
      </c>
    </row>
    <row r="165">
      <c r="A165" t="n">
        <v>135</v>
      </c>
      <c r="B165">
        <f>SUMPRODUCT(ROUND($AT164:$BE164*(1+'Calc base'!$H165:$S165),2))</f>
        <v>0</v>
      </c>
      <c r="C165">
        <f>SUM(J165:U165)</f>
        <v>0</v>
      </c>
      <c r="G165">
        <f>SUM(AT165:BE165)</f>
        <v>0</v>
      </c>
      <c r="H165">
        <f>B165-G164</f>
        <v>0</v>
      </c>
      <c r="I165">
        <f>B165-G165</f>
        <v>0</v>
      </c>
      <c r="J165">
        <f>IF(AT164&lt;=0,0,IF(ROUND(AT164*(1+'Calc base'!H165),2)-MAX('Calc base'!C$12,ROUND('Calc base'!C$13*AT164,2))&lt;1,ROUND(AT164*(1+'Calc base'!H165),2),MAX('Calc base'!C$12,ROUND('Calc base'!C$13*AT164,2))))</f>
        <v>0</v>
      </c>
      <c r="K165">
        <f>IF(AU164&lt;=0,0,IF(ROUND(AU164*(1+'Calc base'!I165),2)-MAX('Calc base'!D$12,ROUND('Calc base'!D$13*AU164,2))&lt;1,ROUND(AU164*(1+'Calc base'!I165),2),MAX('Calc base'!D$12,ROUND('Calc base'!D$13*AU164,2))))</f>
        <v>0</v>
      </c>
      <c r="L165">
        <f>IF(AV164&lt;=0,0,IF(ROUND(AV164*(1+'Calc base'!J165),2)-MAX('Calc base'!E$12,ROUND('Calc base'!E$13*AV164,2))&lt;1,ROUND(AV164*(1+'Calc base'!J165),2),MAX('Calc base'!E$12,ROUND('Calc base'!E$13*AV164,2))))</f>
        <v>0</v>
      </c>
      <c r="M165">
        <f>IF(AW164&lt;=0,0,IF(ROUND(AW164*(1+'Calc base'!K165),2)-MAX('Calc base'!F$12,ROUND('Calc base'!F$13*AW164,2))&lt;1,ROUND(AW164*(1+'Calc base'!K165),2),MAX('Calc base'!F$12,ROUND('Calc base'!F$13*AW164,2))))</f>
        <v>0</v>
      </c>
      <c r="N165">
        <f>IF(AX164&lt;=0,0,IF(ROUND(AX164*(1+'Calc base'!L165),2)-MAX('Calc base'!G$12,ROUND('Calc base'!G$13*AX164,2))&lt;1,ROUND(AX164*(1+'Calc base'!L165),2),MAX('Calc base'!G$12,ROUND('Calc base'!G$13*AX164,2))))</f>
        <v>0</v>
      </c>
      <c r="O165">
        <f>IF(AY164&lt;=0,0,IF(ROUND(AY164*(1+'Calc base'!M165),2)-MAX('Calc base'!H$12,ROUND('Calc base'!H$13*AY164,2))&lt;1,ROUND(AY164*(1+'Calc base'!M165),2),MAX('Calc base'!H$12,ROUND('Calc base'!H$13*AY164,2))))</f>
        <v>0</v>
      </c>
      <c r="P165">
        <f>IF(AZ164&lt;=0,0,IF(ROUND(AZ164*(1+'Calc base'!N165),2)-MAX('Calc base'!I$12,ROUND('Calc base'!I$13*AZ164,2))&lt;1,ROUND(AZ164*(1+'Calc base'!N165),2),MAX('Calc base'!I$12,ROUND('Calc base'!I$13*AZ164,2))))</f>
        <v>0</v>
      </c>
      <c r="Q165">
        <f>IF(BA164&lt;=0,0,IF(ROUND(BA164*(1+'Calc base'!O165),2)-MAX('Calc base'!J$12,ROUND('Calc base'!J$13*BA164,2))&lt;1,ROUND(BA164*(1+'Calc base'!O165),2),MAX('Calc base'!J$12,ROUND('Calc base'!J$13*BA164,2))))</f>
        <v>0</v>
      </c>
      <c r="R165">
        <f>IF(BB164&lt;=0,0,IF(ROUND(BB164*(1+'Calc base'!P165),2)-MAX('Calc base'!K$12,ROUND('Calc base'!K$13*BB164,2))&lt;1,ROUND(BB164*(1+'Calc base'!P165),2),MAX('Calc base'!K$12,ROUND('Calc base'!K$13*BB164,2))))</f>
        <v>0</v>
      </c>
      <c r="S165">
        <f>IF(BC164&lt;=0,0,IF(ROUND(BC164*(1+'Calc base'!Q165),2)-MAX('Calc base'!L$12,ROUND('Calc base'!L$13*BC164,2))&lt;1,ROUND(BC164*(1+'Calc base'!Q165),2),MAX('Calc base'!L$12,ROUND('Calc base'!L$13*BC164,2))))</f>
        <v>0</v>
      </c>
      <c r="T165">
        <f>IF(BD164&lt;=0,0,IF(ROUND(BD164*(1+'Calc base'!R165),2)-MAX('Calc base'!M$12,ROUND('Calc base'!M$13*BD164,2))&lt;1,ROUND(BD164*(1+'Calc base'!R165),2),MAX('Calc base'!M$12,ROUND('Calc base'!M$13*BD164,2))))</f>
        <v>0</v>
      </c>
      <c r="U165">
        <f>IF(BE164&lt;=0,0,IF(ROUND(BE164*(1+'Calc base'!S165),2)-MAX('Calc base'!N$12,ROUND('Calc base'!N$13*BE164,2))&lt;1,ROUND(BE164*(1+'Calc base'!S165),2),MAX('Calc base'!N$12,ROUND('Calc base'!N$13*BE164,2))))</f>
        <v>0</v>
      </c>
      <c r="AT165">
        <f>MAX(0,ROUND(AT164*(1+'Calc base'!H165),2)-J165)</f>
        <v>0</v>
      </c>
      <c r="AU165">
        <f>MAX(0,ROUND(AU164*(1+'Calc base'!I165),2)-K165)</f>
        <v>0</v>
      </c>
      <c r="AV165">
        <f>MAX(0,ROUND(AV164*(1+'Calc base'!J165),2)-L165)</f>
        <v>0</v>
      </c>
      <c r="AW165">
        <f>MAX(0,ROUND(AW164*(1+'Calc base'!K165),2)-M165)</f>
        <v>0</v>
      </c>
      <c r="AX165">
        <f>MAX(0,ROUND(AX164*(1+'Calc base'!L165),2)-N165)</f>
        <v>0</v>
      </c>
      <c r="AY165">
        <f>MAX(0,ROUND(AY164*(1+'Calc base'!M165),2)-O165)</f>
        <v>0</v>
      </c>
      <c r="AZ165">
        <f>MAX(0,ROUND(AZ164*(1+'Calc base'!N165),2)-P165)</f>
        <v>0</v>
      </c>
      <c r="BA165">
        <f>MAX(0,ROUND(BA164*(1+'Calc base'!O165),2)-Q165)</f>
        <v>0</v>
      </c>
      <c r="BB165">
        <f>MAX(0,ROUND(BB164*(1+'Calc base'!P165),2)-R165)</f>
        <v>0</v>
      </c>
      <c r="BC165">
        <f>MAX(0,ROUND(BC164*(1+'Calc base'!Q165),2)-S165)</f>
        <v>0</v>
      </c>
      <c r="BD165">
        <f>MAX(0,ROUND(BD164*(1+'Calc base'!R165),2)-T165)</f>
        <v>0</v>
      </c>
      <c r="BE165">
        <f>MAX(0,ROUND(BE164*(1+'Calc base'!S165),2)-U165)</f>
        <v>0</v>
      </c>
    </row>
    <row r="166">
      <c r="A166" t="n">
        <v>136</v>
      </c>
      <c r="B166">
        <f>SUMPRODUCT(ROUND($AT165:$BE165*(1+'Calc base'!$H166:$S166),2))</f>
        <v>0</v>
      </c>
      <c r="C166">
        <f>SUM(J166:U166)</f>
        <v>0</v>
      </c>
      <c r="G166">
        <f>SUM(AT166:BE166)</f>
        <v>0</v>
      </c>
      <c r="H166">
        <f>B166-G165</f>
        <v>0</v>
      </c>
      <c r="I166">
        <f>B166-G166</f>
        <v>0</v>
      </c>
      <c r="J166">
        <f>IF(AT165&lt;=0,0,IF(ROUND(AT165*(1+'Calc base'!H166),2)-MAX('Calc base'!C$12,ROUND('Calc base'!C$13*AT165,2))&lt;1,ROUND(AT165*(1+'Calc base'!H166),2),MAX('Calc base'!C$12,ROUND('Calc base'!C$13*AT165,2))))</f>
        <v>0</v>
      </c>
      <c r="K166">
        <f>IF(AU165&lt;=0,0,IF(ROUND(AU165*(1+'Calc base'!I166),2)-MAX('Calc base'!D$12,ROUND('Calc base'!D$13*AU165,2))&lt;1,ROUND(AU165*(1+'Calc base'!I166),2),MAX('Calc base'!D$12,ROUND('Calc base'!D$13*AU165,2))))</f>
        <v>0</v>
      </c>
      <c r="L166">
        <f>IF(AV165&lt;=0,0,IF(ROUND(AV165*(1+'Calc base'!J166),2)-MAX('Calc base'!E$12,ROUND('Calc base'!E$13*AV165,2))&lt;1,ROUND(AV165*(1+'Calc base'!J166),2),MAX('Calc base'!E$12,ROUND('Calc base'!E$13*AV165,2))))</f>
        <v>0</v>
      </c>
      <c r="M166">
        <f>IF(AW165&lt;=0,0,IF(ROUND(AW165*(1+'Calc base'!K166),2)-MAX('Calc base'!F$12,ROUND('Calc base'!F$13*AW165,2))&lt;1,ROUND(AW165*(1+'Calc base'!K166),2),MAX('Calc base'!F$12,ROUND('Calc base'!F$13*AW165,2))))</f>
        <v>0</v>
      </c>
      <c r="N166">
        <f>IF(AX165&lt;=0,0,IF(ROUND(AX165*(1+'Calc base'!L166),2)-MAX('Calc base'!G$12,ROUND('Calc base'!G$13*AX165,2))&lt;1,ROUND(AX165*(1+'Calc base'!L166),2),MAX('Calc base'!G$12,ROUND('Calc base'!G$13*AX165,2))))</f>
        <v>0</v>
      </c>
      <c r="O166">
        <f>IF(AY165&lt;=0,0,IF(ROUND(AY165*(1+'Calc base'!M166),2)-MAX('Calc base'!H$12,ROUND('Calc base'!H$13*AY165,2))&lt;1,ROUND(AY165*(1+'Calc base'!M166),2),MAX('Calc base'!H$12,ROUND('Calc base'!H$13*AY165,2))))</f>
        <v>0</v>
      </c>
      <c r="P166">
        <f>IF(AZ165&lt;=0,0,IF(ROUND(AZ165*(1+'Calc base'!N166),2)-MAX('Calc base'!I$12,ROUND('Calc base'!I$13*AZ165,2))&lt;1,ROUND(AZ165*(1+'Calc base'!N166),2),MAX('Calc base'!I$12,ROUND('Calc base'!I$13*AZ165,2))))</f>
        <v>0</v>
      </c>
      <c r="Q166">
        <f>IF(BA165&lt;=0,0,IF(ROUND(BA165*(1+'Calc base'!O166),2)-MAX('Calc base'!J$12,ROUND('Calc base'!J$13*BA165,2))&lt;1,ROUND(BA165*(1+'Calc base'!O166),2),MAX('Calc base'!J$12,ROUND('Calc base'!J$13*BA165,2))))</f>
        <v>0</v>
      </c>
      <c r="R166">
        <f>IF(BB165&lt;=0,0,IF(ROUND(BB165*(1+'Calc base'!P166),2)-MAX('Calc base'!K$12,ROUND('Calc base'!K$13*BB165,2))&lt;1,ROUND(BB165*(1+'Calc base'!P166),2),MAX('Calc base'!K$12,ROUND('Calc base'!K$13*BB165,2))))</f>
        <v>0</v>
      </c>
      <c r="S166">
        <f>IF(BC165&lt;=0,0,IF(ROUND(BC165*(1+'Calc base'!Q166),2)-MAX('Calc base'!L$12,ROUND('Calc base'!L$13*BC165,2))&lt;1,ROUND(BC165*(1+'Calc base'!Q166),2),MAX('Calc base'!L$12,ROUND('Calc base'!L$13*BC165,2))))</f>
        <v>0</v>
      </c>
      <c r="T166">
        <f>IF(BD165&lt;=0,0,IF(ROUND(BD165*(1+'Calc base'!R166),2)-MAX('Calc base'!M$12,ROUND('Calc base'!M$13*BD165,2))&lt;1,ROUND(BD165*(1+'Calc base'!R166),2),MAX('Calc base'!M$12,ROUND('Calc base'!M$13*BD165,2))))</f>
        <v>0</v>
      </c>
      <c r="U166">
        <f>IF(BE165&lt;=0,0,IF(ROUND(BE165*(1+'Calc base'!S166),2)-MAX('Calc base'!N$12,ROUND('Calc base'!N$13*BE165,2))&lt;1,ROUND(BE165*(1+'Calc base'!S166),2),MAX('Calc base'!N$12,ROUND('Calc base'!N$13*BE165,2))))</f>
        <v>0</v>
      </c>
      <c r="AT166">
        <f>MAX(0,ROUND(AT165*(1+'Calc base'!H166),2)-J166)</f>
        <v>0</v>
      </c>
      <c r="AU166">
        <f>MAX(0,ROUND(AU165*(1+'Calc base'!I166),2)-K166)</f>
        <v>0</v>
      </c>
      <c r="AV166">
        <f>MAX(0,ROUND(AV165*(1+'Calc base'!J166),2)-L166)</f>
        <v>0</v>
      </c>
      <c r="AW166">
        <f>MAX(0,ROUND(AW165*(1+'Calc base'!K166),2)-M166)</f>
        <v>0</v>
      </c>
      <c r="AX166">
        <f>MAX(0,ROUND(AX165*(1+'Calc base'!L166),2)-N166)</f>
        <v>0</v>
      </c>
      <c r="AY166">
        <f>MAX(0,ROUND(AY165*(1+'Calc base'!M166),2)-O166)</f>
        <v>0</v>
      </c>
      <c r="AZ166">
        <f>MAX(0,ROUND(AZ165*(1+'Calc base'!N166),2)-P166)</f>
        <v>0</v>
      </c>
      <c r="BA166">
        <f>MAX(0,ROUND(BA165*(1+'Calc base'!O166),2)-Q166)</f>
        <v>0</v>
      </c>
      <c r="BB166">
        <f>MAX(0,ROUND(BB165*(1+'Calc base'!P166),2)-R166)</f>
        <v>0</v>
      </c>
      <c r="BC166">
        <f>MAX(0,ROUND(BC165*(1+'Calc base'!Q166),2)-S166)</f>
        <v>0</v>
      </c>
      <c r="BD166">
        <f>MAX(0,ROUND(BD165*(1+'Calc base'!R166),2)-T166)</f>
        <v>0</v>
      </c>
      <c r="BE166">
        <f>MAX(0,ROUND(BE165*(1+'Calc base'!S166),2)-U166)</f>
        <v>0</v>
      </c>
    </row>
    <row r="167">
      <c r="A167" t="n">
        <v>137</v>
      </c>
      <c r="B167">
        <f>SUMPRODUCT(ROUND($AT166:$BE166*(1+'Calc base'!$H167:$S167),2))</f>
        <v>0</v>
      </c>
      <c r="C167">
        <f>SUM(J167:U167)</f>
        <v>0</v>
      </c>
      <c r="G167">
        <f>SUM(AT167:BE167)</f>
        <v>0</v>
      </c>
      <c r="H167">
        <f>B167-G166</f>
        <v>0</v>
      </c>
      <c r="I167">
        <f>B167-G167</f>
        <v>0</v>
      </c>
      <c r="J167">
        <f>IF(AT166&lt;=0,0,IF(ROUND(AT166*(1+'Calc base'!H167),2)-MAX('Calc base'!C$12,ROUND('Calc base'!C$13*AT166,2))&lt;1,ROUND(AT166*(1+'Calc base'!H167),2),MAX('Calc base'!C$12,ROUND('Calc base'!C$13*AT166,2))))</f>
        <v>0</v>
      </c>
      <c r="K167">
        <f>IF(AU166&lt;=0,0,IF(ROUND(AU166*(1+'Calc base'!I167),2)-MAX('Calc base'!D$12,ROUND('Calc base'!D$13*AU166,2))&lt;1,ROUND(AU166*(1+'Calc base'!I167),2),MAX('Calc base'!D$12,ROUND('Calc base'!D$13*AU166,2))))</f>
        <v>0</v>
      </c>
      <c r="L167">
        <f>IF(AV166&lt;=0,0,IF(ROUND(AV166*(1+'Calc base'!J167),2)-MAX('Calc base'!E$12,ROUND('Calc base'!E$13*AV166,2))&lt;1,ROUND(AV166*(1+'Calc base'!J167),2),MAX('Calc base'!E$12,ROUND('Calc base'!E$13*AV166,2))))</f>
        <v>0</v>
      </c>
      <c r="M167">
        <f>IF(AW166&lt;=0,0,IF(ROUND(AW166*(1+'Calc base'!K167),2)-MAX('Calc base'!F$12,ROUND('Calc base'!F$13*AW166,2))&lt;1,ROUND(AW166*(1+'Calc base'!K167),2),MAX('Calc base'!F$12,ROUND('Calc base'!F$13*AW166,2))))</f>
        <v>0</v>
      </c>
      <c r="N167">
        <f>IF(AX166&lt;=0,0,IF(ROUND(AX166*(1+'Calc base'!L167),2)-MAX('Calc base'!G$12,ROUND('Calc base'!G$13*AX166,2))&lt;1,ROUND(AX166*(1+'Calc base'!L167),2),MAX('Calc base'!G$12,ROUND('Calc base'!G$13*AX166,2))))</f>
        <v>0</v>
      </c>
      <c r="O167">
        <f>IF(AY166&lt;=0,0,IF(ROUND(AY166*(1+'Calc base'!M167),2)-MAX('Calc base'!H$12,ROUND('Calc base'!H$13*AY166,2))&lt;1,ROUND(AY166*(1+'Calc base'!M167),2),MAX('Calc base'!H$12,ROUND('Calc base'!H$13*AY166,2))))</f>
        <v>0</v>
      </c>
      <c r="P167">
        <f>IF(AZ166&lt;=0,0,IF(ROUND(AZ166*(1+'Calc base'!N167),2)-MAX('Calc base'!I$12,ROUND('Calc base'!I$13*AZ166,2))&lt;1,ROUND(AZ166*(1+'Calc base'!N167),2),MAX('Calc base'!I$12,ROUND('Calc base'!I$13*AZ166,2))))</f>
        <v>0</v>
      </c>
      <c r="Q167">
        <f>IF(BA166&lt;=0,0,IF(ROUND(BA166*(1+'Calc base'!O167),2)-MAX('Calc base'!J$12,ROUND('Calc base'!J$13*BA166,2))&lt;1,ROUND(BA166*(1+'Calc base'!O167),2),MAX('Calc base'!J$12,ROUND('Calc base'!J$13*BA166,2))))</f>
        <v>0</v>
      </c>
      <c r="R167">
        <f>IF(BB166&lt;=0,0,IF(ROUND(BB166*(1+'Calc base'!P167),2)-MAX('Calc base'!K$12,ROUND('Calc base'!K$13*BB166,2))&lt;1,ROUND(BB166*(1+'Calc base'!P167),2),MAX('Calc base'!K$12,ROUND('Calc base'!K$13*BB166,2))))</f>
        <v>0</v>
      </c>
      <c r="S167">
        <f>IF(BC166&lt;=0,0,IF(ROUND(BC166*(1+'Calc base'!Q167),2)-MAX('Calc base'!L$12,ROUND('Calc base'!L$13*BC166,2))&lt;1,ROUND(BC166*(1+'Calc base'!Q167),2),MAX('Calc base'!L$12,ROUND('Calc base'!L$13*BC166,2))))</f>
        <v>0</v>
      </c>
      <c r="T167">
        <f>IF(BD166&lt;=0,0,IF(ROUND(BD166*(1+'Calc base'!R167),2)-MAX('Calc base'!M$12,ROUND('Calc base'!M$13*BD166,2))&lt;1,ROUND(BD166*(1+'Calc base'!R167),2),MAX('Calc base'!M$12,ROUND('Calc base'!M$13*BD166,2))))</f>
        <v>0</v>
      </c>
      <c r="U167">
        <f>IF(BE166&lt;=0,0,IF(ROUND(BE166*(1+'Calc base'!S167),2)-MAX('Calc base'!N$12,ROUND('Calc base'!N$13*BE166,2))&lt;1,ROUND(BE166*(1+'Calc base'!S167),2),MAX('Calc base'!N$12,ROUND('Calc base'!N$13*BE166,2))))</f>
        <v>0</v>
      </c>
      <c r="AT167">
        <f>MAX(0,ROUND(AT166*(1+'Calc base'!H167),2)-J167)</f>
        <v>0</v>
      </c>
      <c r="AU167">
        <f>MAX(0,ROUND(AU166*(1+'Calc base'!I167),2)-K167)</f>
        <v>0</v>
      </c>
      <c r="AV167">
        <f>MAX(0,ROUND(AV166*(1+'Calc base'!J167),2)-L167)</f>
        <v>0</v>
      </c>
      <c r="AW167">
        <f>MAX(0,ROUND(AW166*(1+'Calc base'!K167),2)-M167)</f>
        <v>0</v>
      </c>
      <c r="AX167">
        <f>MAX(0,ROUND(AX166*(1+'Calc base'!L167),2)-N167)</f>
        <v>0</v>
      </c>
      <c r="AY167">
        <f>MAX(0,ROUND(AY166*(1+'Calc base'!M167),2)-O167)</f>
        <v>0</v>
      </c>
      <c r="AZ167">
        <f>MAX(0,ROUND(AZ166*(1+'Calc base'!N167),2)-P167)</f>
        <v>0</v>
      </c>
      <c r="BA167">
        <f>MAX(0,ROUND(BA166*(1+'Calc base'!O167),2)-Q167)</f>
        <v>0</v>
      </c>
      <c r="BB167">
        <f>MAX(0,ROUND(BB166*(1+'Calc base'!P167),2)-R167)</f>
        <v>0</v>
      </c>
      <c r="BC167">
        <f>MAX(0,ROUND(BC166*(1+'Calc base'!Q167),2)-S167)</f>
        <v>0</v>
      </c>
      <c r="BD167">
        <f>MAX(0,ROUND(BD166*(1+'Calc base'!R167),2)-T167)</f>
        <v>0</v>
      </c>
      <c r="BE167">
        <f>MAX(0,ROUND(BE166*(1+'Calc base'!S167),2)-U167)</f>
        <v>0</v>
      </c>
    </row>
    <row r="168">
      <c r="A168" t="n">
        <v>138</v>
      </c>
      <c r="B168">
        <f>SUMPRODUCT(ROUND($AT167:$BE167*(1+'Calc base'!$H168:$S168),2))</f>
        <v>0</v>
      </c>
      <c r="C168">
        <f>SUM(J168:U168)</f>
        <v>0</v>
      </c>
      <c r="G168">
        <f>SUM(AT168:BE168)</f>
        <v>0</v>
      </c>
      <c r="H168">
        <f>B168-G167</f>
        <v>0</v>
      </c>
      <c r="I168">
        <f>B168-G168</f>
        <v>0</v>
      </c>
      <c r="J168">
        <f>IF(AT167&lt;=0,0,IF(ROUND(AT167*(1+'Calc base'!H168),2)-MAX('Calc base'!C$12,ROUND('Calc base'!C$13*AT167,2))&lt;1,ROUND(AT167*(1+'Calc base'!H168),2),MAX('Calc base'!C$12,ROUND('Calc base'!C$13*AT167,2))))</f>
        <v>0</v>
      </c>
      <c r="K168">
        <f>IF(AU167&lt;=0,0,IF(ROUND(AU167*(1+'Calc base'!I168),2)-MAX('Calc base'!D$12,ROUND('Calc base'!D$13*AU167,2))&lt;1,ROUND(AU167*(1+'Calc base'!I168),2),MAX('Calc base'!D$12,ROUND('Calc base'!D$13*AU167,2))))</f>
        <v>0</v>
      </c>
      <c r="L168">
        <f>IF(AV167&lt;=0,0,IF(ROUND(AV167*(1+'Calc base'!J168),2)-MAX('Calc base'!E$12,ROUND('Calc base'!E$13*AV167,2))&lt;1,ROUND(AV167*(1+'Calc base'!J168),2),MAX('Calc base'!E$12,ROUND('Calc base'!E$13*AV167,2))))</f>
        <v>0</v>
      </c>
      <c r="M168">
        <f>IF(AW167&lt;=0,0,IF(ROUND(AW167*(1+'Calc base'!K168),2)-MAX('Calc base'!F$12,ROUND('Calc base'!F$13*AW167,2))&lt;1,ROUND(AW167*(1+'Calc base'!K168),2),MAX('Calc base'!F$12,ROUND('Calc base'!F$13*AW167,2))))</f>
        <v>0</v>
      </c>
      <c r="N168">
        <f>IF(AX167&lt;=0,0,IF(ROUND(AX167*(1+'Calc base'!L168),2)-MAX('Calc base'!G$12,ROUND('Calc base'!G$13*AX167,2))&lt;1,ROUND(AX167*(1+'Calc base'!L168),2),MAX('Calc base'!G$12,ROUND('Calc base'!G$13*AX167,2))))</f>
        <v>0</v>
      </c>
      <c r="O168">
        <f>IF(AY167&lt;=0,0,IF(ROUND(AY167*(1+'Calc base'!M168),2)-MAX('Calc base'!H$12,ROUND('Calc base'!H$13*AY167,2))&lt;1,ROUND(AY167*(1+'Calc base'!M168),2),MAX('Calc base'!H$12,ROUND('Calc base'!H$13*AY167,2))))</f>
        <v>0</v>
      </c>
      <c r="P168">
        <f>IF(AZ167&lt;=0,0,IF(ROUND(AZ167*(1+'Calc base'!N168),2)-MAX('Calc base'!I$12,ROUND('Calc base'!I$13*AZ167,2))&lt;1,ROUND(AZ167*(1+'Calc base'!N168),2),MAX('Calc base'!I$12,ROUND('Calc base'!I$13*AZ167,2))))</f>
        <v>0</v>
      </c>
      <c r="Q168">
        <f>IF(BA167&lt;=0,0,IF(ROUND(BA167*(1+'Calc base'!O168),2)-MAX('Calc base'!J$12,ROUND('Calc base'!J$13*BA167,2))&lt;1,ROUND(BA167*(1+'Calc base'!O168),2),MAX('Calc base'!J$12,ROUND('Calc base'!J$13*BA167,2))))</f>
        <v>0</v>
      </c>
      <c r="R168">
        <f>IF(BB167&lt;=0,0,IF(ROUND(BB167*(1+'Calc base'!P168),2)-MAX('Calc base'!K$12,ROUND('Calc base'!K$13*BB167,2))&lt;1,ROUND(BB167*(1+'Calc base'!P168),2),MAX('Calc base'!K$12,ROUND('Calc base'!K$13*BB167,2))))</f>
        <v>0</v>
      </c>
      <c r="S168">
        <f>IF(BC167&lt;=0,0,IF(ROUND(BC167*(1+'Calc base'!Q168),2)-MAX('Calc base'!L$12,ROUND('Calc base'!L$13*BC167,2))&lt;1,ROUND(BC167*(1+'Calc base'!Q168),2),MAX('Calc base'!L$12,ROUND('Calc base'!L$13*BC167,2))))</f>
        <v>0</v>
      </c>
      <c r="T168">
        <f>IF(BD167&lt;=0,0,IF(ROUND(BD167*(1+'Calc base'!R168),2)-MAX('Calc base'!M$12,ROUND('Calc base'!M$13*BD167,2))&lt;1,ROUND(BD167*(1+'Calc base'!R168),2),MAX('Calc base'!M$12,ROUND('Calc base'!M$13*BD167,2))))</f>
        <v>0</v>
      </c>
      <c r="U168">
        <f>IF(BE167&lt;=0,0,IF(ROUND(BE167*(1+'Calc base'!S168),2)-MAX('Calc base'!N$12,ROUND('Calc base'!N$13*BE167,2))&lt;1,ROUND(BE167*(1+'Calc base'!S168),2),MAX('Calc base'!N$12,ROUND('Calc base'!N$13*BE167,2))))</f>
        <v>0</v>
      </c>
      <c r="AT168">
        <f>MAX(0,ROUND(AT167*(1+'Calc base'!H168),2)-J168)</f>
        <v>0</v>
      </c>
      <c r="AU168">
        <f>MAX(0,ROUND(AU167*(1+'Calc base'!I168),2)-K168)</f>
        <v>0</v>
      </c>
      <c r="AV168">
        <f>MAX(0,ROUND(AV167*(1+'Calc base'!J168),2)-L168)</f>
        <v>0</v>
      </c>
      <c r="AW168">
        <f>MAX(0,ROUND(AW167*(1+'Calc base'!K168),2)-M168)</f>
        <v>0</v>
      </c>
      <c r="AX168">
        <f>MAX(0,ROUND(AX167*(1+'Calc base'!L168),2)-N168)</f>
        <v>0</v>
      </c>
      <c r="AY168">
        <f>MAX(0,ROUND(AY167*(1+'Calc base'!M168),2)-O168)</f>
        <v>0</v>
      </c>
      <c r="AZ168">
        <f>MAX(0,ROUND(AZ167*(1+'Calc base'!N168),2)-P168)</f>
        <v>0</v>
      </c>
      <c r="BA168">
        <f>MAX(0,ROUND(BA167*(1+'Calc base'!O168),2)-Q168)</f>
        <v>0</v>
      </c>
      <c r="BB168">
        <f>MAX(0,ROUND(BB167*(1+'Calc base'!P168),2)-R168)</f>
        <v>0</v>
      </c>
      <c r="BC168">
        <f>MAX(0,ROUND(BC167*(1+'Calc base'!Q168),2)-S168)</f>
        <v>0</v>
      </c>
      <c r="BD168">
        <f>MAX(0,ROUND(BD167*(1+'Calc base'!R168),2)-T168)</f>
        <v>0</v>
      </c>
      <c r="BE168">
        <f>MAX(0,ROUND(BE167*(1+'Calc base'!S168),2)-U168)</f>
        <v>0</v>
      </c>
    </row>
    <row r="169">
      <c r="A169" t="n">
        <v>139</v>
      </c>
      <c r="B169">
        <f>SUMPRODUCT(ROUND($AT168:$BE168*(1+'Calc base'!$H169:$S169),2))</f>
        <v>0</v>
      </c>
      <c r="C169">
        <f>SUM(J169:U169)</f>
        <v>0</v>
      </c>
      <c r="G169">
        <f>SUM(AT169:BE169)</f>
        <v>0</v>
      </c>
      <c r="H169">
        <f>B169-G168</f>
        <v>0</v>
      </c>
      <c r="I169">
        <f>B169-G169</f>
        <v>0</v>
      </c>
      <c r="J169">
        <f>IF(AT168&lt;=0,0,IF(ROUND(AT168*(1+'Calc base'!H169),2)-MAX('Calc base'!C$12,ROUND('Calc base'!C$13*AT168,2))&lt;1,ROUND(AT168*(1+'Calc base'!H169),2),MAX('Calc base'!C$12,ROUND('Calc base'!C$13*AT168,2))))</f>
        <v>0</v>
      </c>
      <c r="K169">
        <f>IF(AU168&lt;=0,0,IF(ROUND(AU168*(1+'Calc base'!I169),2)-MAX('Calc base'!D$12,ROUND('Calc base'!D$13*AU168,2))&lt;1,ROUND(AU168*(1+'Calc base'!I169),2),MAX('Calc base'!D$12,ROUND('Calc base'!D$13*AU168,2))))</f>
        <v>0</v>
      </c>
      <c r="L169">
        <f>IF(AV168&lt;=0,0,IF(ROUND(AV168*(1+'Calc base'!J169),2)-MAX('Calc base'!E$12,ROUND('Calc base'!E$13*AV168,2))&lt;1,ROUND(AV168*(1+'Calc base'!J169),2),MAX('Calc base'!E$12,ROUND('Calc base'!E$13*AV168,2))))</f>
        <v>0</v>
      </c>
      <c r="M169">
        <f>IF(AW168&lt;=0,0,IF(ROUND(AW168*(1+'Calc base'!K169),2)-MAX('Calc base'!F$12,ROUND('Calc base'!F$13*AW168,2))&lt;1,ROUND(AW168*(1+'Calc base'!K169),2),MAX('Calc base'!F$12,ROUND('Calc base'!F$13*AW168,2))))</f>
        <v>0</v>
      </c>
      <c r="N169">
        <f>IF(AX168&lt;=0,0,IF(ROUND(AX168*(1+'Calc base'!L169),2)-MAX('Calc base'!G$12,ROUND('Calc base'!G$13*AX168,2))&lt;1,ROUND(AX168*(1+'Calc base'!L169),2),MAX('Calc base'!G$12,ROUND('Calc base'!G$13*AX168,2))))</f>
        <v>0</v>
      </c>
      <c r="O169">
        <f>IF(AY168&lt;=0,0,IF(ROUND(AY168*(1+'Calc base'!M169),2)-MAX('Calc base'!H$12,ROUND('Calc base'!H$13*AY168,2))&lt;1,ROUND(AY168*(1+'Calc base'!M169),2),MAX('Calc base'!H$12,ROUND('Calc base'!H$13*AY168,2))))</f>
        <v>0</v>
      </c>
      <c r="P169">
        <f>IF(AZ168&lt;=0,0,IF(ROUND(AZ168*(1+'Calc base'!N169),2)-MAX('Calc base'!I$12,ROUND('Calc base'!I$13*AZ168,2))&lt;1,ROUND(AZ168*(1+'Calc base'!N169),2),MAX('Calc base'!I$12,ROUND('Calc base'!I$13*AZ168,2))))</f>
        <v>0</v>
      </c>
      <c r="Q169">
        <f>IF(BA168&lt;=0,0,IF(ROUND(BA168*(1+'Calc base'!O169),2)-MAX('Calc base'!J$12,ROUND('Calc base'!J$13*BA168,2))&lt;1,ROUND(BA168*(1+'Calc base'!O169),2),MAX('Calc base'!J$12,ROUND('Calc base'!J$13*BA168,2))))</f>
        <v>0</v>
      </c>
      <c r="R169">
        <f>IF(BB168&lt;=0,0,IF(ROUND(BB168*(1+'Calc base'!P169),2)-MAX('Calc base'!K$12,ROUND('Calc base'!K$13*BB168,2))&lt;1,ROUND(BB168*(1+'Calc base'!P169),2),MAX('Calc base'!K$12,ROUND('Calc base'!K$13*BB168,2))))</f>
        <v>0</v>
      </c>
      <c r="S169">
        <f>IF(BC168&lt;=0,0,IF(ROUND(BC168*(1+'Calc base'!Q169),2)-MAX('Calc base'!L$12,ROUND('Calc base'!L$13*BC168,2))&lt;1,ROUND(BC168*(1+'Calc base'!Q169),2),MAX('Calc base'!L$12,ROUND('Calc base'!L$13*BC168,2))))</f>
        <v>0</v>
      </c>
      <c r="T169">
        <f>IF(BD168&lt;=0,0,IF(ROUND(BD168*(1+'Calc base'!R169),2)-MAX('Calc base'!M$12,ROUND('Calc base'!M$13*BD168,2))&lt;1,ROUND(BD168*(1+'Calc base'!R169),2),MAX('Calc base'!M$12,ROUND('Calc base'!M$13*BD168,2))))</f>
        <v>0</v>
      </c>
      <c r="U169">
        <f>IF(BE168&lt;=0,0,IF(ROUND(BE168*(1+'Calc base'!S169),2)-MAX('Calc base'!N$12,ROUND('Calc base'!N$13*BE168,2))&lt;1,ROUND(BE168*(1+'Calc base'!S169),2),MAX('Calc base'!N$12,ROUND('Calc base'!N$13*BE168,2))))</f>
        <v>0</v>
      </c>
      <c r="AT169">
        <f>MAX(0,ROUND(AT168*(1+'Calc base'!H169),2)-J169)</f>
        <v>0</v>
      </c>
      <c r="AU169">
        <f>MAX(0,ROUND(AU168*(1+'Calc base'!I169),2)-K169)</f>
        <v>0</v>
      </c>
      <c r="AV169">
        <f>MAX(0,ROUND(AV168*(1+'Calc base'!J169),2)-L169)</f>
        <v>0</v>
      </c>
      <c r="AW169">
        <f>MAX(0,ROUND(AW168*(1+'Calc base'!K169),2)-M169)</f>
        <v>0</v>
      </c>
      <c r="AX169">
        <f>MAX(0,ROUND(AX168*(1+'Calc base'!L169),2)-N169)</f>
        <v>0</v>
      </c>
      <c r="AY169">
        <f>MAX(0,ROUND(AY168*(1+'Calc base'!M169),2)-O169)</f>
        <v>0</v>
      </c>
      <c r="AZ169">
        <f>MAX(0,ROUND(AZ168*(1+'Calc base'!N169),2)-P169)</f>
        <v>0</v>
      </c>
      <c r="BA169">
        <f>MAX(0,ROUND(BA168*(1+'Calc base'!O169),2)-Q169)</f>
        <v>0</v>
      </c>
      <c r="BB169">
        <f>MAX(0,ROUND(BB168*(1+'Calc base'!P169),2)-R169)</f>
        <v>0</v>
      </c>
      <c r="BC169">
        <f>MAX(0,ROUND(BC168*(1+'Calc base'!Q169),2)-S169)</f>
        <v>0</v>
      </c>
      <c r="BD169">
        <f>MAX(0,ROUND(BD168*(1+'Calc base'!R169),2)-T169)</f>
        <v>0</v>
      </c>
      <c r="BE169">
        <f>MAX(0,ROUND(BE168*(1+'Calc base'!S169),2)-U169)</f>
        <v>0</v>
      </c>
    </row>
    <row r="170">
      <c r="A170" t="n">
        <v>140</v>
      </c>
      <c r="B170">
        <f>SUMPRODUCT(ROUND($AT169:$BE169*(1+'Calc base'!$H170:$S170),2))</f>
        <v>0</v>
      </c>
      <c r="C170">
        <f>SUM(J170:U170)</f>
        <v>0</v>
      </c>
      <c r="G170">
        <f>SUM(AT170:BE170)</f>
        <v>0</v>
      </c>
      <c r="H170">
        <f>B170-G169</f>
        <v>0</v>
      </c>
      <c r="I170">
        <f>B170-G170</f>
        <v>0</v>
      </c>
      <c r="J170">
        <f>IF(AT169&lt;=0,0,IF(ROUND(AT169*(1+'Calc base'!H170),2)-MAX('Calc base'!C$12,ROUND('Calc base'!C$13*AT169,2))&lt;1,ROUND(AT169*(1+'Calc base'!H170),2),MAX('Calc base'!C$12,ROUND('Calc base'!C$13*AT169,2))))</f>
        <v>0</v>
      </c>
      <c r="K170">
        <f>IF(AU169&lt;=0,0,IF(ROUND(AU169*(1+'Calc base'!I170),2)-MAX('Calc base'!D$12,ROUND('Calc base'!D$13*AU169,2))&lt;1,ROUND(AU169*(1+'Calc base'!I170),2),MAX('Calc base'!D$12,ROUND('Calc base'!D$13*AU169,2))))</f>
        <v>0</v>
      </c>
      <c r="L170">
        <f>IF(AV169&lt;=0,0,IF(ROUND(AV169*(1+'Calc base'!J170),2)-MAX('Calc base'!E$12,ROUND('Calc base'!E$13*AV169,2))&lt;1,ROUND(AV169*(1+'Calc base'!J170),2),MAX('Calc base'!E$12,ROUND('Calc base'!E$13*AV169,2))))</f>
        <v>0</v>
      </c>
      <c r="M170">
        <f>IF(AW169&lt;=0,0,IF(ROUND(AW169*(1+'Calc base'!K170),2)-MAX('Calc base'!F$12,ROUND('Calc base'!F$13*AW169,2))&lt;1,ROUND(AW169*(1+'Calc base'!K170),2),MAX('Calc base'!F$12,ROUND('Calc base'!F$13*AW169,2))))</f>
        <v>0</v>
      </c>
      <c r="N170">
        <f>IF(AX169&lt;=0,0,IF(ROUND(AX169*(1+'Calc base'!L170),2)-MAX('Calc base'!G$12,ROUND('Calc base'!G$13*AX169,2))&lt;1,ROUND(AX169*(1+'Calc base'!L170),2),MAX('Calc base'!G$12,ROUND('Calc base'!G$13*AX169,2))))</f>
        <v>0</v>
      </c>
      <c r="O170">
        <f>IF(AY169&lt;=0,0,IF(ROUND(AY169*(1+'Calc base'!M170),2)-MAX('Calc base'!H$12,ROUND('Calc base'!H$13*AY169,2))&lt;1,ROUND(AY169*(1+'Calc base'!M170),2),MAX('Calc base'!H$12,ROUND('Calc base'!H$13*AY169,2))))</f>
        <v>0</v>
      </c>
      <c r="P170">
        <f>IF(AZ169&lt;=0,0,IF(ROUND(AZ169*(1+'Calc base'!N170),2)-MAX('Calc base'!I$12,ROUND('Calc base'!I$13*AZ169,2))&lt;1,ROUND(AZ169*(1+'Calc base'!N170),2),MAX('Calc base'!I$12,ROUND('Calc base'!I$13*AZ169,2))))</f>
        <v>0</v>
      </c>
      <c r="Q170">
        <f>IF(BA169&lt;=0,0,IF(ROUND(BA169*(1+'Calc base'!O170),2)-MAX('Calc base'!J$12,ROUND('Calc base'!J$13*BA169,2))&lt;1,ROUND(BA169*(1+'Calc base'!O170),2),MAX('Calc base'!J$12,ROUND('Calc base'!J$13*BA169,2))))</f>
        <v>0</v>
      </c>
      <c r="R170">
        <f>IF(BB169&lt;=0,0,IF(ROUND(BB169*(1+'Calc base'!P170),2)-MAX('Calc base'!K$12,ROUND('Calc base'!K$13*BB169,2))&lt;1,ROUND(BB169*(1+'Calc base'!P170),2),MAX('Calc base'!K$12,ROUND('Calc base'!K$13*BB169,2))))</f>
        <v>0</v>
      </c>
      <c r="S170">
        <f>IF(BC169&lt;=0,0,IF(ROUND(BC169*(1+'Calc base'!Q170),2)-MAX('Calc base'!L$12,ROUND('Calc base'!L$13*BC169,2))&lt;1,ROUND(BC169*(1+'Calc base'!Q170),2),MAX('Calc base'!L$12,ROUND('Calc base'!L$13*BC169,2))))</f>
        <v>0</v>
      </c>
      <c r="T170">
        <f>IF(BD169&lt;=0,0,IF(ROUND(BD169*(1+'Calc base'!R170),2)-MAX('Calc base'!M$12,ROUND('Calc base'!M$13*BD169,2))&lt;1,ROUND(BD169*(1+'Calc base'!R170),2),MAX('Calc base'!M$12,ROUND('Calc base'!M$13*BD169,2))))</f>
        <v>0</v>
      </c>
      <c r="U170">
        <f>IF(BE169&lt;=0,0,IF(ROUND(BE169*(1+'Calc base'!S170),2)-MAX('Calc base'!N$12,ROUND('Calc base'!N$13*BE169,2))&lt;1,ROUND(BE169*(1+'Calc base'!S170),2),MAX('Calc base'!N$12,ROUND('Calc base'!N$13*BE169,2))))</f>
        <v>0</v>
      </c>
      <c r="AT170">
        <f>MAX(0,ROUND(AT169*(1+'Calc base'!H170),2)-J170)</f>
        <v>0</v>
      </c>
      <c r="AU170">
        <f>MAX(0,ROUND(AU169*(1+'Calc base'!I170),2)-K170)</f>
        <v>0</v>
      </c>
      <c r="AV170">
        <f>MAX(0,ROUND(AV169*(1+'Calc base'!J170),2)-L170)</f>
        <v>0</v>
      </c>
      <c r="AW170">
        <f>MAX(0,ROUND(AW169*(1+'Calc base'!K170),2)-M170)</f>
        <v>0</v>
      </c>
      <c r="AX170">
        <f>MAX(0,ROUND(AX169*(1+'Calc base'!L170),2)-N170)</f>
        <v>0</v>
      </c>
      <c r="AY170">
        <f>MAX(0,ROUND(AY169*(1+'Calc base'!M170),2)-O170)</f>
        <v>0</v>
      </c>
      <c r="AZ170">
        <f>MAX(0,ROUND(AZ169*(1+'Calc base'!N170),2)-P170)</f>
        <v>0</v>
      </c>
      <c r="BA170">
        <f>MAX(0,ROUND(BA169*(1+'Calc base'!O170),2)-Q170)</f>
        <v>0</v>
      </c>
      <c r="BB170">
        <f>MAX(0,ROUND(BB169*(1+'Calc base'!P170),2)-R170)</f>
        <v>0</v>
      </c>
      <c r="BC170">
        <f>MAX(0,ROUND(BC169*(1+'Calc base'!Q170),2)-S170)</f>
        <v>0</v>
      </c>
      <c r="BD170">
        <f>MAX(0,ROUND(BD169*(1+'Calc base'!R170),2)-T170)</f>
        <v>0</v>
      </c>
      <c r="BE170">
        <f>MAX(0,ROUND(BE169*(1+'Calc base'!S170),2)-U170)</f>
        <v>0</v>
      </c>
    </row>
    <row r="171">
      <c r="A171" t="n">
        <v>141</v>
      </c>
      <c r="B171">
        <f>SUMPRODUCT(ROUND($AT170:$BE170*(1+'Calc base'!$H171:$S171),2))</f>
        <v>0</v>
      </c>
      <c r="C171">
        <f>SUM(J171:U171)</f>
        <v>0</v>
      </c>
      <c r="G171">
        <f>SUM(AT171:BE171)</f>
        <v>0</v>
      </c>
      <c r="H171">
        <f>B171-G170</f>
        <v>0</v>
      </c>
      <c r="I171">
        <f>B171-G171</f>
        <v>0</v>
      </c>
      <c r="J171">
        <f>IF(AT170&lt;=0,0,IF(ROUND(AT170*(1+'Calc base'!H171),2)-MAX('Calc base'!C$12,ROUND('Calc base'!C$13*AT170,2))&lt;1,ROUND(AT170*(1+'Calc base'!H171),2),MAX('Calc base'!C$12,ROUND('Calc base'!C$13*AT170,2))))</f>
        <v>0</v>
      </c>
      <c r="K171">
        <f>IF(AU170&lt;=0,0,IF(ROUND(AU170*(1+'Calc base'!I171),2)-MAX('Calc base'!D$12,ROUND('Calc base'!D$13*AU170,2))&lt;1,ROUND(AU170*(1+'Calc base'!I171),2),MAX('Calc base'!D$12,ROUND('Calc base'!D$13*AU170,2))))</f>
        <v>0</v>
      </c>
      <c r="L171">
        <f>IF(AV170&lt;=0,0,IF(ROUND(AV170*(1+'Calc base'!J171),2)-MAX('Calc base'!E$12,ROUND('Calc base'!E$13*AV170,2))&lt;1,ROUND(AV170*(1+'Calc base'!J171),2),MAX('Calc base'!E$12,ROUND('Calc base'!E$13*AV170,2))))</f>
        <v>0</v>
      </c>
      <c r="M171">
        <f>IF(AW170&lt;=0,0,IF(ROUND(AW170*(1+'Calc base'!K171),2)-MAX('Calc base'!F$12,ROUND('Calc base'!F$13*AW170,2))&lt;1,ROUND(AW170*(1+'Calc base'!K171),2),MAX('Calc base'!F$12,ROUND('Calc base'!F$13*AW170,2))))</f>
        <v>0</v>
      </c>
      <c r="N171">
        <f>IF(AX170&lt;=0,0,IF(ROUND(AX170*(1+'Calc base'!L171),2)-MAX('Calc base'!G$12,ROUND('Calc base'!G$13*AX170,2))&lt;1,ROUND(AX170*(1+'Calc base'!L171),2),MAX('Calc base'!G$12,ROUND('Calc base'!G$13*AX170,2))))</f>
        <v>0</v>
      </c>
      <c r="O171">
        <f>IF(AY170&lt;=0,0,IF(ROUND(AY170*(1+'Calc base'!M171),2)-MAX('Calc base'!H$12,ROUND('Calc base'!H$13*AY170,2))&lt;1,ROUND(AY170*(1+'Calc base'!M171),2),MAX('Calc base'!H$12,ROUND('Calc base'!H$13*AY170,2))))</f>
        <v>0</v>
      </c>
      <c r="P171">
        <f>IF(AZ170&lt;=0,0,IF(ROUND(AZ170*(1+'Calc base'!N171),2)-MAX('Calc base'!I$12,ROUND('Calc base'!I$13*AZ170,2))&lt;1,ROUND(AZ170*(1+'Calc base'!N171),2),MAX('Calc base'!I$12,ROUND('Calc base'!I$13*AZ170,2))))</f>
        <v>0</v>
      </c>
      <c r="Q171">
        <f>IF(BA170&lt;=0,0,IF(ROUND(BA170*(1+'Calc base'!O171),2)-MAX('Calc base'!J$12,ROUND('Calc base'!J$13*BA170,2))&lt;1,ROUND(BA170*(1+'Calc base'!O171),2),MAX('Calc base'!J$12,ROUND('Calc base'!J$13*BA170,2))))</f>
        <v>0</v>
      </c>
      <c r="R171">
        <f>IF(BB170&lt;=0,0,IF(ROUND(BB170*(1+'Calc base'!P171),2)-MAX('Calc base'!K$12,ROUND('Calc base'!K$13*BB170,2))&lt;1,ROUND(BB170*(1+'Calc base'!P171),2),MAX('Calc base'!K$12,ROUND('Calc base'!K$13*BB170,2))))</f>
        <v>0</v>
      </c>
      <c r="S171">
        <f>IF(BC170&lt;=0,0,IF(ROUND(BC170*(1+'Calc base'!Q171),2)-MAX('Calc base'!L$12,ROUND('Calc base'!L$13*BC170,2))&lt;1,ROUND(BC170*(1+'Calc base'!Q171),2),MAX('Calc base'!L$12,ROUND('Calc base'!L$13*BC170,2))))</f>
        <v>0</v>
      </c>
      <c r="T171">
        <f>IF(BD170&lt;=0,0,IF(ROUND(BD170*(1+'Calc base'!R171),2)-MAX('Calc base'!M$12,ROUND('Calc base'!M$13*BD170,2))&lt;1,ROUND(BD170*(1+'Calc base'!R171),2),MAX('Calc base'!M$12,ROUND('Calc base'!M$13*BD170,2))))</f>
        <v>0</v>
      </c>
      <c r="U171">
        <f>IF(BE170&lt;=0,0,IF(ROUND(BE170*(1+'Calc base'!S171),2)-MAX('Calc base'!N$12,ROUND('Calc base'!N$13*BE170,2))&lt;1,ROUND(BE170*(1+'Calc base'!S171),2),MAX('Calc base'!N$12,ROUND('Calc base'!N$13*BE170,2))))</f>
        <v>0</v>
      </c>
      <c r="AT171">
        <f>MAX(0,ROUND(AT170*(1+'Calc base'!H171),2)-J171)</f>
        <v>0</v>
      </c>
      <c r="AU171">
        <f>MAX(0,ROUND(AU170*(1+'Calc base'!I171),2)-K171)</f>
        <v>0</v>
      </c>
      <c r="AV171">
        <f>MAX(0,ROUND(AV170*(1+'Calc base'!J171),2)-L171)</f>
        <v>0</v>
      </c>
      <c r="AW171">
        <f>MAX(0,ROUND(AW170*(1+'Calc base'!K171),2)-M171)</f>
        <v>0</v>
      </c>
      <c r="AX171">
        <f>MAX(0,ROUND(AX170*(1+'Calc base'!L171),2)-N171)</f>
        <v>0</v>
      </c>
      <c r="AY171">
        <f>MAX(0,ROUND(AY170*(1+'Calc base'!M171),2)-O171)</f>
        <v>0</v>
      </c>
      <c r="AZ171">
        <f>MAX(0,ROUND(AZ170*(1+'Calc base'!N171),2)-P171)</f>
        <v>0</v>
      </c>
      <c r="BA171">
        <f>MAX(0,ROUND(BA170*(1+'Calc base'!O171),2)-Q171)</f>
        <v>0</v>
      </c>
      <c r="BB171">
        <f>MAX(0,ROUND(BB170*(1+'Calc base'!P171),2)-R171)</f>
        <v>0</v>
      </c>
      <c r="BC171">
        <f>MAX(0,ROUND(BC170*(1+'Calc base'!Q171),2)-S171)</f>
        <v>0</v>
      </c>
      <c r="BD171">
        <f>MAX(0,ROUND(BD170*(1+'Calc base'!R171),2)-T171)</f>
        <v>0</v>
      </c>
      <c r="BE171">
        <f>MAX(0,ROUND(BE170*(1+'Calc base'!S171),2)-U171)</f>
        <v>0</v>
      </c>
    </row>
    <row r="172">
      <c r="A172" t="n">
        <v>142</v>
      </c>
      <c r="B172">
        <f>SUMPRODUCT(ROUND($AT171:$BE171*(1+'Calc base'!$H172:$S172),2))</f>
        <v>0</v>
      </c>
      <c r="C172">
        <f>SUM(J172:U172)</f>
        <v>0</v>
      </c>
      <c r="G172">
        <f>SUM(AT172:BE172)</f>
        <v>0</v>
      </c>
      <c r="H172">
        <f>B172-G171</f>
        <v>0</v>
      </c>
      <c r="I172">
        <f>B172-G172</f>
        <v>0</v>
      </c>
      <c r="J172">
        <f>IF(AT171&lt;=0,0,IF(ROUND(AT171*(1+'Calc base'!H172),2)-MAX('Calc base'!C$12,ROUND('Calc base'!C$13*AT171,2))&lt;1,ROUND(AT171*(1+'Calc base'!H172),2),MAX('Calc base'!C$12,ROUND('Calc base'!C$13*AT171,2))))</f>
        <v>0</v>
      </c>
      <c r="K172">
        <f>IF(AU171&lt;=0,0,IF(ROUND(AU171*(1+'Calc base'!I172),2)-MAX('Calc base'!D$12,ROUND('Calc base'!D$13*AU171,2))&lt;1,ROUND(AU171*(1+'Calc base'!I172),2),MAX('Calc base'!D$12,ROUND('Calc base'!D$13*AU171,2))))</f>
        <v>0</v>
      </c>
      <c r="L172">
        <f>IF(AV171&lt;=0,0,IF(ROUND(AV171*(1+'Calc base'!J172),2)-MAX('Calc base'!E$12,ROUND('Calc base'!E$13*AV171,2))&lt;1,ROUND(AV171*(1+'Calc base'!J172),2),MAX('Calc base'!E$12,ROUND('Calc base'!E$13*AV171,2))))</f>
        <v>0</v>
      </c>
      <c r="M172">
        <f>IF(AW171&lt;=0,0,IF(ROUND(AW171*(1+'Calc base'!K172),2)-MAX('Calc base'!F$12,ROUND('Calc base'!F$13*AW171,2))&lt;1,ROUND(AW171*(1+'Calc base'!K172),2),MAX('Calc base'!F$12,ROUND('Calc base'!F$13*AW171,2))))</f>
        <v>0</v>
      </c>
      <c r="N172">
        <f>IF(AX171&lt;=0,0,IF(ROUND(AX171*(1+'Calc base'!L172),2)-MAX('Calc base'!G$12,ROUND('Calc base'!G$13*AX171,2))&lt;1,ROUND(AX171*(1+'Calc base'!L172),2),MAX('Calc base'!G$12,ROUND('Calc base'!G$13*AX171,2))))</f>
        <v>0</v>
      </c>
      <c r="O172">
        <f>IF(AY171&lt;=0,0,IF(ROUND(AY171*(1+'Calc base'!M172),2)-MAX('Calc base'!H$12,ROUND('Calc base'!H$13*AY171,2))&lt;1,ROUND(AY171*(1+'Calc base'!M172),2),MAX('Calc base'!H$12,ROUND('Calc base'!H$13*AY171,2))))</f>
        <v>0</v>
      </c>
      <c r="P172">
        <f>IF(AZ171&lt;=0,0,IF(ROUND(AZ171*(1+'Calc base'!N172),2)-MAX('Calc base'!I$12,ROUND('Calc base'!I$13*AZ171,2))&lt;1,ROUND(AZ171*(1+'Calc base'!N172),2),MAX('Calc base'!I$12,ROUND('Calc base'!I$13*AZ171,2))))</f>
        <v>0</v>
      </c>
      <c r="Q172">
        <f>IF(BA171&lt;=0,0,IF(ROUND(BA171*(1+'Calc base'!O172),2)-MAX('Calc base'!J$12,ROUND('Calc base'!J$13*BA171,2))&lt;1,ROUND(BA171*(1+'Calc base'!O172),2),MAX('Calc base'!J$12,ROUND('Calc base'!J$13*BA171,2))))</f>
        <v>0</v>
      </c>
      <c r="R172">
        <f>IF(BB171&lt;=0,0,IF(ROUND(BB171*(1+'Calc base'!P172),2)-MAX('Calc base'!K$12,ROUND('Calc base'!K$13*BB171,2))&lt;1,ROUND(BB171*(1+'Calc base'!P172),2),MAX('Calc base'!K$12,ROUND('Calc base'!K$13*BB171,2))))</f>
        <v>0</v>
      </c>
      <c r="S172">
        <f>IF(BC171&lt;=0,0,IF(ROUND(BC171*(1+'Calc base'!Q172),2)-MAX('Calc base'!L$12,ROUND('Calc base'!L$13*BC171,2))&lt;1,ROUND(BC171*(1+'Calc base'!Q172),2),MAX('Calc base'!L$12,ROUND('Calc base'!L$13*BC171,2))))</f>
        <v>0</v>
      </c>
      <c r="T172">
        <f>IF(BD171&lt;=0,0,IF(ROUND(BD171*(1+'Calc base'!R172),2)-MAX('Calc base'!M$12,ROUND('Calc base'!M$13*BD171,2))&lt;1,ROUND(BD171*(1+'Calc base'!R172),2),MAX('Calc base'!M$12,ROUND('Calc base'!M$13*BD171,2))))</f>
        <v>0</v>
      </c>
      <c r="U172">
        <f>IF(BE171&lt;=0,0,IF(ROUND(BE171*(1+'Calc base'!S172),2)-MAX('Calc base'!N$12,ROUND('Calc base'!N$13*BE171,2))&lt;1,ROUND(BE171*(1+'Calc base'!S172),2),MAX('Calc base'!N$12,ROUND('Calc base'!N$13*BE171,2))))</f>
        <v>0</v>
      </c>
      <c r="AT172">
        <f>MAX(0,ROUND(AT171*(1+'Calc base'!H172),2)-J172)</f>
        <v>0</v>
      </c>
      <c r="AU172">
        <f>MAX(0,ROUND(AU171*(1+'Calc base'!I172),2)-K172)</f>
        <v>0</v>
      </c>
      <c r="AV172">
        <f>MAX(0,ROUND(AV171*(1+'Calc base'!J172),2)-L172)</f>
        <v>0</v>
      </c>
      <c r="AW172">
        <f>MAX(0,ROUND(AW171*(1+'Calc base'!K172),2)-M172)</f>
        <v>0</v>
      </c>
      <c r="AX172">
        <f>MAX(0,ROUND(AX171*(1+'Calc base'!L172),2)-N172)</f>
        <v>0</v>
      </c>
      <c r="AY172">
        <f>MAX(0,ROUND(AY171*(1+'Calc base'!M172),2)-O172)</f>
        <v>0</v>
      </c>
      <c r="AZ172">
        <f>MAX(0,ROUND(AZ171*(1+'Calc base'!N172),2)-P172)</f>
        <v>0</v>
      </c>
      <c r="BA172">
        <f>MAX(0,ROUND(BA171*(1+'Calc base'!O172),2)-Q172)</f>
        <v>0</v>
      </c>
      <c r="BB172">
        <f>MAX(0,ROUND(BB171*(1+'Calc base'!P172),2)-R172)</f>
        <v>0</v>
      </c>
      <c r="BC172">
        <f>MAX(0,ROUND(BC171*(1+'Calc base'!Q172),2)-S172)</f>
        <v>0</v>
      </c>
      <c r="BD172">
        <f>MAX(0,ROUND(BD171*(1+'Calc base'!R172),2)-T172)</f>
        <v>0</v>
      </c>
      <c r="BE172">
        <f>MAX(0,ROUND(BE171*(1+'Calc base'!S172),2)-U172)</f>
        <v>0</v>
      </c>
    </row>
    <row r="173">
      <c r="A173" t="n">
        <v>143</v>
      </c>
      <c r="B173">
        <f>SUMPRODUCT(ROUND($AT172:$BE172*(1+'Calc base'!$H173:$S173),2))</f>
        <v>0</v>
      </c>
      <c r="C173">
        <f>SUM(J173:U173)</f>
        <v>0</v>
      </c>
      <c r="G173">
        <f>SUM(AT173:BE173)</f>
        <v>0</v>
      </c>
      <c r="H173">
        <f>B173-G172</f>
        <v>0</v>
      </c>
      <c r="I173">
        <f>B173-G173</f>
        <v>0</v>
      </c>
      <c r="J173">
        <f>IF(AT172&lt;=0,0,IF(ROUND(AT172*(1+'Calc base'!H173),2)-MAX('Calc base'!C$12,ROUND('Calc base'!C$13*AT172,2))&lt;1,ROUND(AT172*(1+'Calc base'!H173),2),MAX('Calc base'!C$12,ROUND('Calc base'!C$13*AT172,2))))</f>
        <v>0</v>
      </c>
      <c r="K173">
        <f>IF(AU172&lt;=0,0,IF(ROUND(AU172*(1+'Calc base'!I173),2)-MAX('Calc base'!D$12,ROUND('Calc base'!D$13*AU172,2))&lt;1,ROUND(AU172*(1+'Calc base'!I173),2),MAX('Calc base'!D$12,ROUND('Calc base'!D$13*AU172,2))))</f>
        <v>0</v>
      </c>
      <c r="L173">
        <f>IF(AV172&lt;=0,0,IF(ROUND(AV172*(1+'Calc base'!J173),2)-MAX('Calc base'!E$12,ROUND('Calc base'!E$13*AV172,2))&lt;1,ROUND(AV172*(1+'Calc base'!J173),2),MAX('Calc base'!E$12,ROUND('Calc base'!E$13*AV172,2))))</f>
        <v>0</v>
      </c>
      <c r="M173">
        <f>IF(AW172&lt;=0,0,IF(ROUND(AW172*(1+'Calc base'!K173),2)-MAX('Calc base'!F$12,ROUND('Calc base'!F$13*AW172,2))&lt;1,ROUND(AW172*(1+'Calc base'!K173),2),MAX('Calc base'!F$12,ROUND('Calc base'!F$13*AW172,2))))</f>
        <v>0</v>
      </c>
      <c r="N173">
        <f>IF(AX172&lt;=0,0,IF(ROUND(AX172*(1+'Calc base'!L173),2)-MAX('Calc base'!G$12,ROUND('Calc base'!G$13*AX172,2))&lt;1,ROUND(AX172*(1+'Calc base'!L173),2),MAX('Calc base'!G$12,ROUND('Calc base'!G$13*AX172,2))))</f>
        <v>0</v>
      </c>
      <c r="O173">
        <f>IF(AY172&lt;=0,0,IF(ROUND(AY172*(1+'Calc base'!M173),2)-MAX('Calc base'!H$12,ROUND('Calc base'!H$13*AY172,2))&lt;1,ROUND(AY172*(1+'Calc base'!M173),2),MAX('Calc base'!H$12,ROUND('Calc base'!H$13*AY172,2))))</f>
        <v>0</v>
      </c>
      <c r="P173">
        <f>IF(AZ172&lt;=0,0,IF(ROUND(AZ172*(1+'Calc base'!N173),2)-MAX('Calc base'!I$12,ROUND('Calc base'!I$13*AZ172,2))&lt;1,ROUND(AZ172*(1+'Calc base'!N173),2),MAX('Calc base'!I$12,ROUND('Calc base'!I$13*AZ172,2))))</f>
        <v>0</v>
      </c>
      <c r="Q173">
        <f>IF(BA172&lt;=0,0,IF(ROUND(BA172*(1+'Calc base'!O173),2)-MAX('Calc base'!J$12,ROUND('Calc base'!J$13*BA172,2))&lt;1,ROUND(BA172*(1+'Calc base'!O173),2),MAX('Calc base'!J$12,ROUND('Calc base'!J$13*BA172,2))))</f>
        <v>0</v>
      </c>
      <c r="R173">
        <f>IF(BB172&lt;=0,0,IF(ROUND(BB172*(1+'Calc base'!P173),2)-MAX('Calc base'!K$12,ROUND('Calc base'!K$13*BB172,2))&lt;1,ROUND(BB172*(1+'Calc base'!P173),2),MAX('Calc base'!K$12,ROUND('Calc base'!K$13*BB172,2))))</f>
        <v>0</v>
      </c>
      <c r="S173">
        <f>IF(BC172&lt;=0,0,IF(ROUND(BC172*(1+'Calc base'!Q173),2)-MAX('Calc base'!L$12,ROUND('Calc base'!L$13*BC172,2))&lt;1,ROUND(BC172*(1+'Calc base'!Q173),2),MAX('Calc base'!L$12,ROUND('Calc base'!L$13*BC172,2))))</f>
        <v>0</v>
      </c>
      <c r="T173">
        <f>IF(BD172&lt;=0,0,IF(ROUND(BD172*(1+'Calc base'!R173),2)-MAX('Calc base'!M$12,ROUND('Calc base'!M$13*BD172,2))&lt;1,ROUND(BD172*(1+'Calc base'!R173),2),MAX('Calc base'!M$12,ROUND('Calc base'!M$13*BD172,2))))</f>
        <v>0</v>
      </c>
      <c r="U173">
        <f>IF(BE172&lt;=0,0,IF(ROUND(BE172*(1+'Calc base'!S173),2)-MAX('Calc base'!N$12,ROUND('Calc base'!N$13*BE172,2))&lt;1,ROUND(BE172*(1+'Calc base'!S173),2),MAX('Calc base'!N$12,ROUND('Calc base'!N$13*BE172,2))))</f>
        <v>0</v>
      </c>
      <c r="AT173">
        <f>MAX(0,ROUND(AT172*(1+'Calc base'!H173),2)-J173)</f>
        <v>0</v>
      </c>
      <c r="AU173">
        <f>MAX(0,ROUND(AU172*(1+'Calc base'!I173),2)-K173)</f>
        <v>0</v>
      </c>
      <c r="AV173">
        <f>MAX(0,ROUND(AV172*(1+'Calc base'!J173),2)-L173)</f>
        <v>0</v>
      </c>
      <c r="AW173">
        <f>MAX(0,ROUND(AW172*(1+'Calc base'!K173),2)-M173)</f>
        <v>0</v>
      </c>
      <c r="AX173">
        <f>MAX(0,ROUND(AX172*(1+'Calc base'!L173),2)-N173)</f>
        <v>0</v>
      </c>
      <c r="AY173">
        <f>MAX(0,ROUND(AY172*(1+'Calc base'!M173),2)-O173)</f>
        <v>0</v>
      </c>
      <c r="AZ173">
        <f>MAX(0,ROUND(AZ172*(1+'Calc base'!N173),2)-P173)</f>
        <v>0</v>
      </c>
      <c r="BA173">
        <f>MAX(0,ROUND(BA172*(1+'Calc base'!O173),2)-Q173)</f>
        <v>0</v>
      </c>
      <c r="BB173">
        <f>MAX(0,ROUND(BB172*(1+'Calc base'!P173),2)-R173)</f>
        <v>0</v>
      </c>
      <c r="BC173">
        <f>MAX(0,ROUND(BC172*(1+'Calc base'!Q173),2)-S173)</f>
        <v>0</v>
      </c>
      <c r="BD173">
        <f>MAX(0,ROUND(BD172*(1+'Calc base'!R173),2)-T173)</f>
        <v>0</v>
      </c>
      <c r="BE173">
        <f>MAX(0,ROUND(BE172*(1+'Calc base'!S173),2)-U173)</f>
        <v>0</v>
      </c>
    </row>
    <row r="174">
      <c r="A174" t="n">
        <v>144</v>
      </c>
      <c r="B174">
        <f>SUMPRODUCT(ROUND($AT173:$BE173*(1+'Calc base'!$H174:$S174),2))</f>
        <v>0</v>
      </c>
      <c r="C174">
        <f>SUM(J174:U174)</f>
        <v>0</v>
      </c>
      <c r="G174">
        <f>SUM(AT174:BE174)</f>
        <v>0</v>
      </c>
      <c r="H174">
        <f>B174-G173</f>
        <v>0</v>
      </c>
      <c r="I174">
        <f>B174-G174</f>
        <v>0</v>
      </c>
      <c r="J174">
        <f>IF(AT173&lt;=0,0,IF(ROUND(AT173*(1+'Calc base'!H174),2)-MAX('Calc base'!C$12,ROUND('Calc base'!C$13*AT173,2))&lt;1,ROUND(AT173*(1+'Calc base'!H174),2),MAX('Calc base'!C$12,ROUND('Calc base'!C$13*AT173,2))))</f>
        <v>0</v>
      </c>
      <c r="K174">
        <f>IF(AU173&lt;=0,0,IF(ROUND(AU173*(1+'Calc base'!I174),2)-MAX('Calc base'!D$12,ROUND('Calc base'!D$13*AU173,2))&lt;1,ROUND(AU173*(1+'Calc base'!I174),2),MAX('Calc base'!D$12,ROUND('Calc base'!D$13*AU173,2))))</f>
        <v>0</v>
      </c>
      <c r="L174">
        <f>IF(AV173&lt;=0,0,IF(ROUND(AV173*(1+'Calc base'!J174),2)-MAX('Calc base'!E$12,ROUND('Calc base'!E$13*AV173,2))&lt;1,ROUND(AV173*(1+'Calc base'!J174),2),MAX('Calc base'!E$12,ROUND('Calc base'!E$13*AV173,2))))</f>
        <v>0</v>
      </c>
      <c r="M174">
        <f>IF(AW173&lt;=0,0,IF(ROUND(AW173*(1+'Calc base'!K174),2)-MAX('Calc base'!F$12,ROUND('Calc base'!F$13*AW173,2))&lt;1,ROUND(AW173*(1+'Calc base'!K174),2),MAX('Calc base'!F$12,ROUND('Calc base'!F$13*AW173,2))))</f>
        <v>0</v>
      </c>
      <c r="N174">
        <f>IF(AX173&lt;=0,0,IF(ROUND(AX173*(1+'Calc base'!L174),2)-MAX('Calc base'!G$12,ROUND('Calc base'!G$13*AX173,2))&lt;1,ROUND(AX173*(1+'Calc base'!L174),2),MAX('Calc base'!G$12,ROUND('Calc base'!G$13*AX173,2))))</f>
        <v>0</v>
      </c>
      <c r="O174">
        <f>IF(AY173&lt;=0,0,IF(ROUND(AY173*(1+'Calc base'!M174),2)-MAX('Calc base'!H$12,ROUND('Calc base'!H$13*AY173,2))&lt;1,ROUND(AY173*(1+'Calc base'!M174),2),MAX('Calc base'!H$12,ROUND('Calc base'!H$13*AY173,2))))</f>
        <v>0</v>
      </c>
      <c r="P174">
        <f>IF(AZ173&lt;=0,0,IF(ROUND(AZ173*(1+'Calc base'!N174),2)-MAX('Calc base'!I$12,ROUND('Calc base'!I$13*AZ173,2))&lt;1,ROUND(AZ173*(1+'Calc base'!N174),2),MAX('Calc base'!I$12,ROUND('Calc base'!I$13*AZ173,2))))</f>
        <v>0</v>
      </c>
      <c r="Q174">
        <f>IF(BA173&lt;=0,0,IF(ROUND(BA173*(1+'Calc base'!O174),2)-MAX('Calc base'!J$12,ROUND('Calc base'!J$13*BA173,2))&lt;1,ROUND(BA173*(1+'Calc base'!O174),2),MAX('Calc base'!J$12,ROUND('Calc base'!J$13*BA173,2))))</f>
        <v>0</v>
      </c>
      <c r="R174">
        <f>IF(BB173&lt;=0,0,IF(ROUND(BB173*(1+'Calc base'!P174),2)-MAX('Calc base'!K$12,ROUND('Calc base'!K$13*BB173,2))&lt;1,ROUND(BB173*(1+'Calc base'!P174),2),MAX('Calc base'!K$12,ROUND('Calc base'!K$13*BB173,2))))</f>
        <v>0</v>
      </c>
      <c r="S174">
        <f>IF(BC173&lt;=0,0,IF(ROUND(BC173*(1+'Calc base'!Q174),2)-MAX('Calc base'!L$12,ROUND('Calc base'!L$13*BC173,2))&lt;1,ROUND(BC173*(1+'Calc base'!Q174),2),MAX('Calc base'!L$12,ROUND('Calc base'!L$13*BC173,2))))</f>
        <v>0</v>
      </c>
      <c r="T174">
        <f>IF(BD173&lt;=0,0,IF(ROUND(BD173*(1+'Calc base'!R174),2)-MAX('Calc base'!M$12,ROUND('Calc base'!M$13*BD173,2))&lt;1,ROUND(BD173*(1+'Calc base'!R174),2),MAX('Calc base'!M$12,ROUND('Calc base'!M$13*BD173,2))))</f>
        <v>0</v>
      </c>
      <c r="U174">
        <f>IF(BE173&lt;=0,0,IF(ROUND(BE173*(1+'Calc base'!S174),2)-MAX('Calc base'!N$12,ROUND('Calc base'!N$13*BE173,2))&lt;1,ROUND(BE173*(1+'Calc base'!S174),2),MAX('Calc base'!N$12,ROUND('Calc base'!N$13*BE173,2))))</f>
        <v>0</v>
      </c>
      <c r="AT174">
        <f>MAX(0,ROUND(AT173*(1+'Calc base'!H174),2)-J174)</f>
        <v>0</v>
      </c>
      <c r="AU174">
        <f>MAX(0,ROUND(AU173*(1+'Calc base'!I174),2)-K174)</f>
        <v>0</v>
      </c>
      <c r="AV174">
        <f>MAX(0,ROUND(AV173*(1+'Calc base'!J174),2)-L174)</f>
        <v>0</v>
      </c>
      <c r="AW174">
        <f>MAX(0,ROUND(AW173*(1+'Calc base'!K174),2)-M174)</f>
        <v>0</v>
      </c>
      <c r="AX174">
        <f>MAX(0,ROUND(AX173*(1+'Calc base'!L174),2)-N174)</f>
        <v>0</v>
      </c>
      <c r="AY174">
        <f>MAX(0,ROUND(AY173*(1+'Calc base'!M174),2)-O174)</f>
        <v>0</v>
      </c>
      <c r="AZ174">
        <f>MAX(0,ROUND(AZ173*(1+'Calc base'!N174),2)-P174)</f>
        <v>0</v>
      </c>
      <c r="BA174">
        <f>MAX(0,ROUND(BA173*(1+'Calc base'!O174),2)-Q174)</f>
        <v>0</v>
      </c>
      <c r="BB174">
        <f>MAX(0,ROUND(BB173*(1+'Calc base'!P174),2)-R174)</f>
        <v>0</v>
      </c>
      <c r="BC174">
        <f>MAX(0,ROUND(BC173*(1+'Calc base'!Q174),2)-S174)</f>
        <v>0</v>
      </c>
      <c r="BD174">
        <f>MAX(0,ROUND(BD173*(1+'Calc base'!R174),2)-T174)</f>
        <v>0</v>
      </c>
      <c r="BE174">
        <f>MAX(0,ROUND(BE173*(1+'Calc base'!S174),2)-U174)</f>
        <v>0</v>
      </c>
    </row>
    <row r="175">
      <c r="A175" t="n">
        <v>145</v>
      </c>
      <c r="B175">
        <f>SUMPRODUCT(ROUND($AT174:$BE174*(1+'Calc base'!$H175:$S175),2))</f>
        <v>0</v>
      </c>
      <c r="C175">
        <f>SUM(J175:U175)</f>
        <v>0</v>
      </c>
      <c r="G175">
        <f>SUM(AT175:BE175)</f>
        <v>0</v>
      </c>
      <c r="H175">
        <f>B175-G174</f>
        <v>0</v>
      </c>
      <c r="I175">
        <f>B175-G175</f>
        <v>0</v>
      </c>
      <c r="J175">
        <f>IF(AT174&lt;=0,0,IF(ROUND(AT174*(1+'Calc base'!H175),2)-MAX('Calc base'!C$12,ROUND('Calc base'!C$13*AT174,2))&lt;1,ROUND(AT174*(1+'Calc base'!H175),2),MAX('Calc base'!C$12,ROUND('Calc base'!C$13*AT174,2))))</f>
        <v>0</v>
      </c>
      <c r="K175">
        <f>IF(AU174&lt;=0,0,IF(ROUND(AU174*(1+'Calc base'!I175),2)-MAX('Calc base'!D$12,ROUND('Calc base'!D$13*AU174,2))&lt;1,ROUND(AU174*(1+'Calc base'!I175),2),MAX('Calc base'!D$12,ROUND('Calc base'!D$13*AU174,2))))</f>
        <v>0</v>
      </c>
      <c r="L175">
        <f>IF(AV174&lt;=0,0,IF(ROUND(AV174*(1+'Calc base'!J175),2)-MAX('Calc base'!E$12,ROUND('Calc base'!E$13*AV174,2))&lt;1,ROUND(AV174*(1+'Calc base'!J175),2),MAX('Calc base'!E$12,ROUND('Calc base'!E$13*AV174,2))))</f>
        <v>0</v>
      </c>
      <c r="M175">
        <f>IF(AW174&lt;=0,0,IF(ROUND(AW174*(1+'Calc base'!K175),2)-MAX('Calc base'!F$12,ROUND('Calc base'!F$13*AW174,2))&lt;1,ROUND(AW174*(1+'Calc base'!K175),2),MAX('Calc base'!F$12,ROUND('Calc base'!F$13*AW174,2))))</f>
        <v>0</v>
      </c>
      <c r="N175">
        <f>IF(AX174&lt;=0,0,IF(ROUND(AX174*(1+'Calc base'!L175),2)-MAX('Calc base'!G$12,ROUND('Calc base'!G$13*AX174,2))&lt;1,ROUND(AX174*(1+'Calc base'!L175),2),MAX('Calc base'!G$12,ROUND('Calc base'!G$13*AX174,2))))</f>
        <v>0</v>
      </c>
      <c r="O175">
        <f>IF(AY174&lt;=0,0,IF(ROUND(AY174*(1+'Calc base'!M175),2)-MAX('Calc base'!H$12,ROUND('Calc base'!H$13*AY174,2))&lt;1,ROUND(AY174*(1+'Calc base'!M175),2),MAX('Calc base'!H$12,ROUND('Calc base'!H$13*AY174,2))))</f>
        <v>0</v>
      </c>
      <c r="P175">
        <f>IF(AZ174&lt;=0,0,IF(ROUND(AZ174*(1+'Calc base'!N175),2)-MAX('Calc base'!I$12,ROUND('Calc base'!I$13*AZ174,2))&lt;1,ROUND(AZ174*(1+'Calc base'!N175),2),MAX('Calc base'!I$12,ROUND('Calc base'!I$13*AZ174,2))))</f>
        <v>0</v>
      </c>
      <c r="Q175">
        <f>IF(BA174&lt;=0,0,IF(ROUND(BA174*(1+'Calc base'!O175),2)-MAX('Calc base'!J$12,ROUND('Calc base'!J$13*BA174,2))&lt;1,ROUND(BA174*(1+'Calc base'!O175),2),MAX('Calc base'!J$12,ROUND('Calc base'!J$13*BA174,2))))</f>
        <v>0</v>
      </c>
      <c r="R175">
        <f>IF(BB174&lt;=0,0,IF(ROUND(BB174*(1+'Calc base'!P175),2)-MAX('Calc base'!K$12,ROUND('Calc base'!K$13*BB174,2))&lt;1,ROUND(BB174*(1+'Calc base'!P175),2),MAX('Calc base'!K$12,ROUND('Calc base'!K$13*BB174,2))))</f>
        <v>0</v>
      </c>
      <c r="S175">
        <f>IF(BC174&lt;=0,0,IF(ROUND(BC174*(1+'Calc base'!Q175),2)-MAX('Calc base'!L$12,ROUND('Calc base'!L$13*BC174,2))&lt;1,ROUND(BC174*(1+'Calc base'!Q175),2),MAX('Calc base'!L$12,ROUND('Calc base'!L$13*BC174,2))))</f>
        <v>0</v>
      </c>
      <c r="T175">
        <f>IF(BD174&lt;=0,0,IF(ROUND(BD174*(1+'Calc base'!R175),2)-MAX('Calc base'!M$12,ROUND('Calc base'!M$13*BD174,2))&lt;1,ROUND(BD174*(1+'Calc base'!R175),2),MAX('Calc base'!M$12,ROUND('Calc base'!M$13*BD174,2))))</f>
        <v>0</v>
      </c>
      <c r="U175">
        <f>IF(BE174&lt;=0,0,IF(ROUND(BE174*(1+'Calc base'!S175),2)-MAX('Calc base'!N$12,ROUND('Calc base'!N$13*BE174,2))&lt;1,ROUND(BE174*(1+'Calc base'!S175),2),MAX('Calc base'!N$12,ROUND('Calc base'!N$13*BE174,2))))</f>
        <v>0</v>
      </c>
      <c r="AT175">
        <f>MAX(0,ROUND(AT174*(1+'Calc base'!H175),2)-J175)</f>
        <v>0</v>
      </c>
      <c r="AU175">
        <f>MAX(0,ROUND(AU174*(1+'Calc base'!I175),2)-K175)</f>
        <v>0</v>
      </c>
      <c r="AV175">
        <f>MAX(0,ROUND(AV174*(1+'Calc base'!J175),2)-L175)</f>
        <v>0</v>
      </c>
      <c r="AW175">
        <f>MAX(0,ROUND(AW174*(1+'Calc base'!K175),2)-M175)</f>
        <v>0</v>
      </c>
      <c r="AX175">
        <f>MAX(0,ROUND(AX174*(1+'Calc base'!L175),2)-N175)</f>
        <v>0</v>
      </c>
      <c r="AY175">
        <f>MAX(0,ROUND(AY174*(1+'Calc base'!M175),2)-O175)</f>
        <v>0</v>
      </c>
      <c r="AZ175">
        <f>MAX(0,ROUND(AZ174*(1+'Calc base'!N175),2)-P175)</f>
        <v>0</v>
      </c>
      <c r="BA175">
        <f>MAX(0,ROUND(BA174*(1+'Calc base'!O175),2)-Q175)</f>
        <v>0</v>
      </c>
      <c r="BB175">
        <f>MAX(0,ROUND(BB174*(1+'Calc base'!P175),2)-R175)</f>
        <v>0</v>
      </c>
      <c r="BC175">
        <f>MAX(0,ROUND(BC174*(1+'Calc base'!Q175),2)-S175)</f>
        <v>0</v>
      </c>
      <c r="BD175">
        <f>MAX(0,ROUND(BD174*(1+'Calc base'!R175),2)-T175)</f>
        <v>0</v>
      </c>
      <c r="BE175">
        <f>MAX(0,ROUND(BE174*(1+'Calc base'!S175),2)-U175)</f>
        <v>0</v>
      </c>
    </row>
    <row r="176">
      <c r="A176" t="n">
        <v>146</v>
      </c>
      <c r="B176">
        <f>SUMPRODUCT(ROUND($AT175:$BE175*(1+'Calc base'!$H176:$S176),2))</f>
        <v>0</v>
      </c>
      <c r="C176">
        <f>SUM(J176:U176)</f>
        <v>0</v>
      </c>
      <c r="G176">
        <f>SUM(AT176:BE176)</f>
        <v>0</v>
      </c>
      <c r="H176">
        <f>B176-G175</f>
        <v>0</v>
      </c>
      <c r="I176">
        <f>B176-G176</f>
        <v>0</v>
      </c>
      <c r="J176">
        <f>IF(AT175&lt;=0,0,IF(ROUND(AT175*(1+'Calc base'!H176),2)-MAX('Calc base'!C$12,ROUND('Calc base'!C$13*AT175,2))&lt;1,ROUND(AT175*(1+'Calc base'!H176),2),MAX('Calc base'!C$12,ROUND('Calc base'!C$13*AT175,2))))</f>
        <v>0</v>
      </c>
      <c r="K176">
        <f>IF(AU175&lt;=0,0,IF(ROUND(AU175*(1+'Calc base'!I176),2)-MAX('Calc base'!D$12,ROUND('Calc base'!D$13*AU175,2))&lt;1,ROUND(AU175*(1+'Calc base'!I176),2),MAX('Calc base'!D$12,ROUND('Calc base'!D$13*AU175,2))))</f>
        <v>0</v>
      </c>
      <c r="L176">
        <f>IF(AV175&lt;=0,0,IF(ROUND(AV175*(1+'Calc base'!J176),2)-MAX('Calc base'!E$12,ROUND('Calc base'!E$13*AV175,2))&lt;1,ROUND(AV175*(1+'Calc base'!J176),2),MAX('Calc base'!E$12,ROUND('Calc base'!E$13*AV175,2))))</f>
        <v>0</v>
      </c>
      <c r="M176">
        <f>IF(AW175&lt;=0,0,IF(ROUND(AW175*(1+'Calc base'!K176),2)-MAX('Calc base'!F$12,ROUND('Calc base'!F$13*AW175,2))&lt;1,ROUND(AW175*(1+'Calc base'!K176),2),MAX('Calc base'!F$12,ROUND('Calc base'!F$13*AW175,2))))</f>
        <v>0</v>
      </c>
      <c r="N176">
        <f>IF(AX175&lt;=0,0,IF(ROUND(AX175*(1+'Calc base'!L176),2)-MAX('Calc base'!G$12,ROUND('Calc base'!G$13*AX175,2))&lt;1,ROUND(AX175*(1+'Calc base'!L176),2),MAX('Calc base'!G$12,ROUND('Calc base'!G$13*AX175,2))))</f>
        <v>0</v>
      </c>
      <c r="O176">
        <f>IF(AY175&lt;=0,0,IF(ROUND(AY175*(1+'Calc base'!M176),2)-MAX('Calc base'!H$12,ROUND('Calc base'!H$13*AY175,2))&lt;1,ROUND(AY175*(1+'Calc base'!M176),2),MAX('Calc base'!H$12,ROUND('Calc base'!H$13*AY175,2))))</f>
        <v>0</v>
      </c>
      <c r="P176">
        <f>IF(AZ175&lt;=0,0,IF(ROUND(AZ175*(1+'Calc base'!N176),2)-MAX('Calc base'!I$12,ROUND('Calc base'!I$13*AZ175,2))&lt;1,ROUND(AZ175*(1+'Calc base'!N176),2),MAX('Calc base'!I$12,ROUND('Calc base'!I$13*AZ175,2))))</f>
        <v>0</v>
      </c>
      <c r="Q176">
        <f>IF(BA175&lt;=0,0,IF(ROUND(BA175*(1+'Calc base'!O176),2)-MAX('Calc base'!J$12,ROUND('Calc base'!J$13*BA175,2))&lt;1,ROUND(BA175*(1+'Calc base'!O176),2),MAX('Calc base'!J$12,ROUND('Calc base'!J$13*BA175,2))))</f>
        <v>0</v>
      </c>
      <c r="R176">
        <f>IF(BB175&lt;=0,0,IF(ROUND(BB175*(1+'Calc base'!P176),2)-MAX('Calc base'!K$12,ROUND('Calc base'!K$13*BB175,2))&lt;1,ROUND(BB175*(1+'Calc base'!P176),2),MAX('Calc base'!K$12,ROUND('Calc base'!K$13*BB175,2))))</f>
        <v>0</v>
      </c>
      <c r="S176">
        <f>IF(BC175&lt;=0,0,IF(ROUND(BC175*(1+'Calc base'!Q176),2)-MAX('Calc base'!L$12,ROUND('Calc base'!L$13*BC175,2))&lt;1,ROUND(BC175*(1+'Calc base'!Q176),2),MAX('Calc base'!L$12,ROUND('Calc base'!L$13*BC175,2))))</f>
        <v>0</v>
      </c>
      <c r="T176">
        <f>IF(BD175&lt;=0,0,IF(ROUND(BD175*(1+'Calc base'!R176),2)-MAX('Calc base'!M$12,ROUND('Calc base'!M$13*BD175,2))&lt;1,ROUND(BD175*(1+'Calc base'!R176),2),MAX('Calc base'!M$12,ROUND('Calc base'!M$13*BD175,2))))</f>
        <v>0</v>
      </c>
      <c r="U176">
        <f>IF(BE175&lt;=0,0,IF(ROUND(BE175*(1+'Calc base'!S176),2)-MAX('Calc base'!N$12,ROUND('Calc base'!N$13*BE175,2))&lt;1,ROUND(BE175*(1+'Calc base'!S176),2),MAX('Calc base'!N$12,ROUND('Calc base'!N$13*BE175,2))))</f>
        <v>0</v>
      </c>
      <c r="AT176">
        <f>MAX(0,ROUND(AT175*(1+'Calc base'!H176),2)-J176)</f>
        <v>0</v>
      </c>
      <c r="AU176">
        <f>MAX(0,ROUND(AU175*(1+'Calc base'!I176),2)-K176)</f>
        <v>0</v>
      </c>
      <c r="AV176">
        <f>MAX(0,ROUND(AV175*(1+'Calc base'!J176),2)-L176)</f>
        <v>0</v>
      </c>
      <c r="AW176">
        <f>MAX(0,ROUND(AW175*(1+'Calc base'!K176),2)-M176)</f>
        <v>0</v>
      </c>
      <c r="AX176">
        <f>MAX(0,ROUND(AX175*(1+'Calc base'!L176),2)-N176)</f>
        <v>0</v>
      </c>
      <c r="AY176">
        <f>MAX(0,ROUND(AY175*(1+'Calc base'!M176),2)-O176)</f>
        <v>0</v>
      </c>
      <c r="AZ176">
        <f>MAX(0,ROUND(AZ175*(1+'Calc base'!N176),2)-P176)</f>
        <v>0</v>
      </c>
      <c r="BA176">
        <f>MAX(0,ROUND(BA175*(1+'Calc base'!O176),2)-Q176)</f>
        <v>0</v>
      </c>
      <c r="BB176">
        <f>MAX(0,ROUND(BB175*(1+'Calc base'!P176),2)-R176)</f>
        <v>0</v>
      </c>
      <c r="BC176">
        <f>MAX(0,ROUND(BC175*(1+'Calc base'!Q176),2)-S176)</f>
        <v>0</v>
      </c>
      <c r="BD176">
        <f>MAX(0,ROUND(BD175*(1+'Calc base'!R176),2)-T176)</f>
        <v>0</v>
      </c>
      <c r="BE176">
        <f>MAX(0,ROUND(BE175*(1+'Calc base'!S176),2)-U176)</f>
        <v>0</v>
      </c>
    </row>
    <row r="177">
      <c r="A177" t="n">
        <v>147</v>
      </c>
      <c r="B177">
        <f>SUMPRODUCT(ROUND($AT176:$BE176*(1+'Calc base'!$H177:$S177),2))</f>
        <v>0</v>
      </c>
      <c r="C177">
        <f>SUM(J177:U177)</f>
        <v>0</v>
      </c>
      <c r="G177">
        <f>SUM(AT177:BE177)</f>
        <v>0</v>
      </c>
      <c r="H177">
        <f>B177-G176</f>
        <v>0</v>
      </c>
      <c r="I177">
        <f>B177-G177</f>
        <v>0</v>
      </c>
      <c r="J177">
        <f>IF(AT176&lt;=0,0,IF(ROUND(AT176*(1+'Calc base'!H177),2)-MAX('Calc base'!C$12,ROUND('Calc base'!C$13*AT176,2))&lt;1,ROUND(AT176*(1+'Calc base'!H177),2),MAX('Calc base'!C$12,ROUND('Calc base'!C$13*AT176,2))))</f>
        <v>0</v>
      </c>
      <c r="K177">
        <f>IF(AU176&lt;=0,0,IF(ROUND(AU176*(1+'Calc base'!I177),2)-MAX('Calc base'!D$12,ROUND('Calc base'!D$13*AU176,2))&lt;1,ROUND(AU176*(1+'Calc base'!I177),2),MAX('Calc base'!D$12,ROUND('Calc base'!D$13*AU176,2))))</f>
        <v>0</v>
      </c>
      <c r="L177">
        <f>IF(AV176&lt;=0,0,IF(ROUND(AV176*(1+'Calc base'!J177),2)-MAX('Calc base'!E$12,ROUND('Calc base'!E$13*AV176,2))&lt;1,ROUND(AV176*(1+'Calc base'!J177),2),MAX('Calc base'!E$12,ROUND('Calc base'!E$13*AV176,2))))</f>
        <v>0</v>
      </c>
      <c r="M177">
        <f>IF(AW176&lt;=0,0,IF(ROUND(AW176*(1+'Calc base'!K177),2)-MAX('Calc base'!F$12,ROUND('Calc base'!F$13*AW176,2))&lt;1,ROUND(AW176*(1+'Calc base'!K177),2),MAX('Calc base'!F$12,ROUND('Calc base'!F$13*AW176,2))))</f>
        <v>0</v>
      </c>
      <c r="N177">
        <f>IF(AX176&lt;=0,0,IF(ROUND(AX176*(1+'Calc base'!L177),2)-MAX('Calc base'!G$12,ROUND('Calc base'!G$13*AX176,2))&lt;1,ROUND(AX176*(1+'Calc base'!L177),2),MAX('Calc base'!G$12,ROUND('Calc base'!G$13*AX176,2))))</f>
        <v>0</v>
      </c>
      <c r="O177">
        <f>IF(AY176&lt;=0,0,IF(ROUND(AY176*(1+'Calc base'!M177),2)-MAX('Calc base'!H$12,ROUND('Calc base'!H$13*AY176,2))&lt;1,ROUND(AY176*(1+'Calc base'!M177),2),MAX('Calc base'!H$12,ROUND('Calc base'!H$13*AY176,2))))</f>
        <v>0</v>
      </c>
      <c r="P177">
        <f>IF(AZ176&lt;=0,0,IF(ROUND(AZ176*(1+'Calc base'!N177),2)-MAX('Calc base'!I$12,ROUND('Calc base'!I$13*AZ176,2))&lt;1,ROUND(AZ176*(1+'Calc base'!N177),2),MAX('Calc base'!I$12,ROUND('Calc base'!I$13*AZ176,2))))</f>
        <v>0</v>
      </c>
      <c r="Q177">
        <f>IF(BA176&lt;=0,0,IF(ROUND(BA176*(1+'Calc base'!O177),2)-MAX('Calc base'!J$12,ROUND('Calc base'!J$13*BA176,2))&lt;1,ROUND(BA176*(1+'Calc base'!O177),2),MAX('Calc base'!J$12,ROUND('Calc base'!J$13*BA176,2))))</f>
        <v>0</v>
      </c>
      <c r="R177">
        <f>IF(BB176&lt;=0,0,IF(ROUND(BB176*(1+'Calc base'!P177),2)-MAX('Calc base'!K$12,ROUND('Calc base'!K$13*BB176,2))&lt;1,ROUND(BB176*(1+'Calc base'!P177),2),MAX('Calc base'!K$12,ROUND('Calc base'!K$13*BB176,2))))</f>
        <v>0</v>
      </c>
      <c r="S177">
        <f>IF(BC176&lt;=0,0,IF(ROUND(BC176*(1+'Calc base'!Q177),2)-MAX('Calc base'!L$12,ROUND('Calc base'!L$13*BC176,2))&lt;1,ROUND(BC176*(1+'Calc base'!Q177),2),MAX('Calc base'!L$12,ROUND('Calc base'!L$13*BC176,2))))</f>
        <v>0</v>
      </c>
      <c r="T177">
        <f>IF(BD176&lt;=0,0,IF(ROUND(BD176*(1+'Calc base'!R177),2)-MAX('Calc base'!M$12,ROUND('Calc base'!M$13*BD176,2))&lt;1,ROUND(BD176*(1+'Calc base'!R177),2),MAX('Calc base'!M$12,ROUND('Calc base'!M$13*BD176,2))))</f>
        <v>0</v>
      </c>
      <c r="U177">
        <f>IF(BE176&lt;=0,0,IF(ROUND(BE176*(1+'Calc base'!S177),2)-MAX('Calc base'!N$12,ROUND('Calc base'!N$13*BE176,2))&lt;1,ROUND(BE176*(1+'Calc base'!S177),2),MAX('Calc base'!N$12,ROUND('Calc base'!N$13*BE176,2))))</f>
        <v>0</v>
      </c>
      <c r="AT177">
        <f>MAX(0,ROUND(AT176*(1+'Calc base'!H177),2)-J177)</f>
        <v>0</v>
      </c>
      <c r="AU177">
        <f>MAX(0,ROUND(AU176*(1+'Calc base'!I177),2)-K177)</f>
        <v>0</v>
      </c>
      <c r="AV177">
        <f>MAX(0,ROUND(AV176*(1+'Calc base'!J177),2)-L177)</f>
        <v>0</v>
      </c>
      <c r="AW177">
        <f>MAX(0,ROUND(AW176*(1+'Calc base'!K177),2)-M177)</f>
        <v>0</v>
      </c>
      <c r="AX177">
        <f>MAX(0,ROUND(AX176*(1+'Calc base'!L177),2)-N177)</f>
        <v>0</v>
      </c>
      <c r="AY177">
        <f>MAX(0,ROUND(AY176*(1+'Calc base'!M177),2)-O177)</f>
        <v>0</v>
      </c>
      <c r="AZ177">
        <f>MAX(0,ROUND(AZ176*(1+'Calc base'!N177),2)-P177)</f>
        <v>0</v>
      </c>
      <c r="BA177">
        <f>MAX(0,ROUND(BA176*(1+'Calc base'!O177),2)-Q177)</f>
        <v>0</v>
      </c>
      <c r="BB177">
        <f>MAX(0,ROUND(BB176*(1+'Calc base'!P177),2)-R177)</f>
        <v>0</v>
      </c>
      <c r="BC177">
        <f>MAX(0,ROUND(BC176*(1+'Calc base'!Q177),2)-S177)</f>
        <v>0</v>
      </c>
      <c r="BD177">
        <f>MAX(0,ROUND(BD176*(1+'Calc base'!R177),2)-T177)</f>
        <v>0</v>
      </c>
      <c r="BE177">
        <f>MAX(0,ROUND(BE176*(1+'Calc base'!S177),2)-U177)</f>
        <v>0</v>
      </c>
    </row>
    <row r="178">
      <c r="A178" t="n">
        <v>148</v>
      </c>
      <c r="B178">
        <f>SUMPRODUCT(ROUND($AT177:$BE177*(1+'Calc base'!$H178:$S178),2))</f>
        <v>0</v>
      </c>
      <c r="C178">
        <f>SUM(J178:U178)</f>
        <v>0</v>
      </c>
      <c r="G178">
        <f>SUM(AT178:BE178)</f>
        <v>0</v>
      </c>
      <c r="H178">
        <f>B178-G177</f>
        <v>0</v>
      </c>
      <c r="I178">
        <f>B178-G178</f>
        <v>0</v>
      </c>
      <c r="J178">
        <f>IF(AT177&lt;=0,0,IF(ROUND(AT177*(1+'Calc base'!H178),2)-MAX('Calc base'!C$12,ROUND('Calc base'!C$13*AT177,2))&lt;1,ROUND(AT177*(1+'Calc base'!H178),2),MAX('Calc base'!C$12,ROUND('Calc base'!C$13*AT177,2))))</f>
        <v>0</v>
      </c>
      <c r="K178">
        <f>IF(AU177&lt;=0,0,IF(ROUND(AU177*(1+'Calc base'!I178),2)-MAX('Calc base'!D$12,ROUND('Calc base'!D$13*AU177,2))&lt;1,ROUND(AU177*(1+'Calc base'!I178),2),MAX('Calc base'!D$12,ROUND('Calc base'!D$13*AU177,2))))</f>
        <v>0</v>
      </c>
      <c r="L178">
        <f>IF(AV177&lt;=0,0,IF(ROUND(AV177*(1+'Calc base'!J178),2)-MAX('Calc base'!E$12,ROUND('Calc base'!E$13*AV177,2))&lt;1,ROUND(AV177*(1+'Calc base'!J178),2),MAX('Calc base'!E$12,ROUND('Calc base'!E$13*AV177,2))))</f>
        <v>0</v>
      </c>
      <c r="M178">
        <f>IF(AW177&lt;=0,0,IF(ROUND(AW177*(1+'Calc base'!K178),2)-MAX('Calc base'!F$12,ROUND('Calc base'!F$13*AW177,2))&lt;1,ROUND(AW177*(1+'Calc base'!K178),2),MAX('Calc base'!F$12,ROUND('Calc base'!F$13*AW177,2))))</f>
        <v>0</v>
      </c>
      <c r="N178">
        <f>IF(AX177&lt;=0,0,IF(ROUND(AX177*(1+'Calc base'!L178),2)-MAX('Calc base'!G$12,ROUND('Calc base'!G$13*AX177,2))&lt;1,ROUND(AX177*(1+'Calc base'!L178),2),MAX('Calc base'!G$12,ROUND('Calc base'!G$13*AX177,2))))</f>
        <v>0</v>
      </c>
      <c r="O178">
        <f>IF(AY177&lt;=0,0,IF(ROUND(AY177*(1+'Calc base'!M178),2)-MAX('Calc base'!H$12,ROUND('Calc base'!H$13*AY177,2))&lt;1,ROUND(AY177*(1+'Calc base'!M178),2),MAX('Calc base'!H$12,ROUND('Calc base'!H$13*AY177,2))))</f>
        <v>0</v>
      </c>
      <c r="P178">
        <f>IF(AZ177&lt;=0,0,IF(ROUND(AZ177*(1+'Calc base'!N178),2)-MAX('Calc base'!I$12,ROUND('Calc base'!I$13*AZ177,2))&lt;1,ROUND(AZ177*(1+'Calc base'!N178),2),MAX('Calc base'!I$12,ROUND('Calc base'!I$13*AZ177,2))))</f>
        <v>0</v>
      </c>
      <c r="Q178">
        <f>IF(BA177&lt;=0,0,IF(ROUND(BA177*(1+'Calc base'!O178),2)-MAX('Calc base'!J$12,ROUND('Calc base'!J$13*BA177,2))&lt;1,ROUND(BA177*(1+'Calc base'!O178),2),MAX('Calc base'!J$12,ROUND('Calc base'!J$13*BA177,2))))</f>
        <v>0</v>
      </c>
      <c r="R178">
        <f>IF(BB177&lt;=0,0,IF(ROUND(BB177*(1+'Calc base'!P178),2)-MAX('Calc base'!K$12,ROUND('Calc base'!K$13*BB177,2))&lt;1,ROUND(BB177*(1+'Calc base'!P178),2),MAX('Calc base'!K$12,ROUND('Calc base'!K$13*BB177,2))))</f>
        <v>0</v>
      </c>
      <c r="S178">
        <f>IF(BC177&lt;=0,0,IF(ROUND(BC177*(1+'Calc base'!Q178),2)-MAX('Calc base'!L$12,ROUND('Calc base'!L$13*BC177,2))&lt;1,ROUND(BC177*(1+'Calc base'!Q178),2),MAX('Calc base'!L$12,ROUND('Calc base'!L$13*BC177,2))))</f>
        <v>0</v>
      </c>
      <c r="T178">
        <f>IF(BD177&lt;=0,0,IF(ROUND(BD177*(1+'Calc base'!R178),2)-MAX('Calc base'!M$12,ROUND('Calc base'!M$13*BD177,2))&lt;1,ROUND(BD177*(1+'Calc base'!R178),2),MAX('Calc base'!M$12,ROUND('Calc base'!M$13*BD177,2))))</f>
        <v>0</v>
      </c>
      <c r="U178">
        <f>IF(BE177&lt;=0,0,IF(ROUND(BE177*(1+'Calc base'!S178),2)-MAX('Calc base'!N$12,ROUND('Calc base'!N$13*BE177,2))&lt;1,ROUND(BE177*(1+'Calc base'!S178),2),MAX('Calc base'!N$12,ROUND('Calc base'!N$13*BE177,2))))</f>
        <v>0</v>
      </c>
      <c r="AT178">
        <f>MAX(0,ROUND(AT177*(1+'Calc base'!H178),2)-J178)</f>
        <v>0</v>
      </c>
      <c r="AU178">
        <f>MAX(0,ROUND(AU177*(1+'Calc base'!I178),2)-K178)</f>
        <v>0</v>
      </c>
      <c r="AV178">
        <f>MAX(0,ROUND(AV177*(1+'Calc base'!J178),2)-L178)</f>
        <v>0</v>
      </c>
      <c r="AW178">
        <f>MAX(0,ROUND(AW177*(1+'Calc base'!K178),2)-M178)</f>
        <v>0</v>
      </c>
      <c r="AX178">
        <f>MAX(0,ROUND(AX177*(1+'Calc base'!L178),2)-N178)</f>
        <v>0</v>
      </c>
      <c r="AY178">
        <f>MAX(0,ROUND(AY177*(1+'Calc base'!M178),2)-O178)</f>
        <v>0</v>
      </c>
      <c r="AZ178">
        <f>MAX(0,ROUND(AZ177*(1+'Calc base'!N178),2)-P178)</f>
        <v>0</v>
      </c>
      <c r="BA178">
        <f>MAX(0,ROUND(BA177*(1+'Calc base'!O178),2)-Q178)</f>
        <v>0</v>
      </c>
      <c r="BB178">
        <f>MAX(0,ROUND(BB177*(1+'Calc base'!P178),2)-R178)</f>
        <v>0</v>
      </c>
      <c r="BC178">
        <f>MAX(0,ROUND(BC177*(1+'Calc base'!Q178),2)-S178)</f>
        <v>0</v>
      </c>
      <c r="BD178">
        <f>MAX(0,ROUND(BD177*(1+'Calc base'!R178),2)-T178)</f>
        <v>0</v>
      </c>
      <c r="BE178">
        <f>MAX(0,ROUND(BE177*(1+'Calc base'!S178),2)-U178)</f>
        <v>0</v>
      </c>
    </row>
    <row r="179">
      <c r="A179" t="n">
        <v>149</v>
      </c>
      <c r="B179">
        <f>SUMPRODUCT(ROUND($AT178:$BE178*(1+'Calc base'!$H179:$S179),2))</f>
        <v>0</v>
      </c>
      <c r="C179">
        <f>SUM(J179:U179)</f>
        <v>0</v>
      </c>
      <c r="G179">
        <f>SUM(AT179:BE179)</f>
        <v>0</v>
      </c>
      <c r="H179">
        <f>B179-G178</f>
        <v>0</v>
      </c>
      <c r="I179">
        <f>B179-G179</f>
        <v>0</v>
      </c>
      <c r="J179">
        <f>IF(AT178&lt;=0,0,IF(ROUND(AT178*(1+'Calc base'!H179),2)-MAX('Calc base'!C$12,ROUND('Calc base'!C$13*AT178,2))&lt;1,ROUND(AT178*(1+'Calc base'!H179),2),MAX('Calc base'!C$12,ROUND('Calc base'!C$13*AT178,2))))</f>
        <v>0</v>
      </c>
      <c r="K179">
        <f>IF(AU178&lt;=0,0,IF(ROUND(AU178*(1+'Calc base'!I179),2)-MAX('Calc base'!D$12,ROUND('Calc base'!D$13*AU178,2))&lt;1,ROUND(AU178*(1+'Calc base'!I179),2),MAX('Calc base'!D$12,ROUND('Calc base'!D$13*AU178,2))))</f>
        <v>0</v>
      </c>
      <c r="L179">
        <f>IF(AV178&lt;=0,0,IF(ROUND(AV178*(1+'Calc base'!J179),2)-MAX('Calc base'!E$12,ROUND('Calc base'!E$13*AV178,2))&lt;1,ROUND(AV178*(1+'Calc base'!J179),2),MAX('Calc base'!E$12,ROUND('Calc base'!E$13*AV178,2))))</f>
        <v>0</v>
      </c>
      <c r="M179">
        <f>IF(AW178&lt;=0,0,IF(ROUND(AW178*(1+'Calc base'!K179),2)-MAX('Calc base'!F$12,ROUND('Calc base'!F$13*AW178,2))&lt;1,ROUND(AW178*(1+'Calc base'!K179),2),MAX('Calc base'!F$12,ROUND('Calc base'!F$13*AW178,2))))</f>
        <v>0</v>
      </c>
      <c r="N179">
        <f>IF(AX178&lt;=0,0,IF(ROUND(AX178*(1+'Calc base'!L179),2)-MAX('Calc base'!G$12,ROUND('Calc base'!G$13*AX178,2))&lt;1,ROUND(AX178*(1+'Calc base'!L179),2),MAX('Calc base'!G$12,ROUND('Calc base'!G$13*AX178,2))))</f>
        <v>0</v>
      </c>
      <c r="O179">
        <f>IF(AY178&lt;=0,0,IF(ROUND(AY178*(1+'Calc base'!M179),2)-MAX('Calc base'!H$12,ROUND('Calc base'!H$13*AY178,2))&lt;1,ROUND(AY178*(1+'Calc base'!M179),2),MAX('Calc base'!H$12,ROUND('Calc base'!H$13*AY178,2))))</f>
        <v>0</v>
      </c>
      <c r="P179">
        <f>IF(AZ178&lt;=0,0,IF(ROUND(AZ178*(1+'Calc base'!N179),2)-MAX('Calc base'!I$12,ROUND('Calc base'!I$13*AZ178,2))&lt;1,ROUND(AZ178*(1+'Calc base'!N179),2),MAX('Calc base'!I$12,ROUND('Calc base'!I$13*AZ178,2))))</f>
        <v>0</v>
      </c>
      <c r="Q179">
        <f>IF(BA178&lt;=0,0,IF(ROUND(BA178*(1+'Calc base'!O179),2)-MAX('Calc base'!J$12,ROUND('Calc base'!J$13*BA178,2))&lt;1,ROUND(BA178*(1+'Calc base'!O179),2),MAX('Calc base'!J$12,ROUND('Calc base'!J$13*BA178,2))))</f>
        <v>0</v>
      </c>
      <c r="R179">
        <f>IF(BB178&lt;=0,0,IF(ROUND(BB178*(1+'Calc base'!P179),2)-MAX('Calc base'!K$12,ROUND('Calc base'!K$13*BB178,2))&lt;1,ROUND(BB178*(1+'Calc base'!P179),2),MAX('Calc base'!K$12,ROUND('Calc base'!K$13*BB178,2))))</f>
        <v>0</v>
      </c>
      <c r="S179">
        <f>IF(BC178&lt;=0,0,IF(ROUND(BC178*(1+'Calc base'!Q179),2)-MAX('Calc base'!L$12,ROUND('Calc base'!L$13*BC178,2))&lt;1,ROUND(BC178*(1+'Calc base'!Q179),2),MAX('Calc base'!L$12,ROUND('Calc base'!L$13*BC178,2))))</f>
        <v>0</v>
      </c>
      <c r="T179">
        <f>IF(BD178&lt;=0,0,IF(ROUND(BD178*(1+'Calc base'!R179),2)-MAX('Calc base'!M$12,ROUND('Calc base'!M$13*BD178,2))&lt;1,ROUND(BD178*(1+'Calc base'!R179),2),MAX('Calc base'!M$12,ROUND('Calc base'!M$13*BD178,2))))</f>
        <v>0</v>
      </c>
      <c r="U179">
        <f>IF(BE178&lt;=0,0,IF(ROUND(BE178*(1+'Calc base'!S179),2)-MAX('Calc base'!N$12,ROUND('Calc base'!N$13*BE178,2))&lt;1,ROUND(BE178*(1+'Calc base'!S179),2),MAX('Calc base'!N$12,ROUND('Calc base'!N$13*BE178,2))))</f>
        <v>0</v>
      </c>
      <c r="AT179">
        <f>MAX(0,ROUND(AT178*(1+'Calc base'!H179),2)-J179)</f>
        <v>0</v>
      </c>
      <c r="AU179">
        <f>MAX(0,ROUND(AU178*(1+'Calc base'!I179),2)-K179)</f>
        <v>0</v>
      </c>
      <c r="AV179">
        <f>MAX(0,ROUND(AV178*(1+'Calc base'!J179),2)-L179)</f>
        <v>0</v>
      </c>
      <c r="AW179">
        <f>MAX(0,ROUND(AW178*(1+'Calc base'!K179),2)-M179)</f>
        <v>0</v>
      </c>
      <c r="AX179">
        <f>MAX(0,ROUND(AX178*(1+'Calc base'!L179),2)-N179)</f>
        <v>0</v>
      </c>
      <c r="AY179">
        <f>MAX(0,ROUND(AY178*(1+'Calc base'!M179),2)-O179)</f>
        <v>0</v>
      </c>
      <c r="AZ179">
        <f>MAX(0,ROUND(AZ178*(1+'Calc base'!N179),2)-P179)</f>
        <v>0</v>
      </c>
      <c r="BA179">
        <f>MAX(0,ROUND(BA178*(1+'Calc base'!O179),2)-Q179)</f>
        <v>0</v>
      </c>
      <c r="BB179">
        <f>MAX(0,ROUND(BB178*(1+'Calc base'!P179),2)-R179)</f>
        <v>0</v>
      </c>
      <c r="BC179">
        <f>MAX(0,ROUND(BC178*(1+'Calc base'!Q179),2)-S179)</f>
        <v>0</v>
      </c>
      <c r="BD179">
        <f>MAX(0,ROUND(BD178*(1+'Calc base'!R179),2)-T179)</f>
        <v>0</v>
      </c>
      <c r="BE179">
        <f>MAX(0,ROUND(BE178*(1+'Calc base'!S179),2)-U179)</f>
        <v>0</v>
      </c>
    </row>
    <row r="180">
      <c r="A180" t="n">
        <v>150</v>
      </c>
      <c r="B180">
        <f>SUMPRODUCT(ROUND($AT179:$BE179*(1+'Calc base'!$H180:$S180),2))</f>
        <v>0</v>
      </c>
      <c r="C180">
        <f>SUM(J180:U180)</f>
        <v>0</v>
      </c>
      <c r="G180">
        <f>SUM(AT180:BE180)</f>
        <v>0</v>
      </c>
      <c r="H180">
        <f>B180-G179</f>
        <v>0</v>
      </c>
      <c r="I180">
        <f>B180-G180</f>
        <v>0</v>
      </c>
      <c r="J180">
        <f>IF(AT179&lt;=0,0,IF(ROUND(AT179*(1+'Calc base'!H180),2)-MAX('Calc base'!C$12,ROUND('Calc base'!C$13*AT179,2))&lt;1,ROUND(AT179*(1+'Calc base'!H180),2),MAX('Calc base'!C$12,ROUND('Calc base'!C$13*AT179,2))))</f>
        <v>0</v>
      </c>
      <c r="K180">
        <f>IF(AU179&lt;=0,0,IF(ROUND(AU179*(1+'Calc base'!I180),2)-MAX('Calc base'!D$12,ROUND('Calc base'!D$13*AU179,2))&lt;1,ROUND(AU179*(1+'Calc base'!I180),2),MAX('Calc base'!D$12,ROUND('Calc base'!D$13*AU179,2))))</f>
        <v>0</v>
      </c>
      <c r="L180">
        <f>IF(AV179&lt;=0,0,IF(ROUND(AV179*(1+'Calc base'!J180),2)-MAX('Calc base'!E$12,ROUND('Calc base'!E$13*AV179,2))&lt;1,ROUND(AV179*(1+'Calc base'!J180),2),MAX('Calc base'!E$12,ROUND('Calc base'!E$13*AV179,2))))</f>
        <v>0</v>
      </c>
      <c r="M180">
        <f>IF(AW179&lt;=0,0,IF(ROUND(AW179*(1+'Calc base'!K180),2)-MAX('Calc base'!F$12,ROUND('Calc base'!F$13*AW179,2))&lt;1,ROUND(AW179*(1+'Calc base'!K180),2),MAX('Calc base'!F$12,ROUND('Calc base'!F$13*AW179,2))))</f>
        <v>0</v>
      </c>
      <c r="N180">
        <f>IF(AX179&lt;=0,0,IF(ROUND(AX179*(1+'Calc base'!L180),2)-MAX('Calc base'!G$12,ROUND('Calc base'!G$13*AX179,2))&lt;1,ROUND(AX179*(1+'Calc base'!L180),2),MAX('Calc base'!G$12,ROUND('Calc base'!G$13*AX179,2))))</f>
        <v>0</v>
      </c>
      <c r="O180">
        <f>IF(AY179&lt;=0,0,IF(ROUND(AY179*(1+'Calc base'!M180),2)-MAX('Calc base'!H$12,ROUND('Calc base'!H$13*AY179,2))&lt;1,ROUND(AY179*(1+'Calc base'!M180),2),MAX('Calc base'!H$12,ROUND('Calc base'!H$13*AY179,2))))</f>
        <v>0</v>
      </c>
      <c r="P180">
        <f>IF(AZ179&lt;=0,0,IF(ROUND(AZ179*(1+'Calc base'!N180),2)-MAX('Calc base'!I$12,ROUND('Calc base'!I$13*AZ179,2))&lt;1,ROUND(AZ179*(1+'Calc base'!N180),2),MAX('Calc base'!I$12,ROUND('Calc base'!I$13*AZ179,2))))</f>
        <v>0</v>
      </c>
      <c r="Q180">
        <f>IF(BA179&lt;=0,0,IF(ROUND(BA179*(1+'Calc base'!O180),2)-MAX('Calc base'!J$12,ROUND('Calc base'!J$13*BA179,2))&lt;1,ROUND(BA179*(1+'Calc base'!O180),2),MAX('Calc base'!J$12,ROUND('Calc base'!J$13*BA179,2))))</f>
        <v>0</v>
      </c>
      <c r="R180">
        <f>IF(BB179&lt;=0,0,IF(ROUND(BB179*(1+'Calc base'!P180),2)-MAX('Calc base'!K$12,ROUND('Calc base'!K$13*BB179,2))&lt;1,ROUND(BB179*(1+'Calc base'!P180),2),MAX('Calc base'!K$12,ROUND('Calc base'!K$13*BB179,2))))</f>
        <v>0</v>
      </c>
      <c r="S180">
        <f>IF(BC179&lt;=0,0,IF(ROUND(BC179*(1+'Calc base'!Q180),2)-MAX('Calc base'!L$12,ROUND('Calc base'!L$13*BC179,2))&lt;1,ROUND(BC179*(1+'Calc base'!Q180),2),MAX('Calc base'!L$12,ROUND('Calc base'!L$13*BC179,2))))</f>
        <v>0</v>
      </c>
      <c r="T180">
        <f>IF(BD179&lt;=0,0,IF(ROUND(BD179*(1+'Calc base'!R180),2)-MAX('Calc base'!M$12,ROUND('Calc base'!M$13*BD179,2))&lt;1,ROUND(BD179*(1+'Calc base'!R180),2),MAX('Calc base'!M$12,ROUND('Calc base'!M$13*BD179,2))))</f>
        <v>0</v>
      </c>
      <c r="U180">
        <f>IF(BE179&lt;=0,0,IF(ROUND(BE179*(1+'Calc base'!S180),2)-MAX('Calc base'!N$12,ROUND('Calc base'!N$13*BE179,2))&lt;1,ROUND(BE179*(1+'Calc base'!S180),2),MAX('Calc base'!N$12,ROUND('Calc base'!N$13*BE179,2))))</f>
        <v>0</v>
      </c>
      <c r="AT180">
        <f>MAX(0,ROUND(AT179*(1+'Calc base'!H180),2)-J180)</f>
        <v>0</v>
      </c>
      <c r="AU180">
        <f>MAX(0,ROUND(AU179*(1+'Calc base'!I180),2)-K180)</f>
        <v>0</v>
      </c>
      <c r="AV180">
        <f>MAX(0,ROUND(AV179*(1+'Calc base'!J180),2)-L180)</f>
        <v>0</v>
      </c>
      <c r="AW180">
        <f>MAX(0,ROUND(AW179*(1+'Calc base'!K180),2)-M180)</f>
        <v>0</v>
      </c>
      <c r="AX180">
        <f>MAX(0,ROUND(AX179*(1+'Calc base'!L180),2)-N180)</f>
        <v>0</v>
      </c>
      <c r="AY180">
        <f>MAX(0,ROUND(AY179*(1+'Calc base'!M180),2)-O180)</f>
        <v>0</v>
      </c>
      <c r="AZ180">
        <f>MAX(0,ROUND(AZ179*(1+'Calc base'!N180),2)-P180)</f>
        <v>0</v>
      </c>
      <c r="BA180">
        <f>MAX(0,ROUND(BA179*(1+'Calc base'!O180),2)-Q180)</f>
        <v>0</v>
      </c>
      <c r="BB180">
        <f>MAX(0,ROUND(BB179*(1+'Calc base'!P180),2)-R180)</f>
        <v>0</v>
      </c>
      <c r="BC180">
        <f>MAX(0,ROUND(BC179*(1+'Calc base'!Q180),2)-S180)</f>
        <v>0</v>
      </c>
      <c r="BD180">
        <f>MAX(0,ROUND(BD179*(1+'Calc base'!R180),2)-T180)</f>
        <v>0</v>
      </c>
      <c r="BE180">
        <f>MAX(0,ROUND(BE179*(1+'Calc base'!S180),2)-U180)</f>
        <v>0</v>
      </c>
    </row>
    <row r="181">
      <c r="A181" t="n">
        <v>151</v>
      </c>
      <c r="B181">
        <f>SUMPRODUCT(ROUND($AT180:$BE180*(1+'Calc base'!$H181:$S181),2))</f>
        <v>0</v>
      </c>
      <c r="C181">
        <f>SUM(J181:U181)</f>
        <v>0</v>
      </c>
      <c r="G181">
        <f>SUM(AT181:BE181)</f>
        <v>0</v>
      </c>
      <c r="H181">
        <f>B181-G180</f>
        <v>0</v>
      </c>
      <c r="I181">
        <f>B181-G181</f>
        <v>0</v>
      </c>
      <c r="J181">
        <f>IF(AT180&lt;=0,0,IF(ROUND(AT180*(1+'Calc base'!H181),2)-MAX('Calc base'!C$12,ROUND('Calc base'!C$13*AT180,2))&lt;1,ROUND(AT180*(1+'Calc base'!H181),2),MAX('Calc base'!C$12,ROUND('Calc base'!C$13*AT180,2))))</f>
        <v>0</v>
      </c>
      <c r="K181">
        <f>IF(AU180&lt;=0,0,IF(ROUND(AU180*(1+'Calc base'!I181),2)-MAX('Calc base'!D$12,ROUND('Calc base'!D$13*AU180,2))&lt;1,ROUND(AU180*(1+'Calc base'!I181),2),MAX('Calc base'!D$12,ROUND('Calc base'!D$13*AU180,2))))</f>
        <v>0</v>
      </c>
      <c r="L181">
        <f>IF(AV180&lt;=0,0,IF(ROUND(AV180*(1+'Calc base'!J181),2)-MAX('Calc base'!E$12,ROUND('Calc base'!E$13*AV180,2))&lt;1,ROUND(AV180*(1+'Calc base'!J181),2),MAX('Calc base'!E$12,ROUND('Calc base'!E$13*AV180,2))))</f>
        <v>0</v>
      </c>
      <c r="M181">
        <f>IF(AW180&lt;=0,0,IF(ROUND(AW180*(1+'Calc base'!K181),2)-MAX('Calc base'!F$12,ROUND('Calc base'!F$13*AW180,2))&lt;1,ROUND(AW180*(1+'Calc base'!K181),2),MAX('Calc base'!F$12,ROUND('Calc base'!F$13*AW180,2))))</f>
        <v>0</v>
      </c>
      <c r="N181">
        <f>IF(AX180&lt;=0,0,IF(ROUND(AX180*(1+'Calc base'!L181),2)-MAX('Calc base'!G$12,ROUND('Calc base'!G$13*AX180,2))&lt;1,ROUND(AX180*(1+'Calc base'!L181),2),MAX('Calc base'!G$12,ROUND('Calc base'!G$13*AX180,2))))</f>
        <v>0</v>
      </c>
      <c r="O181">
        <f>IF(AY180&lt;=0,0,IF(ROUND(AY180*(1+'Calc base'!M181),2)-MAX('Calc base'!H$12,ROUND('Calc base'!H$13*AY180,2))&lt;1,ROUND(AY180*(1+'Calc base'!M181),2),MAX('Calc base'!H$12,ROUND('Calc base'!H$13*AY180,2))))</f>
        <v>0</v>
      </c>
      <c r="P181">
        <f>IF(AZ180&lt;=0,0,IF(ROUND(AZ180*(1+'Calc base'!N181),2)-MAX('Calc base'!I$12,ROUND('Calc base'!I$13*AZ180,2))&lt;1,ROUND(AZ180*(1+'Calc base'!N181),2),MAX('Calc base'!I$12,ROUND('Calc base'!I$13*AZ180,2))))</f>
        <v>0</v>
      </c>
      <c r="Q181">
        <f>IF(BA180&lt;=0,0,IF(ROUND(BA180*(1+'Calc base'!O181),2)-MAX('Calc base'!J$12,ROUND('Calc base'!J$13*BA180,2))&lt;1,ROUND(BA180*(1+'Calc base'!O181),2),MAX('Calc base'!J$12,ROUND('Calc base'!J$13*BA180,2))))</f>
        <v>0</v>
      </c>
      <c r="R181">
        <f>IF(BB180&lt;=0,0,IF(ROUND(BB180*(1+'Calc base'!P181),2)-MAX('Calc base'!K$12,ROUND('Calc base'!K$13*BB180,2))&lt;1,ROUND(BB180*(1+'Calc base'!P181),2),MAX('Calc base'!K$12,ROUND('Calc base'!K$13*BB180,2))))</f>
        <v>0</v>
      </c>
      <c r="S181">
        <f>IF(BC180&lt;=0,0,IF(ROUND(BC180*(1+'Calc base'!Q181),2)-MAX('Calc base'!L$12,ROUND('Calc base'!L$13*BC180,2))&lt;1,ROUND(BC180*(1+'Calc base'!Q181),2),MAX('Calc base'!L$12,ROUND('Calc base'!L$13*BC180,2))))</f>
        <v>0</v>
      </c>
      <c r="T181">
        <f>IF(BD180&lt;=0,0,IF(ROUND(BD180*(1+'Calc base'!R181),2)-MAX('Calc base'!M$12,ROUND('Calc base'!M$13*BD180,2))&lt;1,ROUND(BD180*(1+'Calc base'!R181),2),MAX('Calc base'!M$12,ROUND('Calc base'!M$13*BD180,2))))</f>
        <v>0</v>
      </c>
      <c r="U181">
        <f>IF(BE180&lt;=0,0,IF(ROUND(BE180*(1+'Calc base'!S181),2)-MAX('Calc base'!N$12,ROUND('Calc base'!N$13*BE180,2))&lt;1,ROUND(BE180*(1+'Calc base'!S181),2),MAX('Calc base'!N$12,ROUND('Calc base'!N$13*BE180,2))))</f>
        <v>0</v>
      </c>
      <c r="AT181">
        <f>MAX(0,ROUND(AT180*(1+'Calc base'!H181),2)-J181)</f>
        <v>0</v>
      </c>
      <c r="AU181">
        <f>MAX(0,ROUND(AU180*(1+'Calc base'!I181),2)-K181)</f>
        <v>0</v>
      </c>
      <c r="AV181">
        <f>MAX(0,ROUND(AV180*(1+'Calc base'!J181),2)-L181)</f>
        <v>0</v>
      </c>
      <c r="AW181">
        <f>MAX(0,ROUND(AW180*(1+'Calc base'!K181),2)-M181)</f>
        <v>0</v>
      </c>
      <c r="AX181">
        <f>MAX(0,ROUND(AX180*(1+'Calc base'!L181),2)-N181)</f>
        <v>0</v>
      </c>
      <c r="AY181">
        <f>MAX(0,ROUND(AY180*(1+'Calc base'!M181),2)-O181)</f>
        <v>0</v>
      </c>
      <c r="AZ181">
        <f>MAX(0,ROUND(AZ180*(1+'Calc base'!N181),2)-P181)</f>
        <v>0</v>
      </c>
      <c r="BA181">
        <f>MAX(0,ROUND(BA180*(1+'Calc base'!O181),2)-Q181)</f>
        <v>0</v>
      </c>
      <c r="BB181">
        <f>MAX(0,ROUND(BB180*(1+'Calc base'!P181),2)-R181)</f>
        <v>0</v>
      </c>
      <c r="BC181">
        <f>MAX(0,ROUND(BC180*(1+'Calc base'!Q181),2)-S181)</f>
        <v>0</v>
      </c>
      <c r="BD181">
        <f>MAX(0,ROUND(BD180*(1+'Calc base'!R181),2)-T181)</f>
        <v>0</v>
      </c>
      <c r="BE181">
        <f>MAX(0,ROUND(BE180*(1+'Calc base'!S181),2)-U181)</f>
        <v>0</v>
      </c>
    </row>
    <row r="182">
      <c r="A182" t="n">
        <v>152</v>
      </c>
      <c r="B182">
        <f>SUMPRODUCT(ROUND($AT181:$BE181*(1+'Calc base'!$H182:$S182),2))</f>
        <v>0</v>
      </c>
      <c r="C182">
        <f>SUM(J182:U182)</f>
        <v>0</v>
      </c>
      <c r="G182">
        <f>SUM(AT182:BE182)</f>
        <v>0</v>
      </c>
      <c r="H182">
        <f>B182-G181</f>
        <v>0</v>
      </c>
      <c r="I182">
        <f>B182-G182</f>
        <v>0</v>
      </c>
      <c r="J182">
        <f>IF(AT181&lt;=0,0,IF(ROUND(AT181*(1+'Calc base'!H182),2)-MAX('Calc base'!C$12,ROUND('Calc base'!C$13*AT181,2))&lt;1,ROUND(AT181*(1+'Calc base'!H182),2),MAX('Calc base'!C$12,ROUND('Calc base'!C$13*AT181,2))))</f>
        <v>0</v>
      </c>
      <c r="K182">
        <f>IF(AU181&lt;=0,0,IF(ROUND(AU181*(1+'Calc base'!I182),2)-MAX('Calc base'!D$12,ROUND('Calc base'!D$13*AU181,2))&lt;1,ROUND(AU181*(1+'Calc base'!I182),2),MAX('Calc base'!D$12,ROUND('Calc base'!D$13*AU181,2))))</f>
        <v>0</v>
      </c>
      <c r="L182">
        <f>IF(AV181&lt;=0,0,IF(ROUND(AV181*(1+'Calc base'!J182),2)-MAX('Calc base'!E$12,ROUND('Calc base'!E$13*AV181,2))&lt;1,ROUND(AV181*(1+'Calc base'!J182),2),MAX('Calc base'!E$12,ROUND('Calc base'!E$13*AV181,2))))</f>
        <v>0</v>
      </c>
      <c r="M182">
        <f>IF(AW181&lt;=0,0,IF(ROUND(AW181*(1+'Calc base'!K182),2)-MAX('Calc base'!F$12,ROUND('Calc base'!F$13*AW181,2))&lt;1,ROUND(AW181*(1+'Calc base'!K182),2),MAX('Calc base'!F$12,ROUND('Calc base'!F$13*AW181,2))))</f>
        <v>0</v>
      </c>
      <c r="N182">
        <f>IF(AX181&lt;=0,0,IF(ROUND(AX181*(1+'Calc base'!L182),2)-MAX('Calc base'!G$12,ROUND('Calc base'!G$13*AX181,2))&lt;1,ROUND(AX181*(1+'Calc base'!L182),2),MAX('Calc base'!G$12,ROUND('Calc base'!G$13*AX181,2))))</f>
        <v>0</v>
      </c>
      <c r="O182">
        <f>IF(AY181&lt;=0,0,IF(ROUND(AY181*(1+'Calc base'!M182),2)-MAX('Calc base'!H$12,ROUND('Calc base'!H$13*AY181,2))&lt;1,ROUND(AY181*(1+'Calc base'!M182),2),MAX('Calc base'!H$12,ROUND('Calc base'!H$13*AY181,2))))</f>
        <v>0</v>
      </c>
      <c r="P182">
        <f>IF(AZ181&lt;=0,0,IF(ROUND(AZ181*(1+'Calc base'!N182),2)-MAX('Calc base'!I$12,ROUND('Calc base'!I$13*AZ181,2))&lt;1,ROUND(AZ181*(1+'Calc base'!N182),2),MAX('Calc base'!I$12,ROUND('Calc base'!I$13*AZ181,2))))</f>
        <v>0</v>
      </c>
      <c r="Q182">
        <f>IF(BA181&lt;=0,0,IF(ROUND(BA181*(1+'Calc base'!O182),2)-MAX('Calc base'!J$12,ROUND('Calc base'!J$13*BA181,2))&lt;1,ROUND(BA181*(1+'Calc base'!O182),2),MAX('Calc base'!J$12,ROUND('Calc base'!J$13*BA181,2))))</f>
        <v>0</v>
      </c>
      <c r="R182">
        <f>IF(BB181&lt;=0,0,IF(ROUND(BB181*(1+'Calc base'!P182),2)-MAX('Calc base'!K$12,ROUND('Calc base'!K$13*BB181,2))&lt;1,ROUND(BB181*(1+'Calc base'!P182),2),MAX('Calc base'!K$12,ROUND('Calc base'!K$13*BB181,2))))</f>
        <v>0</v>
      </c>
      <c r="S182">
        <f>IF(BC181&lt;=0,0,IF(ROUND(BC181*(1+'Calc base'!Q182),2)-MAX('Calc base'!L$12,ROUND('Calc base'!L$13*BC181,2))&lt;1,ROUND(BC181*(1+'Calc base'!Q182),2),MAX('Calc base'!L$12,ROUND('Calc base'!L$13*BC181,2))))</f>
        <v>0</v>
      </c>
      <c r="T182">
        <f>IF(BD181&lt;=0,0,IF(ROUND(BD181*(1+'Calc base'!R182),2)-MAX('Calc base'!M$12,ROUND('Calc base'!M$13*BD181,2))&lt;1,ROUND(BD181*(1+'Calc base'!R182),2),MAX('Calc base'!M$12,ROUND('Calc base'!M$13*BD181,2))))</f>
        <v>0</v>
      </c>
      <c r="U182">
        <f>IF(BE181&lt;=0,0,IF(ROUND(BE181*(1+'Calc base'!S182),2)-MAX('Calc base'!N$12,ROUND('Calc base'!N$13*BE181,2))&lt;1,ROUND(BE181*(1+'Calc base'!S182),2),MAX('Calc base'!N$12,ROUND('Calc base'!N$13*BE181,2))))</f>
        <v>0</v>
      </c>
      <c r="AT182">
        <f>MAX(0,ROUND(AT181*(1+'Calc base'!H182),2)-J182)</f>
        <v>0</v>
      </c>
      <c r="AU182">
        <f>MAX(0,ROUND(AU181*(1+'Calc base'!I182),2)-K182)</f>
        <v>0</v>
      </c>
      <c r="AV182">
        <f>MAX(0,ROUND(AV181*(1+'Calc base'!J182),2)-L182)</f>
        <v>0</v>
      </c>
      <c r="AW182">
        <f>MAX(0,ROUND(AW181*(1+'Calc base'!K182),2)-M182)</f>
        <v>0</v>
      </c>
      <c r="AX182">
        <f>MAX(0,ROUND(AX181*(1+'Calc base'!L182),2)-N182)</f>
        <v>0</v>
      </c>
      <c r="AY182">
        <f>MAX(0,ROUND(AY181*(1+'Calc base'!M182),2)-O182)</f>
        <v>0</v>
      </c>
      <c r="AZ182">
        <f>MAX(0,ROUND(AZ181*(1+'Calc base'!N182),2)-P182)</f>
        <v>0</v>
      </c>
      <c r="BA182">
        <f>MAX(0,ROUND(BA181*(1+'Calc base'!O182),2)-Q182)</f>
        <v>0</v>
      </c>
      <c r="BB182">
        <f>MAX(0,ROUND(BB181*(1+'Calc base'!P182),2)-R182)</f>
        <v>0</v>
      </c>
      <c r="BC182">
        <f>MAX(0,ROUND(BC181*(1+'Calc base'!Q182),2)-S182)</f>
        <v>0</v>
      </c>
      <c r="BD182">
        <f>MAX(0,ROUND(BD181*(1+'Calc base'!R182),2)-T182)</f>
        <v>0</v>
      </c>
      <c r="BE182">
        <f>MAX(0,ROUND(BE181*(1+'Calc base'!S182),2)-U182)</f>
        <v>0</v>
      </c>
    </row>
    <row r="183">
      <c r="A183" t="n">
        <v>153</v>
      </c>
      <c r="B183">
        <f>SUMPRODUCT(ROUND($AT182:$BE182*(1+'Calc base'!$H183:$S183),2))</f>
        <v>0</v>
      </c>
      <c r="C183">
        <f>SUM(J183:U183)</f>
        <v>0</v>
      </c>
      <c r="G183">
        <f>SUM(AT183:BE183)</f>
        <v>0</v>
      </c>
      <c r="H183">
        <f>B183-G182</f>
        <v>0</v>
      </c>
      <c r="I183">
        <f>B183-G183</f>
        <v>0</v>
      </c>
      <c r="J183">
        <f>IF(AT182&lt;=0,0,IF(ROUND(AT182*(1+'Calc base'!H183),2)-MAX('Calc base'!C$12,ROUND('Calc base'!C$13*AT182,2))&lt;1,ROUND(AT182*(1+'Calc base'!H183),2),MAX('Calc base'!C$12,ROUND('Calc base'!C$13*AT182,2))))</f>
        <v>0</v>
      </c>
      <c r="K183">
        <f>IF(AU182&lt;=0,0,IF(ROUND(AU182*(1+'Calc base'!I183),2)-MAX('Calc base'!D$12,ROUND('Calc base'!D$13*AU182,2))&lt;1,ROUND(AU182*(1+'Calc base'!I183),2),MAX('Calc base'!D$12,ROUND('Calc base'!D$13*AU182,2))))</f>
        <v>0</v>
      </c>
      <c r="L183">
        <f>IF(AV182&lt;=0,0,IF(ROUND(AV182*(1+'Calc base'!J183),2)-MAX('Calc base'!E$12,ROUND('Calc base'!E$13*AV182,2))&lt;1,ROUND(AV182*(1+'Calc base'!J183),2),MAX('Calc base'!E$12,ROUND('Calc base'!E$13*AV182,2))))</f>
        <v>0</v>
      </c>
      <c r="M183">
        <f>IF(AW182&lt;=0,0,IF(ROUND(AW182*(1+'Calc base'!K183),2)-MAX('Calc base'!F$12,ROUND('Calc base'!F$13*AW182,2))&lt;1,ROUND(AW182*(1+'Calc base'!K183),2),MAX('Calc base'!F$12,ROUND('Calc base'!F$13*AW182,2))))</f>
        <v>0</v>
      </c>
      <c r="N183">
        <f>IF(AX182&lt;=0,0,IF(ROUND(AX182*(1+'Calc base'!L183),2)-MAX('Calc base'!G$12,ROUND('Calc base'!G$13*AX182,2))&lt;1,ROUND(AX182*(1+'Calc base'!L183),2),MAX('Calc base'!G$12,ROUND('Calc base'!G$13*AX182,2))))</f>
        <v>0</v>
      </c>
      <c r="O183">
        <f>IF(AY182&lt;=0,0,IF(ROUND(AY182*(1+'Calc base'!M183),2)-MAX('Calc base'!H$12,ROUND('Calc base'!H$13*AY182,2))&lt;1,ROUND(AY182*(1+'Calc base'!M183),2),MAX('Calc base'!H$12,ROUND('Calc base'!H$13*AY182,2))))</f>
        <v>0</v>
      </c>
      <c r="P183">
        <f>IF(AZ182&lt;=0,0,IF(ROUND(AZ182*(1+'Calc base'!N183),2)-MAX('Calc base'!I$12,ROUND('Calc base'!I$13*AZ182,2))&lt;1,ROUND(AZ182*(1+'Calc base'!N183),2),MAX('Calc base'!I$12,ROUND('Calc base'!I$13*AZ182,2))))</f>
        <v>0</v>
      </c>
      <c r="Q183">
        <f>IF(BA182&lt;=0,0,IF(ROUND(BA182*(1+'Calc base'!O183),2)-MAX('Calc base'!J$12,ROUND('Calc base'!J$13*BA182,2))&lt;1,ROUND(BA182*(1+'Calc base'!O183),2),MAX('Calc base'!J$12,ROUND('Calc base'!J$13*BA182,2))))</f>
        <v>0</v>
      </c>
      <c r="R183">
        <f>IF(BB182&lt;=0,0,IF(ROUND(BB182*(1+'Calc base'!P183),2)-MAX('Calc base'!K$12,ROUND('Calc base'!K$13*BB182,2))&lt;1,ROUND(BB182*(1+'Calc base'!P183),2),MAX('Calc base'!K$12,ROUND('Calc base'!K$13*BB182,2))))</f>
        <v>0</v>
      </c>
      <c r="S183">
        <f>IF(BC182&lt;=0,0,IF(ROUND(BC182*(1+'Calc base'!Q183),2)-MAX('Calc base'!L$12,ROUND('Calc base'!L$13*BC182,2))&lt;1,ROUND(BC182*(1+'Calc base'!Q183),2),MAX('Calc base'!L$12,ROUND('Calc base'!L$13*BC182,2))))</f>
        <v>0</v>
      </c>
      <c r="T183">
        <f>IF(BD182&lt;=0,0,IF(ROUND(BD182*(1+'Calc base'!R183),2)-MAX('Calc base'!M$12,ROUND('Calc base'!M$13*BD182,2))&lt;1,ROUND(BD182*(1+'Calc base'!R183),2),MAX('Calc base'!M$12,ROUND('Calc base'!M$13*BD182,2))))</f>
        <v>0</v>
      </c>
      <c r="U183">
        <f>IF(BE182&lt;=0,0,IF(ROUND(BE182*(1+'Calc base'!S183),2)-MAX('Calc base'!N$12,ROUND('Calc base'!N$13*BE182,2))&lt;1,ROUND(BE182*(1+'Calc base'!S183),2),MAX('Calc base'!N$12,ROUND('Calc base'!N$13*BE182,2))))</f>
        <v>0</v>
      </c>
      <c r="AT183">
        <f>MAX(0,ROUND(AT182*(1+'Calc base'!H183),2)-J183)</f>
        <v>0</v>
      </c>
      <c r="AU183">
        <f>MAX(0,ROUND(AU182*(1+'Calc base'!I183),2)-K183)</f>
        <v>0</v>
      </c>
      <c r="AV183">
        <f>MAX(0,ROUND(AV182*(1+'Calc base'!J183),2)-L183)</f>
        <v>0</v>
      </c>
      <c r="AW183">
        <f>MAX(0,ROUND(AW182*(1+'Calc base'!K183),2)-M183)</f>
        <v>0</v>
      </c>
      <c r="AX183">
        <f>MAX(0,ROUND(AX182*(1+'Calc base'!L183),2)-N183)</f>
        <v>0</v>
      </c>
      <c r="AY183">
        <f>MAX(0,ROUND(AY182*(1+'Calc base'!M183),2)-O183)</f>
        <v>0</v>
      </c>
      <c r="AZ183">
        <f>MAX(0,ROUND(AZ182*(1+'Calc base'!N183),2)-P183)</f>
        <v>0</v>
      </c>
      <c r="BA183">
        <f>MAX(0,ROUND(BA182*(1+'Calc base'!O183),2)-Q183)</f>
        <v>0</v>
      </c>
      <c r="BB183">
        <f>MAX(0,ROUND(BB182*(1+'Calc base'!P183),2)-R183)</f>
        <v>0</v>
      </c>
      <c r="BC183">
        <f>MAX(0,ROUND(BC182*(1+'Calc base'!Q183),2)-S183)</f>
        <v>0</v>
      </c>
      <c r="BD183">
        <f>MAX(0,ROUND(BD182*(1+'Calc base'!R183),2)-T183)</f>
        <v>0</v>
      </c>
      <c r="BE183">
        <f>MAX(0,ROUND(BE182*(1+'Calc base'!S183),2)-U183)</f>
        <v>0</v>
      </c>
    </row>
    <row r="184">
      <c r="A184" t="n">
        <v>154</v>
      </c>
      <c r="B184">
        <f>SUMPRODUCT(ROUND($AT183:$BE183*(1+'Calc base'!$H184:$S184),2))</f>
        <v>0</v>
      </c>
      <c r="C184">
        <f>SUM(J184:U184)</f>
        <v>0</v>
      </c>
      <c r="G184">
        <f>SUM(AT184:BE184)</f>
        <v>0</v>
      </c>
      <c r="H184">
        <f>B184-G183</f>
        <v>0</v>
      </c>
      <c r="I184">
        <f>B184-G184</f>
        <v>0</v>
      </c>
      <c r="J184">
        <f>IF(AT183&lt;=0,0,IF(ROUND(AT183*(1+'Calc base'!H184),2)-MAX('Calc base'!C$12,ROUND('Calc base'!C$13*AT183,2))&lt;1,ROUND(AT183*(1+'Calc base'!H184),2),MAX('Calc base'!C$12,ROUND('Calc base'!C$13*AT183,2))))</f>
        <v>0</v>
      </c>
      <c r="K184">
        <f>IF(AU183&lt;=0,0,IF(ROUND(AU183*(1+'Calc base'!I184),2)-MAX('Calc base'!D$12,ROUND('Calc base'!D$13*AU183,2))&lt;1,ROUND(AU183*(1+'Calc base'!I184),2),MAX('Calc base'!D$12,ROUND('Calc base'!D$13*AU183,2))))</f>
        <v>0</v>
      </c>
      <c r="L184">
        <f>IF(AV183&lt;=0,0,IF(ROUND(AV183*(1+'Calc base'!J184),2)-MAX('Calc base'!E$12,ROUND('Calc base'!E$13*AV183,2))&lt;1,ROUND(AV183*(1+'Calc base'!J184),2),MAX('Calc base'!E$12,ROUND('Calc base'!E$13*AV183,2))))</f>
        <v>0</v>
      </c>
      <c r="M184">
        <f>IF(AW183&lt;=0,0,IF(ROUND(AW183*(1+'Calc base'!K184),2)-MAX('Calc base'!F$12,ROUND('Calc base'!F$13*AW183,2))&lt;1,ROUND(AW183*(1+'Calc base'!K184),2),MAX('Calc base'!F$12,ROUND('Calc base'!F$13*AW183,2))))</f>
        <v>0</v>
      </c>
      <c r="N184">
        <f>IF(AX183&lt;=0,0,IF(ROUND(AX183*(1+'Calc base'!L184),2)-MAX('Calc base'!G$12,ROUND('Calc base'!G$13*AX183,2))&lt;1,ROUND(AX183*(1+'Calc base'!L184),2),MAX('Calc base'!G$12,ROUND('Calc base'!G$13*AX183,2))))</f>
        <v>0</v>
      </c>
      <c r="O184">
        <f>IF(AY183&lt;=0,0,IF(ROUND(AY183*(1+'Calc base'!M184),2)-MAX('Calc base'!H$12,ROUND('Calc base'!H$13*AY183,2))&lt;1,ROUND(AY183*(1+'Calc base'!M184),2),MAX('Calc base'!H$12,ROUND('Calc base'!H$13*AY183,2))))</f>
        <v>0</v>
      </c>
      <c r="P184">
        <f>IF(AZ183&lt;=0,0,IF(ROUND(AZ183*(1+'Calc base'!N184),2)-MAX('Calc base'!I$12,ROUND('Calc base'!I$13*AZ183,2))&lt;1,ROUND(AZ183*(1+'Calc base'!N184),2),MAX('Calc base'!I$12,ROUND('Calc base'!I$13*AZ183,2))))</f>
        <v>0</v>
      </c>
      <c r="Q184">
        <f>IF(BA183&lt;=0,0,IF(ROUND(BA183*(1+'Calc base'!O184),2)-MAX('Calc base'!J$12,ROUND('Calc base'!J$13*BA183,2))&lt;1,ROUND(BA183*(1+'Calc base'!O184),2),MAX('Calc base'!J$12,ROUND('Calc base'!J$13*BA183,2))))</f>
        <v>0</v>
      </c>
      <c r="R184">
        <f>IF(BB183&lt;=0,0,IF(ROUND(BB183*(1+'Calc base'!P184),2)-MAX('Calc base'!K$12,ROUND('Calc base'!K$13*BB183,2))&lt;1,ROUND(BB183*(1+'Calc base'!P184),2),MAX('Calc base'!K$12,ROUND('Calc base'!K$13*BB183,2))))</f>
        <v>0</v>
      </c>
      <c r="S184">
        <f>IF(BC183&lt;=0,0,IF(ROUND(BC183*(1+'Calc base'!Q184),2)-MAX('Calc base'!L$12,ROUND('Calc base'!L$13*BC183,2))&lt;1,ROUND(BC183*(1+'Calc base'!Q184),2),MAX('Calc base'!L$12,ROUND('Calc base'!L$13*BC183,2))))</f>
        <v>0</v>
      </c>
      <c r="T184">
        <f>IF(BD183&lt;=0,0,IF(ROUND(BD183*(1+'Calc base'!R184),2)-MAX('Calc base'!M$12,ROUND('Calc base'!M$13*BD183,2))&lt;1,ROUND(BD183*(1+'Calc base'!R184),2),MAX('Calc base'!M$12,ROUND('Calc base'!M$13*BD183,2))))</f>
        <v>0</v>
      </c>
      <c r="U184">
        <f>IF(BE183&lt;=0,0,IF(ROUND(BE183*(1+'Calc base'!S184),2)-MAX('Calc base'!N$12,ROUND('Calc base'!N$13*BE183,2))&lt;1,ROUND(BE183*(1+'Calc base'!S184),2),MAX('Calc base'!N$12,ROUND('Calc base'!N$13*BE183,2))))</f>
        <v>0</v>
      </c>
      <c r="AT184">
        <f>MAX(0,ROUND(AT183*(1+'Calc base'!H184),2)-J184)</f>
        <v>0</v>
      </c>
      <c r="AU184">
        <f>MAX(0,ROUND(AU183*(1+'Calc base'!I184),2)-K184)</f>
        <v>0</v>
      </c>
      <c r="AV184">
        <f>MAX(0,ROUND(AV183*(1+'Calc base'!J184),2)-L184)</f>
        <v>0</v>
      </c>
      <c r="AW184">
        <f>MAX(0,ROUND(AW183*(1+'Calc base'!K184),2)-M184)</f>
        <v>0</v>
      </c>
      <c r="AX184">
        <f>MAX(0,ROUND(AX183*(1+'Calc base'!L184),2)-N184)</f>
        <v>0</v>
      </c>
      <c r="AY184">
        <f>MAX(0,ROUND(AY183*(1+'Calc base'!M184),2)-O184)</f>
        <v>0</v>
      </c>
      <c r="AZ184">
        <f>MAX(0,ROUND(AZ183*(1+'Calc base'!N184),2)-P184)</f>
        <v>0</v>
      </c>
      <c r="BA184">
        <f>MAX(0,ROUND(BA183*(1+'Calc base'!O184),2)-Q184)</f>
        <v>0</v>
      </c>
      <c r="BB184">
        <f>MAX(0,ROUND(BB183*(1+'Calc base'!P184),2)-R184)</f>
        <v>0</v>
      </c>
      <c r="BC184">
        <f>MAX(0,ROUND(BC183*(1+'Calc base'!Q184),2)-S184)</f>
        <v>0</v>
      </c>
      <c r="BD184">
        <f>MAX(0,ROUND(BD183*(1+'Calc base'!R184),2)-T184)</f>
        <v>0</v>
      </c>
      <c r="BE184">
        <f>MAX(0,ROUND(BE183*(1+'Calc base'!S184),2)-U184)</f>
        <v>0</v>
      </c>
    </row>
    <row r="185">
      <c r="A185" t="n">
        <v>155</v>
      </c>
      <c r="B185">
        <f>SUMPRODUCT(ROUND($AT184:$BE184*(1+'Calc base'!$H185:$S185),2))</f>
        <v>0</v>
      </c>
      <c r="C185">
        <f>SUM(J185:U185)</f>
        <v>0</v>
      </c>
      <c r="G185">
        <f>SUM(AT185:BE185)</f>
        <v>0</v>
      </c>
      <c r="H185">
        <f>B185-G184</f>
        <v>0</v>
      </c>
      <c r="I185">
        <f>B185-G185</f>
        <v>0</v>
      </c>
      <c r="J185">
        <f>IF(AT184&lt;=0,0,IF(ROUND(AT184*(1+'Calc base'!H185),2)-MAX('Calc base'!C$12,ROUND('Calc base'!C$13*AT184,2))&lt;1,ROUND(AT184*(1+'Calc base'!H185),2),MAX('Calc base'!C$12,ROUND('Calc base'!C$13*AT184,2))))</f>
        <v>0</v>
      </c>
      <c r="K185">
        <f>IF(AU184&lt;=0,0,IF(ROUND(AU184*(1+'Calc base'!I185),2)-MAX('Calc base'!D$12,ROUND('Calc base'!D$13*AU184,2))&lt;1,ROUND(AU184*(1+'Calc base'!I185),2),MAX('Calc base'!D$12,ROUND('Calc base'!D$13*AU184,2))))</f>
        <v>0</v>
      </c>
      <c r="L185">
        <f>IF(AV184&lt;=0,0,IF(ROUND(AV184*(1+'Calc base'!J185),2)-MAX('Calc base'!E$12,ROUND('Calc base'!E$13*AV184,2))&lt;1,ROUND(AV184*(1+'Calc base'!J185),2),MAX('Calc base'!E$12,ROUND('Calc base'!E$13*AV184,2))))</f>
        <v>0</v>
      </c>
      <c r="M185">
        <f>IF(AW184&lt;=0,0,IF(ROUND(AW184*(1+'Calc base'!K185),2)-MAX('Calc base'!F$12,ROUND('Calc base'!F$13*AW184,2))&lt;1,ROUND(AW184*(1+'Calc base'!K185),2),MAX('Calc base'!F$12,ROUND('Calc base'!F$13*AW184,2))))</f>
        <v>0</v>
      </c>
      <c r="N185">
        <f>IF(AX184&lt;=0,0,IF(ROUND(AX184*(1+'Calc base'!L185),2)-MAX('Calc base'!G$12,ROUND('Calc base'!G$13*AX184,2))&lt;1,ROUND(AX184*(1+'Calc base'!L185),2),MAX('Calc base'!G$12,ROUND('Calc base'!G$13*AX184,2))))</f>
        <v>0</v>
      </c>
      <c r="O185">
        <f>IF(AY184&lt;=0,0,IF(ROUND(AY184*(1+'Calc base'!M185),2)-MAX('Calc base'!H$12,ROUND('Calc base'!H$13*AY184,2))&lt;1,ROUND(AY184*(1+'Calc base'!M185),2),MAX('Calc base'!H$12,ROUND('Calc base'!H$13*AY184,2))))</f>
        <v>0</v>
      </c>
      <c r="P185">
        <f>IF(AZ184&lt;=0,0,IF(ROUND(AZ184*(1+'Calc base'!N185),2)-MAX('Calc base'!I$12,ROUND('Calc base'!I$13*AZ184,2))&lt;1,ROUND(AZ184*(1+'Calc base'!N185),2),MAX('Calc base'!I$12,ROUND('Calc base'!I$13*AZ184,2))))</f>
        <v>0</v>
      </c>
      <c r="Q185">
        <f>IF(BA184&lt;=0,0,IF(ROUND(BA184*(1+'Calc base'!O185),2)-MAX('Calc base'!J$12,ROUND('Calc base'!J$13*BA184,2))&lt;1,ROUND(BA184*(1+'Calc base'!O185),2),MAX('Calc base'!J$12,ROUND('Calc base'!J$13*BA184,2))))</f>
        <v>0</v>
      </c>
      <c r="R185">
        <f>IF(BB184&lt;=0,0,IF(ROUND(BB184*(1+'Calc base'!P185),2)-MAX('Calc base'!K$12,ROUND('Calc base'!K$13*BB184,2))&lt;1,ROUND(BB184*(1+'Calc base'!P185),2),MAX('Calc base'!K$12,ROUND('Calc base'!K$13*BB184,2))))</f>
        <v>0</v>
      </c>
      <c r="S185">
        <f>IF(BC184&lt;=0,0,IF(ROUND(BC184*(1+'Calc base'!Q185),2)-MAX('Calc base'!L$12,ROUND('Calc base'!L$13*BC184,2))&lt;1,ROUND(BC184*(1+'Calc base'!Q185),2),MAX('Calc base'!L$12,ROUND('Calc base'!L$13*BC184,2))))</f>
        <v>0</v>
      </c>
      <c r="T185">
        <f>IF(BD184&lt;=0,0,IF(ROUND(BD184*(1+'Calc base'!R185),2)-MAX('Calc base'!M$12,ROUND('Calc base'!M$13*BD184,2))&lt;1,ROUND(BD184*(1+'Calc base'!R185),2),MAX('Calc base'!M$12,ROUND('Calc base'!M$13*BD184,2))))</f>
        <v>0</v>
      </c>
      <c r="U185">
        <f>IF(BE184&lt;=0,0,IF(ROUND(BE184*(1+'Calc base'!S185),2)-MAX('Calc base'!N$12,ROUND('Calc base'!N$13*BE184,2))&lt;1,ROUND(BE184*(1+'Calc base'!S185),2),MAX('Calc base'!N$12,ROUND('Calc base'!N$13*BE184,2))))</f>
        <v>0</v>
      </c>
      <c r="AT185">
        <f>MAX(0,ROUND(AT184*(1+'Calc base'!H185),2)-J185)</f>
        <v>0</v>
      </c>
      <c r="AU185">
        <f>MAX(0,ROUND(AU184*(1+'Calc base'!I185),2)-K185)</f>
        <v>0</v>
      </c>
      <c r="AV185">
        <f>MAX(0,ROUND(AV184*(1+'Calc base'!J185),2)-L185)</f>
        <v>0</v>
      </c>
      <c r="AW185">
        <f>MAX(0,ROUND(AW184*(1+'Calc base'!K185),2)-M185)</f>
        <v>0</v>
      </c>
      <c r="AX185">
        <f>MAX(0,ROUND(AX184*(1+'Calc base'!L185),2)-N185)</f>
        <v>0</v>
      </c>
      <c r="AY185">
        <f>MAX(0,ROUND(AY184*(1+'Calc base'!M185),2)-O185)</f>
        <v>0</v>
      </c>
      <c r="AZ185">
        <f>MAX(0,ROUND(AZ184*(1+'Calc base'!N185),2)-P185)</f>
        <v>0</v>
      </c>
      <c r="BA185">
        <f>MAX(0,ROUND(BA184*(1+'Calc base'!O185),2)-Q185)</f>
        <v>0</v>
      </c>
      <c r="BB185">
        <f>MAX(0,ROUND(BB184*(1+'Calc base'!P185),2)-R185)</f>
        <v>0</v>
      </c>
      <c r="BC185">
        <f>MAX(0,ROUND(BC184*(1+'Calc base'!Q185),2)-S185)</f>
        <v>0</v>
      </c>
      <c r="BD185">
        <f>MAX(0,ROUND(BD184*(1+'Calc base'!R185),2)-T185)</f>
        <v>0</v>
      </c>
      <c r="BE185">
        <f>MAX(0,ROUND(BE184*(1+'Calc base'!S185),2)-U185)</f>
        <v>0</v>
      </c>
    </row>
    <row r="186">
      <c r="A186" t="n">
        <v>156</v>
      </c>
      <c r="B186">
        <f>SUMPRODUCT(ROUND($AT185:$BE185*(1+'Calc base'!$H186:$S186),2))</f>
        <v>0</v>
      </c>
      <c r="C186">
        <f>SUM(J186:U186)</f>
        <v>0</v>
      </c>
      <c r="G186">
        <f>SUM(AT186:BE186)</f>
        <v>0</v>
      </c>
      <c r="H186">
        <f>B186-G185</f>
        <v>0</v>
      </c>
      <c r="I186">
        <f>B186-G186</f>
        <v>0</v>
      </c>
      <c r="J186">
        <f>IF(AT185&lt;=0,0,IF(ROUND(AT185*(1+'Calc base'!H186),2)-MAX('Calc base'!C$12,ROUND('Calc base'!C$13*AT185,2))&lt;1,ROUND(AT185*(1+'Calc base'!H186),2),MAX('Calc base'!C$12,ROUND('Calc base'!C$13*AT185,2))))</f>
        <v>0</v>
      </c>
      <c r="K186">
        <f>IF(AU185&lt;=0,0,IF(ROUND(AU185*(1+'Calc base'!I186),2)-MAX('Calc base'!D$12,ROUND('Calc base'!D$13*AU185,2))&lt;1,ROUND(AU185*(1+'Calc base'!I186),2),MAX('Calc base'!D$12,ROUND('Calc base'!D$13*AU185,2))))</f>
        <v>0</v>
      </c>
      <c r="L186">
        <f>IF(AV185&lt;=0,0,IF(ROUND(AV185*(1+'Calc base'!J186),2)-MAX('Calc base'!E$12,ROUND('Calc base'!E$13*AV185,2))&lt;1,ROUND(AV185*(1+'Calc base'!J186),2),MAX('Calc base'!E$12,ROUND('Calc base'!E$13*AV185,2))))</f>
        <v>0</v>
      </c>
      <c r="M186">
        <f>IF(AW185&lt;=0,0,IF(ROUND(AW185*(1+'Calc base'!K186),2)-MAX('Calc base'!F$12,ROUND('Calc base'!F$13*AW185,2))&lt;1,ROUND(AW185*(1+'Calc base'!K186),2),MAX('Calc base'!F$12,ROUND('Calc base'!F$13*AW185,2))))</f>
        <v>0</v>
      </c>
      <c r="N186">
        <f>IF(AX185&lt;=0,0,IF(ROUND(AX185*(1+'Calc base'!L186),2)-MAX('Calc base'!G$12,ROUND('Calc base'!G$13*AX185,2))&lt;1,ROUND(AX185*(1+'Calc base'!L186),2),MAX('Calc base'!G$12,ROUND('Calc base'!G$13*AX185,2))))</f>
        <v>0</v>
      </c>
      <c r="O186">
        <f>IF(AY185&lt;=0,0,IF(ROUND(AY185*(1+'Calc base'!M186),2)-MAX('Calc base'!H$12,ROUND('Calc base'!H$13*AY185,2))&lt;1,ROUND(AY185*(1+'Calc base'!M186),2),MAX('Calc base'!H$12,ROUND('Calc base'!H$13*AY185,2))))</f>
        <v>0</v>
      </c>
      <c r="P186">
        <f>IF(AZ185&lt;=0,0,IF(ROUND(AZ185*(1+'Calc base'!N186),2)-MAX('Calc base'!I$12,ROUND('Calc base'!I$13*AZ185,2))&lt;1,ROUND(AZ185*(1+'Calc base'!N186),2),MAX('Calc base'!I$12,ROUND('Calc base'!I$13*AZ185,2))))</f>
        <v>0</v>
      </c>
      <c r="Q186">
        <f>IF(BA185&lt;=0,0,IF(ROUND(BA185*(1+'Calc base'!O186),2)-MAX('Calc base'!J$12,ROUND('Calc base'!J$13*BA185,2))&lt;1,ROUND(BA185*(1+'Calc base'!O186),2),MAX('Calc base'!J$12,ROUND('Calc base'!J$13*BA185,2))))</f>
        <v>0</v>
      </c>
      <c r="R186">
        <f>IF(BB185&lt;=0,0,IF(ROUND(BB185*(1+'Calc base'!P186),2)-MAX('Calc base'!K$12,ROUND('Calc base'!K$13*BB185,2))&lt;1,ROUND(BB185*(1+'Calc base'!P186),2),MAX('Calc base'!K$12,ROUND('Calc base'!K$13*BB185,2))))</f>
        <v>0</v>
      </c>
      <c r="S186">
        <f>IF(BC185&lt;=0,0,IF(ROUND(BC185*(1+'Calc base'!Q186),2)-MAX('Calc base'!L$12,ROUND('Calc base'!L$13*BC185,2))&lt;1,ROUND(BC185*(1+'Calc base'!Q186),2),MAX('Calc base'!L$12,ROUND('Calc base'!L$13*BC185,2))))</f>
        <v>0</v>
      </c>
      <c r="T186">
        <f>IF(BD185&lt;=0,0,IF(ROUND(BD185*(1+'Calc base'!R186),2)-MAX('Calc base'!M$12,ROUND('Calc base'!M$13*BD185,2))&lt;1,ROUND(BD185*(1+'Calc base'!R186),2),MAX('Calc base'!M$12,ROUND('Calc base'!M$13*BD185,2))))</f>
        <v>0</v>
      </c>
      <c r="U186">
        <f>IF(BE185&lt;=0,0,IF(ROUND(BE185*(1+'Calc base'!S186),2)-MAX('Calc base'!N$12,ROUND('Calc base'!N$13*BE185,2))&lt;1,ROUND(BE185*(1+'Calc base'!S186),2),MAX('Calc base'!N$12,ROUND('Calc base'!N$13*BE185,2))))</f>
        <v>0</v>
      </c>
      <c r="AT186">
        <f>MAX(0,ROUND(AT185*(1+'Calc base'!H186),2)-J186)</f>
        <v>0</v>
      </c>
      <c r="AU186">
        <f>MAX(0,ROUND(AU185*(1+'Calc base'!I186),2)-K186)</f>
        <v>0</v>
      </c>
      <c r="AV186">
        <f>MAX(0,ROUND(AV185*(1+'Calc base'!J186),2)-L186)</f>
        <v>0</v>
      </c>
      <c r="AW186">
        <f>MAX(0,ROUND(AW185*(1+'Calc base'!K186),2)-M186)</f>
        <v>0</v>
      </c>
      <c r="AX186">
        <f>MAX(0,ROUND(AX185*(1+'Calc base'!L186),2)-N186)</f>
        <v>0</v>
      </c>
      <c r="AY186">
        <f>MAX(0,ROUND(AY185*(1+'Calc base'!M186),2)-O186)</f>
        <v>0</v>
      </c>
      <c r="AZ186">
        <f>MAX(0,ROUND(AZ185*(1+'Calc base'!N186),2)-P186)</f>
        <v>0</v>
      </c>
      <c r="BA186">
        <f>MAX(0,ROUND(BA185*(1+'Calc base'!O186),2)-Q186)</f>
        <v>0</v>
      </c>
      <c r="BB186">
        <f>MAX(0,ROUND(BB185*(1+'Calc base'!P186),2)-R186)</f>
        <v>0</v>
      </c>
      <c r="BC186">
        <f>MAX(0,ROUND(BC185*(1+'Calc base'!Q186),2)-S186)</f>
        <v>0</v>
      </c>
      <c r="BD186">
        <f>MAX(0,ROUND(BD185*(1+'Calc base'!R186),2)-T186)</f>
        <v>0</v>
      </c>
      <c r="BE186">
        <f>MAX(0,ROUND(BE185*(1+'Calc base'!S186),2)-U186)</f>
        <v>0</v>
      </c>
    </row>
    <row r="187">
      <c r="A187" t="n">
        <v>157</v>
      </c>
      <c r="B187">
        <f>SUMPRODUCT(ROUND($AT186:$BE186*(1+'Calc base'!$H187:$S187),2))</f>
        <v>0</v>
      </c>
      <c r="C187">
        <f>SUM(J187:U187)</f>
        <v>0</v>
      </c>
      <c r="G187">
        <f>SUM(AT187:BE187)</f>
        <v>0</v>
      </c>
      <c r="H187">
        <f>B187-G186</f>
        <v>0</v>
      </c>
      <c r="I187">
        <f>B187-G187</f>
        <v>0</v>
      </c>
      <c r="J187">
        <f>IF(AT186&lt;=0,0,IF(ROUND(AT186*(1+'Calc base'!H187),2)-MAX('Calc base'!C$12,ROUND('Calc base'!C$13*AT186,2))&lt;1,ROUND(AT186*(1+'Calc base'!H187),2),MAX('Calc base'!C$12,ROUND('Calc base'!C$13*AT186,2))))</f>
        <v>0</v>
      </c>
      <c r="K187">
        <f>IF(AU186&lt;=0,0,IF(ROUND(AU186*(1+'Calc base'!I187),2)-MAX('Calc base'!D$12,ROUND('Calc base'!D$13*AU186,2))&lt;1,ROUND(AU186*(1+'Calc base'!I187),2),MAX('Calc base'!D$12,ROUND('Calc base'!D$13*AU186,2))))</f>
        <v>0</v>
      </c>
      <c r="L187">
        <f>IF(AV186&lt;=0,0,IF(ROUND(AV186*(1+'Calc base'!J187),2)-MAX('Calc base'!E$12,ROUND('Calc base'!E$13*AV186,2))&lt;1,ROUND(AV186*(1+'Calc base'!J187),2),MAX('Calc base'!E$12,ROUND('Calc base'!E$13*AV186,2))))</f>
        <v>0</v>
      </c>
      <c r="M187">
        <f>IF(AW186&lt;=0,0,IF(ROUND(AW186*(1+'Calc base'!K187),2)-MAX('Calc base'!F$12,ROUND('Calc base'!F$13*AW186,2))&lt;1,ROUND(AW186*(1+'Calc base'!K187),2),MAX('Calc base'!F$12,ROUND('Calc base'!F$13*AW186,2))))</f>
        <v>0</v>
      </c>
      <c r="N187">
        <f>IF(AX186&lt;=0,0,IF(ROUND(AX186*(1+'Calc base'!L187),2)-MAX('Calc base'!G$12,ROUND('Calc base'!G$13*AX186,2))&lt;1,ROUND(AX186*(1+'Calc base'!L187),2),MAX('Calc base'!G$12,ROUND('Calc base'!G$13*AX186,2))))</f>
        <v>0</v>
      </c>
      <c r="O187">
        <f>IF(AY186&lt;=0,0,IF(ROUND(AY186*(1+'Calc base'!M187),2)-MAX('Calc base'!H$12,ROUND('Calc base'!H$13*AY186,2))&lt;1,ROUND(AY186*(1+'Calc base'!M187),2),MAX('Calc base'!H$12,ROUND('Calc base'!H$13*AY186,2))))</f>
        <v>0</v>
      </c>
      <c r="P187">
        <f>IF(AZ186&lt;=0,0,IF(ROUND(AZ186*(1+'Calc base'!N187),2)-MAX('Calc base'!I$12,ROUND('Calc base'!I$13*AZ186,2))&lt;1,ROUND(AZ186*(1+'Calc base'!N187),2),MAX('Calc base'!I$12,ROUND('Calc base'!I$13*AZ186,2))))</f>
        <v>0</v>
      </c>
      <c r="Q187">
        <f>IF(BA186&lt;=0,0,IF(ROUND(BA186*(1+'Calc base'!O187),2)-MAX('Calc base'!J$12,ROUND('Calc base'!J$13*BA186,2))&lt;1,ROUND(BA186*(1+'Calc base'!O187),2),MAX('Calc base'!J$12,ROUND('Calc base'!J$13*BA186,2))))</f>
        <v>0</v>
      </c>
      <c r="R187">
        <f>IF(BB186&lt;=0,0,IF(ROUND(BB186*(1+'Calc base'!P187),2)-MAX('Calc base'!K$12,ROUND('Calc base'!K$13*BB186,2))&lt;1,ROUND(BB186*(1+'Calc base'!P187),2),MAX('Calc base'!K$12,ROUND('Calc base'!K$13*BB186,2))))</f>
        <v>0</v>
      </c>
      <c r="S187">
        <f>IF(BC186&lt;=0,0,IF(ROUND(BC186*(1+'Calc base'!Q187),2)-MAX('Calc base'!L$12,ROUND('Calc base'!L$13*BC186,2))&lt;1,ROUND(BC186*(1+'Calc base'!Q187),2),MAX('Calc base'!L$12,ROUND('Calc base'!L$13*BC186,2))))</f>
        <v>0</v>
      </c>
      <c r="T187">
        <f>IF(BD186&lt;=0,0,IF(ROUND(BD186*(1+'Calc base'!R187),2)-MAX('Calc base'!M$12,ROUND('Calc base'!M$13*BD186,2))&lt;1,ROUND(BD186*(1+'Calc base'!R187),2),MAX('Calc base'!M$12,ROUND('Calc base'!M$13*BD186,2))))</f>
        <v>0</v>
      </c>
      <c r="U187">
        <f>IF(BE186&lt;=0,0,IF(ROUND(BE186*(1+'Calc base'!S187),2)-MAX('Calc base'!N$12,ROUND('Calc base'!N$13*BE186,2))&lt;1,ROUND(BE186*(1+'Calc base'!S187),2),MAX('Calc base'!N$12,ROUND('Calc base'!N$13*BE186,2))))</f>
        <v>0</v>
      </c>
      <c r="AT187">
        <f>MAX(0,ROUND(AT186*(1+'Calc base'!H187),2)-J187)</f>
        <v>0</v>
      </c>
      <c r="AU187">
        <f>MAX(0,ROUND(AU186*(1+'Calc base'!I187),2)-K187)</f>
        <v>0</v>
      </c>
      <c r="AV187">
        <f>MAX(0,ROUND(AV186*(1+'Calc base'!J187),2)-L187)</f>
        <v>0</v>
      </c>
      <c r="AW187">
        <f>MAX(0,ROUND(AW186*(1+'Calc base'!K187),2)-M187)</f>
        <v>0</v>
      </c>
      <c r="AX187">
        <f>MAX(0,ROUND(AX186*(1+'Calc base'!L187),2)-N187)</f>
        <v>0</v>
      </c>
      <c r="AY187">
        <f>MAX(0,ROUND(AY186*(1+'Calc base'!M187),2)-O187)</f>
        <v>0</v>
      </c>
      <c r="AZ187">
        <f>MAX(0,ROUND(AZ186*(1+'Calc base'!N187),2)-P187)</f>
        <v>0</v>
      </c>
      <c r="BA187">
        <f>MAX(0,ROUND(BA186*(1+'Calc base'!O187),2)-Q187)</f>
        <v>0</v>
      </c>
      <c r="BB187">
        <f>MAX(0,ROUND(BB186*(1+'Calc base'!P187),2)-R187)</f>
        <v>0</v>
      </c>
      <c r="BC187">
        <f>MAX(0,ROUND(BC186*(1+'Calc base'!Q187),2)-S187)</f>
        <v>0</v>
      </c>
      <c r="BD187">
        <f>MAX(0,ROUND(BD186*(1+'Calc base'!R187),2)-T187)</f>
        <v>0</v>
      </c>
      <c r="BE187">
        <f>MAX(0,ROUND(BE186*(1+'Calc base'!S187),2)-U187)</f>
        <v>0</v>
      </c>
    </row>
    <row r="188">
      <c r="A188" t="n">
        <v>158</v>
      </c>
      <c r="B188">
        <f>SUMPRODUCT(ROUND($AT187:$BE187*(1+'Calc base'!$H188:$S188),2))</f>
        <v>0</v>
      </c>
      <c r="C188">
        <f>SUM(J188:U188)</f>
        <v>0</v>
      </c>
      <c r="G188">
        <f>SUM(AT188:BE188)</f>
        <v>0</v>
      </c>
      <c r="H188">
        <f>B188-G187</f>
        <v>0</v>
      </c>
      <c r="I188">
        <f>B188-G188</f>
        <v>0</v>
      </c>
      <c r="J188">
        <f>IF(AT187&lt;=0,0,IF(ROUND(AT187*(1+'Calc base'!H188),2)-MAX('Calc base'!C$12,ROUND('Calc base'!C$13*AT187,2))&lt;1,ROUND(AT187*(1+'Calc base'!H188),2),MAX('Calc base'!C$12,ROUND('Calc base'!C$13*AT187,2))))</f>
        <v>0</v>
      </c>
      <c r="K188">
        <f>IF(AU187&lt;=0,0,IF(ROUND(AU187*(1+'Calc base'!I188),2)-MAX('Calc base'!D$12,ROUND('Calc base'!D$13*AU187,2))&lt;1,ROUND(AU187*(1+'Calc base'!I188),2),MAX('Calc base'!D$12,ROUND('Calc base'!D$13*AU187,2))))</f>
        <v>0</v>
      </c>
      <c r="L188">
        <f>IF(AV187&lt;=0,0,IF(ROUND(AV187*(1+'Calc base'!J188),2)-MAX('Calc base'!E$12,ROUND('Calc base'!E$13*AV187,2))&lt;1,ROUND(AV187*(1+'Calc base'!J188),2),MAX('Calc base'!E$12,ROUND('Calc base'!E$13*AV187,2))))</f>
        <v>0</v>
      </c>
      <c r="M188">
        <f>IF(AW187&lt;=0,0,IF(ROUND(AW187*(1+'Calc base'!K188),2)-MAX('Calc base'!F$12,ROUND('Calc base'!F$13*AW187,2))&lt;1,ROUND(AW187*(1+'Calc base'!K188),2),MAX('Calc base'!F$12,ROUND('Calc base'!F$13*AW187,2))))</f>
        <v>0</v>
      </c>
      <c r="N188">
        <f>IF(AX187&lt;=0,0,IF(ROUND(AX187*(1+'Calc base'!L188),2)-MAX('Calc base'!G$12,ROUND('Calc base'!G$13*AX187,2))&lt;1,ROUND(AX187*(1+'Calc base'!L188),2),MAX('Calc base'!G$12,ROUND('Calc base'!G$13*AX187,2))))</f>
        <v>0</v>
      </c>
      <c r="O188">
        <f>IF(AY187&lt;=0,0,IF(ROUND(AY187*(1+'Calc base'!M188),2)-MAX('Calc base'!H$12,ROUND('Calc base'!H$13*AY187,2))&lt;1,ROUND(AY187*(1+'Calc base'!M188),2),MAX('Calc base'!H$12,ROUND('Calc base'!H$13*AY187,2))))</f>
        <v>0</v>
      </c>
      <c r="P188">
        <f>IF(AZ187&lt;=0,0,IF(ROUND(AZ187*(1+'Calc base'!N188),2)-MAX('Calc base'!I$12,ROUND('Calc base'!I$13*AZ187,2))&lt;1,ROUND(AZ187*(1+'Calc base'!N188),2),MAX('Calc base'!I$12,ROUND('Calc base'!I$13*AZ187,2))))</f>
        <v>0</v>
      </c>
      <c r="Q188">
        <f>IF(BA187&lt;=0,0,IF(ROUND(BA187*(1+'Calc base'!O188),2)-MAX('Calc base'!J$12,ROUND('Calc base'!J$13*BA187,2))&lt;1,ROUND(BA187*(1+'Calc base'!O188),2),MAX('Calc base'!J$12,ROUND('Calc base'!J$13*BA187,2))))</f>
        <v>0</v>
      </c>
      <c r="R188">
        <f>IF(BB187&lt;=0,0,IF(ROUND(BB187*(1+'Calc base'!P188),2)-MAX('Calc base'!K$12,ROUND('Calc base'!K$13*BB187,2))&lt;1,ROUND(BB187*(1+'Calc base'!P188),2),MAX('Calc base'!K$12,ROUND('Calc base'!K$13*BB187,2))))</f>
        <v>0</v>
      </c>
      <c r="S188">
        <f>IF(BC187&lt;=0,0,IF(ROUND(BC187*(1+'Calc base'!Q188),2)-MAX('Calc base'!L$12,ROUND('Calc base'!L$13*BC187,2))&lt;1,ROUND(BC187*(1+'Calc base'!Q188),2),MAX('Calc base'!L$12,ROUND('Calc base'!L$13*BC187,2))))</f>
        <v>0</v>
      </c>
      <c r="T188">
        <f>IF(BD187&lt;=0,0,IF(ROUND(BD187*(1+'Calc base'!R188),2)-MAX('Calc base'!M$12,ROUND('Calc base'!M$13*BD187,2))&lt;1,ROUND(BD187*(1+'Calc base'!R188),2),MAX('Calc base'!M$12,ROUND('Calc base'!M$13*BD187,2))))</f>
        <v>0</v>
      </c>
      <c r="U188">
        <f>IF(BE187&lt;=0,0,IF(ROUND(BE187*(1+'Calc base'!S188),2)-MAX('Calc base'!N$12,ROUND('Calc base'!N$13*BE187,2))&lt;1,ROUND(BE187*(1+'Calc base'!S188),2),MAX('Calc base'!N$12,ROUND('Calc base'!N$13*BE187,2))))</f>
        <v>0</v>
      </c>
      <c r="AT188">
        <f>MAX(0,ROUND(AT187*(1+'Calc base'!H188),2)-J188)</f>
        <v>0</v>
      </c>
      <c r="AU188">
        <f>MAX(0,ROUND(AU187*(1+'Calc base'!I188),2)-K188)</f>
        <v>0</v>
      </c>
      <c r="AV188">
        <f>MAX(0,ROUND(AV187*(1+'Calc base'!J188),2)-L188)</f>
        <v>0</v>
      </c>
      <c r="AW188">
        <f>MAX(0,ROUND(AW187*(1+'Calc base'!K188),2)-M188)</f>
        <v>0</v>
      </c>
      <c r="AX188">
        <f>MAX(0,ROUND(AX187*(1+'Calc base'!L188),2)-N188)</f>
        <v>0</v>
      </c>
      <c r="AY188">
        <f>MAX(0,ROUND(AY187*(1+'Calc base'!M188),2)-O188)</f>
        <v>0</v>
      </c>
      <c r="AZ188">
        <f>MAX(0,ROUND(AZ187*(1+'Calc base'!N188),2)-P188)</f>
        <v>0</v>
      </c>
      <c r="BA188">
        <f>MAX(0,ROUND(BA187*(1+'Calc base'!O188),2)-Q188)</f>
        <v>0</v>
      </c>
      <c r="BB188">
        <f>MAX(0,ROUND(BB187*(1+'Calc base'!P188),2)-R188)</f>
        <v>0</v>
      </c>
      <c r="BC188">
        <f>MAX(0,ROUND(BC187*(1+'Calc base'!Q188),2)-S188)</f>
        <v>0</v>
      </c>
      <c r="BD188">
        <f>MAX(0,ROUND(BD187*(1+'Calc base'!R188),2)-T188)</f>
        <v>0</v>
      </c>
      <c r="BE188">
        <f>MAX(0,ROUND(BE187*(1+'Calc base'!S188),2)-U188)</f>
        <v>0</v>
      </c>
    </row>
    <row r="189">
      <c r="A189" t="n">
        <v>159</v>
      </c>
      <c r="B189">
        <f>SUMPRODUCT(ROUND($AT188:$BE188*(1+'Calc base'!$H189:$S189),2))</f>
        <v>0</v>
      </c>
      <c r="C189">
        <f>SUM(J189:U189)</f>
        <v>0</v>
      </c>
      <c r="G189">
        <f>SUM(AT189:BE189)</f>
        <v>0</v>
      </c>
      <c r="H189">
        <f>B189-G188</f>
        <v>0</v>
      </c>
      <c r="I189">
        <f>B189-G189</f>
        <v>0</v>
      </c>
      <c r="J189">
        <f>IF(AT188&lt;=0,0,IF(ROUND(AT188*(1+'Calc base'!H189),2)-MAX('Calc base'!C$12,ROUND('Calc base'!C$13*AT188,2))&lt;1,ROUND(AT188*(1+'Calc base'!H189),2),MAX('Calc base'!C$12,ROUND('Calc base'!C$13*AT188,2))))</f>
        <v>0</v>
      </c>
      <c r="K189">
        <f>IF(AU188&lt;=0,0,IF(ROUND(AU188*(1+'Calc base'!I189),2)-MAX('Calc base'!D$12,ROUND('Calc base'!D$13*AU188,2))&lt;1,ROUND(AU188*(1+'Calc base'!I189),2),MAX('Calc base'!D$12,ROUND('Calc base'!D$13*AU188,2))))</f>
        <v>0</v>
      </c>
      <c r="L189">
        <f>IF(AV188&lt;=0,0,IF(ROUND(AV188*(1+'Calc base'!J189),2)-MAX('Calc base'!E$12,ROUND('Calc base'!E$13*AV188,2))&lt;1,ROUND(AV188*(1+'Calc base'!J189),2),MAX('Calc base'!E$12,ROUND('Calc base'!E$13*AV188,2))))</f>
        <v>0</v>
      </c>
      <c r="M189">
        <f>IF(AW188&lt;=0,0,IF(ROUND(AW188*(1+'Calc base'!K189),2)-MAX('Calc base'!F$12,ROUND('Calc base'!F$13*AW188,2))&lt;1,ROUND(AW188*(1+'Calc base'!K189),2),MAX('Calc base'!F$12,ROUND('Calc base'!F$13*AW188,2))))</f>
        <v>0</v>
      </c>
      <c r="N189">
        <f>IF(AX188&lt;=0,0,IF(ROUND(AX188*(1+'Calc base'!L189),2)-MAX('Calc base'!G$12,ROUND('Calc base'!G$13*AX188,2))&lt;1,ROUND(AX188*(1+'Calc base'!L189),2),MAX('Calc base'!G$12,ROUND('Calc base'!G$13*AX188,2))))</f>
        <v>0</v>
      </c>
      <c r="O189">
        <f>IF(AY188&lt;=0,0,IF(ROUND(AY188*(1+'Calc base'!M189),2)-MAX('Calc base'!H$12,ROUND('Calc base'!H$13*AY188,2))&lt;1,ROUND(AY188*(1+'Calc base'!M189),2),MAX('Calc base'!H$12,ROUND('Calc base'!H$13*AY188,2))))</f>
        <v>0</v>
      </c>
      <c r="P189">
        <f>IF(AZ188&lt;=0,0,IF(ROUND(AZ188*(1+'Calc base'!N189),2)-MAX('Calc base'!I$12,ROUND('Calc base'!I$13*AZ188,2))&lt;1,ROUND(AZ188*(1+'Calc base'!N189),2),MAX('Calc base'!I$12,ROUND('Calc base'!I$13*AZ188,2))))</f>
        <v>0</v>
      </c>
      <c r="Q189">
        <f>IF(BA188&lt;=0,0,IF(ROUND(BA188*(1+'Calc base'!O189),2)-MAX('Calc base'!J$12,ROUND('Calc base'!J$13*BA188,2))&lt;1,ROUND(BA188*(1+'Calc base'!O189),2),MAX('Calc base'!J$12,ROUND('Calc base'!J$13*BA188,2))))</f>
        <v>0</v>
      </c>
      <c r="R189">
        <f>IF(BB188&lt;=0,0,IF(ROUND(BB188*(1+'Calc base'!P189),2)-MAX('Calc base'!K$12,ROUND('Calc base'!K$13*BB188,2))&lt;1,ROUND(BB188*(1+'Calc base'!P189),2),MAX('Calc base'!K$12,ROUND('Calc base'!K$13*BB188,2))))</f>
        <v>0</v>
      </c>
      <c r="S189">
        <f>IF(BC188&lt;=0,0,IF(ROUND(BC188*(1+'Calc base'!Q189),2)-MAX('Calc base'!L$12,ROUND('Calc base'!L$13*BC188,2))&lt;1,ROUND(BC188*(1+'Calc base'!Q189),2),MAX('Calc base'!L$12,ROUND('Calc base'!L$13*BC188,2))))</f>
        <v>0</v>
      </c>
      <c r="T189">
        <f>IF(BD188&lt;=0,0,IF(ROUND(BD188*(1+'Calc base'!R189),2)-MAX('Calc base'!M$12,ROUND('Calc base'!M$13*BD188,2))&lt;1,ROUND(BD188*(1+'Calc base'!R189),2),MAX('Calc base'!M$12,ROUND('Calc base'!M$13*BD188,2))))</f>
        <v>0</v>
      </c>
      <c r="U189">
        <f>IF(BE188&lt;=0,0,IF(ROUND(BE188*(1+'Calc base'!S189),2)-MAX('Calc base'!N$12,ROUND('Calc base'!N$13*BE188,2))&lt;1,ROUND(BE188*(1+'Calc base'!S189),2),MAX('Calc base'!N$12,ROUND('Calc base'!N$13*BE188,2))))</f>
        <v>0</v>
      </c>
      <c r="AT189">
        <f>MAX(0,ROUND(AT188*(1+'Calc base'!H189),2)-J189)</f>
        <v>0</v>
      </c>
      <c r="AU189">
        <f>MAX(0,ROUND(AU188*(1+'Calc base'!I189),2)-K189)</f>
        <v>0</v>
      </c>
      <c r="AV189">
        <f>MAX(0,ROUND(AV188*(1+'Calc base'!J189),2)-L189)</f>
        <v>0</v>
      </c>
      <c r="AW189">
        <f>MAX(0,ROUND(AW188*(1+'Calc base'!K189),2)-M189)</f>
        <v>0</v>
      </c>
      <c r="AX189">
        <f>MAX(0,ROUND(AX188*(1+'Calc base'!L189),2)-N189)</f>
        <v>0</v>
      </c>
      <c r="AY189">
        <f>MAX(0,ROUND(AY188*(1+'Calc base'!M189),2)-O189)</f>
        <v>0</v>
      </c>
      <c r="AZ189">
        <f>MAX(0,ROUND(AZ188*(1+'Calc base'!N189),2)-P189)</f>
        <v>0</v>
      </c>
      <c r="BA189">
        <f>MAX(0,ROUND(BA188*(1+'Calc base'!O189),2)-Q189)</f>
        <v>0</v>
      </c>
      <c r="BB189">
        <f>MAX(0,ROUND(BB188*(1+'Calc base'!P189),2)-R189)</f>
        <v>0</v>
      </c>
      <c r="BC189">
        <f>MAX(0,ROUND(BC188*(1+'Calc base'!Q189),2)-S189)</f>
        <v>0</v>
      </c>
      <c r="BD189">
        <f>MAX(0,ROUND(BD188*(1+'Calc base'!R189),2)-T189)</f>
        <v>0</v>
      </c>
      <c r="BE189">
        <f>MAX(0,ROUND(BE188*(1+'Calc base'!S189),2)-U189)</f>
        <v>0</v>
      </c>
    </row>
    <row r="190">
      <c r="A190" t="n">
        <v>160</v>
      </c>
      <c r="B190">
        <f>SUMPRODUCT(ROUND($AT189:$BE189*(1+'Calc base'!$H190:$S190),2))</f>
        <v>0</v>
      </c>
      <c r="C190">
        <f>SUM(J190:U190)</f>
        <v>0</v>
      </c>
      <c r="G190">
        <f>SUM(AT190:BE190)</f>
        <v>0</v>
      </c>
      <c r="H190">
        <f>B190-G189</f>
        <v>0</v>
      </c>
      <c r="I190">
        <f>B190-G190</f>
        <v>0</v>
      </c>
      <c r="J190">
        <f>IF(AT189&lt;=0,0,IF(ROUND(AT189*(1+'Calc base'!H190),2)-MAX('Calc base'!C$12,ROUND('Calc base'!C$13*AT189,2))&lt;1,ROUND(AT189*(1+'Calc base'!H190),2),MAX('Calc base'!C$12,ROUND('Calc base'!C$13*AT189,2))))</f>
        <v>0</v>
      </c>
      <c r="K190">
        <f>IF(AU189&lt;=0,0,IF(ROUND(AU189*(1+'Calc base'!I190),2)-MAX('Calc base'!D$12,ROUND('Calc base'!D$13*AU189,2))&lt;1,ROUND(AU189*(1+'Calc base'!I190),2),MAX('Calc base'!D$12,ROUND('Calc base'!D$13*AU189,2))))</f>
        <v>0</v>
      </c>
      <c r="L190">
        <f>IF(AV189&lt;=0,0,IF(ROUND(AV189*(1+'Calc base'!J190),2)-MAX('Calc base'!E$12,ROUND('Calc base'!E$13*AV189,2))&lt;1,ROUND(AV189*(1+'Calc base'!J190),2),MAX('Calc base'!E$12,ROUND('Calc base'!E$13*AV189,2))))</f>
        <v>0</v>
      </c>
      <c r="M190">
        <f>IF(AW189&lt;=0,0,IF(ROUND(AW189*(1+'Calc base'!K190),2)-MAX('Calc base'!F$12,ROUND('Calc base'!F$13*AW189,2))&lt;1,ROUND(AW189*(1+'Calc base'!K190),2),MAX('Calc base'!F$12,ROUND('Calc base'!F$13*AW189,2))))</f>
        <v>0</v>
      </c>
      <c r="N190">
        <f>IF(AX189&lt;=0,0,IF(ROUND(AX189*(1+'Calc base'!L190),2)-MAX('Calc base'!G$12,ROUND('Calc base'!G$13*AX189,2))&lt;1,ROUND(AX189*(1+'Calc base'!L190),2),MAX('Calc base'!G$12,ROUND('Calc base'!G$13*AX189,2))))</f>
        <v>0</v>
      </c>
      <c r="O190">
        <f>IF(AY189&lt;=0,0,IF(ROUND(AY189*(1+'Calc base'!M190),2)-MAX('Calc base'!H$12,ROUND('Calc base'!H$13*AY189,2))&lt;1,ROUND(AY189*(1+'Calc base'!M190),2),MAX('Calc base'!H$12,ROUND('Calc base'!H$13*AY189,2))))</f>
        <v>0</v>
      </c>
      <c r="P190">
        <f>IF(AZ189&lt;=0,0,IF(ROUND(AZ189*(1+'Calc base'!N190),2)-MAX('Calc base'!I$12,ROUND('Calc base'!I$13*AZ189,2))&lt;1,ROUND(AZ189*(1+'Calc base'!N190),2),MAX('Calc base'!I$12,ROUND('Calc base'!I$13*AZ189,2))))</f>
        <v>0</v>
      </c>
      <c r="Q190">
        <f>IF(BA189&lt;=0,0,IF(ROUND(BA189*(1+'Calc base'!O190),2)-MAX('Calc base'!J$12,ROUND('Calc base'!J$13*BA189,2))&lt;1,ROUND(BA189*(1+'Calc base'!O190),2),MAX('Calc base'!J$12,ROUND('Calc base'!J$13*BA189,2))))</f>
        <v>0</v>
      </c>
      <c r="R190">
        <f>IF(BB189&lt;=0,0,IF(ROUND(BB189*(1+'Calc base'!P190),2)-MAX('Calc base'!K$12,ROUND('Calc base'!K$13*BB189,2))&lt;1,ROUND(BB189*(1+'Calc base'!P190),2),MAX('Calc base'!K$12,ROUND('Calc base'!K$13*BB189,2))))</f>
        <v>0</v>
      </c>
      <c r="S190">
        <f>IF(BC189&lt;=0,0,IF(ROUND(BC189*(1+'Calc base'!Q190),2)-MAX('Calc base'!L$12,ROUND('Calc base'!L$13*BC189,2))&lt;1,ROUND(BC189*(1+'Calc base'!Q190),2),MAX('Calc base'!L$12,ROUND('Calc base'!L$13*BC189,2))))</f>
        <v>0</v>
      </c>
      <c r="T190">
        <f>IF(BD189&lt;=0,0,IF(ROUND(BD189*(1+'Calc base'!R190),2)-MAX('Calc base'!M$12,ROUND('Calc base'!M$13*BD189,2))&lt;1,ROUND(BD189*(1+'Calc base'!R190),2),MAX('Calc base'!M$12,ROUND('Calc base'!M$13*BD189,2))))</f>
        <v>0</v>
      </c>
      <c r="U190">
        <f>IF(BE189&lt;=0,0,IF(ROUND(BE189*(1+'Calc base'!S190),2)-MAX('Calc base'!N$12,ROUND('Calc base'!N$13*BE189,2))&lt;1,ROUND(BE189*(1+'Calc base'!S190),2),MAX('Calc base'!N$12,ROUND('Calc base'!N$13*BE189,2))))</f>
        <v>0</v>
      </c>
      <c r="AT190">
        <f>MAX(0,ROUND(AT189*(1+'Calc base'!H190),2)-J190)</f>
        <v>0</v>
      </c>
      <c r="AU190">
        <f>MAX(0,ROUND(AU189*(1+'Calc base'!I190),2)-K190)</f>
        <v>0</v>
      </c>
      <c r="AV190">
        <f>MAX(0,ROUND(AV189*(1+'Calc base'!J190),2)-L190)</f>
        <v>0</v>
      </c>
      <c r="AW190">
        <f>MAX(0,ROUND(AW189*(1+'Calc base'!K190),2)-M190)</f>
        <v>0</v>
      </c>
      <c r="AX190">
        <f>MAX(0,ROUND(AX189*(1+'Calc base'!L190),2)-N190)</f>
        <v>0</v>
      </c>
      <c r="AY190">
        <f>MAX(0,ROUND(AY189*(1+'Calc base'!M190),2)-O190)</f>
        <v>0</v>
      </c>
      <c r="AZ190">
        <f>MAX(0,ROUND(AZ189*(1+'Calc base'!N190),2)-P190)</f>
        <v>0</v>
      </c>
      <c r="BA190">
        <f>MAX(0,ROUND(BA189*(1+'Calc base'!O190),2)-Q190)</f>
        <v>0</v>
      </c>
      <c r="BB190">
        <f>MAX(0,ROUND(BB189*(1+'Calc base'!P190),2)-R190)</f>
        <v>0</v>
      </c>
      <c r="BC190">
        <f>MAX(0,ROUND(BC189*(1+'Calc base'!Q190),2)-S190)</f>
        <v>0</v>
      </c>
      <c r="BD190">
        <f>MAX(0,ROUND(BD189*(1+'Calc base'!R190),2)-T190)</f>
        <v>0</v>
      </c>
      <c r="BE190">
        <f>MAX(0,ROUND(BE189*(1+'Calc base'!S190),2)-U190)</f>
        <v>0</v>
      </c>
    </row>
    <row r="191">
      <c r="A191" t="n">
        <v>161</v>
      </c>
      <c r="B191">
        <f>SUMPRODUCT(ROUND($AT190:$BE190*(1+'Calc base'!$H191:$S191),2))</f>
        <v>0</v>
      </c>
      <c r="C191">
        <f>SUM(J191:U191)</f>
        <v>0</v>
      </c>
      <c r="G191">
        <f>SUM(AT191:BE191)</f>
        <v>0</v>
      </c>
      <c r="H191">
        <f>B191-G190</f>
        <v>0</v>
      </c>
      <c r="I191">
        <f>B191-G191</f>
        <v>0</v>
      </c>
      <c r="J191">
        <f>IF(AT190&lt;=0,0,IF(ROUND(AT190*(1+'Calc base'!H191),2)-MAX('Calc base'!C$12,ROUND('Calc base'!C$13*AT190,2))&lt;1,ROUND(AT190*(1+'Calc base'!H191),2),MAX('Calc base'!C$12,ROUND('Calc base'!C$13*AT190,2))))</f>
        <v>0</v>
      </c>
      <c r="K191">
        <f>IF(AU190&lt;=0,0,IF(ROUND(AU190*(1+'Calc base'!I191),2)-MAX('Calc base'!D$12,ROUND('Calc base'!D$13*AU190,2))&lt;1,ROUND(AU190*(1+'Calc base'!I191),2),MAX('Calc base'!D$12,ROUND('Calc base'!D$13*AU190,2))))</f>
        <v>0</v>
      </c>
      <c r="L191">
        <f>IF(AV190&lt;=0,0,IF(ROUND(AV190*(1+'Calc base'!J191),2)-MAX('Calc base'!E$12,ROUND('Calc base'!E$13*AV190,2))&lt;1,ROUND(AV190*(1+'Calc base'!J191),2),MAX('Calc base'!E$12,ROUND('Calc base'!E$13*AV190,2))))</f>
        <v>0</v>
      </c>
      <c r="M191">
        <f>IF(AW190&lt;=0,0,IF(ROUND(AW190*(1+'Calc base'!K191),2)-MAX('Calc base'!F$12,ROUND('Calc base'!F$13*AW190,2))&lt;1,ROUND(AW190*(1+'Calc base'!K191),2),MAX('Calc base'!F$12,ROUND('Calc base'!F$13*AW190,2))))</f>
        <v>0</v>
      </c>
      <c r="N191">
        <f>IF(AX190&lt;=0,0,IF(ROUND(AX190*(1+'Calc base'!L191),2)-MAX('Calc base'!G$12,ROUND('Calc base'!G$13*AX190,2))&lt;1,ROUND(AX190*(1+'Calc base'!L191),2),MAX('Calc base'!G$12,ROUND('Calc base'!G$13*AX190,2))))</f>
        <v>0</v>
      </c>
      <c r="O191">
        <f>IF(AY190&lt;=0,0,IF(ROUND(AY190*(1+'Calc base'!M191),2)-MAX('Calc base'!H$12,ROUND('Calc base'!H$13*AY190,2))&lt;1,ROUND(AY190*(1+'Calc base'!M191),2),MAX('Calc base'!H$12,ROUND('Calc base'!H$13*AY190,2))))</f>
        <v>0</v>
      </c>
      <c r="P191">
        <f>IF(AZ190&lt;=0,0,IF(ROUND(AZ190*(1+'Calc base'!N191),2)-MAX('Calc base'!I$12,ROUND('Calc base'!I$13*AZ190,2))&lt;1,ROUND(AZ190*(1+'Calc base'!N191),2),MAX('Calc base'!I$12,ROUND('Calc base'!I$13*AZ190,2))))</f>
        <v>0</v>
      </c>
      <c r="Q191">
        <f>IF(BA190&lt;=0,0,IF(ROUND(BA190*(1+'Calc base'!O191),2)-MAX('Calc base'!J$12,ROUND('Calc base'!J$13*BA190,2))&lt;1,ROUND(BA190*(1+'Calc base'!O191),2),MAX('Calc base'!J$12,ROUND('Calc base'!J$13*BA190,2))))</f>
        <v>0</v>
      </c>
      <c r="R191">
        <f>IF(BB190&lt;=0,0,IF(ROUND(BB190*(1+'Calc base'!P191),2)-MAX('Calc base'!K$12,ROUND('Calc base'!K$13*BB190,2))&lt;1,ROUND(BB190*(1+'Calc base'!P191),2),MAX('Calc base'!K$12,ROUND('Calc base'!K$13*BB190,2))))</f>
        <v>0</v>
      </c>
      <c r="S191">
        <f>IF(BC190&lt;=0,0,IF(ROUND(BC190*(1+'Calc base'!Q191),2)-MAX('Calc base'!L$12,ROUND('Calc base'!L$13*BC190,2))&lt;1,ROUND(BC190*(1+'Calc base'!Q191),2),MAX('Calc base'!L$12,ROUND('Calc base'!L$13*BC190,2))))</f>
        <v>0</v>
      </c>
      <c r="T191">
        <f>IF(BD190&lt;=0,0,IF(ROUND(BD190*(1+'Calc base'!R191),2)-MAX('Calc base'!M$12,ROUND('Calc base'!M$13*BD190,2))&lt;1,ROUND(BD190*(1+'Calc base'!R191),2),MAX('Calc base'!M$12,ROUND('Calc base'!M$13*BD190,2))))</f>
        <v>0</v>
      </c>
      <c r="U191">
        <f>IF(BE190&lt;=0,0,IF(ROUND(BE190*(1+'Calc base'!S191),2)-MAX('Calc base'!N$12,ROUND('Calc base'!N$13*BE190,2))&lt;1,ROUND(BE190*(1+'Calc base'!S191),2),MAX('Calc base'!N$12,ROUND('Calc base'!N$13*BE190,2))))</f>
        <v>0</v>
      </c>
      <c r="AT191">
        <f>MAX(0,ROUND(AT190*(1+'Calc base'!H191),2)-J191)</f>
        <v>0</v>
      </c>
      <c r="AU191">
        <f>MAX(0,ROUND(AU190*(1+'Calc base'!I191),2)-K191)</f>
        <v>0</v>
      </c>
      <c r="AV191">
        <f>MAX(0,ROUND(AV190*(1+'Calc base'!J191),2)-L191)</f>
        <v>0</v>
      </c>
      <c r="AW191">
        <f>MAX(0,ROUND(AW190*(1+'Calc base'!K191),2)-M191)</f>
        <v>0</v>
      </c>
      <c r="AX191">
        <f>MAX(0,ROUND(AX190*(1+'Calc base'!L191),2)-N191)</f>
        <v>0</v>
      </c>
      <c r="AY191">
        <f>MAX(0,ROUND(AY190*(1+'Calc base'!M191),2)-O191)</f>
        <v>0</v>
      </c>
      <c r="AZ191">
        <f>MAX(0,ROUND(AZ190*(1+'Calc base'!N191),2)-P191)</f>
        <v>0</v>
      </c>
      <c r="BA191">
        <f>MAX(0,ROUND(BA190*(1+'Calc base'!O191),2)-Q191)</f>
        <v>0</v>
      </c>
      <c r="BB191">
        <f>MAX(0,ROUND(BB190*(1+'Calc base'!P191),2)-R191)</f>
        <v>0</v>
      </c>
      <c r="BC191">
        <f>MAX(0,ROUND(BC190*(1+'Calc base'!Q191),2)-S191)</f>
        <v>0</v>
      </c>
      <c r="BD191">
        <f>MAX(0,ROUND(BD190*(1+'Calc base'!R191),2)-T191)</f>
        <v>0</v>
      </c>
      <c r="BE191">
        <f>MAX(0,ROUND(BE190*(1+'Calc base'!S191),2)-U191)</f>
        <v>0</v>
      </c>
    </row>
    <row r="192">
      <c r="A192" t="n">
        <v>162</v>
      </c>
      <c r="B192">
        <f>SUMPRODUCT(ROUND($AT191:$BE191*(1+'Calc base'!$H192:$S192),2))</f>
        <v>0</v>
      </c>
      <c r="C192">
        <f>SUM(J192:U192)</f>
        <v>0</v>
      </c>
      <c r="G192">
        <f>SUM(AT192:BE192)</f>
        <v>0</v>
      </c>
      <c r="H192">
        <f>B192-G191</f>
        <v>0</v>
      </c>
      <c r="I192">
        <f>B192-G192</f>
        <v>0</v>
      </c>
      <c r="J192">
        <f>IF(AT191&lt;=0,0,IF(ROUND(AT191*(1+'Calc base'!H192),2)-MAX('Calc base'!C$12,ROUND('Calc base'!C$13*AT191,2))&lt;1,ROUND(AT191*(1+'Calc base'!H192),2),MAX('Calc base'!C$12,ROUND('Calc base'!C$13*AT191,2))))</f>
        <v>0</v>
      </c>
      <c r="K192">
        <f>IF(AU191&lt;=0,0,IF(ROUND(AU191*(1+'Calc base'!I192),2)-MAX('Calc base'!D$12,ROUND('Calc base'!D$13*AU191,2))&lt;1,ROUND(AU191*(1+'Calc base'!I192),2),MAX('Calc base'!D$12,ROUND('Calc base'!D$13*AU191,2))))</f>
        <v>0</v>
      </c>
      <c r="L192">
        <f>IF(AV191&lt;=0,0,IF(ROUND(AV191*(1+'Calc base'!J192),2)-MAX('Calc base'!E$12,ROUND('Calc base'!E$13*AV191,2))&lt;1,ROUND(AV191*(1+'Calc base'!J192),2),MAX('Calc base'!E$12,ROUND('Calc base'!E$13*AV191,2))))</f>
        <v>0</v>
      </c>
      <c r="M192">
        <f>IF(AW191&lt;=0,0,IF(ROUND(AW191*(1+'Calc base'!K192),2)-MAX('Calc base'!F$12,ROUND('Calc base'!F$13*AW191,2))&lt;1,ROUND(AW191*(1+'Calc base'!K192),2),MAX('Calc base'!F$12,ROUND('Calc base'!F$13*AW191,2))))</f>
        <v>0</v>
      </c>
      <c r="N192">
        <f>IF(AX191&lt;=0,0,IF(ROUND(AX191*(1+'Calc base'!L192),2)-MAX('Calc base'!G$12,ROUND('Calc base'!G$13*AX191,2))&lt;1,ROUND(AX191*(1+'Calc base'!L192),2),MAX('Calc base'!G$12,ROUND('Calc base'!G$13*AX191,2))))</f>
        <v>0</v>
      </c>
      <c r="O192">
        <f>IF(AY191&lt;=0,0,IF(ROUND(AY191*(1+'Calc base'!M192),2)-MAX('Calc base'!H$12,ROUND('Calc base'!H$13*AY191,2))&lt;1,ROUND(AY191*(1+'Calc base'!M192),2),MAX('Calc base'!H$12,ROUND('Calc base'!H$13*AY191,2))))</f>
        <v>0</v>
      </c>
      <c r="P192">
        <f>IF(AZ191&lt;=0,0,IF(ROUND(AZ191*(1+'Calc base'!N192),2)-MAX('Calc base'!I$12,ROUND('Calc base'!I$13*AZ191,2))&lt;1,ROUND(AZ191*(1+'Calc base'!N192),2),MAX('Calc base'!I$12,ROUND('Calc base'!I$13*AZ191,2))))</f>
        <v>0</v>
      </c>
      <c r="Q192">
        <f>IF(BA191&lt;=0,0,IF(ROUND(BA191*(1+'Calc base'!O192),2)-MAX('Calc base'!J$12,ROUND('Calc base'!J$13*BA191,2))&lt;1,ROUND(BA191*(1+'Calc base'!O192),2),MAX('Calc base'!J$12,ROUND('Calc base'!J$13*BA191,2))))</f>
        <v>0</v>
      </c>
      <c r="R192">
        <f>IF(BB191&lt;=0,0,IF(ROUND(BB191*(1+'Calc base'!P192),2)-MAX('Calc base'!K$12,ROUND('Calc base'!K$13*BB191,2))&lt;1,ROUND(BB191*(1+'Calc base'!P192),2),MAX('Calc base'!K$12,ROUND('Calc base'!K$13*BB191,2))))</f>
        <v>0</v>
      </c>
      <c r="S192">
        <f>IF(BC191&lt;=0,0,IF(ROUND(BC191*(1+'Calc base'!Q192),2)-MAX('Calc base'!L$12,ROUND('Calc base'!L$13*BC191,2))&lt;1,ROUND(BC191*(1+'Calc base'!Q192),2),MAX('Calc base'!L$12,ROUND('Calc base'!L$13*BC191,2))))</f>
        <v>0</v>
      </c>
      <c r="T192">
        <f>IF(BD191&lt;=0,0,IF(ROUND(BD191*(1+'Calc base'!R192),2)-MAX('Calc base'!M$12,ROUND('Calc base'!M$13*BD191,2))&lt;1,ROUND(BD191*(1+'Calc base'!R192),2),MAX('Calc base'!M$12,ROUND('Calc base'!M$13*BD191,2))))</f>
        <v>0</v>
      </c>
      <c r="U192">
        <f>IF(BE191&lt;=0,0,IF(ROUND(BE191*(1+'Calc base'!S192),2)-MAX('Calc base'!N$12,ROUND('Calc base'!N$13*BE191,2))&lt;1,ROUND(BE191*(1+'Calc base'!S192),2),MAX('Calc base'!N$12,ROUND('Calc base'!N$13*BE191,2))))</f>
        <v>0</v>
      </c>
      <c r="AT192">
        <f>MAX(0,ROUND(AT191*(1+'Calc base'!H192),2)-J192)</f>
        <v>0</v>
      </c>
      <c r="AU192">
        <f>MAX(0,ROUND(AU191*(1+'Calc base'!I192),2)-K192)</f>
        <v>0</v>
      </c>
      <c r="AV192">
        <f>MAX(0,ROUND(AV191*(1+'Calc base'!J192),2)-L192)</f>
        <v>0</v>
      </c>
      <c r="AW192">
        <f>MAX(0,ROUND(AW191*(1+'Calc base'!K192),2)-M192)</f>
        <v>0</v>
      </c>
      <c r="AX192">
        <f>MAX(0,ROUND(AX191*(1+'Calc base'!L192),2)-N192)</f>
        <v>0</v>
      </c>
      <c r="AY192">
        <f>MAX(0,ROUND(AY191*(1+'Calc base'!M192),2)-O192)</f>
        <v>0</v>
      </c>
      <c r="AZ192">
        <f>MAX(0,ROUND(AZ191*(1+'Calc base'!N192),2)-P192)</f>
        <v>0</v>
      </c>
      <c r="BA192">
        <f>MAX(0,ROUND(BA191*(1+'Calc base'!O192),2)-Q192)</f>
        <v>0</v>
      </c>
      <c r="BB192">
        <f>MAX(0,ROUND(BB191*(1+'Calc base'!P192),2)-R192)</f>
        <v>0</v>
      </c>
      <c r="BC192">
        <f>MAX(0,ROUND(BC191*(1+'Calc base'!Q192),2)-S192)</f>
        <v>0</v>
      </c>
      <c r="BD192">
        <f>MAX(0,ROUND(BD191*(1+'Calc base'!R192),2)-T192)</f>
        <v>0</v>
      </c>
      <c r="BE192">
        <f>MAX(0,ROUND(BE191*(1+'Calc base'!S192),2)-U192)</f>
        <v>0</v>
      </c>
    </row>
    <row r="193">
      <c r="A193" t="n">
        <v>163</v>
      </c>
      <c r="B193">
        <f>SUMPRODUCT(ROUND($AT192:$BE192*(1+'Calc base'!$H193:$S193),2))</f>
        <v>0</v>
      </c>
      <c r="C193">
        <f>SUM(J193:U193)</f>
        <v>0</v>
      </c>
      <c r="G193">
        <f>SUM(AT193:BE193)</f>
        <v>0</v>
      </c>
      <c r="H193">
        <f>B193-G192</f>
        <v>0</v>
      </c>
      <c r="I193">
        <f>B193-G193</f>
        <v>0</v>
      </c>
      <c r="J193">
        <f>IF(AT192&lt;=0,0,IF(ROUND(AT192*(1+'Calc base'!H193),2)-MAX('Calc base'!C$12,ROUND('Calc base'!C$13*AT192,2))&lt;1,ROUND(AT192*(1+'Calc base'!H193),2),MAX('Calc base'!C$12,ROUND('Calc base'!C$13*AT192,2))))</f>
        <v>0</v>
      </c>
      <c r="K193">
        <f>IF(AU192&lt;=0,0,IF(ROUND(AU192*(1+'Calc base'!I193),2)-MAX('Calc base'!D$12,ROUND('Calc base'!D$13*AU192,2))&lt;1,ROUND(AU192*(1+'Calc base'!I193),2),MAX('Calc base'!D$12,ROUND('Calc base'!D$13*AU192,2))))</f>
        <v>0</v>
      </c>
      <c r="L193">
        <f>IF(AV192&lt;=0,0,IF(ROUND(AV192*(1+'Calc base'!J193),2)-MAX('Calc base'!E$12,ROUND('Calc base'!E$13*AV192,2))&lt;1,ROUND(AV192*(1+'Calc base'!J193),2),MAX('Calc base'!E$12,ROUND('Calc base'!E$13*AV192,2))))</f>
        <v>0</v>
      </c>
      <c r="M193">
        <f>IF(AW192&lt;=0,0,IF(ROUND(AW192*(1+'Calc base'!K193),2)-MAX('Calc base'!F$12,ROUND('Calc base'!F$13*AW192,2))&lt;1,ROUND(AW192*(1+'Calc base'!K193),2),MAX('Calc base'!F$12,ROUND('Calc base'!F$13*AW192,2))))</f>
        <v>0</v>
      </c>
      <c r="N193">
        <f>IF(AX192&lt;=0,0,IF(ROUND(AX192*(1+'Calc base'!L193),2)-MAX('Calc base'!G$12,ROUND('Calc base'!G$13*AX192,2))&lt;1,ROUND(AX192*(1+'Calc base'!L193),2),MAX('Calc base'!G$12,ROUND('Calc base'!G$13*AX192,2))))</f>
        <v>0</v>
      </c>
      <c r="O193">
        <f>IF(AY192&lt;=0,0,IF(ROUND(AY192*(1+'Calc base'!M193),2)-MAX('Calc base'!H$12,ROUND('Calc base'!H$13*AY192,2))&lt;1,ROUND(AY192*(1+'Calc base'!M193),2),MAX('Calc base'!H$12,ROUND('Calc base'!H$13*AY192,2))))</f>
        <v>0</v>
      </c>
      <c r="P193">
        <f>IF(AZ192&lt;=0,0,IF(ROUND(AZ192*(1+'Calc base'!N193),2)-MAX('Calc base'!I$12,ROUND('Calc base'!I$13*AZ192,2))&lt;1,ROUND(AZ192*(1+'Calc base'!N193),2),MAX('Calc base'!I$12,ROUND('Calc base'!I$13*AZ192,2))))</f>
        <v>0</v>
      </c>
      <c r="Q193">
        <f>IF(BA192&lt;=0,0,IF(ROUND(BA192*(1+'Calc base'!O193),2)-MAX('Calc base'!J$12,ROUND('Calc base'!J$13*BA192,2))&lt;1,ROUND(BA192*(1+'Calc base'!O193),2),MAX('Calc base'!J$12,ROUND('Calc base'!J$13*BA192,2))))</f>
        <v>0</v>
      </c>
      <c r="R193">
        <f>IF(BB192&lt;=0,0,IF(ROUND(BB192*(1+'Calc base'!P193),2)-MAX('Calc base'!K$12,ROUND('Calc base'!K$13*BB192,2))&lt;1,ROUND(BB192*(1+'Calc base'!P193),2),MAX('Calc base'!K$12,ROUND('Calc base'!K$13*BB192,2))))</f>
        <v>0</v>
      </c>
      <c r="S193">
        <f>IF(BC192&lt;=0,0,IF(ROUND(BC192*(1+'Calc base'!Q193),2)-MAX('Calc base'!L$12,ROUND('Calc base'!L$13*BC192,2))&lt;1,ROUND(BC192*(1+'Calc base'!Q193),2),MAX('Calc base'!L$12,ROUND('Calc base'!L$13*BC192,2))))</f>
        <v>0</v>
      </c>
      <c r="T193">
        <f>IF(BD192&lt;=0,0,IF(ROUND(BD192*(1+'Calc base'!R193),2)-MAX('Calc base'!M$12,ROUND('Calc base'!M$13*BD192,2))&lt;1,ROUND(BD192*(1+'Calc base'!R193),2),MAX('Calc base'!M$12,ROUND('Calc base'!M$13*BD192,2))))</f>
        <v>0</v>
      </c>
      <c r="U193">
        <f>IF(BE192&lt;=0,0,IF(ROUND(BE192*(1+'Calc base'!S193),2)-MAX('Calc base'!N$12,ROUND('Calc base'!N$13*BE192,2))&lt;1,ROUND(BE192*(1+'Calc base'!S193),2),MAX('Calc base'!N$12,ROUND('Calc base'!N$13*BE192,2))))</f>
        <v>0</v>
      </c>
      <c r="AT193">
        <f>MAX(0,ROUND(AT192*(1+'Calc base'!H193),2)-J193)</f>
        <v>0</v>
      </c>
      <c r="AU193">
        <f>MAX(0,ROUND(AU192*(1+'Calc base'!I193),2)-K193)</f>
        <v>0</v>
      </c>
      <c r="AV193">
        <f>MAX(0,ROUND(AV192*(1+'Calc base'!J193),2)-L193)</f>
        <v>0</v>
      </c>
      <c r="AW193">
        <f>MAX(0,ROUND(AW192*(1+'Calc base'!K193),2)-M193)</f>
        <v>0</v>
      </c>
      <c r="AX193">
        <f>MAX(0,ROUND(AX192*(1+'Calc base'!L193),2)-N193)</f>
        <v>0</v>
      </c>
      <c r="AY193">
        <f>MAX(0,ROUND(AY192*(1+'Calc base'!M193),2)-O193)</f>
        <v>0</v>
      </c>
      <c r="AZ193">
        <f>MAX(0,ROUND(AZ192*(1+'Calc base'!N193),2)-P193)</f>
        <v>0</v>
      </c>
      <c r="BA193">
        <f>MAX(0,ROUND(BA192*(1+'Calc base'!O193),2)-Q193)</f>
        <v>0</v>
      </c>
      <c r="BB193">
        <f>MAX(0,ROUND(BB192*(1+'Calc base'!P193),2)-R193)</f>
        <v>0</v>
      </c>
      <c r="BC193">
        <f>MAX(0,ROUND(BC192*(1+'Calc base'!Q193),2)-S193)</f>
        <v>0</v>
      </c>
      <c r="BD193">
        <f>MAX(0,ROUND(BD192*(1+'Calc base'!R193),2)-T193)</f>
        <v>0</v>
      </c>
      <c r="BE193">
        <f>MAX(0,ROUND(BE192*(1+'Calc base'!S193),2)-U193)</f>
        <v>0</v>
      </c>
    </row>
    <row r="194">
      <c r="A194" t="n">
        <v>164</v>
      </c>
      <c r="B194">
        <f>SUMPRODUCT(ROUND($AT193:$BE193*(1+'Calc base'!$H194:$S194),2))</f>
        <v>0</v>
      </c>
      <c r="C194">
        <f>SUM(J194:U194)</f>
        <v>0</v>
      </c>
      <c r="G194">
        <f>SUM(AT194:BE194)</f>
        <v>0</v>
      </c>
      <c r="H194">
        <f>B194-G193</f>
        <v>0</v>
      </c>
      <c r="I194">
        <f>B194-G194</f>
        <v>0</v>
      </c>
      <c r="J194">
        <f>IF(AT193&lt;=0,0,IF(ROUND(AT193*(1+'Calc base'!H194),2)-MAX('Calc base'!C$12,ROUND('Calc base'!C$13*AT193,2))&lt;1,ROUND(AT193*(1+'Calc base'!H194),2),MAX('Calc base'!C$12,ROUND('Calc base'!C$13*AT193,2))))</f>
        <v>0</v>
      </c>
      <c r="K194">
        <f>IF(AU193&lt;=0,0,IF(ROUND(AU193*(1+'Calc base'!I194),2)-MAX('Calc base'!D$12,ROUND('Calc base'!D$13*AU193,2))&lt;1,ROUND(AU193*(1+'Calc base'!I194),2),MAX('Calc base'!D$12,ROUND('Calc base'!D$13*AU193,2))))</f>
        <v>0</v>
      </c>
      <c r="L194">
        <f>IF(AV193&lt;=0,0,IF(ROUND(AV193*(1+'Calc base'!J194),2)-MAX('Calc base'!E$12,ROUND('Calc base'!E$13*AV193,2))&lt;1,ROUND(AV193*(1+'Calc base'!J194),2),MAX('Calc base'!E$12,ROUND('Calc base'!E$13*AV193,2))))</f>
        <v>0</v>
      </c>
      <c r="M194">
        <f>IF(AW193&lt;=0,0,IF(ROUND(AW193*(1+'Calc base'!K194),2)-MAX('Calc base'!F$12,ROUND('Calc base'!F$13*AW193,2))&lt;1,ROUND(AW193*(1+'Calc base'!K194),2),MAX('Calc base'!F$12,ROUND('Calc base'!F$13*AW193,2))))</f>
        <v>0</v>
      </c>
      <c r="N194">
        <f>IF(AX193&lt;=0,0,IF(ROUND(AX193*(1+'Calc base'!L194),2)-MAX('Calc base'!G$12,ROUND('Calc base'!G$13*AX193,2))&lt;1,ROUND(AX193*(1+'Calc base'!L194),2),MAX('Calc base'!G$12,ROUND('Calc base'!G$13*AX193,2))))</f>
        <v>0</v>
      </c>
      <c r="O194">
        <f>IF(AY193&lt;=0,0,IF(ROUND(AY193*(1+'Calc base'!M194),2)-MAX('Calc base'!H$12,ROUND('Calc base'!H$13*AY193,2))&lt;1,ROUND(AY193*(1+'Calc base'!M194),2),MAX('Calc base'!H$12,ROUND('Calc base'!H$13*AY193,2))))</f>
        <v>0</v>
      </c>
      <c r="P194">
        <f>IF(AZ193&lt;=0,0,IF(ROUND(AZ193*(1+'Calc base'!N194),2)-MAX('Calc base'!I$12,ROUND('Calc base'!I$13*AZ193,2))&lt;1,ROUND(AZ193*(1+'Calc base'!N194),2),MAX('Calc base'!I$12,ROUND('Calc base'!I$13*AZ193,2))))</f>
        <v>0</v>
      </c>
      <c r="Q194">
        <f>IF(BA193&lt;=0,0,IF(ROUND(BA193*(1+'Calc base'!O194),2)-MAX('Calc base'!J$12,ROUND('Calc base'!J$13*BA193,2))&lt;1,ROUND(BA193*(1+'Calc base'!O194),2),MAX('Calc base'!J$12,ROUND('Calc base'!J$13*BA193,2))))</f>
        <v>0</v>
      </c>
      <c r="R194">
        <f>IF(BB193&lt;=0,0,IF(ROUND(BB193*(1+'Calc base'!P194),2)-MAX('Calc base'!K$12,ROUND('Calc base'!K$13*BB193,2))&lt;1,ROUND(BB193*(1+'Calc base'!P194),2),MAX('Calc base'!K$12,ROUND('Calc base'!K$13*BB193,2))))</f>
        <v>0</v>
      </c>
      <c r="S194">
        <f>IF(BC193&lt;=0,0,IF(ROUND(BC193*(1+'Calc base'!Q194),2)-MAX('Calc base'!L$12,ROUND('Calc base'!L$13*BC193,2))&lt;1,ROUND(BC193*(1+'Calc base'!Q194),2),MAX('Calc base'!L$12,ROUND('Calc base'!L$13*BC193,2))))</f>
        <v>0</v>
      </c>
      <c r="T194">
        <f>IF(BD193&lt;=0,0,IF(ROUND(BD193*(1+'Calc base'!R194),2)-MAX('Calc base'!M$12,ROUND('Calc base'!M$13*BD193,2))&lt;1,ROUND(BD193*(1+'Calc base'!R194),2),MAX('Calc base'!M$12,ROUND('Calc base'!M$13*BD193,2))))</f>
        <v>0</v>
      </c>
      <c r="U194">
        <f>IF(BE193&lt;=0,0,IF(ROUND(BE193*(1+'Calc base'!S194),2)-MAX('Calc base'!N$12,ROUND('Calc base'!N$13*BE193,2))&lt;1,ROUND(BE193*(1+'Calc base'!S194),2),MAX('Calc base'!N$12,ROUND('Calc base'!N$13*BE193,2))))</f>
        <v>0</v>
      </c>
      <c r="AT194">
        <f>MAX(0,ROUND(AT193*(1+'Calc base'!H194),2)-J194)</f>
        <v>0</v>
      </c>
      <c r="AU194">
        <f>MAX(0,ROUND(AU193*(1+'Calc base'!I194),2)-K194)</f>
        <v>0</v>
      </c>
      <c r="AV194">
        <f>MAX(0,ROUND(AV193*(1+'Calc base'!J194),2)-L194)</f>
        <v>0</v>
      </c>
      <c r="AW194">
        <f>MAX(0,ROUND(AW193*(1+'Calc base'!K194),2)-M194)</f>
        <v>0</v>
      </c>
      <c r="AX194">
        <f>MAX(0,ROUND(AX193*(1+'Calc base'!L194),2)-N194)</f>
        <v>0</v>
      </c>
      <c r="AY194">
        <f>MAX(0,ROUND(AY193*(1+'Calc base'!M194),2)-O194)</f>
        <v>0</v>
      </c>
      <c r="AZ194">
        <f>MAX(0,ROUND(AZ193*(1+'Calc base'!N194),2)-P194)</f>
        <v>0</v>
      </c>
      <c r="BA194">
        <f>MAX(0,ROUND(BA193*(1+'Calc base'!O194),2)-Q194)</f>
        <v>0</v>
      </c>
      <c r="BB194">
        <f>MAX(0,ROUND(BB193*(1+'Calc base'!P194),2)-R194)</f>
        <v>0</v>
      </c>
      <c r="BC194">
        <f>MAX(0,ROUND(BC193*(1+'Calc base'!Q194),2)-S194)</f>
        <v>0</v>
      </c>
      <c r="BD194">
        <f>MAX(0,ROUND(BD193*(1+'Calc base'!R194),2)-T194)</f>
        <v>0</v>
      </c>
      <c r="BE194">
        <f>MAX(0,ROUND(BE193*(1+'Calc base'!S194),2)-U194)</f>
        <v>0</v>
      </c>
    </row>
    <row r="195">
      <c r="A195" t="n">
        <v>165</v>
      </c>
      <c r="B195">
        <f>SUMPRODUCT(ROUND($AT194:$BE194*(1+'Calc base'!$H195:$S195),2))</f>
        <v>0</v>
      </c>
      <c r="C195">
        <f>SUM(J195:U195)</f>
        <v>0</v>
      </c>
      <c r="G195">
        <f>SUM(AT195:BE195)</f>
        <v>0</v>
      </c>
      <c r="H195">
        <f>B195-G194</f>
        <v>0</v>
      </c>
      <c r="I195">
        <f>B195-G195</f>
        <v>0</v>
      </c>
      <c r="J195">
        <f>IF(AT194&lt;=0,0,IF(ROUND(AT194*(1+'Calc base'!H195),2)-MAX('Calc base'!C$12,ROUND('Calc base'!C$13*AT194,2))&lt;1,ROUND(AT194*(1+'Calc base'!H195),2),MAX('Calc base'!C$12,ROUND('Calc base'!C$13*AT194,2))))</f>
        <v>0</v>
      </c>
      <c r="K195">
        <f>IF(AU194&lt;=0,0,IF(ROUND(AU194*(1+'Calc base'!I195),2)-MAX('Calc base'!D$12,ROUND('Calc base'!D$13*AU194,2))&lt;1,ROUND(AU194*(1+'Calc base'!I195),2),MAX('Calc base'!D$12,ROUND('Calc base'!D$13*AU194,2))))</f>
        <v>0</v>
      </c>
      <c r="L195">
        <f>IF(AV194&lt;=0,0,IF(ROUND(AV194*(1+'Calc base'!J195),2)-MAX('Calc base'!E$12,ROUND('Calc base'!E$13*AV194,2))&lt;1,ROUND(AV194*(1+'Calc base'!J195),2),MAX('Calc base'!E$12,ROUND('Calc base'!E$13*AV194,2))))</f>
        <v>0</v>
      </c>
      <c r="M195">
        <f>IF(AW194&lt;=0,0,IF(ROUND(AW194*(1+'Calc base'!K195),2)-MAX('Calc base'!F$12,ROUND('Calc base'!F$13*AW194,2))&lt;1,ROUND(AW194*(1+'Calc base'!K195),2),MAX('Calc base'!F$12,ROUND('Calc base'!F$13*AW194,2))))</f>
        <v>0</v>
      </c>
      <c r="N195">
        <f>IF(AX194&lt;=0,0,IF(ROUND(AX194*(1+'Calc base'!L195),2)-MAX('Calc base'!G$12,ROUND('Calc base'!G$13*AX194,2))&lt;1,ROUND(AX194*(1+'Calc base'!L195),2),MAX('Calc base'!G$12,ROUND('Calc base'!G$13*AX194,2))))</f>
        <v>0</v>
      </c>
      <c r="O195">
        <f>IF(AY194&lt;=0,0,IF(ROUND(AY194*(1+'Calc base'!M195),2)-MAX('Calc base'!H$12,ROUND('Calc base'!H$13*AY194,2))&lt;1,ROUND(AY194*(1+'Calc base'!M195),2),MAX('Calc base'!H$12,ROUND('Calc base'!H$13*AY194,2))))</f>
        <v>0</v>
      </c>
      <c r="P195">
        <f>IF(AZ194&lt;=0,0,IF(ROUND(AZ194*(1+'Calc base'!N195),2)-MAX('Calc base'!I$12,ROUND('Calc base'!I$13*AZ194,2))&lt;1,ROUND(AZ194*(1+'Calc base'!N195),2),MAX('Calc base'!I$12,ROUND('Calc base'!I$13*AZ194,2))))</f>
        <v>0</v>
      </c>
      <c r="Q195">
        <f>IF(BA194&lt;=0,0,IF(ROUND(BA194*(1+'Calc base'!O195),2)-MAX('Calc base'!J$12,ROUND('Calc base'!J$13*BA194,2))&lt;1,ROUND(BA194*(1+'Calc base'!O195),2),MAX('Calc base'!J$12,ROUND('Calc base'!J$13*BA194,2))))</f>
        <v>0</v>
      </c>
      <c r="R195">
        <f>IF(BB194&lt;=0,0,IF(ROUND(BB194*(1+'Calc base'!P195),2)-MAX('Calc base'!K$12,ROUND('Calc base'!K$13*BB194,2))&lt;1,ROUND(BB194*(1+'Calc base'!P195),2),MAX('Calc base'!K$12,ROUND('Calc base'!K$13*BB194,2))))</f>
        <v>0</v>
      </c>
      <c r="S195">
        <f>IF(BC194&lt;=0,0,IF(ROUND(BC194*(1+'Calc base'!Q195),2)-MAX('Calc base'!L$12,ROUND('Calc base'!L$13*BC194,2))&lt;1,ROUND(BC194*(1+'Calc base'!Q195),2),MAX('Calc base'!L$12,ROUND('Calc base'!L$13*BC194,2))))</f>
        <v>0</v>
      </c>
      <c r="T195">
        <f>IF(BD194&lt;=0,0,IF(ROUND(BD194*(1+'Calc base'!R195),2)-MAX('Calc base'!M$12,ROUND('Calc base'!M$13*BD194,2))&lt;1,ROUND(BD194*(1+'Calc base'!R195),2),MAX('Calc base'!M$12,ROUND('Calc base'!M$13*BD194,2))))</f>
        <v>0</v>
      </c>
      <c r="U195">
        <f>IF(BE194&lt;=0,0,IF(ROUND(BE194*(1+'Calc base'!S195),2)-MAX('Calc base'!N$12,ROUND('Calc base'!N$13*BE194,2))&lt;1,ROUND(BE194*(1+'Calc base'!S195),2),MAX('Calc base'!N$12,ROUND('Calc base'!N$13*BE194,2))))</f>
        <v>0</v>
      </c>
      <c r="AT195">
        <f>MAX(0,ROUND(AT194*(1+'Calc base'!H195),2)-J195)</f>
        <v>0</v>
      </c>
      <c r="AU195">
        <f>MAX(0,ROUND(AU194*(1+'Calc base'!I195),2)-K195)</f>
        <v>0</v>
      </c>
      <c r="AV195">
        <f>MAX(0,ROUND(AV194*(1+'Calc base'!J195),2)-L195)</f>
        <v>0</v>
      </c>
      <c r="AW195">
        <f>MAX(0,ROUND(AW194*(1+'Calc base'!K195),2)-M195)</f>
        <v>0</v>
      </c>
      <c r="AX195">
        <f>MAX(0,ROUND(AX194*(1+'Calc base'!L195),2)-N195)</f>
        <v>0</v>
      </c>
      <c r="AY195">
        <f>MAX(0,ROUND(AY194*(1+'Calc base'!M195),2)-O195)</f>
        <v>0</v>
      </c>
      <c r="AZ195">
        <f>MAX(0,ROUND(AZ194*(1+'Calc base'!N195),2)-P195)</f>
        <v>0</v>
      </c>
      <c r="BA195">
        <f>MAX(0,ROUND(BA194*(1+'Calc base'!O195),2)-Q195)</f>
        <v>0</v>
      </c>
      <c r="BB195">
        <f>MAX(0,ROUND(BB194*(1+'Calc base'!P195),2)-R195)</f>
        <v>0</v>
      </c>
      <c r="BC195">
        <f>MAX(0,ROUND(BC194*(1+'Calc base'!Q195),2)-S195)</f>
        <v>0</v>
      </c>
      <c r="BD195">
        <f>MAX(0,ROUND(BD194*(1+'Calc base'!R195),2)-T195)</f>
        <v>0</v>
      </c>
      <c r="BE195">
        <f>MAX(0,ROUND(BE194*(1+'Calc base'!S195),2)-U195)</f>
        <v>0</v>
      </c>
    </row>
    <row r="196">
      <c r="A196" t="n">
        <v>166</v>
      </c>
      <c r="B196">
        <f>SUMPRODUCT(ROUND($AT195:$BE195*(1+'Calc base'!$H196:$S196),2))</f>
        <v>0</v>
      </c>
      <c r="C196">
        <f>SUM(J196:U196)</f>
        <v>0</v>
      </c>
      <c r="G196">
        <f>SUM(AT196:BE196)</f>
        <v>0</v>
      </c>
      <c r="H196">
        <f>B196-G195</f>
        <v>0</v>
      </c>
      <c r="I196">
        <f>B196-G196</f>
        <v>0</v>
      </c>
      <c r="J196">
        <f>IF(AT195&lt;=0,0,IF(ROUND(AT195*(1+'Calc base'!H196),2)-MAX('Calc base'!C$12,ROUND('Calc base'!C$13*AT195,2))&lt;1,ROUND(AT195*(1+'Calc base'!H196),2),MAX('Calc base'!C$12,ROUND('Calc base'!C$13*AT195,2))))</f>
        <v>0</v>
      </c>
      <c r="K196">
        <f>IF(AU195&lt;=0,0,IF(ROUND(AU195*(1+'Calc base'!I196),2)-MAX('Calc base'!D$12,ROUND('Calc base'!D$13*AU195,2))&lt;1,ROUND(AU195*(1+'Calc base'!I196),2),MAX('Calc base'!D$12,ROUND('Calc base'!D$13*AU195,2))))</f>
        <v>0</v>
      </c>
      <c r="L196">
        <f>IF(AV195&lt;=0,0,IF(ROUND(AV195*(1+'Calc base'!J196),2)-MAX('Calc base'!E$12,ROUND('Calc base'!E$13*AV195,2))&lt;1,ROUND(AV195*(1+'Calc base'!J196),2),MAX('Calc base'!E$12,ROUND('Calc base'!E$13*AV195,2))))</f>
        <v>0</v>
      </c>
      <c r="M196">
        <f>IF(AW195&lt;=0,0,IF(ROUND(AW195*(1+'Calc base'!K196),2)-MAX('Calc base'!F$12,ROUND('Calc base'!F$13*AW195,2))&lt;1,ROUND(AW195*(1+'Calc base'!K196),2),MAX('Calc base'!F$12,ROUND('Calc base'!F$13*AW195,2))))</f>
        <v>0</v>
      </c>
      <c r="N196">
        <f>IF(AX195&lt;=0,0,IF(ROUND(AX195*(1+'Calc base'!L196),2)-MAX('Calc base'!G$12,ROUND('Calc base'!G$13*AX195,2))&lt;1,ROUND(AX195*(1+'Calc base'!L196),2),MAX('Calc base'!G$12,ROUND('Calc base'!G$13*AX195,2))))</f>
        <v>0</v>
      </c>
      <c r="O196">
        <f>IF(AY195&lt;=0,0,IF(ROUND(AY195*(1+'Calc base'!M196),2)-MAX('Calc base'!H$12,ROUND('Calc base'!H$13*AY195,2))&lt;1,ROUND(AY195*(1+'Calc base'!M196),2),MAX('Calc base'!H$12,ROUND('Calc base'!H$13*AY195,2))))</f>
        <v>0</v>
      </c>
      <c r="P196">
        <f>IF(AZ195&lt;=0,0,IF(ROUND(AZ195*(1+'Calc base'!N196),2)-MAX('Calc base'!I$12,ROUND('Calc base'!I$13*AZ195,2))&lt;1,ROUND(AZ195*(1+'Calc base'!N196),2),MAX('Calc base'!I$12,ROUND('Calc base'!I$13*AZ195,2))))</f>
        <v>0</v>
      </c>
      <c r="Q196">
        <f>IF(BA195&lt;=0,0,IF(ROUND(BA195*(1+'Calc base'!O196),2)-MAX('Calc base'!J$12,ROUND('Calc base'!J$13*BA195,2))&lt;1,ROUND(BA195*(1+'Calc base'!O196),2),MAX('Calc base'!J$12,ROUND('Calc base'!J$13*BA195,2))))</f>
        <v>0</v>
      </c>
      <c r="R196">
        <f>IF(BB195&lt;=0,0,IF(ROUND(BB195*(1+'Calc base'!P196),2)-MAX('Calc base'!K$12,ROUND('Calc base'!K$13*BB195,2))&lt;1,ROUND(BB195*(1+'Calc base'!P196),2),MAX('Calc base'!K$12,ROUND('Calc base'!K$13*BB195,2))))</f>
        <v>0</v>
      </c>
      <c r="S196">
        <f>IF(BC195&lt;=0,0,IF(ROUND(BC195*(1+'Calc base'!Q196),2)-MAX('Calc base'!L$12,ROUND('Calc base'!L$13*BC195,2))&lt;1,ROUND(BC195*(1+'Calc base'!Q196),2),MAX('Calc base'!L$12,ROUND('Calc base'!L$13*BC195,2))))</f>
        <v>0</v>
      </c>
      <c r="T196">
        <f>IF(BD195&lt;=0,0,IF(ROUND(BD195*(1+'Calc base'!R196),2)-MAX('Calc base'!M$12,ROUND('Calc base'!M$13*BD195,2))&lt;1,ROUND(BD195*(1+'Calc base'!R196),2),MAX('Calc base'!M$12,ROUND('Calc base'!M$13*BD195,2))))</f>
        <v>0</v>
      </c>
      <c r="U196">
        <f>IF(BE195&lt;=0,0,IF(ROUND(BE195*(1+'Calc base'!S196),2)-MAX('Calc base'!N$12,ROUND('Calc base'!N$13*BE195,2))&lt;1,ROUND(BE195*(1+'Calc base'!S196),2),MAX('Calc base'!N$12,ROUND('Calc base'!N$13*BE195,2))))</f>
        <v>0</v>
      </c>
      <c r="AT196">
        <f>MAX(0,ROUND(AT195*(1+'Calc base'!H196),2)-J196)</f>
        <v>0</v>
      </c>
      <c r="AU196">
        <f>MAX(0,ROUND(AU195*(1+'Calc base'!I196),2)-K196)</f>
        <v>0</v>
      </c>
      <c r="AV196">
        <f>MAX(0,ROUND(AV195*(1+'Calc base'!J196),2)-L196)</f>
        <v>0</v>
      </c>
      <c r="AW196">
        <f>MAX(0,ROUND(AW195*(1+'Calc base'!K196),2)-M196)</f>
        <v>0</v>
      </c>
      <c r="AX196">
        <f>MAX(0,ROUND(AX195*(1+'Calc base'!L196),2)-N196)</f>
        <v>0</v>
      </c>
      <c r="AY196">
        <f>MAX(0,ROUND(AY195*(1+'Calc base'!M196),2)-O196)</f>
        <v>0</v>
      </c>
      <c r="AZ196">
        <f>MAX(0,ROUND(AZ195*(1+'Calc base'!N196),2)-P196)</f>
        <v>0</v>
      </c>
      <c r="BA196">
        <f>MAX(0,ROUND(BA195*(1+'Calc base'!O196),2)-Q196)</f>
        <v>0</v>
      </c>
      <c r="BB196">
        <f>MAX(0,ROUND(BB195*(1+'Calc base'!P196),2)-R196)</f>
        <v>0</v>
      </c>
      <c r="BC196">
        <f>MAX(0,ROUND(BC195*(1+'Calc base'!Q196),2)-S196)</f>
        <v>0</v>
      </c>
      <c r="BD196">
        <f>MAX(0,ROUND(BD195*(1+'Calc base'!R196),2)-T196)</f>
        <v>0</v>
      </c>
      <c r="BE196">
        <f>MAX(0,ROUND(BE195*(1+'Calc base'!S196),2)-U196)</f>
        <v>0</v>
      </c>
    </row>
    <row r="197">
      <c r="A197" t="n">
        <v>167</v>
      </c>
      <c r="B197">
        <f>SUMPRODUCT(ROUND($AT196:$BE196*(1+'Calc base'!$H197:$S197),2))</f>
        <v>0</v>
      </c>
      <c r="C197">
        <f>SUM(J197:U197)</f>
        <v>0</v>
      </c>
      <c r="G197">
        <f>SUM(AT197:BE197)</f>
        <v>0</v>
      </c>
      <c r="H197">
        <f>B197-G196</f>
        <v>0</v>
      </c>
      <c r="I197">
        <f>B197-G197</f>
        <v>0</v>
      </c>
      <c r="J197">
        <f>IF(AT196&lt;=0,0,IF(ROUND(AT196*(1+'Calc base'!H197),2)-MAX('Calc base'!C$12,ROUND('Calc base'!C$13*AT196,2))&lt;1,ROUND(AT196*(1+'Calc base'!H197),2),MAX('Calc base'!C$12,ROUND('Calc base'!C$13*AT196,2))))</f>
        <v>0</v>
      </c>
      <c r="K197">
        <f>IF(AU196&lt;=0,0,IF(ROUND(AU196*(1+'Calc base'!I197),2)-MAX('Calc base'!D$12,ROUND('Calc base'!D$13*AU196,2))&lt;1,ROUND(AU196*(1+'Calc base'!I197),2),MAX('Calc base'!D$12,ROUND('Calc base'!D$13*AU196,2))))</f>
        <v>0</v>
      </c>
      <c r="L197">
        <f>IF(AV196&lt;=0,0,IF(ROUND(AV196*(1+'Calc base'!J197),2)-MAX('Calc base'!E$12,ROUND('Calc base'!E$13*AV196,2))&lt;1,ROUND(AV196*(1+'Calc base'!J197),2),MAX('Calc base'!E$12,ROUND('Calc base'!E$13*AV196,2))))</f>
        <v>0</v>
      </c>
      <c r="M197">
        <f>IF(AW196&lt;=0,0,IF(ROUND(AW196*(1+'Calc base'!K197),2)-MAX('Calc base'!F$12,ROUND('Calc base'!F$13*AW196,2))&lt;1,ROUND(AW196*(1+'Calc base'!K197),2),MAX('Calc base'!F$12,ROUND('Calc base'!F$13*AW196,2))))</f>
        <v>0</v>
      </c>
      <c r="N197">
        <f>IF(AX196&lt;=0,0,IF(ROUND(AX196*(1+'Calc base'!L197),2)-MAX('Calc base'!G$12,ROUND('Calc base'!G$13*AX196,2))&lt;1,ROUND(AX196*(1+'Calc base'!L197),2),MAX('Calc base'!G$12,ROUND('Calc base'!G$13*AX196,2))))</f>
        <v>0</v>
      </c>
      <c r="O197">
        <f>IF(AY196&lt;=0,0,IF(ROUND(AY196*(1+'Calc base'!M197),2)-MAX('Calc base'!H$12,ROUND('Calc base'!H$13*AY196,2))&lt;1,ROUND(AY196*(1+'Calc base'!M197),2),MAX('Calc base'!H$12,ROUND('Calc base'!H$13*AY196,2))))</f>
        <v>0</v>
      </c>
      <c r="P197">
        <f>IF(AZ196&lt;=0,0,IF(ROUND(AZ196*(1+'Calc base'!N197),2)-MAX('Calc base'!I$12,ROUND('Calc base'!I$13*AZ196,2))&lt;1,ROUND(AZ196*(1+'Calc base'!N197),2),MAX('Calc base'!I$12,ROUND('Calc base'!I$13*AZ196,2))))</f>
        <v>0</v>
      </c>
      <c r="Q197">
        <f>IF(BA196&lt;=0,0,IF(ROUND(BA196*(1+'Calc base'!O197),2)-MAX('Calc base'!J$12,ROUND('Calc base'!J$13*BA196,2))&lt;1,ROUND(BA196*(1+'Calc base'!O197),2),MAX('Calc base'!J$12,ROUND('Calc base'!J$13*BA196,2))))</f>
        <v>0</v>
      </c>
      <c r="R197">
        <f>IF(BB196&lt;=0,0,IF(ROUND(BB196*(1+'Calc base'!P197),2)-MAX('Calc base'!K$12,ROUND('Calc base'!K$13*BB196,2))&lt;1,ROUND(BB196*(1+'Calc base'!P197),2),MAX('Calc base'!K$12,ROUND('Calc base'!K$13*BB196,2))))</f>
        <v>0</v>
      </c>
      <c r="S197">
        <f>IF(BC196&lt;=0,0,IF(ROUND(BC196*(1+'Calc base'!Q197),2)-MAX('Calc base'!L$12,ROUND('Calc base'!L$13*BC196,2))&lt;1,ROUND(BC196*(1+'Calc base'!Q197),2),MAX('Calc base'!L$12,ROUND('Calc base'!L$13*BC196,2))))</f>
        <v>0</v>
      </c>
      <c r="T197">
        <f>IF(BD196&lt;=0,0,IF(ROUND(BD196*(1+'Calc base'!R197),2)-MAX('Calc base'!M$12,ROUND('Calc base'!M$13*BD196,2))&lt;1,ROUND(BD196*(1+'Calc base'!R197),2),MAX('Calc base'!M$12,ROUND('Calc base'!M$13*BD196,2))))</f>
        <v>0</v>
      </c>
      <c r="U197">
        <f>IF(BE196&lt;=0,0,IF(ROUND(BE196*(1+'Calc base'!S197),2)-MAX('Calc base'!N$12,ROUND('Calc base'!N$13*BE196,2))&lt;1,ROUND(BE196*(1+'Calc base'!S197),2),MAX('Calc base'!N$12,ROUND('Calc base'!N$13*BE196,2))))</f>
        <v>0</v>
      </c>
      <c r="AT197">
        <f>MAX(0,ROUND(AT196*(1+'Calc base'!H197),2)-J197)</f>
        <v>0</v>
      </c>
      <c r="AU197">
        <f>MAX(0,ROUND(AU196*(1+'Calc base'!I197),2)-K197)</f>
        <v>0</v>
      </c>
      <c r="AV197">
        <f>MAX(0,ROUND(AV196*(1+'Calc base'!J197),2)-L197)</f>
        <v>0</v>
      </c>
      <c r="AW197">
        <f>MAX(0,ROUND(AW196*(1+'Calc base'!K197),2)-M197)</f>
        <v>0</v>
      </c>
      <c r="AX197">
        <f>MAX(0,ROUND(AX196*(1+'Calc base'!L197),2)-N197)</f>
        <v>0</v>
      </c>
      <c r="AY197">
        <f>MAX(0,ROUND(AY196*(1+'Calc base'!M197),2)-O197)</f>
        <v>0</v>
      </c>
      <c r="AZ197">
        <f>MAX(0,ROUND(AZ196*(1+'Calc base'!N197),2)-P197)</f>
        <v>0</v>
      </c>
      <c r="BA197">
        <f>MAX(0,ROUND(BA196*(1+'Calc base'!O197),2)-Q197)</f>
        <v>0</v>
      </c>
      <c r="BB197">
        <f>MAX(0,ROUND(BB196*(1+'Calc base'!P197),2)-R197)</f>
        <v>0</v>
      </c>
      <c r="BC197">
        <f>MAX(0,ROUND(BC196*(1+'Calc base'!Q197),2)-S197)</f>
        <v>0</v>
      </c>
      <c r="BD197">
        <f>MAX(0,ROUND(BD196*(1+'Calc base'!R197),2)-T197)</f>
        <v>0</v>
      </c>
      <c r="BE197">
        <f>MAX(0,ROUND(BE196*(1+'Calc base'!S197),2)-U197)</f>
        <v>0</v>
      </c>
    </row>
    <row r="198">
      <c r="A198" t="n">
        <v>168</v>
      </c>
      <c r="B198">
        <f>SUMPRODUCT(ROUND($AT197:$BE197*(1+'Calc base'!$H198:$S198),2))</f>
        <v>0</v>
      </c>
      <c r="C198">
        <f>SUM(J198:U198)</f>
        <v>0</v>
      </c>
      <c r="G198">
        <f>SUM(AT198:BE198)</f>
        <v>0</v>
      </c>
      <c r="H198">
        <f>B198-G197</f>
        <v>0</v>
      </c>
      <c r="I198">
        <f>B198-G198</f>
        <v>0</v>
      </c>
      <c r="J198">
        <f>IF(AT197&lt;=0,0,IF(ROUND(AT197*(1+'Calc base'!H198),2)-MAX('Calc base'!C$12,ROUND('Calc base'!C$13*AT197,2))&lt;1,ROUND(AT197*(1+'Calc base'!H198),2),MAX('Calc base'!C$12,ROUND('Calc base'!C$13*AT197,2))))</f>
        <v>0</v>
      </c>
      <c r="K198">
        <f>IF(AU197&lt;=0,0,IF(ROUND(AU197*(1+'Calc base'!I198),2)-MAX('Calc base'!D$12,ROUND('Calc base'!D$13*AU197,2))&lt;1,ROUND(AU197*(1+'Calc base'!I198),2),MAX('Calc base'!D$12,ROUND('Calc base'!D$13*AU197,2))))</f>
        <v>0</v>
      </c>
      <c r="L198">
        <f>IF(AV197&lt;=0,0,IF(ROUND(AV197*(1+'Calc base'!J198),2)-MAX('Calc base'!E$12,ROUND('Calc base'!E$13*AV197,2))&lt;1,ROUND(AV197*(1+'Calc base'!J198),2),MAX('Calc base'!E$12,ROUND('Calc base'!E$13*AV197,2))))</f>
        <v>0</v>
      </c>
      <c r="M198">
        <f>IF(AW197&lt;=0,0,IF(ROUND(AW197*(1+'Calc base'!K198),2)-MAX('Calc base'!F$12,ROUND('Calc base'!F$13*AW197,2))&lt;1,ROUND(AW197*(1+'Calc base'!K198),2),MAX('Calc base'!F$12,ROUND('Calc base'!F$13*AW197,2))))</f>
        <v>0</v>
      </c>
      <c r="N198">
        <f>IF(AX197&lt;=0,0,IF(ROUND(AX197*(1+'Calc base'!L198),2)-MAX('Calc base'!G$12,ROUND('Calc base'!G$13*AX197,2))&lt;1,ROUND(AX197*(1+'Calc base'!L198),2),MAX('Calc base'!G$12,ROUND('Calc base'!G$13*AX197,2))))</f>
        <v>0</v>
      </c>
      <c r="O198">
        <f>IF(AY197&lt;=0,0,IF(ROUND(AY197*(1+'Calc base'!M198),2)-MAX('Calc base'!H$12,ROUND('Calc base'!H$13*AY197,2))&lt;1,ROUND(AY197*(1+'Calc base'!M198),2),MAX('Calc base'!H$12,ROUND('Calc base'!H$13*AY197,2))))</f>
        <v>0</v>
      </c>
      <c r="P198">
        <f>IF(AZ197&lt;=0,0,IF(ROUND(AZ197*(1+'Calc base'!N198),2)-MAX('Calc base'!I$12,ROUND('Calc base'!I$13*AZ197,2))&lt;1,ROUND(AZ197*(1+'Calc base'!N198),2),MAX('Calc base'!I$12,ROUND('Calc base'!I$13*AZ197,2))))</f>
        <v>0</v>
      </c>
      <c r="Q198">
        <f>IF(BA197&lt;=0,0,IF(ROUND(BA197*(1+'Calc base'!O198),2)-MAX('Calc base'!J$12,ROUND('Calc base'!J$13*BA197,2))&lt;1,ROUND(BA197*(1+'Calc base'!O198),2),MAX('Calc base'!J$12,ROUND('Calc base'!J$13*BA197,2))))</f>
        <v>0</v>
      </c>
      <c r="R198">
        <f>IF(BB197&lt;=0,0,IF(ROUND(BB197*(1+'Calc base'!P198),2)-MAX('Calc base'!K$12,ROUND('Calc base'!K$13*BB197,2))&lt;1,ROUND(BB197*(1+'Calc base'!P198),2),MAX('Calc base'!K$12,ROUND('Calc base'!K$13*BB197,2))))</f>
        <v>0</v>
      </c>
      <c r="S198">
        <f>IF(BC197&lt;=0,0,IF(ROUND(BC197*(1+'Calc base'!Q198),2)-MAX('Calc base'!L$12,ROUND('Calc base'!L$13*BC197,2))&lt;1,ROUND(BC197*(1+'Calc base'!Q198),2),MAX('Calc base'!L$12,ROUND('Calc base'!L$13*BC197,2))))</f>
        <v>0</v>
      </c>
      <c r="T198">
        <f>IF(BD197&lt;=0,0,IF(ROUND(BD197*(1+'Calc base'!R198),2)-MAX('Calc base'!M$12,ROUND('Calc base'!M$13*BD197,2))&lt;1,ROUND(BD197*(1+'Calc base'!R198),2),MAX('Calc base'!M$12,ROUND('Calc base'!M$13*BD197,2))))</f>
        <v>0</v>
      </c>
      <c r="U198">
        <f>IF(BE197&lt;=0,0,IF(ROUND(BE197*(1+'Calc base'!S198),2)-MAX('Calc base'!N$12,ROUND('Calc base'!N$13*BE197,2))&lt;1,ROUND(BE197*(1+'Calc base'!S198),2),MAX('Calc base'!N$12,ROUND('Calc base'!N$13*BE197,2))))</f>
        <v>0</v>
      </c>
      <c r="AT198">
        <f>MAX(0,ROUND(AT197*(1+'Calc base'!H198),2)-J198)</f>
        <v>0</v>
      </c>
      <c r="AU198">
        <f>MAX(0,ROUND(AU197*(1+'Calc base'!I198),2)-K198)</f>
        <v>0</v>
      </c>
      <c r="AV198">
        <f>MAX(0,ROUND(AV197*(1+'Calc base'!J198),2)-L198)</f>
        <v>0</v>
      </c>
      <c r="AW198">
        <f>MAX(0,ROUND(AW197*(1+'Calc base'!K198),2)-M198)</f>
        <v>0</v>
      </c>
      <c r="AX198">
        <f>MAX(0,ROUND(AX197*(1+'Calc base'!L198),2)-N198)</f>
        <v>0</v>
      </c>
      <c r="AY198">
        <f>MAX(0,ROUND(AY197*(1+'Calc base'!M198),2)-O198)</f>
        <v>0</v>
      </c>
      <c r="AZ198">
        <f>MAX(0,ROUND(AZ197*(1+'Calc base'!N198),2)-P198)</f>
        <v>0</v>
      </c>
      <c r="BA198">
        <f>MAX(0,ROUND(BA197*(1+'Calc base'!O198),2)-Q198)</f>
        <v>0</v>
      </c>
      <c r="BB198">
        <f>MAX(0,ROUND(BB197*(1+'Calc base'!P198),2)-R198)</f>
        <v>0</v>
      </c>
      <c r="BC198">
        <f>MAX(0,ROUND(BC197*(1+'Calc base'!Q198),2)-S198)</f>
        <v>0</v>
      </c>
      <c r="BD198">
        <f>MAX(0,ROUND(BD197*(1+'Calc base'!R198),2)-T198)</f>
        <v>0</v>
      </c>
      <c r="BE198">
        <f>MAX(0,ROUND(BE197*(1+'Calc base'!S198),2)-U198)</f>
        <v>0</v>
      </c>
    </row>
    <row r="199">
      <c r="A199" t="n">
        <v>169</v>
      </c>
      <c r="B199">
        <f>SUMPRODUCT(ROUND($AT198:$BE198*(1+'Calc base'!$H199:$S199),2))</f>
        <v>0</v>
      </c>
      <c r="C199">
        <f>SUM(J199:U199)</f>
        <v>0</v>
      </c>
      <c r="G199">
        <f>SUM(AT199:BE199)</f>
        <v>0</v>
      </c>
      <c r="H199">
        <f>B199-G198</f>
        <v>0</v>
      </c>
      <c r="I199">
        <f>B199-G199</f>
        <v>0</v>
      </c>
      <c r="J199">
        <f>IF(AT198&lt;=0,0,IF(ROUND(AT198*(1+'Calc base'!H199),2)-MAX('Calc base'!C$12,ROUND('Calc base'!C$13*AT198,2))&lt;1,ROUND(AT198*(1+'Calc base'!H199),2),MAX('Calc base'!C$12,ROUND('Calc base'!C$13*AT198,2))))</f>
        <v>0</v>
      </c>
      <c r="K199">
        <f>IF(AU198&lt;=0,0,IF(ROUND(AU198*(1+'Calc base'!I199),2)-MAX('Calc base'!D$12,ROUND('Calc base'!D$13*AU198,2))&lt;1,ROUND(AU198*(1+'Calc base'!I199),2),MAX('Calc base'!D$12,ROUND('Calc base'!D$13*AU198,2))))</f>
        <v>0</v>
      </c>
      <c r="L199">
        <f>IF(AV198&lt;=0,0,IF(ROUND(AV198*(1+'Calc base'!J199),2)-MAX('Calc base'!E$12,ROUND('Calc base'!E$13*AV198,2))&lt;1,ROUND(AV198*(1+'Calc base'!J199),2),MAX('Calc base'!E$12,ROUND('Calc base'!E$13*AV198,2))))</f>
        <v>0</v>
      </c>
      <c r="M199">
        <f>IF(AW198&lt;=0,0,IF(ROUND(AW198*(1+'Calc base'!K199),2)-MAX('Calc base'!F$12,ROUND('Calc base'!F$13*AW198,2))&lt;1,ROUND(AW198*(1+'Calc base'!K199),2),MAX('Calc base'!F$12,ROUND('Calc base'!F$13*AW198,2))))</f>
        <v>0</v>
      </c>
      <c r="N199">
        <f>IF(AX198&lt;=0,0,IF(ROUND(AX198*(1+'Calc base'!L199),2)-MAX('Calc base'!G$12,ROUND('Calc base'!G$13*AX198,2))&lt;1,ROUND(AX198*(1+'Calc base'!L199),2),MAX('Calc base'!G$12,ROUND('Calc base'!G$13*AX198,2))))</f>
        <v>0</v>
      </c>
      <c r="O199">
        <f>IF(AY198&lt;=0,0,IF(ROUND(AY198*(1+'Calc base'!M199),2)-MAX('Calc base'!H$12,ROUND('Calc base'!H$13*AY198,2))&lt;1,ROUND(AY198*(1+'Calc base'!M199),2),MAX('Calc base'!H$12,ROUND('Calc base'!H$13*AY198,2))))</f>
        <v>0</v>
      </c>
      <c r="P199">
        <f>IF(AZ198&lt;=0,0,IF(ROUND(AZ198*(1+'Calc base'!N199),2)-MAX('Calc base'!I$12,ROUND('Calc base'!I$13*AZ198,2))&lt;1,ROUND(AZ198*(1+'Calc base'!N199),2),MAX('Calc base'!I$12,ROUND('Calc base'!I$13*AZ198,2))))</f>
        <v>0</v>
      </c>
      <c r="Q199">
        <f>IF(BA198&lt;=0,0,IF(ROUND(BA198*(1+'Calc base'!O199),2)-MAX('Calc base'!J$12,ROUND('Calc base'!J$13*BA198,2))&lt;1,ROUND(BA198*(1+'Calc base'!O199),2),MAX('Calc base'!J$12,ROUND('Calc base'!J$13*BA198,2))))</f>
        <v>0</v>
      </c>
      <c r="R199">
        <f>IF(BB198&lt;=0,0,IF(ROUND(BB198*(1+'Calc base'!P199),2)-MAX('Calc base'!K$12,ROUND('Calc base'!K$13*BB198,2))&lt;1,ROUND(BB198*(1+'Calc base'!P199),2),MAX('Calc base'!K$12,ROUND('Calc base'!K$13*BB198,2))))</f>
        <v>0</v>
      </c>
      <c r="S199">
        <f>IF(BC198&lt;=0,0,IF(ROUND(BC198*(1+'Calc base'!Q199),2)-MAX('Calc base'!L$12,ROUND('Calc base'!L$13*BC198,2))&lt;1,ROUND(BC198*(1+'Calc base'!Q199),2),MAX('Calc base'!L$12,ROUND('Calc base'!L$13*BC198,2))))</f>
        <v>0</v>
      </c>
      <c r="T199">
        <f>IF(BD198&lt;=0,0,IF(ROUND(BD198*(1+'Calc base'!R199),2)-MAX('Calc base'!M$12,ROUND('Calc base'!M$13*BD198,2))&lt;1,ROUND(BD198*(1+'Calc base'!R199),2),MAX('Calc base'!M$12,ROUND('Calc base'!M$13*BD198,2))))</f>
        <v>0</v>
      </c>
      <c r="U199">
        <f>IF(BE198&lt;=0,0,IF(ROUND(BE198*(1+'Calc base'!S199),2)-MAX('Calc base'!N$12,ROUND('Calc base'!N$13*BE198,2))&lt;1,ROUND(BE198*(1+'Calc base'!S199),2),MAX('Calc base'!N$12,ROUND('Calc base'!N$13*BE198,2))))</f>
        <v>0</v>
      </c>
      <c r="AT199">
        <f>MAX(0,ROUND(AT198*(1+'Calc base'!H199),2)-J199)</f>
        <v>0</v>
      </c>
      <c r="AU199">
        <f>MAX(0,ROUND(AU198*(1+'Calc base'!I199),2)-K199)</f>
        <v>0</v>
      </c>
      <c r="AV199">
        <f>MAX(0,ROUND(AV198*(1+'Calc base'!J199),2)-L199)</f>
        <v>0</v>
      </c>
      <c r="AW199">
        <f>MAX(0,ROUND(AW198*(1+'Calc base'!K199),2)-M199)</f>
        <v>0</v>
      </c>
      <c r="AX199">
        <f>MAX(0,ROUND(AX198*(1+'Calc base'!L199),2)-N199)</f>
        <v>0</v>
      </c>
      <c r="AY199">
        <f>MAX(0,ROUND(AY198*(1+'Calc base'!M199),2)-O199)</f>
        <v>0</v>
      </c>
      <c r="AZ199">
        <f>MAX(0,ROUND(AZ198*(1+'Calc base'!N199),2)-P199)</f>
        <v>0</v>
      </c>
      <c r="BA199">
        <f>MAX(0,ROUND(BA198*(1+'Calc base'!O199),2)-Q199)</f>
        <v>0</v>
      </c>
      <c r="BB199">
        <f>MAX(0,ROUND(BB198*(1+'Calc base'!P199),2)-R199)</f>
        <v>0</v>
      </c>
      <c r="BC199">
        <f>MAX(0,ROUND(BC198*(1+'Calc base'!Q199),2)-S199)</f>
        <v>0</v>
      </c>
      <c r="BD199">
        <f>MAX(0,ROUND(BD198*(1+'Calc base'!R199),2)-T199)</f>
        <v>0</v>
      </c>
      <c r="BE199">
        <f>MAX(0,ROUND(BE198*(1+'Calc base'!S199),2)-U199)</f>
        <v>0</v>
      </c>
    </row>
    <row r="200">
      <c r="A200" t="n">
        <v>170</v>
      </c>
      <c r="B200">
        <f>SUMPRODUCT(ROUND($AT199:$BE199*(1+'Calc base'!$H200:$S200),2))</f>
        <v>0</v>
      </c>
      <c r="C200">
        <f>SUM(J200:U200)</f>
        <v>0</v>
      </c>
      <c r="G200">
        <f>SUM(AT200:BE200)</f>
        <v>0</v>
      </c>
      <c r="H200">
        <f>B200-G199</f>
        <v>0</v>
      </c>
      <c r="I200">
        <f>B200-G200</f>
        <v>0</v>
      </c>
      <c r="J200">
        <f>IF(AT199&lt;=0,0,IF(ROUND(AT199*(1+'Calc base'!H200),2)-MAX('Calc base'!C$12,ROUND('Calc base'!C$13*AT199,2))&lt;1,ROUND(AT199*(1+'Calc base'!H200),2),MAX('Calc base'!C$12,ROUND('Calc base'!C$13*AT199,2))))</f>
        <v>0</v>
      </c>
      <c r="K200">
        <f>IF(AU199&lt;=0,0,IF(ROUND(AU199*(1+'Calc base'!I200),2)-MAX('Calc base'!D$12,ROUND('Calc base'!D$13*AU199,2))&lt;1,ROUND(AU199*(1+'Calc base'!I200),2),MAX('Calc base'!D$12,ROUND('Calc base'!D$13*AU199,2))))</f>
        <v>0</v>
      </c>
      <c r="L200">
        <f>IF(AV199&lt;=0,0,IF(ROUND(AV199*(1+'Calc base'!J200),2)-MAX('Calc base'!E$12,ROUND('Calc base'!E$13*AV199,2))&lt;1,ROUND(AV199*(1+'Calc base'!J200),2),MAX('Calc base'!E$12,ROUND('Calc base'!E$13*AV199,2))))</f>
        <v>0</v>
      </c>
      <c r="M200">
        <f>IF(AW199&lt;=0,0,IF(ROUND(AW199*(1+'Calc base'!K200),2)-MAX('Calc base'!F$12,ROUND('Calc base'!F$13*AW199,2))&lt;1,ROUND(AW199*(1+'Calc base'!K200),2),MAX('Calc base'!F$12,ROUND('Calc base'!F$13*AW199,2))))</f>
        <v>0</v>
      </c>
      <c r="N200">
        <f>IF(AX199&lt;=0,0,IF(ROUND(AX199*(1+'Calc base'!L200),2)-MAX('Calc base'!G$12,ROUND('Calc base'!G$13*AX199,2))&lt;1,ROUND(AX199*(1+'Calc base'!L200),2),MAX('Calc base'!G$12,ROUND('Calc base'!G$13*AX199,2))))</f>
        <v>0</v>
      </c>
      <c r="O200">
        <f>IF(AY199&lt;=0,0,IF(ROUND(AY199*(1+'Calc base'!M200),2)-MAX('Calc base'!H$12,ROUND('Calc base'!H$13*AY199,2))&lt;1,ROUND(AY199*(1+'Calc base'!M200),2),MAX('Calc base'!H$12,ROUND('Calc base'!H$13*AY199,2))))</f>
        <v>0</v>
      </c>
      <c r="P200">
        <f>IF(AZ199&lt;=0,0,IF(ROUND(AZ199*(1+'Calc base'!N200),2)-MAX('Calc base'!I$12,ROUND('Calc base'!I$13*AZ199,2))&lt;1,ROUND(AZ199*(1+'Calc base'!N200),2),MAX('Calc base'!I$12,ROUND('Calc base'!I$13*AZ199,2))))</f>
        <v>0</v>
      </c>
      <c r="Q200">
        <f>IF(BA199&lt;=0,0,IF(ROUND(BA199*(1+'Calc base'!O200),2)-MAX('Calc base'!J$12,ROUND('Calc base'!J$13*BA199,2))&lt;1,ROUND(BA199*(1+'Calc base'!O200),2),MAX('Calc base'!J$12,ROUND('Calc base'!J$13*BA199,2))))</f>
        <v>0</v>
      </c>
      <c r="R200">
        <f>IF(BB199&lt;=0,0,IF(ROUND(BB199*(1+'Calc base'!P200),2)-MAX('Calc base'!K$12,ROUND('Calc base'!K$13*BB199,2))&lt;1,ROUND(BB199*(1+'Calc base'!P200),2),MAX('Calc base'!K$12,ROUND('Calc base'!K$13*BB199,2))))</f>
        <v>0</v>
      </c>
      <c r="S200">
        <f>IF(BC199&lt;=0,0,IF(ROUND(BC199*(1+'Calc base'!Q200),2)-MAX('Calc base'!L$12,ROUND('Calc base'!L$13*BC199,2))&lt;1,ROUND(BC199*(1+'Calc base'!Q200),2),MAX('Calc base'!L$12,ROUND('Calc base'!L$13*BC199,2))))</f>
        <v>0</v>
      </c>
      <c r="T200">
        <f>IF(BD199&lt;=0,0,IF(ROUND(BD199*(1+'Calc base'!R200),2)-MAX('Calc base'!M$12,ROUND('Calc base'!M$13*BD199,2))&lt;1,ROUND(BD199*(1+'Calc base'!R200),2),MAX('Calc base'!M$12,ROUND('Calc base'!M$13*BD199,2))))</f>
        <v>0</v>
      </c>
      <c r="U200">
        <f>IF(BE199&lt;=0,0,IF(ROUND(BE199*(1+'Calc base'!S200),2)-MAX('Calc base'!N$12,ROUND('Calc base'!N$13*BE199,2))&lt;1,ROUND(BE199*(1+'Calc base'!S200),2),MAX('Calc base'!N$12,ROUND('Calc base'!N$13*BE199,2))))</f>
        <v>0</v>
      </c>
      <c r="AT200">
        <f>MAX(0,ROUND(AT199*(1+'Calc base'!H200),2)-J200)</f>
        <v>0</v>
      </c>
      <c r="AU200">
        <f>MAX(0,ROUND(AU199*(1+'Calc base'!I200),2)-K200)</f>
        <v>0</v>
      </c>
      <c r="AV200">
        <f>MAX(0,ROUND(AV199*(1+'Calc base'!J200),2)-L200)</f>
        <v>0</v>
      </c>
      <c r="AW200">
        <f>MAX(0,ROUND(AW199*(1+'Calc base'!K200),2)-M200)</f>
        <v>0</v>
      </c>
      <c r="AX200">
        <f>MAX(0,ROUND(AX199*(1+'Calc base'!L200),2)-N200)</f>
        <v>0</v>
      </c>
      <c r="AY200">
        <f>MAX(0,ROUND(AY199*(1+'Calc base'!M200),2)-O200)</f>
        <v>0</v>
      </c>
      <c r="AZ200">
        <f>MAX(0,ROUND(AZ199*(1+'Calc base'!N200),2)-P200)</f>
        <v>0</v>
      </c>
      <c r="BA200">
        <f>MAX(0,ROUND(BA199*(1+'Calc base'!O200),2)-Q200)</f>
        <v>0</v>
      </c>
      <c r="BB200">
        <f>MAX(0,ROUND(BB199*(1+'Calc base'!P200),2)-R200)</f>
        <v>0</v>
      </c>
      <c r="BC200">
        <f>MAX(0,ROUND(BC199*(1+'Calc base'!Q200),2)-S200)</f>
        <v>0</v>
      </c>
      <c r="BD200">
        <f>MAX(0,ROUND(BD199*(1+'Calc base'!R200),2)-T200)</f>
        <v>0</v>
      </c>
      <c r="BE200">
        <f>MAX(0,ROUND(BE199*(1+'Calc base'!S200),2)-U200)</f>
        <v>0</v>
      </c>
    </row>
    <row r="201">
      <c r="A201" t="n">
        <v>171</v>
      </c>
      <c r="B201">
        <f>SUMPRODUCT(ROUND($AT200:$BE200*(1+'Calc base'!$H201:$S201),2))</f>
        <v>0</v>
      </c>
      <c r="C201">
        <f>SUM(J201:U201)</f>
        <v>0</v>
      </c>
      <c r="G201">
        <f>SUM(AT201:BE201)</f>
        <v>0</v>
      </c>
      <c r="H201">
        <f>B201-G200</f>
        <v>0</v>
      </c>
      <c r="I201">
        <f>B201-G201</f>
        <v>0</v>
      </c>
      <c r="J201">
        <f>IF(AT200&lt;=0,0,IF(ROUND(AT200*(1+'Calc base'!H201),2)-MAX('Calc base'!C$12,ROUND('Calc base'!C$13*AT200,2))&lt;1,ROUND(AT200*(1+'Calc base'!H201),2),MAX('Calc base'!C$12,ROUND('Calc base'!C$13*AT200,2))))</f>
        <v>0</v>
      </c>
      <c r="K201">
        <f>IF(AU200&lt;=0,0,IF(ROUND(AU200*(1+'Calc base'!I201),2)-MAX('Calc base'!D$12,ROUND('Calc base'!D$13*AU200,2))&lt;1,ROUND(AU200*(1+'Calc base'!I201),2),MAX('Calc base'!D$12,ROUND('Calc base'!D$13*AU200,2))))</f>
        <v>0</v>
      </c>
      <c r="L201">
        <f>IF(AV200&lt;=0,0,IF(ROUND(AV200*(1+'Calc base'!J201),2)-MAX('Calc base'!E$12,ROUND('Calc base'!E$13*AV200,2))&lt;1,ROUND(AV200*(1+'Calc base'!J201),2),MAX('Calc base'!E$12,ROUND('Calc base'!E$13*AV200,2))))</f>
        <v>0</v>
      </c>
      <c r="M201">
        <f>IF(AW200&lt;=0,0,IF(ROUND(AW200*(1+'Calc base'!K201),2)-MAX('Calc base'!F$12,ROUND('Calc base'!F$13*AW200,2))&lt;1,ROUND(AW200*(1+'Calc base'!K201),2),MAX('Calc base'!F$12,ROUND('Calc base'!F$13*AW200,2))))</f>
        <v>0</v>
      </c>
      <c r="N201">
        <f>IF(AX200&lt;=0,0,IF(ROUND(AX200*(1+'Calc base'!L201),2)-MAX('Calc base'!G$12,ROUND('Calc base'!G$13*AX200,2))&lt;1,ROUND(AX200*(1+'Calc base'!L201),2),MAX('Calc base'!G$12,ROUND('Calc base'!G$13*AX200,2))))</f>
        <v>0</v>
      </c>
      <c r="O201">
        <f>IF(AY200&lt;=0,0,IF(ROUND(AY200*(1+'Calc base'!M201),2)-MAX('Calc base'!H$12,ROUND('Calc base'!H$13*AY200,2))&lt;1,ROUND(AY200*(1+'Calc base'!M201),2),MAX('Calc base'!H$12,ROUND('Calc base'!H$13*AY200,2))))</f>
        <v>0</v>
      </c>
      <c r="P201">
        <f>IF(AZ200&lt;=0,0,IF(ROUND(AZ200*(1+'Calc base'!N201),2)-MAX('Calc base'!I$12,ROUND('Calc base'!I$13*AZ200,2))&lt;1,ROUND(AZ200*(1+'Calc base'!N201),2),MAX('Calc base'!I$12,ROUND('Calc base'!I$13*AZ200,2))))</f>
        <v>0</v>
      </c>
      <c r="Q201">
        <f>IF(BA200&lt;=0,0,IF(ROUND(BA200*(1+'Calc base'!O201),2)-MAX('Calc base'!J$12,ROUND('Calc base'!J$13*BA200,2))&lt;1,ROUND(BA200*(1+'Calc base'!O201),2),MAX('Calc base'!J$12,ROUND('Calc base'!J$13*BA200,2))))</f>
        <v>0</v>
      </c>
      <c r="R201">
        <f>IF(BB200&lt;=0,0,IF(ROUND(BB200*(1+'Calc base'!P201),2)-MAX('Calc base'!K$12,ROUND('Calc base'!K$13*BB200,2))&lt;1,ROUND(BB200*(1+'Calc base'!P201),2),MAX('Calc base'!K$12,ROUND('Calc base'!K$13*BB200,2))))</f>
        <v>0</v>
      </c>
      <c r="S201">
        <f>IF(BC200&lt;=0,0,IF(ROUND(BC200*(1+'Calc base'!Q201),2)-MAX('Calc base'!L$12,ROUND('Calc base'!L$13*BC200,2))&lt;1,ROUND(BC200*(1+'Calc base'!Q201),2),MAX('Calc base'!L$12,ROUND('Calc base'!L$13*BC200,2))))</f>
        <v>0</v>
      </c>
      <c r="T201">
        <f>IF(BD200&lt;=0,0,IF(ROUND(BD200*(1+'Calc base'!R201),2)-MAX('Calc base'!M$12,ROUND('Calc base'!M$13*BD200,2))&lt;1,ROUND(BD200*(1+'Calc base'!R201),2),MAX('Calc base'!M$12,ROUND('Calc base'!M$13*BD200,2))))</f>
        <v>0</v>
      </c>
      <c r="U201">
        <f>IF(BE200&lt;=0,0,IF(ROUND(BE200*(1+'Calc base'!S201),2)-MAX('Calc base'!N$12,ROUND('Calc base'!N$13*BE200,2))&lt;1,ROUND(BE200*(1+'Calc base'!S201),2),MAX('Calc base'!N$12,ROUND('Calc base'!N$13*BE200,2))))</f>
        <v>0</v>
      </c>
      <c r="AT201">
        <f>MAX(0,ROUND(AT200*(1+'Calc base'!H201),2)-J201)</f>
        <v>0</v>
      </c>
      <c r="AU201">
        <f>MAX(0,ROUND(AU200*(1+'Calc base'!I201),2)-K201)</f>
        <v>0</v>
      </c>
      <c r="AV201">
        <f>MAX(0,ROUND(AV200*(1+'Calc base'!J201),2)-L201)</f>
        <v>0</v>
      </c>
      <c r="AW201">
        <f>MAX(0,ROUND(AW200*(1+'Calc base'!K201),2)-M201)</f>
        <v>0</v>
      </c>
      <c r="AX201">
        <f>MAX(0,ROUND(AX200*(1+'Calc base'!L201),2)-N201)</f>
        <v>0</v>
      </c>
      <c r="AY201">
        <f>MAX(0,ROUND(AY200*(1+'Calc base'!M201),2)-O201)</f>
        <v>0</v>
      </c>
      <c r="AZ201">
        <f>MAX(0,ROUND(AZ200*(1+'Calc base'!N201),2)-P201)</f>
        <v>0</v>
      </c>
      <c r="BA201">
        <f>MAX(0,ROUND(BA200*(1+'Calc base'!O201),2)-Q201)</f>
        <v>0</v>
      </c>
      <c r="BB201">
        <f>MAX(0,ROUND(BB200*(1+'Calc base'!P201),2)-R201)</f>
        <v>0</v>
      </c>
      <c r="BC201">
        <f>MAX(0,ROUND(BC200*(1+'Calc base'!Q201),2)-S201)</f>
        <v>0</v>
      </c>
      <c r="BD201">
        <f>MAX(0,ROUND(BD200*(1+'Calc base'!R201),2)-T201)</f>
        <v>0</v>
      </c>
      <c r="BE201">
        <f>MAX(0,ROUND(BE200*(1+'Calc base'!S201),2)-U201)</f>
        <v>0</v>
      </c>
    </row>
    <row r="202">
      <c r="A202" t="n">
        <v>172</v>
      </c>
      <c r="B202">
        <f>SUMPRODUCT(ROUND($AT201:$BE201*(1+'Calc base'!$H202:$S202),2))</f>
        <v>0</v>
      </c>
      <c r="C202">
        <f>SUM(J202:U202)</f>
        <v>0</v>
      </c>
      <c r="G202">
        <f>SUM(AT202:BE202)</f>
        <v>0</v>
      </c>
      <c r="H202">
        <f>B202-G201</f>
        <v>0</v>
      </c>
      <c r="I202">
        <f>B202-G202</f>
        <v>0</v>
      </c>
      <c r="J202">
        <f>IF(AT201&lt;=0,0,IF(ROUND(AT201*(1+'Calc base'!H202),2)-MAX('Calc base'!C$12,ROUND('Calc base'!C$13*AT201,2))&lt;1,ROUND(AT201*(1+'Calc base'!H202),2),MAX('Calc base'!C$12,ROUND('Calc base'!C$13*AT201,2))))</f>
        <v>0</v>
      </c>
      <c r="K202">
        <f>IF(AU201&lt;=0,0,IF(ROUND(AU201*(1+'Calc base'!I202),2)-MAX('Calc base'!D$12,ROUND('Calc base'!D$13*AU201,2))&lt;1,ROUND(AU201*(1+'Calc base'!I202),2),MAX('Calc base'!D$12,ROUND('Calc base'!D$13*AU201,2))))</f>
        <v>0</v>
      </c>
      <c r="L202">
        <f>IF(AV201&lt;=0,0,IF(ROUND(AV201*(1+'Calc base'!J202),2)-MAX('Calc base'!E$12,ROUND('Calc base'!E$13*AV201,2))&lt;1,ROUND(AV201*(1+'Calc base'!J202),2),MAX('Calc base'!E$12,ROUND('Calc base'!E$13*AV201,2))))</f>
        <v>0</v>
      </c>
      <c r="M202">
        <f>IF(AW201&lt;=0,0,IF(ROUND(AW201*(1+'Calc base'!K202),2)-MAX('Calc base'!F$12,ROUND('Calc base'!F$13*AW201,2))&lt;1,ROUND(AW201*(1+'Calc base'!K202),2),MAX('Calc base'!F$12,ROUND('Calc base'!F$13*AW201,2))))</f>
        <v>0</v>
      </c>
      <c r="N202">
        <f>IF(AX201&lt;=0,0,IF(ROUND(AX201*(1+'Calc base'!L202),2)-MAX('Calc base'!G$12,ROUND('Calc base'!G$13*AX201,2))&lt;1,ROUND(AX201*(1+'Calc base'!L202),2),MAX('Calc base'!G$12,ROUND('Calc base'!G$13*AX201,2))))</f>
        <v>0</v>
      </c>
      <c r="O202">
        <f>IF(AY201&lt;=0,0,IF(ROUND(AY201*(1+'Calc base'!M202),2)-MAX('Calc base'!H$12,ROUND('Calc base'!H$13*AY201,2))&lt;1,ROUND(AY201*(1+'Calc base'!M202),2),MAX('Calc base'!H$12,ROUND('Calc base'!H$13*AY201,2))))</f>
        <v>0</v>
      </c>
      <c r="P202">
        <f>IF(AZ201&lt;=0,0,IF(ROUND(AZ201*(1+'Calc base'!N202),2)-MAX('Calc base'!I$12,ROUND('Calc base'!I$13*AZ201,2))&lt;1,ROUND(AZ201*(1+'Calc base'!N202),2),MAX('Calc base'!I$12,ROUND('Calc base'!I$13*AZ201,2))))</f>
        <v>0</v>
      </c>
      <c r="Q202">
        <f>IF(BA201&lt;=0,0,IF(ROUND(BA201*(1+'Calc base'!O202),2)-MAX('Calc base'!J$12,ROUND('Calc base'!J$13*BA201,2))&lt;1,ROUND(BA201*(1+'Calc base'!O202),2),MAX('Calc base'!J$12,ROUND('Calc base'!J$13*BA201,2))))</f>
        <v>0</v>
      </c>
      <c r="R202">
        <f>IF(BB201&lt;=0,0,IF(ROUND(BB201*(1+'Calc base'!P202),2)-MAX('Calc base'!K$12,ROUND('Calc base'!K$13*BB201,2))&lt;1,ROUND(BB201*(1+'Calc base'!P202),2),MAX('Calc base'!K$12,ROUND('Calc base'!K$13*BB201,2))))</f>
        <v>0</v>
      </c>
      <c r="S202">
        <f>IF(BC201&lt;=0,0,IF(ROUND(BC201*(1+'Calc base'!Q202),2)-MAX('Calc base'!L$12,ROUND('Calc base'!L$13*BC201,2))&lt;1,ROUND(BC201*(1+'Calc base'!Q202),2),MAX('Calc base'!L$12,ROUND('Calc base'!L$13*BC201,2))))</f>
        <v>0</v>
      </c>
      <c r="T202">
        <f>IF(BD201&lt;=0,0,IF(ROUND(BD201*(1+'Calc base'!R202),2)-MAX('Calc base'!M$12,ROUND('Calc base'!M$13*BD201,2))&lt;1,ROUND(BD201*(1+'Calc base'!R202),2),MAX('Calc base'!M$12,ROUND('Calc base'!M$13*BD201,2))))</f>
        <v>0</v>
      </c>
      <c r="U202">
        <f>IF(BE201&lt;=0,0,IF(ROUND(BE201*(1+'Calc base'!S202),2)-MAX('Calc base'!N$12,ROUND('Calc base'!N$13*BE201,2))&lt;1,ROUND(BE201*(1+'Calc base'!S202),2),MAX('Calc base'!N$12,ROUND('Calc base'!N$13*BE201,2))))</f>
        <v>0</v>
      </c>
      <c r="AT202">
        <f>MAX(0,ROUND(AT201*(1+'Calc base'!H202),2)-J202)</f>
        <v>0</v>
      </c>
      <c r="AU202">
        <f>MAX(0,ROUND(AU201*(1+'Calc base'!I202),2)-K202)</f>
        <v>0</v>
      </c>
      <c r="AV202">
        <f>MAX(0,ROUND(AV201*(1+'Calc base'!J202),2)-L202)</f>
        <v>0</v>
      </c>
      <c r="AW202">
        <f>MAX(0,ROUND(AW201*(1+'Calc base'!K202),2)-M202)</f>
        <v>0</v>
      </c>
      <c r="AX202">
        <f>MAX(0,ROUND(AX201*(1+'Calc base'!L202),2)-N202)</f>
        <v>0</v>
      </c>
      <c r="AY202">
        <f>MAX(0,ROUND(AY201*(1+'Calc base'!M202),2)-O202)</f>
        <v>0</v>
      </c>
      <c r="AZ202">
        <f>MAX(0,ROUND(AZ201*(1+'Calc base'!N202),2)-P202)</f>
        <v>0</v>
      </c>
      <c r="BA202">
        <f>MAX(0,ROUND(BA201*(1+'Calc base'!O202),2)-Q202)</f>
        <v>0</v>
      </c>
      <c r="BB202">
        <f>MAX(0,ROUND(BB201*(1+'Calc base'!P202),2)-R202)</f>
        <v>0</v>
      </c>
      <c r="BC202">
        <f>MAX(0,ROUND(BC201*(1+'Calc base'!Q202),2)-S202)</f>
        <v>0</v>
      </c>
      <c r="BD202">
        <f>MAX(0,ROUND(BD201*(1+'Calc base'!R202),2)-T202)</f>
        <v>0</v>
      </c>
      <c r="BE202">
        <f>MAX(0,ROUND(BE201*(1+'Calc base'!S202),2)-U202)</f>
        <v>0</v>
      </c>
    </row>
    <row r="203">
      <c r="A203" t="n">
        <v>173</v>
      </c>
      <c r="B203">
        <f>SUMPRODUCT(ROUND($AT202:$BE202*(1+'Calc base'!$H203:$S203),2))</f>
        <v>0</v>
      </c>
      <c r="C203">
        <f>SUM(J203:U203)</f>
        <v>0</v>
      </c>
      <c r="G203">
        <f>SUM(AT203:BE203)</f>
        <v>0</v>
      </c>
      <c r="H203">
        <f>B203-G202</f>
        <v>0</v>
      </c>
      <c r="I203">
        <f>B203-G203</f>
        <v>0</v>
      </c>
      <c r="J203">
        <f>IF(AT202&lt;=0,0,IF(ROUND(AT202*(1+'Calc base'!H203),2)-MAX('Calc base'!C$12,ROUND('Calc base'!C$13*AT202,2))&lt;1,ROUND(AT202*(1+'Calc base'!H203),2),MAX('Calc base'!C$12,ROUND('Calc base'!C$13*AT202,2))))</f>
        <v>0</v>
      </c>
      <c r="K203">
        <f>IF(AU202&lt;=0,0,IF(ROUND(AU202*(1+'Calc base'!I203),2)-MAX('Calc base'!D$12,ROUND('Calc base'!D$13*AU202,2))&lt;1,ROUND(AU202*(1+'Calc base'!I203),2),MAX('Calc base'!D$12,ROUND('Calc base'!D$13*AU202,2))))</f>
        <v>0</v>
      </c>
      <c r="L203">
        <f>IF(AV202&lt;=0,0,IF(ROUND(AV202*(1+'Calc base'!J203),2)-MAX('Calc base'!E$12,ROUND('Calc base'!E$13*AV202,2))&lt;1,ROUND(AV202*(1+'Calc base'!J203),2),MAX('Calc base'!E$12,ROUND('Calc base'!E$13*AV202,2))))</f>
        <v>0</v>
      </c>
      <c r="M203">
        <f>IF(AW202&lt;=0,0,IF(ROUND(AW202*(1+'Calc base'!K203),2)-MAX('Calc base'!F$12,ROUND('Calc base'!F$13*AW202,2))&lt;1,ROUND(AW202*(1+'Calc base'!K203),2),MAX('Calc base'!F$12,ROUND('Calc base'!F$13*AW202,2))))</f>
        <v>0</v>
      </c>
      <c r="N203">
        <f>IF(AX202&lt;=0,0,IF(ROUND(AX202*(1+'Calc base'!L203),2)-MAX('Calc base'!G$12,ROUND('Calc base'!G$13*AX202,2))&lt;1,ROUND(AX202*(1+'Calc base'!L203),2),MAX('Calc base'!G$12,ROUND('Calc base'!G$13*AX202,2))))</f>
        <v>0</v>
      </c>
      <c r="O203">
        <f>IF(AY202&lt;=0,0,IF(ROUND(AY202*(1+'Calc base'!M203),2)-MAX('Calc base'!H$12,ROUND('Calc base'!H$13*AY202,2))&lt;1,ROUND(AY202*(1+'Calc base'!M203),2),MAX('Calc base'!H$12,ROUND('Calc base'!H$13*AY202,2))))</f>
        <v>0</v>
      </c>
      <c r="P203">
        <f>IF(AZ202&lt;=0,0,IF(ROUND(AZ202*(1+'Calc base'!N203),2)-MAX('Calc base'!I$12,ROUND('Calc base'!I$13*AZ202,2))&lt;1,ROUND(AZ202*(1+'Calc base'!N203),2),MAX('Calc base'!I$12,ROUND('Calc base'!I$13*AZ202,2))))</f>
        <v>0</v>
      </c>
      <c r="Q203">
        <f>IF(BA202&lt;=0,0,IF(ROUND(BA202*(1+'Calc base'!O203),2)-MAX('Calc base'!J$12,ROUND('Calc base'!J$13*BA202,2))&lt;1,ROUND(BA202*(1+'Calc base'!O203),2),MAX('Calc base'!J$12,ROUND('Calc base'!J$13*BA202,2))))</f>
        <v>0</v>
      </c>
      <c r="R203">
        <f>IF(BB202&lt;=0,0,IF(ROUND(BB202*(1+'Calc base'!P203),2)-MAX('Calc base'!K$12,ROUND('Calc base'!K$13*BB202,2))&lt;1,ROUND(BB202*(1+'Calc base'!P203),2),MAX('Calc base'!K$12,ROUND('Calc base'!K$13*BB202,2))))</f>
        <v>0</v>
      </c>
      <c r="S203">
        <f>IF(BC202&lt;=0,0,IF(ROUND(BC202*(1+'Calc base'!Q203),2)-MAX('Calc base'!L$12,ROUND('Calc base'!L$13*BC202,2))&lt;1,ROUND(BC202*(1+'Calc base'!Q203),2),MAX('Calc base'!L$12,ROUND('Calc base'!L$13*BC202,2))))</f>
        <v>0</v>
      </c>
      <c r="T203">
        <f>IF(BD202&lt;=0,0,IF(ROUND(BD202*(1+'Calc base'!R203),2)-MAX('Calc base'!M$12,ROUND('Calc base'!M$13*BD202,2))&lt;1,ROUND(BD202*(1+'Calc base'!R203),2),MAX('Calc base'!M$12,ROUND('Calc base'!M$13*BD202,2))))</f>
        <v>0</v>
      </c>
      <c r="U203">
        <f>IF(BE202&lt;=0,0,IF(ROUND(BE202*(1+'Calc base'!S203),2)-MAX('Calc base'!N$12,ROUND('Calc base'!N$13*BE202,2))&lt;1,ROUND(BE202*(1+'Calc base'!S203),2),MAX('Calc base'!N$12,ROUND('Calc base'!N$13*BE202,2))))</f>
        <v>0</v>
      </c>
      <c r="AT203">
        <f>MAX(0,ROUND(AT202*(1+'Calc base'!H203),2)-J203)</f>
        <v>0</v>
      </c>
      <c r="AU203">
        <f>MAX(0,ROUND(AU202*(1+'Calc base'!I203),2)-K203)</f>
        <v>0</v>
      </c>
      <c r="AV203">
        <f>MAX(0,ROUND(AV202*(1+'Calc base'!J203),2)-L203)</f>
        <v>0</v>
      </c>
      <c r="AW203">
        <f>MAX(0,ROUND(AW202*(1+'Calc base'!K203),2)-M203)</f>
        <v>0</v>
      </c>
      <c r="AX203">
        <f>MAX(0,ROUND(AX202*(1+'Calc base'!L203),2)-N203)</f>
        <v>0</v>
      </c>
      <c r="AY203">
        <f>MAX(0,ROUND(AY202*(1+'Calc base'!M203),2)-O203)</f>
        <v>0</v>
      </c>
      <c r="AZ203">
        <f>MAX(0,ROUND(AZ202*(1+'Calc base'!N203),2)-P203)</f>
        <v>0</v>
      </c>
      <c r="BA203">
        <f>MAX(0,ROUND(BA202*(1+'Calc base'!O203),2)-Q203)</f>
        <v>0</v>
      </c>
      <c r="BB203">
        <f>MAX(0,ROUND(BB202*(1+'Calc base'!P203),2)-R203)</f>
        <v>0</v>
      </c>
      <c r="BC203">
        <f>MAX(0,ROUND(BC202*(1+'Calc base'!Q203),2)-S203)</f>
        <v>0</v>
      </c>
      <c r="BD203">
        <f>MAX(0,ROUND(BD202*(1+'Calc base'!R203),2)-T203)</f>
        <v>0</v>
      </c>
      <c r="BE203">
        <f>MAX(0,ROUND(BE202*(1+'Calc base'!S203),2)-U203)</f>
        <v>0</v>
      </c>
    </row>
    <row r="204">
      <c r="A204" t="n">
        <v>174</v>
      </c>
      <c r="B204">
        <f>SUMPRODUCT(ROUND($AT203:$BE203*(1+'Calc base'!$H204:$S204),2))</f>
        <v>0</v>
      </c>
      <c r="C204">
        <f>SUM(J204:U204)</f>
        <v>0</v>
      </c>
      <c r="G204">
        <f>SUM(AT204:BE204)</f>
        <v>0</v>
      </c>
      <c r="H204">
        <f>B204-G203</f>
        <v>0</v>
      </c>
      <c r="I204">
        <f>B204-G204</f>
        <v>0</v>
      </c>
      <c r="J204">
        <f>IF(AT203&lt;=0,0,IF(ROUND(AT203*(1+'Calc base'!H204),2)-MAX('Calc base'!C$12,ROUND('Calc base'!C$13*AT203,2))&lt;1,ROUND(AT203*(1+'Calc base'!H204),2),MAX('Calc base'!C$12,ROUND('Calc base'!C$13*AT203,2))))</f>
        <v>0</v>
      </c>
      <c r="K204">
        <f>IF(AU203&lt;=0,0,IF(ROUND(AU203*(1+'Calc base'!I204),2)-MAX('Calc base'!D$12,ROUND('Calc base'!D$13*AU203,2))&lt;1,ROUND(AU203*(1+'Calc base'!I204),2),MAX('Calc base'!D$12,ROUND('Calc base'!D$13*AU203,2))))</f>
        <v>0</v>
      </c>
      <c r="L204">
        <f>IF(AV203&lt;=0,0,IF(ROUND(AV203*(1+'Calc base'!J204),2)-MAX('Calc base'!E$12,ROUND('Calc base'!E$13*AV203,2))&lt;1,ROUND(AV203*(1+'Calc base'!J204),2),MAX('Calc base'!E$12,ROUND('Calc base'!E$13*AV203,2))))</f>
        <v>0</v>
      </c>
      <c r="M204">
        <f>IF(AW203&lt;=0,0,IF(ROUND(AW203*(1+'Calc base'!K204),2)-MAX('Calc base'!F$12,ROUND('Calc base'!F$13*AW203,2))&lt;1,ROUND(AW203*(1+'Calc base'!K204),2),MAX('Calc base'!F$12,ROUND('Calc base'!F$13*AW203,2))))</f>
        <v>0</v>
      </c>
      <c r="N204">
        <f>IF(AX203&lt;=0,0,IF(ROUND(AX203*(1+'Calc base'!L204),2)-MAX('Calc base'!G$12,ROUND('Calc base'!G$13*AX203,2))&lt;1,ROUND(AX203*(1+'Calc base'!L204),2),MAX('Calc base'!G$12,ROUND('Calc base'!G$13*AX203,2))))</f>
        <v>0</v>
      </c>
      <c r="O204">
        <f>IF(AY203&lt;=0,0,IF(ROUND(AY203*(1+'Calc base'!M204),2)-MAX('Calc base'!H$12,ROUND('Calc base'!H$13*AY203,2))&lt;1,ROUND(AY203*(1+'Calc base'!M204),2),MAX('Calc base'!H$12,ROUND('Calc base'!H$13*AY203,2))))</f>
        <v>0</v>
      </c>
      <c r="P204">
        <f>IF(AZ203&lt;=0,0,IF(ROUND(AZ203*(1+'Calc base'!N204),2)-MAX('Calc base'!I$12,ROUND('Calc base'!I$13*AZ203,2))&lt;1,ROUND(AZ203*(1+'Calc base'!N204),2),MAX('Calc base'!I$12,ROUND('Calc base'!I$13*AZ203,2))))</f>
        <v>0</v>
      </c>
      <c r="Q204">
        <f>IF(BA203&lt;=0,0,IF(ROUND(BA203*(1+'Calc base'!O204),2)-MAX('Calc base'!J$12,ROUND('Calc base'!J$13*BA203,2))&lt;1,ROUND(BA203*(1+'Calc base'!O204),2),MAX('Calc base'!J$12,ROUND('Calc base'!J$13*BA203,2))))</f>
        <v>0</v>
      </c>
      <c r="R204">
        <f>IF(BB203&lt;=0,0,IF(ROUND(BB203*(1+'Calc base'!P204),2)-MAX('Calc base'!K$12,ROUND('Calc base'!K$13*BB203,2))&lt;1,ROUND(BB203*(1+'Calc base'!P204),2),MAX('Calc base'!K$12,ROUND('Calc base'!K$13*BB203,2))))</f>
        <v>0</v>
      </c>
      <c r="S204">
        <f>IF(BC203&lt;=0,0,IF(ROUND(BC203*(1+'Calc base'!Q204),2)-MAX('Calc base'!L$12,ROUND('Calc base'!L$13*BC203,2))&lt;1,ROUND(BC203*(1+'Calc base'!Q204),2),MAX('Calc base'!L$12,ROUND('Calc base'!L$13*BC203,2))))</f>
        <v>0</v>
      </c>
      <c r="T204">
        <f>IF(BD203&lt;=0,0,IF(ROUND(BD203*(1+'Calc base'!R204),2)-MAX('Calc base'!M$12,ROUND('Calc base'!M$13*BD203,2))&lt;1,ROUND(BD203*(1+'Calc base'!R204),2),MAX('Calc base'!M$12,ROUND('Calc base'!M$13*BD203,2))))</f>
        <v>0</v>
      </c>
      <c r="U204">
        <f>IF(BE203&lt;=0,0,IF(ROUND(BE203*(1+'Calc base'!S204),2)-MAX('Calc base'!N$12,ROUND('Calc base'!N$13*BE203,2))&lt;1,ROUND(BE203*(1+'Calc base'!S204),2),MAX('Calc base'!N$12,ROUND('Calc base'!N$13*BE203,2))))</f>
        <v>0</v>
      </c>
      <c r="AT204">
        <f>MAX(0,ROUND(AT203*(1+'Calc base'!H204),2)-J204)</f>
        <v>0</v>
      </c>
      <c r="AU204">
        <f>MAX(0,ROUND(AU203*(1+'Calc base'!I204),2)-K204)</f>
        <v>0</v>
      </c>
      <c r="AV204">
        <f>MAX(0,ROUND(AV203*(1+'Calc base'!J204),2)-L204)</f>
        <v>0</v>
      </c>
      <c r="AW204">
        <f>MAX(0,ROUND(AW203*(1+'Calc base'!K204),2)-M204)</f>
        <v>0</v>
      </c>
      <c r="AX204">
        <f>MAX(0,ROUND(AX203*(1+'Calc base'!L204),2)-N204)</f>
        <v>0</v>
      </c>
      <c r="AY204">
        <f>MAX(0,ROUND(AY203*(1+'Calc base'!M204),2)-O204)</f>
        <v>0</v>
      </c>
      <c r="AZ204">
        <f>MAX(0,ROUND(AZ203*(1+'Calc base'!N204),2)-P204)</f>
        <v>0</v>
      </c>
      <c r="BA204">
        <f>MAX(0,ROUND(BA203*(1+'Calc base'!O204),2)-Q204)</f>
        <v>0</v>
      </c>
      <c r="BB204">
        <f>MAX(0,ROUND(BB203*(1+'Calc base'!P204),2)-R204)</f>
        <v>0</v>
      </c>
      <c r="BC204">
        <f>MAX(0,ROUND(BC203*(1+'Calc base'!Q204),2)-S204)</f>
        <v>0</v>
      </c>
      <c r="BD204">
        <f>MAX(0,ROUND(BD203*(1+'Calc base'!R204),2)-T204)</f>
        <v>0</v>
      </c>
      <c r="BE204">
        <f>MAX(0,ROUND(BE203*(1+'Calc base'!S204),2)-U204)</f>
        <v>0</v>
      </c>
    </row>
    <row r="205">
      <c r="A205" t="n">
        <v>175</v>
      </c>
      <c r="B205">
        <f>SUMPRODUCT(ROUND($AT204:$BE204*(1+'Calc base'!$H205:$S205),2))</f>
        <v>0</v>
      </c>
      <c r="C205">
        <f>SUM(J205:U205)</f>
        <v>0</v>
      </c>
      <c r="G205">
        <f>SUM(AT205:BE205)</f>
        <v>0</v>
      </c>
      <c r="H205">
        <f>B205-G204</f>
        <v>0</v>
      </c>
      <c r="I205">
        <f>B205-G205</f>
        <v>0</v>
      </c>
      <c r="J205">
        <f>IF(AT204&lt;=0,0,IF(ROUND(AT204*(1+'Calc base'!H205),2)-MAX('Calc base'!C$12,ROUND('Calc base'!C$13*AT204,2))&lt;1,ROUND(AT204*(1+'Calc base'!H205),2),MAX('Calc base'!C$12,ROUND('Calc base'!C$13*AT204,2))))</f>
        <v>0</v>
      </c>
      <c r="K205">
        <f>IF(AU204&lt;=0,0,IF(ROUND(AU204*(1+'Calc base'!I205),2)-MAX('Calc base'!D$12,ROUND('Calc base'!D$13*AU204,2))&lt;1,ROUND(AU204*(1+'Calc base'!I205),2),MAX('Calc base'!D$12,ROUND('Calc base'!D$13*AU204,2))))</f>
        <v>0</v>
      </c>
      <c r="L205">
        <f>IF(AV204&lt;=0,0,IF(ROUND(AV204*(1+'Calc base'!J205),2)-MAX('Calc base'!E$12,ROUND('Calc base'!E$13*AV204,2))&lt;1,ROUND(AV204*(1+'Calc base'!J205),2),MAX('Calc base'!E$12,ROUND('Calc base'!E$13*AV204,2))))</f>
        <v>0</v>
      </c>
      <c r="M205">
        <f>IF(AW204&lt;=0,0,IF(ROUND(AW204*(1+'Calc base'!K205),2)-MAX('Calc base'!F$12,ROUND('Calc base'!F$13*AW204,2))&lt;1,ROUND(AW204*(1+'Calc base'!K205),2),MAX('Calc base'!F$12,ROUND('Calc base'!F$13*AW204,2))))</f>
        <v>0</v>
      </c>
      <c r="N205">
        <f>IF(AX204&lt;=0,0,IF(ROUND(AX204*(1+'Calc base'!L205),2)-MAX('Calc base'!G$12,ROUND('Calc base'!G$13*AX204,2))&lt;1,ROUND(AX204*(1+'Calc base'!L205),2),MAX('Calc base'!G$12,ROUND('Calc base'!G$13*AX204,2))))</f>
        <v>0</v>
      </c>
      <c r="O205">
        <f>IF(AY204&lt;=0,0,IF(ROUND(AY204*(1+'Calc base'!M205),2)-MAX('Calc base'!H$12,ROUND('Calc base'!H$13*AY204,2))&lt;1,ROUND(AY204*(1+'Calc base'!M205),2),MAX('Calc base'!H$12,ROUND('Calc base'!H$13*AY204,2))))</f>
        <v>0</v>
      </c>
      <c r="P205">
        <f>IF(AZ204&lt;=0,0,IF(ROUND(AZ204*(1+'Calc base'!N205),2)-MAX('Calc base'!I$12,ROUND('Calc base'!I$13*AZ204,2))&lt;1,ROUND(AZ204*(1+'Calc base'!N205),2),MAX('Calc base'!I$12,ROUND('Calc base'!I$13*AZ204,2))))</f>
        <v>0</v>
      </c>
      <c r="Q205">
        <f>IF(BA204&lt;=0,0,IF(ROUND(BA204*(1+'Calc base'!O205),2)-MAX('Calc base'!J$12,ROUND('Calc base'!J$13*BA204,2))&lt;1,ROUND(BA204*(1+'Calc base'!O205),2),MAX('Calc base'!J$12,ROUND('Calc base'!J$13*BA204,2))))</f>
        <v>0</v>
      </c>
      <c r="R205">
        <f>IF(BB204&lt;=0,0,IF(ROUND(BB204*(1+'Calc base'!P205),2)-MAX('Calc base'!K$12,ROUND('Calc base'!K$13*BB204,2))&lt;1,ROUND(BB204*(1+'Calc base'!P205),2),MAX('Calc base'!K$12,ROUND('Calc base'!K$13*BB204,2))))</f>
        <v>0</v>
      </c>
      <c r="S205">
        <f>IF(BC204&lt;=0,0,IF(ROUND(BC204*(1+'Calc base'!Q205),2)-MAX('Calc base'!L$12,ROUND('Calc base'!L$13*BC204,2))&lt;1,ROUND(BC204*(1+'Calc base'!Q205),2),MAX('Calc base'!L$12,ROUND('Calc base'!L$13*BC204,2))))</f>
        <v>0</v>
      </c>
      <c r="T205">
        <f>IF(BD204&lt;=0,0,IF(ROUND(BD204*(1+'Calc base'!R205),2)-MAX('Calc base'!M$12,ROUND('Calc base'!M$13*BD204,2))&lt;1,ROUND(BD204*(1+'Calc base'!R205),2),MAX('Calc base'!M$12,ROUND('Calc base'!M$13*BD204,2))))</f>
        <v>0</v>
      </c>
      <c r="U205">
        <f>IF(BE204&lt;=0,0,IF(ROUND(BE204*(1+'Calc base'!S205),2)-MAX('Calc base'!N$12,ROUND('Calc base'!N$13*BE204,2))&lt;1,ROUND(BE204*(1+'Calc base'!S205),2),MAX('Calc base'!N$12,ROUND('Calc base'!N$13*BE204,2))))</f>
        <v>0</v>
      </c>
      <c r="AT205">
        <f>MAX(0,ROUND(AT204*(1+'Calc base'!H205),2)-J205)</f>
        <v>0</v>
      </c>
      <c r="AU205">
        <f>MAX(0,ROUND(AU204*(1+'Calc base'!I205),2)-K205)</f>
        <v>0</v>
      </c>
      <c r="AV205">
        <f>MAX(0,ROUND(AV204*(1+'Calc base'!J205),2)-L205)</f>
        <v>0</v>
      </c>
      <c r="AW205">
        <f>MAX(0,ROUND(AW204*(1+'Calc base'!K205),2)-M205)</f>
        <v>0</v>
      </c>
      <c r="AX205">
        <f>MAX(0,ROUND(AX204*(1+'Calc base'!L205),2)-N205)</f>
        <v>0</v>
      </c>
      <c r="AY205">
        <f>MAX(0,ROUND(AY204*(1+'Calc base'!M205),2)-O205)</f>
        <v>0</v>
      </c>
      <c r="AZ205">
        <f>MAX(0,ROUND(AZ204*(1+'Calc base'!N205),2)-P205)</f>
        <v>0</v>
      </c>
      <c r="BA205">
        <f>MAX(0,ROUND(BA204*(1+'Calc base'!O205),2)-Q205)</f>
        <v>0</v>
      </c>
      <c r="BB205">
        <f>MAX(0,ROUND(BB204*(1+'Calc base'!P205),2)-R205)</f>
        <v>0</v>
      </c>
      <c r="BC205">
        <f>MAX(0,ROUND(BC204*(1+'Calc base'!Q205),2)-S205)</f>
        <v>0</v>
      </c>
      <c r="BD205">
        <f>MAX(0,ROUND(BD204*(1+'Calc base'!R205),2)-T205)</f>
        <v>0</v>
      </c>
      <c r="BE205">
        <f>MAX(0,ROUND(BE204*(1+'Calc base'!S205),2)-U205)</f>
        <v>0</v>
      </c>
    </row>
    <row r="206">
      <c r="A206" t="n">
        <v>176</v>
      </c>
      <c r="B206">
        <f>SUMPRODUCT(ROUND($AT205:$BE205*(1+'Calc base'!$H206:$S206),2))</f>
        <v>0</v>
      </c>
      <c r="C206">
        <f>SUM(J206:U206)</f>
        <v>0</v>
      </c>
      <c r="G206">
        <f>SUM(AT206:BE206)</f>
        <v>0</v>
      </c>
      <c r="H206">
        <f>B206-G205</f>
        <v>0</v>
      </c>
      <c r="I206">
        <f>B206-G206</f>
        <v>0</v>
      </c>
      <c r="J206">
        <f>IF(AT205&lt;=0,0,IF(ROUND(AT205*(1+'Calc base'!H206),2)-MAX('Calc base'!C$12,ROUND('Calc base'!C$13*AT205,2))&lt;1,ROUND(AT205*(1+'Calc base'!H206),2),MAX('Calc base'!C$12,ROUND('Calc base'!C$13*AT205,2))))</f>
        <v>0</v>
      </c>
      <c r="K206">
        <f>IF(AU205&lt;=0,0,IF(ROUND(AU205*(1+'Calc base'!I206),2)-MAX('Calc base'!D$12,ROUND('Calc base'!D$13*AU205,2))&lt;1,ROUND(AU205*(1+'Calc base'!I206),2),MAX('Calc base'!D$12,ROUND('Calc base'!D$13*AU205,2))))</f>
        <v>0</v>
      </c>
      <c r="L206">
        <f>IF(AV205&lt;=0,0,IF(ROUND(AV205*(1+'Calc base'!J206),2)-MAX('Calc base'!E$12,ROUND('Calc base'!E$13*AV205,2))&lt;1,ROUND(AV205*(1+'Calc base'!J206),2),MAX('Calc base'!E$12,ROUND('Calc base'!E$13*AV205,2))))</f>
        <v>0</v>
      </c>
      <c r="M206">
        <f>IF(AW205&lt;=0,0,IF(ROUND(AW205*(1+'Calc base'!K206),2)-MAX('Calc base'!F$12,ROUND('Calc base'!F$13*AW205,2))&lt;1,ROUND(AW205*(1+'Calc base'!K206),2),MAX('Calc base'!F$12,ROUND('Calc base'!F$13*AW205,2))))</f>
        <v>0</v>
      </c>
      <c r="N206">
        <f>IF(AX205&lt;=0,0,IF(ROUND(AX205*(1+'Calc base'!L206),2)-MAX('Calc base'!G$12,ROUND('Calc base'!G$13*AX205,2))&lt;1,ROUND(AX205*(1+'Calc base'!L206),2),MAX('Calc base'!G$12,ROUND('Calc base'!G$13*AX205,2))))</f>
        <v>0</v>
      </c>
      <c r="O206">
        <f>IF(AY205&lt;=0,0,IF(ROUND(AY205*(1+'Calc base'!M206),2)-MAX('Calc base'!H$12,ROUND('Calc base'!H$13*AY205,2))&lt;1,ROUND(AY205*(1+'Calc base'!M206),2),MAX('Calc base'!H$12,ROUND('Calc base'!H$13*AY205,2))))</f>
        <v>0</v>
      </c>
      <c r="P206">
        <f>IF(AZ205&lt;=0,0,IF(ROUND(AZ205*(1+'Calc base'!N206),2)-MAX('Calc base'!I$12,ROUND('Calc base'!I$13*AZ205,2))&lt;1,ROUND(AZ205*(1+'Calc base'!N206),2),MAX('Calc base'!I$12,ROUND('Calc base'!I$13*AZ205,2))))</f>
        <v>0</v>
      </c>
      <c r="Q206">
        <f>IF(BA205&lt;=0,0,IF(ROUND(BA205*(1+'Calc base'!O206),2)-MAX('Calc base'!J$12,ROUND('Calc base'!J$13*BA205,2))&lt;1,ROUND(BA205*(1+'Calc base'!O206),2),MAX('Calc base'!J$12,ROUND('Calc base'!J$13*BA205,2))))</f>
        <v>0</v>
      </c>
      <c r="R206">
        <f>IF(BB205&lt;=0,0,IF(ROUND(BB205*(1+'Calc base'!P206),2)-MAX('Calc base'!K$12,ROUND('Calc base'!K$13*BB205,2))&lt;1,ROUND(BB205*(1+'Calc base'!P206),2),MAX('Calc base'!K$12,ROUND('Calc base'!K$13*BB205,2))))</f>
        <v>0</v>
      </c>
      <c r="S206">
        <f>IF(BC205&lt;=0,0,IF(ROUND(BC205*(1+'Calc base'!Q206),2)-MAX('Calc base'!L$12,ROUND('Calc base'!L$13*BC205,2))&lt;1,ROUND(BC205*(1+'Calc base'!Q206),2),MAX('Calc base'!L$12,ROUND('Calc base'!L$13*BC205,2))))</f>
        <v>0</v>
      </c>
      <c r="T206">
        <f>IF(BD205&lt;=0,0,IF(ROUND(BD205*(1+'Calc base'!R206),2)-MAX('Calc base'!M$12,ROUND('Calc base'!M$13*BD205,2))&lt;1,ROUND(BD205*(1+'Calc base'!R206),2),MAX('Calc base'!M$12,ROUND('Calc base'!M$13*BD205,2))))</f>
        <v>0</v>
      </c>
      <c r="U206">
        <f>IF(BE205&lt;=0,0,IF(ROUND(BE205*(1+'Calc base'!S206),2)-MAX('Calc base'!N$12,ROUND('Calc base'!N$13*BE205,2))&lt;1,ROUND(BE205*(1+'Calc base'!S206),2),MAX('Calc base'!N$12,ROUND('Calc base'!N$13*BE205,2))))</f>
        <v>0</v>
      </c>
      <c r="AT206">
        <f>MAX(0,ROUND(AT205*(1+'Calc base'!H206),2)-J206)</f>
        <v>0</v>
      </c>
      <c r="AU206">
        <f>MAX(0,ROUND(AU205*(1+'Calc base'!I206),2)-K206)</f>
        <v>0</v>
      </c>
      <c r="AV206">
        <f>MAX(0,ROUND(AV205*(1+'Calc base'!J206),2)-L206)</f>
        <v>0</v>
      </c>
      <c r="AW206">
        <f>MAX(0,ROUND(AW205*(1+'Calc base'!K206),2)-M206)</f>
        <v>0</v>
      </c>
      <c r="AX206">
        <f>MAX(0,ROUND(AX205*(1+'Calc base'!L206),2)-N206)</f>
        <v>0</v>
      </c>
      <c r="AY206">
        <f>MAX(0,ROUND(AY205*(1+'Calc base'!M206),2)-O206)</f>
        <v>0</v>
      </c>
      <c r="AZ206">
        <f>MAX(0,ROUND(AZ205*(1+'Calc base'!N206),2)-P206)</f>
        <v>0</v>
      </c>
      <c r="BA206">
        <f>MAX(0,ROUND(BA205*(1+'Calc base'!O206),2)-Q206)</f>
        <v>0</v>
      </c>
      <c r="BB206">
        <f>MAX(0,ROUND(BB205*(1+'Calc base'!P206),2)-R206)</f>
        <v>0</v>
      </c>
      <c r="BC206">
        <f>MAX(0,ROUND(BC205*(1+'Calc base'!Q206),2)-S206)</f>
        <v>0</v>
      </c>
      <c r="BD206">
        <f>MAX(0,ROUND(BD205*(1+'Calc base'!R206),2)-T206)</f>
        <v>0</v>
      </c>
      <c r="BE206">
        <f>MAX(0,ROUND(BE205*(1+'Calc base'!S206),2)-U206)</f>
        <v>0</v>
      </c>
    </row>
    <row r="207">
      <c r="A207" t="n">
        <v>177</v>
      </c>
      <c r="B207">
        <f>SUMPRODUCT(ROUND($AT206:$BE206*(1+'Calc base'!$H207:$S207),2))</f>
        <v>0</v>
      </c>
      <c r="C207">
        <f>SUM(J207:U207)</f>
        <v>0</v>
      </c>
      <c r="G207">
        <f>SUM(AT207:BE207)</f>
        <v>0</v>
      </c>
      <c r="H207">
        <f>B207-G206</f>
        <v>0</v>
      </c>
      <c r="I207">
        <f>B207-G207</f>
        <v>0</v>
      </c>
      <c r="J207">
        <f>IF(AT206&lt;=0,0,IF(ROUND(AT206*(1+'Calc base'!H207),2)-MAX('Calc base'!C$12,ROUND('Calc base'!C$13*AT206,2))&lt;1,ROUND(AT206*(1+'Calc base'!H207),2),MAX('Calc base'!C$12,ROUND('Calc base'!C$13*AT206,2))))</f>
        <v>0</v>
      </c>
      <c r="K207">
        <f>IF(AU206&lt;=0,0,IF(ROUND(AU206*(1+'Calc base'!I207),2)-MAX('Calc base'!D$12,ROUND('Calc base'!D$13*AU206,2))&lt;1,ROUND(AU206*(1+'Calc base'!I207),2),MAX('Calc base'!D$12,ROUND('Calc base'!D$13*AU206,2))))</f>
        <v>0</v>
      </c>
      <c r="L207">
        <f>IF(AV206&lt;=0,0,IF(ROUND(AV206*(1+'Calc base'!J207),2)-MAX('Calc base'!E$12,ROUND('Calc base'!E$13*AV206,2))&lt;1,ROUND(AV206*(1+'Calc base'!J207),2),MAX('Calc base'!E$12,ROUND('Calc base'!E$13*AV206,2))))</f>
        <v>0</v>
      </c>
      <c r="M207">
        <f>IF(AW206&lt;=0,0,IF(ROUND(AW206*(1+'Calc base'!K207),2)-MAX('Calc base'!F$12,ROUND('Calc base'!F$13*AW206,2))&lt;1,ROUND(AW206*(1+'Calc base'!K207),2),MAX('Calc base'!F$12,ROUND('Calc base'!F$13*AW206,2))))</f>
        <v>0</v>
      </c>
      <c r="N207">
        <f>IF(AX206&lt;=0,0,IF(ROUND(AX206*(1+'Calc base'!L207),2)-MAX('Calc base'!G$12,ROUND('Calc base'!G$13*AX206,2))&lt;1,ROUND(AX206*(1+'Calc base'!L207),2),MAX('Calc base'!G$12,ROUND('Calc base'!G$13*AX206,2))))</f>
        <v>0</v>
      </c>
      <c r="O207">
        <f>IF(AY206&lt;=0,0,IF(ROUND(AY206*(1+'Calc base'!M207),2)-MAX('Calc base'!H$12,ROUND('Calc base'!H$13*AY206,2))&lt;1,ROUND(AY206*(1+'Calc base'!M207),2),MAX('Calc base'!H$12,ROUND('Calc base'!H$13*AY206,2))))</f>
        <v>0</v>
      </c>
      <c r="P207">
        <f>IF(AZ206&lt;=0,0,IF(ROUND(AZ206*(1+'Calc base'!N207),2)-MAX('Calc base'!I$12,ROUND('Calc base'!I$13*AZ206,2))&lt;1,ROUND(AZ206*(1+'Calc base'!N207),2),MAX('Calc base'!I$12,ROUND('Calc base'!I$13*AZ206,2))))</f>
        <v>0</v>
      </c>
      <c r="Q207">
        <f>IF(BA206&lt;=0,0,IF(ROUND(BA206*(1+'Calc base'!O207),2)-MAX('Calc base'!J$12,ROUND('Calc base'!J$13*BA206,2))&lt;1,ROUND(BA206*(1+'Calc base'!O207),2),MAX('Calc base'!J$12,ROUND('Calc base'!J$13*BA206,2))))</f>
        <v>0</v>
      </c>
      <c r="R207">
        <f>IF(BB206&lt;=0,0,IF(ROUND(BB206*(1+'Calc base'!P207),2)-MAX('Calc base'!K$12,ROUND('Calc base'!K$13*BB206,2))&lt;1,ROUND(BB206*(1+'Calc base'!P207),2),MAX('Calc base'!K$12,ROUND('Calc base'!K$13*BB206,2))))</f>
        <v>0</v>
      </c>
      <c r="S207">
        <f>IF(BC206&lt;=0,0,IF(ROUND(BC206*(1+'Calc base'!Q207),2)-MAX('Calc base'!L$12,ROUND('Calc base'!L$13*BC206,2))&lt;1,ROUND(BC206*(1+'Calc base'!Q207),2),MAX('Calc base'!L$12,ROUND('Calc base'!L$13*BC206,2))))</f>
        <v>0</v>
      </c>
      <c r="T207">
        <f>IF(BD206&lt;=0,0,IF(ROUND(BD206*(1+'Calc base'!R207),2)-MAX('Calc base'!M$12,ROUND('Calc base'!M$13*BD206,2))&lt;1,ROUND(BD206*(1+'Calc base'!R207),2),MAX('Calc base'!M$12,ROUND('Calc base'!M$13*BD206,2))))</f>
        <v>0</v>
      </c>
      <c r="U207">
        <f>IF(BE206&lt;=0,0,IF(ROUND(BE206*(1+'Calc base'!S207),2)-MAX('Calc base'!N$12,ROUND('Calc base'!N$13*BE206,2))&lt;1,ROUND(BE206*(1+'Calc base'!S207),2),MAX('Calc base'!N$12,ROUND('Calc base'!N$13*BE206,2))))</f>
        <v>0</v>
      </c>
      <c r="AT207">
        <f>MAX(0,ROUND(AT206*(1+'Calc base'!H207),2)-J207)</f>
        <v>0</v>
      </c>
      <c r="AU207">
        <f>MAX(0,ROUND(AU206*(1+'Calc base'!I207),2)-K207)</f>
        <v>0</v>
      </c>
      <c r="AV207">
        <f>MAX(0,ROUND(AV206*(1+'Calc base'!J207),2)-L207)</f>
        <v>0</v>
      </c>
      <c r="AW207">
        <f>MAX(0,ROUND(AW206*(1+'Calc base'!K207),2)-M207)</f>
        <v>0</v>
      </c>
      <c r="AX207">
        <f>MAX(0,ROUND(AX206*(1+'Calc base'!L207),2)-N207)</f>
        <v>0</v>
      </c>
      <c r="AY207">
        <f>MAX(0,ROUND(AY206*(1+'Calc base'!M207),2)-O207)</f>
        <v>0</v>
      </c>
      <c r="AZ207">
        <f>MAX(0,ROUND(AZ206*(1+'Calc base'!N207),2)-P207)</f>
        <v>0</v>
      </c>
      <c r="BA207">
        <f>MAX(0,ROUND(BA206*(1+'Calc base'!O207),2)-Q207)</f>
        <v>0</v>
      </c>
      <c r="BB207">
        <f>MAX(0,ROUND(BB206*(1+'Calc base'!P207),2)-R207)</f>
        <v>0</v>
      </c>
      <c r="BC207">
        <f>MAX(0,ROUND(BC206*(1+'Calc base'!Q207),2)-S207)</f>
        <v>0</v>
      </c>
      <c r="BD207">
        <f>MAX(0,ROUND(BD206*(1+'Calc base'!R207),2)-T207)</f>
        <v>0</v>
      </c>
      <c r="BE207">
        <f>MAX(0,ROUND(BE206*(1+'Calc base'!S207),2)-U207)</f>
        <v>0</v>
      </c>
    </row>
    <row r="208">
      <c r="A208" t="n">
        <v>178</v>
      </c>
      <c r="B208">
        <f>SUMPRODUCT(ROUND($AT207:$BE207*(1+'Calc base'!$H208:$S208),2))</f>
        <v>0</v>
      </c>
      <c r="C208">
        <f>SUM(J208:U208)</f>
        <v>0</v>
      </c>
      <c r="G208">
        <f>SUM(AT208:BE208)</f>
        <v>0</v>
      </c>
      <c r="H208">
        <f>B208-G207</f>
        <v>0</v>
      </c>
      <c r="I208">
        <f>B208-G208</f>
        <v>0</v>
      </c>
      <c r="J208">
        <f>IF(AT207&lt;=0,0,IF(ROUND(AT207*(1+'Calc base'!H208),2)-MAX('Calc base'!C$12,ROUND('Calc base'!C$13*AT207,2))&lt;1,ROUND(AT207*(1+'Calc base'!H208),2),MAX('Calc base'!C$12,ROUND('Calc base'!C$13*AT207,2))))</f>
        <v>0</v>
      </c>
      <c r="K208">
        <f>IF(AU207&lt;=0,0,IF(ROUND(AU207*(1+'Calc base'!I208),2)-MAX('Calc base'!D$12,ROUND('Calc base'!D$13*AU207,2))&lt;1,ROUND(AU207*(1+'Calc base'!I208),2),MAX('Calc base'!D$12,ROUND('Calc base'!D$13*AU207,2))))</f>
        <v>0</v>
      </c>
      <c r="L208">
        <f>IF(AV207&lt;=0,0,IF(ROUND(AV207*(1+'Calc base'!J208),2)-MAX('Calc base'!E$12,ROUND('Calc base'!E$13*AV207,2))&lt;1,ROUND(AV207*(1+'Calc base'!J208),2),MAX('Calc base'!E$12,ROUND('Calc base'!E$13*AV207,2))))</f>
        <v>0</v>
      </c>
      <c r="M208">
        <f>IF(AW207&lt;=0,0,IF(ROUND(AW207*(1+'Calc base'!K208),2)-MAX('Calc base'!F$12,ROUND('Calc base'!F$13*AW207,2))&lt;1,ROUND(AW207*(1+'Calc base'!K208),2),MAX('Calc base'!F$12,ROUND('Calc base'!F$13*AW207,2))))</f>
        <v>0</v>
      </c>
      <c r="N208">
        <f>IF(AX207&lt;=0,0,IF(ROUND(AX207*(1+'Calc base'!L208),2)-MAX('Calc base'!G$12,ROUND('Calc base'!G$13*AX207,2))&lt;1,ROUND(AX207*(1+'Calc base'!L208),2),MAX('Calc base'!G$12,ROUND('Calc base'!G$13*AX207,2))))</f>
        <v>0</v>
      </c>
      <c r="O208">
        <f>IF(AY207&lt;=0,0,IF(ROUND(AY207*(1+'Calc base'!M208),2)-MAX('Calc base'!H$12,ROUND('Calc base'!H$13*AY207,2))&lt;1,ROUND(AY207*(1+'Calc base'!M208),2),MAX('Calc base'!H$12,ROUND('Calc base'!H$13*AY207,2))))</f>
        <v>0</v>
      </c>
      <c r="P208">
        <f>IF(AZ207&lt;=0,0,IF(ROUND(AZ207*(1+'Calc base'!N208),2)-MAX('Calc base'!I$12,ROUND('Calc base'!I$13*AZ207,2))&lt;1,ROUND(AZ207*(1+'Calc base'!N208),2),MAX('Calc base'!I$12,ROUND('Calc base'!I$13*AZ207,2))))</f>
        <v>0</v>
      </c>
      <c r="Q208">
        <f>IF(BA207&lt;=0,0,IF(ROUND(BA207*(1+'Calc base'!O208),2)-MAX('Calc base'!J$12,ROUND('Calc base'!J$13*BA207,2))&lt;1,ROUND(BA207*(1+'Calc base'!O208),2),MAX('Calc base'!J$12,ROUND('Calc base'!J$13*BA207,2))))</f>
        <v>0</v>
      </c>
      <c r="R208">
        <f>IF(BB207&lt;=0,0,IF(ROUND(BB207*(1+'Calc base'!P208),2)-MAX('Calc base'!K$12,ROUND('Calc base'!K$13*BB207,2))&lt;1,ROUND(BB207*(1+'Calc base'!P208),2),MAX('Calc base'!K$12,ROUND('Calc base'!K$13*BB207,2))))</f>
        <v>0</v>
      </c>
      <c r="S208">
        <f>IF(BC207&lt;=0,0,IF(ROUND(BC207*(1+'Calc base'!Q208),2)-MAX('Calc base'!L$12,ROUND('Calc base'!L$13*BC207,2))&lt;1,ROUND(BC207*(1+'Calc base'!Q208),2),MAX('Calc base'!L$12,ROUND('Calc base'!L$13*BC207,2))))</f>
        <v>0</v>
      </c>
      <c r="T208">
        <f>IF(BD207&lt;=0,0,IF(ROUND(BD207*(1+'Calc base'!R208),2)-MAX('Calc base'!M$12,ROUND('Calc base'!M$13*BD207,2))&lt;1,ROUND(BD207*(1+'Calc base'!R208),2),MAX('Calc base'!M$12,ROUND('Calc base'!M$13*BD207,2))))</f>
        <v>0</v>
      </c>
      <c r="U208">
        <f>IF(BE207&lt;=0,0,IF(ROUND(BE207*(1+'Calc base'!S208),2)-MAX('Calc base'!N$12,ROUND('Calc base'!N$13*BE207,2))&lt;1,ROUND(BE207*(1+'Calc base'!S208),2),MAX('Calc base'!N$12,ROUND('Calc base'!N$13*BE207,2))))</f>
        <v>0</v>
      </c>
      <c r="AT208">
        <f>MAX(0,ROUND(AT207*(1+'Calc base'!H208),2)-J208)</f>
        <v>0</v>
      </c>
      <c r="AU208">
        <f>MAX(0,ROUND(AU207*(1+'Calc base'!I208),2)-K208)</f>
        <v>0</v>
      </c>
      <c r="AV208">
        <f>MAX(0,ROUND(AV207*(1+'Calc base'!J208),2)-L208)</f>
        <v>0</v>
      </c>
      <c r="AW208">
        <f>MAX(0,ROUND(AW207*(1+'Calc base'!K208),2)-M208)</f>
        <v>0</v>
      </c>
      <c r="AX208">
        <f>MAX(0,ROUND(AX207*(1+'Calc base'!L208),2)-N208)</f>
        <v>0</v>
      </c>
      <c r="AY208">
        <f>MAX(0,ROUND(AY207*(1+'Calc base'!M208),2)-O208)</f>
        <v>0</v>
      </c>
      <c r="AZ208">
        <f>MAX(0,ROUND(AZ207*(1+'Calc base'!N208),2)-P208)</f>
        <v>0</v>
      </c>
      <c r="BA208">
        <f>MAX(0,ROUND(BA207*(1+'Calc base'!O208),2)-Q208)</f>
        <v>0</v>
      </c>
      <c r="BB208">
        <f>MAX(0,ROUND(BB207*(1+'Calc base'!P208),2)-R208)</f>
        <v>0</v>
      </c>
      <c r="BC208">
        <f>MAX(0,ROUND(BC207*(1+'Calc base'!Q208),2)-S208)</f>
        <v>0</v>
      </c>
      <c r="BD208">
        <f>MAX(0,ROUND(BD207*(1+'Calc base'!R208),2)-T208)</f>
        <v>0</v>
      </c>
      <c r="BE208">
        <f>MAX(0,ROUND(BE207*(1+'Calc base'!S208),2)-U208)</f>
        <v>0</v>
      </c>
    </row>
    <row r="209">
      <c r="A209" t="n">
        <v>179</v>
      </c>
      <c r="B209">
        <f>SUMPRODUCT(ROUND($AT208:$BE208*(1+'Calc base'!$H209:$S209),2))</f>
        <v>0</v>
      </c>
      <c r="C209">
        <f>SUM(J209:U209)</f>
        <v>0</v>
      </c>
      <c r="G209">
        <f>SUM(AT209:BE209)</f>
        <v>0</v>
      </c>
      <c r="H209">
        <f>B209-G208</f>
        <v>0</v>
      </c>
      <c r="I209">
        <f>B209-G209</f>
        <v>0</v>
      </c>
      <c r="J209">
        <f>IF(AT208&lt;=0,0,IF(ROUND(AT208*(1+'Calc base'!H209),2)-MAX('Calc base'!C$12,ROUND('Calc base'!C$13*AT208,2))&lt;1,ROUND(AT208*(1+'Calc base'!H209),2),MAX('Calc base'!C$12,ROUND('Calc base'!C$13*AT208,2))))</f>
        <v>0</v>
      </c>
      <c r="K209">
        <f>IF(AU208&lt;=0,0,IF(ROUND(AU208*(1+'Calc base'!I209),2)-MAX('Calc base'!D$12,ROUND('Calc base'!D$13*AU208,2))&lt;1,ROUND(AU208*(1+'Calc base'!I209),2),MAX('Calc base'!D$12,ROUND('Calc base'!D$13*AU208,2))))</f>
        <v>0</v>
      </c>
      <c r="L209">
        <f>IF(AV208&lt;=0,0,IF(ROUND(AV208*(1+'Calc base'!J209),2)-MAX('Calc base'!E$12,ROUND('Calc base'!E$13*AV208,2))&lt;1,ROUND(AV208*(1+'Calc base'!J209),2),MAX('Calc base'!E$12,ROUND('Calc base'!E$13*AV208,2))))</f>
        <v>0</v>
      </c>
      <c r="M209">
        <f>IF(AW208&lt;=0,0,IF(ROUND(AW208*(1+'Calc base'!K209),2)-MAX('Calc base'!F$12,ROUND('Calc base'!F$13*AW208,2))&lt;1,ROUND(AW208*(1+'Calc base'!K209),2),MAX('Calc base'!F$12,ROUND('Calc base'!F$13*AW208,2))))</f>
        <v>0</v>
      </c>
      <c r="N209">
        <f>IF(AX208&lt;=0,0,IF(ROUND(AX208*(1+'Calc base'!L209),2)-MAX('Calc base'!G$12,ROUND('Calc base'!G$13*AX208,2))&lt;1,ROUND(AX208*(1+'Calc base'!L209),2),MAX('Calc base'!G$12,ROUND('Calc base'!G$13*AX208,2))))</f>
        <v>0</v>
      </c>
      <c r="O209">
        <f>IF(AY208&lt;=0,0,IF(ROUND(AY208*(1+'Calc base'!M209),2)-MAX('Calc base'!H$12,ROUND('Calc base'!H$13*AY208,2))&lt;1,ROUND(AY208*(1+'Calc base'!M209),2),MAX('Calc base'!H$12,ROUND('Calc base'!H$13*AY208,2))))</f>
        <v>0</v>
      </c>
      <c r="P209">
        <f>IF(AZ208&lt;=0,0,IF(ROUND(AZ208*(1+'Calc base'!N209),2)-MAX('Calc base'!I$12,ROUND('Calc base'!I$13*AZ208,2))&lt;1,ROUND(AZ208*(1+'Calc base'!N209),2),MAX('Calc base'!I$12,ROUND('Calc base'!I$13*AZ208,2))))</f>
        <v>0</v>
      </c>
      <c r="Q209">
        <f>IF(BA208&lt;=0,0,IF(ROUND(BA208*(1+'Calc base'!O209),2)-MAX('Calc base'!J$12,ROUND('Calc base'!J$13*BA208,2))&lt;1,ROUND(BA208*(1+'Calc base'!O209),2),MAX('Calc base'!J$12,ROUND('Calc base'!J$13*BA208,2))))</f>
        <v>0</v>
      </c>
      <c r="R209">
        <f>IF(BB208&lt;=0,0,IF(ROUND(BB208*(1+'Calc base'!P209),2)-MAX('Calc base'!K$12,ROUND('Calc base'!K$13*BB208,2))&lt;1,ROUND(BB208*(1+'Calc base'!P209),2),MAX('Calc base'!K$12,ROUND('Calc base'!K$13*BB208,2))))</f>
        <v>0</v>
      </c>
      <c r="S209">
        <f>IF(BC208&lt;=0,0,IF(ROUND(BC208*(1+'Calc base'!Q209),2)-MAX('Calc base'!L$12,ROUND('Calc base'!L$13*BC208,2))&lt;1,ROUND(BC208*(1+'Calc base'!Q209),2),MAX('Calc base'!L$12,ROUND('Calc base'!L$13*BC208,2))))</f>
        <v>0</v>
      </c>
      <c r="T209">
        <f>IF(BD208&lt;=0,0,IF(ROUND(BD208*(1+'Calc base'!R209),2)-MAX('Calc base'!M$12,ROUND('Calc base'!M$13*BD208,2))&lt;1,ROUND(BD208*(1+'Calc base'!R209),2),MAX('Calc base'!M$12,ROUND('Calc base'!M$13*BD208,2))))</f>
        <v>0</v>
      </c>
      <c r="U209">
        <f>IF(BE208&lt;=0,0,IF(ROUND(BE208*(1+'Calc base'!S209),2)-MAX('Calc base'!N$12,ROUND('Calc base'!N$13*BE208,2))&lt;1,ROUND(BE208*(1+'Calc base'!S209),2),MAX('Calc base'!N$12,ROUND('Calc base'!N$13*BE208,2))))</f>
        <v>0</v>
      </c>
      <c r="AT209">
        <f>MAX(0,ROUND(AT208*(1+'Calc base'!H209),2)-J209)</f>
        <v>0</v>
      </c>
      <c r="AU209">
        <f>MAX(0,ROUND(AU208*(1+'Calc base'!I209),2)-K209)</f>
        <v>0</v>
      </c>
      <c r="AV209">
        <f>MAX(0,ROUND(AV208*(1+'Calc base'!J209),2)-L209)</f>
        <v>0</v>
      </c>
      <c r="AW209">
        <f>MAX(0,ROUND(AW208*(1+'Calc base'!K209),2)-M209)</f>
        <v>0</v>
      </c>
      <c r="AX209">
        <f>MAX(0,ROUND(AX208*(1+'Calc base'!L209),2)-N209)</f>
        <v>0</v>
      </c>
      <c r="AY209">
        <f>MAX(0,ROUND(AY208*(1+'Calc base'!M209),2)-O209)</f>
        <v>0</v>
      </c>
      <c r="AZ209">
        <f>MAX(0,ROUND(AZ208*(1+'Calc base'!N209),2)-P209)</f>
        <v>0</v>
      </c>
      <c r="BA209">
        <f>MAX(0,ROUND(BA208*(1+'Calc base'!O209),2)-Q209)</f>
        <v>0</v>
      </c>
      <c r="BB209">
        <f>MAX(0,ROUND(BB208*(1+'Calc base'!P209),2)-R209)</f>
        <v>0</v>
      </c>
      <c r="BC209">
        <f>MAX(0,ROUND(BC208*(1+'Calc base'!Q209),2)-S209)</f>
        <v>0</v>
      </c>
      <c r="BD209">
        <f>MAX(0,ROUND(BD208*(1+'Calc base'!R209),2)-T209)</f>
        <v>0</v>
      </c>
      <c r="BE209">
        <f>MAX(0,ROUND(BE208*(1+'Calc base'!S209),2)-U209)</f>
        <v>0</v>
      </c>
    </row>
    <row r="210">
      <c r="A210" t="n">
        <v>180</v>
      </c>
      <c r="B210">
        <f>SUMPRODUCT(ROUND($AT209:$BE209*(1+'Calc base'!$H210:$S210),2))</f>
        <v>0</v>
      </c>
      <c r="C210">
        <f>SUM(J210:U210)</f>
        <v>0</v>
      </c>
      <c r="G210">
        <f>SUM(AT210:BE210)</f>
        <v>0</v>
      </c>
      <c r="H210">
        <f>B210-G209</f>
        <v>0</v>
      </c>
      <c r="I210">
        <f>B210-G210</f>
        <v>0</v>
      </c>
      <c r="J210">
        <f>IF(AT209&lt;=0,0,IF(ROUND(AT209*(1+'Calc base'!H210),2)-MAX('Calc base'!C$12,ROUND('Calc base'!C$13*AT209,2))&lt;1,ROUND(AT209*(1+'Calc base'!H210),2),MAX('Calc base'!C$12,ROUND('Calc base'!C$13*AT209,2))))</f>
        <v>0</v>
      </c>
      <c r="K210">
        <f>IF(AU209&lt;=0,0,IF(ROUND(AU209*(1+'Calc base'!I210),2)-MAX('Calc base'!D$12,ROUND('Calc base'!D$13*AU209,2))&lt;1,ROUND(AU209*(1+'Calc base'!I210),2),MAX('Calc base'!D$12,ROUND('Calc base'!D$13*AU209,2))))</f>
        <v>0</v>
      </c>
      <c r="L210">
        <f>IF(AV209&lt;=0,0,IF(ROUND(AV209*(1+'Calc base'!J210),2)-MAX('Calc base'!E$12,ROUND('Calc base'!E$13*AV209,2))&lt;1,ROUND(AV209*(1+'Calc base'!J210),2),MAX('Calc base'!E$12,ROUND('Calc base'!E$13*AV209,2))))</f>
        <v>0</v>
      </c>
      <c r="M210">
        <f>IF(AW209&lt;=0,0,IF(ROUND(AW209*(1+'Calc base'!K210),2)-MAX('Calc base'!F$12,ROUND('Calc base'!F$13*AW209,2))&lt;1,ROUND(AW209*(1+'Calc base'!K210),2),MAX('Calc base'!F$12,ROUND('Calc base'!F$13*AW209,2))))</f>
        <v>0</v>
      </c>
      <c r="N210">
        <f>IF(AX209&lt;=0,0,IF(ROUND(AX209*(1+'Calc base'!L210),2)-MAX('Calc base'!G$12,ROUND('Calc base'!G$13*AX209,2))&lt;1,ROUND(AX209*(1+'Calc base'!L210),2),MAX('Calc base'!G$12,ROUND('Calc base'!G$13*AX209,2))))</f>
        <v>0</v>
      </c>
      <c r="O210">
        <f>IF(AY209&lt;=0,0,IF(ROUND(AY209*(1+'Calc base'!M210),2)-MAX('Calc base'!H$12,ROUND('Calc base'!H$13*AY209,2))&lt;1,ROUND(AY209*(1+'Calc base'!M210),2),MAX('Calc base'!H$12,ROUND('Calc base'!H$13*AY209,2))))</f>
        <v>0</v>
      </c>
      <c r="P210">
        <f>IF(AZ209&lt;=0,0,IF(ROUND(AZ209*(1+'Calc base'!N210),2)-MAX('Calc base'!I$12,ROUND('Calc base'!I$13*AZ209,2))&lt;1,ROUND(AZ209*(1+'Calc base'!N210),2),MAX('Calc base'!I$12,ROUND('Calc base'!I$13*AZ209,2))))</f>
        <v>0</v>
      </c>
      <c r="Q210">
        <f>IF(BA209&lt;=0,0,IF(ROUND(BA209*(1+'Calc base'!O210),2)-MAX('Calc base'!J$12,ROUND('Calc base'!J$13*BA209,2))&lt;1,ROUND(BA209*(1+'Calc base'!O210),2),MAX('Calc base'!J$12,ROUND('Calc base'!J$13*BA209,2))))</f>
        <v>0</v>
      </c>
      <c r="R210">
        <f>IF(BB209&lt;=0,0,IF(ROUND(BB209*(1+'Calc base'!P210),2)-MAX('Calc base'!K$12,ROUND('Calc base'!K$13*BB209,2))&lt;1,ROUND(BB209*(1+'Calc base'!P210),2),MAX('Calc base'!K$12,ROUND('Calc base'!K$13*BB209,2))))</f>
        <v>0</v>
      </c>
      <c r="S210">
        <f>IF(BC209&lt;=0,0,IF(ROUND(BC209*(1+'Calc base'!Q210),2)-MAX('Calc base'!L$12,ROUND('Calc base'!L$13*BC209,2))&lt;1,ROUND(BC209*(1+'Calc base'!Q210),2),MAX('Calc base'!L$12,ROUND('Calc base'!L$13*BC209,2))))</f>
        <v>0</v>
      </c>
      <c r="T210">
        <f>IF(BD209&lt;=0,0,IF(ROUND(BD209*(1+'Calc base'!R210),2)-MAX('Calc base'!M$12,ROUND('Calc base'!M$13*BD209,2))&lt;1,ROUND(BD209*(1+'Calc base'!R210),2),MAX('Calc base'!M$12,ROUND('Calc base'!M$13*BD209,2))))</f>
        <v>0</v>
      </c>
      <c r="U210">
        <f>IF(BE209&lt;=0,0,IF(ROUND(BE209*(1+'Calc base'!S210),2)-MAX('Calc base'!N$12,ROUND('Calc base'!N$13*BE209,2))&lt;1,ROUND(BE209*(1+'Calc base'!S210),2),MAX('Calc base'!N$12,ROUND('Calc base'!N$13*BE209,2))))</f>
        <v>0</v>
      </c>
      <c r="AT210">
        <f>MAX(0,ROUND(AT209*(1+'Calc base'!H210),2)-J210)</f>
        <v>0</v>
      </c>
      <c r="AU210">
        <f>MAX(0,ROUND(AU209*(1+'Calc base'!I210),2)-K210)</f>
        <v>0</v>
      </c>
      <c r="AV210">
        <f>MAX(0,ROUND(AV209*(1+'Calc base'!J210),2)-L210)</f>
        <v>0</v>
      </c>
      <c r="AW210">
        <f>MAX(0,ROUND(AW209*(1+'Calc base'!K210),2)-M210)</f>
        <v>0</v>
      </c>
      <c r="AX210">
        <f>MAX(0,ROUND(AX209*(1+'Calc base'!L210),2)-N210)</f>
        <v>0</v>
      </c>
      <c r="AY210">
        <f>MAX(0,ROUND(AY209*(1+'Calc base'!M210),2)-O210)</f>
        <v>0</v>
      </c>
      <c r="AZ210">
        <f>MAX(0,ROUND(AZ209*(1+'Calc base'!N210),2)-P210)</f>
        <v>0</v>
      </c>
      <c r="BA210">
        <f>MAX(0,ROUND(BA209*(1+'Calc base'!O210),2)-Q210)</f>
        <v>0</v>
      </c>
      <c r="BB210">
        <f>MAX(0,ROUND(BB209*(1+'Calc base'!P210),2)-R210)</f>
        <v>0</v>
      </c>
      <c r="BC210">
        <f>MAX(0,ROUND(BC209*(1+'Calc base'!Q210),2)-S210)</f>
        <v>0</v>
      </c>
      <c r="BD210">
        <f>MAX(0,ROUND(BD209*(1+'Calc base'!R210),2)-T210)</f>
        <v>0</v>
      </c>
      <c r="BE210">
        <f>MAX(0,ROUND(BE209*(1+'Calc base'!S210),2)-U210)</f>
        <v>0</v>
      </c>
    </row>
    <row r="211">
      <c r="A211" t="n">
        <v>181</v>
      </c>
      <c r="B211">
        <f>SUMPRODUCT(ROUND($AT210:$BE210*(1+'Calc base'!$H211:$S211),2))</f>
        <v>0</v>
      </c>
      <c r="C211">
        <f>SUM(J211:U211)</f>
        <v>0</v>
      </c>
      <c r="G211">
        <f>SUM(AT211:BE211)</f>
        <v>0</v>
      </c>
      <c r="H211">
        <f>B211-G210</f>
        <v>0</v>
      </c>
      <c r="I211">
        <f>B211-G211</f>
        <v>0</v>
      </c>
      <c r="J211">
        <f>IF(AT210&lt;=0,0,IF(ROUND(AT210*(1+'Calc base'!H211),2)-MAX('Calc base'!C$12,ROUND('Calc base'!C$13*AT210,2))&lt;1,ROUND(AT210*(1+'Calc base'!H211),2),MAX('Calc base'!C$12,ROUND('Calc base'!C$13*AT210,2))))</f>
        <v>0</v>
      </c>
      <c r="K211">
        <f>IF(AU210&lt;=0,0,IF(ROUND(AU210*(1+'Calc base'!I211),2)-MAX('Calc base'!D$12,ROUND('Calc base'!D$13*AU210,2))&lt;1,ROUND(AU210*(1+'Calc base'!I211),2),MAX('Calc base'!D$12,ROUND('Calc base'!D$13*AU210,2))))</f>
        <v>0</v>
      </c>
      <c r="L211">
        <f>IF(AV210&lt;=0,0,IF(ROUND(AV210*(1+'Calc base'!J211),2)-MAX('Calc base'!E$12,ROUND('Calc base'!E$13*AV210,2))&lt;1,ROUND(AV210*(1+'Calc base'!J211),2),MAX('Calc base'!E$12,ROUND('Calc base'!E$13*AV210,2))))</f>
        <v>0</v>
      </c>
      <c r="M211">
        <f>IF(AW210&lt;=0,0,IF(ROUND(AW210*(1+'Calc base'!K211),2)-MAX('Calc base'!F$12,ROUND('Calc base'!F$13*AW210,2))&lt;1,ROUND(AW210*(1+'Calc base'!K211),2),MAX('Calc base'!F$12,ROUND('Calc base'!F$13*AW210,2))))</f>
        <v>0</v>
      </c>
      <c r="N211">
        <f>IF(AX210&lt;=0,0,IF(ROUND(AX210*(1+'Calc base'!L211),2)-MAX('Calc base'!G$12,ROUND('Calc base'!G$13*AX210,2))&lt;1,ROUND(AX210*(1+'Calc base'!L211),2),MAX('Calc base'!G$12,ROUND('Calc base'!G$13*AX210,2))))</f>
        <v>0</v>
      </c>
      <c r="O211">
        <f>IF(AY210&lt;=0,0,IF(ROUND(AY210*(1+'Calc base'!M211),2)-MAX('Calc base'!H$12,ROUND('Calc base'!H$13*AY210,2))&lt;1,ROUND(AY210*(1+'Calc base'!M211),2),MAX('Calc base'!H$12,ROUND('Calc base'!H$13*AY210,2))))</f>
        <v>0</v>
      </c>
      <c r="P211">
        <f>IF(AZ210&lt;=0,0,IF(ROUND(AZ210*(1+'Calc base'!N211),2)-MAX('Calc base'!I$12,ROUND('Calc base'!I$13*AZ210,2))&lt;1,ROUND(AZ210*(1+'Calc base'!N211),2),MAX('Calc base'!I$12,ROUND('Calc base'!I$13*AZ210,2))))</f>
        <v>0</v>
      </c>
      <c r="Q211">
        <f>IF(BA210&lt;=0,0,IF(ROUND(BA210*(1+'Calc base'!O211),2)-MAX('Calc base'!J$12,ROUND('Calc base'!J$13*BA210,2))&lt;1,ROUND(BA210*(1+'Calc base'!O211),2),MAX('Calc base'!J$12,ROUND('Calc base'!J$13*BA210,2))))</f>
        <v>0</v>
      </c>
      <c r="R211">
        <f>IF(BB210&lt;=0,0,IF(ROUND(BB210*(1+'Calc base'!P211),2)-MAX('Calc base'!K$12,ROUND('Calc base'!K$13*BB210,2))&lt;1,ROUND(BB210*(1+'Calc base'!P211),2),MAX('Calc base'!K$12,ROUND('Calc base'!K$13*BB210,2))))</f>
        <v>0</v>
      </c>
      <c r="S211">
        <f>IF(BC210&lt;=0,0,IF(ROUND(BC210*(1+'Calc base'!Q211),2)-MAX('Calc base'!L$12,ROUND('Calc base'!L$13*BC210,2))&lt;1,ROUND(BC210*(1+'Calc base'!Q211),2),MAX('Calc base'!L$12,ROUND('Calc base'!L$13*BC210,2))))</f>
        <v>0</v>
      </c>
      <c r="T211">
        <f>IF(BD210&lt;=0,0,IF(ROUND(BD210*(1+'Calc base'!R211),2)-MAX('Calc base'!M$12,ROUND('Calc base'!M$13*BD210,2))&lt;1,ROUND(BD210*(1+'Calc base'!R211),2),MAX('Calc base'!M$12,ROUND('Calc base'!M$13*BD210,2))))</f>
        <v>0</v>
      </c>
      <c r="U211">
        <f>IF(BE210&lt;=0,0,IF(ROUND(BE210*(1+'Calc base'!S211),2)-MAX('Calc base'!N$12,ROUND('Calc base'!N$13*BE210,2))&lt;1,ROUND(BE210*(1+'Calc base'!S211),2),MAX('Calc base'!N$12,ROUND('Calc base'!N$13*BE210,2))))</f>
        <v>0</v>
      </c>
      <c r="AT211">
        <f>MAX(0,ROUND(AT210*(1+'Calc base'!H211),2)-J211)</f>
        <v>0</v>
      </c>
      <c r="AU211">
        <f>MAX(0,ROUND(AU210*(1+'Calc base'!I211),2)-K211)</f>
        <v>0</v>
      </c>
      <c r="AV211">
        <f>MAX(0,ROUND(AV210*(1+'Calc base'!J211),2)-L211)</f>
        <v>0</v>
      </c>
      <c r="AW211">
        <f>MAX(0,ROUND(AW210*(1+'Calc base'!K211),2)-M211)</f>
        <v>0</v>
      </c>
      <c r="AX211">
        <f>MAX(0,ROUND(AX210*(1+'Calc base'!L211),2)-N211)</f>
        <v>0</v>
      </c>
      <c r="AY211">
        <f>MAX(0,ROUND(AY210*(1+'Calc base'!M211),2)-O211)</f>
        <v>0</v>
      </c>
      <c r="AZ211">
        <f>MAX(0,ROUND(AZ210*(1+'Calc base'!N211),2)-P211)</f>
        <v>0</v>
      </c>
      <c r="BA211">
        <f>MAX(0,ROUND(BA210*(1+'Calc base'!O211),2)-Q211)</f>
        <v>0</v>
      </c>
      <c r="BB211">
        <f>MAX(0,ROUND(BB210*(1+'Calc base'!P211),2)-R211)</f>
        <v>0</v>
      </c>
      <c r="BC211">
        <f>MAX(0,ROUND(BC210*(1+'Calc base'!Q211),2)-S211)</f>
        <v>0</v>
      </c>
      <c r="BD211">
        <f>MAX(0,ROUND(BD210*(1+'Calc base'!R211),2)-T211)</f>
        <v>0</v>
      </c>
      <c r="BE211">
        <f>MAX(0,ROUND(BE210*(1+'Calc base'!S211),2)-U211)</f>
        <v>0</v>
      </c>
    </row>
    <row r="212">
      <c r="A212" t="n">
        <v>182</v>
      </c>
      <c r="B212">
        <f>SUMPRODUCT(ROUND($AT211:$BE211*(1+'Calc base'!$H212:$S212),2))</f>
        <v>0</v>
      </c>
      <c r="C212">
        <f>SUM(J212:U212)</f>
        <v>0</v>
      </c>
      <c r="G212">
        <f>SUM(AT212:BE212)</f>
        <v>0</v>
      </c>
      <c r="H212">
        <f>B212-G211</f>
        <v>0</v>
      </c>
      <c r="I212">
        <f>B212-G212</f>
        <v>0</v>
      </c>
      <c r="J212">
        <f>IF(AT211&lt;=0,0,IF(ROUND(AT211*(1+'Calc base'!H212),2)-MAX('Calc base'!C$12,ROUND('Calc base'!C$13*AT211,2))&lt;1,ROUND(AT211*(1+'Calc base'!H212),2),MAX('Calc base'!C$12,ROUND('Calc base'!C$13*AT211,2))))</f>
        <v>0</v>
      </c>
      <c r="K212">
        <f>IF(AU211&lt;=0,0,IF(ROUND(AU211*(1+'Calc base'!I212),2)-MAX('Calc base'!D$12,ROUND('Calc base'!D$13*AU211,2))&lt;1,ROUND(AU211*(1+'Calc base'!I212),2),MAX('Calc base'!D$12,ROUND('Calc base'!D$13*AU211,2))))</f>
        <v>0</v>
      </c>
      <c r="L212">
        <f>IF(AV211&lt;=0,0,IF(ROUND(AV211*(1+'Calc base'!J212),2)-MAX('Calc base'!E$12,ROUND('Calc base'!E$13*AV211,2))&lt;1,ROUND(AV211*(1+'Calc base'!J212),2),MAX('Calc base'!E$12,ROUND('Calc base'!E$13*AV211,2))))</f>
        <v>0</v>
      </c>
      <c r="M212">
        <f>IF(AW211&lt;=0,0,IF(ROUND(AW211*(1+'Calc base'!K212),2)-MAX('Calc base'!F$12,ROUND('Calc base'!F$13*AW211,2))&lt;1,ROUND(AW211*(1+'Calc base'!K212),2),MAX('Calc base'!F$12,ROUND('Calc base'!F$13*AW211,2))))</f>
        <v>0</v>
      </c>
      <c r="N212">
        <f>IF(AX211&lt;=0,0,IF(ROUND(AX211*(1+'Calc base'!L212),2)-MAX('Calc base'!G$12,ROUND('Calc base'!G$13*AX211,2))&lt;1,ROUND(AX211*(1+'Calc base'!L212),2),MAX('Calc base'!G$12,ROUND('Calc base'!G$13*AX211,2))))</f>
        <v>0</v>
      </c>
      <c r="O212">
        <f>IF(AY211&lt;=0,0,IF(ROUND(AY211*(1+'Calc base'!M212),2)-MAX('Calc base'!H$12,ROUND('Calc base'!H$13*AY211,2))&lt;1,ROUND(AY211*(1+'Calc base'!M212),2),MAX('Calc base'!H$12,ROUND('Calc base'!H$13*AY211,2))))</f>
        <v>0</v>
      </c>
      <c r="P212">
        <f>IF(AZ211&lt;=0,0,IF(ROUND(AZ211*(1+'Calc base'!N212),2)-MAX('Calc base'!I$12,ROUND('Calc base'!I$13*AZ211,2))&lt;1,ROUND(AZ211*(1+'Calc base'!N212),2),MAX('Calc base'!I$12,ROUND('Calc base'!I$13*AZ211,2))))</f>
        <v>0</v>
      </c>
      <c r="Q212">
        <f>IF(BA211&lt;=0,0,IF(ROUND(BA211*(1+'Calc base'!O212),2)-MAX('Calc base'!J$12,ROUND('Calc base'!J$13*BA211,2))&lt;1,ROUND(BA211*(1+'Calc base'!O212),2),MAX('Calc base'!J$12,ROUND('Calc base'!J$13*BA211,2))))</f>
        <v>0</v>
      </c>
      <c r="R212">
        <f>IF(BB211&lt;=0,0,IF(ROUND(BB211*(1+'Calc base'!P212),2)-MAX('Calc base'!K$12,ROUND('Calc base'!K$13*BB211,2))&lt;1,ROUND(BB211*(1+'Calc base'!P212),2),MAX('Calc base'!K$12,ROUND('Calc base'!K$13*BB211,2))))</f>
        <v>0</v>
      </c>
      <c r="S212">
        <f>IF(BC211&lt;=0,0,IF(ROUND(BC211*(1+'Calc base'!Q212),2)-MAX('Calc base'!L$12,ROUND('Calc base'!L$13*BC211,2))&lt;1,ROUND(BC211*(1+'Calc base'!Q212),2),MAX('Calc base'!L$12,ROUND('Calc base'!L$13*BC211,2))))</f>
        <v>0</v>
      </c>
      <c r="T212">
        <f>IF(BD211&lt;=0,0,IF(ROUND(BD211*(1+'Calc base'!R212),2)-MAX('Calc base'!M$12,ROUND('Calc base'!M$13*BD211,2))&lt;1,ROUND(BD211*(1+'Calc base'!R212),2),MAX('Calc base'!M$12,ROUND('Calc base'!M$13*BD211,2))))</f>
        <v>0</v>
      </c>
      <c r="U212">
        <f>IF(BE211&lt;=0,0,IF(ROUND(BE211*(1+'Calc base'!S212),2)-MAX('Calc base'!N$12,ROUND('Calc base'!N$13*BE211,2))&lt;1,ROUND(BE211*(1+'Calc base'!S212),2),MAX('Calc base'!N$12,ROUND('Calc base'!N$13*BE211,2))))</f>
        <v>0</v>
      </c>
      <c r="AT212">
        <f>MAX(0,ROUND(AT211*(1+'Calc base'!H212),2)-J212)</f>
        <v>0</v>
      </c>
      <c r="AU212">
        <f>MAX(0,ROUND(AU211*(1+'Calc base'!I212),2)-K212)</f>
        <v>0</v>
      </c>
      <c r="AV212">
        <f>MAX(0,ROUND(AV211*(1+'Calc base'!J212),2)-L212)</f>
        <v>0</v>
      </c>
      <c r="AW212">
        <f>MAX(0,ROUND(AW211*(1+'Calc base'!K212),2)-M212)</f>
        <v>0</v>
      </c>
      <c r="AX212">
        <f>MAX(0,ROUND(AX211*(1+'Calc base'!L212),2)-N212)</f>
        <v>0</v>
      </c>
      <c r="AY212">
        <f>MAX(0,ROUND(AY211*(1+'Calc base'!M212),2)-O212)</f>
        <v>0</v>
      </c>
      <c r="AZ212">
        <f>MAX(0,ROUND(AZ211*(1+'Calc base'!N212),2)-P212)</f>
        <v>0</v>
      </c>
      <c r="BA212">
        <f>MAX(0,ROUND(BA211*(1+'Calc base'!O212),2)-Q212)</f>
        <v>0</v>
      </c>
      <c r="BB212">
        <f>MAX(0,ROUND(BB211*(1+'Calc base'!P212),2)-R212)</f>
        <v>0</v>
      </c>
      <c r="BC212">
        <f>MAX(0,ROUND(BC211*(1+'Calc base'!Q212),2)-S212)</f>
        <v>0</v>
      </c>
      <c r="BD212">
        <f>MAX(0,ROUND(BD211*(1+'Calc base'!R212),2)-T212)</f>
        <v>0</v>
      </c>
      <c r="BE212">
        <f>MAX(0,ROUND(BE211*(1+'Calc base'!S212),2)-U212)</f>
        <v>0</v>
      </c>
    </row>
    <row r="213">
      <c r="A213" t="n">
        <v>183</v>
      </c>
      <c r="B213">
        <f>SUMPRODUCT(ROUND($AT212:$BE212*(1+'Calc base'!$H213:$S213),2))</f>
        <v>0</v>
      </c>
      <c r="C213">
        <f>SUM(J213:U213)</f>
        <v>0</v>
      </c>
      <c r="G213">
        <f>SUM(AT213:BE213)</f>
        <v>0</v>
      </c>
      <c r="H213">
        <f>B213-G212</f>
        <v>0</v>
      </c>
      <c r="I213">
        <f>B213-G213</f>
        <v>0</v>
      </c>
      <c r="J213">
        <f>IF(AT212&lt;=0,0,IF(ROUND(AT212*(1+'Calc base'!H213),2)-MAX('Calc base'!C$12,ROUND('Calc base'!C$13*AT212,2))&lt;1,ROUND(AT212*(1+'Calc base'!H213),2),MAX('Calc base'!C$12,ROUND('Calc base'!C$13*AT212,2))))</f>
        <v>0</v>
      </c>
      <c r="K213">
        <f>IF(AU212&lt;=0,0,IF(ROUND(AU212*(1+'Calc base'!I213),2)-MAX('Calc base'!D$12,ROUND('Calc base'!D$13*AU212,2))&lt;1,ROUND(AU212*(1+'Calc base'!I213),2),MAX('Calc base'!D$12,ROUND('Calc base'!D$13*AU212,2))))</f>
        <v>0</v>
      </c>
      <c r="L213">
        <f>IF(AV212&lt;=0,0,IF(ROUND(AV212*(1+'Calc base'!J213),2)-MAX('Calc base'!E$12,ROUND('Calc base'!E$13*AV212,2))&lt;1,ROUND(AV212*(1+'Calc base'!J213),2),MAX('Calc base'!E$12,ROUND('Calc base'!E$13*AV212,2))))</f>
        <v>0</v>
      </c>
      <c r="M213">
        <f>IF(AW212&lt;=0,0,IF(ROUND(AW212*(1+'Calc base'!K213),2)-MAX('Calc base'!F$12,ROUND('Calc base'!F$13*AW212,2))&lt;1,ROUND(AW212*(1+'Calc base'!K213),2),MAX('Calc base'!F$12,ROUND('Calc base'!F$13*AW212,2))))</f>
        <v>0</v>
      </c>
      <c r="N213">
        <f>IF(AX212&lt;=0,0,IF(ROUND(AX212*(1+'Calc base'!L213),2)-MAX('Calc base'!G$12,ROUND('Calc base'!G$13*AX212,2))&lt;1,ROUND(AX212*(1+'Calc base'!L213),2),MAX('Calc base'!G$12,ROUND('Calc base'!G$13*AX212,2))))</f>
        <v>0</v>
      </c>
      <c r="O213">
        <f>IF(AY212&lt;=0,0,IF(ROUND(AY212*(1+'Calc base'!M213),2)-MAX('Calc base'!H$12,ROUND('Calc base'!H$13*AY212,2))&lt;1,ROUND(AY212*(1+'Calc base'!M213),2),MAX('Calc base'!H$12,ROUND('Calc base'!H$13*AY212,2))))</f>
        <v>0</v>
      </c>
      <c r="P213">
        <f>IF(AZ212&lt;=0,0,IF(ROUND(AZ212*(1+'Calc base'!N213),2)-MAX('Calc base'!I$12,ROUND('Calc base'!I$13*AZ212,2))&lt;1,ROUND(AZ212*(1+'Calc base'!N213),2),MAX('Calc base'!I$12,ROUND('Calc base'!I$13*AZ212,2))))</f>
        <v>0</v>
      </c>
      <c r="Q213">
        <f>IF(BA212&lt;=0,0,IF(ROUND(BA212*(1+'Calc base'!O213),2)-MAX('Calc base'!J$12,ROUND('Calc base'!J$13*BA212,2))&lt;1,ROUND(BA212*(1+'Calc base'!O213),2),MAX('Calc base'!J$12,ROUND('Calc base'!J$13*BA212,2))))</f>
        <v>0</v>
      </c>
      <c r="R213">
        <f>IF(BB212&lt;=0,0,IF(ROUND(BB212*(1+'Calc base'!P213),2)-MAX('Calc base'!K$12,ROUND('Calc base'!K$13*BB212,2))&lt;1,ROUND(BB212*(1+'Calc base'!P213),2),MAX('Calc base'!K$12,ROUND('Calc base'!K$13*BB212,2))))</f>
        <v>0</v>
      </c>
      <c r="S213">
        <f>IF(BC212&lt;=0,0,IF(ROUND(BC212*(1+'Calc base'!Q213),2)-MAX('Calc base'!L$12,ROUND('Calc base'!L$13*BC212,2))&lt;1,ROUND(BC212*(1+'Calc base'!Q213),2),MAX('Calc base'!L$12,ROUND('Calc base'!L$13*BC212,2))))</f>
        <v>0</v>
      </c>
      <c r="T213">
        <f>IF(BD212&lt;=0,0,IF(ROUND(BD212*(1+'Calc base'!R213),2)-MAX('Calc base'!M$12,ROUND('Calc base'!M$13*BD212,2))&lt;1,ROUND(BD212*(1+'Calc base'!R213),2),MAX('Calc base'!M$12,ROUND('Calc base'!M$13*BD212,2))))</f>
        <v>0</v>
      </c>
      <c r="U213">
        <f>IF(BE212&lt;=0,0,IF(ROUND(BE212*(1+'Calc base'!S213),2)-MAX('Calc base'!N$12,ROUND('Calc base'!N$13*BE212,2))&lt;1,ROUND(BE212*(1+'Calc base'!S213),2),MAX('Calc base'!N$12,ROUND('Calc base'!N$13*BE212,2))))</f>
        <v>0</v>
      </c>
      <c r="AT213">
        <f>MAX(0,ROUND(AT212*(1+'Calc base'!H213),2)-J213)</f>
        <v>0</v>
      </c>
      <c r="AU213">
        <f>MAX(0,ROUND(AU212*(1+'Calc base'!I213),2)-K213)</f>
        <v>0</v>
      </c>
      <c r="AV213">
        <f>MAX(0,ROUND(AV212*(1+'Calc base'!J213),2)-L213)</f>
        <v>0</v>
      </c>
      <c r="AW213">
        <f>MAX(0,ROUND(AW212*(1+'Calc base'!K213),2)-M213)</f>
        <v>0</v>
      </c>
      <c r="AX213">
        <f>MAX(0,ROUND(AX212*(1+'Calc base'!L213),2)-N213)</f>
        <v>0</v>
      </c>
      <c r="AY213">
        <f>MAX(0,ROUND(AY212*(1+'Calc base'!M213),2)-O213)</f>
        <v>0</v>
      </c>
      <c r="AZ213">
        <f>MAX(0,ROUND(AZ212*(1+'Calc base'!N213),2)-P213)</f>
        <v>0</v>
      </c>
      <c r="BA213">
        <f>MAX(0,ROUND(BA212*(1+'Calc base'!O213),2)-Q213)</f>
        <v>0</v>
      </c>
      <c r="BB213">
        <f>MAX(0,ROUND(BB212*(1+'Calc base'!P213),2)-R213)</f>
        <v>0</v>
      </c>
      <c r="BC213">
        <f>MAX(0,ROUND(BC212*(1+'Calc base'!Q213),2)-S213)</f>
        <v>0</v>
      </c>
      <c r="BD213">
        <f>MAX(0,ROUND(BD212*(1+'Calc base'!R213),2)-T213)</f>
        <v>0</v>
      </c>
      <c r="BE213">
        <f>MAX(0,ROUND(BE212*(1+'Calc base'!S213),2)-U213)</f>
        <v>0</v>
      </c>
    </row>
    <row r="214">
      <c r="A214" t="n">
        <v>184</v>
      </c>
      <c r="B214">
        <f>SUMPRODUCT(ROUND($AT213:$BE213*(1+'Calc base'!$H214:$S214),2))</f>
        <v>0</v>
      </c>
      <c r="C214">
        <f>SUM(J214:U214)</f>
        <v>0</v>
      </c>
      <c r="G214">
        <f>SUM(AT214:BE214)</f>
        <v>0</v>
      </c>
      <c r="H214">
        <f>B214-G213</f>
        <v>0</v>
      </c>
      <c r="I214">
        <f>B214-G214</f>
        <v>0</v>
      </c>
      <c r="J214">
        <f>IF(AT213&lt;=0,0,IF(ROUND(AT213*(1+'Calc base'!H214),2)-MAX('Calc base'!C$12,ROUND('Calc base'!C$13*AT213,2))&lt;1,ROUND(AT213*(1+'Calc base'!H214),2),MAX('Calc base'!C$12,ROUND('Calc base'!C$13*AT213,2))))</f>
        <v>0</v>
      </c>
      <c r="K214">
        <f>IF(AU213&lt;=0,0,IF(ROUND(AU213*(1+'Calc base'!I214),2)-MAX('Calc base'!D$12,ROUND('Calc base'!D$13*AU213,2))&lt;1,ROUND(AU213*(1+'Calc base'!I214),2),MAX('Calc base'!D$12,ROUND('Calc base'!D$13*AU213,2))))</f>
        <v>0</v>
      </c>
      <c r="L214">
        <f>IF(AV213&lt;=0,0,IF(ROUND(AV213*(1+'Calc base'!J214),2)-MAX('Calc base'!E$12,ROUND('Calc base'!E$13*AV213,2))&lt;1,ROUND(AV213*(1+'Calc base'!J214),2),MAX('Calc base'!E$12,ROUND('Calc base'!E$13*AV213,2))))</f>
        <v>0</v>
      </c>
      <c r="M214">
        <f>IF(AW213&lt;=0,0,IF(ROUND(AW213*(1+'Calc base'!K214),2)-MAX('Calc base'!F$12,ROUND('Calc base'!F$13*AW213,2))&lt;1,ROUND(AW213*(1+'Calc base'!K214),2),MAX('Calc base'!F$12,ROUND('Calc base'!F$13*AW213,2))))</f>
        <v>0</v>
      </c>
      <c r="N214">
        <f>IF(AX213&lt;=0,0,IF(ROUND(AX213*(1+'Calc base'!L214),2)-MAX('Calc base'!G$12,ROUND('Calc base'!G$13*AX213,2))&lt;1,ROUND(AX213*(1+'Calc base'!L214),2),MAX('Calc base'!G$12,ROUND('Calc base'!G$13*AX213,2))))</f>
        <v>0</v>
      </c>
      <c r="O214">
        <f>IF(AY213&lt;=0,0,IF(ROUND(AY213*(1+'Calc base'!M214),2)-MAX('Calc base'!H$12,ROUND('Calc base'!H$13*AY213,2))&lt;1,ROUND(AY213*(1+'Calc base'!M214),2),MAX('Calc base'!H$12,ROUND('Calc base'!H$13*AY213,2))))</f>
        <v>0</v>
      </c>
      <c r="P214">
        <f>IF(AZ213&lt;=0,0,IF(ROUND(AZ213*(1+'Calc base'!N214),2)-MAX('Calc base'!I$12,ROUND('Calc base'!I$13*AZ213,2))&lt;1,ROUND(AZ213*(1+'Calc base'!N214),2),MAX('Calc base'!I$12,ROUND('Calc base'!I$13*AZ213,2))))</f>
        <v>0</v>
      </c>
      <c r="Q214">
        <f>IF(BA213&lt;=0,0,IF(ROUND(BA213*(1+'Calc base'!O214),2)-MAX('Calc base'!J$12,ROUND('Calc base'!J$13*BA213,2))&lt;1,ROUND(BA213*(1+'Calc base'!O214),2),MAX('Calc base'!J$12,ROUND('Calc base'!J$13*BA213,2))))</f>
        <v>0</v>
      </c>
      <c r="R214">
        <f>IF(BB213&lt;=0,0,IF(ROUND(BB213*(1+'Calc base'!P214),2)-MAX('Calc base'!K$12,ROUND('Calc base'!K$13*BB213,2))&lt;1,ROUND(BB213*(1+'Calc base'!P214),2),MAX('Calc base'!K$12,ROUND('Calc base'!K$13*BB213,2))))</f>
        <v>0</v>
      </c>
      <c r="S214">
        <f>IF(BC213&lt;=0,0,IF(ROUND(BC213*(1+'Calc base'!Q214),2)-MAX('Calc base'!L$12,ROUND('Calc base'!L$13*BC213,2))&lt;1,ROUND(BC213*(1+'Calc base'!Q214),2),MAX('Calc base'!L$12,ROUND('Calc base'!L$13*BC213,2))))</f>
        <v>0</v>
      </c>
      <c r="T214">
        <f>IF(BD213&lt;=0,0,IF(ROUND(BD213*(1+'Calc base'!R214),2)-MAX('Calc base'!M$12,ROUND('Calc base'!M$13*BD213,2))&lt;1,ROUND(BD213*(1+'Calc base'!R214),2),MAX('Calc base'!M$12,ROUND('Calc base'!M$13*BD213,2))))</f>
        <v>0</v>
      </c>
      <c r="U214">
        <f>IF(BE213&lt;=0,0,IF(ROUND(BE213*(1+'Calc base'!S214),2)-MAX('Calc base'!N$12,ROUND('Calc base'!N$13*BE213,2))&lt;1,ROUND(BE213*(1+'Calc base'!S214),2),MAX('Calc base'!N$12,ROUND('Calc base'!N$13*BE213,2))))</f>
        <v>0</v>
      </c>
      <c r="AT214">
        <f>MAX(0,ROUND(AT213*(1+'Calc base'!H214),2)-J214)</f>
        <v>0</v>
      </c>
      <c r="AU214">
        <f>MAX(0,ROUND(AU213*(1+'Calc base'!I214),2)-K214)</f>
        <v>0</v>
      </c>
      <c r="AV214">
        <f>MAX(0,ROUND(AV213*(1+'Calc base'!J214),2)-L214)</f>
        <v>0</v>
      </c>
      <c r="AW214">
        <f>MAX(0,ROUND(AW213*(1+'Calc base'!K214),2)-M214)</f>
        <v>0</v>
      </c>
      <c r="AX214">
        <f>MAX(0,ROUND(AX213*(1+'Calc base'!L214),2)-N214)</f>
        <v>0</v>
      </c>
      <c r="AY214">
        <f>MAX(0,ROUND(AY213*(1+'Calc base'!M214),2)-O214)</f>
        <v>0</v>
      </c>
      <c r="AZ214">
        <f>MAX(0,ROUND(AZ213*(1+'Calc base'!N214),2)-P214)</f>
        <v>0</v>
      </c>
      <c r="BA214">
        <f>MAX(0,ROUND(BA213*(1+'Calc base'!O214),2)-Q214)</f>
        <v>0</v>
      </c>
      <c r="BB214">
        <f>MAX(0,ROUND(BB213*(1+'Calc base'!P214),2)-R214)</f>
        <v>0</v>
      </c>
      <c r="BC214">
        <f>MAX(0,ROUND(BC213*(1+'Calc base'!Q214),2)-S214)</f>
        <v>0</v>
      </c>
      <c r="BD214">
        <f>MAX(0,ROUND(BD213*(1+'Calc base'!R214),2)-T214)</f>
        <v>0</v>
      </c>
      <c r="BE214">
        <f>MAX(0,ROUND(BE213*(1+'Calc base'!S214),2)-U214)</f>
        <v>0</v>
      </c>
    </row>
    <row r="215">
      <c r="A215" t="n">
        <v>185</v>
      </c>
      <c r="B215">
        <f>SUMPRODUCT(ROUND($AT214:$BE214*(1+'Calc base'!$H215:$S215),2))</f>
        <v>0</v>
      </c>
      <c r="C215">
        <f>SUM(J215:U215)</f>
        <v>0</v>
      </c>
      <c r="G215">
        <f>SUM(AT215:BE215)</f>
        <v>0</v>
      </c>
      <c r="H215">
        <f>B215-G214</f>
        <v>0</v>
      </c>
      <c r="I215">
        <f>B215-G215</f>
        <v>0</v>
      </c>
      <c r="J215">
        <f>IF(AT214&lt;=0,0,IF(ROUND(AT214*(1+'Calc base'!H215),2)-MAX('Calc base'!C$12,ROUND('Calc base'!C$13*AT214,2))&lt;1,ROUND(AT214*(1+'Calc base'!H215),2),MAX('Calc base'!C$12,ROUND('Calc base'!C$13*AT214,2))))</f>
        <v>0</v>
      </c>
      <c r="K215">
        <f>IF(AU214&lt;=0,0,IF(ROUND(AU214*(1+'Calc base'!I215),2)-MAX('Calc base'!D$12,ROUND('Calc base'!D$13*AU214,2))&lt;1,ROUND(AU214*(1+'Calc base'!I215),2),MAX('Calc base'!D$12,ROUND('Calc base'!D$13*AU214,2))))</f>
        <v>0</v>
      </c>
      <c r="L215">
        <f>IF(AV214&lt;=0,0,IF(ROUND(AV214*(1+'Calc base'!J215),2)-MAX('Calc base'!E$12,ROUND('Calc base'!E$13*AV214,2))&lt;1,ROUND(AV214*(1+'Calc base'!J215),2),MAX('Calc base'!E$12,ROUND('Calc base'!E$13*AV214,2))))</f>
        <v>0</v>
      </c>
      <c r="M215">
        <f>IF(AW214&lt;=0,0,IF(ROUND(AW214*(1+'Calc base'!K215),2)-MAX('Calc base'!F$12,ROUND('Calc base'!F$13*AW214,2))&lt;1,ROUND(AW214*(1+'Calc base'!K215),2),MAX('Calc base'!F$12,ROUND('Calc base'!F$13*AW214,2))))</f>
        <v>0</v>
      </c>
      <c r="N215">
        <f>IF(AX214&lt;=0,0,IF(ROUND(AX214*(1+'Calc base'!L215),2)-MAX('Calc base'!G$12,ROUND('Calc base'!G$13*AX214,2))&lt;1,ROUND(AX214*(1+'Calc base'!L215),2),MAX('Calc base'!G$12,ROUND('Calc base'!G$13*AX214,2))))</f>
        <v>0</v>
      </c>
      <c r="O215">
        <f>IF(AY214&lt;=0,0,IF(ROUND(AY214*(1+'Calc base'!M215),2)-MAX('Calc base'!H$12,ROUND('Calc base'!H$13*AY214,2))&lt;1,ROUND(AY214*(1+'Calc base'!M215),2),MAX('Calc base'!H$12,ROUND('Calc base'!H$13*AY214,2))))</f>
        <v>0</v>
      </c>
      <c r="P215">
        <f>IF(AZ214&lt;=0,0,IF(ROUND(AZ214*(1+'Calc base'!N215),2)-MAX('Calc base'!I$12,ROUND('Calc base'!I$13*AZ214,2))&lt;1,ROUND(AZ214*(1+'Calc base'!N215),2),MAX('Calc base'!I$12,ROUND('Calc base'!I$13*AZ214,2))))</f>
        <v>0</v>
      </c>
      <c r="Q215">
        <f>IF(BA214&lt;=0,0,IF(ROUND(BA214*(1+'Calc base'!O215),2)-MAX('Calc base'!J$12,ROUND('Calc base'!J$13*BA214,2))&lt;1,ROUND(BA214*(1+'Calc base'!O215),2),MAX('Calc base'!J$12,ROUND('Calc base'!J$13*BA214,2))))</f>
        <v>0</v>
      </c>
      <c r="R215">
        <f>IF(BB214&lt;=0,0,IF(ROUND(BB214*(1+'Calc base'!P215),2)-MAX('Calc base'!K$12,ROUND('Calc base'!K$13*BB214,2))&lt;1,ROUND(BB214*(1+'Calc base'!P215),2),MAX('Calc base'!K$12,ROUND('Calc base'!K$13*BB214,2))))</f>
        <v>0</v>
      </c>
      <c r="S215">
        <f>IF(BC214&lt;=0,0,IF(ROUND(BC214*(1+'Calc base'!Q215),2)-MAX('Calc base'!L$12,ROUND('Calc base'!L$13*BC214,2))&lt;1,ROUND(BC214*(1+'Calc base'!Q215),2),MAX('Calc base'!L$12,ROUND('Calc base'!L$13*BC214,2))))</f>
        <v>0</v>
      </c>
      <c r="T215">
        <f>IF(BD214&lt;=0,0,IF(ROUND(BD214*(1+'Calc base'!R215),2)-MAX('Calc base'!M$12,ROUND('Calc base'!M$13*BD214,2))&lt;1,ROUND(BD214*(1+'Calc base'!R215),2),MAX('Calc base'!M$12,ROUND('Calc base'!M$13*BD214,2))))</f>
        <v>0</v>
      </c>
      <c r="U215">
        <f>IF(BE214&lt;=0,0,IF(ROUND(BE214*(1+'Calc base'!S215),2)-MAX('Calc base'!N$12,ROUND('Calc base'!N$13*BE214,2))&lt;1,ROUND(BE214*(1+'Calc base'!S215),2),MAX('Calc base'!N$12,ROUND('Calc base'!N$13*BE214,2))))</f>
        <v>0</v>
      </c>
      <c r="AT215">
        <f>MAX(0,ROUND(AT214*(1+'Calc base'!H215),2)-J215)</f>
        <v>0</v>
      </c>
      <c r="AU215">
        <f>MAX(0,ROUND(AU214*(1+'Calc base'!I215),2)-K215)</f>
        <v>0</v>
      </c>
      <c r="AV215">
        <f>MAX(0,ROUND(AV214*(1+'Calc base'!J215),2)-L215)</f>
        <v>0</v>
      </c>
      <c r="AW215">
        <f>MAX(0,ROUND(AW214*(1+'Calc base'!K215),2)-M215)</f>
        <v>0</v>
      </c>
      <c r="AX215">
        <f>MAX(0,ROUND(AX214*(1+'Calc base'!L215),2)-N215)</f>
        <v>0</v>
      </c>
      <c r="AY215">
        <f>MAX(0,ROUND(AY214*(1+'Calc base'!M215),2)-O215)</f>
        <v>0</v>
      </c>
      <c r="AZ215">
        <f>MAX(0,ROUND(AZ214*(1+'Calc base'!N215),2)-P215)</f>
        <v>0</v>
      </c>
      <c r="BA215">
        <f>MAX(0,ROUND(BA214*(1+'Calc base'!O215),2)-Q215)</f>
        <v>0</v>
      </c>
      <c r="BB215">
        <f>MAX(0,ROUND(BB214*(1+'Calc base'!P215),2)-R215)</f>
        <v>0</v>
      </c>
      <c r="BC215">
        <f>MAX(0,ROUND(BC214*(1+'Calc base'!Q215),2)-S215)</f>
        <v>0</v>
      </c>
      <c r="BD215">
        <f>MAX(0,ROUND(BD214*(1+'Calc base'!R215),2)-T215)</f>
        <v>0</v>
      </c>
      <c r="BE215">
        <f>MAX(0,ROUND(BE214*(1+'Calc base'!S215),2)-U215)</f>
        <v>0</v>
      </c>
    </row>
    <row r="216">
      <c r="A216" t="n">
        <v>186</v>
      </c>
      <c r="B216">
        <f>SUMPRODUCT(ROUND($AT215:$BE215*(1+'Calc base'!$H216:$S216),2))</f>
        <v>0</v>
      </c>
      <c r="C216">
        <f>SUM(J216:U216)</f>
        <v>0</v>
      </c>
      <c r="G216">
        <f>SUM(AT216:BE216)</f>
        <v>0</v>
      </c>
      <c r="H216">
        <f>B216-G215</f>
        <v>0</v>
      </c>
      <c r="I216">
        <f>B216-G216</f>
        <v>0</v>
      </c>
      <c r="J216">
        <f>IF(AT215&lt;=0,0,IF(ROUND(AT215*(1+'Calc base'!H216),2)-MAX('Calc base'!C$12,ROUND('Calc base'!C$13*AT215,2))&lt;1,ROUND(AT215*(1+'Calc base'!H216),2),MAX('Calc base'!C$12,ROUND('Calc base'!C$13*AT215,2))))</f>
        <v>0</v>
      </c>
      <c r="K216">
        <f>IF(AU215&lt;=0,0,IF(ROUND(AU215*(1+'Calc base'!I216),2)-MAX('Calc base'!D$12,ROUND('Calc base'!D$13*AU215,2))&lt;1,ROUND(AU215*(1+'Calc base'!I216),2),MAX('Calc base'!D$12,ROUND('Calc base'!D$13*AU215,2))))</f>
        <v>0</v>
      </c>
      <c r="L216">
        <f>IF(AV215&lt;=0,0,IF(ROUND(AV215*(1+'Calc base'!J216),2)-MAX('Calc base'!E$12,ROUND('Calc base'!E$13*AV215,2))&lt;1,ROUND(AV215*(1+'Calc base'!J216),2),MAX('Calc base'!E$12,ROUND('Calc base'!E$13*AV215,2))))</f>
        <v>0</v>
      </c>
      <c r="M216">
        <f>IF(AW215&lt;=0,0,IF(ROUND(AW215*(1+'Calc base'!K216),2)-MAX('Calc base'!F$12,ROUND('Calc base'!F$13*AW215,2))&lt;1,ROUND(AW215*(1+'Calc base'!K216),2),MAX('Calc base'!F$12,ROUND('Calc base'!F$13*AW215,2))))</f>
        <v>0</v>
      </c>
      <c r="N216">
        <f>IF(AX215&lt;=0,0,IF(ROUND(AX215*(1+'Calc base'!L216),2)-MAX('Calc base'!G$12,ROUND('Calc base'!G$13*AX215,2))&lt;1,ROUND(AX215*(1+'Calc base'!L216),2),MAX('Calc base'!G$12,ROUND('Calc base'!G$13*AX215,2))))</f>
        <v>0</v>
      </c>
      <c r="O216">
        <f>IF(AY215&lt;=0,0,IF(ROUND(AY215*(1+'Calc base'!M216),2)-MAX('Calc base'!H$12,ROUND('Calc base'!H$13*AY215,2))&lt;1,ROUND(AY215*(1+'Calc base'!M216),2),MAX('Calc base'!H$12,ROUND('Calc base'!H$13*AY215,2))))</f>
        <v>0</v>
      </c>
      <c r="P216">
        <f>IF(AZ215&lt;=0,0,IF(ROUND(AZ215*(1+'Calc base'!N216),2)-MAX('Calc base'!I$12,ROUND('Calc base'!I$13*AZ215,2))&lt;1,ROUND(AZ215*(1+'Calc base'!N216),2),MAX('Calc base'!I$12,ROUND('Calc base'!I$13*AZ215,2))))</f>
        <v>0</v>
      </c>
      <c r="Q216">
        <f>IF(BA215&lt;=0,0,IF(ROUND(BA215*(1+'Calc base'!O216),2)-MAX('Calc base'!J$12,ROUND('Calc base'!J$13*BA215,2))&lt;1,ROUND(BA215*(1+'Calc base'!O216),2),MAX('Calc base'!J$12,ROUND('Calc base'!J$13*BA215,2))))</f>
        <v>0</v>
      </c>
      <c r="R216">
        <f>IF(BB215&lt;=0,0,IF(ROUND(BB215*(1+'Calc base'!P216),2)-MAX('Calc base'!K$12,ROUND('Calc base'!K$13*BB215,2))&lt;1,ROUND(BB215*(1+'Calc base'!P216),2),MAX('Calc base'!K$12,ROUND('Calc base'!K$13*BB215,2))))</f>
        <v>0</v>
      </c>
      <c r="S216">
        <f>IF(BC215&lt;=0,0,IF(ROUND(BC215*(1+'Calc base'!Q216),2)-MAX('Calc base'!L$12,ROUND('Calc base'!L$13*BC215,2))&lt;1,ROUND(BC215*(1+'Calc base'!Q216),2),MAX('Calc base'!L$12,ROUND('Calc base'!L$13*BC215,2))))</f>
        <v>0</v>
      </c>
      <c r="T216">
        <f>IF(BD215&lt;=0,0,IF(ROUND(BD215*(1+'Calc base'!R216),2)-MAX('Calc base'!M$12,ROUND('Calc base'!M$13*BD215,2))&lt;1,ROUND(BD215*(1+'Calc base'!R216),2),MAX('Calc base'!M$12,ROUND('Calc base'!M$13*BD215,2))))</f>
        <v>0</v>
      </c>
      <c r="U216">
        <f>IF(BE215&lt;=0,0,IF(ROUND(BE215*(1+'Calc base'!S216),2)-MAX('Calc base'!N$12,ROUND('Calc base'!N$13*BE215,2))&lt;1,ROUND(BE215*(1+'Calc base'!S216),2),MAX('Calc base'!N$12,ROUND('Calc base'!N$13*BE215,2))))</f>
        <v>0</v>
      </c>
      <c r="AT216">
        <f>MAX(0,ROUND(AT215*(1+'Calc base'!H216),2)-J216)</f>
        <v>0</v>
      </c>
      <c r="AU216">
        <f>MAX(0,ROUND(AU215*(1+'Calc base'!I216),2)-K216)</f>
        <v>0</v>
      </c>
      <c r="AV216">
        <f>MAX(0,ROUND(AV215*(1+'Calc base'!J216),2)-L216)</f>
        <v>0</v>
      </c>
      <c r="AW216">
        <f>MAX(0,ROUND(AW215*(1+'Calc base'!K216),2)-M216)</f>
        <v>0</v>
      </c>
      <c r="AX216">
        <f>MAX(0,ROUND(AX215*(1+'Calc base'!L216),2)-N216)</f>
        <v>0</v>
      </c>
      <c r="AY216">
        <f>MAX(0,ROUND(AY215*(1+'Calc base'!M216),2)-O216)</f>
        <v>0</v>
      </c>
      <c r="AZ216">
        <f>MAX(0,ROUND(AZ215*(1+'Calc base'!N216),2)-P216)</f>
        <v>0</v>
      </c>
      <c r="BA216">
        <f>MAX(0,ROUND(BA215*(1+'Calc base'!O216),2)-Q216)</f>
        <v>0</v>
      </c>
      <c r="BB216">
        <f>MAX(0,ROUND(BB215*(1+'Calc base'!P216),2)-R216)</f>
        <v>0</v>
      </c>
      <c r="BC216">
        <f>MAX(0,ROUND(BC215*(1+'Calc base'!Q216),2)-S216)</f>
        <v>0</v>
      </c>
      <c r="BD216">
        <f>MAX(0,ROUND(BD215*(1+'Calc base'!R216),2)-T216)</f>
        <v>0</v>
      </c>
      <c r="BE216">
        <f>MAX(0,ROUND(BE215*(1+'Calc base'!S216),2)-U216)</f>
        <v>0</v>
      </c>
    </row>
    <row r="217">
      <c r="A217" t="n">
        <v>187</v>
      </c>
      <c r="B217">
        <f>SUMPRODUCT(ROUND($AT216:$BE216*(1+'Calc base'!$H217:$S217),2))</f>
        <v>0</v>
      </c>
      <c r="C217">
        <f>SUM(J217:U217)</f>
        <v>0</v>
      </c>
      <c r="G217">
        <f>SUM(AT217:BE217)</f>
        <v>0</v>
      </c>
      <c r="H217">
        <f>B217-G216</f>
        <v>0</v>
      </c>
      <c r="I217">
        <f>B217-G217</f>
        <v>0</v>
      </c>
      <c r="J217">
        <f>IF(AT216&lt;=0,0,IF(ROUND(AT216*(1+'Calc base'!H217),2)-MAX('Calc base'!C$12,ROUND('Calc base'!C$13*AT216,2))&lt;1,ROUND(AT216*(1+'Calc base'!H217),2),MAX('Calc base'!C$12,ROUND('Calc base'!C$13*AT216,2))))</f>
        <v>0</v>
      </c>
      <c r="K217">
        <f>IF(AU216&lt;=0,0,IF(ROUND(AU216*(1+'Calc base'!I217),2)-MAX('Calc base'!D$12,ROUND('Calc base'!D$13*AU216,2))&lt;1,ROUND(AU216*(1+'Calc base'!I217),2),MAX('Calc base'!D$12,ROUND('Calc base'!D$13*AU216,2))))</f>
        <v>0</v>
      </c>
      <c r="L217">
        <f>IF(AV216&lt;=0,0,IF(ROUND(AV216*(1+'Calc base'!J217),2)-MAX('Calc base'!E$12,ROUND('Calc base'!E$13*AV216,2))&lt;1,ROUND(AV216*(1+'Calc base'!J217),2),MAX('Calc base'!E$12,ROUND('Calc base'!E$13*AV216,2))))</f>
        <v>0</v>
      </c>
      <c r="M217">
        <f>IF(AW216&lt;=0,0,IF(ROUND(AW216*(1+'Calc base'!K217),2)-MAX('Calc base'!F$12,ROUND('Calc base'!F$13*AW216,2))&lt;1,ROUND(AW216*(1+'Calc base'!K217),2),MAX('Calc base'!F$12,ROUND('Calc base'!F$13*AW216,2))))</f>
        <v>0</v>
      </c>
      <c r="N217">
        <f>IF(AX216&lt;=0,0,IF(ROUND(AX216*(1+'Calc base'!L217),2)-MAX('Calc base'!G$12,ROUND('Calc base'!G$13*AX216,2))&lt;1,ROUND(AX216*(1+'Calc base'!L217),2),MAX('Calc base'!G$12,ROUND('Calc base'!G$13*AX216,2))))</f>
        <v>0</v>
      </c>
      <c r="O217">
        <f>IF(AY216&lt;=0,0,IF(ROUND(AY216*(1+'Calc base'!M217),2)-MAX('Calc base'!H$12,ROUND('Calc base'!H$13*AY216,2))&lt;1,ROUND(AY216*(1+'Calc base'!M217),2),MAX('Calc base'!H$12,ROUND('Calc base'!H$13*AY216,2))))</f>
        <v>0</v>
      </c>
      <c r="P217">
        <f>IF(AZ216&lt;=0,0,IF(ROUND(AZ216*(1+'Calc base'!N217),2)-MAX('Calc base'!I$12,ROUND('Calc base'!I$13*AZ216,2))&lt;1,ROUND(AZ216*(1+'Calc base'!N217),2),MAX('Calc base'!I$12,ROUND('Calc base'!I$13*AZ216,2))))</f>
        <v>0</v>
      </c>
      <c r="Q217">
        <f>IF(BA216&lt;=0,0,IF(ROUND(BA216*(1+'Calc base'!O217),2)-MAX('Calc base'!J$12,ROUND('Calc base'!J$13*BA216,2))&lt;1,ROUND(BA216*(1+'Calc base'!O217),2),MAX('Calc base'!J$12,ROUND('Calc base'!J$13*BA216,2))))</f>
        <v>0</v>
      </c>
      <c r="R217">
        <f>IF(BB216&lt;=0,0,IF(ROUND(BB216*(1+'Calc base'!P217),2)-MAX('Calc base'!K$12,ROUND('Calc base'!K$13*BB216,2))&lt;1,ROUND(BB216*(1+'Calc base'!P217),2),MAX('Calc base'!K$12,ROUND('Calc base'!K$13*BB216,2))))</f>
        <v>0</v>
      </c>
      <c r="S217">
        <f>IF(BC216&lt;=0,0,IF(ROUND(BC216*(1+'Calc base'!Q217),2)-MAX('Calc base'!L$12,ROUND('Calc base'!L$13*BC216,2))&lt;1,ROUND(BC216*(1+'Calc base'!Q217),2),MAX('Calc base'!L$12,ROUND('Calc base'!L$13*BC216,2))))</f>
        <v>0</v>
      </c>
      <c r="T217">
        <f>IF(BD216&lt;=0,0,IF(ROUND(BD216*(1+'Calc base'!R217),2)-MAX('Calc base'!M$12,ROUND('Calc base'!M$13*BD216,2))&lt;1,ROUND(BD216*(1+'Calc base'!R217),2),MAX('Calc base'!M$12,ROUND('Calc base'!M$13*BD216,2))))</f>
        <v>0</v>
      </c>
      <c r="U217">
        <f>IF(BE216&lt;=0,0,IF(ROUND(BE216*(1+'Calc base'!S217),2)-MAX('Calc base'!N$12,ROUND('Calc base'!N$13*BE216,2))&lt;1,ROUND(BE216*(1+'Calc base'!S217),2),MAX('Calc base'!N$12,ROUND('Calc base'!N$13*BE216,2))))</f>
        <v>0</v>
      </c>
      <c r="AT217">
        <f>MAX(0,ROUND(AT216*(1+'Calc base'!H217),2)-J217)</f>
        <v>0</v>
      </c>
      <c r="AU217">
        <f>MAX(0,ROUND(AU216*(1+'Calc base'!I217),2)-K217)</f>
        <v>0</v>
      </c>
      <c r="AV217">
        <f>MAX(0,ROUND(AV216*(1+'Calc base'!J217),2)-L217)</f>
        <v>0</v>
      </c>
      <c r="AW217">
        <f>MAX(0,ROUND(AW216*(1+'Calc base'!K217),2)-M217)</f>
        <v>0</v>
      </c>
      <c r="AX217">
        <f>MAX(0,ROUND(AX216*(1+'Calc base'!L217),2)-N217)</f>
        <v>0</v>
      </c>
      <c r="AY217">
        <f>MAX(0,ROUND(AY216*(1+'Calc base'!M217),2)-O217)</f>
        <v>0</v>
      </c>
      <c r="AZ217">
        <f>MAX(0,ROUND(AZ216*(1+'Calc base'!N217),2)-P217)</f>
        <v>0</v>
      </c>
      <c r="BA217">
        <f>MAX(0,ROUND(BA216*(1+'Calc base'!O217),2)-Q217)</f>
        <v>0</v>
      </c>
      <c r="BB217">
        <f>MAX(0,ROUND(BB216*(1+'Calc base'!P217),2)-R217)</f>
        <v>0</v>
      </c>
      <c r="BC217">
        <f>MAX(0,ROUND(BC216*(1+'Calc base'!Q217),2)-S217)</f>
        <v>0</v>
      </c>
      <c r="BD217">
        <f>MAX(0,ROUND(BD216*(1+'Calc base'!R217),2)-T217)</f>
        <v>0</v>
      </c>
      <c r="BE217">
        <f>MAX(0,ROUND(BE216*(1+'Calc base'!S217),2)-U217)</f>
        <v>0</v>
      </c>
    </row>
    <row r="218">
      <c r="A218" t="n">
        <v>188</v>
      </c>
      <c r="B218">
        <f>SUMPRODUCT(ROUND($AT217:$BE217*(1+'Calc base'!$H218:$S218),2))</f>
        <v>0</v>
      </c>
      <c r="C218">
        <f>SUM(J218:U218)</f>
        <v>0</v>
      </c>
      <c r="G218">
        <f>SUM(AT218:BE218)</f>
        <v>0</v>
      </c>
      <c r="H218">
        <f>B218-G217</f>
        <v>0</v>
      </c>
      <c r="I218">
        <f>B218-G218</f>
        <v>0</v>
      </c>
      <c r="J218">
        <f>IF(AT217&lt;=0,0,IF(ROUND(AT217*(1+'Calc base'!H218),2)-MAX('Calc base'!C$12,ROUND('Calc base'!C$13*AT217,2))&lt;1,ROUND(AT217*(1+'Calc base'!H218),2),MAX('Calc base'!C$12,ROUND('Calc base'!C$13*AT217,2))))</f>
        <v>0</v>
      </c>
      <c r="K218">
        <f>IF(AU217&lt;=0,0,IF(ROUND(AU217*(1+'Calc base'!I218),2)-MAX('Calc base'!D$12,ROUND('Calc base'!D$13*AU217,2))&lt;1,ROUND(AU217*(1+'Calc base'!I218),2),MAX('Calc base'!D$12,ROUND('Calc base'!D$13*AU217,2))))</f>
        <v>0</v>
      </c>
      <c r="L218">
        <f>IF(AV217&lt;=0,0,IF(ROUND(AV217*(1+'Calc base'!J218),2)-MAX('Calc base'!E$12,ROUND('Calc base'!E$13*AV217,2))&lt;1,ROUND(AV217*(1+'Calc base'!J218),2),MAX('Calc base'!E$12,ROUND('Calc base'!E$13*AV217,2))))</f>
        <v>0</v>
      </c>
      <c r="M218">
        <f>IF(AW217&lt;=0,0,IF(ROUND(AW217*(1+'Calc base'!K218),2)-MAX('Calc base'!F$12,ROUND('Calc base'!F$13*AW217,2))&lt;1,ROUND(AW217*(1+'Calc base'!K218),2),MAX('Calc base'!F$12,ROUND('Calc base'!F$13*AW217,2))))</f>
        <v>0</v>
      </c>
      <c r="N218">
        <f>IF(AX217&lt;=0,0,IF(ROUND(AX217*(1+'Calc base'!L218),2)-MAX('Calc base'!G$12,ROUND('Calc base'!G$13*AX217,2))&lt;1,ROUND(AX217*(1+'Calc base'!L218),2),MAX('Calc base'!G$12,ROUND('Calc base'!G$13*AX217,2))))</f>
        <v>0</v>
      </c>
      <c r="O218">
        <f>IF(AY217&lt;=0,0,IF(ROUND(AY217*(1+'Calc base'!M218),2)-MAX('Calc base'!H$12,ROUND('Calc base'!H$13*AY217,2))&lt;1,ROUND(AY217*(1+'Calc base'!M218),2),MAX('Calc base'!H$12,ROUND('Calc base'!H$13*AY217,2))))</f>
        <v>0</v>
      </c>
      <c r="P218">
        <f>IF(AZ217&lt;=0,0,IF(ROUND(AZ217*(1+'Calc base'!N218),2)-MAX('Calc base'!I$12,ROUND('Calc base'!I$13*AZ217,2))&lt;1,ROUND(AZ217*(1+'Calc base'!N218),2),MAX('Calc base'!I$12,ROUND('Calc base'!I$13*AZ217,2))))</f>
        <v>0</v>
      </c>
      <c r="Q218">
        <f>IF(BA217&lt;=0,0,IF(ROUND(BA217*(1+'Calc base'!O218),2)-MAX('Calc base'!J$12,ROUND('Calc base'!J$13*BA217,2))&lt;1,ROUND(BA217*(1+'Calc base'!O218),2),MAX('Calc base'!J$12,ROUND('Calc base'!J$13*BA217,2))))</f>
        <v>0</v>
      </c>
      <c r="R218">
        <f>IF(BB217&lt;=0,0,IF(ROUND(BB217*(1+'Calc base'!P218),2)-MAX('Calc base'!K$12,ROUND('Calc base'!K$13*BB217,2))&lt;1,ROUND(BB217*(1+'Calc base'!P218),2),MAX('Calc base'!K$12,ROUND('Calc base'!K$13*BB217,2))))</f>
        <v>0</v>
      </c>
      <c r="S218">
        <f>IF(BC217&lt;=0,0,IF(ROUND(BC217*(1+'Calc base'!Q218),2)-MAX('Calc base'!L$12,ROUND('Calc base'!L$13*BC217,2))&lt;1,ROUND(BC217*(1+'Calc base'!Q218),2),MAX('Calc base'!L$12,ROUND('Calc base'!L$13*BC217,2))))</f>
        <v>0</v>
      </c>
      <c r="T218">
        <f>IF(BD217&lt;=0,0,IF(ROUND(BD217*(1+'Calc base'!R218),2)-MAX('Calc base'!M$12,ROUND('Calc base'!M$13*BD217,2))&lt;1,ROUND(BD217*(1+'Calc base'!R218),2),MAX('Calc base'!M$12,ROUND('Calc base'!M$13*BD217,2))))</f>
        <v>0</v>
      </c>
      <c r="U218">
        <f>IF(BE217&lt;=0,0,IF(ROUND(BE217*(1+'Calc base'!S218),2)-MAX('Calc base'!N$12,ROUND('Calc base'!N$13*BE217,2))&lt;1,ROUND(BE217*(1+'Calc base'!S218),2),MAX('Calc base'!N$12,ROUND('Calc base'!N$13*BE217,2))))</f>
        <v>0</v>
      </c>
      <c r="AT218">
        <f>MAX(0,ROUND(AT217*(1+'Calc base'!H218),2)-J218)</f>
        <v>0</v>
      </c>
      <c r="AU218">
        <f>MAX(0,ROUND(AU217*(1+'Calc base'!I218),2)-K218)</f>
        <v>0</v>
      </c>
      <c r="AV218">
        <f>MAX(0,ROUND(AV217*(1+'Calc base'!J218),2)-L218)</f>
        <v>0</v>
      </c>
      <c r="AW218">
        <f>MAX(0,ROUND(AW217*(1+'Calc base'!K218),2)-M218)</f>
        <v>0</v>
      </c>
      <c r="AX218">
        <f>MAX(0,ROUND(AX217*(1+'Calc base'!L218),2)-N218)</f>
        <v>0</v>
      </c>
      <c r="AY218">
        <f>MAX(0,ROUND(AY217*(1+'Calc base'!M218),2)-O218)</f>
        <v>0</v>
      </c>
      <c r="AZ218">
        <f>MAX(0,ROUND(AZ217*(1+'Calc base'!N218),2)-P218)</f>
        <v>0</v>
      </c>
      <c r="BA218">
        <f>MAX(0,ROUND(BA217*(1+'Calc base'!O218),2)-Q218)</f>
        <v>0</v>
      </c>
      <c r="BB218">
        <f>MAX(0,ROUND(BB217*(1+'Calc base'!P218),2)-R218)</f>
        <v>0</v>
      </c>
      <c r="BC218">
        <f>MAX(0,ROUND(BC217*(1+'Calc base'!Q218),2)-S218)</f>
        <v>0</v>
      </c>
      <c r="BD218">
        <f>MAX(0,ROUND(BD217*(1+'Calc base'!R218),2)-T218)</f>
        <v>0</v>
      </c>
      <c r="BE218">
        <f>MAX(0,ROUND(BE217*(1+'Calc base'!S218),2)-U218)</f>
        <v>0</v>
      </c>
    </row>
    <row r="219">
      <c r="A219" t="n">
        <v>189</v>
      </c>
      <c r="B219">
        <f>SUMPRODUCT(ROUND($AT218:$BE218*(1+'Calc base'!$H219:$S219),2))</f>
        <v>0</v>
      </c>
      <c r="C219">
        <f>SUM(J219:U219)</f>
        <v>0</v>
      </c>
      <c r="G219">
        <f>SUM(AT219:BE219)</f>
        <v>0</v>
      </c>
      <c r="H219">
        <f>B219-G218</f>
        <v>0</v>
      </c>
      <c r="I219">
        <f>B219-G219</f>
        <v>0</v>
      </c>
      <c r="J219">
        <f>IF(AT218&lt;=0,0,IF(ROUND(AT218*(1+'Calc base'!H219),2)-MAX('Calc base'!C$12,ROUND('Calc base'!C$13*AT218,2))&lt;1,ROUND(AT218*(1+'Calc base'!H219),2),MAX('Calc base'!C$12,ROUND('Calc base'!C$13*AT218,2))))</f>
        <v>0</v>
      </c>
      <c r="K219">
        <f>IF(AU218&lt;=0,0,IF(ROUND(AU218*(1+'Calc base'!I219),2)-MAX('Calc base'!D$12,ROUND('Calc base'!D$13*AU218,2))&lt;1,ROUND(AU218*(1+'Calc base'!I219),2),MAX('Calc base'!D$12,ROUND('Calc base'!D$13*AU218,2))))</f>
        <v>0</v>
      </c>
      <c r="L219">
        <f>IF(AV218&lt;=0,0,IF(ROUND(AV218*(1+'Calc base'!J219),2)-MAX('Calc base'!E$12,ROUND('Calc base'!E$13*AV218,2))&lt;1,ROUND(AV218*(1+'Calc base'!J219),2),MAX('Calc base'!E$12,ROUND('Calc base'!E$13*AV218,2))))</f>
        <v>0</v>
      </c>
      <c r="M219">
        <f>IF(AW218&lt;=0,0,IF(ROUND(AW218*(1+'Calc base'!K219),2)-MAX('Calc base'!F$12,ROUND('Calc base'!F$13*AW218,2))&lt;1,ROUND(AW218*(1+'Calc base'!K219),2),MAX('Calc base'!F$12,ROUND('Calc base'!F$13*AW218,2))))</f>
        <v>0</v>
      </c>
      <c r="N219">
        <f>IF(AX218&lt;=0,0,IF(ROUND(AX218*(1+'Calc base'!L219),2)-MAX('Calc base'!G$12,ROUND('Calc base'!G$13*AX218,2))&lt;1,ROUND(AX218*(1+'Calc base'!L219),2),MAX('Calc base'!G$12,ROUND('Calc base'!G$13*AX218,2))))</f>
        <v>0</v>
      </c>
      <c r="O219">
        <f>IF(AY218&lt;=0,0,IF(ROUND(AY218*(1+'Calc base'!M219),2)-MAX('Calc base'!H$12,ROUND('Calc base'!H$13*AY218,2))&lt;1,ROUND(AY218*(1+'Calc base'!M219),2),MAX('Calc base'!H$12,ROUND('Calc base'!H$13*AY218,2))))</f>
        <v>0</v>
      </c>
      <c r="P219">
        <f>IF(AZ218&lt;=0,0,IF(ROUND(AZ218*(1+'Calc base'!N219),2)-MAX('Calc base'!I$12,ROUND('Calc base'!I$13*AZ218,2))&lt;1,ROUND(AZ218*(1+'Calc base'!N219),2),MAX('Calc base'!I$12,ROUND('Calc base'!I$13*AZ218,2))))</f>
        <v>0</v>
      </c>
      <c r="Q219">
        <f>IF(BA218&lt;=0,0,IF(ROUND(BA218*(1+'Calc base'!O219),2)-MAX('Calc base'!J$12,ROUND('Calc base'!J$13*BA218,2))&lt;1,ROUND(BA218*(1+'Calc base'!O219),2),MAX('Calc base'!J$12,ROUND('Calc base'!J$13*BA218,2))))</f>
        <v>0</v>
      </c>
      <c r="R219">
        <f>IF(BB218&lt;=0,0,IF(ROUND(BB218*(1+'Calc base'!P219),2)-MAX('Calc base'!K$12,ROUND('Calc base'!K$13*BB218,2))&lt;1,ROUND(BB218*(1+'Calc base'!P219),2),MAX('Calc base'!K$12,ROUND('Calc base'!K$13*BB218,2))))</f>
        <v>0</v>
      </c>
      <c r="S219">
        <f>IF(BC218&lt;=0,0,IF(ROUND(BC218*(1+'Calc base'!Q219),2)-MAX('Calc base'!L$12,ROUND('Calc base'!L$13*BC218,2))&lt;1,ROUND(BC218*(1+'Calc base'!Q219),2),MAX('Calc base'!L$12,ROUND('Calc base'!L$13*BC218,2))))</f>
        <v>0</v>
      </c>
      <c r="T219">
        <f>IF(BD218&lt;=0,0,IF(ROUND(BD218*(1+'Calc base'!R219),2)-MAX('Calc base'!M$12,ROUND('Calc base'!M$13*BD218,2))&lt;1,ROUND(BD218*(1+'Calc base'!R219),2),MAX('Calc base'!M$12,ROUND('Calc base'!M$13*BD218,2))))</f>
        <v>0</v>
      </c>
      <c r="U219">
        <f>IF(BE218&lt;=0,0,IF(ROUND(BE218*(1+'Calc base'!S219),2)-MAX('Calc base'!N$12,ROUND('Calc base'!N$13*BE218,2))&lt;1,ROUND(BE218*(1+'Calc base'!S219),2),MAX('Calc base'!N$12,ROUND('Calc base'!N$13*BE218,2))))</f>
        <v>0</v>
      </c>
      <c r="AT219">
        <f>MAX(0,ROUND(AT218*(1+'Calc base'!H219),2)-J219)</f>
        <v>0</v>
      </c>
      <c r="AU219">
        <f>MAX(0,ROUND(AU218*(1+'Calc base'!I219),2)-K219)</f>
        <v>0</v>
      </c>
      <c r="AV219">
        <f>MAX(0,ROUND(AV218*(1+'Calc base'!J219),2)-L219)</f>
        <v>0</v>
      </c>
      <c r="AW219">
        <f>MAX(0,ROUND(AW218*(1+'Calc base'!K219),2)-M219)</f>
        <v>0</v>
      </c>
      <c r="AX219">
        <f>MAX(0,ROUND(AX218*(1+'Calc base'!L219),2)-N219)</f>
        <v>0</v>
      </c>
      <c r="AY219">
        <f>MAX(0,ROUND(AY218*(1+'Calc base'!M219),2)-O219)</f>
        <v>0</v>
      </c>
      <c r="AZ219">
        <f>MAX(0,ROUND(AZ218*(1+'Calc base'!N219),2)-P219)</f>
        <v>0</v>
      </c>
      <c r="BA219">
        <f>MAX(0,ROUND(BA218*(1+'Calc base'!O219),2)-Q219)</f>
        <v>0</v>
      </c>
      <c r="BB219">
        <f>MAX(0,ROUND(BB218*(1+'Calc base'!P219),2)-R219)</f>
        <v>0</v>
      </c>
      <c r="BC219">
        <f>MAX(0,ROUND(BC218*(1+'Calc base'!Q219),2)-S219)</f>
        <v>0</v>
      </c>
      <c r="BD219">
        <f>MAX(0,ROUND(BD218*(1+'Calc base'!R219),2)-T219)</f>
        <v>0</v>
      </c>
      <c r="BE219">
        <f>MAX(0,ROUND(BE218*(1+'Calc base'!S219),2)-U219)</f>
        <v>0</v>
      </c>
    </row>
    <row r="220">
      <c r="A220" t="n">
        <v>190</v>
      </c>
      <c r="B220">
        <f>SUMPRODUCT(ROUND($AT219:$BE219*(1+'Calc base'!$H220:$S220),2))</f>
        <v>0</v>
      </c>
      <c r="C220">
        <f>SUM(J220:U220)</f>
        <v>0</v>
      </c>
      <c r="G220">
        <f>SUM(AT220:BE220)</f>
        <v>0</v>
      </c>
      <c r="H220">
        <f>B220-G219</f>
        <v>0</v>
      </c>
      <c r="I220">
        <f>B220-G220</f>
        <v>0</v>
      </c>
      <c r="J220">
        <f>IF(AT219&lt;=0,0,IF(ROUND(AT219*(1+'Calc base'!H220),2)-MAX('Calc base'!C$12,ROUND('Calc base'!C$13*AT219,2))&lt;1,ROUND(AT219*(1+'Calc base'!H220),2),MAX('Calc base'!C$12,ROUND('Calc base'!C$13*AT219,2))))</f>
        <v>0</v>
      </c>
      <c r="K220">
        <f>IF(AU219&lt;=0,0,IF(ROUND(AU219*(1+'Calc base'!I220),2)-MAX('Calc base'!D$12,ROUND('Calc base'!D$13*AU219,2))&lt;1,ROUND(AU219*(1+'Calc base'!I220),2),MAX('Calc base'!D$12,ROUND('Calc base'!D$13*AU219,2))))</f>
        <v>0</v>
      </c>
      <c r="L220">
        <f>IF(AV219&lt;=0,0,IF(ROUND(AV219*(1+'Calc base'!J220),2)-MAX('Calc base'!E$12,ROUND('Calc base'!E$13*AV219,2))&lt;1,ROUND(AV219*(1+'Calc base'!J220),2),MAX('Calc base'!E$12,ROUND('Calc base'!E$13*AV219,2))))</f>
        <v>0</v>
      </c>
      <c r="M220">
        <f>IF(AW219&lt;=0,0,IF(ROUND(AW219*(1+'Calc base'!K220),2)-MAX('Calc base'!F$12,ROUND('Calc base'!F$13*AW219,2))&lt;1,ROUND(AW219*(1+'Calc base'!K220),2),MAX('Calc base'!F$12,ROUND('Calc base'!F$13*AW219,2))))</f>
        <v>0</v>
      </c>
      <c r="N220">
        <f>IF(AX219&lt;=0,0,IF(ROUND(AX219*(1+'Calc base'!L220),2)-MAX('Calc base'!G$12,ROUND('Calc base'!G$13*AX219,2))&lt;1,ROUND(AX219*(1+'Calc base'!L220),2),MAX('Calc base'!G$12,ROUND('Calc base'!G$13*AX219,2))))</f>
        <v>0</v>
      </c>
      <c r="O220">
        <f>IF(AY219&lt;=0,0,IF(ROUND(AY219*(1+'Calc base'!M220),2)-MAX('Calc base'!H$12,ROUND('Calc base'!H$13*AY219,2))&lt;1,ROUND(AY219*(1+'Calc base'!M220),2),MAX('Calc base'!H$12,ROUND('Calc base'!H$13*AY219,2))))</f>
        <v>0</v>
      </c>
      <c r="P220">
        <f>IF(AZ219&lt;=0,0,IF(ROUND(AZ219*(1+'Calc base'!N220),2)-MAX('Calc base'!I$12,ROUND('Calc base'!I$13*AZ219,2))&lt;1,ROUND(AZ219*(1+'Calc base'!N220),2),MAX('Calc base'!I$12,ROUND('Calc base'!I$13*AZ219,2))))</f>
        <v>0</v>
      </c>
      <c r="Q220">
        <f>IF(BA219&lt;=0,0,IF(ROUND(BA219*(1+'Calc base'!O220),2)-MAX('Calc base'!J$12,ROUND('Calc base'!J$13*BA219,2))&lt;1,ROUND(BA219*(1+'Calc base'!O220),2),MAX('Calc base'!J$12,ROUND('Calc base'!J$13*BA219,2))))</f>
        <v>0</v>
      </c>
      <c r="R220">
        <f>IF(BB219&lt;=0,0,IF(ROUND(BB219*(1+'Calc base'!P220),2)-MAX('Calc base'!K$12,ROUND('Calc base'!K$13*BB219,2))&lt;1,ROUND(BB219*(1+'Calc base'!P220),2),MAX('Calc base'!K$12,ROUND('Calc base'!K$13*BB219,2))))</f>
        <v>0</v>
      </c>
      <c r="S220">
        <f>IF(BC219&lt;=0,0,IF(ROUND(BC219*(1+'Calc base'!Q220),2)-MAX('Calc base'!L$12,ROUND('Calc base'!L$13*BC219,2))&lt;1,ROUND(BC219*(1+'Calc base'!Q220),2),MAX('Calc base'!L$12,ROUND('Calc base'!L$13*BC219,2))))</f>
        <v>0</v>
      </c>
      <c r="T220">
        <f>IF(BD219&lt;=0,0,IF(ROUND(BD219*(1+'Calc base'!R220),2)-MAX('Calc base'!M$12,ROUND('Calc base'!M$13*BD219,2))&lt;1,ROUND(BD219*(1+'Calc base'!R220),2),MAX('Calc base'!M$12,ROUND('Calc base'!M$13*BD219,2))))</f>
        <v>0</v>
      </c>
      <c r="U220">
        <f>IF(BE219&lt;=0,0,IF(ROUND(BE219*(1+'Calc base'!S220),2)-MAX('Calc base'!N$12,ROUND('Calc base'!N$13*BE219,2))&lt;1,ROUND(BE219*(1+'Calc base'!S220),2),MAX('Calc base'!N$12,ROUND('Calc base'!N$13*BE219,2))))</f>
        <v>0</v>
      </c>
      <c r="AT220">
        <f>MAX(0,ROUND(AT219*(1+'Calc base'!H220),2)-J220)</f>
        <v>0</v>
      </c>
      <c r="AU220">
        <f>MAX(0,ROUND(AU219*(1+'Calc base'!I220),2)-K220)</f>
        <v>0</v>
      </c>
      <c r="AV220">
        <f>MAX(0,ROUND(AV219*(1+'Calc base'!J220),2)-L220)</f>
        <v>0</v>
      </c>
      <c r="AW220">
        <f>MAX(0,ROUND(AW219*(1+'Calc base'!K220),2)-M220)</f>
        <v>0</v>
      </c>
      <c r="AX220">
        <f>MAX(0,ROUND(AX219*(1+'Calc base'!L220),2)-N220)</f>
        <v>0</v>
      </c>
      <c r="AY220">
        <f>MAX(0,ROUND(AY219*(1+'Calc base'!M220),2)-O220)</f>
        <v>0</v>
      </c>
      <c r="AZ220">
        <f>MAX(0,ROUND(AZ219*(1+'Calc base'!N220),2)-P220)</f>
        <v>0</v>
      </c>
      <c r="BA220">
        <f>MAX(0,ROUND(BA219*(1+'Calc base'!O220),2)-Q220)</f>
        <v>0</v>
      </c>
      <c r="BB220">
        <f>MAX(0,ROUND(BB219*(1+'Calc base'!P220),2)-R220)</f>
        <v>0</v>
      </c>
      <c r="BC220">
        <f>MAX(0,ROUND(BC219*(1+'Calc base'!Q220),2)-S220)</f>
        <v>0</v>
      </c>
      <c r="BD220">
        <f>MAX(0,ROUND(BD219*(1+'Calc base'!R220),2)-T220)</f>
        <v>0</v>
      </c>
      <c r="BE220">
        <f>MAX(0,ROUND(BE219*(1+'Calc base'!S220),2)-U220)</f>
        <v>0</v>
      </c>
    </row>
    <row r="221">
      <c r="A221" t="n">
        <v>191</v>
      </c>
      <c r="B221">
        <f>SUMPRODUCT(ROUND($AT220:$BE220*(1+'Calc base'!$H221:$S221),2))</f>
        <v>0</v>
      </c>
      <c r="C221">
        <f>SUM(J221:U221)</f>
        <v>0</v>
      </c>
      <c r="G221">
        <f>SUM(AT221:BE221)</f>
        <v>0</v>
      </c>
      <c r="H221">
        <f>B221-G220</f>
        <v>0</v>
      </c>
      <c r="I221">
        <f>B221-G221</f>
        <v>0</v>
      </c>
      <c r="J221">
        <f>IF(AT220&lt;=0,0,IF(ROUND(AT220*(1+'Calc base'!H221),2)-MAX('Calc base'!C$12,ROUND('Calc base'!C$13*AT220,2))&lt;1,ROUND(AT220*(1+'Calc base'!H221),2),MAX('Calc base'!C$12,ROUND('Calc base'!C$13*AT220,2))))</f>
        <v>0</v>
      </c>
      <c r="K221">
        <f>IF(AU220&lt;=0,0,IF(ROUND(AU220*(1+'Calc base'!I221),2)-MAX('Calc base'!D$12,ROUND('Calc base'!D$13*AU220,2))&lt;1,ROUND(AU220*(1+'Calc base'!I221),2),MAX('Calc base'!D$12,ROUND('Calc base'!D$13*AU220,2))))</f>
        <v>0</v>
      </c>
      <c r="L221">
        <f>IF(AV220&lt;=0,0,IF(ROUND(AV220*(1+'Calc base'!J221),2)-MAX('Calc base'!E$12,ROUND('Calc base'!E$13*AV220,2))&lt;1,ROUND(AV220*(1+'Calc base'!J221),2),MAX('Calc base'!E$12,ROUND('Calc base'!E$13*AV220,2))))</f>
        <v>0</v>
      </c>
      <c r="M221">
        <f>IF(AW220&lt;=0,0,IF(ROUND(AW220*(1+'Calc base'!K221),2)-MAX('Calc base'!F$12,ROUND('Calc base'!F$13*AW220,2))&lt;1,ROUND(AW220*(1+'Calc base'!K221),2),MAX('Calc base'!F$12,ROUND('Calc base'!F$13*AW220,2))))</f>
        <v>0</v>
      </c>
      <c r="N221">
        <f>IF(AX220&lt;=0,0,IF(ROUND(AX220*(1+'Calc base'!L221),2)-MAX('Calc base'!G$12,ROUND('Calc base'!G$13*AX220,2))&lt;1,ROUND(AX220*(1+'Calc base'!L221),2),MAX('Calc base'!G$12,ROUND('Calc base'!G$13*AX220,2))))</f>
        <v>0</v>
      </c>
      <c r="O221">
        <f>IF(AY220&lt;=0,0,IF(ROUND(AY220*(1+'Calc base'!M221),2)-MAX('Calc base'!H$12,ROUND('Calc base'!H$13*AY220,2))&lt;1,ROUND(AY220*(1+'Calc base'!M221),2),MAX('Calc base'!H$12,ROUND('Calc base'!H$13*AY220,2))))</f>
        <v>0</v>
      </c>
      <c r="P221">
        <f>IF(AZ220&lt;=0,0,IF(ROUND(AZ220*(1+'Calc base'!N221),2)-MAX('Calc base'!I$12,ROUND('Calc base'!I$13*AZ220,2))&lt;1,ROUND(AZ220*(1+'Calc base'!N221),2),MAX('Calc base'!I$12,ROUND('Calc base'!I$13*AZ220,2))))</f>
        <v>0</v>
      </c>
      <c r="Q221">
        <f>IF(BA220&lt;=0,0,IF(ROUND(BA220*(1+'Calc base'!O221),2)-MAX('Calc base'!J$12,ROUND('Calc base'!J$13*BA220,2))&lt;1,ROUND(BA220*(1+'Calc base'!O221),2),MAX('Calc base'!J$12,ROUND('Calc base'!J$13*BA220,2))))</f>
        <v>0</v>
      </c>
      <c r="R221">
        <f>IF(BB220&lt;=0,0,IF(ROUND(BB220*(1+'Calc base'!P221),2)-MAX('Calc base'!K$12,ROUND('Calc base'!K$13*BB220,2))&lt;1,ROUND(BB220*(1+'Calc base'!P221),2),MAX('Calc base'!K$12,ROUND('Calc base'!K$13*BB220,2))))</f>
        <v>0</v>
      </c>
      <c r="S221">
        <f>IF(BC220&lt;=0,0,IF(ROUND(BC220*(1+'Calc base'!Q221),2)-MAX('Calc base'!L$12,ROUND('Calc base'!L$13*BC220,2))&lt;1,ROUND(BC220*(1+'Calc base'!Q221),2),MAX('Calc base'!L$12,ROUND('Calc base'!L$13*BC220,2))))</f>
        <v>0</v>
      </c>
      <c r="T221">
        <f>IF(BD220&lt;=0,0,IF(ROUND(BD220*(1+'Calc base'!R221),2)-MAX('Calc base'!M$12,ROUND('Calc base'!M$13*BD220,2))&lt;1,ROUND(BD220*(1+'Calc base'!R221),2),MAX('Calc base'!M$12,ROUND('Calc base'!M$13*BD220,2))))</f>
        <v>0</v>
      </c>
      <c r="U221">
        <f>IF(BE220&lt;=0,0,IF(ROUND(BE220*(1+'Calc base'!S221),2)-MAX('Calc base'!N$12,ROUND('Calc base'!N$13*BE220,2))&lt;1,ROUND(BE220*(1+'Calc base'!S221),2),MAX('Calc base'!N$12,ROUND('Calc base'!N$13*BE220,2))))</f>
        <v>0</v>
      </c>
      <c r="AT221">
        <f>MAX(0,ROUND(AT220*(1+'Calc base'!H221),2)-J221)</f>
        <v>0</v>
      </c>
      <c r="AU221">
        <f>MAX(0,ROUND(AU220*(1+'Calc base'!I221),2)-K221)</f>
        <v>0</v>
      </c>
      <c r="AV221">
        <f>MAX(0,ROUND(AV220*(1+'Calc base'!J221),2)-L221)</f>
        <v>0</v>
      </c>
      <c r="AW221">
        <f>MAX(0,ROUND(AW220*(1+'Calc base'!K221),2)-M221)</f>
        <v>0</v>
      </c>
      <c r="AX221">
        <f>MAX(0,ROUND(AX220*(1+'Calc base'!L221),2)-N221)</f>
        <v>0</v>
      </c>
      <c r="AY221">
        <f>MAX(0,ROUND(AY220*(1+'Calc base'!M221),2)-O221)</f>
        <v>0</v>
      </c>
      <c r="AZ221">
        <f>MAX(0,ROUND(AZ220*(1+'Calc base'!N221),2)-P221)</f>
        <v>0</v>
      </c>
      <c r="BA221">
        <f>MAX(0,ROUND(BA220*(1+'Calc base'!O221),2)-Q221)</f>
        <v>0</v>
      </c>
      <c r="BB221">
        <f>MAX(0,ROUND(BB220*(1+'Calc base'!P221),2)-R221)</f>
        <v>0</v>
      </c>
      <c r="BC221">
        <f>MAX(0,ROUND(BC220*(1+'Calc base'!Q221),2)-S221)</f>
        <v>0</v>
      </c>
      <c r="BD221">
        <f>MAX(0,ROUND(BD220*(1+'Calc base'!R221),2)-T221)</f>
        <v>0</v>
      </c>
      <c r="BE221">
        <f>MAX(0,ROUND(BE220*(1+'Calc base'!S221),2)-U221)</f>
        <v>0</v>
      </c>
    </row>
    <row r="222">
      <c r="A222" t="n">
        <v>192</v>
      </c>
      <c r="B222">
        <f>SUMPRODUCT(ROUND($AT221:$BE221*(1+'Calc base'!$H222:$S222),2))</f>
        <v>0</v>
      </c>
      <c r="C222">
        <f>SUM(J222:U222)</f>
        <v>0</v>
      </c>
      <c r="G222">
        <f>SUM(AT222:BE222)</f>
        <v>0</v>
      </c>
      <c r="H222">
        <f>B222-G221</f>
        <v>0</v>
      </c>
      <c r="I222">
        <f>B222-G222</f>
        <v>0</v>
      </c>
      <c r="J222">
        <f>IF(AT221&lt;=0,0,IF(ROUND(AT221*(1+'Calc base'!H222),2)-MAX('Calc base'!C$12,ROUND('Calc base'!C$13*AT221,2))&lt;1,ROUND(AT221*(1+'Calc base'!H222),2),MAX('Calc base'!C$12,ROUND('Calc base'!C$13*AT221,2))))</f>
        <v>0</v>
      </c>
      <c r="K222">
        <f>IF(AU221&lt;=0,0,IF(ROUND(AU221*(1+'Calc base'!I222),2)-MAX('Calc base'!D$12,ROUND('Calc base'!D$13*AU221,2))&lt;1,ROUND(AU221*(1+'Calc base'!I222),2),MAX('Calc base'!D$12,ROUND('Calc base'!D$13*AU221,2))))</f>
        <v>0</v>
      </c>
      <c r="L222">
        <f>IF(AV221&lt;=0,0,IF(ROUND(AV221*(1+'Calc base'!J222),2)-MAX('Calc base'!E$12,ROUND('Calc base'!E$13*AV221,2))&lt;1,ROUND(AV221*(1+'Calc base'!J222),2),MAX('Calc base'!E$12,ROUND('Calc base'!E$13*AV221,2))))</f>
        <v>0</v>
      </c>
      <c r="M222">
        <f>IF(AW221&lt;=0,0,IF(ROUND(AW221*(1+'Calc base'!K222),2)-MAX('Calc base'!F$12,ROUND('Calc base'!F$13*AW221,2))&lt;1,ROUND(AW221*(1+'Calc base'!K222),2),MAX('Calc base'!F$12,ROUND('Calc base'!F$13*AW221,2))))</f>
        <v>0</v>
      </c>
      <c r="N222">
        <f>IF(AX221&lt;=0,0,IF(ROUND(AX221*(1+'Calc base'!L222),2)-MAX('Calc base'!G$12,ROUND('Calc base'!G$13*AX221,2))&lt;1,ROUND(AX221*(1+'Calc base'!L222),2),MAX('Calc base'!G$12,ROUND('Calc base'!G$13*AX221,2))))</f>
        <v>0</v>
      </c>
      <c r="O222">
        <f>IF(AY221&lt;=0,0,IF(ROUND(AY221*(1+'Calc base'!M222),2)-MAX('Calc base'!H$12,ROUND('Calc base'!H$13*AY221,2))&lt;1,ROUND(AY221*(1+'Calc base'!M222),2),MAX('Calc base'!H$12,ROUND('Calc base'!H$13*AY221,2))))</f>
        <v>0</v>
      </c>
      <c r="P222">
        <f>IF(AZ221&lt;=0,0,IF(ROUND(AZ221*(1+'Calc base'!N222),2)-MAX('Calc base'!I$12,ROUND('Calc base'!I$13*AZ221,2))&lt;1,ROUND(AZ221*(1+'Calc base'!N222),2),MAX('Calc base'!I$12,ROUND('Calc base'!I$13*AZ221,2))))</f>
        <v>0</v>
      </c>
      <c r="Q222">
        <f>IF(BA221&lt;=0,0,IF(ROUND(BA221*(1+'Calc base'!O222),2)-MAX('Calc base'!J$12,ROUND('Calc base'!J$13*BA221,2))&lt;1,ROUND(BA221*(1+'Calc base'!O222),2),MAX('Calc base'!J$12,ROUND('Calc base'!J$13*BA221,2))))</f>
        <v>0</v>
      </c>
      <c r="R222">
        <f>IF(BB221&lt;=0,0,IF(ROUND(BB221*(1+'Calc base'!P222),2)-MAX('Calc base'!K$12,ROUND('Calc base'!K$13*BB221,2))&lt;1,ROUND(BB221*(1+'Calc base'!P222),2),MAX('Calc base'!K$12,ROUND('Calc base'!K$13*BB221,2))))</f>
        <v>0</v>
      </c>
      <c r="S222">
        <f>IF(BC221&lt;=0,0,IF(ROUND(BC221*(1+'Calc base'!Q222),2)-MAX('Calc base'!L$12,ROUND('Calc base'!L$13*BC221,2))&lt;1,ROUND(BC221*(1+'Calc base'!Q222),2),MAX('Calc base'!L$12,ROUND('Calc base'!L$13*BC221,2))))</f>
        <v>0</v>
      </c>
      <c r="T222">
        <f>IF(BD221&lt;=0,0,IF(ROUND(BD221*(1+'Calc base'!R222),2)-MAX('Calc base'!M$12,ROUND('Calc base'!M$13*BD221,2))&lt;1,ROUND(BD221*(1+'Calc base'!R222),2),MAX('Calc base'!M$12,ROUND('Calc base'!M$13*BD221,2))))</f>
        <v>0</v>
      </c>
      <c r="U222">
        <f>IF(BE221&lt;=0,0,IF(ROUND(BE221*(1+'Calc base'!S222),2)-MAX('Calc base'!N$12,ROUND('Calc base'!N$13*BE221,2))&lt;1,ROUND(BE221*(1+'Calc base'!S222),2),MAX('Calc base'!N$12,ROUND('Calc base'!N$13*BE221,2))))</f>
        <v>0</v>
      </c>
      <c r="AT222">
        <f>MAX(0,ROUND(AT221*(1+'Calc base'!H222),2)-J222)</f>
        <v>0</v>
      </c>
      <c r="AU222">
        <f>MAX(0,ROUND(AU221*(1+'Calc base'!I222),2)-K222)</f>
        <v>0</v>
      </c>
      <c r="AV222">
        <f>MAX(0,ROUND(AV221*(1+'Calc base'!J222),2)-L222)</f>
        <v>0</v>
      </c>
      <c r="AW222">
        <f>MAX(0,ROUND(AW221*(1+'Calc base'!K222),2)-M222)</f>
        <v>0</v>
      </c>
      <c r="AX222">
        <f>MAX(0,ROUND(AX221*(1+'Calc base'!L222),2)-N222)</f>
        <v>0</v>
      </c>
      <c r="AY222">
        <f>MAX(0,ROUND(AY221*(1+'Calc base'!M222),2)-O222)</f>
        <v>0</v>
      </c>
      <c r="AZ222">
        <f>MAX(0,ROUND(AZ221*(1+'Calc base'!N222),2)-P222)</f>
        <v>0</v>
      </c>
      <c r="BA222">
        <f>MAX(0,ROUND(BA221*(1+'Calc base'!O222),2)-Q222)</f>
        <v>0</v>
      </c>
      <c r="BB222">
        <f>MAX(0,ROUND(BB221*(1+'Calc base'!P222),2)-R222)</f>
        <v>0</v>
      </c>
      <c r="BC222">
        <f>MAX(0,ROUND(BC221*(1+'Calc base'!Q222),2)-S222)</f>
        <v>0</v>
      </c>
      <c r="BD222">
        <f>MAX(0,ROUND(BD221*(1+'Calc base'!R222),2)-T222)</f>
        <v>0</v>
      </c>
      <c r="BE222">
        <f>MAX(0,ROUND(BE221*(1+'Calc base'!S222),2)-U222)</f>
        <v>0</v>
      </c>
    </row>
    <row r="223">
      <c r="A223" t="n">
        <v>193</v>
      </c>
      <c r="B223">
        <f>SUMPRODUCT(ROUND($AT222:$BE222*(1+'Calc base'!$H223:$S223),2))</f>
        <v>0</v>
      </c>
      <c r="C223">
        <f>SUM(J223:U223)</f>
        <v>0</v>
      </c>
      <c r="G223">
        <f>SUM(AT223:BE223)</f>
        <v>0</v>
      </c>
      <c r="H223">
        <f>B223-G222</f>
        <v>0</v>
      </c>
      <c r="I223">
        <f>B223-G223</f>
        <v>0</v>
      </c>
      <c r="J223">
        <f>IF(AT222&lt;=0,0,IF(ROUND(AT222*(1+'Calc base'!H223),2)-MAX('Calc base'!C$12,ROUND('Calc base'!C$13*AT222,2))&lt;1,ROUND(AT222*(1+'Calc base'!H223),2),MAX('Calc base'!C$12,ROUND('Calc base'!C$13*AT222,2))))</f>
        <v>0</v>
      </c>
      <c r="K223">
        <f>IF(AU222&lt;=0,0,IF(ROUND(AU222*(1+'Calc base'!I223),2)-MAX('Calc base'!D$12,ROUND('Calc base'!D$13*AU222,2))&lt;1,ROUND(AU222*(1+'Calc base'!I223),2),MAX('Calc base'!D$12,ROUND('Calc base'!D$13*AU222,2))))</f>
        <v>0</v>
      </c>
      <c r="L223">
        <f>IF(AV222&lt;=0,0,IF(ROUND(AV222*(1+'Calc base'!J223),2)-MAX('Calc base'!E$12,ROUND('Calc base'!E$13*AV222,2))&lt;1,ROUND(AV222*(1+'Calc base'!J223),2),MAX('Calc base'!E$12,ROUND('Calc base'!E$13*AV222,2))))</f>
        <v>0</v>
      </c>
      <c r="M223">
        <f>IF(AW222&lt;=0,0,IF(ROUND(AW222*(1+'Calc base'!K223),2)-MAX('Calc base'!F$12,ROUND('Calc base'!F$13*AW222,2))&lt;1,ROUND(AW222*(1+'Calc base'!K223),2),MAX('Calc base'!F$12,ROUND('Calc base'!F$13*AW222,2))))</f>
        <v>0</v>
      </c>
      <c r="N223">
        <f>IF(AX222&lt;=0,0,IF(ROUND(AX222*(1+'Calc base'!L223),2)-MAX('Calc base'!G$12,ROUND('Calc base'!G$13*AX222,2))&lt;1,ROUND(AX222*(1+'Calc base'!L223),2),MAX('Calc base'!G$12,ROUND('Calc base'!G$13*AX222,2))))</f>
        <v>0</v>
      </c>
      <c r="O223">
        <f>IF(AY222&lt;=0,0,IF(ROUND(AY222*(1+'Calc base'!M223),2)-MAX('Calc base'!H$12,ROUND('Calc base'!H$13*AY222,2))&lt;1,ROUND(AY222*(1+'Calc base'!M223),2),MAX('Calc base'!H$12,ROUND('Calc base'!H$13*AY222,2))))</f>
        <v>0</v>
      </c>
      <c r="P223">
        <f>IF(AZ222&lt;=0,0,IF(ROUND(AZ222*(1+'Calc base'!N223),2)-MAX('Calc base'!I$12,ROUND('Calc base'!I$13*AZ222,2))&lt;1,ROUND(AZ222*(1+'Calc base'!N223),2),MAX('Calc base'!I$12,ROUND('Calc base'!I$13*AZ222,2))))</f>
        <v>0</v>
      </c>
      <c r="Q223">
        <f>IF(BA222&lt;=0,0,IF(ROUND(BA222*(1+'Calc base'!O223),2)-MAX('Calc base'!J$12,ROUND('Calc base'!J$13*BA222,2))&lt;1,ROUND(BA222*(1+'Calc base'!O223),2),MAX('Calc base'!J$12,ROUND('Calc base'!J$13*BA222,2))))</f>
        <v>0</v>
      </c>
      <c r="R223">
        <f>IF(BB222&lt;=0,0,IF(ROUND(BB222*(1+'Calc base'!P223),2)-MAX('Calc base'!K$12,ROUND('Calc base'!K$13*BB222,2))&lt;1,ROUND(BB222*(1+'Calc base'!P223),2),MAX('Calc base'!K$12,ROUND('Calc base'!K$13*BB222,2))))</f>
        <v>0</v>
      </c>
      <c r="S223">
        <f>IF(BC222&lt;=0,0,IF(ROUND(BC222*(1+'Calc base'!Q223),2)-MAX('Calc base'!L$12,ROUND('Calc base'!L$13*BC222,2))&lt;1,ROUND(BC222*(1+'Calc base'!Q223),2),MAX('Calc base'!L$12,ROUND('Calc base'!L$13*BC222,2))))</f>
        <v>0</v>
      </c>
      <c r="T223">
        <f>IF(BD222&lt;=0,0,IF(ROUND(BD222*(1+'Calc base'!R223),2)-MAX('Calc base'!M$12,ROUND('Calc base'!M$13*BD222,2))&lt;1,ROUND(BD222*(1+'Calc base'!R223),2),MAX('Calc base'!M$12,ROUND('Calc base'!M$13*BD222,2))))</f>
        <v>0</v>
      </c>
      <c r="U223">
        <f>IF(BE222&lt;=0,0,IF(ROUND(BE222*(1+'Calc base'!S223),2)-MAX('Calc base'!N$12,ROUND('Calc base'!N$13*BE222,2))&lt;1,ROUND(BE222*(1+'Calc base'!S223),2),MAX('Calc base'!N$12,ROUND('Calc base'!N$13*BE222,2))))</f>
        <v>0</v>
      </c>
      <c r="AT223">
        <f>MAX(0,ROUND(AT222*(1+'Calc base'!H223),2)-J223)</f>
        <v>0</v>
      </c>
      <c r="AU223">
        <f>MAX(0,ROUND(AU222*(1+'Calc base'!I223),2)-K223)</f>
        <v>0</v>
      </c>
      <c r="AV223">
        <f>MAX(0,ROUND(AV222*(1+'Calc base'!J223),2)-L223)</f>
        <v>0</v>
      </c>
      <c r="AW223">
        <f>MAX(0,ROUND(AW222*(1+'Calc base'!K223),2)-M223)</f>
        <v>0</v>
      </c>
      <c r="AX223">
        <f>MAX(0,ROUND(AX222*(1+'Calc base'!L223),2)-N223)</f>
        <v>0</v>
      </c>
      <c r="AY223">
        <f>MAX(0,ROUND(AY222*(1+'Calc base'!M223),2)-O223)</f>
        <v>0</v>
      </c>
      <c r="AZ223">
        <f>MAX(0,ROUND(AZ222*(1+'Calc base'!N223),2)-P223)</f>
        <v>0</v>
      </c>
      <c r="BA223">
        <f>MAX(0,ROUND(BA222*(1+'Calc base'!O223),2)-Q223)</f>
        <v>0</v>
      </c>
      <c r="BB223">
        <f>MAX(0,ROUND(BB222*(1+'Calc base'!P223),2)-R223)</f>
        <v>0</v>
      </c>
      <c r="BC223">
        <f>MAX(0,ROUND(BC222*(1+'Calc base'!Q223),2)-S223)</f>
        <v>0</v>
      </c>
      <c r="BD223">
        <f>MAX(0,ROUND(BD222*(1+'Calc base'!R223),2)-T223)</f>
        <v>0</v>
      </c>
      <c r="BE223">
        <f>MAX(0,ROUND(BE222*(1+'Calc base'!S223),2)-U223)</f>
        <v>0</v>
      </c>
    </row>
    <row r="224">
      <c r="A224" t="n">
        <v>194</v>
      </c>
      <c r="B224">
        <f>SUMPRODUCT(ROUND($AT223:$BE223*(1+'Calc base'!$H224:$S224),2))</f>
        <v>0</v>
      </c>
      <c r="C224">
        <f>SUM(J224:U224)</f>
        <v>0</v>
      </c>
      <c r="G224">
        <f>SUM(AT224:BE224)</f>
        <v>0</v>
      </c>
      <c r="H224">
        <f>B224-G223</f>
        <v>0</v>
      </c>
      <c r="I224">
        <f>B224-G224</f>
        <v>0</v>
      </c>
      <c r="J224">
        <f>IF(AT223&lt;=0,0,IF(ROUND(AT223*(1+'Calc base'!H224),2)-MAX('Calc base'!C$12,ROUND('Calc base'!C$13*AT223,2))&lt;1,ROUND(AT223*(1+'Calc base'!H224),2),MAX('Calc base'!C$12,ROUND('Calc base'!C$13*AT223,2))))</f>
        <v>0</v>
      </c>
      <c r="K224">
        <f>IF(AU223&lt;=0,0,IF(ROUND(AU223*(1+'Calc base'!I224),2)-MAX('Calc base'!D$12,ROUND('Calc base'!D$13*AU223,2))&lt;1,ROUND(AU223*(1+'Calc base'!I224),2),MAX('Calc base'!D$12,ROUND('Calc base'!D$13*AU223,2))))</f>
        <v>0</v>
      </c>
      <c r="L224">
        <f>IF(AV223&lt;=0,0,IF(ROUND(AV223*(1+'Calc base'!J224),2)-MAX('Calc base'!E$12,ROUND('Calc base'!E$13*AV223,2))&lt;1,ROUND(AV223*(1+'Calc base'!J224),2),MAX('Calc base'!E$12,ROUND('Calc base'!E$13*AV223,2))))</f>
        <v>0</v>
      </c>
      <c r="M224">
        <f>IF(AW223&lt;=0,0,IF(ROUND(AW223*(1+'Calc base'!K224),2)-MAX('Calc base'!F$12,ROUND('Calc base'!F$13*AW223,2))&lt;1,ROUND(AW223*(1+'Calc base'!K224),2),MAX('Calc base'!F$12,ROUND('Calc base'!F$13*AW223,2))))</f>
        <v>0</v>
      </c>
      <c r="N224">
        <f>IF(AX223&lt;=0,0,IF(ROUND(AX223*(1+'Calc base'!L224),2)-MAX('Calc base'!G$12,ROUND('Calc base'!G$13*AX223,2))&lt;1,ROUND(AX223*(1+'Calc base'!L224),2),MAX('Calc base'!G$12,ROUND('Calc base'!G$13*AX223,2))))</f>
        <v>0</v>
      </c>
      <c r="O224">
        <f>IF(AY223&lt;=0,0,IF(ROUND(AY223*(1+'Calc base'!M224),2)-MAX('Calc base'!H$12,ROUND('Calc base'!H$13*AY223,2))&lt;1,ROUND(AY223*(1+'Calc base'!M224),2),MAX('Calc base'!H$12,ROUND('Calc base'!H$13*AY223,2))))</f>
        <v>0</v>
      </c>
      <c r="P224">
        <f>IF(AZ223&lt;=0,0,IF(ROUND(AZ223*(1+'Calc base'!N224),2)-MAX('Calc base'!I$12,ROUND('Calc base'!I$13*AZ223,2))&lt;1,ROUND(AZ223*(1+'Calc base'!N224),2),MAX('Calc base'!I$12,ROUND('Calc base'!I$13*AZ223,2))))</f>
        <v>0</v>
      </c>
      <c r="Q224">
        <f>IF(BA223&lt;=0,0,IF(ROUND(BA223*(1+'Calc base'!O224),2)-MAX('Calc base'!J$12,ROUND('Calc base'!J$13*BA223,2))&lt;1,ROUND(BA223*(1+'Calc base'!O224),2),MAX('Calc base'!J$12,ROUND('Calc base'!J$13*BA223,2))))</f>
        <v>0</v>
      </c>
      <c r="R224">
        <f>IF(BB223&lt;=0,0,IF(ROUND(BB223*(1+'Calc base'!P224),2)-MAX('Calc base'!K$12,ROUND('Calc base'!K$13*BB223,2))&lt;1,ROUND(BB223*(1+'Calc base'!P224),2),MAX('Calc base'!K$12,ROUND('Calc base'!K$13*BB223,2))))</f>
        <v>0</v>
      </c>
      <c r="S224">
        <f>IF(BC223&lt;=0,0,IF(ROUND(BC223*(1+'Calc base'!Q224),2)-MAX('Calc base'!L$12,ROUND('Calc base'!L$13*BC223,2))&lt;1,ROUND(BC223*(1+'Calc base'!Q224),2),MAX('Calc base'!L$12,ROUND('Calc base'!L$13*BC223,2))))</f>
        <v>0</v>
      </c>
      <c r="T224">
        <f>IF(BD223&lt;=0,0,IF(ROUND(BD223*(1+'Calc base'!R224),2)-MAX('Calc base'!M$12,ROUND('Calc base'!M$13*BD223,2))&lt;1,ROUND(BD223*(1+'Calc base'!R224),2),MAX('Calc base'!M$12,ROUND('Calc base'!M$13*BD223,2))))</f>
        <v>0</v>
      </c>
      <c r="U224">
        <f>IF(BE223&lt;=0,0,IF(ROUND(BE223*(1+'Calc base'!S224),2)-MAX('Calc base'!N$12,ROUND('Calc base'!N$13*BE223,2))&lt;1,ROUND(BE223*(1+'Calc base'!S224),2),MAX('Calc base'!N$12,ROUND('Calc base'!N$13*BE223,2))))</f>
        <v>0</v>
      </c>
      <c r="AT224">
        <f>MAX(0,ROUND(AT223*(1+'Calc base'!H224),2)-J224)</f>
        <v>0</v>
      </c>
      <c r="AU224">
        <f>MAX(0,ROUND(AU223*(1+'Calc base'!I224),2)-K224)</f>
        <v>0</v>
      </c>
      <c r="AV224">
        <f>MAX(0,ROUND(AV223*(1+'Calc base'!J224),2)-L224)</f>
        <v>0</v>
      </c>
      <c r="AW224">
        <f>MAX(0,ROUND(AW223*(1+'Calc base'!K224),2)-M224)</f>
        <v>0</v>
      </c>
      <c r="AX224">
        <f>MAX(0,ROUND(AX223*(1+'Calc base'!L224),2)-N224)</f>
        <v>0</v>
      </c>
      <c r="AY224">
        <f>MAX(0,ROUND(AY223*(1+'Calc base'!M224),2)-O224)</f>
        <v>0</v>
      </c>
      <c r="AZ224">
        <f>MAX(0,ROUND(AZ223*(1+'Calc base'!N224),2)-P224)</f>
        <v>0</v>
      </c>
      <c r="BA224">
        <f>MAX(0,ROUND(BA223*(1+'Calc base'!O224),2)-Q224)</f>
        <v>0</v>
      </c>
      <c r="BB224">
        <f>MAX(0,ROUND(BB223*(1+'Calc base'!P224),2)-R224)</f>
        <v>0</v>
      </c>
      <c r="BC224">
        <f>MAX(0,ROUND(BC223*(1+'Calc base'!Q224),2)-S224)</f>
        <v>0</v>
      </c>
      <c r="BD224">
        <f>MAX(0,ROUND(BD223*(1+'Calc base'!R224),2)-T224)</f>
        <v>0</v>
      </c>
      <c r="BE224">
        <f>MAX(0,ROUND(BE223*(1+'Calc base'!S224),2)-U224)</f>
        <v>0</v>
      </c>
    </row>
    <row r="225">
      <c r="A225" t="n">
        <v>195</v>
      </c>
      <c r="B225">
        <f>SUMPRODUCT(ROUND($AT224:$BE224*(1+'Calc base'!$H225:$S225),2))</f>
        <v>0</v>
      </c>
      <c r="C225">
        <f>SUM(J225:U225)</f>
        <v>0</v>
      </c>
      <c r="G225">
        <f>SUM(AT225:BE225)</f>
        <v>0</v>
      </c>
      <c r="H225">
        <f>B225-G224</f>
        <v>0</v>
      </c>
      <c r="I225">
        <f>B225-G225</f>
        <v>0</v>
      </c>
      <c r="J225">
        <f>IF(AT224&lt;=0,0,IF(ROUND(AT224*(1+'Calc base'!H225),2)-MAX('Calc base'!C$12,ROUND('Calc base'!C$13*AT224,2))&lt;1,ROUND(AT224*(1+'Calc base'!H225),2),MAX('Calc base'!C$12,ROUND('Calc base'!C$13*AT224,2))))</f>
        <v>0</v>
      </c>
      <c r="K225">
        <f>IF(AU224&lt;=0,0,IF(ROUND(AU224*(1+'Calc base'!I225),2)-MAX('Calc base'!D$12,ROUND('Calc base'!D$13*AU224,2))&lt;1,ROUND(AU224*(1+'Calc base'!I225),2),MAX('Calc base'!D$12,ROUND('Calc base'!D$13*AU224,2))))</f>
        <v>0</v>
      </c>
      <c r="L225">
        <f>IF(AV224&lt;=0,0,IF(ROUND(AV224*(1+'Calc base'!J225),2)-MAX('Calc base'!E$12,ROUND('Calc base'!E$13*AV224,2))&lt;1,ROUND(AV224*(1+'Calc base'!J225),2),MAX('Calc base'!E$12,ROUND('Calc base'!E$13*AV224,2))))</f>
        <v>0</v>
      </c>
      <c r="M225">
        <f>IF(AW224&lt;=0,0,IF(ROUND(AW224*(1+'Calc base'!K225),2)-MAX('Calc base'!F$12,ROUND('Calc base'!F$13*AW224,2))&lt;1,ROUND(AW224*(1+'Calc base'!K225),2),MAX('Calc base'!F$12,ROUND('Calc base'!F$13*AW224,2))))</f>
        <v>0</v>
      </c>
      <c r="N225">
        <f>IF(AX224&lt;=0,0,IF(ROUND(AX224*(1+'Calc base'!L225),2)-MAX('Calc base'!G$12,ROUND('Calc base'!G$13*AX224,2))&lt;1,ROUND(AX224*(1+'Calc base'!L225),2),MAX('Calc base'!G$12,ROUND('Calc base'!G$13*AX224,2))))</f>
        <v>0</v>
      </c>
      <c r="O225">
        <f>IF(AY224&lt;=0,0,IF(ROUND(AY224*(1+'Calc base'!M225),2)-MAX('Calc base'!H$12,ROUND('Calc base'!H$13*AY224,2))&lt;1,ROUND(AY224*(1+'Calc base'!M225),2),MAX('Calc base'!H$12,ROUND('Calc base'!H$13*AY224,2))))</f>
        <v>0</v>
      </c>
      <c r="P225">
        <f>IF(AZ224&lt;=0,0,IF(ROUND(AZ224*(1+'Calc base'!N225),2)-MAX('Calc base'!I$12,ROUND('Calc base'!I$13*AZ224,2))&lt;1,ROUND(AZ224*(1+'Calc base'!N225),2),MAX('Calc base'!I$12,ROUND('Calc base'!I$13*AZ224,2))))</f>
        <v>0</v>
      </c>
      <c r="Q225">
        <f>IF(BA224&lt;=0,0,IF(ROUND(BA224*(1+'Calc base'!O225),2)-MAX('Calc base'!J$12,ROUND('Calc base'!J$13*BA224,2))&lt;1,ROUND(BA224*(1+'Calc base'!O225),2),MAX('Calc base'!J$12,ROUND('Calc base'!J$13*BA224,2))))</f>
        <v>0</v>
      </c>
      <c r="R225">
        <f>IF(BB224&lt;=0,0,IF(ROUND(BB224*(1+'Calc base'!P225),2)-MAX('Calc base'!K$12,ROUND('Calc base'!K$13*BB224,2))&lt;1,ROUND(BB224*(1+'Calc base'!P225),2),MAX('Calc base'!K$12,ROUND('Calc base'!K$13*BB224,2))))</f>
        <v>0</v>
      </c>
      <c r="S225">
        <f>IF(BC224&lt;=0,0,IF(ROUND(BC224*(1+'Calc base'!Q225),2)-MAX('Calc base'!L$12,ROUND('Calc base'!L$13*BC224,2))&lt;1,ROUND(BC224*(1+'Calc base'!Q225),2),MAX('Calc base'!L$12,ROUND('Calc base'!L$13*BC224,2))))</f>
        <v>0</v>
      </c>
      <c r="T225">
        <f>IF(BD224&lt;=0,0,IF(ROUND(BD224*(1+'Calc base'!R225),2)-MAX('Calc base'!M$12,ROUND('Calc base'!M$13*BD224,2))&lt;1,ROUND(BD224*(1+'Calc base'!R225),2),MAX('Calc base'!M$12,ROUND('Calc base'!M$13*BD224,2))))</f>
        <v>0</v>
      </c>
      <c r="U225">
        <f>IF(BE224&lt;=0,0,IF(ROUND(BE224*(1+'Calc base'!S225),2)-MAX('Calc base'!N$12,ROUND('Calc base'!N$13*BE224,2))&lt;1,ROUND(BE224*(1+'Calc base'!S225),2),MAX('Calc base'!N$12,ROUND('Calc base'!N$13*BE224,2))))</f>
        <v>0</v>
      </c>
      <c r="AT225">
        <f>MAX(0,ROUND(AT224*(1+'Calc base'!H225),2)-J225)</f>
        <v>0</v>
      </c>
      <c r="AU225">
        <f>MAX(0,ROUND(AU224*(1+'Calc base'!I225),2)-K225)</f>
        <v>0</v>
      </c>
      <c r="AV225">
        <f>MAX(0,ROUND(AV224*(1+'Calc base'!J225),2)-L225)</f>
        <v>0</v>
      </c>
      <c r="AW225">
        <f>MAX(0,ROUND(AW224*(1+'Calc base'!K225),2)-M225)</f>
        <v>0</v>
      </c>
      <c r="AX225">
        <f>MAX(0,ROUND(AX224*(1+'Calc base'!L225),2)-N225)</f>
        <v>0</v>
      </c>
      <c r="AY225">
        <f>MAX(0,ROUND(AY224*(1+'Calc base'!M225),2)-O225)</f>
        <v>0</v>
      </c>
      <c r="AZ225">
        <f>MAX(0,ROUND(AZ224*(1+'Calc base'!N225),2)-P225)</f>
        <v>0</v>
      </c>
      <c r="BA225">
        <f>MAX(0,ROUND(BA224*(1+'Calc base'!O225),2)-Q225)</f>
        <v>0</v>
      </c>
      <c r="BB225">
        <f>MAX(0,ROUND(BB224*(1+'Calc base'!P225),2)-R225)</f>
        <v>0</v>
      </c>
      <c r="BC225">
        <f>MAX(0,ROUND(BC224*(1+'Calc base'!Q225),2)-S225)</f>
        <v>0</v>
      </c>
      <c r="BD225">
        <f>MAX(0,ROUND(BD224*(1+'Calc base'!R225),2)-T225)</f>
        <v>0</v>
      </c>
      <c r="BE225">
        <f>MAX(0,ROUND(BE224*(1+'Calc base'!S225),2)-U225)</f>
        <v>0</v>
      </c>
    </row>
    <row r="226">
      <c r="A226" t="n">
        <v>196</v>
      </c>
      <c r="B226">
        <f>SUMPRODUCT(ROUND($AT225:$BE225*(1+'Calc base'!$H226:$S226),2))</f>
        <v>0</v>
      </c>
      <c r="C226">
        <f>SUM(J226:U226)</f>
        <v>0</v>
      </c>
      <c r="G226">
        <f>SUM(AT226:BE226)</f>
        <v>0</v>
      </c>
      <c r="H226">
        <f>B226-G225</f>
        <v>0</v>
      </c>
      <c r="I226">
        <f>B226-G226</f>
        <v>0</v>
      </c>
      <c r="J226">
        <f>IF(AT225&lt;=0,0,IF(ROUND(AT225*(1+'Calc base'!H226),2)-MAX('Calc base'!C$12,ROUND('Calc base'!C$13*AT225,2))&lt;1,ROUND(AT225*(1+'Calc base'!H226),2),MAX('Calc base'!C$12,ROUND('Calc base'!C$13*AT225,2))))</f>
        <v>0</v>
      </c>
      <c r="K226">
        <f>IF(AU225&lt;=0,0,IF(ROUND(AU225*(1+'Calc base'!I226),2)-MAX('Calc base'!D$12,ROUND('Calc base'!D$13*AU225,2))&lt;1,ROUND(AU225*(1+'Calc base'!I226),2),MAX('Calc base'!D$12,ROUND('Calc base'!D$13*AU225,2))))</f>
        <v>0</v>
      </c>
      <c r="L226">
        <f>IF(AV225&lt;=0,0,IF(ROUND(AV225*(1+'Calc base'!J226),2)-MAX('Calc base'!E$12,ROUND('Calc base'!E$13*AV225,2))&lt;1,ROUND(AV225*(1+'Calc base'!J226),2),MAX('Calc base'!E$12,ROUND('Calc base'!E$13*AV225,2))))</f>
        <v>0</v>
      </c>
      <c r="M226">
        <f>IF(AW225&lt;=0,0,IF(ROUND(AW225*(1+'Calc base'!K226),2)-MAX('Calc base'!F$12,ROUND('Calc base'!F$13*AW225,2))&lt;1,ROUND(AW225*(1+'Calc base'!K226),2),MAX('Calc base'!F$12,ROUND('Calc base'!F$13*AW225,2))))</f>
        <v>0</v>
      </c>
      <c r="N226">
        <f>IF(AX225&lt;=0,0,IF(ROUND(AX225*(1+'Calc base'!L226),2)-MAX('Calc base'!G$12,ROUND('Calc base'!G$13*AX225,2))&lt;1,ROUND(AX225*(1+'Calc base'!L226),2),MAX('Calc base'!G$12,ROUND('Calc base'!G$13*AX225,2))))</f>
        <v>0</v>
      </c>
      <c r="O226">
        <f>IF(AY225&lt;=0,0,IF(ROUND(AY225*(1+'Calc base'!M226),2)-MAX('Calc base'!H$12,ROUND('Calc base'!H$13*AY225,2))&lt;1,ROUND(AY225*(1+'Calc base'!M226),2),MAX('Calc base'!H$12,ROUND('Calc base'!H$13*AY225,2))))</f>
        <v>0</v>
      </c>
      <c r="P226">
        <f>IF(AZ225&lt;=0,0,IF(ROUND(AZ225*(1+'Calc base'!N226),2)-MAX('Calc base'!I$12,ROUND('Calc base'!I$13*AZ225,2))&lt;1,ROUND(AZ225*(1+'Calc base'!N226),2),MAX('Calc base'!I$12,ROUND('Calc base'!I$13*AZ225,2))))</f>
        <v>0</v>
      </c>
      <c r="Q226">
        <f>IF(BA225&lt;=0,0,IF(ROUND(BA225*(1+'Calc base'!O226),2)-MAX('Calc base'!J$12,ROUND('Calc base'!J$13*BA225,2))&lt;1,ROUND(BA225*(1+'Calc base'!O226),2),MAX('Calc base'!J$12,ROUND('Calc base'!J$13*BA225,2))))</f>
        <v>0</v>
      </c>
      <c r="R226">
        <f>IF(BB225&lt;=0,0,IF(ROUND(BB225*(1+'Calc base'!P226),2)-MAX('Calc base'!K$12,ROUND('Calc base'!K$13*BB225,2))&lt;1,ROUND(BB225*(1+'Calc base'!P226),2),MAX('Calc base'!K$12,ROUND('Calc base'!K$13*BB225,2))))</f>
        <v>0</v>
      </c>
      <c r="S226">
        <f>IF(BC225&lt;=0,0,IF(ROUND(BC225*(1+'Calc base'!Q226),2)-MAX('Calc base'!L$12,ROUND('Calc base'!L$13*BC225,2))&lt;1,ROUND(BC225*(1+'Calc base'!Q226),2),MAX('Calc base'!L$12,ROUND('Calc base'!L$13*BC225,2))))</f>
        <v>0</v>
      </c>
      <c r="T226">
        <f>IF(BD225&lt;=0,0,IF(ROUND(BD225*(1+'Calc base'!R226),2)-MAX('Calc base'!M$12,ROUND('Calc base'!M$13*BD225,2))&lt;1,ROUND(BD225*(1+'Calc base'!R226),2),MAX('Calc base'!M$12,ROUND('Calc base'!M$13*BD225,2))))</f>
        <v>0</v>
      </c>
      <c r="U226">
        <f>IF(BE225&lt;=0,0,IF(ROUND(BE225*(1+'Calc base'!S226),2)-MAX('Calc base'!N$12,ROUND('Calc base'!N$13*BE225,2))&lt;1,ROUND(BE225*(1+'Calc base'!S226),2),MAX('Calc base'!N$12,ROUND('Calc base'!N$13*BE225,2))))</f>
        <v>0</v>
      </c>
      <c r="AT226">
        <f>MAX(0,ROUND(AT225*(1+'Calc base'!H226),2)-J226)</f>
        <v>0</v>
      </c>
      <c r="AU226">
        <f>MAX(0,ROUND(AU225*(1+'Calc base'!I226),2)-K226)</f>
        <v>0</v>
      </c>
      <c r="AV226">
        <f>MAX(0,ROUND(AV225*(1+'Calc base'!J226),2)-L226)</f>
        <v>0</v>
      </c>
      <c r="AW226">
        <f>MAX(0,ROUND(AW225*(1+'Calc base'!K226),2)-M226)</f>
        <v>0</v>
      </c>
      <c r="AX226">
        <f>MAX(0,ROUND(AX225*(1+'Calc base'!L226),2)-N226)</f>
        <v>0</v>
      </c>
      <c r="AY226">
        <f>MAX(0,ROUND(AY225*(1+'Calc base'!M226),2)-O226)</f>
        <v>0</v>
      </c>
      <c r="AZ226">
        <f>MAX(0,ROUND(AZ225*(1+'Calc base'!N226),2)-P226)</f>
        <v>0</v>
      </c>
      <c r="BA226">
        <f>MAX(0,ROUND(BA225*(1+'Calc base'!O226),2)-Q226)</f>
        <v>0</v>
      </c>
      <c r="BB226">
        <f>MAX(0,ROUND(BB225*(1+'Calc base'!P226),2)-R226)</f>
        <v>0</v>
      </c>
      <c r="BC226">
        <f>MAX(0,ROUND(BC225*(1+'Calc base'!Q226),2)-S226)</f>
        <v>0</v>
      </c>
      <c r="BD226">
        <f>MAX(0,ROUND(BD225*(1+'Calc base'!R226),2)-T226)</f>
        <v>0</v>
      </c>
      <c r="BE226">
        <f>MAX(0,ROUND(BE225*(1+'Calc base'!S226),2)-U226)</f>
        <v>0</v>
      </c>
    </row>
    <row r="227">
      <c r="A227" t="n">
        <v>197</v>
      </c>
      <c r="B227">
        <f>SUMPRODUCT(ROUND($AT226:$BE226*(1+'Calc base'!$H227:$S227),2))</f>
        <v>0</v>
      </c>
      <c r="C227">
        <f>SUM(J227:U227)</f>
        <v>0</v>
      </c>
      <c r="G227">
        <f>SUM(AT227:BE227)</f>
        <v>0</v>
      </c>
      <c r="H227">
        <f>B227-G226</f>
        <v>0</v>
      </c>
      <c r="I227">
        <f>B227-G227</f>
        <v>0</v>
      </c>
      <c r="J227">
        <f>IF(AT226&lt;=0,0,IF(ROUND(AT226*(1+'Calc base'!H227),2)-MAX('Calc base'!C$12,ROUND('Calc base'!C$13*AT226,2))&lt;1,ROUND(AT226*(1+'Calc base'!H227),2),MAX('Calc base'!C$12,ROUND('Calc base'!C$13*AT226,2))))</f>
        <v>0</v>
      </c>
      <c r="K227">
        <f>IF(AU226&lt;=0,0,IF(ROUND(AU226*(1+'Calc base'!I227),2)-MAX('Calc base'!D$12,ROUND('Calc base'!D$13*AU226,2))&lt;1,ROUND(AU226*(1+'Calc base'!I227),2),MAX('Calc base'!D$12,ROUND('Calc base'!D$13*AU226,2))))</f>
        <v>0</v>
      </c>
      <c r="L227">
        <f>IF(AV226&lt;=0,0,IF(ROUND(AV226*(1+'Calc base'!J227),2)-MAX('Calc base'!E$12,ROUND('Calc base'!E$13*AV226,2))&lt;1,ROUND(AV226*(1+'Calc base'!J227),2),MAX('Calc base'!E$12,ROUND('Calc base'!E$13*AV226,2))))</f>
        <v>0</v>
      </c>
      <c r="M227">
        <f>IF(AW226&lt;=0,0,IF(ROUND(AW226*(1+'Calc base'!K227),2)-MAX('Calc base'!F$12,ROUND('Calc base'!F$13*AW226,2))&lt;1,ROUND(AW226*(1+'Calc base'!K227),2),MAX('Calc base'!F$12,ROUND('Calc base'!F$13*AW226,2))))</f>
        <v>0</v>
      </c>
      <c r="N227">
        <f>IF(AX226&lt;=0,0,IF(ROUND(AX226*(1+'Calc base'!L227),2)-MAX('Calc base'!G$12,ROUND('Calc base'!G$13*AX226,2))&lt;1,ROUND(AX226*(1+'Calc base'!L227),2),MAX('Calc base'!G$12,ROUND('Calc base'!G$13*AX226,2))))</f>
        <v>0</v>
      </c>
      <c r="O227">
        <f>IF(AY226&lt;=0,0,IF(ROUND(AY226*(1+'Calc base'!M227),2)-MAX('Calc base'!H$12,ROUND('Calc base'!H$13*AY226,2))&lt;1,ROUND(AY226*(1+'Calc base'!M227),2),MAX('Calc base'!H$12,ROUND('Calc base'!H$13*AY226,2))))</f>
        <v>0</v>
      </c>
      <c r="P227">
        <f>IF(AZ226&lt;=0,0,IF(ROUND(AZ226*(1+'Calc base'!N227),2)-MAX('Calc base'!I$12,ROUND('Calc base'!I$13*AZ226,2))&lt;1,ROUND(AZ226*(1+'Calc base'!N227),2),MAX('Calc base'!I$12,ROUND('Calc base'!I$13*AZ226,2))))</f>
        <v>0</v>
      </c>
      <c r="Q227">
        <f>IF(BA226&lt;=0,0,IF(ROUND(BA226*(1+'Calc base'!O227),2)-MAX('Calc base'!J$12,ROUND('Calc base'!J$13*BA226,2))&lt;1,ROUND(BA226*(1+'Calc base'!O227),2),MAX('Calc base'!J$12,ROUND('Calc base'!J$13*BA226,2))))</f>
        <v>0</v>
      </c>
      <c r="R227">
        <f>IF(BB226&lt;=0,0,IF(ROUND(BB226*(1+'Calc base'!P227),2)-MAX('Calc base'!K$12,ROUND('Calc base'!K$13*BB226,2))&lt;1,ROUND(BB226*(1+'Calc base'!P227),2),MAX('Calc base'!K$12,ROUND('Calc base'!K$13*BB226,2))))</f>
        <v>0</v>
      </c>
      <c r="S227">
        <f>IF(BC226&lt;=0,0,IF(ROUND(BC226*(1+'Calc base'!Q227),2)-MAX('Calc base'!L$12,ROUND('Calc base'!L$13*BC226,2))&lt;1,ROUND(BC226*(1+'Calc base'!Q227),2),MAX('Calc base'!L$12,ROUND('Calc base'!L$13*BC226,2))))</f>
        <v>0</v>
      </c>
      <c r="T227">
        <f>IF(BD226&lt;=0,0,IF(ROUND(BD226*(1+'Calc base'!R227),2)-MAX('Calc base'!M$12,ROUND('Calc base'!M$13*BD226,2))&lt;1,ROUND(BD226*(1+'Calc base'!R227),2),MAX('Calc base'!M$12,ROUND('Calc base'!M$13*BD226,2))))</f>
        <v>0</v>
      </c>
      <c r="U227">
        <f>IF(BE226&lt;=0,0,IF(ROUND(BE226*(1+'Calc base'!S227),2)-MAX('Calc base'!N$12,ROUND('Calc base'!N$13*BE226,2))&lt;1,ROUND(BE226*(1+'Calc base'!S227),2),MAX('Calc base'!N$12,ROUND('Calc base'!N$13*BE226,2))))</f>
        <v>0</v>
      </c>
      <c r="AT227">
        <f>MAX(0,ROUND(AT226*(1+'Calc base'!H227),2)-J227)</f>
        <v>0</v>
      </c>
      <c r="AU227">
        <f>MAX(0,ROUND(AU226*(1+'Calc base'!I227),2)-K227)</f>
        <v>0</v>
      </c>
      <c r="AV227">
        <f>MAX(0,ROUND(AV226*(1+'Calc base'!J227),2)-L227)</f>
        <v>0</v>
      </c>
      <c r="AW227">
        <f>MAX(0,ROUND(AW226*(1+'Calc base'!K227),2)-M227)</f>
        <v>0</v>
      </c>
      <c r="AX227">
        <f>MAX(0,ROUND(AX226*(1+'Calc base'!L227),2)-N227)</f>
        <v>0</v>
      </c>
      <c r="AY227">
        <f>MAX(0,ROUND(AY226*(1+'Calc base'!M227),2)-O227)</f>
        <v>0</v>
      </c>
      <c r="AZ227">
        <f>MAX(0,ROUND(AZ226*(1+'Calc base'!N227),2)-P227)</f>
        <v>0</v>
      </c>
      <c r="BA227">
        <f>MAX(0,ROUND(BA226*(1+'Calc base'!O227),2)-Q227)</f>
        <v>0</v>
      </c>
      <c r="BB227">
        <f>MAX(0,ROUND(BB226*(1+'Calc base'!P227),2)-R227)</f>
        <v>0</v>
      </c>
      <c r="BC227">
        <f>MAX(0,ROUND(BC226*(1+'Calc base'!Q227),2)-S227)</f>
        <v>0</v>
      </c>
      <c r="BD227">
        <f>MAX(0,ROUND(BD226*(1+'Calc base'!R227),2)-T227)</f>
        <v>0</v>
      </c>
      <c r="BE227">
        <f>MAX(0,ROUND(BE226*(1+'Calc base'!S227),2)-U227)</f>
        <v>0</v>
      </c>
    </row>
    <row r="228">
      <c r="A228" t="n">
        <v>198</v>
      </c>
      <c r="B228">
        <f>SUMPRODUCT(ROUND($AT227:$BE227*(1+'Calc base'!$H228:$S228),2))</f>
        <v>0</v>
      </c>
      <c r="C228">
        <f>SUM(J228:U228)</f>
        <v>0</v>
      </c>
      <c r="G228">
        <f>SUM(AT228:BE228)</f>
        <v>0</v>
      </c>
      <c r="H228">
        <f>B228-G227</f>
        <v>0</v>
      </c>
      <c r="I228">
        <f>B228-G228</f>
        <v>0</v>
      </c>
      <c r="J228">
        <f>IF(AT227&lt;=0,0,IF(ROUND(AT227*(1+'Calc base'!H228),2)-MAX('Calc base'!C$12,ROUND('Calc base'!C$13*AT227,2))&lt;1,ROUND(AT227*(1+'Calc base'!H228),2),MAX('Calc base'!C$12,ROUND('Calc base'!C$13*AT227,2))))</f>
        <v>0</v>
      </c>
      <c r="K228">
        <f>IF(AU227&lt;=0,0,IF(ROUND(AU227*(1+'Calc base'!I228),2)-MAX('Calc base'!D$12,ROUND('Calc base'!D$13*AU227,2))&lt;1,ROUND(AU227*(1+'Calc base'!I228),2),MAX('Calc base'!D$12,ROUND('Calc base'!D$13*AU227,2))))</f>
        <v>0</v>
      </c>
      <c r="L228">
        <f>IF(AV227&lt;=0,0,IF(ROUND(AV227*(1+'Calc base'!J228),2)-MAX('Calc base'!E$12,ROUND('Calc base'!E$13*AV227,2))&lt;1,ROUND(AV227*(1+'Calc base'!J228),2),MAX('Calc base'!E$12,ROUND('Calc base'!E$13*AV227,2))))</f>
        <v>0</v>
      </c>
      <c r="M228">
        <f>IF(AW227&lt;=0,0,IF(ROUND(AW227*(1+'Calc base'!K228),2)-MAX('Calc base'!F$12,ROUND('Calc base'!F$13*AW227,2))&lt;1,ROUND(AW227*(1+'Calc base'!K228),2),MAX('Calc base'!F$12,ROUND('Calc base'!F$13*AW227,2))))</f>
        <v>0</v>
      </c>
      <c r="N228">
        <f>IF(AX227&lt;=0,0,IF(ROUND(AX227*(1+'Calc base'!L228),2)-MAX('Calc base'!G$12,ROUND('Calc base'!G$13*AX227,2))&lt;1,ROUND(AX227*(1+'Calc base'!L228),2),MAX('Calc base'!G$12,ROUND('Calc base'!G$13*AX227,2))))</f>
        <v>0</v>
      </c>
      <c r="O228">
        <f>IF(AY227&lt;=0,0,IF(ROUND(AY227*(1+'Calc base'!M228),2)-MAX('Calc base'!H$12,ROUND('Calc base'!H$13*AY227,2))&lt;1,ROUND(AY227*(1+'Calc base'!M228),2),MAX('Calc base'!H$12,ROUND('Calc base'!H$13*AY227,2))))</f>
        <v>0</v>
      </c>
      <c r="P228">
        <f>IF(AZ227&lt;=0,0,IF(ROUND(AZ227*(1+'Calc base'!N228),2)-MAX('Calc base'!I$12,ROUND('Calc base'!I$13*AZ227,2))&lt;1,ROUND(AZ227*(1+'Calc base'!N228),2),MAX('Calc base'!I$12,ROUND('Calc base'!I$13*AZ227,2))))</f>
        <v>0</v>
      </c>
      <c r="Q228">
        <f>IF(BA227&lt;=0,0,IF(ROUND(BA227*(1+'Calc base'!O228),2)-MAX('Calc base'!J$12,ROUND('Calc base'!J$13*BA227,2))&lt;1,ROUND(BA227*(1+'Calc base'!O228),2),MAX('Calc base'!J$12,ROUND('Calc base'!J$13*BA227,2))))</f>
        <v>0</v>
      </c>
      <c r="R228">
        <f>IF(BB227&lt;=0,0,IF(ROUND(BB227*(1+'Calc base'!P228),2)-MAX('Calc base'!K$12,ROUND('Calc base'!K$13*BB227,2))&lt;1,ROUND(BB227*(1+'Calc base'!P228),2),MAX('Calc base'!K$12,ROUND('Calc base'!K$13*BB227,2))))</f>
        <v>0</v>
      </c>
      <c r="S228">
        <f>IF(BC227&lt;=0,0,IF(ROUND(BC227*(1+'Calc base'!Q228),2)-MAX('Calc base'!L$12,ROUND('Calc base'!L$13*BC227,2))&lt;1,ROUND(BC227*(1+'Calc base'!Q228),2),MAX('Calc base'!L$12,ROUND('Calc base'!L$13*BC227,2))))</f>
        <v>0</v>
      </c>
      <c r="T228">
        <f>IF(BD227&lt;=0,0,IF(ROUND(BD227*(1+'Calc base'!R228),2)-MAX('Calc base'!M$12,ROUND('Calc base'!M$13*BD227,2))&lt;1,ROUND(BD227*(1+'Calc base'!R228),2),MAX('Calc base'!M$12,ROUND('Calc base'!M$13*BD227,2))))</f>
        <v>0</v>
      </c>
      <c r="U228">
        <f>IF(BE227&lt;=0,0,IF(ROUND(BE227*(1+'Calc base'!S228),2)-MAX('Calc base'!N$12,ROUND('Calc base'!N$13*BE227,2))&lt;1,ROUND(BE227*(1+'Calc base'!S228),2),MAX('Calc base'!N$12,ROUND('Calc base'!N$13*BE227,2))))</f>
        <v>0</v>
      </c>
      <c r="AT228">
        <f>MAX(0,ROUND(AT227*(1+'Calc base'!H228),2)-J228)</f>
        <v>0</v>
      </c>
      <c r="AU228">
        <f>MAX(0,ROUND(AU227*(1+'Calc base'!I228),2)-K228)</f>
        <v>0</v>
      </c>
      <c r="AV228">
        <f>MAX(0,ROUND(AV227*(1+'Calc base'!J228),2)-L228)</f>
        <v>0</v>
      </c>
      <c r="AW228">
        <f>MAX(0,ROUND(AW227*(1+'Calc base'!K228),2)-M228)</f>
        <v>0</v>
      </c>
      <c r="AX228">
        <f>MAX(0,ROUND(AX227*(1+'Calc base'!L228),2)-N228)</f>
        <v>0</v>
      </c>
      <c r="AY228">
        <f>MAX(0,ROUND(AY227*(1+'Calc base'!M228),2)-O228)</f>
        <v>0</v>
      </c>
      <c r="AZ228">
        <f>MAX(0,ROUND(AZ227*(1+'Calc base'!N228),2)-P228)</f>
        <v>0</v>
      </c>
      <c r="BA228">
        <f>MAX(0,ROUND(BA227*(1+'Calc base'!O228),2)-Q228)</f>
        <v>0</v>
      </c>
      <c r="BB228">
        <f>MAX(0,ROUND(BB227*(1+'Calc base'!P228),2)-R228)</f>
        <v>0</v>
      </c>
      <c r="BC228">
        <f>MAX(0,ROUND(BC227*(1+'Calc base'!Q228),2)-S228)</f>
        <v>0</v>
      </c>
      <c r="BD228">
        <f>MAX(0,ROUND(BD227*(1+'Calc base'!R228),2)-T228)</f>
        <v>0</v>
      </c>
      <c r="BE228">
        <f>MAX(0,ROUND(BE227*(1+'Calc base'!S228),2)-U228)</f>
        <v>0</v>
      </c>
    </row>
    <row r="229">
      <c r="A229" t="n">
        <v>199</v>
      </c>
      <c r="B229">
        <f>SUMPRODUCT(ROUND($AT228:$BE228*(1+'Calc base'!$H229:$S229),2))</f>
        <v>0</v>
      </c>
      <c r="C229">
        <f>SUM(J229:U229)</f>
        <v>0</v>
      </c>
      <c r="G229">
        <f>SUM(AT229:BE229)</f>
        <v>0</v>
      </c>
      <c r="H229">
        <f>B229-G228</f>
        <v>0</v>
      </c>
      <c r="I229">
        <f>B229-G229</f>
        <v>0</v>
      </c>
      <c r="J229">
        <f>IF(AT228&lt;=0,0,IF(ROUND(AT228*(1+'Calc base'!H229),2)-MAX('Calc base'!C$12,ROUND('Calc base'!C$13*AT228,2))&lt;1,ROUND(AT228*(1+'Calc base'!H229),2),MAX('Calc base'!C$12,ROUND('Calc base'!C$13*AT228,2))))</f>
        <v>0</v>
      </c>
      <c r="K229">
        <f>IF(AU228&lt;=0,0,IF(ROUND(AU228*(1+'Calc base'!I229),2)-MAX('Calc base'!D$12,ROUND('Calc base'!D$13*AU228,2))&lt;1,ROUND(AU228*(1+'Calc base'!I229),2),MAX('Calc base'!D$12,ROUND('Calc base'!D$13*AU228,2))))</f>
        <v>0</v>
      </c>
      <c r="L229">
        <f>IF(AV228&lt;=0,0,IF(ROUND(AV228*(1+'Calc base'!J229),2)-MAX('Calc base'!E$12,ROUND('Calc base'!E$13*AV228,2))&lt;1,ROUND(AV228*(1+'Calc base'!J229),2),MAX('Calc base'!E$12,ROUND('Calc base'!E$13*AV228,2))))</f>
        <v>0</v>
      </c>
      <c r="M229">
        <f>IF(AW228&lt;=0,0,IF(ROUND(AW228*(1+'Calc base'!K229),2)-MAX('Calc base'!F$12,ROUND('Calc base'!F$13*AW228,2))&lt;1,ROUND(AW228*(1+'Calc base'!K229),2),MAX('Calc base'!F$12,ROUND('Calc base'!F$13*AW228,2))))</f>
        <v>0</v>
      </c>
      <c r="N229">
        <f>IF(AX228&lt;=0,0,IF(ROUND(AX228*(1+'Calc base'!L229),2)-MAX('Calc base'!G$12,ROUND('Calc base'!G$13*AX228,2))&lt;1,ROUND(AX228*(1+'Calc base'!L229),2),MAX('Calc base'!G$12,ROUND('Calc base'!G$13*AX228,2))))</f>
        <v>0</v>
      </c>
      <c r="O229">
        <f>IF(AY228&lt;=0,0,IF(ROUND(AY228*(1+'Calc base'!M229),2)-MAX('Calc base'!H$12,ROUND('Calc base'!H$13*AY228,2))&lt;1,ROUND(AY228*(1+'Calc base'!M229),2),MAX('Calc base'!H$12,ROUND('Calc base'!H$13*AY228,2))))</f>
        <v>0</v>
      </c>
      <c r="P229">
        <f>IF(AZ228&lt;=0,0,IF(ROUND(AZ228*(1+'Calc base'!N229),2)-MAX('Calc base'!I$12,ROUND('Calc base'!I$13*AZ228,2))&lt;1,ROUND(AZ228*(1+'Calc base'!N229),2),MAX('Calc base'!I$12,ROUND('Calc base'!I$13*AZ228,2))))</f>
        <v>0</v>
      </c>
      <c r="Q229">
        <f>IF(BA228&lt;=0,0,IF(ROUND(BA228*(1+'Calc base'!O229),2)-MAX('Calc base'!J$12,ROUND('Calc base'!J$13*BA228,2))&lt;1,ROUND(BA228*(1+'Calc base'!O229),2),MAX('Calc base'!J$12,ROUND('Calc base'!J$13*BA228,2))))</f>
        <v>0</v>
      </c>
      <c r="R229">
        <f>IF(BB228&lt;=0,0,IF(ROUND(BB228*(1+'Calc base'!P229),2)-MAX('Calc base'!K$12,ROUND('Calc base'!K$13*BB228,2))&lt;1,ROUND(BB228*(1+'Calc base'!P229),2),MAX('Calc base'!K$12,ROUND('Calc base'!K$13*BB228,2))))</f>
        <v>0</v>
      </c>
      <c r="S229">
        <f>IF(BC228&lt;=0,0,IF(ROUND(BC228*(1+'Calc base'!Q229),2)-MAX('Calc base'!L$12,ROUND('Calc base'!L$13*BC228,2))&lt;1,ROUND(BC228*(1+'Calc base'!Q229),2),MAX('Calc base'!L$12,ROUND('Calc base'!L$13*BC228,2))))</f>
        <v>0</v>
      </c>
      <c r="T229">
        <f>IF(BD228&lt;=0,0,IF(ROUND(BD228*(1+'Calc base'!R229),2)-MAX('Calc base'!M$12,ROUND('Calc base'!M$13*BD228,2))&lt;1,ROUND(BD228*(1+'Calc base'!R229),2),MAX('Calc base'!M$12,ROUND('Calc base'!M$13*BD228,2))))</f>
        <v>0</v>
      </c>
      <c r="U229">
        <f>IF(BE228&lt;=0,0,IF(ROUND(BE228*(1+'Calc base'!S229),2)-MAX('Calc base'!N$12,ROUND('Calc base'!N$13*BE228,2))&lt;1,ROUND(BE228*(1+'Calc base'!S229),2),MAX('Calc base'!N$12,ROUND('Calc base'!N$13*BE228,2))))</f>
        <v>0</v>
      </c>
      <c r="AT229">
        <f>MAX(0,ROUND(AT228*(1+'Calc base'!H229),2)-J229)</f>
        <v>0</v>
      </c>
      <c r="AU229">
        <f>MAX(0,ROUND(AU228*(1+'Calc base'!I229),2)-K229)</f>
        <v>0</v>
      </c>
      <c r="AV229">
        <f>MAX(0,ROUND(AV228*(1+'Calc base'!J229),2)-L229)</f>
        <v>0</v>
      </c>
      <c r="AW229">
        <f>MAX(0,ROUND(AW228*(1+'Calc base'!K229),2)-M229)</f>
        <v>0</v>
      </c>
      <c r="AX229">
        <f>MAX(0,ROUND(AX228*(1+'Calc base'!L229),2)-N229)</f>
        <v>0</v>
      </c>
      <c r="AY229">
        <f>MAX(0,ROUND(AY228*(1+'Calc base'!M229),2)-O229)</f>
        <v>0</v>
      </c>
      <c r="AZ229">
        <f>MAX(0,ROUND(AZ228*(1+'Calc base'!N229),2)-P229)</f>
        <v>0</v>
      </c>
      <c r="BA229">
        <f>MAX(0,ROUND(BA228*(1+'Calc base'!O229),2)-Q229)</f>
        <v>0</v>
      </c>
      <c r="BB229">
        <f>MAX(0,ROUND(BB228*(1+'Calc base'!P229),2)-R229)</f>
        <v>0</v>
      </c>
      <c r="BC229">
        <f>MAX(0,ROUND(BC228*(1+'Calc base'!Q229),2)-S229)</f>
        <v>0</v>
      </c>
      <c r="BD229">
        <f>MAX(0,ROUND(BD228*(1+'Calc base'!R229),2)-T229)</f>
        <v>0</v>
      </c>
      <c r="BE229">
        <f>MAX(0,ROUND(BE228*(1+'Calc base'!S229),2)-U229)</f>
        <v>0</v>
      </c>
    </row>
    <row r="230">
      <c r="A230" t="n">
        <v>200</v>
      </c>
      <c r="B230">
        <f>SUMPRODUCT(ROUND($AT229:$BE229*(1+'Calc base'!$H230:$S230),2))</f>
        <v>0</v>
      </c>
      <c r="C230">
        <f>SUM(J230:U230)</f>
        <v>0</v>
      </c>
      <c r="G230">
        <f>SUM(AT230:BE230)</f>
        <v>0</v>
      </c>
      <c r="H230">
        <f>B230-G229</f>
        <v>0</v>
      </c>
      <c r="I230">
        <f>B230-G230</f>
        <v>0</v>
      </c>
      <c r="J230">
        <f>IF(AT229&lt;=0,0,IF(ROUND(AT229*(1+'Calc base'!H230),2)-MAX('Calc base'!C$12,ROUND('Calc base'!C$13*AT229,2))&lt;1,ROUND(AT229*(1+'Calc base'!H230),2),MAX('Calc base'!C$12,ROUND('Calc base'!C$13*AT229,2))))</f>
        <v>0</v>
      </c>
      <c r="K230">
        <f>IF(AU229&lt;=0,0,IF(ROUND(AU229*(1+'Calc base'!I230),2)-MAX('Calc base'!D$12,ROUND('Calc base'!D$13*AU229,2))&lt;1,ROUND(AU229*(1+'Calc base'!I230),2),MAX('Calc base'!D$12,ROUND('Calc base'!D$13*AU229,2))))</f>
        <v>0</v>
      </c>
      <c r="L230">
        <f>IF(AV229&lt;=0,0,IF(ROUND(AV229*(1+'Calc base'!J230),2)-MAX('Calc base'!E$12,ROUND('Calc base'!E$13*AV229,2))&lt;1,ROUND(AV229*(1+'Calc base'!J230),2),MAX('Calc base'!E$12,ROUND('Calc base'!E$13*AV229,2))))</f>
        <v>0</v>
      </c>
      <c r="M230">
        <f>IF(AW229&lt;=0,0,IF(ROUND(AW229*(1+'Calc base'!K230),2)-MAX('Calc base'!F$12,ROUND('Calc base'!F$13*AW229,2))&lt;1,ROUND(AW229*(1+'Calc base'!K230),2),MAX('Calc base'!F$12,ROUND('Calc base'!F$13*AW229,2))))</f>
        <v>0</v>
      </c>
      <c r="N230">
        <f>IF(AX229&lt;=0,0,IF(ROUND(AX229*(1+'Calc base'!L230),2)-MAX('Calc base'!G$12,ROUND('Calc base'!G$13*AX229,2))&lt;1,ROUND(AX229*(1+'Calc base'!L230),2),MAX('Calc base'!G$12,ROUND('Calc base'!G$13*AX229,2))))</f>
        <v>0</v>
      </c>
      <c r="O230">
        <f>IF(AY229&lt;=0,0,IF(ROUND(AY229*(1+'Calc base'!M230),2)-MAX('Calc base'!H$12,ROUND('Calc base'!H$13*AY229,2))&lt;1,ROUND(AY229*(1+'Calc base'!M230),2),MAX('Calc base'!H$12,ROUND('Calc base'!H$13*AY229,2))))</f>
        <v>0</v>
      </c>
      <c r="P230">
        <f>IF(AZ229&lt;=0,0,IF(ROUND(AZ229*(1+'Calc base'!N230),2)-MAX('Calc base'!I$12,ROUND('Calc base'!I$13*AZ229,2))&lt;1,ROUND(AZ229*(1+'Calc base'!N230),2),MAX('Calc base'!I$12,ROUND('Calc base'!I$13*AZ229,2))))</f>
        <v>0</v>
      </c>
      <c r="Q230">
        <f>IF(BA229&lt;=0,0,IF(ROUND(BA229*(1+'Calc base'!O230),2)-MAX('Calc base'!J$12,ROUND('Calc base'!J$13*BA229,2))&lt;1,ROUND(BA229*(1+'Calc base'!O230),2),MAX('Calc base'!J$12,ROUND('Calc base'!J$13*BA229,2))))</f>
        <v>0</v>
      </c>
      <c r="R230">
        <f>IF(BB229&lt;=0,0,IF(ROUND(BB229*(1+'Calc base'!P230),2)-MAX('Calc base'!K$12,ROUND('Calc base'!K$13*BB229,2))&lt;1,ROUND(BB229*(1+'Calc base'!P230),2),MAX('Calc base'!K$12,ROUND('Calc base'!K$13*BB229,2))))</f>
        <v>0</v>
      </c>
      <c r="S230">
        <f>IF(BC229&lt;=0,0,IF(ROUND(BC229*(1+'Calc base'!Q230),2)-MAX('Calc base'!L$12,ROUND('Calc base'!L$13*BC229,2))&lt;1,ROUND(BC229*(1+'Calc base'!Q230),2),MAX('Calc base'!L$12,ROUND('Calc base'!L$13*BC229,2))))</f>
        <v>0</v>
      </c>
      <c r="T230">
        <f>IF(BD229&lt;=0,0,IF(ROUND(BD229*(1+'Calc base'!R230),2)-MAX('Calc base'!M$12,ROUND('Calc base'!M$13*BD229,2))&lt;1,ROUND(BD229*(1+'Calc base'!R230),2),MAX('Calc base'!M$12,ROUND('Calc base'!M$13*BD229,2))))</f>
        <v>0</v>
      </c>
      <c r="U230">
        <f>IF(BE229&lt;=0,0,IF(ROUND(BE229*(1+'Calc base'!S230),2)-MAX('Calc base'!N$12,ROUND('Calc base'!N$13*BE229,2))&lt;1,ROUND(BE229*(1+'Calc base'!S230),2),MAX('Calc base'!N$12,ROUND('Calc base'!N$13*BE229,2))))</f>
        <v>0</v>
      </c>
      <c r="AT230">
        <f>MAX(0,ROUND(AT229*(1+'Calc base'!H230),2)-J230)</f>
        <v>0</v>
      </c>
      <c r="AU230">
        <f>MAX(0,ROUND(AU229*(1+'Calc base'!I230),2)-K230)</f>
        <v>0</v>
      </c>
      <c r="AV230">
        <f>MAX(0,ROUND(AV229*(1+'Calc base'!J230),2)-L230)</f>
        <v>0</v>
      </c>
      <c r="AW230">
        <f>MAX(0,ROUND(AW229*(1+'Calc base'!K230),2)-M230)</f>
        <v>0</v>
      </c>
      <c r="AX230">
        <f>MAX(0,ROUND(AX229*(1+'Calc base'!L230),2)-N230)</f>
        <v>0</v>
      </c>
      <c r="AY230">
        <f>MAX(0,ROUND(AY229*(1+'Calc base'!M230),2)-O230)</f>
        <v>0</v>
      </c>
      <c r="AZ230">
        <f>MAX(0,ROUND(AZ229*(1+'Calc base'!N230),2)-P230)</f>
        <v>0</v>
      </c>
      <c r="BA230">
        <f>MAX(0,ROUND(BA229*(1+'Calc base'!O230),2)-Q230)</f>
        <v>0</v>
      </c>
      <c r="BB230">
        <f>MAX(0,ROUND(BB229*(1+'Calc base'!P230),2)-R230)</f>
        <v>0</v>
      </c>
      <c r="BC230">
        <f>MAX(0,ROUND(BC229*(1+'Calc base'!Q230),2)-S230)</f>
        <v>0</v>
      </c>
      <c r="BD230">
        <f>MAX(0,ROUND(BD229*(1+'Calc base'!R230),2)-T230)</f>
        <v>0</v>
      </c>
      <c r="BE230">
        <f>MAX(0,ROUND(BE229*(1+'Calc base'!S230),2)-U230)</f>
        <v>0</v>
      </c>
    </row>
    <row r="231">
      <c r="A231" t="n">
        <v>201</v>
      </c>
      <c r="B231">
        <f>SUMPRODUCT(ROUND($AT230:$BE230*(1+'Calc base'!$H231:$S231),2))</f>
        <v>0</v>
      </c>
      <c r="C231">
        <f>SUM(J231:U231)</f>
        <v>0</v>
      </c>
      <c r="G231">
        <f>SUM(AT231:BE231)</f>
        <v>0</v>
      </c>
      <c r="H231">
        <f>B231-G230</f>
        <v>0</v>
      </c>
      <c r="I231">
        <f>B231-G231</f>
        <v>0</v>
      </c>
      <c r="J231">
        <f>IF(AT230&lt;=0,0,IF(ROUND(AT230*(1+'Calc base'!H231),2)-MAX('Calc base'!C$12,ROUND('Calc base'!C$13*AT230,2))&lt;1,ROUND(AT230*(1+'Calc base'!H231),2),MAX('Calc base'!C$12,ROUND('Calc base'!C$13*AT230,2))))</f>
        <v>0</v>
      </c>
      <c r="K231">
        <f>IF(AU230&lt;=0,0,IF(ROUND(AU230*(1+'Calc base'!I231),2)-MAX('Calc base'!D$12,ROUND('Calc base'!D$13*AU230,2))&lt;1,ROUND(AU230*(1+'Calc base'!I231),2),MAX('Calc base'!D$12,ROUND('Calc base'!D$13*AU230,2))))</f>
        <v>0</v>
      </c>
      <c r="L231">
        <f>IF(AV230&lt;=0,0,IF(ROUND(AV230*(1+'Calc base'!J231),2)-MAX('Calc base'!E$12,ROUND('Calc base'!E$13*AV230,2))&lt;1,ROUND(AV230*(1+'Calc base'!J231),2),MAX('Calc base'!E$12,ROUND('Calc base'!E$13*AV230,2))))</f>
        <v>0</v>
      </c>
      <c r="M231">
        <f>IF(AW230&lt;=0,0,IF(ROUND(AW230*(1+'Calc base'!K231),2)-MAX('Calc base'!F$12,ROUND('Calc base'!F$13*AW230,2))&lt;1,ROUND(AW230*(1+'Calc base'!K231),2),MAX('Calc base'!F$12,ROUND('Calc base'!F$13*AW230,2))))</f>
        <v>0</v>
      </c>
      <c r="N231">
        <f>IF(AX230&lt;=0,0,IF(ROUND(AX230*(1+'Calc base'!L231),2)-MAX('Calc base'!G$12,ROUND('Calc base'!G$13*AX230,2))&lt;1,ROUND(AX230*(1+'Calc base'!L231),2),MAX('Calc base'!G$12,ROUND('Calc base'!G$13*AX230,2))))</f>
        <v>0</v>
      </c>
      <c r="O231">
        <f>IF(AY230&lt;=0,0,IF(ROUND(AY230*(1+'Calc base'!M231),2)-MAX('Calc base'!H$12,ROUND('Calc base'!H$13*AY230,2))&lt;1,ROUND(AY230*(1+'Calc base'!M231),2),MAX('Calc base'!H$12,ROUND('Calc base'!H$13*AY230,2))))</f>
        <v>0</v>
      </c>
      <c r="P231">
        <f>IF(AZ230&lt;=0,0,IF(ROUND(AZ230*(1+'Calc base'!N231),2)-MAX('Calc base'!I$12,ROUND('Calc base'!I$13*AZ230,2))&lt;1,ROUND(AZ230*(1+'Calc base'!N231),2),MAX('Calc base'!I$12,ROUND('Calc base'!I$13*AZ230,2))))</f>
        <v>0</v>
      </c>
      <c r="Q231">
        <f>IF(BA230&lt;=0,0,IF(ROUND(BA230*(1+'Calc base'!O231),2)-MAX('Calc base'!J$12,ROUND('Calc base'!J$13*BA230,2))&lt;1,ROUND(BA230*(1+'Calc base'!O231),2),MAX('Calc base'!J$12,ROUND('Calc base'!J$13*BA230,2))))</f>
        <v>0</v>
      </c>
      <c r="R231">
        <f>IF(BB230&lt;=0,0,IF(ROUND(BB230*(1+'Calc base'!P231),2)-MAX('Calc base'!K$12,ROUND('Calc base'!K$13*BB230,2))&lt;1,ROUND(BB230*(1+'Calc base'!P231),2),MAX('Calc base'!K$12,ROUND('Calc base'!K$13*BB230,2))))</f>
        <v>0</v>
      </c>
      <c r="S231">
        <f>IF(BC230&lt;=0,0,IF(ROUND(BC230*(1+'Calc base'!Q231),2)-MAX('Calc base'!L$12,ROUND('Calc base'!L$13*BC230,2))&lt;1,ROUND(BC230*(1+'Calc base'!Q231),2),MAX('Calc base'!L$12,ROUND('Calc base'!L$13*BC230,2))))</f>
        <v>0</v>
      </c>
      <c r="T231">
        <f>IF(BD230&lt;=0,0,IF(ROUND(BD230*(1+'Calc base'!R231),2)-MAX('Calc base'!M$12,ROUND('Calc base'!M$13*BD230,2))&lt;1,ROUND(BD230*(1+'Calc base'!R231),2),MAX('Calc base'!M$12,ROUND('Calc base'!M$13*BD230,2))))</f>
        <v>0</v>
      </c>
      <c r="U231">
        <f>IF(BE230&lt;=0,0,IF(ROUND(BE230*(1+'Calc base'!S231),2)-MAX('Calc base'!N$12,ROUND('Calc base'!N$13*BE230,2))&lt;1,ROUND(BE230*(1+'Calc base'!S231),2),MAX('Calc base'!N$12,ROUND('Calc base'!N$13*BE230,2))))</f>
        <v>0</v>
      </c>
      <c r="AT231">
        <f>MAX(0,ROUND(AT230*(1+'Calc base'!H231),2)-J231)</f>
        <v>0</v>
      </c>
      <c r="AU231">
        <f>MAX(0,ROUND(AU230*(1+'Calc base'!I231),2)-K231)</f>
        <v>0</v>
      </c>
      <c r="AV231">
        <f>MAX(0,ROUND(AV230*(1+'Calc base'!J231),2)-L231)</f>
        <v>0</v>
      </c>
      <c r="AW231">
        <f>MAX(0,ROUND(AW230*(1+'Calc base'!K231),2)-M231)</f>
        <v>0</v>
      </c>
      <c r="AX231">
        <f>MAX(0,ROUND(AX230*(1+'Calc base'!L231),2)-N231)</f>
        <v>0</v>
      </c>
      <c r="AY231">
        <f>MAX(0,ROUND(AY230*(1+'Calc base'!M231),2)-O231)</f>
        <v>0</v>
      </c>
      <c r="AZ231">
        <f>MAX(0,ROUND(AZ230*(1+'Calc base'!N231),2)-P231)</f>
        <v>0</v>
      </c>
      <c r="BA231">
        <f>MAX(0,ROUND(BA230*(1+'Calc base'!O231),2)-Q231)</f>
        <v>0</v>
      </c>
      <c r="BB231">
        <f>MAX(0,ROUND(BB230*(1+'Calc base'!P231),2)-R231)</f>
        <v>0</v>
      </c>
      <c r="BC231">
        <f>MAX(0,ROUND(BC230*(1+'Calc base'!Q231),2)-S231)</f>
        <v>0</v>
      </c>
      <c r="BD231">
        <f>MAX(0,ROUND(BD230*(1+'Calc base'!R231),2)-T231)</f>
        <v>0</v>
      </c>
      <c r="BE231">
        <f>MAX(0,ROUND(BE230*(1+'Calc base'!S231),2)-U231)</f>
        <v>0</v>
      </c>
    </row>
    <row r="232">
      <c r="A232" t="n">
        <v>202</v>
      </c>
      <c r="B232">
        <f>SUMPRODUCT(ROUND($AT231:$BE231*(1+'Calc base'!$H232:$S232),2))</f>
        <v>0</v>
      </c>
      <c r="C232">
        <f>SUM(J232:U232)</f>
        <v>0</v>
      </c>
      <c r="G232">
        <f>SUM(AT232:BE232)</f>
        <v>0</v>
      </c>
      <c r="H232">
        <f>B232-G231</f>
        <v>0</v>
      </c>
      <c r="I232">
        <f>B232-G232</f>
        <v>0</v>
      </c>
      <c r="J232">
        <f>IF(AT231&lt;=0,0,IF(ROUND(AT231*(1+'Calc base'!H232),2)-MAX('Calc base'!C$12,ROUND('Calc base'!C$13*AT231,2))&lt;1,ROUND(AT231*(1+'Calc base'!H232),2),MAX('Calc base'!C$12,ROUND('Calc base'!C$13*AT231,2))))</f>
        <v>0</v>
      </c>
      <c r="K232">
        <f>IF(AU231&lt;=0,0,IF(ROUND(AU231*(1+'Calc base'!I232),2)-MAX('Calc base'!D$12,ROUND('Calc base'!D$13*AU231,2))&lt;1,ROUND(AU231*(1+'Calc base'!I232),2),MAX('Calc base'!D$12,ROUND('Calc base'!D$13*AU231,2))))</f>
        <v>0</v>
      </c>
      <c r="L232">
        <f>IF(AV231&lt;=0,0,IF(ROUND(AV231*(1+'Calc base'!J232),2)-MAX('Calc base'!E$12,ROUND('Calc base'!E$13*AV231,2))&lt;1,ROUND(AV231*(1+'Calc base'!J232),2),MAX('Calc base'!E$12,ROUND('Calc base'!E$13*AV231,2))))</f>
        <v>0</v>
      </c>
      <c r="M232">
        <f>IF(AW231&lt;=0,0,IF(ROUND(AW231*(1+'Calc base'!K232),2)-MAX('Calc base'!F$12,ROUND('Calc base'!F$13*AW231,2))&lt;1,ROUND(AW231*(1+'Calc base'!K232),2),MAX('Calc base'!F$12,ROUND('Calc base'!F$13*AW231,2))))</f>
        <v>0</v>
      </c>
      <c r="N232">
        <f>IF(AX231&lt;=0,0,IF(ROUND(AX231*(1+'Calc base'!L232),2)-MAX('Calc base'!G$12,ROUND('Calc base'!G$13*AX231,2))&lt;1,ROUND(AX231*(1+'Calc base'!L232),2),MAX('Calc base'!G$12,ROUND('Calc base'!G$13*AX231,2))))</f>
        <v>0</v>
      </c>
      <c r="O232">
        <f>IF(AY231&lt;=0,0,IF(ROUND(AY231*(1+'Calc base'!M232),2)-MAX('Calc base'!H$12,ROUND('Calc base'!H$13*AY231,2))&lt;1,ROUND(AY231*(1+'Calc base'!M232),2),MAX('Calc base'!H$12,ROUND('Calc base'!H$13*AY231,2))))</f>
        <v>0</v>
      </c>
      <c r="P232">
        <f>IF(AZ231&lt;=0,0,IF(ROUND(AZ231*(1+'Calc base'!N232),2)-MAX('Calc base'!I$12,ROUND('Calc base'!I$13*AZ231,2))&lt;1,ROUND(AZ231*(1+'Calc base'!N232),2),MAX('Calc base'!I$12,ROUND('Calc base'!I$13*AZ231,2))))</f>
        <v>0</v>
      </c>
      <c r="Q232">
        <f>IF(BA231&lt;=0,0,IF(ROUND(BA231*(1+'Calc base'!O232),2)-MAX('Calc base'!J$12,ROUND('Calc base'!J$13*BA231,2))&lt;1,ROUND(BA231*(1+'Calc base'!O232),2),MAX('Calc base'!J$12,ROUND('Calc base'!J$13*BA231,2))))</f>
        <v>0</v>
      </c>
      <c r="R232">
        <f>IF(BB231&lt;=0,0,IF(ROUND(BB231*(1+'Calc base'!P232),2)-MAX('Calc base'!K$12,ROUND('Calc base'!K$13*BB231,2))&lt;1,ROUND(BB231*(1+'Calc base'!P232),2),MAX('Calc base'!K$12,ROUND('Calc base'!K$13*BB231,2))))</f>
        <v>0</v>
      </c>
      <c r="S232">
        <f>IF(BC231&lt;=0,0,IF(ROUND(BC231*(1+'Calc base'!Q232),2)-MAX('Calc base'!L$12,ROUND('Calc base'!L$13*BC231,2))&lt;1,ROUND(BC231*(1+'Calc base'!Q232),2),MAX('Calc base'!L$12,ROUND('Calc base'!L$13*BC231,2))))</f>
        <v>0</v>
      </c>
      <c r="T232">
        <f>IF(BD231&lt;=0,0,IF(ROUND(BD231*(1+'Calc base'!R232),2)-MAX('Calc base'!M$12,ROUND('Calc base'!M$13*BD231,2))&lt;1,ROUND(BD231*(1+'Calc base'!R232),2),MAX('Calc base'!M$12,ROUND('Calc base'!M$13*BD231,2))))</f>
        <v>0</v>
      </c>
      <c r="U232">
        <f>IF(BE231&lt;=0,0,IF(ROUND(BE231*(1+'Calc base'!S232),2)-MAX('Calc base'!N$12,ROUND('Calc base'!N$13*BE231,2))&lt;1,ROUND(BE231*(1+'Calc base'!S232),2),MAX('Calc base'!N$12,ROUND('Calc base'!N$13*BE231,2))))</f>
        <v>0</v>
      </c>
      <c r="AT232">
        <f>MAX(0,ROUND(AT231*(1+'Calc base'!H232),2)-J232)</f>
        <v>0</v>
      </c>
      <c r="AU232">
        <f>MAX(0,ROUND(AU231*(1+'Calc base'!I232),2)-K232)</f>
        <v>0</v>
      </c>
      <c r="AV232">
        <f>MAX(0,ROUND(AV231*(1+'Calc base'!J232),2)-L232)</f>
        <v>0</v>
      </c>
      <c r="AW232">
        <f>MAX(0,ROUND(AW231*(1+'Calc base'!K232),2)-M232)</f>
        <v>0</v>
      </c>
      <c r="AX232">
        <f>MAX(0,ROUND(AX231*(1+'Calc base'!L232),2)-N232)</f>
        <v>0</v>
      </c>
      <c r="AY232">
        <f>MAX(0,ROUND(AY231*(1+'Calc base'!M232),2)-O232)</f>
        <v>0</v>
      </c>
      <c r="AZ232">
        <f>MAX(0,ROUND(AZ231*(1+'Calc base'!N232),2)-P232)</f>
        <v>0</v>
      </c>
      <c r="BA232">
        <f>MAX(0,ROUND(BA231*(1+'Calc base'!O232),2)-Q232)</f>
        <v>0</v>
      </c>
      <c r="BB232">
        <f>MAX(0,ROUND(BB231*(1+'Calc base'!P232),2)-R232)</f>
        <v>0</v>
      </c>
      <c r="BC232">
        <f>MAX(0,ROUND(BC231*(1+'Calc base'!Q232),2)-S232)</f>
        <v>0</v>
      </c>
      <c r="BD232">
        <f>MAX(0,ROUND(BD231*(1+'Calc base'!R232),2)-T232)</f>
        <v>0</v>
      </c>
      <c r="BE232">
        <f>MAX(0,ROUND(BE231*(1+'Calc base'!S232),2)-U232)</f>
        <v>0</v>
      </c>
    </row>
    <row r="233">
      <c r="A233" t="n">
        <v>203</v>
      </c>
      <c r="B233">
        <f>SUMPRODUCT(ROUND($AT232:$BE232*(1+'Calc base'!$H233:$S233),2))</f>
        <v>0</v>
      </c>
      <c r="C233">
        <f>SUM(J233:U233)</f>
        <v>0</v>
      </c>
      <c r="G233">
        <f>SUM(AT233:BE233)</f>
        <v>0</v>
      </c>
      <c r="H233">
        <f>B233-G232</f>
        <v>0</v>
      </c>
      <c r="I233">
        <f>B233-G233</f>
        <v>0</v>
      </c>
      <c r="J233">
        <f>IF(AT232&lt;=0,0,IF(ROUND(AT232*(1+'Calc base'!H233),2)-MAX('Calc base'!C$12,ROUND('Calc base'!C$13*AT232,2))&lt;1,ROUND(AT232*(1+'Calc base'!H233),2),MAX('Calc base'!C$12,ROUND('Calc base'!C$13*AT232,2))))</f>
        <v>0</v>
      </c>
      <c r="K233">
        <f>IF(AU232&lt;=0,0,IF(ROUND(AU232*(1+'Calc base'!I233),2)-MAX('Calc base'!D$12,ROUND('Calc base'!D$13*AU232,2))&lt;1,ROUND(AU232*(1+'Calc base'!I233),2),MAX('Calc base'!D$12,ROUND('Calc base'!D$13*AU232,2))))</f>
        <v>0</v>
      </c>
      <c r="L233">
        <f>IF(AV232&lt;=0,0,IF(ROUND(AV232*(1+'Calc base'!J233),2)-MAX('Calc base'!E$12,ROUND('Calc base'!E$13*AV232,2))&lt;1,ROUND(AV232*(1+'Calc base'!J233),2),MAX('Calc base'!E$12,ROUND('Calc base'!E$13*AV232,2))))</f>
        <v>0</v>
      </c>
      <c r="M233">
        <f>IF(AW232&lt;=0,0,IF(ROUND(AW232*(1+'Calc base'!K233),2)-MAX('Calc base'!F$12,ROUND('Calc base'!F$13*AW232,2))&lt;1,ROUND(AW232*(1+'Calc base'!K233),2),MAX('Calc base'!F$12,ROUND('Calc base'!F$13*AW232,2))))</f>
        <v>0</v>
      </c>
      <c r="N233">
        <f>IF(AX232&lt;=0,0,IF(ROUND(AX232*(1+'Calc base'!L233),2)-MAX('Calc base'!G$12,ROUND('Calc base'!G$13*AX232,2))&lt;1,ROUND(AX232*(1+'Calc base'!L233),2),MAX('Calc base'!G$12,ROUND('Calc base'!G$13*AX232,2))))</f>
        <v>0</v>
      </c>
      <c r="O233">
        <f>IF(AY232&lt;=0,0,IF(ROUND(AY232*(1+'Calc base'!M233),2)-MAX('Calc base'!H$12,ROUND('Calc base'!H$13*AY232,2))&lt;1,ROUND(AY232*(1+'Calc base'!M233),2),MAX('Calc base'!H$12,ROUND('Calc base'!H$13*AY232,2))))</f>
        <v>0</v>
      </c>
      <c r="P233">
        <f>IF(AZ232&lt;=0,0,IF(ROUND(AZ232*(1+'Calc base'!N233),2)-MAX('Calc base'!I$12,ROUND('Calc base'!I$13*AZ232,2))&lt;1,ROUND(AZ232*(1+'Calc base'!N233),2),MAX('Calc base'!I$12,ROUND('Calc base'!I$13*AZ232,2))))</f>
        <v>0</v>
      </c>
      <c r="Q233">
        <f>IF(BA232&lt;=0,0,IF(ROUND(BA232*(1+'Calc base'!O233),2)-MAX('Calc base'!J$12,ROUND('Calc base'!J$13*BA232,2))&lt;1,ROUND(BA232*(1+'Calc base'!O233),2),MAX('Calc base'!J$12,ROUND('Calc base'!J$13*BA232,2))))</f>
        <v>0</v>
      </c>
      <c r="R233">
        <f>IF(BB232&lt;=0,0,IF(ROUND(BB232*(1+'Calc base'!P233),2)-MAX('Calc base'!K$12,ROUND('Calc base'!K$13*BB232,2))&lt;1,ROUND(BB232*(1+'Calc base'!P233),2),MAX('Calc base'!K$12,ROUND('Calc base'!K$13*BB232,2))))</f>
        <v>0</v>
      </c>
      <c r="S233">
        <f>IF(BC232&lt;=0,0,IF(ROUND(BC232*(1+'Calc base'!Q233),2)-MAX('Calc base'!L$12,ROUND('Calc base'!L$13*BC232,2))&lt;1,ROUND(BC232*(1+'Calc base'!Q233),2),MAX('Calc base'!L$12,ROUND('Calc base'!L$13*BC232,2))))</f>
        <v>0</v>
      </c>
      <c r="T233">
        <f>IF(BD232&lt;=0,0,IF(ROUND(BD232*(1+'Calc base'!R233),2)-MAX('Calc base'!M$12,ROUND('Calc base'!M$13*BD232,2))&lt;1,ROUND(BD232*(1+'Calc base'!R233),2),MAX('Calc base'!M$12,ROUND('Calc base'!M$13*BD232,2))))</f>
        <v>0</v>
      </c>
      <c r="U233">
        <f>IF(BE232&lt;=0,0,IF(ROUND(BE232*(1+'Calc base'!S233),2)-MAX('Calc base'!N$12,ROUND('Calc base'!N$13*BE232,2))&lt;1,ROUND(BE232*(1+'Calc base'!S233),2),MAX('Calc base'!N$12,ROUND('Calc base'!N$13*BE232,2))))</f>
        <v>0</v>
      </c>
      <c r="AT233">
        <f>MAX(0,ROUND(AT232*(1+'Calc base'!H233),2)-J233)</f>
        <v>0</v>
      </c>
      <c r="AU233">
        <f>MAX(0,ROUND(AU232*(1+'Calc base'!I233),2)-K233)</f>
        <v>0</v>
      </c>
      <c r="AV233">
        <f>MAX(0,ROUND(AV232*(1+'Calc base'!J233),2)-L233)</f>
        <v>0</v>
      </c>
      <c r="AW233">
        <f>MAX(0,ROUND(AW232*(1+'Calc base'!K233),2)-M233)</f>
        <v>0</v>
      </c>
      <c r="AX233">
        <f>MAX(0,ROUND(AX232*(1+'Calc base'!L233),2)-N233)</f>
        <v>0</v>
      </c>
      <c r="AY233">
        <f>MAX(0,ROUND(AY232*(1+'Calc base'!M233),2)-O233)</f>
        <v>0</v>
      </c>
      <c r="AZ233">
        <f>MAX(0,ROUND(AZ232*(1+'Calc base'!N233),2)-P233)</f>
        <v>0</v>
      </c>
      <c r="BA233">
        <f>MAX(0,ROUND(BA232*(1+'Calc base'!O233),2)-Q233)</f>
        <v>0</v>
      </c>
      <c r="BB233">
        <f>MAX(0,ROUND(BB232*(1+'Calc base'!P233),2)-R233)</f>
        <v>0</v>
      </c>
      <c r="BC233">
        <f>MAX(0,ROUND(BC232*(1+'Calc base'!Q233),2)-S233)</f>
        <v>0</v>
      </c>
      <c r="BD233">
        <f>MAX(0,ROUND(BD232*(1+'Calc base'!R233),2)-T233)</f>
        <v>0</v>
      </c>
      <c r="BE233">
        <f>MAX(0,ROUND(BE232*(1+'Calc base'!S233),2)-U233)</f>
        <v>0</v>
      </c>
    </row>
    <row r="234">
      <c r="A234" t="n">
        <v>204</v>
      </c>
      <c r="B234">
        <f>SUMPRODUCT(ROUND($AT233:$BE233*(1+'Calc base'!$H234:$S234),2))</f>
        <v>0</v>
      </c>
      <c r="C234">
        <f>SUM(J234:U234)</f>
        <v>0</v>
      </c>
      <c r="G234">
        <f>SUM(AT234:BE234)</f>
        <v>0</v>
      </c>
      <c r="H234">
        <f>B234-G233</f>
        <v>0</v>
      </c>
      <c r="I234">
        <f>B234-G234</f>
        <v>0</v>
      </c>
      <c r="J234">
        <f>IF(AT233&lt;=0,0,IF(ROUND(AT233*(1+'Calc base'!H234),2)-MAX('Calc base'!C$12,ROUND('Calc base'!C$13*AT233,2))&lt;1,ROUND(AT233*(1+'Calc base'!H234),2),MAX('Calc base'!C$12,ROUND('Calc base'!C$13*AT233,2))))</f>
        <v>0</v>
      </c>
      <c r="K234">
        <f>IF(AU233&lt;=0,0,IF(ROUND(AU233*(1+'Calc base'!I234),2)-MAX('Calc base'!D$12,ROUND('Calc base'!D$13*AU233,2))&lt;1,ROUND(AU233*(1+'Calc base'!I234),2),MAX('Calc base'!D$12,ROUND('Calc base'!D$13*AU233,2))))</f>
        <v>0</v>
      </c>
      <c r="L234">
        <f>IF(AV233&lt;=0,0,IF(ROUND(AV233*(1+'Calc base'!J234),2)-MAX('Calc base'!E$12,ROUND('Calc base'!E$13*AV233,2))&lt;1,ROUND(AV233*(1+'Calc base'!J234),2),MAX('Calc base'!E$12,ROUND('Calc base'!E$13*AV233,2))))</f>
        <v>0</v>
      </c>
      <c r="M234">
        <f>IF(AW233&lt;=0,0,IF(ROUND(AW233*(1+'Calc base'!K234),2)-MAX('Calc base'!F$12,ROUND('Calc base'!F$13*AW233,2))&lt;1,ROUND(AW233*(1+'Calc base'!K234),2),MAX('Calc base'!F$12,ROUND('Calc base'!F$13*AW233,2))))</f>
        <v>0</v>
      </c>
      <c r="N234">
        <f>IF(AX233&lt;=0,0,IF(ROUND(AX233*(1+'Calc base'!L234),2)-MAX('Calc base'!G$12,ROUND('Calc base'!G$13*AX233,2))&lt;1,ROUND(AX233*(1+'Calc base'!L234),2),MAX('Calc base'!G$12,ROUND('Calc base'!G$13*AX233,2))))</f>
        <v>0</v>
      </c>
      <c r="O234">
        <f>IF(AY233&lt;=0,0,IF(ROUND(AY233*(1+'Calc base'!M234),2)-MAX('Calc base'!H$12,ROUND('Calc base'!H$13*AY233,2))&lt;1,ROUND(AY233*(1+'Calc base'!M234),2),MAX('Calc base'!H$12,ROUND('Calc base'!H$13*AY233,2))))</f>
        <v>0</v>
      </c>
      <c r="P234">
        <f>IF(AZ233&lt;=0,0,IF(ROUND(AZ233*(1+'Calc base'!N234),2)-MAX('Calc base'!I$12,ROUND('Calc base'!I$13*AZ233,2))&lt;1,ROUND(AZ233*(1+'Calc base'!N234),2),MAX('Calc base'!I$12,ROUND('Calc base'!I$13*AZ233,2))))</f>
        <v>0</v>
      </c>
      <c r="Q234">
        <f>IF(BA233&lt;=0,0,IF(ROUND(BA233*(1+'Calc base'!O234),2)-MAX('Calc base'!J$12,ROUND('Calc base'!J$13*BA233,2))&lt;1,ROUND(BA233*(1+'Calc base'!O234),2),MAX('Calc base'!J$12,ROUND('Calc base'!J$13*BA233,2))))</f>
        <v>0</v>
      </c>
      <c r="R234">
        <f>IF(BB233&lt;=0,0,IF(ROUND(BB233*(1+'Calc base'!P234),2)-MAX('Calc base'!K$12,ROUND('Calc base'!K$13*BB233,2))&lt;1,ROUND(BB233*(1+'Calc base'!P234),2),MAX('Calc base'!K$12,ROUND('Calc base'!K$13*BB233,2))))</f>
        <v>0</v>
      </c>
      <c r="S234">
        <f>IF(BC233&lt;=0,0,IF(ROUND(BC233*(1+'Calc base'!Q234),2)-MAX('Calc base'!L$12,ROUND('Calc base'!L$13*BC233,2))&lt;1,ROUND(BC233*(1+'Calc base'!Q234),2),MAX('Calc base'!L$12,ROUND('Calc base'!L$13*BC233,2))))</f>
        <v>0</v>
      </c>
      <c r="T234">
        <f>IF(BD233&lt;=0,0,IF(ROUND(BD233*(1+'Calc base'!R234),2)-MAX('Calc base'!M$12,ROUND('Calc base'!M$13*BD233,2))&lt;1,ROUND(BD233*(1+'Calc base'!R234),2),MAX('Calc base'!M$12,ROUND('Calc base'!M$13*BD233,2))))</f>
        <v>0</v>
      </c>
      <c r="U234">
        <f>IF(BE233&lt;=0,0,IF(ROUND(BE233*(1+'Calc base'!S234),2)-MAX('Calc base'!N$12,ROUND('Calc base'!N$13*BE233,2))&lt;1,ROUND(BE233*(1+'Calc base'!S234),2),MAX('Calc base'!N$12,ROUND('Calc base'!N$13*BE233,2))))</f>
        <v>0</v>
      </c>
      <c r="AT234">
        <f>MAX(0,ROUND(AT233*(1+'Calc base'!H234),2)-J234)</f>
        <v>0</v>
      </c>
      <c r="AU234">
        <f>MAX(0,ROUND(AU233*(1+'Calc base'!I234),2)-K234)</f>
        <v>0</v>
      </c>
      <c r="AV234">
        <f>MAX(0,ROUND(AV233*(1+'Calc base'!J234),2)-L234)</f>
        <v>0</v>
      </c>
      <c r="AW234">
        <f>MAX(0,ROUND(AW233*(1+'Calc base'!K234),2)-M234)</f>
        <v>0</v>
      </c>
      <c r="AX234">
        <f>MAX(0,ROUND(AX233*(1+'Calc base'!L234),2)-N234)</f>
        <v>0</v>
      </c>
      <c r="AY234">
        <f>MAX(0,ROUND(AY233*(1+'Calc base'!M234),2)-O234)</f>
        <v>0</v>
      </c>
      <c r="AZ234">
        <f>MAX(0,ROUND(AZ233*(1+'Calc base'!N234),2)-P234)</f>
        <v>0</v>
      </c>
      <c r="BA234">
        <f>MAX(0,ROUND(BA233*(1+'Calc base'!O234),2)-Q234)</f>
        <v>0</v>
      </c>
      <c r="BB234">
        <f>MAX(0,ROUND(BB233*(1+'Calc base'!P234),2)-R234)</f>
        <v>0</v>
      </c>
      <c r="BC234">
        <f>MAX(0,ROUND(BC233*(1+'Calc base'!Q234),2)-S234)</f>
        <v>0</v>
      </c>
      <c r="BD234">
        <f>MAX(0,ROUND(BD233*(1+'Calc base'!R234),2)-T234)</f>
        <v>0</v>
      </c>
      <c r="BE234">
        <f>MAX(0,ROUND(BE233*(1+'Calc base'!S234),2)-U234)</f>
        <v>0</v>
      </c>
    </row>
    <row r="235">
      <c r="A235" t="n">
        <v>205</v>
      </c>
      <c r="B235">
        <f>SUMPRODUCT(ROUND($AT234:$BE234*(1+'Calc base'!$H235:$S235),2))</f>
        <v>0</v>
      </c>
      <c r="C235">
        <f>SUM(J235:U235)</f>
        <v>0</v>
      </c>
      <c r="G235">
        <f>SUM(AT235:BE235)</f>
        <v>0</v>
      </c>
      <c r="H235">
        <f>B235-G234</f>
        <v>0</v>
      </c>
      <c r="I235">
        <f>B235-G235</f>
        <v>0</v>
      </c>
      <c r="J235">
        <f>IF(AT234&lt;=0,0,IF(ROUND(AT234*(1+'Calc base'!H235),2)-MAX('Calc base'!C$12,ROUND('Calc base'!C$13*AT234,2))&lt;1,ROUND(AT234*(1+'Calc base'!H235),2),MAX('Calc base'!C$12,ROUND('Calc base'!C$13*AT234,2))))</f>
        <v>0</v>
      </c>
      <c r="K235">
        <f>IF(AU234&lt;=0,0,IF(ROUND(AU234*(1+'Calc base'!I235),2)-MAX('Calc base'!D$12,ROUND('Calc base'!D$13*AU234,2))&lt;1,ROUND(AU234*(1+'Calc base'!I235),2),MAX('Calc base'!D$12,ROUND('Calc base'!D$13*AU234,2))))</f>
        <v>0</v>
      </c>
      <c r="L235">
        <f>IF(AV234&lt;=0,0,IF(ROUND(AV234*(1+'Calc base'!J235),2)-MAX('Calc base'!E$12,ROUND('Calc base'!E$13*AV234,2))&lt;1,ROUND(AV234*(1+'Calc base'!J235),2),MAX('Calc base'!E$12,ROUND('Calc base'!E$13*AV234,2))))</f>
        <v>0</v>
      </c>
      <c r="M235">
        <f>IF(AW234&lt;=0,0,IF(ROUND(AW234*(1+'Calc base'!K235),2)-MAX('Calc base'!F$12,ROUND('Calc base'!F$13*AW234,2))&lt;1,ROUND(AW234*(1+'Calc base'!K235),2),MAX('Calc base'!F$12,ROUND('Calc base'!F$13*AW234,2))))</f>
        <v>0</v>
      </c>
      <c r="N235">
        <f>IF(AX234&lt;=0,0,IF(ROUND(AX234*(1+'Calc base'!L235),2)-MAX('Calc base'!G$12,ROUND('Calc base'!G$13*AX234,2))&lt;1,ROUND(AX234*(1+'Calc base'!L235),2),MAX('Calc base'!G$12,ROUND('Calc base'!G$13*AX234,2))))</f>
        <v>0</v>
      </c>
      <c r="O235">
        <f>IF(AY234&lt;=0,0,IF(ROUND(AY234*(1+'Calc base'!M235),2)-MAX('Calc base'!H$12,ROUND('Calc base'!H$13*AY234,2))&lt;1,ROUND(AY234*(1+'Calc base'!M235),2),MAX('Calc base'!H$12,ROUND('Calc base'!H$13*AY234,2))))</f>
        <v>0</v>
      </c>
      <c r="P235">
        <f>IF(AZ234&lt;=0,0,IF(ROUND(AZ234*(1+'Calc base'!N235),2)-MAX('Calc base'!I$12,ROUND('Calc base'!I$13*AZ234,2))&lt;1,ROUND(AZ234*(1+'Calc base'!N235),2),MAX('Calc base'!I$12,ROUND('Calc base'!I$13*AZ234,2))))</f>
        <v>0</v>
      </c>
      <c r="Q235">
        <f>IF(BA234&lt;=0,0,IF(ROUND(BA234*(1+'Calc base'!O235),2)-MAX('Calc base'!J$12,ROUND('Calc base'!J$13*BA234,2))&lt;1,ROUND(BA234*(1+'Calc base'!O235),2),MAX('Calc base'!J$12,ROUND('Calc base'!J$13*BA234,2))))</f>
        <v>0</v>
      </c>
      <c r="R235">
        <f>IF(BB234&lt;=0,0,IF(ROUND(BB234*(1+'Calc base'!P235),2)-MAX('Calc base'!K$12,ROUND('Calc base'!K$13*BB234,2))&lt;1,ROUND(BB234*(1+'Calc base'!P235),2),MAX('Calc base'!K$12,ROUND('Calc base'!K$13*BB234,2))))</f>
        <v>0</v>
      </c>
      <c r="S235">
        <f>IF(BC234&lt;=0,0,IF(ROUND(BC234*(1+'Calc base'!Q235),2)-MAX('Calc base'!L$12,ROUND('Calc base'!L$13*BC234,2))&lt;1,ROUND(BC234*(1+'Calc base'!Q235),2),MAX('Calc base'!L$12,ROUND('Calc base'!L$13*BC234,2))))</f>
        <v>0</v>
      </c>
      <c r="T235">
        <f>IF(BD234&lt;=0,0,IF(ROUND(BD234*(1+'Calc base'!R235),2)-MAX('Calc base'!M$12,ROUND('Calc base'!M$13*BD234,2))&lt;1,ROUND(BD234*(1+'Calc base'!R235),2),MAX('Calc base'!M$12,ROUND('Calc base'!M$13*BD234,2))))</f>
        <v>0</v>
      </c>
      <c r="U235">
        <f>IF(BE234&lt;=0,0,IF(ROUND(BE234*(1+'Calc base'!S235),2)-MAX('Calc base'!N$12,ROUND('Calc base'!N$13*BE234,2))&lt;1,ROUND(BE234*(1+'Calc base'!S235),2),MAX('Calc base'!N$12,ROUND('Calc base'!N$13*BE234,2))))</f>
        <v>0</v>
      </c>
      <c r="AT235">
        <f>MAX(0,ROUND(AT234*(1+'Calc base'!H235),2)-J235)</f>
        <v>0</v>
      </c>
      <c r="AU235">
        <f>MAX(0,ROUND(AU234*(1+'Calc base'!I235),2)-K235)</f>
        <v>0</v>
      </c>
      <c r="AV235">
        <f>MAX(0,ROUND(AV234*(1+'Calc base'!J235),2)-L235)</f>
        <v>0</v>
      </c>
      <c r="AW235">
        <f>MAX(0,ROUND(AW234*(1+'Calc base'!K235),2)-M235)</f>
        <v>0</v>
      </c>
      <c r="AX235">
        <f>MAX(0,ROUND(AX234*(1+'Calc base'!L235),2)-N235)</f>
        <v>0</v>
      </c>
      <c r="AY235">
        <f>MAX(0,ROUND(AY234*(1+'Calc base'!M235),2)-O235)</f>
        <v>0</v>
      </c>
      <c r="AZ235">
        <f>MAX(0,ROUND(AZ234*(1+'Calc base'!N235),2)-P235)</f>
        <v>0</v>
      </c>
      <c r="BA235">
        <f>MAX(0,ROUND(BA234*(1+'Calc base'!O235),2)-Q235)</f>
        <v>0</v>
      </c>
      <c r="BB235">
        <f>MAX(0,ROUND(BB234*(1+'Calc base'!P235),2)-R235)</f>
        <v>0</v>
      </c>
      <c r="BC235">
        <f>MAX(0,ROUND(BC234*(1+'Calc base'!Q235),2)-S235)</f>
        <v>0</v>
      </c>
      <c r="BD235">
        <f>MAX(0,ROUND(BD234*(1+'Calc base'!R235),2)-T235)</f>
        <v>0</v>
      </c>
      <c r="BE235">
        <f>MAX(0,ROUND(BE234*(1+'Calc base'!S235),2)-U235)</f>
        <v>0</v>
      </c>
    </row>
    <row r="236">
      <c r="A236" t="n">
        <v>206</v>
      </c>
      <c r="B236">
        <f>SUMPRODUCT(ROUND($AT235:$BE235*(1+'Calc base'!$H236:$S236),2))</f>
        <v>0</v>
      </c>
      <c r="C236">
        <f>SUM(J236:U236)</f>
        <v>0</v>
      </c>
      <c r="G236">
        <f>SUM(AT236:BE236)</f>
        <v>0</v>
      </c>
      <c r="H236">
        <f>B236-G235</f>
        <v>0</v>
      </c>
      <c r="I236">
        <f>B236-G236</f>
        <v>0</v>
      </c>
      <c r="J236">
        <f>IF(AT235&lt;=0,0,IF(ROUND(AT235*(1+'Calc base'!H236),2)-MAX('Calc base'!C$12,ROUND('Calc base'!C$13*AT235,2))&lt;1,ROUND(AT235*(1+'Calc base'!H236),2),MAX('Calc base'!C$12,ROUND('Calc base'!C$13*AT235,2))))</f>
        <v>0</v>
      </c>
      <c r="K236">
        <f>IF(AU235&lt;=0,0,IF(ROUND(AU235*(1+'Calc base'!I236),2)-MAX('Calc base'!D$12,ROUND('Calc base'!D$13*AU235,2))&lt;1,ROUND(AU235*(1+'Calc base'!I236),2),MAX('Calc base'!D$12,ROUND('Calc base'!D$13*AU235,2))))</f>
        <v>0</v>
      </c>
      <c r="L236">
        <f>IF(AV235&lt;=0,0,IF(ROUND(AV235*(1+'Calc base'!J236),2)-MAX('Calc base'!E$12,ROUND('Calc base'!E$13*AV235,2))&lt;1,ROUND(AV235*(1+'Calc base'!J236),2),MAX('Calc base'!E$12,ROUND('Calc base'!E$13*AV235,2))))</f>
        <v>0</v>
      </c>
      <c r="M236">
        <f>IF(AW235&lt;=0,0,IF(ROUND(AW235*(1+'Calc base'!K236),2)-MAX('Calc base'!F$12,ROUND('Calc base'!F$13*AW235,2))&lt;1,ROUND(AW235*(1+'Calc base'!K236),2),MAX('Calc base'!F$12,ROUND('Calc base'!F$13*AW235,2))))</f>
        <v>0</v>
      </c>
      <c r="N236">
        <f>IF(AX235&lt;=0,0,IF(ROUND(AX235*(1+'Calc base'!L236),2)-MAX('Calc base'!G$12,ROUND('Calc base'!G$13*AX235,2))&lt;1,ROUND(AX235*(1+'Calc base'!L236),2),MAX('Calc base'!G$12,ROUND('Calc base'!G$13*AX235,2))))</f>
        <v>0</v>
      </c>
      <c r="O236">
        <f>IF(AY235&lt;=0,0,IF(ROUND(AY235*(1+'Calc base'!M236),2)-MAX('Calc base'!H$12,ROUND('Calc base'!H$13*AY235,2))&lt;1,ROUND(AY235*(1+'Calc base'!M236),2),MAX('Calc base'!H$12,ROUND('Calc base'!H$13*AY235,2))))</f>
        <v>0</v>
      </c>
      <c r="P236">
        <f>IF(AZ235&lt;=0,0,IF(ROUND(AZ235*(1+'Calc base'!N236),2)-MAX('Calc base'!I$12,ROUND('Calc base'!I$13*AZ235,2))&lt;1,ROUND(AZ235*(1+'Calc base'!N236),2),MAX('Calc base'!I$12,ROUND('Calc base'!I$13*AZ235,2))))</f>
        <v>0</v>
      </c>
      <c r="Q236">
        <f>IF(BA235&lt;=0,0,IF(ROUND(BA235*(1+'Calc base'!O236),2)-MAX('Calc base'!J$12,ROUND('Calc base'!J$13*BA235,2))&lt;1,ROUND(BA235*(1+'Calc base'!O236),2),MAX('Calc base'!J$12,ROUND('Calc base'!J$13*BA235,2))))</f>
        <v>0</v>
      </c>
      <c r="R236">
        <f>IF(BB235&lt;=0,0,IF(ROUND(BB235*(1+'Calc base'!P236),2)-MAX('Calc base'!K$12,ROUND('Calc base'!K$13*BB235,2))&lt;1,ROUND(BB235*(1+'Calc base'!P236),2),MAX('Calc base'!K$12,ROUND('Calc base'!K$13*BB235,2))))</f>
        <v>0</v>
      </c>
      <c r="S236">
        <f>IF(BC235&lt;=0,0,IF(ROUND(BC235*(1+'Calc base'!Q236),2)-MAX('Calc base'!L$12,ROUND('Calc base'!L$13*BC235,2))&lt;1,ROUND(BC235*(1+'Calc base'!Q236),2),MAX('Calc base'!L$12,ROUND('Calc base'!L$13*BC235,2))))</f>
        <v>0</v>
      </c>
      <c r="T236">
        <f>IF(BD235&lt;=0,0,IF(ROUND(BD235*(1+'Calc base'!R236),2)-MAX('Calc base'!M$12,ROUND('Calc base'!M$13*BD235,2))&lt;1,ROUND(BD235*(1+'Calc base'!R236),2),MAX('Calc base'!M$12,ROUND('Calc base'!M$13*BD235,2))))</f>
        <v>0</v>
      </c>
      <c r="U236">
        <f>IF(BE235&lt;=0,0,IF(ROUND(BE235*(1+'Calc base'!S236),2)-MAX('Calc base'!N$12,ROUND('Calc base'!N$13*BE235,2))&lt;1,ROUND(BE235*(1+'Calc base'!S236),2),MAX('Calc base'!N$12,ROUND('Calc base'!N$13*BE235,2))))</f>
        <v>0</v>
      </c>
      <c r="AT236">
        <f>MAX(0,ROUND(AT235*(1+'Calc base'!H236),2)-J236)</f>
        <v>0</v>
      </c>
      <c r="AU236">
        <f>MAX(0,ROUND(AU235*(1+'Calc base'!I236),2)-K236)</f>
        <v>0</v>
      </c>
      <c r="AV236">
        <f>MAX(0,ROUND(AV235*(1+'Calc base'!J236),2)-L236)</f>
        <v>0</v>
      </c>
      <c r="AW236">
        <f>MAX(0,ROUND(AW235*(1+'Calc base'!K236),2)-M236)</f>
        <v>0</v>
      </c>
      <c r="AX236">
        <f>MAX(0,ROUND(AX235*(1+'Calc base'!L236),2)-N236)</f>
        <v>0</v>
      </c>
      <c r="AY236">
        <f>MAX(0,ROUND(AY235*(1+'Calc base'!M236),2)-O236)</f>
        <v>0</v>
      </c>
      <c r="AZ236">
        <f>MAX(0,ROUND(AZ235*(1+'Calc base'!N236),2)-P236)</f>
        <v>0</v>
      </c>
      <c r="BA236">
        <f>MAX(0,ROUND(BA235*(1+'Calc base'!O236),2)-Q236)</f>
        <v>0</v>
      </c>
      <c r="BB236">
        <f>MAX(0,ROUND(BB235*(1+'Calc base'!P236),2)-R236)</f>
        <v>0</v>
      </c>
      <c r="BC236">
        <f>MAX(0,ROUND(BC235*(1+'Calc base'!Q236),2)-S236)</f>
        <v>0</v>
      </c>
      <c r="BD236">
        <f>MAX(0,ROUND(BD235*(1+'Calc base'!R236),2)-T236)</f>
        <v>0</v>
      </c>
      <c r="BE236">
        <f>MAX(0,ROUND(BE235*(1+'Calc base'!S236),2)-U236)</f>
        <v>0</v>
      </c>
    </row>
    <row r="237">
      <c r="A237" t="n">
        <v>207</v>
      </c>
      <c r="B237">
        <f>SUMPRODUCT(ROUND($AT236:$BE236*(1+'Calc base'!$H237:$S237),2))</f>
        <v>0</v>
      </c>
      <c r="C237">
        <f>SUM(J237:U237)</f>
        <v>0</v>
      </c>
      <c r="G237">
        <f>SUM(AT237:BE237)</f>
        <v>0</v>
      </c>
      <c r="H237">
        <f>B237-G236</f>
        <v>0</v>
      </c>
      <c r="I237">
        <f>B237-G237</f>
        <v>0</v>
      </c>
      <c r="J237">
        <f>IF(AT236&lt;=0,0,IF(ROUND(AT236*(1+'Calc base'!H237),2)-MAX('Calc base'!C$12,ROUND('Calc base'!C$13*AT236,2))&lt;1,ROUND(AT236*(1+'Calc base'!H237),2),MAX('Calc base'!C$12,ROUND('Calc base'!C$13*AT236,2))))</f>
        <v>0</v>
      </c>
      <c r="K237">
        <f>IF(AU236&lt;=0,0,IF(ROUND(AU236*(1+'Calc base'!I237),2)-MAX('Calc base'!D$12,ROUND('Calc base'!D$13*AU236,2))&lt;1,ROUND(AU236*(1+'Calc base'!I237),2),MAX('Calc base'!D$12,ROUND('Calc base'!D$13*AU236,2))))</f>
        <v>0</v>
      </c>
      <c r="L237">
        <f>IF(AV236&lt;=0,0,IF(ROUND(AV236*(1+'Calc base'!J237),2)-MAX('Calc base'!E$12,ROUND('Calc base'!E$13*AV236,2))&lt;1,ROUND(AV236*(1+'Calc base'!J237),2),MAX('Calc base'!E$12,ROUND('Calc base'!E$13*AV236,2))))</f>
        <v>0</v>
      </c>
      <c r="M237">
        <f>IF(AW236&lt;=0,0,IF(ROUND(AW236*(1+'Calc base'!K237),2)-MAX('Calc base'!F$12,ROUND('Calc base'!F$13*AW236,2))&lt;1,ROUND(AW236*(1+'Calc base'!K237),2),MAX('Calc base'!F$12,ROUND('Calc base'!F$13*AW236,2))))</f>
        <v>0</v>
      </c>
      <c r="N237">
        <f>IF(AX236&lt;=0,0,IF(ROUND(AX236*(1+'Calc base'!L237),2)-MAX('Calc base'!G$12,ROUND('Calc base'!G$13*AX236,2))&lt;1,ROUND(AX236*(1+'Calc base'!L237),2),MAX('Calc base'!G$12,ROUND('Calc base'!G$13*AX236,2))))</f>
        <v>0</v>
      </c>
      <c r="O237">
        <f>IF(AY236&lt;=0,0,IF(ROUND(AY236*(1+'Calc base'!M237),2)-MAX('Calc base'!H$12,ROUND('Calc base'!H$13*AY236,2))&lt;1,ROUND(AY236*(1+'Calc base'!M237),2),MAX('Calc base'!H$12,ROUND('Calc base'!H$13*AY236,2))))</f>
        <v>0</v>
      </c>
      <c r="P237">
        <f>IF(AZ236&lt;=0,0,IF(ROUND(AZ236*(1+'Calc base'!N237),2)-MAX('Calc base'!I$12,ROUND('Calc base'!I$13*AZ236,2))&lt;1,ROUND(AZ236*(1+'Calc base'!N237),2),MAX('Calc base'!I$12,ROUND('Calc base'!I$13*AZ236,2))))</f>
        <v>0</v>
      </c>
      <c r="Q237">
        <f>IF(BA236&lt;=0,0,IF(ROUND(BA236*(1+'Calc base'!O237),2)-MAX('Calc base'!J$12,ROUND('Calc base'!J$13*BA236,2))&lt;1,ROUND(BA236*(1+'Calc base'!O237),2),MAX('Calc base'!J$12,ROUND('Calc base'!J$13*BA236,2))))</f>
        <v>0</v>
      </c>
      <c r="R237">
        <f>IF(BB236&lt;=0,0,IF(ROUND(BB236*(1+'Calc base'!P237),2)-MAX('Calc base'!K$12,ROUND('Calc base'!K$13*BB236,2))&lt;1,ROUND(BB236*(1+'Calc base'!P237),2),MAX('Calc base'!K$12,ROUND('Calc base'!K$13*BB236,2))))</f>
        <v>0</v>
      </c>
      <c r="S237">
        <f>IF(BC236&lt;=0,0,IF(ROUND(BC236*(1+'Calc base'!Q237),2)-MAX('Calc base'!L$12,ROUND('Calc base'!L$13*BC236,2))&lt;1,ROUND(BC236*(1+'Calc base'!Q237),2),MAX('Calc base'!L$12,ROUND('Calc base'!L$13*BC236,2))))</f>
        <v>0</v>
      </c>
      <c r="T237">
        <f>IF(BD236&lt;=0,0,IF(ROUND(BD236*(1+'Calc base'!R237),2)-MAX('Calc base'!M$12,ROUND('Calc base'!M$13*BD236,2))&lt;1,ROUND(BD236*(1+'Calc base'!R237),2),MAX('Calc base'!M$12,ROUND('Calc base'!M$13*BD236,2))))</f>
        <v>0</v>
      </c>
      <c r="U237">
        <f>IF(BE236&lt;=0,0,IF(ROUND(BE236*(1+'Calc base'!S237),2)-MAX('Calc base'!N$12,ROUND('Calc base'!N$13*BE236,2))&lt;1,ROUND(BE236*(1+'Calc base'!S237),2),MAX('Calc base'!N$12,ROUND('Calc base'!N$13*BE236,2))))</f>
        <v>0</v>
      </c>
      <c r="AT237">
        <f>MAX(0,ROUND(AT236*(1+'Calc base'!H237),2)-J237)</f>
        <v>0</v>
      </c>
      <c r="AU237">
        <f>MAX(0,ROUND(AU236*(1+'Calc base'!I237),2)-K237)</f>
        <v>0</v>
      </c>
      <c r="AV237">
        <f>MAX(0,ROUND(AV236*(1+'Calc base'!J237),2)-L237)</f>
        <v>0</v>
      </c>
      <c r="AW237">
        <f>MAX(0,ROUND(AW236*(1+'Calc base'!K237),2)-M237)</f>
        <v>0</v>
      </c>
      <c r="AX237">
        <f>MAX(0,ROUND(AX236*(1+'Calc base'!L237),2)-N237)</f>
        <v>0</v>
      </c>
      <c r="AY237">
        <f>MAX(0,ROUND(AY236*(1+'Calc base'!M237),2)-O237)</f>
        <v>0</v>
      </c>
      <c r="AZ237">
        <f>MAX(0,ROUND(AZ236*(1+'Calc base'!N237),2)-P237)</f>
        <v>0</v>
      </c>
      <c r="BA237">
        <f>MAX(0,ROUND(BA236*(1+'Calc base'!O237),2)-Q237)</f>
        <v>0</v>
      </c>
      <c r="BB237">
        <f>MAX(0,ROUND(BB236*(1+'Calc base'!P237),2)-R237)</f>
        <v>0</v>
      </c>
      <c r="BC237">
        <f>MAX(0,ROUND(BC236*(1+'Calc base'!Q237),2)-S237)</f>
        <v>0</v>
      </c>
      <c r="BD237">
        <f>MAX(0,ROUND(BD236*(1+'Calc base'!R237),2)-T237)</f>
        <v>0</v>
      </c>
      <c r="BE237">
        <f>MAX(0,ROUND(BE236*(1+'Calc base'!S237),2)-U237)</f>
        <v>0</v>
      </c>
    </row>
    <row r="238">
      <c r="A238" t="n">
        <v>208</v>
      </c>
      <c r="B238">
        <f>SUMPRODUCT(ROUND($AT237:$BE237*(1+'Calc base'!$H238:$S238),2))</f>
        <v>0</v>
      </c>
      <c r="C238">
        <f>SUM(J238:U238)</f>
        <v>0</v>
      </c>
      <c r="G238">
        <f>SUM(AT238:BE238)</f>
        <v>0</v>
      </c>
      <c r="H238">
        <f>B238-G237</f>
        <v>0</v>
      </c>
      <c r="I238">
        <f>B238-G238</f>
        <v>0</v>
      </c>
      <c r="J238">
        <f>IF(AT237&lt;=0,0,IF(ROUND(AT237*(1+'Calc base'!H238),2)-MAX('Calc base'!C$12,ROUND('Calc base'!C$13*AT237,2))&lt;1,ROUND(AT237*(1+'Calc base'!H238),2),MAX('Calc base'!C$12,ROUND('Calc base'!C$13*AT237,2))))</f>
        <v>0</v>
      </c>
      <c r="K238">
        <f>IF(AU237&lt;=0,0,IF(ROUND(AU237*(1+'Calc base'!I238),2)-MAX('Calc base'!D$12,ROUND('Calc base'!D$13*AU237,2))&lt;1,ROUND(AU237*(1+'Calc base'!I238),2),MAX('Calc base'!D$12,ROUND('Calc base'!D$13*AU237,2))))</f>
        <v>0</v>
      </c>
      <c r="L238">
        <f>IF(AV237&lt;=0,0,IF(ROUND(AV237*(1+'Calc base'!J238),2)-MAX('Calc base'!E$12,ROUND('Calc base'!E$13*AV237,2))&lt;1,ROUND(AV237*(1+'Calc base'!J238),2),MAX('Calc base'!E$12,ROUND('Calc base'!E$13*AV237,2))))</f>
        <v>0</v>
      </c>
      <c r="M238">
        <f>IF(AW237&lt;=0,0,IF(ROUND(AW237*(1+'Calc base'!K238),2)-MAX('Calc base'!F$12,ROUND('Calc base'!F$13*AW237,2))&lt;1,ROUND(AW237*(1+'Calc base'!K238),2),MAX('Calc base'!F$12,ROUND('Calc base'!F$13*AW237,2))))</f>
        <v>0</v>
      </c>
      <c r="N238">
        <f>IF(AX237&lt;=0,0,IF(ROUND(AX237*(1+'Calc base'!L238),2)-MAX('Calc base'!G$12,ROUND('Calc base'!G$13*AX237,2))&lt;1,ROUND(AX237*(1+'Calc base'!L238),2),MAX('Calc base'!G$12,ROUND('Calc base'!G$13*AX237,2))))</f>
        <v>0</v>
      </c>
      <c r="O238">
        <f>IF(AY237&lt;=0,0,IF(ROUND(AY237*(1+'Calc base'!M238),2)-MAX('Calc base'!H$12,ROUND('Calc base'!H$13*AY237,2))&lt;1,ROUND(AY237*(1+'Calc base'!M238),2),MAX('Calc base'!H$12,ROUND('Calc base'!H$13*AY237,2))))</f>
        <v>0</v>
      </c>
      <c r="P238">
        <f>IF(AZ237&lt;=0,0,IF(ROUND(AZ237*(1+'Calc base'!N238),2)-MAX('Calc base'!I$12,ROUND('Calc base'!I$13*AZ237,2))&lt;1,ROUND(AZ237*(1+'Calc base'!N238),2),MAX('Calc base'!I$12,ROUND('Calc base'!I$13*AZ237,2))))</f>
        <v>0</v>
      </c>
      <c r="Q238">
        <f>IF(BA237&lt;=0,0,IF(ROUND(BA237*(1+'Calc base'!O238),2)-MAX('Calc base'!J$12,ROUND('Calc base'!J$13*BA237,2))&lt;1,ROUND(BA237*(1+'Calc base'!O238),2),MAX('Calc base'!J$12,ROUND('Calc base'!J$13*BA237,2))))</f>
        <v>0</v>
      </c>
      <c r="R238">
        <f>IF(BB237&lt;=0,0,IF(ROUND(BB237*(1+'Calc base'!P238),2)-MAX('Calc base'!K$12,ROUND('Calc base'!K$13*BB237,2))&lt;1,ROUND(BB237*(1+'Calc base'!P238),2),MAX('Calc base'!K$12,ROUND('Calc base'!K$13*BB237,2))))</f>
        <v>0</v>
      </c>
      <c r="S238">
        <f>IF(BC237&lt;=0,0,IF(ROUND(BC237*(1+'Calc base'!Q238),2)-MAX('Calc base'!L$12,ROUND('Calc base'!L$13*BC237,2))&lt;1,ROUND(BC237*(1+'Calc base'!Q238),2),MAX('Calc base'!L$12,ROUND('Calc base'!L$13*BC237,2))))</f>
        <v>0</v>
      </c>
      <c r="T238">
        <f>IF(BD237&lt;=0,0,IF(ROUND(BD237*(1+'Calc base'!R238),2)-MAX('Calc base'!M$12,ROUND('Calc base'!M$13*BD237,2))&lt;1,ROUND(BD237*(1+'Calc base'!R238),2),MAX('Calc base'!M$12,ROUND('Calc base'!M$13*BD237,2))))</f>
        <v>0</v>
      </c>
      <c r="U238">
        <f>IF(BE237&lt;=0,0,IF(ROUND(BE237*(1+'Calc base'!S238),2)-MAX('Calc base'!N$12,ROUND('Calc base'!N$13*BE237,2))&lt;1,ROUND(BE237*(1+'Calc base'!S238),2),MAX('Calc base'!N$12,ROUND('Calc base'!N$13*BE237,2))))</f>
        <v>0</v>
      </c>
      <c r="AT238">
        <f>MAX(0,ROUND(AT237*(1+'Calc base'!H238),2)-J238)</f>
        <v>0</v>
      </c>
      <c r="AU238">
        <f>MAX(0,ROUND(AU237*(1+'Calc base'!I238),2)-K238)</f>
        <v>0</v>
      </c>
      <c r="AV238">
        <f>MAX(0,ROUND(AV237*(1+'Calc base'!J238),2)-L238)</f>
        <v>0</v>
      </c>
      <c r="AW238">
        <f>MAX(0,ROUND(AW237*(1+'Calc base'!K238),2)-M238)</f>
        <v>0</v>
      </c>
      <c r="AX238">
        <f>MAX(0,ROUND(AX237*(1+'Calc base'!L238),2)-N238)</f>
        <v>0</v>
      </c>
      <c r="AY238">
        <f>MAX(0,ROUND(AY237*(1+'Calc base'!M238),2)-O238)</f>
        <v>0</v>
      </c>
      <c r="AZ238">
        <f>MAX(0,ROUND(AZ237*(1+'Calc base'!N238),2)-P238)</f>
        <v>0</v>
      </c>
      <c r="BA238">
        <f>MAX(0,ROUND(BA237*(1+'Calc base'!O238),2)-Q238)</f>
        <v>0</v>
      </c>
      <c r="BB238">
        <f>MAX(0,ROUND(BB237*(1+'Calc base'!P238),2)-R238)</f>
        <v>0</v>
      </c>
      <c r="BC238">
        <f>MAX(0,ROUND(BC237*(1+'Calc base'!Q238),2)-S238)</f>
        <v>0</v>
      </c>
      <c r="BD238">
        <f>MAX(0,ROUND(BD237*(1+'Calc base'!R238),2)-T238)</f>
        <v>0</v>
      </c>
      <c r="BE238">
        <f>MAX(0,ROUND(BE237*(1+'Calc base'!S238),2)-U238)</f>
        <v>0</v>
      </c>
    </row>
    <row r="239">
      <c r="A239" t="n">
        <v>209</v>
      </c>
      <c r="B239">
        <f>SUMPRODUCT(ROUND($AT238:$BE238*(1+'Calc base'!$H239:$S239),2))</f>
        <v>0</v>
      </c>
      <c r="C239">
        <f>SUM(J239:U239)</f>
        <v>0</v>
      </c>
      <c r="G239">
        <f>SUM(AT239:BE239)</f>
        <v>0</v>
      </c>
      <c r="H239">
        <f>B239-G238</f>
        <v>0</v>
      </c>
      <c r="I239">
        <f>B239-G239</f>
        <v>0</v>
      </c>
      <c r="J239">
        <f>IF(AT238&lt;=0,0,IF(ROUND(AT238*(1+'Calc base'!H239),2)-MAX('Calc base'!C$12,ROUND('Calc base'!C$13*AT238,2))&lt;1,ROUND(AT238*(1+'Calc base'!H239),2),MAX('Calc base'!C$12,ROUND('Calc base'!C$13*AT238,2))))</f>
        <v>0</v>
      </c>
      <c r="K239">
        <f>IF(AU238&lt;=0,0,IF(ROUND(AU238*(1+'Calc base'!I239),2)-MAX('Calc base'!D$12,ROUND('Calc base'!D$13*AU238,2))&lt;1,ROUND(AU238*(1+'Calc base'!I239),2),MAX('Calc base'!D$12,ROUND('Calc base'!D$13*AU238,2))))</f>
        <v>0</v>
      </c>
      <c r="L239">
        <f>IF(AV238&lt;=0,0,IF(ROUND(AV238*(1+'Calc base'!J239),2)-MAX('Calc base'!E$12,ROUND('Calc base'!E$13*AV238,2))&lt;1,ROUND(AV238*(1+'Calc base'!J239),2),MAX('Calc base'!E$12,ROUND('Calc base'!E$13*AV238,2))))</f>
        <v>0</v>
      </c>
      <c r="M239">
        <f>IF(AW238&lt;=0,0,IF(ROUND(AW238*(1+'Calc base'!K239),2)-MAX('Calc base'!F$12,ROUND('Calc base'!F$13*AW238,2))&lt;1,ROUND(AW238*(1+'Calc base'!K239),2),MAX('Calc base'!F$12,ROUND('Calc base'!F$13*AW238,2))))</f>
        <v>0</v>
      </c>
      <c r="N239">
        <f>IF(AX238&lt;=0,0,IF(ROUND(AX238*(1+'Calc base'!L239),2)-MAX('Calc base'!G$12,ROUND('Calc base'!G$13*AX238,2))&lt;1,ROUND(AX238*(1+'Calc base'!L239),2),MAX('Calc base'!G$12,ROUND('Calc base'!G$13*AX238,2))))</f>
        <v>0</v>
      </c>
      <c r="O239">
        <f>IF(AY238&lt;=0,0,IF(ROUND(AY238*(1+'Calc base'!M239),2)-MAX('Calc base'!H$12,ROUND('Calc base'!H$13*AY238,2))&lt;1,ROUND(AY238*(1+'Calc base'!M239),2),MAX('Calc base'!H$12,ROUND('Calc base'!H$13*AY238,2))))</f>
        <v>0</v>
      </c>
      <c r="P239">
        <f>IF(AZ238&lt;=0,0,IF(ROUND(AZ238*(1+'Calc base'!N239),2)-MAX('Calc base'!I$12,ROUND('Calc base'!I$13*AZ238,2))&lt;1,ROUND(AZ238*(1+'Calc base'!N239),2),MAX('Calc base'!I$12,ROUND('Calc base'!I$13*AZ238,2))))</f>
        <v>0</v>
      </c>
      <c r="Q239">
        <f>IF(BA238&lt;=0,0,IF(ROUND(BA238*(1+'Calc base'!O239),2)-MAX('Calc base'!J$12,ROUND('Calc base'!J$13*BA238,2))&lt;1,ROUND(BA238*(1+'Calc base'!O239),2),MAX('Calc base'!J$12,ROUND('Calc base'!J$13*BA238,2))))</f>
        <v>0</v>
      </c>
      <c r="R239">
        <f>IF(BB238&lt;=0,0,IF(ROUND(BB238*(1+'Calc base'!P239),2)-MAX('Calc base'!K$12,ROUND('Calc base'!K$13*BB238,2))&lt;1,ROUND(BB238*(1+'Calc base'!P239),2),MAX('Calc base'!K$12,ROUND('Calc base'!K$13*BB238,2))))</f>
        <v>0</v>
      </c>
      <c r="S239">
        <f>IF(BC238&lt;=0,0,IF(ROUND(BC238*(1+'Calc base'!Q239),2)-MAX('Calc base'!L$12,ROUND('Calc base'!L$13*BC238,2))&lt;1,ROUND(BC238*(1+'Calc base'!Q239),2),MAX('Calc base'!L$12,ROUND('Calc base'!L$13*BC238,2))))</f>
        <v>0</v>
      </c>
      <c r="T239">
        <f>IF(BD238&lt;=0,0,IF(ROUND(BD238*(1+'Calc base'!R239),2)-MAX('Calc base'!M$12,ROUND('Calc base'!M$13*BD238,2))&lt;1,ROUND(BD238*(1+'Calc base'!R239),2),MAX('Calc base'!M$12,ROUND('Calc base'!M$13*BD238,2))))</f>
        <v>0</v>
      </c>
      <c r="U239">
        <f>IF(BE238&lt;=0,0,IF(ROUND(BE238*(1+'Calc base'!S239),2)-MAX('Calc base'!N$12,ROUND('Calc base'!N$13*BE238,2))&lt;1,ROUND(BE238*(1+'Calc base'!S239),2),MAX('Calc base'!N$12,ROUND('Calc base'!N$13*BE238,2))))</f>
        <v>0</v>
      </c>
      <c r="AT239">
        <f>MAX(0,ROUND(AT238*(1+'Calc base'!H239),2)-J239)</f>
        <v>0</v>
      </c>
      <c r="AU239">
        <f>MAX(0,ROUND(AU238*(1+'Calc base'!I239),2)-K239)</f>
        <v>0</v>
      </c>
      <c r="AV239">
        <f>MAX(0,ROUND(AV238*(1+'Calc base'!J239),2)-L239)</f>
        <v>0</v>
      </c>
      <c r="AW239">
        <f>MAX(0,ROUND(AW238*(1+'Calc base'!K239),2)-M239)</f>
        <v>0</v>
      </c>
      <c r="AX239">
        <f>MAX(0,ROUND(AX238*(1+'Calc base'!L239),2)-N239)</f>
        <v>0</v>
      </c>
      <c r="AY239">
        <f>MAX(0,ROUND(AY238*(1+'Calc base'!M239),2)-O239)</f>
        <v>0</v>
      </c>
      <c r="AZ239">
        <f>MAX(0,ROUND(AZ238*(1+'Calc base'!N239),2)-P239)</f>
        <v>0</v>
      </c>
      <c r="BA239">
        <f>MAX(0,ROUND(BA238*(1+'Calc base'!O239),2)-Q239)</f>
        <v>0</v>
      </c>
      <c r="BB239">
        <f>MAX(0,ROUND(BB238*(1+'Calc base'!P239),2)-R239)</f>
        <v>0</v>
      </c>
      <c r="BC239">
        <f>MAX(0,ROUND(BC238*(1+'Calc base'!Q239),2)-S239)</f>
        <v>0</v>
      </c>
      <c r="BD239">
        <f>MAX(0,ROUND(BD238*(1+'Calc base'!R239),2)-T239)</f>
        <v>0</v>
      </c>
      <c r="BE239">
        <f>MAX(0,ROUND(BE238*(1+'Calc base'!S239),2)-U239)</f>
        <v>0</v>
      </c>
    </row>
    <row r="240">
      <c r="A240" t="n">
        <v>210</v>
      </c>
      <c r="B240">
        <f>SUMPRODUCT(ROUND($AT239:$BE239*(1+'Calc base'!$H240:$S240),2))</f>
        <v>0</v>
      </c>
      <c r="C240">
        <f>SUM(J240:U240)</f>
        <v>0</v>
      </c>
      <c r="G240">
        <f>SUM(AT240:BE240)</f>
        <v>0</v>
      </c>
      <c r="H240">
        <f>B240-G239</f>
        <v>0</v>
      </c>
      <c r="I240">
        <f>B240-G240</f>
        <v>0</v>
      </c>
      <c r="J240">
        <f>IF(AT239&lt;=0,0,IF(ROUND(AT239*(1+'Calc base'!H240),2)-MAX('Calc base'!C$12,ROUND('Calc base'!C$13*AT239,2))&lt;1,ROUND(AT239*(1+'Calc base'!H240),2),MAX('Calc base'!C$12,ROUND('Calc base'!C$13*AT239,2))))</f>
        <v>0</v>
      </c>
      <c r="K240">
        <f>IF(AU239&lt;=0,0,IF(ROUND(AU239*(1+'Calc base'!I240),2)-MAX('Calc base'!D$12,ROUND('Calc base'!D$13*AU239,2))&lt;1,ROUND(AU239*(1+'Calc base'!I240),2),MAX('Calc base'!D$12,ROUND('Calc base'!D$13*AU239,2))))</f>
        <v>0</v>
      </c>
      <c r="L240">
        <f>IF(AV239&lt;=0,0,IF(ROUND(AV239*(1+'Calc base'!J240),2)-MAX('Calc base'!E$12,ROUND('Calc base'!E$13*AV239,2))&lt;1,ROUND(AV239*(1+'Calc base'!J240),2),MAX('Calc base'!E$12,ROUND('Calc base'!E$13*AV239,2))))</f>
        <v>0</v>
      </c>
      <c r="M240">
        <f>IF(AW239&lt;=0,0,IF(ROUND(AW239*(1+'Calc base'!K240),2)-MAX('Calc base'!F$12,ROUND('Calc base'!F$13*AW239,2))&lt;1,ROUND(AW239*(1+'Calc base'!K240),2),MAX('Calc base'!F$12,ROUND('Calc base'!F$13*AW239,2))))</f>
        <v>0</v>
      </c>
      <c r="N240">
        <f>IF(AX239&lt;=0,0,IF(ROUND(AX239*(1+'Calc base'!L240),2)-MAX('Calc base'!G$12,ROUND('Calc base'!G$13*AX239,2))&lt;1,ROUND(AX239*(1+'Calc base'!L240),2),MAX('Calc base'!G$12,ROUND('Calc base'!G$13*AX239,2))))</f>
        <v>0</v>
      </c>
      <c r="O240">
        <f>IF(AY239&lt;=0,0,IF(ROUND(AY239*(1+'Calc base'!M240),2)-MAX('Calc base'!H$12,ROUND('Calc base'!H$13*AY239,2))&lt;1,ROUND(AY239*(1+'Calc base'!M240),2),MAX('Calc base'!H$12,ROUND('Calc base'!H$13*AY239,2))))</f>
        <v>0</v>
      </c>
      <c r="P240">
        <f>IF(AZ239&lt;=0,0,IF(ROUND(AZ239*(1+'Calc base'!N240),2)-MAX('Calc base'!I$12,ROUND('Calc base'!I$13*AZ239,2))&lt;1,ROUND(AZ239*(1+'Calc base'!N240),2),MAX('Calc base'!I$12,ROUND('Calc base'!I$13*AZ239,2))))</f>
        <v>0</v>
      </c>
      <c r="Q240">
        <f>IF(BA239&lt;=0,0,IF(ROUND(BA239*(1+'Calc base'!O240),2)-MAX('Calc base'!J$12,ROUND('Calc base'!J$13*BA239,2))&lt;1,ROUND(BA239*(1+'Calc base'!O240),2),MAX('Calc base'!J$12,ROUND('Calc base'!J$13*BA239,2))))</f>
        <v>0</v>
      </c>
      <c r="R240">
        <f>IF(BB239&lt;=0,0,IF(ROUND(BB239*(1+'Calc base'!P240),2)-MAX('Calc base'!K$12,ROUND('Calc base'!K$13*BB239,2))&lt;1,ROUND(BB239*(1+'Calc base'!P240),2),MAX('Calc base'!K$12,ROUND('Calc base'!K$13*BB239,2))))</f>
        <v>0</v>
      </c>
      <c r="S240">
        <f>IF(BC239&lt;=0,0,IF(ROUND(BC239*(1+'Calc base'!Q240),2)-MAX('Calc base'!L$12,ROUND('Calc base'!L$13*BC239,2))&lt;1,ROUND(BC239*(1+'Calc base'!Q240),2),MAX('Calc base'!L$12,ROUND('Calc base'!L$13*BC239,2))))</f>
        <v>0</v>
      </c>
      <c r="T240">
        <f>IF(BD239&lt;=0,0,IF(ROUND(BD239*(1+'Calc base'!R240),2)-MAX('Calc base'!M$12,ROUND('Calc base'!M$13*BD239,2))&lt;1,ROUND(BD239*(1+'Calc base'!R240),2),MAX('Calc base'!M$12,ROUND('Calc base'!M$13*BD239,2))))</f>
        <v>0</v>
      </c>
      <c r="U240">
        <f>IF(BE239&lt;=0,0,IF(ROUND(BE239*(1+'Calc base'!S240),2)-MAX('Calc base'!N$12,ROUND('Calc base'!N$13*BE239,2))&lt;1,ROUND(BE239*(1+'Calc base'!S240),2),MAX('Calc base'!N$12,ROUND('Calc base'!N$13*BE239,2))))</f>
        <v>0</v>
      </c>
      <c r="AT240">
        <f>MAX(0,ROUND(AT239*(1+'Calc base'!H240),2)-J240)</f>
        <v>0</v>
      </c>
      <c r="AU240">
        <f>MAX(0,ROUND(AU239*(1+'Calc base'!I240),2)-K240)</f>
        <v>0</v>
      </c>
      <c r="AV240">
        <f>MAX(0,ROUND(AV239*(1+'Calc base'!J240),2)-L240)</f>
        <v>0</v>
      </c>
      <c r="AW240">
        <f>MAX(0,ROUND(AW239*(1+'Calc base'!K240),2)-M240)</f>
        <v>0</v>
      </c>
      <c r="AX240">
        <f>MAX(0,ROUND(AX239*(1+'Calc base'!L240),2)-N240)</f>
        <v>0</v>
      </c>
      <c r="AY240">
        <f>MAX(0,ROUND(AY239*(1+'Calc base'!M240),2)-O240)</f>
        <v>0</v>
      </c>
      <c r="AZ240">
        <f>MAX(0,ROUND(AZ239*(1+'Calc base'!N240),2)-P240)</f>
        <v>0</v>
      </c>
      <c r="BA240">
        <f>MAX(0,ROUND(BA239*(1+'Calc base'!O240),2)-Q240)</f>
        <v>0</v>
      </c>
      <c r="BB240">
        <f>MAX(0,ROUND(BB239*(1+'Calc base'!P240),2)-R240)</f>
        <v>0</v>
      </c>
      <c r="BC240">
        <f>MAX(0,ROUND(BC239*(1+'Calc base'!Q240),2)-S240)</f>
        <v>0</v>
      </c>
      <c r="BD240">
        <f>MAX(0,ROUND(BD239*(1+'Calc base'!R240),2)-T240)</f>
        <v>0</v>
      </c>
      <c r="BE240">
        <f>MAX(0,ROUND(BE239*(1+'Calc base'!S240),2)-U240)</f>
        <v>0</v>
      </c>
    </row>
    <row r="241">
      <c r="A241" t="n">
        <v>211</v>
      </c>
      <c r="B241">
        <f>SUMPRODUCT(ROUND($AT240:$BE240*(1+'Calc base'!$H241:$S241),2))</f>
        <v>0</v>
      </c>
      <c r="C241">
        <f>SUM(J241:U241)</f>
        <v>0</v>
      </c>
      <c r="G241">
        <f>SUM(AT241:BE241)</f>
        <v>0</v>
      </c>
      <c r="H241">
        <f>B241-G240</f>
        <v>0</v>
      </c>
      <c r="I241">
        <f>B241-G241</f>
        <v>0</v>
      </c>
      <c r="J241">
        <f>IF(AT240&lt;=0,0,IF(ROUND(AT240*(1+'Calc base'!H241),2)-MAX('Calc base'!C$12,ROUND('Calc base'!C$13*AT240,2))&lt;1,ROUND(AT240*(1+'Calc base'!H241),2),MAX('Calc base'!C$12,ROUND('Calc base'!C$13*AT240,2))))</f>
        <v>0</v>
      </c>
      <c r="K241">
        <f>IF(AU240&lt;=0,0,IF(ROUND(AU240*(1+'Calc base'!I241),2)-MAX('Calc base'!D$12,ROUND('Calc base'!D$13*AU240,2))&lt;1,ROUND(AU240*(1+'Calc base'!I241),2),MAX('Calc base'!D$12,ROUND('Calc base'!D$13*AU240,2))))</f>
        <v>0</v>
      </c>
      <c r="L241">
        <f>IF(AV240&lt;=0,0,IF(ROUND(AV240*(1+'Calc base'!J241),2)-MAX('Calc base'!E$12,ROUND('Calc base'!E$13*AV240,2))&lt;1,ROUND(AV240*(1+'Calc base'!J241),2),MAX('Calc base'!E$12,ROUND('Calc base'!E$13*AV240,2))))</f>
        <v>0</v>
      </c>
      <c r="M241">
        <f>IF(AW240&lt;=0,0,IF(ROUND(AW240*(1+'Calc base'!K241),2)-MAX('Calc base'!F$12,ROUND('Calc base'!F$13*AW240,2))&lt;1,ROUND(AW240*(1+'Calc base'!K241),2),MAX('Calc base'!F$12,ROUND('Calc base'!F$13*AW240,2))))</f>
        <v>0</v>
      </c>
      <c r="N241">
        <f>IF(AX240&lt;=0,0,IF(ROUND(AX240*(1+'Calc base'!L241),2)-MAX('Calc base'!G$12,ROUND('Calc base'!G$13*AX240,2))&lt;1,ROUND(AX240*(1+'Calc base'!L241),2),MAX('Calc base'!G$12,ROUND('Calc base'!G$13*AX240,2))))</f>
        <v>0</v>
      </c>
      <c r="O241">
        <f>IF(AY240&lt;=0,0,IF(ROUND(AY240*(1+'Calc base'!M241),2)-MAX('Calc base'!H$12,ROUND('Calc base'!H$13*AY240,2))&lt;1,ROUND(AY240*(1+'Calc base'!M241),2),MAX('Calc base'!H$12,ROUND('Calc base'!H$13*AY240,2))))</f>
        <v>0</v>
      </c>
      <c r="P241">
        <f>IF(AZ240&lt;=0,0,IF(ROUND(AZ240*(1+'Calc base'!N241),2)-MAX('Calc base'!I$12,ROUND('Calc base'!I$13*AZ240,2))&lt;1,ROUND(AZ240*(1+'Calc base'!N241),2),MAX('Calc base'!I$12,ROUND('Calc base'!I$13*AZ240,2))))</f>
        <v>0</v>
      </c>
      <c r="Q241">
        <f>IF(BA240&lt;=0,0,IF(ROUND(BA240*(1+'Calc base'!O241),2)-MAX('Calc base'!J$12,ROUND('Calc base'!J$13*BA240,2))&lt;1,ROUND(BA240*(1+'Calc base'!O241),2),MAX('Calc base'!J$12,ROUND('Calc base'!J$13*BA240,2))))</f>
        <v>0</v>
      </c>
      <c r="R241">
        <f>IF(BB240&lt;=0,0,IF(ROUND(BB240*(1+'Calc base'!P241),2)-MAX('Calc base'!K$12,ROUND('Calc base'!K$13*BB240,2))&lt;1,ROUND(BB240*(1+'Calc base'!P241),2),MAX('Calc base'!K$12,ROUND('Calc base'!K$13*BB240,2))))</f>
        <v>0</v>
      </c>
      <c r="S241">
        <f>IF(BC240&lt;=0,0,IF(ROUND(BC240*(1+'Calc base'!Q241),2)-MAX('Calc base'!L$12,ROUND('Calc base'!L$13*BC240,2))&lt;1,ROUND(BC240*(1+'Calc base'!Q241),2),MAX('Calc base'!L$12,ROUND('Calc base'!L$13*BC240,2))))</f>
        <v>0</v>
      </c>
      <c r="T241">
        <f>IF(BD240&lt;=0,0,IF(ROUND(BD240*(1+'Calc base'!R241),2)-MAX('Calc base'!M$12,ROUND('Calc base'!M$13*BD240,2))&lt;1,ROUND(BD240*(1+'Calc base'!R241),2),MAX('Calc base'!M$12,ROUND('Calc base'!M$13*BD240,2))))</f>
        <v>0</v>
      </c>
      <c r="U241">
        <f>IF(BE240&lt;=0,0,IF(ROUND(BE240*(1+'Calc base'!S241),2)-MAX('Calc base'!N$12,ROUND('Calc base'!N$13*BE240,2))&lt;1,ROUND(BE240*(1+'Calc base'!S241),2),MAX('Calc base'!N$12,ROUND('Calc base'!N$13*BE240,2))))</f>
        <v>0</v>
      </c>
      <c r="AT241">
        <f>MAX(0,ROUND(AT240*(1+'Calc base'!H241),2)-J241)</f>
        <v>0</v>
      </c>
      <c r="AU241">
        <f>MAX(0,ROUND(AU240*(1+'Calc base'!I241),2)-K241)</f>
        <v>0</v>
      </c>
      <c r="AV241">
        <f>MAX(0,ROUND(AV240*(1+'Calc base'!J241),2)-L241)</f>
        <v>0</v>
      </c>
      <c r="AW241">
        <f>MAX(0,ROUND(AW240*(1+'Calc base'!K241),2)-M241)</f>
        <v>0</v>
      </c>
      <c r="AX241">
        <f>MAX(0,ROUND(AX240*(1+'Calc base'!L241),2)-N241)</f>
        <v>0</v>
      </c>
      <c r="AY241">
        <f>MAX(0,ROUND(AY240*(1+'Calc base'!M241),2)-O241)</f>
        <v>0</v>
      </c>
      <c r="AZ241">
        <f>MAX(0,ROUND(AZ240*(1+'Calc base'!N241),2)-P241)</f>
        <v>0</v>
      </c>
      <c r="BA241">
        <f>MAX(0,ROUND(BA240*(1+'Calc base'!O241),2)-Q241)</f>
        <v>0</v>
      </c>
      <c r="BB241">
        <f>MAX(0,ROUND(BB240*(1+'Calc base'!P241),2)-R241)</f>
        <v>0</v>
      </c>
      <c r="BC241">
        <f>MAX(0,ROUND(BC240*(1+'Calc base'!Q241),2)-S241)</f>
        <v>0</v>
      </c>
      <c r="BD241">
        <f>MAX(0,ROUND(BD240*(1+'Calc base'!R241),2)-T241)</f>
        <v>0</v>
      </c>
      <c r="BE241">
        <f>MAX(0,ROUND(BE240*(1+'Calc base'!S241),2)-U241)</f>
        <v>0</v>
      </c>
    </row>
    <row r="242">
      <c r="A242" t="n">
        <v>212</v>
      </c>
      <c r="B242">
        <f>SUMPRODUCT(ROUND($AT241:$BE241*(1+'Calc base'!$H242:$S242),2))</f>
        <v>0</v>
      </c>
      <c r="C242">
        <f>SUM(J242:U242)</f>
        <v>0</v>
      </c>
      <c r="G242">
        <f>SUM(AT242:BE242)</f>
        <v>0</v>
      </c>
      <c r="H242">
        <f>B242-G241</f>
        <v>0</v>
      </c>
      <c r="I242">
        <f>B242-G242</f>
        <v>0</v>
      </c>
      <c r="J242">
        <f>IF(AT241&lt;=0,0,IF(ROUND(AT241*(1+'Calc base'!H242),2)-MAX('Calc base'!C$12,ROUND('Calc base'!C$13*AT241,2))&lt;1,ROUND(AT241*(1+'Calc base'!H242),2),MAX('Calc base'!C$12,ROUND('Calc base'!C$13*AT241,2))))</f>
        <v>0</v>
      </c>
      <c r="K242">
        <f>IF(AU241&lt;=0,0,IF(ROUND(AU241*(1+'Calc base'!I242),2)-MAX('Calc base'!D$12,ROUND('Calc base'!D$13*AU241,2))&lt;1,ROUND(AU241*(1+'Calc base'!I242),2),MAX('Calc base'!D$12,ROUND('Calc base'!D$13*AU241,2))))</f>
        <v>0</v>
      </c>
      <c r="L242">
        <f>IF(AV241&lt;=0,0,IF(ROUND(AV241*(1+'Calc base'!J242),2)-MAX('Calc base'!E$12,ROUND('Calc base'!E$13*AV241,2))&lt;1,ROUND(AV241*(1+'Calc base'!J242),2),MAX('Calc base'!E$12,ROUND('Calc base'!E$13*AV241,2))))</f>
        <v>0</v>
      </c>
      <c r="M242">
        <f>IF(AW241&lt;=0,0,IF(ROUND(AW241*(1+'Calc base'!K242),2)-MAX('Calc base'!F$12,ROUND('Calc base'!F$13*AW241,2))&lt;1,ROUND(AW241*(1+'Calc base'!K242),2),MAX('Calc base'!F$12,ROUND('Calc base'!F$13*AW241,2))))</f>
        <v>0</v>
      </c>
      <c r="N242">
        <f>IF(AX241&lt;=0,0,IF(ROUND(AX241*(1+'Calc base'!L242),2)-MAX('Calc base'!G$12,ROUND('Calc base'!G$13*AX241,2))&lt;1,ROUND(AX241*(1+'Calc base'!L242),2),MAX('Calc base'!G$12,ROUND('Calc base'!G$13*AX241,2))))</f>
        <v>0</v>
      </c>
      <c r="O242">
        <f>IF(AY241&lt;=0,0,IF(ROUND(AY241*(1+'Calc base'!M242),2)-MAX('Calc base'!H$12,ROUND('Calc base'!H$13*AY241,2))&lt;1,ROUND(AY241*(1+'Calc base'!M242),2),MAX('Calc base'!H$12,ROUND('Calc base'!H$13*AY241,2))))</f>
        <v>0</v>
      </c>
      <c r="P242">
        <f>IF(AZ241&lt;=0,0,IF(ROUND(AZ241*(1+'Calc base'!N242),2)-MAX('Calc base'!I$12,ROUND('Calc base'!I$13*AZ241,2))&lt;1,ROUND(AZ241*(1+'Calc base'!N242),2),MAX('Calc base'!I$12,ROUND('Calc base'!I$13*AZ241,2))))</f>
        <v>0</v>
      </c>
      <c r="Q242">
        <f>IF(BA241&lt;=0,0,IF(ROUND(BA241*(1+'Calc base'!O242),2)-MAX('Calc base'!J$12,ROUND('Calc base'!J$13*BA241,2))&lt;1,ROUND(BA241*(1+'Calc base'!O242),2),MAX('Calc base'!J$12,ROUND('Calc base'!J$13*BA241,2))))</f>
        <v>0</v>
      </c>
      <c r="R242">
        <f>IF(BB241&lt;=0,0,IF(ROUND(BB241*(1+'Calc base'!P242),2)-MAX('Calc base'!K$12,ROUND('Calc base'!K$13*BB241,2))&lt;1,ROUND(BB241*(1+'Calc base'!P242),2),MAX('Calc base'!K$12,ROUND('Calc base'!K$13*BB241,2))))</f>
        <v>0</v>
      </c>
      <c r="S242">
        <f>IF(BC241&lt;=0,0,IF(ROUND(BC241*(1+'Calc base'!Q242),2)-MAX('Calc base'!L$12,ROUND('Calc base'!L$13*BC241,2))&lt;1,ROUND(BC241*(1+'Calc base'!Q242),2),MAX('Calc base'!L$12,ROUND('Calc base'!L$13*BC241,2))))</f>
        <v>0</v>
      </c>
      <c r="T242">
        <f>IF(BD241&lt;=0,0,IF(ROUND(BD241*(1+'Calc base'!R242),2)-MAX('Calc base'!M$12,ROUND('Calc base'!M$13*BD241,2))&lt;1,ROUND(BD241*(1+'Calc base'!R242),2),MAX('Calc base'!M$12,ROUND('Calc base'!M$13*BD241,2))))</f>
        <v>0</v>
      </c>
      <c r="U242">
        <f>IF(BE241&lt;=0,0,IF(ROUND(BE241*(1+'Calc base'!S242),2)-MAX('Calc base'!N$12,ROUND('Calc base'!N$13*BE241,2))&lt;1,ROUND(BE241*(1+'Calc base'!S242),2),MAX('Calc base'!N$12,ROUND('Calc base'!N$13*BE241,2))))</f>
        <v>0</v>
      </c>
      <c r="AT242">
        <f>MAX(0,ROUND(AT241*(1+'Calc base'!H242),2)-J242)</f>
        <v>0</v>
      </c>
      <c r="AU242">
        <f>MAX(0,ROUND(AU241*(1+'Calc base'!I242),2)-K242)</f>
        <v>0</v>
      </c>
      <c r="AV242">
        <f>MAX(0,ROUND(AV241*(1+'Calc base'!J242),2)-L242)</f>
        <v>0</v>
      </c>
      <c r="AW242">
        <f>MAX(0,ROUND(AW241*(1+'Calc base'!K242),2)-M242)</f>
        <v>0</v>
      </c>
      <c r="AX242">
        <f>MAX(0,ROUND(AX241*(1+'Calc base'!L242),2)-N242)</f>
        <v>0</v>
      </c>
      <c r="AY242">
        <f>MAX(0,ROUND(AY241*(1+'Calc base'!M242),2)-O242)</f>
        <v>0</v>
      </c>
      <c r="AZ242">
        <f>MAX(0,ROUND(AZ241*(1+'Calc base'!N242),2)-P242)</f>
        <v>0</v>
      </c>
      <c r="BA242">
        <f>MAX(0,ROUND(BA241*(1+'Calc base'!O242),2)-Q242)</f>
        <v>0</v>
      </c>
      <c r="BB242">
        <f>MAX(0,ROUND(BB241*(1+'Calc base'!P242),2)-R242)</f>
        <v>0</v>
      </c>
      <c r="BC242">
        <f>MAX(0,ROUND(BC241*(1+'Calc base'!Q242),2)-S242)</f>
        <v>0</v>
      </c>
      <c r="BD242">
        <f>MAX(0,ROUND(BD241*(1+'Calc base'!R242),2)-T242)</f>
        <v>0</v>
      </c>
      <c r="BE242">
        <f>MAX(0,ROUND(BE241*(1+'Calc base'!S242),2)-U242)</f>
        <v>0</v>
      </c>
    </row>
    <row r="243">
      <c r="A243" t="n">
        <v>213</v>
      </c>
      <c r="B243">
        <f>SUMPRODUCT(ROUND($AT242:$BE242*(1+'Calc base'!$H243:$S243),2))</f>
        <v>0</v>
      </c>
      <c r="C243">
        <f>SUM(J243:U243)</f>
        <v>0</v>
      </c>
      <c r="G243">
        <f>SUM(AT243:BE243)</f>
        <v>0</v>
      </c>
      <c r="H243">
        <f>B243-G242</f>
        <v>0</v>
      </c>
      <c r="I243">
        <f>B243-G243</f>
        <v>0</v>
      </c>
      <c r="J243">
        <f>IF(AT242&lt;=0,0,IF(ROUND(AT242*(1+'Calc base'!H243),2)-MAX('Calc base'!C$12,ROUND('Calc base'!C$13*AT242,2))&lt;1,ROUND(AT242*(1+'Calc base'!H243),2),MAX('Calc base'!C$12,ROUND('Calc base'!C$13*AT242,2))))</f>
        <v>0</v>
      </c>
      <c r="K243">
        <f>IF(AU242&lt;=0,0,IF(ROUND(AU242*(1+'Calc base'!I243),2)-MAX('Calc base'!D$12,ROUND('Calc base'!D$13*AU242,2))&lt;1,ROUND(AU242*(1+'Calc base'!I243),2),MAX('Calc base'!D$12,ROUND('Calc base'!D$13*AU242,2))))</f>
        <v>0</v>
      </c>
      <c r="L243">
        <f>IF(AV242&lt;=0,0,IF(ROUND(AV242*(1+'Calc base'!J243),2)-MAX('Calc base'!E$12,ROUND('Calc base'!E$13*AV242,2))&lt;1,ROUND(AV242*(1+'Calc base'!J243),2),MAX('Calc base'!E$12,ROUND('Calc base'!E$13*AV242,2))))</f>
        <v>0</v>
      </c>
      <c r="M243">
        <f>IF(AW242&lt;=0,0,IF(ROUND(AW242*(1+'Calc base'!K243),2)-MAX('Calc base'!F$12,ROUND('Calc base'!F$13*AW242,2))&lt;1,ROUND(AW242*(1+'Calc base'!K243),2),MAX('Calc base'!F$12,ROUND('Calc base'!F$13*AW242,2))))</f>
        <v>0</v>
      </c>
      <c r="N243">
        <f>IF(AX242&lt;=0,0,IF(ROUND(AX242*(1+'Calc base'!L243),2)-MAX('Calc base'!G$12,ROUND('Calc base'!G$13*AX242,2))&lt;1,ROUND(AX242*(1+'Calc base'!L243),2),MAX('Calc base'!G$12,ROUND('Calc base'!G$13*AX242,2))))</f>
        <v>0</v>
      </c>
      <c r="O243">
        <f>IF(AY242&lt;=0,0,IF(ROUND(AY242*(1+'Calc base'!M243),2)-MAX('Calc base'!H$12,ROUND('Calc base'!H$13*AY242,2))&lt;1,ROUND(AY242*(1+'Calc base'!M243),2),MAX('Calc base'!H$12,ROUND('Calc base'!H$13*AY242,2))))</f>
        <v>0</v>
      </c>
      <c r="P243">
        <f>IF(AZ242&lt;=0,0,IF(ROUND(AZ242*(1+'Calc base'!N243),2)-MAX('Calc base'!I$12,ROUND('Calc base'!I$13*AZ242,2))&lt;1,ROUND(AZ242*(1+'Calc base'!N243),2),MAX('Calc base'!I$12,ROUND('Calc base'!I$13*AZ242,2))))</f>
        <v>0</v>
      </c>
      <c r="Q243">
        <f>IF(BA242&lt;=0,0,IF(ROUND(BA242*(1+'Calc base'!O243),2)-MAX('Calc base'!J$12,ROUND('Calc base'!J$13*BA242,2))&lt;1,ROUND(BA242*(1+'Calc base'!O243),2),MAX('Calc base'!J$12,ROUND('Calc base'!J$13*BA242,2))))</f>
        <v>0</v>
      </c>
      <c r="R243">
        <f>IF(BB242&lt;=0,0,IF(ROUND(BB242*(1+'Calc base'!P243),2)-MAX('Calc base'!K$12,ROUND('Calc base'!K$13*BB242,2))&lt;1,ROUND(BB242*(1+'Calc base'!P243),2),MAX('Calc base'!K$12,ROUND('Calc base'!K$13*BB242,2))))</f>
        <v>0</v>
      </c>
      <c r="S243">
        <f>IF(BC242&lt;=0,0,IF(ROUND(BC242*(1+'Calc base'!Q243),2)-MAX('Calc base'!L$12,ROUND('Calc base'!L$13*BC242,2))&lt;1,ROUND(BC242*(1+'Calc base'!Q243),2),MAX('Calc base'!L$12,ROUND('Calc base'!L$13*BC242,2))))</f>
        <v>0</v>
      </c>
      <c r="T243">
        <f>IF(BD242&lt;=0,0,IF(ROUND(BD242*(1+'Calc base'!R243),2)-MAX('Calc base'!M$12,ROUND('Calc base'!M$13*BD242,2))&lt;1,ROUND(BD242*(1+'Calc base'!R243),2),MAX('Calc base'!M$12,ROUND('Calc base'!M$13*BD242,2))))</f>
        <v>0</v>
      </c>
      <c r="U243">
        <f>IF(BE242&lt;=0,0,IF(ROUND(BE242*(1+'Calc base'!S243),2)-MAX('Calc base'!N$12,ROUND('Calc base'!N$13*BE242,2))&lt;1,ROUND(BE242*(1+'Calc base'!S243),2),MAX('Calc base'!N$12,ROUND('Calc base'!N$13*BE242,2))))</f>
        <v>0</v>
      </c>
      <c r="AT243">
        <f>MAX(0,ROUND(AT242*(1+'Calc base'!H243),2)-J243)</f>
        <v>0</v>
      </c>
      <c r="AU243">
        <f>MAX(0,ROUND(AU242*(1+'Calc base'!I243),2)-K243)</f>
        <v>0</v>
      </c>
      <c r="AV243">
        <f>MAX(0,ROUND(AV242*(1+'Calc base'!J243),2)-L243)</f>
        <v>0</v>
      </c>
      <c r="AW243">
        <f>MAX(0,ROUND(AW242*(1+'Calc base'!K243),2)-M243)</f>
        <v>0</v>
      </c>
      <c r="AX243">
        <f>MAX(0,ROUND(AX242*(1+'Calc base'!L243),2)-N243)</f>
        <v>0</v>
      </c>
      <c r="AY243">
        <f>MAX(0,ROUND(AY242*(1+'Calc base'!M243),2)-O243)</f>
        <v>0</v>
      </c>
      <c r="AZ243">
        <f>MAX(0,ROUND(AZ242*(1+'Calc base'!N243),2)-P243)</f>
        <v>0</v>
      </c>
      <c r="BA243">
        <f>MAX(0,ROUND(BA242*(1+'Calc base'!O243),2)-Q243)</f>
        <v>0</v>
      </c>
      <c r="BB243">
        <f>MAX(0,ROUND(BB242*(1+'Calc base'!P243),2)-R243)</f>
        <v>0</v>
      </c>
      <c r="BC243">
        <f>MAX(0,ROUND(BC242*(1+'Calc base'!Q243),2)-S243)</f>
        <v>0</v>
      </c>
      <c r="BD243">
        <f>MAX(0,ROUND(BD242*(1+'Calc base'!R243),2)-T243)</f>
        <v>0</v>
      </c>
      <c r="BE243">
        <f>MAX(0,ROUND(BE242*(1+'Calc base'!S243),2)-U243)</f>
        <v>0</v>
      </c>
    </row>
    <row r="244">
      <c r="A244" t="n">
        <v>214</v>
      </c>
      <c r="B244">
        <f>SUMPRODUCT(ROUND($AT243:$BE243*(1+'Calc base'!$H244:$S244),2))</f>
        <v>0</v>
      </c>
      <c r="C244">
        <f>SUM(J244:U244)</f>
        <v>0</v>
      </c>
      <c r="G244">
        <f>SUM(AT244:BE244)</f>
        <v>0</v>
      </c>
      <c r="H244">
        <f>B244-G243</f>
        <v>0</v>
      </c>
      <c r="I244">
        <f>B244-G244</f>
        <v>0</v>
      </c>
      <c r="J244">
        <f>IF(AT243&lt;=0,0,IF(ROUND(AT243*(1+'Calc base'!H244),2)-MAX('Calc base'!C$12,ROUND('Calc base'!C$13*AT243,2))&lt;1,ROUND(AT243*(1+'Calc base'!H244),2),MAX('Calc base'!C$12,ROUND('Calc base'!C$13*AT243,2))))</f>
        <v>0</v>
      </c>
      <c r="K244">
        <f>IF(AU243&lt;=0,0,IF(ROUND(AU243*(1+'Calc base'!I244),2)-MAX('Calc base'!D$12,ROUND('Calc base'!D$13*AU243,2))&lt;1,ROUND(AU243*(1+'Calc base'!I244),2),MAX('Calc base'!D$12,ROUND('Calc base'!D$13*AU243,2))))</f>
        <v>0</v>
      </c>
      <c r="L244">
        <f>IF(AV243&lt;=0,0,IF(ROUND(AV243*(1+'Calc base'!J244),2)-MAX('Calc base'!E$12,ROUND('Calc base'!E$13*AV243,2))&lt;1,ROUND(AV243*(1+'Calc base'!J244),2),MAX('Calc base'!E$12,ROUND('Calc base'!E$13*AV243,2))))</f>
        <v>0</v>
      </c>
      <c r="M244">
        <f>IF(AW243&lt;=0,0,IF(ROUND(AW243*(1+'Calc base'!K244),2)-MAX('Calc base'!F$12,ROUND('Calc base'!F$13*AW243,2))&lt;1,ROUND(AW243*(1+'Calc base'!K244),2),MAX('Calc base'!F$12,ROUND('Calc base'!F$13*AW243,2))))</f>
        <v>0</v>
      </c>
      <c r="N244">
        <f>IF(AX243&lt;=0,0,IF(ROUND(AX243*(1+'Calc base'!L244),2)-MAX('Calc base'!G$12,ROUND('Calc base'!G$13*AX243,2))&lt;1,ROUND(AX243*(1+'Calc base'!L244),2),MAX('Calc base'!G$12,ROUND('Calc base'!G$13*AX243,2))))</f>
        <v>0</v>
      </c>
      <c r="O244">
        <f>IF(AY243&lt;=0,0,IF(ROUND(AY243*(1+'Calc base'!M244),2)-MAX('Calc base'!H$12,ROUND('Calc base'!H$13*AY243,2))&lt;1,ROUND(AY243*(1+'Calc base'!M244),2),MAX('Calc base'!H$12,ROUND('Calc base'!H$13*AY243,2))))</f>
        <v>0</v>
      </c>
      <c r="P244">
        <f>IF(AZ243&lt;=0,0,IF(ROUND(AZ243*(1+'Calc base'!N244),2)-MAX('Calc base'!I$12,ROUND('Calc base'!I$13*AZ243,2))&lt;1,ROUND(AZ243*(1+'Calc base'!N244),2),MAX('Calc base'!I$12,ROUND('Calc base'!I$13*AZ243,2))))</f>
        <v>0</v>
      </c>
      <c r="Q244">
        <f>IF(BA243&lt;=0,0,IF(ROUND(BA243*(1+'Calc base'!O244),2)-MAX('Calc base'!J$12,ROUND('Calc base'!J$13*BA243,2))&lt;1,ROUND(BA243*(1+'Calc base'!O244),2),MAX('Calc base'!J$12,ROUND('Calc base'!J$13*BA243,2))))</f>
        <v>0</v>
      </c>
      <c r="R244">
        <f>IF(BB243&lt;=0,0,IF(ROUND(BB243*(1+'Calc base'!P244),2)-MAX('Calc base'!K$12,ROUND('Calc base'!K$13*BB243,2))&lt;1,ROUND(BB243*(1+'Calc base'!P244),2),MAX('Calc base'!K$12,ROUND('Calc base'!K$13*BB243,2))))</f>
        <v>0</v>
      </c>
      <c r="S244">
        <f>IF(BC243&lt;=0,0,IF(ROUND(BC243*(1+'Calc base'!Q244),2)-MAX('Calc base'!L$12,ROUND('Calc base'!L$13*BC243,2))&lt;1,ROUND(BC243*(1+'Calc base'!Q244),2),MAX('Calc base'!L$12,ROUND('Calc base'!L$13*BC243,2))))</f>
        <v>0</v>
      </c>
      <c r="T244">
        <f>IF(BD243&lt;=0,0,IF(ROUND(BD243*(1+'Calc base'!R244),2)-MAX('Calc base'!M$12,ROUND('Calc base'!M$13*BD243,2))&lt;1,ROUND(BD243*(1+'Calc base'!R244),2),MAX('Calc base'!M$12,ROUND('Calc base'!M$13*BD243,2))))</f>
        <v>0</v>
      </c>
      <c r="U244">
        <f>IF(BE243&lt;=0,0,IF(ROUND(BE243*(1+'Calc base'!S244),2)-MAX('Calc base'!N$12,ROUND('Calc base'!N$13*BE243,2))&lt;1,ROUND(BE243*(1+'Calc base'!S244),2),MAX('Calc base'!N$12,ROUND('Calc base'!N$13*BE243,2))))</f>
        <v>0</v>
      </c>
      <c r="AT244">
        <f>MAX(0,ROUND(AT243*(1+'Calc base'!H244),2)-J244)</f>
        <v>0</v>
      </c>
      <c r="AU244">
        <f>MAX(0,ROUND(AU243*(1+'Calc base'!I244),2)-K244)</f>
        <v>0</v>
      </c>
      <c r="AV244">
        <f>MAX(0,ROUND(AV243*(1+'Calc base'!J244),2)-L244)</f>
        <v>0</v>
      </c>
      <c r="AW244">
        <f>MAX(0,ROUND(AW243*(1+'Calc base'!K244),2)-M244)</f>
        <v>0</v>
      </c>
      <c r="AX244">
        <f>MAX(0,ROUND(AX243*(1+'Calc base'!L244),2)-N244)</f>
        <v>0</v>
      </c>
      <c r="AY244">
        <f>MAX(0,ROUND(AY243*(1+'Calc base'!M244),2)-O244)</f>
        <v>0</v>
      </c>
      <c r="AZ244">
        <f>MAX(0,ROUND(AZ243*(1+'Calc base'!N244),2)-P244)</f>
        <v>0</v>
      </c>
      <c r="BA244">
        <f>MAX(0,ROUND(BA243*(1+'Calc base'!O244),2)-Q244)</f>
        <v>0</v>
      </c>
      <c r="BB244">
        <f>MAX(0,ROUND(BB243*(1+'Calc base'!P244),2)-R244)</f>
        <v>0</v>
      </c>
      <c r="BC244">
        <f>MAX(0,ROUND(BC243*(1+'Calc base'!Q244),2)-S244)</f>
        <v>0</v>
      </c>
      <c r="BD244">
        <f>MAX(0,ROUND(BD243*(1+'Calc base'!R244),2)-T244)</f>
        <v>0</v>
      </c>
      <c r="BE244">
        <f>MAX(0,ROUND(BE243*(1+'Calc base'!S244),2)-U244)</f>
        <v>0</v>
      </c>
    </row>
    <row r="245">
      <c r="A245" t="n">
        <v>215</v>
      </c>
      <c r="B245">
        <f>SUMPRODUCT(ROUND($AT244:$BE244*(1+'Calc base'!$H245:$S245),2))</f>
        <v>0</v>
      </c>
      <c r="C245">
        <f>SUM(J245:U245)</f>
        <v>0</v>
      </c>
      <c r="G245">
        <f>SUM(AT245:BE245)</f>
        <v>0</v>
      </c>
      <c r="H245">
        <f>B245-G244</f>
        <v>0</v>
      </c>
      <c r="I245">
        <f>B245-G245</f>
        <v>0</v>
      </c>
      <c r="J245">
        <f>IF(AT244&lt;=0,0,IF(ROUND(AT244*(1+'Calc base'!H245),2)-MAX('Calc base'!C$12,ROUND('Calc base'!C$13*AT244,2))&lt;1,ROUND(AT244*(1+'Calc base'!H245),2),MAX('Calc base'!C$12,ROUND('Calc base'!C$13*AT244,2))))</f>
        <v>0</v>
      </c>
      <c r="K245">
        <f>IF(AU244&lt;=0,0,IF(ROUND(AU244*(1+'Calc base'!I245),2)-MAX('Calc base'!D$12,ROUND('Calc base'!D$13*AU244,2))&lt;1,ROUND(AU244*(1+'Calc base'!I245),2),MAX('Calc base'!D$12,ROUND('Calc base'!D$13*AU244,2))))</f>
        <v>0</v>
      </c>
      <c r="L245">
        <f>IF(AV244&lt;=0,0,IF(ROUND(AV244*(1+'Calc base'!J245),2)-MAX('Calc base'!E$12,ROUND('Calc base'!E$13*AV244,2))&lt;1,ROUND(AV244*(1+'Calc base'!J245),2),MAX('Calc base'!E$12,ROUND('Calc base'!E$13*AV244,2))))</f>
        <v>0</v>
      </c>
      <c r="M245">
        <f>IF(AW244&lt;=0,0,IF(ROUND(AW244*(1+'Calc base'!K245),2)-MAX('Calc base'!F$12,ROUND('Calc base'!F$13*AW244,2))&lt;1,ROUND(AW244*(1+'Calc base'!K245),2),MAX('Calc base'!F$12,ROUND('Calc base'!F$13*AW244,2))))</f>
        <v>0</v>
      </c>
      <c r="N245">
        <f>IF(AX244&lt;=0,0,IF(ROUND(AX244*(1+'Calc base'!L245),2)-MAX('Calc base'!G$12,ROUND('Calc base'!G$13*AX244,2))&lt;1,ROUND(AX244*(1+'Calc base'!L245),2),MAX('Calc base'!G$12,ROUND('Calc base'!G$13*AX244,2))))</f>
        <v>0</v>
      </c>
      <c r="O245">
        <f>IF(AY244&lt;=0,0,IF(ROUND(AY244*(1+'Calc base'!M245),2)-MAX('Calc base'!H$12,ROUND('Calc base'!H$13*AY244,2))&lt;1,ROUND(AY244*(1+'Calc base'!M245),2),MAX('Calc base'!H$12,ROUND('Calc base'!H$13*AY244,2))))</f>
        <v>0</v>
      </c>
      <c r="P245">
        <f>IF(AZ244&lt;=0,0,IF(ROUND(AZ244*(1+'Calc base'!N245),2)-MAX('Calc base'!I$12,ROUND('Calc base'!I$13*AZ244,2))&lt;1,ROUND(AZ244*(1+'Calc base'!N245),2),MAX('Calc base'!I$12,ROUND('Calc base'!I$13*AZ244,2))))</f>
        <v>0</v>
      </c>
      <c r="Q245">
        <f>IF(BA244&lt;=0,0,IF(ROUND(BA244*(1+'Calc base'!O245),2)-MAX('Calc base'!J$12,ROUND('Calc base'!J$13*BA244,2))&lt;1,ROUND(BA244*(1+'Calc base'!O245),2),MAX('Calc base'!J$12,ROUND('Calc base'!J$13*BA244,2))))</f>
        <v>0</v>
      </c>
      <c r="R245">
        <f>IF(BB244&lt;=0,0,IF(ROUND(BB244*(1+'Calc base'!P245),2)-MAX('Calc base'!K$12,ROUND('Calc base'!K$13*BB244,2))&lt;1,ROUND(BB244*(1+'Calc base'!P245),2),MAX('Calc base'!K$12,ROUND('Calc base'!K$13*BB244,2))))</f>
        <v>0</v>
      </c>
      <c r="S245">
        <f>IF(BC244&lt;=0,0,IF(ROUND(BC244*(1+'Calc base'!Q245),2)-MAX('Calc base'!L$12,ROUND('Calc base'!L$13*BC244,2))&lt;1,ROUND(BC244*(1+'Calc base'!Q245),2),MAX('Calc base'!L$12,ROUND('Calc base'!L$13*BC244,2))))</f>
        <v>0</v>
      </c>
      <c r="T245">
        <f>IF(BD244&lt;=0,0,IF(ROUND(BD244*(1+'Calc base'!R245),2)-MAX('Calc base'!M$12,ROUND('Calc base'!M$13*BD244,2))&lt;1,ROUND(BD244*(1+'Calc base'!R245),2),MAX('Calc base'!M$12,ROUND('Calc base'!M$13*BD244,2))))</f>
        <v>0</v>
      </c>
      <c r="U245">
        <f>IF(BE244&lt;=0,0,IF(ROUND(BE244*(1+'Calc base'!S245),2)-MAX('Calc base'!N$12,ROUND('Calc base'!N$13*BE244,2))&lt;1,ROUND(BE244*(1+'Calc base'!S245),2),MAX('Calc base'!N$12,ROUND('Calc base'!N$13*BE244,2))))</f>
        <v>0</v>
      </c>
      <c r="AT245">
        <f>MAX(0,ROUND(AT244*(1+'Calc base'!H245),2)-J245)</f>
        <v>0</v>
      </c>
      <c r="AU245">
        <f>MAX(0,ROUND(AU244*(1+'Calc base'!I245),2)-K245)</f>
        <v>0</v>
      </c>
      <c r="AV245">
        <f>MAX(0,ROUND(AV244*(1+'Calc base'!J245),2)-L245)</f>
        <v>0</v>
      </c>
      <c r="AW245">
        <f>MAX(0,ROUND(AW244*(1+'Calc base'!K245),2)-M245)</f>
        <v>0</v>
      </c>
      <c r="AX245">
        <f>MAX(0,ROUND(AX244*(1+'Calc base'!L245),2)-N245)</f>
        <v>0</v>
      </c>
      <c r="AY245">
        <f>MAX(0,ROUND(AY244*(1+'Calc base'!M245),2)-O245)</f>
        <v>0</v>
      </c>
      <c r="AZ245">
        <f>MAX(0,ROUND(AZ244*(1+'Calc base'!N245),2)-P245)</f>
        <v>0</v>
      </c>
      <c r="BA245">
        <f>MAX(0,ROUND(BA244*(1+'Calc base'!O245),2)-Q245)</f>
        <v>0</v>
      </c>
      <c r="BB245">
        <f>MAX(0,ROUND(BB244*(1+'Calc base'!P245),2)-R245)</f>
        <v>0</v>
      </c>
      <c r="BC245">
        <f>MAX(0,ROUND(BC244*(1+'Calc base'!Q245),2)-S245)</f>
        <v>0</v>
      </c>
      <c r="BD245">
        <f>MAX(0,ROUND(BD244*(1+'Calc base'!R245),2)-T245)</f>
        <v>0</v>
      </c>
      <c r="BE245">
        <f>MAX(0,ROUND(BE244*(1+'Calc base'!S245),2)-U245)</f>
        <v>0</v>
      </c>
    </row>
    <row r="246">
      <c r="A246" t="n">
        <v>216</v>
      </c>
      <c r="B246">
        <f>SUMPRODUCT(ROUND($AT245:$BE245*(1+'Calc base'!$H246:$S246),2))</f>
        <v>0</v>
      </c>
      <c r="C246">
        <f>SUM(J246:U246)</f>
        <v>0</v>
      </c>
      <c r="G246">
        <f>SUM(AT246:BE246)</f>
        <v>0</v>
      </c>
      <c r="H246">
        <f>B246-G245</f>
        <v>0</v>
      </c>
      <c r="I246">
        <f>B246-G246</f>
        <v>0</v>
      </c>
      <c r="J246">
        <f>IF(AT245&lt;=0,0,IF(ROUND(AT245*(1+'Calc base'!H246),2)-MAX('Calc base'!C$12,ROUND('Calc base'!C$13*AT245,2))&lt;1,ROUND(AT245*(1+'Calc base'!H246),2),MAX('Calc base'!C$12,ROUND('Calc base'!C$13*AT245,2))))</f>
        <v>0</v>
      </c>
      <c r="K246">
        <f>IF(AU245&lt;=0,0,IF(ROUND(AU245*(1+'Calc base'!I246),2)-MAX('Calc base'!D$12,ROUND('Calc base'!D$13*AU245,2))&lt;1,ROUND(AU245*(1+'Calc base'!I246),2),MAX('Calc base'!D$12,ROUND('Calc base'!D$13*AU245,2))))</f>
        <v>0</v>
      </c>
      <c r="L246">
        <f>IF(AV245&lt;=0,0,IF(ROUND(AV245*(1+'Calc base'!J246),2)-MAX('Calc base'!E$12,ROUND('Calc base'!E$13*AV245,2))&lt;1,ROUND(AV245*(1+'Calc base'!J246),2),MAX('Calc base'!E$12,ROUND('Calc base'!E$13*AV245,2))))</f>
        <v>0</v>
      </c>
      <c r="M246">
        <f>IF(AW245&lt;=0,0,IF(ROUND(AW245*(1+'Calc base'!K246),2)-MAX('Calc base'!F$12,ROUND('Calc base'!F$13*AW245,2))&lt;1,ROUND(AW245*(1+'Calc base'!K246),2),MAX('Calc base'!F$12,ROUND('Calc base'!F$13*AW245,2))))</f>
        <v>0</v>
      </c>
      <c r="N246">
        <f>IF(AX245&lt;=0,0,IF(ROUND(AX245*(1+'Calc base'!L246),2)-MAX('Calc base'!G$12,ROUND('Calc base'!G$13*AX245,2))&lt;1,ROUND(AX245*(1+'Calc base'!L246),2),MAX('Calc base'!G$12,ROUND('Calc base'!G$13*AX245,2))))</f>
        <v>0</v>
      </c>
      <c r="O246">
        <f>IF(AY245&lt;=0,0,IF(ROUND(AY245*(1+'Calc base'!M246),2)-MAX('Calc base'!H$12,ROUND('Calc base'!H$13*AY245,2))&lt;1,ROUND(AY245*(1+'Calc base'!M246),2),MAX('Calc base'!H$12,ROUND('Calc base'!H$13*AY245,2))))</f>
        <v>0</v>
      </c>
      <c r="P246">
        <f>IF(AZ245&lt;=0,0,IF(ROUND(AZ245*(1+'Calc base'!N246),2)-MAX('Calc base'!I$12,ROUND('Calc base'!I$13*AZ245,2))&lt;1,ROUND(AZ245*(1+'Calc base'!N246),2),MAX('Calc base'!I$12,ROUND('Calc base'!I$13*AZ245,2))))</f>
        <v>0</v>
      </c>
      <c r="Q246">
        <f>IF(BA245&lt;=0,0,IF(ROUND(BA245*(1+'Calc base'!O246),2)-MAX('Calc base'!J$12,ROUND('Calc base'!J$13*BA245,2))&lt;1,ROUND(BA245*(1+'Calc base'!O246),2),MAX('Calc base'!J$12,ROUND('Calc base'!J$13*BA245,2))))</f>
        <v>0</v>
      </c>
      <c r="R246">
        <f>IF(BB245&lt;=0,0,IF(ROUND(BB245*(1+'Calc base'!P246),2)-MAX('Calc base'!K$12,ROUND('Calc base'!K$13*BB245,2))&lt;1,ROUND(BB245*(1+'Calc base'!P246),2),MAX('Calc base'!K$12,ROUND('Calc base'!K$13*BB245,2))))</f>
        <v>0</v>
      </c>
      <c r="S246">
        <f>IF(BC245&lt;=0,0,IF(ROUND(BC245*(1+'Calc base'!Q246),2)-MAX('Calc base'!L$12,ROUND('Calc base'!L$13*BC245,2))&lt;1,ROUND(BC245*(1+'Calc base'!Q246),2),MAX('Calc base'!L$12,ROUND('Calc base'!L$13*BC245,2))))</f>
        <v>0</v>
      </c>
      <c r="T246">
        <f>IF(BD245&lt;=0,0,IF(ROUND(BD245*(1+'Calc base'!R246),2)-MAX('Calc base'!M$12,ROUND('Calc base'!M$13*BD245,2))&lt;1,ROUND(BD245*(1+'Calc base'!R246),2),MAX('Calc base'!M$12,ROUND('Calc base'!M$13*BD245,2))))</f>
        <v>0</v>
      </c>
      <c r="U246">
        <f>IF(BE245&lt;=0,0,IF(ROUND(BE245*(1+'Calc base'!S246),2)-MAX('Calc base'!N$12,ROUND('Calc base'!N$13*BE245,2))&lt;1,ROUND(BE245*(1+'Calc base'!S246),2),MAX('Calc base'!N$12,ROUND('Calc base'!N$13*BE245,2))))</f>
        <v>0</v>
      </c>
      <c r="AT246">
        <f>MAX(0,ROUND(AT245*(1+'Calc base'!H246),2)-J246)</f>
        <v>0</v>
      </c>
      <c r="AU246">
        <f>MAX(0,ROUND(AU245*(1+'Calc base'!I246),2)-K246)</f>
        <v>0</v>
      </c>
      <c r="AV246">
        <f>MAX(0,ROUND(AV245*(1+'Calc base'!J246),2)-L246)</f>
        <v>0</v>
      </c>
      <c r="AW246">
        <f>MAX(0,ROUND(AW245*(1+'Calc base'!K246),2)-M246)</f>
        <v>0</v>
      </c>
      <c r="AX246">
        <f>MAX(0,ROUND(AX245*(1+'Calc base'!L246),2)-N246)</f>
        <v>0</v>
      </c>
      <c r="AY246">
        <f>MAX(0,ROUND(AY245*(1+'Calc base'!M246),2)-O246)</f>
        <v>0</v>
      </c>
      <c r="AZ246">
        <f>MAX(0,ROUND(AZ245*(1+'Calc base'!N246),2)-P246)</f>
        <v>0</v>
      </c>
      <c r="BA246">
        <f>MAX(0,ROUND(BA245*(1+'Calc base'!O246),2)-Q246)</f>
        <v>0</v>
      </c>
      <c r="BB246">
        <f>MAX(0,ROUND(BB245*(1+'Calc base'!P246),2)-R246)</f>
        <v>0</v>
      </c>
      <c r="BC246">
        <f>MAX(0,ROUND(BC245*(1+'Calc base'!Q246),2)-S246)</f>
        <v>0</v>
      </c>
      <c r="BD246">
        <f>MAX(0,ROUND(BD245*(1+'Calc base'!R246),2)-T246)</f>
        <v>0</v>
      </c>
      <c r="BE246">
        <f>MAX(0,ROUND(BE245*(1+'Calc base'!S246),2)-U246)</f>
        <v>0</v>
      </c>
    </row>
    <row r="247">
      <c r="A247" t="n">
        <v>217</v>
      </c>
      <c r="B247">
        <f>SUMPRODUCT(ROUND($AT246:$BE246*(1+'Calc base'!$H247:$S247),2))</f>
        <v>0</v>
      </c>
      <c r="C247">
        <f>SUM(J247:U247)</f>
        <v>0</v>
      </c>
      <c r="G247">
        <f>SUM(AT247:BE247)</f>
        <v>0</v>
      </c>
      <c r="H247">
        <f>B247-G246</f>
        <v>0</v>
      </c>
      <c r="I247">
        <f>B247-G247</f>
        <v>0</v>
      </c>
      <c r="J247">
        <f>IF(AT246&lt;=0,0,IF(ROUND(AT246*(1+'Calc base'!H247),2)-MAX('Calc base'!C$12,ROUND('Calc base'!C$13*AT246,2))&lt;1,ROUND(AT246*(1+'Calc base'!H247),2),MAX('Calc base'!C$12,ROUND('Calc base'!C$13*AT246,2))))</f>
        <v>0</v>
      </c>
      <c r="K247">
        <f>IF(AU246&lt;=0,0,IF(ROUND(AU246*(1+'Calc base'!I247),2)-MAX('Calc base'!D$12,ROUND('Calc base'!D$13*AU246,2))&lt;1,ROUND(AU246*(1+'Calc base'!I247),2),MAX('Calc base'!D$12,ROUND('Calc base'!D$13*AU246,2))))</f>
        <v>0</v>
      </c>
      <c r="L247">
        <f>IF(AV246&lt;=0,0,IF(ROUND(AV246*(1+'Calc base'!J247),2)-MAX('Calc base'!E$12,ROUND('Calc base'!E$13*AV246,2))&lt;1,ROUND(AV246*(1+'Calc base'!J247),2),MAX('Calc base'!E$12,ROUND('Calc base'!E$13*AV246,2))))</f>
        <v>0</v>
      </c>
      <c r="M247">
        <f>IF(AW246&lt;=0,0,IF(ROUND(AW246*(1+'Calc base'!K247),2)-MAX('Calc base'!F$12,ROUND('Calc base'!F$13*AW246,2))&lt;1,ROUND(AW246*(1+'Calc base'!K247),2),MAX('Calc base'!F$12,ROUND('Calc base'!F$13*AW246,2))))</f>
        <v>0</v>
      </c>
      <c r="N247">
        <f>IF(AX246&lt;=0,0,IF(ROUND(AX246*(1+'Calc base'!L247),2)-MAX('Calc base'!G$12,ROUND('Calc base'!G$13*AX246,2))&lt;1,ROUND(AX246*(1+'Calc base'!L247),2),MAX('Calc base'!G$12,ROUND('Calc base'!G$13*AX246,2))))</f>
        <v>0</v>
      </c>
      <c r="O247">
        <f>IF(AY246&lt;=0,0,IF(ROUND(AY246*(1+'Calc base'!M247),2)-MAX('Calc base'!H$12,ROUND('Calc base'!H$13*AY246,2))&lt;1,ROUND(AY246*(1+'Calc base'!M247),2),MAX('Calc base'!H$12,ROUND('Calc base'!H$13*AY246,2))))</f>
        <v>0</v>
      </c>
      <c r="P247">
        <f>IF(AZ246&lt;=0,0,IF(ROUND(AZ246*(1+'Calc base'!N247),2)-MAX('Calc base'!I$12,ROUND('Calc base'!I$13*AZ246,2))&lt;1,ROUND(AZ246*(1+'Calc base'!N247),2),MAX('Calc base'!I$12,ROUND('Calc base'!I$13*AZ246,2))))</f>
        <v>0</v>
      </c>
      <c r="Q247">
        <f>IF(BA246&lt;=0,0,IF(ROUND(BA246*(1+'Calc base'!O247),2)-MAX('Calc base'!J$12,ROUND('Calc base'!J$13*BA246,2))&lt;1,ROUND(BA246*(1+'Calc base'!O247),2),MAX('Calc base'!J$12,ROUND('Calc base'!J$13*BA246,2))))</f>
        <v>0</v>
      </c>
      <c r="R247">
        <f>IF(BB246&lt;=0,0,IF(ROUND(BB246*(1+'Calc base'!P247),2)-MAX('Calc base'!K$12,ROUND('Calc base'!K$13*BB246,2))&lt;1,ROUND(BB246*(1+'Calc base'!P247),2),MAX('Calc base'!K$12,ROUND('Calc base'!K$13*BB246,2))))</f>
        <v>0</v>
      </c>
      <c r="S247">
        <f>IF(BC246&lt;=0,0,IF(ROUND(BC246*(1+'Calc base'!Q247),2)-MAX('Calc base'!L$12,ROUND('Calc base'!L$13*BC246,2))&lt;1,ROUND(BC246*(1+'Calc base'!Q247),2),MAX('Calc base'!L$12,ROUND('Calc base'!L$13*BC246,2))))</f>
        <v>0</v>
      </c>
      <c r="T247">
        <f>IF(BD246&lt;=0,0,IF(ROUND(BD246*(1+'Calc base'!R247),2)-MAX('Calc base'!M$12,ROUND('Calc base'!M$13*BD246,2))&lt;1,ROUND(BD246*(1+'Calc base'!R247),2),MAX('Calc base'!M$12,ROUND('Calc base'!M$13*BD246,2))))</f>
        <v>0</v>
      </c>
      <c r="U247">
        <f>IF(BE246&lt;=0,0,IF(ROUND(BE246*(1+'Calc base'!S247),2)-MAX('Calc base'!N$12,ROUND('Calc base'!N$13*BE246,2))&lt;1,ROUND(BE246*(1+'Calc base'!S247),2),MAX('Calc base'!N$12,ROUND('Calc base'!N$13*BE246,2))))</f>
        <v>0</v>
      </c>
      <c r="AT247">
        <f>MAX(0,ROUND(AT246*(1+'Calc base'!H247),2)-J247)</f>
        <v>0</v>
      </c>
      <c r="AU247">
        <f>MAX(0,ROUND(AU246*(1+'Calc base'!I247),2)-K247)</f>
        <v>0</v>
      </c>
      <c r="AV247">
        <f>MAX(0,ROUND(AV246*(1+'Calc base'!J247),2)-L247)</f>
        <v>0</v>
      </c>
      <c r="AW247">
        <f>MAX(0,ROUND(AW246*(1+'Calc base'!K247),2)-M247)</f>
        <v>0</v>
      </c>
      <c r="AX247">
        <f>MAX(0,ROUND(AX246*(1+'Calc base'!L247),2)-N247)</f>
        <v>0</v>
      </c>
      <c r="AY247">
        <f>MAX(0,ROUND(AY246*(1+'Calc base'!M247),2)-O247)</f>
        <v>0</v>
      </c>
      <c r="AZ247">
        <f>MAX(0,ROUND(AZ246*(1+'Calc base'!N247),2)-P247)</f>
        <v>0</v>
      </c>
      <c r="BA247">
        <f>MAX(0,ROUND(BA246*(1+'Calc base'!O247),2)-Q247)</f>
        <v>0</v>
      </c>
      <c r="BB247">
        <f>MAX(0,ROUND(BB246*(1+'Calc base'!P247),2)-R247)</f>
        <v>0</v>
      </c>
      <c r="BC247">
        <f>MAX(0,ROUND(BC246*(1+'Calc base'!Q247),2)-S247)</f>
        <v>0</v>
      </c>
      <c r="BD247">
        <f>MAX(0,ROUND(BD246*(1+'Calc base'!R247),2)-T247)</f>
        <v>0</v>
      </c>
      <c r="BE247">
        <f>MAX(0,ROUND(BE246*(1+'Calc base'!S247),2)-U247)</f>
        <v>0</v>
      </c>
    </row>
    <row r="248">
      <c r="A248" t="n">
        <v>218</v>
      </c>
      <c r="B248">
        <f>SUMPRODUCT(ROUND($AT247:$BE247*(1+'Calc base'!$H248:$S248),2))</f>
        <v>0</v>
      </c>
      <c r="C248">
        <f>SUM(J248:U248)</f>
        <v>0</v>
      </c>
      <c r="G248">
        <f>SUM(AT248:BE248)</f>
        <v>0</v>
      </c>
      <c r="H248">
        <f>B248-G247</f>
        <v>0</v>
      </c>
      <c r="I248">
        <f>B248-G248</f>
        <v>0</v>
      </c>
      <c r="J248">
        <f>IF(AT247&lt;=0,0,IF(ROUND(AT247*(1+'Calc base'!H248),2)-MAX('Calc base'!C$12,ROUND('Calc base'!C$13*AT247,2))&lt;1,ROUND(AT247*(1+'Calc base'!H248),2),MAX('Calc base'!C$12,ROUND('Calc base'!C$13*AT247,2))))</f>
        <v>0</v>
      </c>
      <c r="K248">
        <f>IF(AU247&lt;=0,0,IF(ROUND(AU247*(1+'Calc base'!I248),2)-MAX('Calc base'!D$12,ROUND('Calc base'!D$13*AU247,2))&lt;1,ROUND(AU247*(1+'Calc base'!I248),2),MAX('Calc base'!D$12,ROUND('Calc base'!D$13*AU247,2))))</f>
        <v>0</v>
      </c>
      <c r="L248">
        <f>IF(AV247&lt;=0,0,IF(ROUND(AV247*(1+'Calc base'!J248),2)-MAX('Calc base'!E$12,ROUND('Calc base'!E$13*AV247,2))&lt;1,ROUND(AV247*(1+'Calc base'!J248),2),MAX('Calc base'!E$12,ROUND('Calc base'!E$13*AV247,2))))</f>
        <v>0</v>
      </c>
      <c r="M248">
        <f>IF(AW247&lt;=0,0,IF(ROUND(AW247*(1+'Calc base'!K248),2)-MAX('Calc base'!F$12,ROUND('Calc base'!F$13*AW247,2))&lt;1,ROUND(AW247*(1+'Calc base'!K248),2),MAX('Calc base'!F$12,ROUND('Calc base'!F$13*AW247,2))))</f>
        <v>0</v>
      </c>
      <c r="N248">
        <f>IF(AX247&lt;=0,0,IF(ROUND(AX247*(1+'Calc base'!L248),2)-MAX('Calc base'!G$12,ROUND('Calc base'!G$13*AX247,2))&lt;1,ROUND(AX247*(1+'Calc base'!L248),2),MAX('Calc base'!G$12,ROUND('Calc base'!G$13*AX247,2))))</f>
        <v>0</v>
      </c>
      <c r="O248">
        <f>IF(AY247&lt;=0,0,IF(ROUND(AY247*(1+'Calc base'!M248),2)-MAX('Calc base'!H$12,ROUND('Calc base'!H$13*AY247,2))&lt;1,ROUND(AY247*(1+'Calc base'!M248),2),MAX('Calc base'!H$12,ROUND('Calc base'!H$13*AY247,2))))</f>
        <v>0</v>
      </c>
      <c r="P248">
        <f>IF(AZ247&lt;=0,0,IF(ROUND(AZ247*(1+'Calc base'!N248),2)-MAX('Calc base'!I$12,ROUND('Calc base'!I$13*AZ247,2))&lt;1,ROUND(AZ247*(1+'Calc base'!N248),2),MAX('Calc base'!I$12,ROUND('Calc base'!I$13*AZ247,2))))</f>
        <v>0</v>
      </c>
      <c r="Q248">
        <f>IF(BA247&lt;=0,0,IF(ROUND(BA247*(1+'Calc base'!O248),2)-MAX('Calc base'!J$12,ROUND('Calc base'!J$13*BA247,2))&lt;1,ROUND(BA247*(1+'Calc base'!O248),2),MAX('Calc base'!J$12,ROUND('Calc base'!J$13*BA247,2))))</f>
        <v>0</v>
      </c>
      <c r="R248">
        <f>IF(BB247&lt;=0,0,IF(ROUND(BB247*(1+'Calc base'!P248),2)-MAX('Calc base'!K$12,ROUND('Calc base'!K$13*BB247,2))&lt;1,ROUND(BB247*(1+'Calc base'!P248),2),MAX('Calc base'!K$12,ROUND('Calc base'!K$13*BB247,2))))</f>
        <v>0</v>
      </c>
      <c r="S248">
        <f>IF(BC247&lt;=0,0,IF(ROUND(BC247*(1+'Calc base'!Q248),2)-MAX('Calc base'!L$12,ROUND('Calc base'!L$13*BC247,2))&lt;1,ROUND(BC247*(1+'Calc base'!Q248),2),MAX('Calc base'!L$12,ROUND('Calc base'!L$13*BC247,2))))</f>
        <v>0</v>
      </c>
      <c r="T248">
        <f>IF(BD247&lt;=0,0,IF(ROUND(BD247*(1+'Calc base'!R248),2)-MAX('Calc base'!M$12,ROUND('Calc base'!M$13*BD247,2))&lt;1,ROUND(BD247*(1+'Calc base'!R248),2),MAX('Calc base'!M$12,ROUND('Calc base'!M$13*BD247,2))))</f>
        <v>0</v>
      </c>
      <c r="U248">
        <f>IF(BE247&lt;=0,0,IF(ROUND(BE247*(1+'Calc base'!S248),2)-MAX('Calc base'!N$12,ROUND('Calc base'!N$13*BE247,2))&lt;1,ROUND(BE247*(1+'Calc base'!S248),2),MAX('Calc base'!N$12,ROUND('Calc base'!N$13*BE247,2))))</f>
        <v>0</v>
      </c>
      <c r="AT248">
        <f>MAX(0,ROUND(AT247*(1+'Calc base'!H248),2)-J248)</f>
        <v>0</v>
      </c>
      <c r="AU248">
        <f>MAX(0,ROUND(AU247*(1+'Calc base'!I248),2)-K248)</f>
        <v>0</v>
      </c>
      <c r="AV248">
        <f>MAX(0,ROUND(AV247*(1+'Calc base'!J248),2)-L248)</f>
        <v>0</v>
      </c>
      <c r="AW248">
        <f>MAX(0,ROUND(AW247*(1+'Calc base'!K248),2)-M248)</f>
        <v>0</v>
      </c>
      <c r="AX248">
        <f>MAX(0,ROUND(AX247*(1+'Calc base'!L248),2)-N248)</f>
        <v>0</v>
      </c>
      <c r="AY248">
        <f>MAX(0,ROUND(AY247*(1+'Calc base'!M248),2)-O248)</f>
        <v>0</v>
      </c>
      <c r="AZ248">
        <f>MAX(0,ROUND(AZ247*(1+'Calc base'!N248),2)-P248)</f>
        <v>0</v>
      </c>
      <c r="BA248">
        <f>MAX(0,ROUND(BA247*(1+'Calc base'!O248),2)-Q248)</f>
        <v>0</v>
      </c>
      <c r="BB248">
        <f>MAX(0,ROUND(BB247*(1+'Calc base'!P248),2)-R248)</f>
        <v>0</v>
      </c>
      <c r="BC248">
        <f>MAX(0,ROUND(BC247*(1+'Calc base'!Q248),2)-S248)</f>
        <v>0</v>
      </c>
      <c r="BD248">
        <f>MAX(0,ROUND(BD247*(1+'Calc base'!R248),2)-T248)</f>
        <v>0</v>
      </c>
      <c r="BE248">
        <f>MAX(0,ROUND(BE247*(1+'Calc base'!S248),2)-U248)</f>
        <v>0</v>
      </c>
    </row>
    <row r="249">
      <c r="A249" t="n">
        <v>219</v>
      </c>
      <c r="B249">
        <f>SUMPRODUCT(ROUND($AT248:$BE248*(1+'Calc base'!$H249:$S249),2))</f>
        <v>0</v>
      </c>
      <c r="C249">
        <f>SUM(J249:U249)</f>
        <v>0</v>
      </c>
      <c r="G249">
        <f>SUM(AT249:BE249)</f>
        <v>0</v>
      </c>
      <c r="H249">
        <f>B249-G248</f>
        <v>0</v>
      </c>
      <c r="I249">
        <f>B249-G249</f>
        <v>0</v>
      </c>
      <c r="J249">
        <f>IF(AT248&lt;=0,0,IF(ROUND(AT248*(1+'Calc base'!H249),2)-MAX('Calc base'!C$12,ROUND('Calc base'!C$13*AT248,2))&lt;1,ROUND(AT248*(1+'Calc base'!H249),2),MAX('Calc base'!C$12,ROUND('Calc base'!C$13*AT248,2))))</f>
        <v>0</v>
      </c>
      <c r="K249">
        <f>IF(AU248&lt;=0,0,IF(ROUND(AU248*(1+'Calc base'!I249),2)-MAX('Calc base'!D$12,ROUND('Calc base'!D$13*AU248,2))&lt;1,ROUND(AU248*(1+'Calc base'!I249),2),MAX('Calc base'!D$12,ROUND('Calc base'!D$13*AU248,2))))</f>
        <v>0</v>
      </c>
      <c r="L249">
        <f>IF(AV248&lt;=0,0,IF(ROUND(AV248*(1+'Calc base'!J249),2)-MAX('Calc base'!E$12,ROUND('Calc base'!E$13*AV248,2))&lt;1,ROUND(AV248*(1+'Calc base'!J249),2),MAX('Calc base'!E$12,ROUND('Calc base'!E$13*AV248,2))))</f>
        <v>0</v>
      </c>
      <c r="M249">
        <f>IF(AW248&lt;=0,0,IF(ROUND(AW248*(1+'Calc base'!K249),2)-MAX('Calc base'!F$12,ROUND('Calc base'!F$13*AW248,2))&lt;1,ROUND(AW248*(1+'Calc base'!K249),2),MAX('Calc base'!F$12,ROUND('Calc base'!F$13*AW248,2))))</f>
        <v>0</v>
      </c>
      <c r="N249">
        <f>IF(AX248&lt;=0,0,IF(ROUND(AX248*(1+'Calc base'!L249),2)-MAX('Calc base'!G$12,ROUND('Calc base'!G$13*AX248,2))&lt;1,ROUND(AX248*(1+'Calc base'!L249),2),MAX('Calc base'!G$12,ROUND('Calc base'!G$13*AX248,2))))</f>
        <v>0</v>
      </c>
      <c r="O249">
        <f>IF(AY248&lt;=0,0,IF(ROUND(AY248*(1+'Calc base'!M249),2)-MAX('Calc base'!H$12,ROUND('Calc base'!H$13*AY248,2))&lt;1,ROUND(AY248*(1+'Calc base'!M249),2),MAX('Calc base'!H$12,ROUND('Calc base'!H$13*AY248,2))))</f>
        <v>0</v>
      </c>
      <c r="P249">
        <f>IF(AZ248&lt;=0,0,IF(ROUND(AZ248*(1+'Calc base'!N249),2)-MAX('Calc base'!I$12,ROUND('Calc base'!I$13*AZ248,2))&lt;1,ROUND(AZ248*(1+'Calc base'!N249),2),MAX('Calc base'!I$12,ROUND('Calc base'!I$13*AZ248,2))))</f>
        <v>0</v>
      </c>
      <c r="Q249">
        <f>IF(BA248&lt;=0,0,IF(ROUND(BA248*(1+'Calc base'!O249),2)-MAX('Calc base'!J$12,ROUND('Calc base'!J$13*BA248,2))&lt;1,ROUND(BA248*(1+'Calc base'!O249),2),MAX('Calc base'!J$12,ROUND('Calc base'!J$13*BA248,2))))</f>
        <v>0</v>
      </c>
      <c r="R249">
        <f>IF(BB248&lt;=0,0,IF(ROUND(BB248*(1+'Calc base'!P249),2)-MAX('Calc base'!K$12,ROUND('Calc base'!K$13*BB248,2))&lt;1,ROUND(BB248*(1+'Calc base'!P249),2),MAX('Calc base'!K$12,ROUND('Calc base'!K$13*BB248,2))))</f>
        <v>0</v>
      </c>
      <c r="S249">
        <f>IF(BC248&lt;=0,0,IF(ROUND(BC248*(1+'Calc base'!Q249),2)-MAX('Calc base'!L$12,ROUND('Calc base'!L$13*BC248,2))&lt;1,ROUND(BC248*(1+'Calc base'!Q249),2),MAX('Calc base'!L$12,ROUND('Calc base'!L$13*BC248,2))))</f>
        <v>0</v>
      </c>
      <c r="T249">
        <f>IF(BD248&lt;=0,0,IF(ROUND(BD248*(1+'Calc base'!R249),2)-MAX('Calc base'!M$12,ROUND('Calc base'!M$13*BD248,2))&lt;1,ROUND(BD248*(1+'Calc base'!R249),2),MAX('Calc base'!M$12,ROUND('Calc base'!M$13*BD248,2))))</f>
        <v>0</v>
      </c>
      <c r="U249">
        <f>IF(BE248&lt;=0,0,IF(ROUND(BE248*(1+'Calc base'!S249),2)-MAX('Calc base'!N$12,ROUND('Calc base'!N$13*BE248,2))&lt;1,ROUND(BE248*(1+'Calc base'!S249),2),MAX('Calc base'!N$12,ROUND('Calc base'!N$13*BE248,2))))</f>
        <v>0</v>
      </c>
      <c r="AT249">
        <f>MAX(0,ROUND(AT248*(1+'Calc base'!H249),2)-J249)</f>
        <v>0</v>
      </c>
      <c r="AU249">
        <f>MAX(0,ROUND(AU248*(1+'Calc base'!I249),2)-K249)</f>
        <v>0</v>
      </c>
      <c r="AV249">
        <f>MAX(0,ROUND(AV248*(1+'Calc base'!J249),2)-L249)</f>
        <v>0</v>
      </c>
      <c r="AW249">
        <f>MAX(0,ROUND(AW248*(1+'Calc base'!K249),2)-M249)</f>
        <v>0</v>
      </c>
      <c r="AX249">
        <f>MAX(0,ROUND(AX248*(1+'Calc base'!L249),2)-N249)</f>
        <v>0</v>
      </c>
      <c r="AY249">
        <f>MAX(0,ROUND(AY248*(1+'Calc base'!M249),2)-O249)</f>
        <v>0</v>
      </c>
      <c r="AZ249">
        <f>MAX(0,ROUND(AZ248*(1+'Calc base'!N249),2)-P249)</f>
        <v>0</v>
      </c>
      <c r="BA249">
        <f>MAX(0,ROUND(BA248*(1+'Calc base'!O249),2)-Q249)</f>
        <v>0</v>
      </c>
      <c r="BB249">
        <f>MAX(0,ROUND(BB248*(1+'Calc base'!P249),2)-R249)</f>
        <v>0</v>
      </c>
      <c r="BC249">
        <f>MAX(0,ROUND(BC248*(1+'Calc base'!Q249),2)-S249)</f>
        <v>0</v>
      </c>
      <c r="BD249">
        <f>MAX(0,ROUND(BD248*(1+'Calc base'!R249),2)-T249)</f>
        <v>0</v>
      </c>
      <c r="BE249">
        <f>MAX(0,ROUND(BE248*(1+'Calc base'!S249),2)-U249)</f>
        <v>0</v>
      </c>
    </row>
    <row r="250">
      <c r="A250" t="n">
        <v>220</v>
      </c>
      <c r="B250">
        <f>SUMPRODUCT(ROUND($AT249:$BE249*(1+'Calc base'!$H250:$S250),2))</f>
        <v>0</v>
      </c>
      <c r="C250">
        <f>SUM(J250:U250)</f>
        <v>0</v>
      </c>
      <c r="G250">
        <f>SUM(AT250:BE250)</f>
        <v>0</v>
      </c>
      <c r="H250">
        <f>B250-G249</f>
        <v>0</v>
      </c>
      <c r="I250">
        <f>B250-G250</f>
        <v>0</v>
      </c>
      <c r="J250">
        <f>IF(AT249&lt;=0,0,IF(ROUND(AT249*(1+'Calc base'!H250),2)-MAX('Calc base'!C$12,ROUND('Calc base'!C$13*AT249,2))&lt;1,ROUND(AT249*(1+'Calc base'!H250),2),MAX('Calc base'!C$12,ROUND('Calc base'!C$13*AT249,2))))</f>
        <v>0</v>
      </c>
      <c r="K250">
        <f>IF(AU249&lt;=0,0,IF(ROUND(AU249*(1+'Calc base'!I250),2)-MAX('Calc base'!D$12,ROUND('Calc base'!D$13*AU249,2))&lt;1,ROUND(AU249*(1+'Calc base'!I250),2),MAX('Calc base'!D$12,ROUND('Calc base'!D$13*AU249,2))))</f>
        <v>0</v>
      </c>
      <c r="L250">
        <f>IF(AV249&lt;=0,0,IF(ROUND(AV249*(1+'Calc base'!J250),2)-MAX('Calc base'!E$12,ROUND('Calc base'!E$13*AV249,2))&lt;1,ROUND(AV249*(1+'Calc base'!J250),2),MAX('Calc base'!E$12,ROUND('Calc base'!E$13*AV249,2))))</f>
        <v>0</v>
      </c>
      <c r="M250">
        <f>IF(AW249&lt;=0,0,IF(ROUND(AW249*(1+'Calc base'!K250),2)-MAX('Calc base'!F$12,ROUND('Calc base'!F$13*AW249,2))&lt;1,ROUND(AW249*(1+'Calc base'!K250),2),MAX('Calc base'!F$12,ROUND('Calc base'!F$13*AW249,2))))</f>
        <v>0</v>
      </c>
      <c r="N250">
        <f>IF(AX249&lt;=0,0,IF(ROUND(AX249*(1+'Calc base'!L250),2)-MAX('Calc base'!G$12,ROUND('Calc base'!G$13*AX249,2))&lt;1,ROUND(AX249*(1+'Calc base'!L250),2),MAX('Calc base'!G$12,ROUND('Calc base'!G$13*AX249,2))))</f>
        <v>0</v>
      </c>
      <c r="O250">
        <f>IF(AY249&lt;=0,0,IF(ROUND(AY249*(1+'Calc base'!M250),2)-MAX('Calc base'!H$12,ROUND('Calc base'!H$13*AY249,2))&lt;1,ROUND(AY249*(1+'Calc base'!M250),2),MAX('Calc base'!H$12,ROUND('Calc base'!H$13*AY249,2))))</f>
        <v>0</v>
      </c>
      <c r="P250">
        <f>IF(AZ249&lt;=0,0,IF(ROUND(AZ249*(1+'Calc base'!N250),2)-MAX('Calc base'!I$12,ROUND('Calc base'!I$13*AZ249,2))&lt;1,ROUND(AZ249*(1+'Calc base'!N250),2),MAX('Calc base'!I$12,ROUND('Calc base'!I$13*AZ249,2))))</f>
        <v>0</v>
      </c>
      <c r="Q250">
        <f>IF(BA249&lt;=0,0,IF(ROUND(BA249*(1+'Calc base'!O250),2)-MAX('Calc base'!J$12,ROUND('Calc base'!J$13*BA249,2))&lt;1,ROUND(BA249*(1+'Calc base'!O250),2),MAX('Calc base'!J$12,ROUND('Calc base'!J$13*BA249,2))))</f>
        <v>0</v>
      </c>
      <c r="R250">
        <f>IF(BB249&lt;=0,0,IF(ROUND(BB249*(1+'Calc base'!P250),2)-MAX('Calc base'!K$12,ROUND('Calc base'!K$13*BB249,2))&lt;1,ROUND(BB249*(1+'Calc base'!P250),2),MAX('Calc base'!K$12,ROUND('Calc base'!K$13*BB249,2))))</f>
        <v>0</v>
      </c>
      <c r="S250">
        <f>IF(BC249&lt;=0,0,IF(ROUND(BC249*(1+'Calc base'!Q250),2)-MAX('Calc base'!L$12,ROUND('Calc base'!L$13*BC249,2))&lt;1,ROUND(BC249*(1+'Calc base'!Q250),2),MAX('Calc base'!L$12,ROUND('Calc base'!L$13*BC249,2))))</f>
        <v>0</v>
      </c>
      <c r="T250">
        <f>IF(BD249&lt;=0,0,IF(ROUND(BD249*(1+'Calc base'!R250),2)-MAX('Calc base'!M$12,ROUND('Calc base'!M$13*BD249,2))&lt;1,ROUND(BD249*(1+'Calc base'!R250),2),MAX('Calc base'!M$12,ROUND('Calc base'!M$13*BD249,2))))</f>
        <v>0</v>
      </c>
      <c r="U250">
        <f>IF(BE249&lt;=0,0,IF(ROUND(BE249*(1+'Calc base'!S250),2)-MAX('Calc base'!N$12,ROUND('Calc base'!N$13*BE249,2))&lt;1,ROUND(BE249*(1+'Calc base'!S250),2),MAX('Calc base'!N$12,ROUND('Calc base'!N$13*BE249,2))))</f>
        <v>0</v>
      </c>
      <c r="AT250">
        <f>MAX(0,ROUND(AT249*(1+'Calc base'!H250),2)-J250)</f>
        <v>0</v>
      </c>
      <c r="AU250">
        <f>MAX(0,ROUND(AU249*(1+'Calc base'!I250),2)-K250)</f>
        <v>0</v>
      </c>
      <c r="AV250">
        <f>MAX(0,ROUND(AV249*(1+'Calc base'!J250),2)-L250)</f>
        <v>0</v>
      </c>
      <c r="AW250">
        <f>MAX(0,ROUND(AW249*(1+'Calc base'!K250),2)-M250)</f>
        <v>0</v>
      </c>
      <c r="AX250">
        <f>MAX(0,ROUND(AX249*(1+'Calc base'!L250),2)-N250)</f>
        <v>0</v>
      </c>
      <c r="AY250">
        <f>MAX(0,ROUND(AY249*(1+'Calc base'!M250),2)-O250)</f>
        <v>0</v>
      </c>
      <c r="AZ250">
        <f>MAX(0,ROUND(AZ249*(1+'Calc base'!N250),2)-P250)</f>
        <v>0</v>
      </c>
      <c r="BA250">
        <f>MAX(0,ROUND(BA249*(1+'Calc base'!O250),2)-Q250)</f>
        <v>0</v>
      </c>
      <c r="BB250">
        <f>MAX(0,ROUND(BB249*(1+'Calc base'!P250),2)-R250)</f>
        <v>0</v>
      </c>
      <c r="BC250">
        <f>MAX(0,ROUND(BC249*(1+'Calc base'!Q250),2)-S250)</f>
        <v>0</v>
      </c>
      <c r="BD250">
        <f>MAX(0,ROUND(BD249*(1+'Calc base'!R250),2)-T250)</f>
        <v>0</v>
      </c>
      <c r="BE250">
        <f>MAX(0,ROUND(BE249*(1+'Calc base'!S250),2)-U250)</f>
        <v>0</v>
      </c>
    </row>
    <row r="251">
      <c r="A251" t="n">
        <v>221</v>
      </c>
      <c r="B251">
        <f>SUMPRODUCT(ROUND($AT250:$BE250*(1+'Calc base'!$H251:$S251),2))</f>
        <v>0</v>
      </c>
      <c r="C251">
        <f>SUM(J251:U251)</f>
        <v>0</v>
      </c>
      <c r="G251">
        <f>SUM(AT251:BE251)</f>
        <v>0</v>
      </c>
      <c r="H251">
        <f>B251-G250</f>
        <v>0</v>
      </c>
      <c r="I251">
        <f>B251-G251</f>
        <v>0</v>
      </c>
      <c r="J251">
        <f>IF(AT250&lt;=0,0,IF(ROUND(AT250*(1+'Calc base'!H251),2)-MAX('Calc base'!C$12,ROUND('Calc base'!C$13*AT250,2))&lt;1,ROUND(AT250*(1+'Calc base'!H251),2),MAX('Calc base'!C$12,ROUND('Calc base'!C$13*AT250,2))))</f>
        <v>0</v>
      </c>
      <c r="K251">
        <f>IF(AU250&lt;=0,0,IF(ROUND(AU250*(1+'Calc base'!I251),2)-MAX('Calc base'!D$12,ROUND('Calc base'!D$13*AU250,2))&lt;1,ROUND(AU250*(1+'Calc base'!I251),2),MAX('Calc base'!D$12,ROUND('Calc base'!D$13*AU250,2))))</f>
        <v>0</v>
      </c>
      <c r="L251">
        <f>IF(AV250&lt;=0,0,IF(ROUND(AV250*(1+'Calc base'!J251),2)-MAX('Calc base'!E$12,ROUND('Calc base'!E$13*AV250,2))&lt;1,ROUND(AV250*(1+'Calc base'!J251),2),MAX('Calc base'!E$12,ROUND('Calc base'!E$13*AV250,2))))</f>
        <v>0</v>
      </c>
      <c r="M251">
        <f>IF(AW250&lt;=0,0,IF(ROUND(AW250*(1+'Calc base'!K251),2)-MAX('Calc base'!F$12,ROUND('Calc base'!F$13*AW250,2))&lt;1,ROUND(AW250*(1+'Calc base'!K251),2),MAX('Calc base'!F$12,ROUND('Calc base'!F$13*AW250,2))))</f>
        <v>0</v>
      </c>
      <c r="N251">
        <f>IF(AX250&lt;=0,0,IF(ROUND(AX250*(1+'Calc base'!L251),2)-MAX('Calc base'!G$12,ROUND('Calc base'!G$13*AX250,2))&lt;1,ROUND(AX250*(1+'Calc base'!L251),2),MAX('Calc base'!G$12,ROUND('Calc base'!G$13*AX250,2))))</f>
        <v>0</v>
      </c>
      <c r="O251">
        <f>IF(AY250&lt;=0,0,IF(ROUND(AY250*(1+'Calc base'!M251),2)-MAX('Calc base'!H$12,ROUND('Calc base'!H$13*AY250,2))&lt;1,ROUND(AY250*(1+'Calc base'!M251),2),MAX('Calc base'!H$12,ROUND('Calc base'!H$13*AY250,2))))</f>
        <v>0</v>
      </c>
      <c r="P251">
        <f>IF(AZ250&lt;=0,0,IF(ROUND(AZ250*(1+'Calc base'!N251),2)-MAX('Calc base'!I$12,ROUND('Calc base'!I$13*AZ250,2))&lt;1,ROUND(AZ250*(1+'Calc base'!N251),2),MAX('Calc base'!I$12,ROUND('Calc base'!I$13*AZ250,2))))</f>
        <v>0</v>
      </c>
      <c r="Q251">
        <f>IF(BA250&lt;=0,0,IF(ROUND(BA250*(1+'Calc base'!O251),2)-MAX('Calc base'!J$12,ROUND('Calc base'!J$13*BA250,2))&lt;1,ROUND(BA250*(1+'Calc base'!O251),2),MAX('Calc base'!J$12,ROUND('Calc base'!J$13*BA250,2))))</f>
        <v>0</v>
      </c>
      <c r="R251">
        <f>IF(BB250&lt;=0,0,IF(ROUND(BB250*(1+'Calc base'!P251),2)-MAX('Calc base'!K$12,ROUND('Calc base'!K$13*BB250,2))&lt;1,ROUND(BB250*(1+'Calc base'!P251),2),MAX('Calc base'!K$12,ROUND('Calc base'!K$13*BB250,2))))</f>
        <v>0</v>
      </c>
      <c r="S251">
        <f>IF(BC250&lt;=0,0,IF(ROUND(BC250*(1+'Calc base'!Q251),2)-MAX('Calc base'!L$12,ROUND('Calc base'!L$13*BC250,2))&lt;1,ROUND(BC250*(1+'Calc base'!Q251),2),MAX('Calc base'!L$12,ROUND('Calc base'!L$13*BC250,2))))</f>
        <v>0</v>
      </c>
      <c r="T251">
        <f>IF(BD250&lt;=0,0,IF(ROUND(BD250*(1+'Calc base'!R251),2)-MAX('Calc base'!M$12,ROUND('Calc base'!M$13*BD250,2))&lt;1,ROUND(BD250*(1+'Calc base'!R251),2),MAX('Calc base'!M$12,ROUND('Calc base'!M$13*BD250,2))))</f>
        <v>0</v>
      </c>
      <c r="U251">
        <f>IF(BE250&lt;=0,0,IF(ROUND(BE250*(1+'Calc base'!S251),2)-MAX('Calc base'!N$12,ROUND('Calc base'!N$13*BE250,2))&lt;1,ROUND(BE250*(1+'Calc base'!S251),2),MAX('Calc base'!N$12,ROUND('Calc base'!N$13*BE250,2))))</f>
        <v>0</v>
      </c>
      <c r="AT251">
        <f>MAX(0,ROUND(AT250*(1+'Calc base'!H251),2)-J251)</f>
        <v>0</v>
      </c>
      <c r="AU251">
        <f>MAX(0,ROUND(AU250*(1+'Calc base'!I251),2)-K251)</f>
        <v>0</v>
      </c>
      <c r="AV251">
        <f>MAX(0,ROUND(AV250*(1+'Calc base'!J251),2)-L251)</f>
        <v>0</v>
      </c>
      <c r="AW251">
        <f>MAX(0,ROUND(AW250*(1+'Calc base'!K251),2)-M251)</f>
        <v>0</v>
      </c>
      <c r="AX251">
        <f>MAX(0,ROUND(AX250*(1+'Calc base'!L251),2)-N251)</f>
        <v>0</v>
      </c>
      <c r="AY251">
        <f>MAX(0,ROUND(AY250*(1+'Calc base'!M251),2)-O251)</f>
        <v>0</v>
      </c>
      <c r="AZ251">
        <f>MAX(0,ROUND(AZ250*(1+'Calc base'!N251),2)-P251)</f>
        <v>0</v>
      </c>
      <c r="BA251">
        <f>MAX(0,ROUND(BA250*(1+'Calc base'!O251),2)-Q251)</f>
        <v>0</v>
      </c>
      <c r="BB251">
        <f>MAX(0,ROUND(BB250*(1+'Calc base'!P251),2)-R251)</f>
        <v>0</v>
      </c>
      <c r="BC251">
        <f>MAX(0,ROUND(BC250*(1+'Calc base'!Q251),2)-S251)</f>
        <v>0</v>
      </c>
      <c r="BD251">
        <f>MAX(0,ROUND(BD250*(1+'Calc base'!R251),2)-T251)</f>
        <v>0</v>
      </c>
      <c r="BE251">
        <f>MAX(0,ROUND(BE250*(1+'Calc base'!S251),2)-U251)</f>
        <v>0</v>
      </c>
    </row>
    <row r="252">
      <c r="A252" t="n">
        <v>222</v>
      </c>
      <c r="B252">
        <f>SUMPRODUCT(ROUND($AT251:$BE251*(1+'Calc base'!$H252:$S252),2))</f>
        <v>0</v>
      </c>
      <c r="C252">
        <f>SUM(J252:U252)</f>
        <v>0</v>
      </c>
      <c r="G252">
        <f>SUM(AT252:BE252)</f>
        <v>0</v>
      </c>
      <c r="H252">
        <f>B252-G251</f>
        <v>0</v>
      </c>
      <c r="I252">
        <f>B252-G252</f>
        <v>0</v>
      </c>
      <c r="J252">
        <f>IF(AT251&lt;=0,0,IF(ROUND(AT251*(1+'Calc base'!H252),2)-MAX('Calc base'!C$12,ROUND('Calc base'!C$13*AT251,2))&lt;1,ROUND(AT251*(1+'Calc base'!H252),2),MAX('Calc base'!C$12,ROUND('Calc base'!C$13*AT251,2))))</f>
        <v>0</v>
      </c>
      <c r="K252">
        <f>IF(AU251&lt;=0,0,IF(ROUND(AU251*(1+'Calc base'!I252),2)-MAX('Calc base'!D$12,ROUND('Calc base'!D$13*AU251,2))&lt;1,ROUND(AU251*(1+'Calc base'!I252),2),MAX('Calc base'!D$12,ROUND('Calc base'!D$13*AU251,2))))</f>
        <v>0</v>
      </c>
      <c r="L252">
        <f>IF(AV251&lt;=0,0,IF(ROUND(AV251*(1+'Calc base'!J252),2)-MAX('Calc base'!E$12,ROUND('Calc base'!E$13*AV251,2))&lt;1,ROUND(AV251*(1+'Calc base'!J252),2),MAX('Calc base'!E$12,ROUND('Calc base'!E$13*AV251,2))))</f>
        <v>0</v>
      </c>
      <c r="M252">
        <f>IF(AW251&lt;=0,0,IF(ROUND(AW251*(1+'Calc base'!K252),2)-MAX('Calc base'!F$12,ROUND('Calc base'!F$13*AW251,2))&lt;1,ROUND(AW251*(1+'Calc base'!K252),2),MAX('Calc base'!F$12,ROUND('Calc base'!F$13*AW251,2))))</f>
        <v>0</v>
      </c>
      <c r="N252">
        <f>IF(AX251&lt;=0,0,IF(ROUND(AX251*(1+'Calc base'!L252),2)-MAX('Calc base'!G$12,ROUND('Calc base'!G$13*AX251,2))&lt;1,ROUND(AX251*(1+'Calc base'!L252),2),MAX('Calc base'!G$12,ROUND('Calc base'!G$13*AX251,2))))</f>
        <v>0</v>
      </c>
      <c r="O252">
        <f>IF(AY251&lt;=0,0,IF(ROUND(AY251*(1+'Calc base'!M252),2)-MAX('Calc base'!H$12,ROUND('Calc base'!H$13*AY251,2))&lt;1,ROUND(AY251*(1+'Calc base'!M252),2),MAX('Calc base'!H$12,ROUND('Calc base'!H$13*AY251,2))))</f>
        <v>0</v>
      </c>
      <c r="P252">
        <f>IF(AZ251&lt;=0,0,IF(ROUND(AZ251*(1+'Calc base'!N252),2)-MAX('Calc base'!I$12,ROUND('Calc base'!I$13*AZ251,2))&lt;1,ROUND(AZ251*(1+'Calc base'!N252),2),MAX('Calc base'!I$12,ROUND('Calc base'!I$13*AZ251,2))))</f>
        <v>0</v>
      </c>
      <c r="Q252">
        <f>IF(BA251&lt;=0,0,IF(ROUND(BA251*(1+'Calc base'!O252),2)-MAX('Calc base'!J$12,ROUND('Calc base'!J$13*BA251,2))&lt;1,ROUND(BA251*(1+'Calc base'!O252),2),MAX('Calc base'!J$12,ROUND('Calc base'!J$13*BA251,2))))</f>
        <v>0</v>
      </c>
      <c r="R252">
        <f>IF(BB251&lt;=0,0,IF(ROUND(BB251*(1+'Calc base'!P252),2)-MAX('Calc base'!K$12,ROUND('Calc base'!K$13*BB251,2))&lt;1,ROUND(BB251*(1+'Calc base'!P252),2),MAX('Calc base'!K$12,ROUND('Calc base'!K$13*BB251,2))))</f>
        <v>0</v>
      </c>
      <c r="S252">
        <f>IF(BC251&lt;=0,0,IF(ROUND(BC251*(1+'Calc base'!Q252),2)-MAX('Calc base'!L$12,ROUND('Calc base'!L$13*BC251,2))&lt;1,ROUND(BC251*(1+'Calc base'!Q252),2),MAX('Calc base'!L$12,ROUND('Calc base'!L$13*BC251,2))))</f>
        <v>0</v>
      </c>
      <c r="T252">
        <f>IF(BD251&lt;=0,0,IF(ROUND(BD251*(1+'Calc base'!R252),2)-MAX('Calc base'!M$12,ROUND('Calc base'!M$13*BD251,2))&lt;1,ROUND(BD251*(1+'Calc base'!R252),2),MAX('Calc base'!M$12,ROUND('Calc base'!M$13*BD251,2))))</f>
        <v>0</v>
      </c>
      <c r="U252">
        <f>IF(BE251&lt;=0,0,IF(ROUND(BE251*(1+'Calc base'!S252),2)-MAX('Calc base'!N$12,ROUND('Calc base'!N$13*BE251,2))&lt;1,ROUND(BE251*(1+'Calc base'!S252),2),MAX('Calc base'!N$12,ROUND('Calc base'!N$13*BE251,2))))</f>
        <v>0</v>
      </c>
      <c r="AT252">
        <f>MAX(0,ROUND(AT251*(1+'Calc base'!H252),2)-J252)</f>
        <v>0</v>
      </c>
      <c r="AU252">
        <f>MAX(0,ROUND(AU251*(1+'Calc base'!I252),2)-K252)</f>
        <v>0</v>
      </c>
      <c r="AV252">
        <f>MAX(0,ROUND(AV251*(1+'Calc base'!J252),2)-L252)</f>
        <v>0</v>
      </c>
      <c r="AW252">
        <f>MAX(0,ROUND(AW251*(1+'Calc base'!K252),2)-M252)</f>
        <v>0</v>
      </c>
      <c r="AX252">
        <f>MAX(0,ROUND(AX251*(1+'Calc base'!L252),2)-N252)</f>
        <v>0</v>
      </c>
      <c r="AY252">
        <f>MAX(0,ROUND(AY251*(1+'Calc base'!M252),2)-O252)</f>
        <v>0</v>
      </c>
      <c r="AZ252">
        <f>MAX(0,ROUND(AZ251*(1+'Calc base'!N252),2)-P252)</f>
        <v>0</v>
      </c>
      <c r="BA252">
        <f>MAX(0,ROUND(BA251*(1+'Calc base'!O252),2)-Q252)</f>
        <v>0</v>
      </c>
      <c r="BB252">
        <f>MAX(0,ROUND(BB251*(1+'Calc base'!P252),2)-R252)</f>
        <v>0</v>
      </c>
      <c r="BC252">
        <f>MAX(0,ROUND(BC251*(1+'Calc base'!Q252),2)-S252)</f>
        <v>0</v>
      </c>
      <c r="BD252">
        <f>MAX(0,ROUND(BD251*(1+'Calc base'!R252),2)-T252)</f>
        <v>0</v>
      </c>
      <c r="BE252">
        <f>MAX(0,ROUND(BE251*(1+'Calc base'!S252),2)-U252)</f>
        <v>0</v>
      </c>
    </row>
    <row r="253">
      <c r="A253" t="n">
        <v>223</v>
      </c>
      <c r="B253">
        <f>SUMPRODUCT(ROUND($AT252:$BE252*(1+'Calc base'!$H253:$S253),2))</f>
        <v>0</v>
      </c>
      <c r="C253">
        <f>SUM(J253:U253)</f>
        <v>0</v>
      </c>
      <c r="G253">
        <f>SUM(AT253:BE253)</f>
        <v>0</v>
      </c>
      <c r="H253">
        <f>B253-G252</f>
        <v>0</v>
      </c>
      <c r="I253">
        <f>B253-G253</f>
        <v>0</v>
      </c>
      <c r="J253">
        <f>IF(AT252&lt;=0,0,IF(ROUND(AT252*(1+'Calc base'!H253),2)-MAX('Calc base'!C$12,ROUND('Calc base'!C$13*AT252,2))&lt;1,ROUND(AT252*(1+'Calc base'!H253),2),MAX('Calc base'!C$12,ROUND('Calc base'!C$13*AT252,2))))</f>
        <v>0</v>
      </c>
      <c r="K253">
        <f>IF(AU252&lt;=0,0,IF(ROUND(AU252*(1+'Calc base'!I253),2)-MAX('Calc base'!D$12,ROUND('Calc base'!D$13*AU252,2))&lt;1,ROUND(AU252*(1+'Calc base'!I253),2),MAX('Calc base'!D$12,ROUND('Calc base'!D$13*AU252,2))))</f>
        <v>0</v>
      </c>
      <c r="L253">
        <f>IF(AV252&lt;=0,0,IF(ROUND(AV252*(1+'Calc base'!J253),2)-MAX('Calc base'!E$12,ROUND('Calc base'!E$13*AV252,2))&lt;1,ROUND(AV252*(1+'Calc base'!J253),2),MAX('Calc base'!E$12,ROUND('Calc base'!E$13*AV252,2))))</f>
        <v>0</v>
      </c>
      <c r="M253">
        <f>IF(AW252&lt;=0,0,IF(ROUND(AW252*(1+'Calc base'!K253),2)-MAX('Calc base'!F$12,ROUND('Calc base'!F$13*AW252,2))&lt;1,ROUND(AW252*(1+'Calc base'!K253),2),MAX('Calc base'!F$12,ROUND('Calc base'!F$13*AW252,2))))</f>
        <v>0</v>
      </c>
      <c r="N253">
        <f>IF(AX252&lt;=0,0,IF(ROUND(AX252*(1+'Calc base'!L253),2)-MAX('Calc base'!G$12,ROUND('Calc base'!G$13*AX252,2))&lt;1,ROUND(AX252*(1+'Calc base'!L253),2),MAX('Calc base'!G$12,ROUND('Calc base'!G$13*AX252,2))))</f>
        <v>0</v>
      </c>
      <c r="O253">
        <f>IF(AY252&lt;=0,0,IF(ROUND(AY252*(1+'Calc base'!M253),2)-MAX('Calc base'!H$12,ROUND('Calc base'!H$13*AY252,2))&lt;1,ROUND(AY252*(1+'Calc base'!M253),2),MAX('Calc base'!H$12,ROUND('Calc base'!H$13*AY252,2))))</f>
        <v>0</v>
      </c>
      <c r="P253">
        <f>IF(AZ252&lt;=0,0,IF(ROUND(AZ252*(1+'Calc base'!N253),2)-MAX('Calc base'!I$12,ROUND('Calc base'!I$13*AZ252,2))&lt;1,ROUND(AZ252*(1+'Calc base'!N253),2),MAX('Calc base'!I$12,ROUND('Calc base'!I$13*AZ252,2))))</f>
        <v>0</v>
      </c>
      <c r="Q253">
        <f>IF(BA252&lt;=0,0,IF(ROUND(BA252*(1+'Calc base'!O253),2)-MAX('Calc base'!J$12,ROUND('Calc base'!J$13*BA252,2))&lt;1,ROUND(BA252*(1+'Calc base'!O253),2),MAX('Calc base'!J$12,ROUND('Calc base'!J$13*BA252,2))))</f>
        <v>0</v>
      </c>
      <c r="R253">
        <f>IF(BB252&lt;=0,0,IF(ROUND(BB252*(1+'Calc base'!P253),2)-MAX('Calc base'!K$12,ROUND('Calc base'!K$13*BB252,2))&lt;1,ROUND(BB252*(1+'Calc base'!P253),2),MAX('Calc base'!K$12,ROUND('Calc base'!K$13*BB252,2))))</f>
        <v>0</v>
      </c>
      <c r="S253">
        <f>IF(BC252&lt;=0,0,IF(ROUND(BC252*(1+'Calc base'!Q253),2)-MAX('Calc base'!L$12,ROUND('Calc base'!L$13*BC252,2))&lt;1,ROUND(BC252*(1+'Calc base'!Q253),2),MAX('Calc base'!L$12,ROUND('Calc base'!L$13*BC252,2))))</f>
        <v>0</v>
      </c>
      <c r="T253">
        <f>IF(BD252&lt;=0,0,IF(ROUND(BD252*(1+'Calc base'!R253),2)-MAX('Calc base'!M$12,ROUND('Calc base'!M$13*BD252,2))&lt;1,ROUND(BD252*(1+'Calc base'!R253),2),MAX('Calc base'!M$12,ROUND('Calc base'!M$13*BD252,2))))</f>
        <v>0</v>
      </c>
      <c r="U253">
        <f>IF(BE252&lt;=0,0,IF(ROUND(BE252*(1+'Calc base'!S253),2)-MAX('Calc base'!N$12,ROUND('Calc base'!N$13*BE252,2))&lt;1,ROUND(BE252*(1+'Calc base'!S253),2),MAX('Calc base'!N$12,ROUND('Calc base'!N$13*BE252,2))))</f>
        <v>0</v>
      </c>
      <c r="AT253">
        <f>MAX(0,ROUND(AT252*(1+'Calc base'!H253),2)-J253)</f>
        <v>0</v>
      </c>
      <c r="AU253">
        <f>MAX(0,ROUND(AU252*(1+'Calc base'!I253),2)-K253)</f>
        <v>0</v>
      </c>
      <c r="AV253">
        <f>MAX(0,ROUND(AV252*(1+'Calc base'!J253),2)-L253)</f>
        <v>0</v>
      </c>
      <c r="AW253">
        <f>MAX(0,ROUND(AW252*(1+'Calc base'!K253),2)-M253)</f>
        <v>0</v>
      </c>
      <c r="AX253">
        <f>MAX(0,ROUND(AX252*(1+'Calc base'!L253),2)-N253)</f>
        <v>0</v>
      </c>
      <c r="AY253">
        <f>MAX(0,ROUND(AY252*(1+'Calc base'!M253),2)-O253)</f>
        <v>0</v>
      </c>
      <c r="AZ253">
        <f>MAX(0,ROUND(AZ252*(1+'Calc base'!N253),2)-P253)</f>
        <v>0</v>
      </c>
      <c r="BA253">
        <f>MAX(0,ROUND(BA252*(1+'Calc base'!O253),2)-Q253)</f>
        <v>0</v>
      </c>
      <c r="BB253">
        <f>MAX(0,ROUND(BB252*(1+'Calc base'!P253),2)-R253)</f>
        <v>0</v>
      </c>
      <c r="BC253">
        <f>MAX(0,ROUND(BC252*(1+'Calc base'!Q253),2)-S253)</f>
        <v>0</v>
      </c>
      <c r="BD253">
        <f>MAX(0,ROUND(BD252*(1+'Calc base'!R253),2)-T253)</f>
        <v>0</v>
      </c>
      <c r="BE253">
        <f>MAX(0,ROUND(BE252*(1+'Calc base'!S253),2)-U253)</f>
        <v>0</v>
      </c>
    </row>
    <row r="254">
      <c r="A254" t="n">
        <v>224</v>
      </c>
      <c r="B254">
        <f>SUMPRODUCT(ROUND($AT253:$BE253*(1+'Calc base'!$H254:$S254),2))</f>
        <v>0</v>
      </c>
      <c r="C254">
        <f>SUM(J254:U254)</f>
        <v>0</v>
      </c>
      <c r="G254">
        <f>SUM(AT254:BE254)</f>
        <v>0</v>
      </c>
      <c r="H254">
        <f>B254-G253</f>
        <v>0</v>
      </c>
      <c r="I254">
        <f>B254-G254</f>
        <v>0</v>
      </c>
      <c r="J254">
        <f>IF(AT253&lt;=0,0,IF(ROUND(AT253*(1+'Calc base'!H254),2)-MAX('Calc base'!C$12,ROUND('Calc base'!C$13*AT253,2))&lt;1,ROUND(AT253*(1+'Calc base'!H254),2),MAX('Calc base'!C$12,ROUND('Calc base'!C$13*AT253,2))))</f>
        <v>0</v>
      </c>
      <c r="K254">
        <f>IF(AU253&lt;=0,0,IF(ROUND(AU253*(1+'Calc base'!I254),2)-MAX('Calc base'!D$12,ROUND('Calc base'!D$13*AU253,2))&lt;1,ROUND(AU253*(1+'Calc base'!I254),2),MAX('Calc base'!D$12,ROUND('Calc base'!D$13*AU253,2))))</f>
        <v>0</v>
      </c>
      <c r="L254">
        <f>IF(AV253&lt;=0,0,IF(ROUND(AV253*(1+'Calc base'!J254),2)-MAX('Calc base'!E$12,ROUND('Calc base'!E$13*AV253,2))&lt;1,ROUND(AV253*(1+'Calc base'!J254),2),MAX('Calc base'!E$12,ROUND('Calc base'!E$13*AV253,2))))</f>
        <v>0</v>
      </c>
      <c r="M254">
        <f>IF(AW253&lt;=0,0,IF(ROUND(AW253*(1+'Calc base'!K254),2)-MAX('Calc base'!F$12,ROUND('Calc base'!F$13*AW253,2))&lt;1,ROUND(AW253*(1+'Calc base'!K254),2),MAX('Calc base'!F$12,ROUND('Calc base'!F$13*AW253,2))))</f>
        <v>0</v>
      </c>
      <c r="N254">
        <f>IF(AX253&lt;=0,0,IF(ROUND(AX253*(1+'Calc base'!L254),2)-MAX('Calc base'!G$12,ROUND('Calc base'!G$13*AX253,2))&lt;1,ROUND(AX253*(1+'Calc base'!L254),2),MAX('Calc base'!G$12,ROUND('Calc base'!G$13*AX253,2))))</f>
        <v>0</v>
      </c>
      <c r="O254">
        <f>IF(AY253&lt;=0,0,IF(ROUND(AY253*(1+'Calc base'!M254),2)-MAX('Calc base'!H$12,ROUND('Calc base'!H$13*AY253,2))&lt;1,ROUND(AY253*(1+'Calc base'!M254),2),MAX('Calc base'!H$12,ROUND('Calc base'!H$13*AY253,2))))</f>
        <v>0</v>
      </c>
      <c r="P254">
        <f>IF(AZ253&lt;=0,0,IF(ROUND(AZ253*(1+'Calc base'!N254),2)-MAX('Calc base'!I$12,ROUND('Calc base'!I$13*AZ253,2))&lt;1,ROUND(AZ253*(1+'Calc base'!N254),2),MAX('Calc base'!I$12,ROUND('Calc base'!I$13*AZ253,2))))</f>
        <v>0</v>
      </c>
      <c r="Q254">
        <f>IF(BA253&lt;=0,0,IF(ROUND(BA253*(1+'Calc base'!O254),2)-MAX('Calc base'!J$12,ROUND('Calc base'!J$13*BA253,2))&lt;1,ROUND(BA253*(1+'Calc base'!O254),2),MAX('Calc base'!J$12,ROUND('Calc base'!J$13*BA253,2))))</f>
        <v>0</v>
      </c>
      <c r="R254">
        <f>IF(BB253&lt;=0,0,IF(ROUND(BB253*(1+'Calc base'!P254),2)-MAX('Calc base'!K$12,ROUND('Calc base'!K$13*BB253,2))&lt;1,ROUND(BB253*(1+'Calc base'!P254),2),MAX('Calc base'!K$12,ROUND('Calc base'!K$13*BB253,2))))</f>
        <v>0</v>
      </c>
      <c r="S254">
        <f>IF(BC253&lt;=0,0,IF(ROUND(BC253*(1+'Calc base'!Q254),2)-MAX('Calc base'!L$12,ROUND('Calc base'!L$13*BC253,2))&lt;1,ROUND(BC253*(1+'Calc base'!Q254),2),MAX('Calc base'!L$12,ROUND('Calc base'!L$13*BC253,2))))</f>
        <v>0</v>
      </c>
      <c r="T254">
        <f>IF(BD253&lt;=0,0,IF(ROUND(BD253*(1+'Calc base'!R254),2)-MAX('Calc base'!M$12,ROUND('Calc base'!M$13*BD253,2))&lt;1,ROUND(BD253*(1+'Calc base'!R254),2),MAX('Calc base'!M$12,ROUND('Calc base'!M$13*BD253,2))))</f>
        <v>0</v>
      </c>
      <c r="U254">
        <f>IF(BE253&lt;=0,0,IF(ROUND(BE253*(1+'Calc base'!S254),2)-MAX('Calc base'!N$12,ROUND('Calc base'!N$13*BE253,2))&lt;1,ROUND(BE253*(1+'Calc base'!S254),2),MAX('Calc base'!N$12,ROUND('Calc base'!N$13*BE253,2))))</f>
        <v>0</v>
      </c>
      <c r="AT254">
        <f>MAX(0,ROUND(AT253*(1+'Calc base'!H254),2)-J254)</f>
        <v>0</v>
      </c>
      <c r="AU254">
        <f>MAX(0,ROUND(AU253*(1+'Calc base'!I254),2)-K254)</f>
        <v>0</v>
      </c>
      <c r="AV254">
        <f>MAX(0,ROUND(AV253*(1+'Calc base'!J254),2)-L254)</f>
        <v>0</v>
      </c>
      <c r="AW254">
        <f>MAX(0,ROUND(AW253*(1+'Calc base'!K254),2)-M254)</f>
        <v>0</v>
      </c>
      <c r="AX254">
        <f>MAX(0,ROUND(AX253*(1+'Calc base'!L254),2)-N254)</f>
        <v>0</v>
      </c>
      <c r="AY254">
        <f>MAX(0,ROUND(AY253*(1+'Calc base'!M254),2)-O254)</f>
        <v>0</v>
      </c>
      <c r="AZ254">
        <f>MAX(0,ROUND(AZ253*(1+'Calc base'!N254),2)-P254)</f>
        <v>0</v>
      </c>
      <c r="BA254">
        <f>MAX(0,ROUND(BA253*(1+'Calc base'!O254),2)-Q254)</f>
        <v>0</v>
      </c>
      <c r="BB254">
        <f>MAX(0,ROUND(BB253*(1+'Calc base'!P254),2)-R254)</f>
        <v>0</v>
      </c>
      <c r="BC254">
        <f>MAX(0,ROUND(BC253*(1+'Calc base'!Q254),2)-S254)</f>
        <v>0</v>
      </c>
      <c r="BD254">
        <f>MAX(0,ROUND(BD253*(1+'Calc base'!R254),2)-T254)</f>
        <v>0</v>
      </c>
      <c r="BE254">
        <f>MAX(0,ROUND(BE253*(1+'Calc base'!S254),2)-U254)</f>
        <v>0</v>
      </c>
    </row>
    <row r="255">
      <c r="A255" t="n">
        <v>225</v>
      </c>
      <c r="B255">
        <f>SUMPRODUCT(ROUND($AT254:$BE254*(1+'Calc base'!$H255:$S255),2))</f>
        <v>0</v>
      </c>
      <c r="C255">
        <f>SUM(J255:U255)</f>
        <v>0</v>
      </c>
      <c r="G255">
        <f>SUM(AT255:BE255)</f>
        <v>0</v>
      </c>
      <c r="H255">
        <f>B255-G254</f>
        <v>0</v>
      </c>
      <c r="I255">
        <f>B255-G255</f>
        <v>0</v>
      </c>
      <c r="J255">
        <f>IF(AT254&lt;=0,0,IF(ROUND(AT254*(1+'Calc base'!H255),2)-MAX('Calc base'!C$12,ROUND('Calc base'!C$13*AT254,2))&lt;1,ROUND(AT254*(1+'Calc base'!H255),2),MAX('Calc base'!C$12,ROUND('Calc base'!C$13*AT254,2))))</f>
        <v>0</v>
      </c>
      <c r="K255">
        <f>IF(AU254&lt;=0,0,IF(ROUND(AU254*(1+'Calc base'!I255),2)-MAX('Calc base'!D$12,ROUND('Calc base'!D$13*AU254,2))&lt;1,ROUND(AU254*(1+'Calc base'!I255),2),MAX('Calc base'!D$12,ROUND('Calc base'!D$13*AU254,2))))</f>
        <v>0</v>
      </c>
      <c r="L255">
        <f>IF(AV254&lt;=0,0,IF(ROUND(AV254*(1+'Calc base'!J255),2)-MAX('Calc base'!E$12,ROUND('Calc base'!E$13*AV254,2))&lt;1,ROUND(AV254*(1+'Calc base'!J255),2),MAX('Calc base'!E$12,ROUND('Calc base'!E$13*AV254,2))))</f>
        <v>0</v>
      </c>
      <c r="M255">
        <f>IF(AW254&lt;=0,0,IF(ROUND(AW254*(1+'Calc base'!K255),2)-MAX('Calc base'!F$12,ROUND('Calc base'!F$13*AW254,2))&lt;1,ROUND(AW254*(1+'Calc base'!K255),2),MAX('Calc base'!F$12,ROUND('Calc base'!F$13*AW254,2))))</f>
        <v>0</v>
      </c>
      <c r="N255">
        <f>IF(AX254&lt;=0,0,IF(ROUND(AX254*(1+'Calc base'!L255),2)-MAX('Calc base'!G$12,ROUND('Calc base'!G$13*AX254,2))&lt;1,ROUND(AX254*(1+'Calc base'!L255),2),MAX('Calc base'!G$12,ROUND('Calc base'!G$13*AX254,2))))</f>
        <v>0</v>
      </c>
      <c r="O255">
        <f>IF(AY254&lt;=0,0,IF(ROUND(AY254*(1+'Calc base'!M255),2)-MAX('Calc base'!H$12,ROUND('Calc base'!H$13*AY254,2))&lt;1,ROUND(AY254*(1+'Calc base'!M255),2),MAX('Calc base'!H$12,ROUND('Calc base'!H$13*AY254,2))))</f>
        <v>0</v>
      </c>
      <c r="P255">
        <f>IF(AZ254&lt;=0,0,IF(ROUND(AZ254*(1+'Calc base'!N255),2)-MAX('Calc base'!I$12,ROUND('Calc base'!I$13*AZ254,2))&lt;1,ROUND(AZ254*(1+'Calc base'!N255),2),MAX('Calc base'!I$12,ROUND('Calc base'!I$13*AZ254,2))))</f>
        <v>0</v>
      </c>
      <c r="Q255">
        <f>IF(BA254&lt;=0,0,IF(ROUND(BA254*(1+'Calc base'!O255),2)-MAX('Calc base'!J$12,ROUND('Calc base'!J$13*BA254,2))&lt;1,ROUND(BA254*(1+'Calc base'!O255),2),MAX('Calc base'!J$12,ROUND('Calc base'!J$13*BA254,2))))</f>
        <v>0</v>
      </c>
      <c r="R255">
        <f>IF(BB254&lt;=0,0,IF(ROUND(BB254*(1+'Calc base'!P255),2)-MAX('Calc base'!K$12,ROUND('Calc base'!K$13*BB254,2))&lt;1,ROUND(BB254*(1+'Calc base'!P255),2),MAX('Calc base'!K$12,ROUND('Calc base'!K$13*BB254,2))))</f>
        <v>0</v>
      </c>
      <c r="S255">
        <f>IF(BC254&lt;=0,0,IF(ROUND(BC254*(1+'Calc base'!Q255),2)-MAX('Calc base'!L$12,ROUND('Calc base'!L$13*BC254,2))&lt;1,ROUND(BC254*(1+'Calc base'!Q255),2),MAX('Calc base'!L$12,ROUND('Calc base'!L$13*BC254,2))))</f>
        <v>0</v>
      </c>
      <c r="T255">
        <f>IF(BD254&lt;=0,0,IF(ROUND(BD254*(1+'Calc base'!R255),2)-MAX('Calc base'!M$12,ROUND('Calc base'!M$13*BD254,2))&lt;1,ROUND(BD254*(1+'Calc base'!R255),2),MAX('Calc base'!M$12,ROUND('Calc base'!M$13*BD254,2))))</f>
        <v>0</v>
      </c>
      <c r="U255">
        <f>IF(BE254&lt;=0,0,IF(ROUND(BE254*(1+'Calc base'!S255),2)-MAX('Calc base'!N$12,ROUND('Calc base'!N$13*BE254,2))&lt;1,ROUND(BE254*(1+'Calc base'!S255),2),MAX('Calc base'!N$12,ROUND('Calc base'!N$13*BE254,2))))</f>
        <v>0</v>
      </c>
      <c r="AT255">
        <f>MAX(0,ROUND(AT254*(1+'Calc base'!H255),2)-J255)</f>
        <v>0</v>
      </c>
      <c r="AU255">
        <f>MAX(0,ROUND(AU254*(1+'Calc base'!I255),2)-K255)</f>
        <v>0</v>
      </c>
      <c r="AV255">
        <f>MAX(0,ROUND(AV254*(1+'Calc base'!J255),2)-L255)</f>
        <v>0</v>
      </c>
      <c r="AW255">
        <f>MAX(0,ROUND(AW254*(1+'Calc base'!K255),2)-M255)</f>
        <v>0</v>
      </c>
      <c r="AX255">
        <f>MAX(0,ROUND(AX254*(1+'Calc base'!L255),2)-N255)</f>
        <v>0</v>
      </c>
      <c r="AY255">
        <f>MAX(0,ROUND(AY254*(1+'Calc base'!M255),2)-O255)</f>
        <v>0</v>
      </c>
      <c r="AZ255">
        <f>MAX(0,ROUND(AZ254*(1+'Calc base'!N255),2)-P255)</f>
        <v>0</v>
      </c>
      <c r="BA255">
        <f>MAX(0,ROUND(BA254*(1+'Calc base'!O255),2)-Q255)</f>
        <v>0</v>
      </c>
      <c r="BB255">
        <f>MAX(0,ROUND(BB254*(1+'Calc base'!P255),2)-R255)</f>
        <v>0</v>
      </c>
      <c r="BC255">
        <f>MAX(0,ROUND(BC254*(1+'Calc base'!Q255),2)-S255)</f>
        <v>0</v>
      </c>
      <c r="BD255">
        <f>MAX(0,ROUND(BD254*(1+'Calc base'!R255),2)-T255)</f>
        <v>0</v>
      </c>
      <c r="BE255">
        <f>MAX(0,ROUND(BE254*(1+'Calc base'!S255),2)-U255)</f>
        <v>0</v>
      </c>
    </row>
    <row r="256">
      <c r="A256" t="n">
        <v>226</v>
      </c>
      <c r="B256">
        <f>SUMPRODUCT(ROUND($AT255:$BE255*(1+'Calc base'!$H256:$S256),2))</f>
        <v>0</v>
      </c>
      <c r="C256">
        <f>SUM(J256:U256)</f>
        <v>0</v>
      </c>
      <c r="G256">
        <f>SUM(AT256:BE256)</f>
        <v>0</v>
      </c>
      <c r="H256">
        <f>B256-G255</f>
        <v>0</v>
      </c>
      <c r="I256">
        <f>B256-G256</f>
        <v>0</v>
      </c>
      <c r="J256">
        <f>IF(AT255&lt;=0,0,IF(ROUND(AT255*(1+'Calc base'!H256),2)-MAX('Calc base'!C$12,ROUND('Calc base'!C$13*AT255,2))&lt;1,ROUND(AT255*(1+'Calc base'!H256),2),MAX('Calc base'!C$12,ROUND('Calc base'!C$13*AT255,2))))</f>
        <v>0</v>
      </c>
      <c r="K256">
        <f>IF(AU255&lt;=0,0,IF(ROUND(AU255*(1+'Calc base'!I256),2)-MAX('Calc base'!D$12,ROUND('Calc base'!D$13*AU255,2))&lt;1,ROUND(AU255*(1+'Calc base'!I256),2),MAX('Calc base'!D$12,ROUND('Calc base'!D$13*AU255,2))))</f>
        <v>0</v>
      </c>
      <c r="L256">
        <f>IF(AV255&lt;=0,0,IF(ROUND(AV255*(1+'Calc base'!J256),2)-MAX('Calc base'!E$12,ROUND('Calc base'!E$13*AV255,2))&lt;1,ROUND(AV255*(1+'Calc base'!J256),2),MAX('Calc base'!E$12,ROUND('Calc base'!E$13*AV255,2))))</f>
        <v>0</v>
      </c>
      <c r="M256">
        <f>IF(AW255&lt;=0,0,IF(ROUND(AW255*(1+'Calc base'!K256),2)-MAX('Calc base'!F$12,ROUND('Calc base'!F$13*AW255,2))&lt;1,ROUND(AW255*(1+'Calc base'!K256),2),MAX('Calc base'!F$12,ROUND('Calc base'!F$13*AW255,2))))</f>
        <v>0</v>
      </c>
      <c r="N256">
        <f>IF(AX255&lt;=0,0,IF(ROUND(AX255*(1+'Calc base'!L256),2)-MAX('Calc base'!G$12,ROUND('Calc base'!G$13*AX255,2))&lt;1,ROUND(AX255*(1+'Calc base'!L256),2),MAX('Calc base'!G$12,ROUND('Calc base'!G$13*AX255,2))))</f>
        <v>0</v>
      </c>
      <c r="O256">
        <f>IF(AY255&lt;=0,0,IF(ROUND(AY255*(1+'Calc base'!M256),2)-MAX('Calc base'!H$12,ROUND('Calc base'!H$13*AY255,2))&lt;1,ROUND(AY255*(1+'Calc base'!M256),2),MAX('Calc base'!H$12,ROUND('Calc base'!H$13*AY255,2))))</f>
        <v>0</v>
      </c>
      <c r="P256">
        <f>IF(AZ255&lt;=0,0,IF(ROUND(AZ255*(1+'Calc base'!N256),2)-MAX('Calc base'!I$12,ROUND('Calc base'!I$13*AZ255,2))&lt;1,ROUND(AZ255*(1+'Calc base'!N256),2),MAX('Calc base'!I$12,ROUND('Calc base'!I$13*AZ255,2))))</f>
        <v>0</v>
      </c>
      <c r="Q256">
        <f>IF(BA255&lt;=0,0,IF(ROUND(BA255*(1+'Calc base'!O256),2)-MAX('Calc base'!J$12,ROUND('Calc base'!J$13*BA255,2))&lt;1,ROUND(BA255*(1+'Calc base'!O256),2),MAX('Calc base'!J$12,ROUND('Calc base'!J$13*BA255,2))))</f>
        <v>0</v>
      </c>
      <c r="R256">
        <f>IF(BB255&lt;=0,0,IF(ROUND(BB255*(1+'Calc base'!P256),2)-MAX('Calc base'!K$12,ROUND('Calc base'!K$13*BB255,2))&lt;1,ROUND(BB255*(1+'Calc base'!P256),2),MAX('Calc base'!K$12,ROUND('Calc base'!K$13*BB255,2))))</f>
        <v>0</v>
      </c>
      <c r="S256">
        <f>IF(BC255&lt;=0,0,IF(ROUND(BC255*(1+'Calc base'!Q256),2)-MAX('Calc base'!L$12,ROUND('Calc base'!L$13*BC255,2))&lt;1,ROUND(BC255*(1+'Calc base'!Q256),2),MAX('Calc base'!L$12,ROUND('Calc base'!L$13*BC255,2))))</f>
        <v>0</v>
      </c>
      <c r="T256">
        <f>IF(BD255&lt;=0,0,IF(ROUND(BD255*(1+'Calc base'!R256),2)-MAX('Calc base'!M$12,ROUND('Calc base'!M$13*BD255,2))&lt;1,ROUND(BD255*(1+'Calc base'!R256),2),MAX('Calc base'!M$12,ROUND('Calc base'!M$13*BD255,2))))</f>
        <v>0</v>
      </c>
      <c r="U256">
        <f>IF(BE255&lt;=0,0,IF(ROUND(BE255*(1+'Calc base'!S256),2)-MAX('Calc base'!N$12,ROUND('Calc base'!N$13*BE255,2))&lt;1,ROUND(BE255*(1+'Calc base'!S256),2),MAX('Calc base'!N$12,ROUND('Calc base'!N$13*BE255,2))))</f>
        <v>0</v>
      </c>
      <c r="AT256">
        <f>MAX(0,ROUND(AT255*(1+'Calc base'!H256),2)-J256)</f>
        <v>0</v>
      </c>
      <c r="AU256">
        <f>MAX(0,ROUND(AU255*(1+'Calc base'!I256),2)-K256)</f>
        <v>0</v>
      </c>
      <c r="AV256">
        <f>MAX(0,ROUND(AV255*(1+'Calc base'!J256),2)-L256)</f>
        <v>0</v>
      </c>
      <c r="AW256">
        <f>MAX(0,ROUND(AW255*(1+'Calc base'!K256),2)-M256)</f>
        <v>0</v>
      </c>
      <c r="AX256">
        <f>MAX(0,ROUND(AX255*(1+'Calc base'!L256),2)-N256)</f>
        <v>0</v>
      </c>
      <c r="AY256">
        <f>MAX(0,ROUND(AY255*(1+'Calc base'!M256),2)-O256)</f>
        <v>0</v>
      </c>
      <c r="AZ256">
        <f>MAX(0,ROUND(AZ255*(1+'Calc base'!N256),2)-P256)</f>
        <v>0</v>
      </c>
      <c r="BA256">
        <f>MAX(0,ROUND(BA255*(1+'Calc base'!O256),2)-Q256)</f>
        <v>0</v>
      </c>
      <c r="BB256">
        <f>MAX(0,ROUND(BB255*(1+'Calc base'!P256),2)-R256)</f>
        <v>0</v>
      </c>
      <c r="BC256">
        <f>MAX(0,ROUND(BC255*(1+'Calc base'!Q256),2)-S256)</f>
        <v>0</v>
      </c>
      <c r="BD256">
        <f>MAX(0,ROUND(BD255*(1+'Calc base'!R256),2)-T256)</f>
        <v>0</v>
      </c>
      <c r="BE256">
        <f>MAX(0,ROUND(BE255*(1+'Calc base'!S256),2)-U256)</f>
        <v>0</v>
      </c>
    </row>
    <row r="257">
      <c r="A257" t="n">
        <v>227</v>
      </c>
      <c r="B257">
        <f>SUMPRODUCT(ROUND($AT256:$BE256*(1+'Calc base'!$H257:$S257),2))</f>
        <v>0</v>
      </c>
      <c r="C257">
        <f>SUM(J257:U257)</f>
        <v>0</v>
      </c>
      <c r="G257">
        <f>SUM(AT257:BE257)</f>
        <v>0</v>
      </c>
      <c r="H257">
        <f>B257-G256</f>
        <v>0</v>
      </c>
      <c r="I257">
        <f>B257-G257</f>
        <v>0</v>
      </c>
      <c r="J257">
        <f>IF(AT256&lt;=0,0,IF(ROUND(AT256*(1+'Calc base'!H257),2)-MAX('Calc base'!C$12,ROUND('Calc base'!C$13*AT256,2))&lt;1,ROUND(AT256*(1+'Calc base'!H257),2),MAX('Calc base'!C$12,ROUND('Calc base'!C$13*AT256,2))))</f>
        <v>0</v>
      </c>
      <c r="K257">
        <f>IF(AU256&lt;=0,0,IF(ROUND(AU256*(1+'Calc base'!I257),2)-MAX('Calc base'!D$12,ROUND('Calc base'!D$13*AU256,2))&lt;1,ROUND(AU256*(1+'Calc base'!I257),2),MAX('Calc base'!D$12,ROUND('Calc base'!D$13*AU256,2))))</f>
        <v>0</v>
      </c>
      <c r="L257">
        <f>IF(AV256&lt;=0,0,IF(ROUND(AV256*(1+'Calc base'!J257),2)-MAX('Calc base'!E$12,ROUND('Calc base'!E$13*AV256,2))&lt;1,ROUND(AV256*(1+'Calc base'!J257),2),MAX('Calc base'!E$12,ROUND('Calc base'!E$13*AV256,2))))</f>
        <v>0</v>
      </c>
      <c r="M257">
        <f>IF(AW256&lt;=0,0,IF(ROUND(AW256*(1+'Calc base'!K257),2)-MAX('Calc base'!F$12,ROUND('Calc base'!F$13*AW256,2))&lt;1,ROUND(AW256*(1+'Calc base'!K257),2),MAX('Calc base'!F$12,ROUND('Calc base'!F$13*AW256,2))))</f>
        <v>0</v>
      </c>
      <c r="N257">
        <f>IF(AX256&lt;=0,0,IF(ROUND(AX256*(1+'Calc base'!L257),2)-MAX('Calc base'!G$12,ROUND('Calc base'!G$13*AX256,2))&lt;1,ROUND(AX256*(1+'Calc base'!L257),2),MAX('Calc base'!G$12,ROUND('Calc base'!G$13*AX256,2))))</f>
        <v>0</v>
      </c>
      <c r="O257">
        <f>IF(AY256&lt;=0,0,IF(ROUND(AY256*(1+'Calc base'!M257),2)-MAX('Calc base'!H$12,ROUND('Calc base'!H$13*AY256,2))&lt;1,ROUND(AY256*(1+'Calc base'!M257),2),MAX('Calc base'!H$12,ROUND('Calc base'!H$13*AY256,2))))</f>
        <v>0</v>
      </c>
      <c r="P257">
        <f>IF(AZ256&lt;=0,0,IF(ROUND(AZ256*(1+'Calc base'!N257),2)-MAX('Calc base'!I$12,ROUND('Calc base'!I$13*AZ256,2))&lt;1,ROUND(AZ256*(1+'Calc base'!N257),2),MAX('Calc base'!I$12,ROUND('Calc base'!I$13*AZ256,2))))</f>
        <v>0</v>
      </c>
      <c r="Q257">
        <f>IF(BA256&lt;=0,0,IF(ROUND(BA256*(1+'Calc base'!O257),2)-MAX('Calc base'!J$12,ROUND('Calc base'!J$13*BA256,2))&lt;1,ROUND(BA256*(1+'Calc base'!O257),2),MAX('Calc base'!J$12,ROUND('Calc base'!J$13*BA256,2))))</f>
        <v>0</v>
      </c>
      <c r="R257">
        <f>IF(BB256&lt;=0,0,IF(ROUND(BB256*(1+'Calc base'!P257),2)-MAX('Calc base'!K$12,ROUND('Calc base'!K$13*BB256,2))&lt;1,ROUND(BB256*(1+'Calc base'!P257),2),MAX('Calc base'!K$12,ROUND('Calc base'!K$13*BB256,2))))</f>
        <v>0</v>
      </c>
      <c r="S257">
        <f>IF(BC256&lt;=0,0,IF(ROUND(BC256*(1+'Calc base'!Q257),2)-MAX('Calc base'!L$12,ROUND('Calc base'!L$13*BC256,2))&lt;1,ROUND(BC256*(1+'Calc base'!Q257),2),MAX('Calc base'!L$12,ROUND('Calc base'!L$13*BC256,2))))</f>
        <v>0</v>
      </c>
      <c r="T257">
        <f>IF(BD256&lt;=0,0,IF(ROUND(BD256*(1+'Calc base'!R257),2)-MAX('Calc base'!M$12,ROUND('Calc base'!M$13*BD256,2))&lt;1,ROUND(BD256*(1+'Calc base'!R257),2),MAX('Calc base'!M$12,ROUND('Calc base'!M$13*BD256,2))))</f>
        <v>0</v>
      </c>
      <c r="U257">
        <f>IF(BE256&lt;=0,0,IF(ROUND(BE256*(1+'Calc base'!S257),2)-MAX('Calc base'!N$12,ROUND('Calc base'!N$13*BE256,2))&lt;1,ROUND(BE256*(1+'Calc base'!S257),2),MAX('Calc base'!N$12,ROUND('Calc base'!N$13*BE256,2))))</f>
        <v>0</v>
      </c>
      <c r="AT257">
        <f>MAX(0,ROUND(AT256*(1+'Calc base'!H257),2)-J257)</f>
        <v>0</v>
      </c>
      <c r="AU257">
        <f>MAX(0,ROUND(AU256*(1+'Calc base'!I257),2)-K257)</f>
        <v>0</v>
      </c>
      <c r="AV257">
        <f>MAX(0,ROUND(AV256*(1+'Calc base'!J257),2)-L257)</f>
        <v>0</v>
      </c>
      <c r="AW257">
        <f>MAX(0,ROUND(AW256*(1+'Calc base'!K257),2)-M257)</f>
        <v>0</v>
      </c>
      <c r="AX257">
        <f>MAX(0,ROUND(AX256*(1+'Calc base'!L257),2)-N257)</f>
        <v>0</v>
      </c>
      <c r="AY257">
        <f>MAX(0,ROUND(AY256*(1+'Calc base'!M257),2)-O257)</f>
        <v>0</v>
      </c>
      <c r="AZ257">
        <f>MAX(0,ROUND(AZ256*(1+'Calc base'!N257),2)-P257)</f>
        <v>0</v>
      </c>
      <c r="BA257">
        <f>MAX(0,ROUND(BA256*(1+'Calc base'!O257),2)-Q257)</f>
        <v>0</v>
      </c>
      <c r="BB257">
        <f>MAX(0,ROUND(BB256*(1+'Calc base'!P257),2)-R257)</f>
        <v>0</v>
      </c>
      <c r="BC257">
        <f>MAX(0,ROUND(BC256*(1+'Calc base'!Q257),2)-S257)</f>
        <v>0</v>
      </c>
      <c r="BD257">
        <f>MAX(0,ROUND(BD256*(1+'Calc base'!R257),2)-T257)</f>
        <v>0</v>
      </c>
      <c r="BE257">
        <f>MAX(0,ROUND(BE256*(1+'Calc base'!S257),2)-U257)</f>
        <v>0</v>
      </c>
    </row>
    <row r="258">
      <c r="A258" t="n">
        <v>228</v>
      </c>
      <c r="B258">
        <f>SUMPRODUCT(ROUND($AT257:$BE257*(1+'Calc base'!$H258:$S258),2))</f>
        <v>0</v>
      </c>
      <c r="C258">
        <f>SUM(J258:U258)</f>
        <v>0</v>
      </c>
      <c r="G258">
        <f>SUM(AT258:BE258)</f>
        <v>0</v>
      </c>
      <c r="H258">
        <f>B258-G257</f>
        <v>0</v>
      </c>
      <c r="I258">
        <f>B258-G258</f>
        <v>0</v>
      </c>
      <c r="J258">
        <f>IF(AT257&lt;=0,0,IF(ROUND(AT257*(1+'Calc base'!H258),2)-MAX('Calc base'!C$12,ROUND('Calc base'!C$13*AT257,2))&lt;1,ROUND(AT257*(1+'Calc base'!H258),2),MAX('Calc base'!C$12,ROUND('Calc base'!C$13*AT257,2))))</f>
        <v>0</v>
      </c>
      <c r="K258">
        <f>IF(AU257&lt;=0,0,IF(ROUND(AU257*(1+'Calc base'!I258),2)-MAX('Calc base'!D$12,ROUND('Calc base'!D$13*AU257,2))&lt;1,ROUND(AU257*(1+'Calc base'!I258),2),MAX('Calc base'!D$12,ROUND('Calc base'!D$13*AU257,2))))</f>
        <v>0</v>
      </c>
      <c r="L258">
        <f>IF(AV257&lt;=0,0,IF(ROUND(AV257*(1+'Calc base'!J258),2)-MAX('Calc base'!E$12,ROUND('Calc base'!E$13*AV257,2))&lt;1,ROUND(AV257*(1+'Calc base'!J258),2),MAX('Calc base'!E$12,ROUND('Calc base'!E$13*AV257,2))))</f>
        <v>0</v>
      </c>
      <c r="M258">
        <f>IF(AW257&lt;=0,0,IF(ROUND(AW257*(1+'Calc base'!K258),2)-MAX('Calc base'!F$12,ROUND('Calc base'!F$13*AW257,2))&lt;1,ROUND(AW257*(1+'Calc base'!K258),2),MAX('Calc base'!F$12,ROUND('Calc base'!F$13*AW257,2))))</f>
        <v>0</v>
      </c>
      <c r="N258">
        <f>IF(AX257&lt;=0,0,IF(ROUND(AX257*(1+'Calc base'!L258),2)-MAX('Calc base'!G$12,ROUND('Calc base'!G$13*AX257,2))&lt;1,ROUND(AX257*(1+'Calc base'!L258),2),MAX('Calc base'!G$12,ROUND('Calc base'!G$13*AX257,2))))</f>
        <v>0</v>
      </c>
      <c r="O258">
        <f>IF(AY257&lt;=0,0,IF(ROUND(AY257*(1+'Calc base'!M258),2)-MAX('Calc base'!H$12,ROUND('Calc base'!H$13*AY257,2))&lt;1,ROUND(AY257*(1+'Calc base'!M258),2),MAX('Calc base'!H$12,ROUND('Calc base'!H$13*AY257,2))))</f>
        <v>0</v>
      </c>
      <c r="P258">
        <f>IF(AZ257&lt;=0,0,IF(ROUND(AZ257*(1+'Calc base'!N258),2)-MAX('Calc base'!I$12,ROUND('Calc base'!I$13*AZ257,2))&lt;1,ROUND(AZ257*(1+'Calc base'!N258),2),MAX('Calc base'!I$12,ROUND('Calc base'!I$13*AZ257,2))))</f>
        <v>0</v>
      </c>
      <c r="Q258">
        <f>IF(BA257&lt;=0,0,IF(ROUND(BA257*(1+'Calc base'!O258),2)-MAX('Calc base'!J$12,ROUND('Calc base'!J$13*BA257,2))&lt;1,ROUND(BA257*(1+'Calc base'!O258),2),MAX('Calc base'!J$12,ROUND('Calc base'!J$13*BA257,2))))</f>
        <v>0</v>
      </c>
      <c r="R258">
        <f>IF(BB257&lt;=0,0,IF(ROUND(BB257*(1+'Calc base'!P258),2)-MAX('Calc base'!K$12,ROUND('Calc base'!K$13*BB257,2))&lt;1,ROUND(BB257*(1+'Calc base'!P258),2),MAX('Calc base'!K$12,ROUND('Calc base'!K$13*BB257,2))))</f>
        <v>0</v>
      </c>
      <c r="S258">
        <f>IF(BC257&lt;=0,0,IF(ROUND(BC257*(1+'Calc base'!Q258),2)-MAX('Calc base'!L$12,ROUND('Calc base'!L$13*BC257,2))&lt;1,ROUND(BC257*(1+'Calc base'!Q258),2),MAX('Calc base'!L$12,ROUND('Calc base'!L$13*BC257,2))))</f>
        <v>0</v>
      </c>
      <c r="T258">
        <f>IF(BD257&lt;=0,0,IF(ROUND(BD257*(1+'Calc base'!R258),2)-MAX('Calc base'!M$12,ROUND('Calc base'!M$13*BD257,2))&lt;1,ROUND(BD257*(1+'Calc base'!R258),2),MAX('Calc base'!M$12,ROUND('Calc base'!M$13*BD257,2))))</f>
        <v>0</v>
      </c>
      <c r="U258">
        <f>IF(BE257&lt;=0,0,IF(ROUND(BE257*(1+'Calc base'!S258),2)-MAX('Calc base'!N$12,ROUND('Calc base'!N$13*BE257,2))&lt;1,ROUND(BE257*(1+'Calc base'!S258),2),MAX('Calc base'!N$12,ROUND('Calc base'!N$13*BE257,2))))</f>
        <v>0</v>
      </c>
      <c r="AT258">
        <f>MAX(0,ROUND(AT257*(1+'Calc base'!H258),2)-J258)</f>
        <v>0</v>
      </c>
      <c r="AU258">
        <f>MAX(0,ROUND(AU257*(1+'Calc base'!I258),2)-K258)</f>
        <v>0</v>
      </c>
      <c r="AV258">
        <f>MAX(0,ROUND(AV257*(1+'Calc base'!J258),2)-L258)</f>
        <v>0</v>
      </c>
      <c r="AW258">
        <f>MAX(0,ROUND(AW257*(1+'Calc base'!K258),2)-M258)</f>
        <v>0</v>
      </c>
      <c r="AX258">
        <f>MAX(0,ROUND(AX257*(1+'Calc base'!L258),2)-N258)</f>
        <v>0</v>
      </c>
      <c r="AY258">
        <f>MAX(0,ROUND(AY257*(1+'Calc base'!M258),2)-O258)</f>
        <v>0</v>
      </c>
      <c r="AZ258">
        <f>MAX(0,ROUND(AZ257*(1+'Calc base'!N258),2)-P258)</f>
        <v>0</v>
      </c>
      <c r="BA258">
        <f>MAX(0,ROUND(BA257*(1+'Calc base'!O258),2)-Q258)</f>
        <v>0</v>
      </c>
      <c r="BB258">
        <f>MAX(0,ROUND(BB257*(1+'Calc base'!P258),2)-R258)</f>
        <v>0</v>
      </c>
      <c r="BC258">
        <f>MAX(0,ROUND(BC257*(1+'Calc base'!Q258),2)-S258)</f>
        <v>0</v>
      </c>
      <c r="BD258">
        <f>MAX(0,ROUND(BD257*(1+'Calc base'!R258),2)-T258)</f>
        <v>0</v>
      </c>
      <c r="BE258">
        <f>MAX(0,ROUND(BE257*(1+'Calc base'!S258),2)-U258)</f>
        <v>0</v>
      </c>
    </row>
    <row r="259">
      <c r="A259" t="n">
        <v>229</v>
      </c>
      <c r="B259">
        <f>SUMPRODUCT(ROUND($AT258:$BE258*(1+'Calc base'!$H259:$S259),2))</f>
        <v>0</v>
      </c>
      <c r="C259">
        <f>SUM(J259:U259)</f>
        <v>0</v>
      </c>
      <c r="G259">
        <f>SUM(AT259:BE259)</f>
        <v>0</v>
      </c>
      <c r="H259">
        <f>B259-G258</f>
        <v>0</v>
      </c>
      <c r="I259">
        <f>B259-G259</f>
        <v>0</v>
      </c>
      <c r="J259">
        <f>IF(AT258&lt;=0,0,IF(ROUND(AT258*(1+'Calc base'!H259),2)-MAX('Calc base'!C$12,ROUND('Calc base'!C$13*AT258,2))&lt;1,ROUND(AT258*(1+'Calc base'!H259),2),MAX('Calc base'!C$12,ROUND('Calc base'!C$13*AT258,2))))</f>
        <v>0</v>
      </c>
      <c r="K259">
        <f>IF(AU258&lt;=0,0,IF(ROUND(AU258*(1+'Calc base'!I259),2)-MAX('Calc base'!D$12,ROUND('Calc base'!D$13*AU258,2))&lt;1,ROUND(AU258*(1+'Calc base'!I259),2),MAX('Calc base'!D$12,ROUND('Calc base'!D$13*AU258,2))))</f>
        <v>0</v>
      </c>
      <c r="L259">
        <f>IF(AV258&lt;=0,0,IF(ROUND(AV258*(1+'Calc base'!J259),2)-MAX('Calc base'!E$12,ROUND('Calc base'!E$13*AV258,2))&lt;1,ROUND(AV258*(1+'Calc base'!J259),2),MAX('Calc base'!E$12,ROUND('Calc base'!E$13*AV258,2))))</f>
        <v>0</v>
      </c>
      <c r="M259">
        <f>IF(AW258&lt;=0,0,IF(ROUND(AW258*(1+'Calc base'!K259),2)-MAX('Calc base'!F$12,ROUND('Calc base'!F$13*AW258,2))&lt;1,ROUND(AW258*(1+'Calc base'!K259),2),MAX('Calc base'!F$12,ROUND('Calc base'!F$13*AW258,2))))</f>
        <v>0</v>
      </c>
      <c r="N259">
        <f>IF(AX258&lt;=0,0,IF(ROUND(AX258*(1+'Calc base'!L259),2)-MAX('Calc base'!G$12,ROUND('Calc base'!G$13*AX258,2))&lt;1,ROUND(AX258*(1+'Calc base'!L259),2),MAX('Calc base'!G$12,ROUND('Calc base'!G$13*AX258,2))))</f>
        <v>0</v>
      </c>
      <c r="O259">
        <f>IF(AY258&lt;=0,0,IF(ROUND(AY258*(1+'Calc base'!M259),2)-MAX('Calc base'!H$12,ROUND('Calc base'!H$13*AY258,2))&lt;1,ROUND(AY258*(1+'Calc base'!M259),2),MAX('Calc base'!H$12,ROUND('Calc base'!H$13*AY258,2))))</f>
        <v>0</v>
      </c>
      <c r="P259">
        <f>IF(AZ258&lt;=0,0,IF(ROUND(AZ258*(1+'Calc base'!N259),2)-MAX('Calc base'!I$12,ROUND('Calc base'!I$13*AZ258,2))&lt;1,ROUND(AZ258*(1+'Calc base'!N259),2),MAX('Calc base'!I$12,ROUND('Calc base'!I$13*AZ258,2))))</f>
        <v>0</v>
      </c>
      <c r="Q259">
        <f>IF(BA258&lt;=0,0,IF(ROUND(BA258*(1+'Calc base'!O259),2)-MAX('Calc base'!J$12,ROUND('Calc base'!J$13*BA258,2))&lt;1,ROUND(BA258*(1+'Calc base'!O259),2),MAX('Calc base'!J$12,ROUND('Calc base'!J$13*BA258,2))))</f>
        <v>0</v>
      </c>
      <c r="R259">
        <f>IF(BB258&lt;=0,0,IF(ROUND(BB258*(1+'Calc base'!P259),2)-MAX('Calc base'!K$12,ROUND('Calc base'!K$13*BB258,2))&lt;1,ROUND(BB258*(1+'Calc base'!P259),2),MAX('Calc base'!K$12,ROUND('Calc base'!K$13*BB258,2))))</f>
        <v>0</v>
      </c>
      <c r="S259">
        <f>IF(BC258&lt;=0,0,IF(ROUND(BC258*(1+'Calc base'!Q259),2)-MAX('Calc base'!L$12,ROUND('Calc base'!L$13*BC258,2))&lt;1,ROUND(BC258*(1+'Calc base'!Q259),2),MAX('Calc base'!L$12,ROUND('Calc base'!L$13*BC258,2))))</f>
        <v>0</v>
      </c>
      <c r="T259">
        <f>IF(BD258&lt;=0,0,IF(ROUND(BD258*(1+'Calc base'!R259),2)-MAX('Calc base'!M$12,ROUND('Calc base'!M$13*BD258,2))&lt;1,ROUND(BD258*(1+'Calc base'!R259),2),MAX('Calc base'!M$12,ROUND('Calc base'!M$13*BD258,2))))</f>
        <v>0</v>
      </c>
      <c r="U259">
        <f>IF(BE258&lt;=0,0,IF(ROUND(BE258*(1+'Calc base'!S259),2)-MAX('Calc base'!N$12,ROUND('Calc base'!N$13*BE258,2))&lt;1,ROUND(BE258*(1+'Calc base'!S259),2),MAX('Calc base'!N$12,ROUND('Calc base'!N$13*BE258,2))))</f>
        <v>0</v>
      </c>
      <c r="AT259">
        <f>MAX(0,ROUND(AT258*(1+'Calc base'!H259),2)-J259)</f>
        <v>0</v>
      </c>
      <c r="AU259">
        <f>MAX(0,ROUND(AU258*(1+'Calc base'!I259),2)-K259)</f>
        <v>0</v>
      </c>
      <c r="AV259">
        <f>MAX(0,ROUND(AV258*(1+'Calc base'!J259),2)-L259)</f>
        <v>0</v>
      </c>
      <c r="AW259">
        <f>MAX(0,ROUND(AW258*(1+'Calc base'!K259),2)-M259)</f>
        <v>0</v>
      </c>
      <c r="AX259">
        <f>MAX(0,ROUND(AX258*(1+'Calc base'!L259),2)-N259)</f>
        <v>0</v>
      </c>
      <c r="AY259">
        <f>MAX(0,ROUND(AY258*(1+'Calc base'!M259),2)-O259)</f>
        <v>0</v>
      </c>
      <c r="AZ259">
        <f>MAX(0,ROUND(AZ258*(1+'Calc base'!N259),2)-P259)</f>
        <v>0</v>
      </c>
      <c r="BA259">
        <f>MAX(0,ROUND(BA258*(1+'Calc base'!O259),2)-Q259)</f>
        <v>0</v>
      </c>
      <c r="BB259">
        <f>MAX(0,ROUND(BB258*(1+'Calc base'!P259),2)-R259)</f>
        <v>0</v>
      </c>
      <c r="BC259">
        <f>MAX(0,ROUND(BC258*(1+'Calc base'!Q259),2)-S259)</f>
        <v>0</v>
      </c>
      <c r="BD259">
        <f>MAX(0,ROUND(BD258*(1+'Calc base'!R259),2)-T259)</f>
        <v>0</v>
      </c>
      <c r="BE259">
        <f>MAX(0,ROUND(BE258*(1+'Calc base'!S259),2)-U259)</f>
        <v>0</v>
      </c>
    </row>
    <row r="260">
      <c r="A260" t="n">
        <v>230</v>
      </c>
      <c r="B260">
        <f>SUMPRODUCT(ROUND($AT259:$BE259*(1+'Calc base'!$H260:$S260),2))</f>
        <v>0</v>
      </c>
      <c r="C260">
        <f>SUM(J260:U260)</f>
        <v>0</v>
      </c>
      <c r="G260">
        <f>SUM(AT260:BE260)</f>
        <v>0</v>
      </c>
      <c r="H260">
        <f>B260-G259</f>
        <v>0</v>
      </c>
      <c r="I260">
        <f>B260-G260</f>
        <v>0</v>
      </c>
      <c r="J260">
        <f>IF(AT259&lt;=0,0,IF(ROUND(AT259*(1+'Calc base'!H260),2)-MAX('Calc base'!C$12,ROUND('Calc base'!C$13*AT259,2))&lt;1,ROUND(AT259*(1+'Calc base'!H260),2),MAX('Calc base'!C$12,ROUND('Calc base'!C$13*AT259,2))))</f>
        <v>0</v>
      </c>
      <c r="K260">
        <f>IF(AU259&lt;=0,0,IF(ROUND(AU259*(1+'Calc base'!I260),2)-MAX('Calc base'!D$12,ROUND('Calc base'!D$13*AU259,2))&lt;1,ROUND(AU259*(1+'Calc base'!I260),2),MAX('Calc base'!D$12,ROUND('Calc base'!D$13*AU259,2))))</f>
        <v>0</v>
      </c>
      <c r="L260">
        <f>IF(AV259&lt;=0,0,IF(ROUND(AV259*(1+'Calc base'!J260),2)-MAX('Calc base'!E$12,ROUND('Calc base'!E$13*AV259,2))&lt;1,ROUND(AV259*(1+'Calc base'!J260),2),MAX('Calc base'!E$12,ROUND('Calc base'!E$13*AV259,2))))</f>
        <v>0</v>
      </c>
      <c r="M260">
        <f>IF(AW259&lt;=0,0,IF(ROUND(AW259*(1+'Calc base'!K260),2)-MAX('Calc base'!F$12,ROUND('Calc base'!F$13*AW259,2))&lt;1,ROUND(AW259*(1+'Calc base'!K260),2),MAX('Calc base'!F$12,ROUND('Calc base'!F$13*AW259,2))))</f>
        <v>0</v>
      </c>
      <c r="N260">
        <f>IF(AX259&lt;=0,0,IF(ROUND(AX259*(1+'Calc base'!L260),2)-MAX('Calc base'!G$12,ROUND('Calc base'!G$13*AX259,2))&lt;1,ROUND(AX259*(1+'Calc base'!L260),2),MAX('Calc base'!G$12,ROUND('Calc base'!G$13*AX259,2))))</f>
        <v>0</v>
      </c>
      <c r="O260">
        <f>IF(AY259&lt;=0,0,IF(ROUND(AY259*(1+'Calc base'!M260),2)-MAX('Calc base'!H$12,ROUND('Calc base'!H$13*AY259,2))&lt;1,ROUND(AY259*(1+'Calc base'!M260),2),MAX('Calc base'!H$12,ROUND('Calc base'!H$13*AY259,2))))</f>
        <v>0</v>
      </c>
      <c r="P260">
        <f>IF(AZ259&lt;=0,0,IF(ROUND(AZ259*(1+'Calc base'!N260),2)-MAX('Calc base'!I$12,ROUND('Calc base'!I$13*AZ259,2))&lt;1,ROUND(AZ259*(1+'Calc base'!N260),2),MAX('Calc base'!I$12,ROUND('Calc base'!I$13*AZ259,2))))</f>
        <v>0</v>
      </c>
      <c r="Q260">
        <f>IF(BA259&lt;=0,0,IF(ROUND(BA259*(1+'Calc base'!O260),2)-MAX('Calc base'!J$12,ROUND('Calc base'!J$13*BA259,2))&lt;1,ROUND(BA259*(1+'Calc base'!O260),2),MAX('Calc base'!J$12,ROUND('Calc base'!J$13*BA259,2))))</f>
        <v>0</v>
      </c>
      <c r="R260">
        <f>IF(BB259&lt;=0,0,IF(ROUND(BB259*(1+'Calc base'!P260),2)-MAX('Calc base'!K$12,ROUND('Calc base'!K$13*BB259,2))&lt;1,ROUND(BB259*(1+'Calc base'!P260),2),MAX('Calc base'!K$12,ROUND('Calc base'!K$13*BB259,2))))</f>
        <v>0</v>
      </c>
      <c r="S260">
        <f>IF(BC259&lt;=0,0,IF(ROUND(BC259*(1+'Calc base'!Q260),2)-MAX('Calc base'!L$12,ROUND('Calc base'!L$13*BC259,2))&lt;1,ROUND(BC259*(1+'Calc base'!Q260),2),MAX('Calc base'!L$12,ROUND('Calc base'!L$13*BC259,2))))</f>
        <v>0</v>
      </c>
      <c r="T260">
        <f>IF(BD259&lt;=0,0,IF(ROUND(BD259*(1+'Calc base'!R260),2)-MAX('Calc base'!M$12,ROUND('Calc base'!M$13*BD259,2))&lt;1,ROUND(BD259*(1+'Calc base'!R260),2),MAX('Calc base'!M$12,ROUND('Calc base'!M$13*BD259,2))))</f>
        <v>0</v>
      </c>
      <c r="U260">
        <f>IF(BE259&lt;=0,0,IF(ROUND(BE259*(1+'Calc base'!S260),2)-MAX('Calc base'!N$12,ROUND('Calc base'!N$13*BE259,2))&lt;1,ROUND(BE259*(1+'Calc base'!S260),2),MAX('Calc base'!N$12,ROUND('Calc base'!N$13*BE259,2))))</f>
        <v>0</v>
      </c>
      <c r="AT260">
        <f>MAX(0,ROUND(AT259*(1+'Calc base'!H260),2)-J260)</f>
        <v>0</v>
      </c>
      <c r="AU260">
        <f>MAX(0,ROUND(AU259*(1+'Calc base'!I260),2)-K260)</f>
        <v>0</v>
      </c>
      <c r="AV260">
        <f>MAX(0,ROUND(AV259*(1+'Calc base'!J260),2)-L260)</f>
        <v>0</v>
      </c>
      <c r="AW260">
        <f>MAX(0,ROUND(AW259*(1+'Calc base'!K260),2)-M260)</f>
        <v>0</v>
      </c>
      <c r="AX260">
        <f>MAX(0,ROUND(AX259*(1+'Calc base'!L260),2)-N260)</f>
        <v>0</v>
      </c>
      <c r="AY260">
        <f>MAX(0,ROUND(AY259*(1+'Calc base'!M260),2)-O260)</f>
        <v>0</v>
      </c>
      <c r="AZ260">
        <f>MAX(0,ROUND(AZ259*(1+'Calc base'!N260),2)-P260)</f>
        <v>0</v>
      </c>
      <c r="BA260">
        <f>MAX(0,ROUND(BA259*(1+'Calc base'!O260),2)-Q260)</f>
        <v>0</v>
      </c>
      <c r="BB260">
        <f>MAX(0,ROUND(BB259*(1+'Calc base'!P260),2)-R260)</f>
        <v>0</v>
      </c>
      <c r="BC260">
        <f>MAX(0,ROUND(BC259*(1+'Calc base'!Q260),2)-S260)</f>
        <v>0</v>
      </c>
      <c r="BD260">
        <f>MAX(0,ROUND(BD259*(1+'Calc base'!R260),2)-T260)</f>
        <v>0</v>
      </c>
      <c r="BE260">
        <f>MAX(0,ROUND(BE259*(1+'Calc base'!S260),2)-U260)</f>
        <v>0</v>
      </c>
    </row>
    <row r="261">
      <c r="A261" t="n">
        <v>231</v>
      </c>
      <c r="B261">
        <f>SUMPRODUCT(ROUND($AT260:$BE260*(1+'Calc base'!$H261:$S261),2))</f>
        <v>0</v>
      </c>
      <c r="C261">
        <f>SUM(J261:U261)</f>
        <v>0</v>
      </c>
      <c r="G261">
        <f>SUM(AT261:BE261)</f>
        <v>0</v>
      </c>
      <c r="H261">
        <f>B261-G260</f>
        <v>0</v>
      </c>
      <c r="I261">
        <f>B261-G261</f>
        <v>0</v>
      </c>
      <c r="J261">
        <f>IF(AT260&lt;=0,0,IF(ROUND(AT260*(1+'Calc base'!H261),2)-MAX('Calc base'!C$12,ROUND('Calc base'!C$13*AT260,2))&lt;1,ROUND(AT260*(1+'Calc base'!H261),2),MAX('Calc base'!C$12,ROUND('Calc base'!C$13*AT260,2))))</f>
        <v>0</v>
      </c>
      <c r="K261">
        <f>IF(AU260&lt;=0,0,IF(ROUND(AU260*(1+'Calc base'!I261),2)-MAX('Calc base'!D$12,ROUND('Calc base'!D$13*AU260,2))&lt;1,ROUND(AU260*(1+'Calc base'!I261),2),MAX('Calc base'!D$12,ROUND('Calc base'!D$13*AU260,2))))</f>
        <v>0</v>
      </c>
      <c r="L261">
        <f>IF(AV260&lt;=0,0,IF(ROUND(AV260*(1+'Calc base'!J261),2)-MAX('Calc base'!E$12,ROUND('Calc base'!E$13*AV260,2))&lt;1,ROUND(AV260*(1+'Calc base'!J261),2),MAX('Calc base'!E$12,ROUND('Calc base'!E$13*AV260,2))))</f>
        <v>0</v>
      </c>
      <c r="M261">
        <f>IF(AW260&lt;=0,0,IF(ROUND(AW260*(1+'Calc base'!K261),2)-MAX('Calc base'!F$12,ROUND('Calc base'!F$13*AW260,2))&lt;1,ROUND(AW260*(1+'Calc base'!K261),2),MAX('Calc base'!F$12,ROUND('Calc base'!F$13*AW260,2))))</f>
        <v>0</v>
      </c>
      <c r="N261">
        <f>IF(AX260&lt;=0,0,IF(ROUND(AX260*(1+'Calc base'!L261),2)-MAX('Calc base'!G$12,ROUND('Calc base'!G$13*AX260,2))&lt;1,ROUND(AX260*(1+'Calc base'!L261),2),MAX('Calc base'!G$12,ROUND('Calc base'!G$13*AX260,2))))</f>
        <v>0</v>
      </c>
      <c r="O261">
        <f>IF(AY260&lt;=0,0,IF(ROUND(AY260*(1+'Calc base'!M261),2)-MAX('Calc base'!H$12,ROUND('Calc base'!H$13*AY260,2))&lt;1,ROUND(AY260*(1+'Calc base'!M261),2),MAX('Calc base'!H$12,ROUND('Calc base'!H$13*AY260,2))))</f>
        <v>0</v>
      </c>
      <c r="P261">
        <f>IF(AZ260&lt;=0,0,IF(ROUND(AZ260*(1+'Calc base'!N261),2)-MAX('Calc base'!I$12,ROUND('Calc base'!I$13*AZ260,2))&lt;1,ROUND(AZ260*(1+'Calc base'!N261),2),MAX('Calc base'!I$12,ROUND('Calc base'!I$13*AZ260,2))))</f>
        <v>0</v>
      </c>
      <c r="Q261">
        <f>IF(BA260&lt;=0,0,IF(ROUND(BA260*(1+'Calc base'!O261),2)-MAX('Calc base'!J$12,ROUND('Calc base'!J$13*BA260,2))&lt;1,ROUND(BA260*(1+'Calc base'!O261),2),MAX('Calc base'!J$12,ROUND('Calc base'!J$13*BA260,2))))</f>
        <v>0</v>
      </c>
      <c r="R261">
        <f>IF(BB260&lt;=0,0,IF(ROUND(BB260*(1+'Calc base'!P261),2)-MAX('Calc base'!K$12,ROUND('Calc base'!K$13*BB260,2))&lt;1,ROUND(BB260*(1+'Calc base'!P261),2),MAX('Calc base'!K$12,ROUND('Calc base'!K$13*BB260,2))))</f>
        <v>0</v>
      </c>
      <c r="S261">
        <f>IF(BC260&lt;=0,0,IF(ROUND(BC260*(1+'Calc base'!Q261),2)-MAX('Calc base'!L$12,ROUND('Calc base'!L$13*BC260,2))&lt;1,ROUND(BC260*(1+'Calc base'!Q261),2),MAX('Calc base'!L$12,ROUND('Calc base'!L$13*BC260,2))))</f>
        <v>0</v>
      </c>
      <c r="T261">
        <f>IF(BD260&lt;=0,0,IF(ROUND(BD260*(1+'Calc base'!R261),2)-MAX('Calc base'!M$12,ROUND('Calc base'!M$13*BD260,2))&lt;1,ROUND(BD260*(1+'Calc base'!R261),2),MAX('Calc base'!M$12,ROUND('Calc base'!M$13*BD260,2))))</f>
        <v>0</v>
      </c>
      <c r="U261">
        <f>IF(BE260&lt;=0,0,IF(ROUND(BE260*(1+'Calc base'!S261),2)-MAX('Calc base'!N$12,ROUND('Calc base'!N$13*BE260,2))&lt;1,ROUND(BE260*(1+'Calc base'!S261),2),MAX('Calc base'!N$12,ROUND('Calc base'!N$13*BE260,2))))</f>
        <v>0</v>
      </c>
      <c r="AT261">
        <f>MAX(0,ROUND(AT260*(1+'Calc base'!H261),2)-J261)</f>
        <v>0</v>
      </c>
      <c r="AU261">
        <f>MAX(0,ROUND(AU260*(1+'Calc base'!I261),2)-K261)</f>
        <v>0</v>
      </c>
      <c r="AV261">
        <f>MAX(0,ROUND(AV260*(1+'Calc base'!J261),2)-L261)</f>
        <v>0</v>
      </c>
      <c r="AW261">
        <f>MAX(0,ROUND(AW260*(1+'Calc base'!K261),2)-M261)</f>
        <v>0</v>
      </c>
      <c r="AX261">
        <f>MAX(0,ROUND(AX260*(1+'Calc base'!L261),2)-N261)</f>
        <v>0</v>
      </c>
      <c r="AY261">
        <f>MAX(0,ROUND(AY260*(1+'Calc base'!M261),2)-O261)</f>
        <v>0</v>
      </c>
      <c r="AZ261">
        <f>MAX(0,ROUND(AZ260*(1+'Calc base'!N261),2)-P261)</f>
        <v>0</v>
      </c>
      <c r="BA261">
        <f>MAX(0,ROUND(BA260*(1+'Calc base'!O261),2)-Q261)</f>
        <v>0</v>
      </c>
      <c r="BB261">
        <f>MAX(0,ROUND(BB260*(1+'Calc base'!P261),2)-R261)</f>
        <v>0</v>
      </c>
      <c r="BC261">
        <f>MAX(0,ROUND(BC260*(1+'Calc base'!Q261),2)-S261)</f>
        <v>0</v>
      </c>
      <c r="BD261">
        <f>MAX(0,ROUND(BD260*(1+'Calc base'!R261),2)-T261)</f>
        <v>0</v>
      </c>
      <c r="BE261">
        <f>MAX(0,ROUND(BE260*(1+'Calc base'!S261),2)-U261)</f>
        <v>0</v>
      </c>
    </row>
    <row r="262">
      <c r="A262" t="n">
        <v>232</v>
      </c>
      <c r="B262">
        <f>SUMPRODUCT(ROUND($AT261:$BE261*(1+'Calc base'!$H262:$S262),2))</f>
        <v>0</v>
      </c>
      <c r="C262">
        <f>SUM(J262:U262)</f>
        <v>0</v>
      </c>
      <c r="G262">
        <f>SUM(AT262:BE262)</f>
        <v>0</v>
      </c>
      <c r="H262">
        <f>B262-G261</f>
        <v>0</v>
      </c>
      <c r="I262">
        <f>B262-G262</f>
        <v>0</v>
      </c>
      <c r="J262">
        <f>IF(AT261&lt;=0,0,IF(ROUND(AT261*(1+'Calc base'!H262),2)-MAX('Calc base'!C$12,ROUND('Calc base'!C$13*AT261,2))&lt;1,ROUND(AT261*(1+'Calc base'!H262),2),MAX('Calc base'!C$12,ROUND('Calc base'!C$13*AT261,2))))</f>
        <v>0</v>
      </c>
      <c r="K262">
        <f>IF(AU261&lt;=0,0,IF(ROUND(AU261*(1+'Calc base'!I262),2)-MAX('Calc base'!D$12,ROUND('Calc base'!D$13*AU261,2))&lt;1,ROUND(AU261*(1+'Calc base'!I262),2),MAX('Calc base'!D$12,ROUND('Calc base'!D$13*AU261,2))))</f>
        <v>0</v>
      </c>
      <c r="L262">
        <f>IF(AV261&lt;=0,0,IF(ROUND(AV261*(1+'Calc base'!J262),2)-MAX('Calc base'!E$12,ROUND('Calc base'!E$13*AV261,2))&lt;1,ROUND(AV261*(1+'Calc base'!J262),2),MAX('Calc base'!E$12,ROUND('Calc base'!E$13*AV261,2))))</f>
        <v>0</v>
      </c>
      <c r="M262">
        <f>IF(AW261&lt;=0,0,IF(ROUND(AW261*(1+'Calc base'!K262),2)-MAX('Calc base'!F$12,ROUND('Calc base'!F$13*AW261,2))&lt;1,ROUND(AW261*(1+'Calc base'!K262),2),MAX('Calc base'!F$12,ROUND('Calc base'!F$13*AW261,2))))</f>
        <v>0</v>
      </c>
      <c r="N262">
        <f>IF(AX261&lt;=0,0,IF(ROUND(AX261*(1+'Calc base'!L262),2)-MAX('Calc base'!G$12,ROUND('Calc base'!G$13*AX261,2))&lt;1,ROUND(AX261*(1+'Calc base'!L262),2),MAX('Calc base'!G$12,ROUND('Calc base'!G$13*AX261,2))))</f>
        <v>0</v>
      </c>
      <c r="O262">
        <f>IF(AY261&lt;=0,0,IF(ROUND(AY261*(1+'Calc base'!M262),2)-MAX('Calc base'!H$12,ROUND('Calc base'!H$13*AY261,2))&lt;1,ROUND(AY261*(1+'Calc base'!M262),2),MAX('Calc base'!H$12,ROUND('Calc base'!H$13*AY261,2))))</f>
        <v>0</v>
      </c>
      <c r="P262">
        <f>IF(AZ261&lt;=0,0,IF(ROUND(AZ261*(1+'Calc base'!N262),2)-MAX('Calc base'!I$12,ROUND('Calc base'!I$13*AZ261,2))&lt;1,ROUND(AZ261*(1+'Calc base'!N262),2),MAX('Calc base'!I$12,ROUND('Calc base'!I$13*AZ261,2))))</f>
        <v>0</v>
      </c>
      <c r="Q262">
        <f>IF(BA261&lt;=0,0,IF(ROUND(BA261*(1+'Calc base'!O262),2)-MAX('Calc base'!J$12,ROUND('Calc base'!J$13*BA261,2))&lt;1,ROUND(BA261*(1+'Calc base'!O262),2),MAX('Calc base'!J$12,ROUND('Calc base'!J$13*BA261,2))))</f>
        <v>0</v>
      </c>
      <c r="R262">
        <f>IF(BB261&lt;=0,0,IF(ROUND(BB261*(1+'Calc base'!P262),2)-MAX('Calc base'!K$12,ROUND('Calc base'!K$13*BB261,2))&lt;1,ROUND(BB261*(1+'Calc base'!P262),2),MAX('Calc base'!K$12,ROUND('Calc base'!K$13*BB261,2))))</f>
        <v>0</v>
      </c>
      <c r="S262">
        <f>IF(BC261&lt;=0,0,IF(ROUND(BC261*(1+'Calc base'!Q262),2)-MAX('Calc base'!L$12,ROUND('Calc base'!L$13*BC261,2))&lt;1,ROUND(BC261*(1+'Calc base'!Q262),2),MAX('Calc base'!L$12,ROUND('Calc base'!L$13*BC261,2))))</f>
        <v>0</v>
      </c>
      <c r="T262">
        <f>IF(BD261&lt;=0,0,IF(ROUND(BD261*(1+'Calc base'!R262),2)-MAX('Calc base'!M$12,ROUND('Calc base'!M$13*BD261,2))&lt;1,ROUND(BD261*(1+'Calc base'!R262),2),MAX('Calc base'!M$12,ROUND('Calc base'!M$13*BD261,2))))</f>
        <v>0</v>
      </c>
      <c r="U262">
        <f>IF(BE261&lt;=0,0,IF(ROUND(BE261*(1+'Calc base'!S262),2)-MAX('Calc base'!N$12,ROUND('Calc base'!N$13*BE261,2))&lt;1,ROUND(BE261*(1+'Calc base'!S262),2),MAX('Calc base'!N$12,ROUND('Calc base'!N$13*BE261,2))))</f>
        <v>0</v>
      </c>
      <c r="AT262">
        <f>MAX(0,ROUND(AT261*(1+'Calc base'!H262),2)-J262)</f>
        <v>0</v>
      </c>
      <c r="AU262">
        <f>MAX(0,ROUND(AU261*(1+'Calc base'!I262),2)-K262)</f>
        <v>0</v>
      </c>
      <c r="AV262">
        <f>MAX(0,ROUND(AV261*(1+'Calc base'!J262),2)-L262)</f>
        <v>0</v>
      </c>
      <c r="AW262">
        <f>MAX(0,ROUND(AW261*(1+'Calc base'!K262),2)-M262)</f>
        <v>0</v>
      </c>
      <c r="AX262">
        <f>MAX(0,ROUND(AX261*(1+'Calc base'!L262),2)-N262)</f>
        <v>0</v>
      </c>
      <c r="AY262">
        <f>MAX(0,ROUND(AY261*(1+'Calc base'!M262),2)-O262)</f>
        <v>0</v>
      </c>
      <c r="AZ262">
        <f>MAX(0,ROUND(AZ261*(1+'Calc base'!N262),2)-P262)</f>
        <v>0</v>
      </c>
      <c r="BA262">
        <f>MAX(0,ROUND(BA261*(1+'Calc base'!O262),2)-Q262)</f>
        <v>0</v>
      </c>
      <c r="BB262">
        <f>MAX(0,ROUND(BB261*(1+'Calc base'!P262),2)-R262)</f>
        <v>0</v>
      </c>
      <c r="BC262">
        <f>MAX(0,ROUND(BC261*(1+'Calc base'!Q262),2)-S262)</f>
        <v>0</v>
      </c>
      <c r="BD262">
        <f>MAX(0,ROUND(BD261*(1+'Calc base'!R262),2)-T262)</f>
        <v>0</v>
      </c>
      <c r="BE262">
        <f>MAX(0,ROUND(BE261*(1+'Calc base'!S262),2)-U262)</f>
        <v>0</v>
      </c>
    </row>
    <row r="263">
      <c r="A263" t="n">
        <v>233</v>
      </c>
      <c r="B263">
        <f>SUMPRODUCT(ROUND($AT262:$BE262*(1+'Calc base'!$H263:$S263),2))</f>
        <v>0</v>
      </c>
      <c r="C263">
        <f>SUM(J263:U263)</f>
        <v>0</v>
      </c>
      <c r="G263">
        <f>SUM(AT263:BE263)</f>
        <v>0</v>
      </c>
      <c r="H263">
        <f>B263-G262</f>
        <v>0</v>
      </c>
      <c r="I263">
        <f>B263-G263</f>
        <v>0</v>
      </c>
      <c r="J263">
        <f>IF(AT262&lt;=0,0,IF(ROUND(AT262*(1+'Calc base'!H263),2)-MAX('Calc base'!C$12,ROUND('Calc base'!C$13*AT262,2))&lt;1,ROUND(AT262*(1+'Calc base'!H263),2),MAX('Calc base'!C$12,ROUND('Calc base'!C$13*AT262,2))))</f>
        <v>0</v>
      </c>
      <c r="K263">
        <f>IF(AU262&lt;=0,0,IF(ROUND(AU262*(1+'Calc base'!I263),2)-MAX('Calc base'!D$12,ROUND('Calc base'!D$13*AU262,2))&lt;1,ROUND(AU262*(1+'Calc base'!I263),2),MAX('Calc base'!D$12,ROUND('Calc base'!D$13*AU262,2))))</f>
        <v>0</v>
      </c>
      <c r="L263">
        <f>IF(AV262&lt;=0,0,IF(ROUND(AV262*(1+'Calc base'!J263),2)-MAX('Calc base'!E$12,ROUND('Calc base'!E$13*AV262,2))&lt;1,ROUND(AV262*(1+'Calc base'!J263),2),MAX('Calc base'!E$12,ROUND('Calc base'!E$13*AV262,2))))</f>
        <v>0</v>
      </c>
      <c r="M263">
        <f>IF(AW262&lt;=0,0,IF(ROUND(AW262*(1+'Calc base'!K263),2)-MAX('Calc base'!F$12,ROUND('Calc base'!F$13*AW262,2))&lt;1,ROUND(AW262*(1+'Calc base'!K263),2),MAX('Calc base'!F$12,ROUND('Calc base'!F$13*AW262,2))))</f>
        <v>0</v>
      </c>
      <c r="N263">
        <f>IF(AX262&lt;=0,0,IF(ROUND(AX262*(1+'Calc base'!L263),2)-MAX('Calc base'!G$12,ROUND('Calc base'!G$13*AX262,2))&lt;1,ROUND(AX262*(1+'Calc base'!L263),2),MAX('Calc base'!G$12,ROUND('Calc base'!G$13*AX262,2))))</f>
        <v>0</v>
      </c>
      <c r="O263">
        <f>IF(AY262&lt;=0,0,IF(ROUND(AY262*(1+'Calc base'!M263),2)-MAX('Calc base'!H$12,ROUND('Calc base'!H$13*AY262,2))&lt;1,ROUND(AY262*(1+'Calc base'!M263),2),MAX('Calc base'!H$12,ROUND('Calc base'!H$13*AY262,2))))</f>
        <v>0</v>
      </c>
      <c r="P263">
        <f>IF(AZ262&lt;=0,0,IF(ROUND(AZ262*(1+'Calc base'!N263),2)-MAX('Calc base'!I$12,ROUND('Calc base'!I$13*AZ262,2))&lt;1,ROUND(AZ262*(1+'Calc base'!N263),2),MAX('Calc base'!I$12,ROUND('Calc base'!I$13*AZ262,2))))</f>
        <v>0</v>
      </c>
      <c r="Q263">
        <f>IF(BA262&lt;=0,0,IF(ROUND(BA262*(1+'Calc base'!O263),2)-MAX('Calc base'!J$12,ROUND('Calc base'!J$13*BA262,2))&lt;1,ROUND(BA262*(1+'Calc base'!O263),2),MAX('Calc base'!J$12,ROUND('Calc base'!J$13*BA262,2))))</f>
        <v>0</v>
      </c>
      <c r="R263">
        <f>IF(BB262&lt;=0,0,IF(ROUND(BB262*(1+'Calc base'!P263),2)-MAX('Calc base'!K$12,ROUND('Calc base'!K$13*BB262,2))&lt;1,ROUND(BB262*(1+'Calc base'!P263),2),MAX('Calc base'!K$12,ROUND('Calc base'!K$13*BB262,2))))</f>
        <v>0</v>
      </c>
      <c r="S263">
        <f>IF(BC262&lt;=0,0,IF(ROUND(BC262*(1+'Calc base'!Q263),2)-MAX('Calc base'!L$12,ROUND('Calc base'!L$13*BC262,2))&lt;1,ROUND(BC262*(1+'Calc base'!Q263),2),MAX('Calc base'!L$12,ROUND('Calc base'!L$13*BC262,2))))</f>
        <v>0</v>
      </c>
      <c r="T263">
        <f>IF(BD262&lt;=0,0,IF(ROUND(BD262*(1+'Calc base'!R263),2)-MAX('Calc base'!M$12,ROUND('Calc base'!M$13*BD262,2))&lt;1,ROUND(BD262*(1+'Calc base'!R263),2),MAX('Calc base'!M$12,ROUND('Calc base'!M$13*BD262,2))))</f>
        <v>0</v>
      </c>
      <c r="U263">
        <f>IF(BE262&lt;=0,0,IF(ROUND(BE262*(1+'Calc base'!S263),2)-MAX('Calc base'!N$12,ROUND('Calc base'!N$13*BE262,2))&lt;1,ROUND(BE262*(1+'Calc base'!S263),2),MAX('Calc base'!N$12,ROUND('Calc base'!N$13*BE262,2))))</f>
        <v>0</v>
      </c>
      <c r="AT263">
        <f>MAX(0,ROUND(AT262*(1+'Calc base'!H263),2)-J263)</f>
        <v>0</v>
      </c>
      <c r="AU263">
        <f>MAX(0,ROUND(AU262*(1+'Calc base'!I263),2)-K263)</f>
        <v>0</v>
      </c>
      <c r="AV263">
        <f>MAX(0,ROUND(AV262*(1+'Calc base'!J263),2)-L263)</f>
        <v>0</v>
      </c>
      <c r="AW263">
        <f>MAX(0,ROUND(AW262*(1+'Calc base'!K263),2)-M263)</f>
        <v>0</v>
      </c>
      <c r="AX263">
        <f>MAX(0,ROUND(AX262*(1+'Calc base'!L263),2)-N263)</f>
        <v>0</v>
      </c>
      <c r="AY263">
        <f>MAX(0,ROUND(AY262*(1+'Calc base'!M263),2)-O263)</f>
        <v>0</v>
      </c>
      <c r="AZ263">
        <f>MAX(0,ROUND(AZ262*(1+'Calc base'!N263),2)-P263)</f>
        <v>0</v>
      </c>
      <c r="BA263">
        <f>MAX(0,ROUND(BA262*(1+'Calc base'!O263),2)-Q263)</f>
        <v>0</v>
      </c>
      <c r="BB263">
        <f>MAX(0,ROUND(BB262*(1+'Calc base'!P263),2)-R263)</f>
        <v>0</v>
      </c>
      <c r="BC263">
        <f>MAX(0,ROUND(BC262*(1+'Calc base'!Q263),2)-S263)</f>
        <v>0</v>
      </c>
      <c r="BD263">
        <f>MAX(0,ROUND(BD262*(1+'Calc base'!R263),2)-T263)</f>
        <v>0</v>
      </c>
      <c r="BE263">
        <f>MAX(0,ROUND(BE262*(1+'Calc base'!S263),2)-U263)</f>
        <v>0</v>
      </c>
    </row>
    <row r="264">
      <c r="A264" t="n">
        <v>234</v>
      </c>
      <c r="B264">
        <f>SUMPRODUCT(ROUND($AT263:$BE263*(1+'Calc base'!$H264:$S264),2))</f>
        <v>0</v>
      </c>
      <c r="C264">
        <f>SUM(J264:U264)</f>
        <v>0</v>
      </c>
      <c r="G264">
        <f>SUM(AT264:BE264)</f>
        <v>0</v>
      </c>
      <c r="H264">
        <f>B264-G263</f>
        <v>0</v>
      </c>
      <c r="I264">
        <f>B264-G264</f>
        <v>0</v>
      </c>
      <c r="J264">
        <f>IF(AT263&lt;=0,0,IF(ROUND(AT263*(1+'Calc base'!H264),2)-MAX('Calc base'!C$12,ROUND('Calc base'!C$13*AT263,2))&lt;1,ROUND(AT263*(1+'Calc base'!H264),2),MAX('Calc base'!C$12,ROUND('Calc base'!C$13*AT263,2))))</f>
        <v>0</v>
      </c>
      <c r="K264">
        <f>IF(AU263&lt;=0,0,IF(ROUND(AU263*(1+'Calc base'!I264),2)-MAX('Calc base'!D$12,ROUND('Calc base'!D$13*AU263,2))&lt;1,ROUND(AU263*(1+'Calc base'!I264),2),MAX('Calc base'!D$12,ROUND('Calc base'!D$13*AU263,2))))</f>
        <v>0</v>
      </c>
      <c r="L264">
        <f>IF(AV263&lt;=0,0,IF(ROUND(AV263*(1+'Calc base'!J264),2)-MAX('Calc base'!E$12,ROUND('Calc base'!E$13*AV263,2))&lt;1,ROUND(AV263*(1+'Calc base'!J264),2),MAX('Calc base'!E$12,ROUND('Calc base'!E$13*AV263,2))))</f>
        <v>0</v>
      </c>
      <c r="M264">
        <f>IF(AW263&lt;=0,0,IF(ROUND(AW263*(1+'Calc base'!K264),2)-MAX('Calc base'!F$12,ROUND('Calc base'!F$13*AW263,2))&lt;1,ROUND(AW263*(1+'Calc base'!K264),2),MAX('Calc base'!F$12,ROUND('Calc base'!F$13*AW263,2))))</f>
        <v>0</v>
      </c>
      <c r="N264">
        <f>IF(AX263&lt;=0,0,IF(ROUND(AX263*(1+'Calc base'!L264),2)-MAX('Calc base'!G$12,ROUND('Calc base'!G$13*AX263,2))&lt;1,ROUND(AX263*(1+'Calc base'!L264),2),MAX('Calc base'!G$12,ROUND('Calc base'!G$13*AX263,2))))</f>
        <v>0</v>
      </c>
      <c r="O264">
        <f>IF(AY263&lt;=0,0,IF(ROUND(AY263*(1+'Calc base'!M264),2)-MAX('Calc base'!H$12,ROUND('Calc base'!H$13*AY263,2))&lt;1,ROUND(AY263*(1+'Calc base'!M264),2),MAX('Calc base'!H$12,ROUND('Calc base'!H$13*AY263,2))))</f>
        <v>0</v>
      </c>
      <c r="P264">
        <f>IF(AZ263&lt;=0,0,IF(ROUND(AZ263*(1+'Calc base'!N264),2)-MAX('Calc base'!I$12,ROUND('Calc base'!I$13*AZ263,2))&lt;1,ROUND(AZ263*(1+'Calc base'!N264),2),MAX('Calc base'!I$12,ROUND('Calc base'!I$13*AZ263,2))))</f>
        <v>0</v>
      </c>
      <c r="Q264">
        <f>IF(BA263&lt;=0,0,IF(ROUND(BA263*(1+'Calc base'!O264),2)-MAX('Calc base'!J$12,ROUND('Calc base'!J$13*BA263,2))&lt;1,ROUND(BA263*(1+'Calc base'!O264),2),MAX('Calc base'!J$12,ROUND('Calc base'!J$13*BA263,2))))</f>
        <v>0</v>
      </c>
      <c r="R264">
        <f>IF(BB263&lt;=0,0,IF(ROUND(BB263*(1+'Calc base'!P264),2)-MAX('Calc base'!K$12,ROUND('Calc base'!K$13*BB263,2))&lt;1,ROUND(BB263*(1+'Calc base'!P264),2),MAX('Calc base'!K$12,ROUND('Calc base'!K$13*BB263,2))))</f>
        <v>0</v>
      </c>
      <c r="S264">
        <f>IF(BC263&lt;=0,0,IF(ROUND(BC263*(1+'Calc base'!Q264),2)-MAX('Calc base'!L$12,ROUND('Calc base'!L$13*BC263,2))&lt;1,ROUND(BC263*(1+'Calc base'!Q264),2),MAX('Calc base'!L$12,ROUND('Calc base'!L$13*BC263,2))))</f>
        <v>0</v>
      </c>
      <c r="T264">
        <f>IF(BD263&lt;=0,0,IF(ROUND(BD263*(1+'Calc base'!R264),2)-MAX('Calc base'!M$12,ROUND('Calc base'!M$13*BD263,2))&lt;1,ROUND(BD263*(1+'Calc base'!R264),2),MAX('Calc base'!M$12,ROUND('Calc base'!M$13*BD263,2))))</f>
        <v>0</v>
      </c>
      <c r="U264">
        <f>IF(BE263&lt;=0,0,IF(ROUND(BE263*(1+'Calc base'!S264),2)-MAX('Calc base'!N$12,ROUND('Calc base'!N$13*BE263,2))&lt;1,ROUND(BE263*(1+'Calc base'!S264),2),MAX('Calc base'!N$12,ROUND('Calc base'!N$13*BE263,2))))</f>
        <v>0</v>
      </c>
      <c r="AT264">
        <f>MAX(0,ROUND(AT263*(1+'Calc base'!H264),2)-J264)</f>
        <v>0</v>
      </c>
      <c r="AU264">
        <f>MAX(0,ROUND(AU263*(1+'Calc base'!I264),2)-K264)</f>
        <v>0</v>
      </c>
      <c r="AV264">
        <f>MAX(0,ROUND(AV263*(1+'Calc base'!J264),2)-L264)</f>
        <v>0</v>
      </c>
      <c r="AW264">
        <f>MAX(0,ROUND(AW263*(1+'Calc base'!K264),2)-M264)</f>
        <v>0</v>
      </c>
      <c r="AX264">
        <f>MAX(0,ROUND(AX263*(1+'Calc base'!L264),2)-N264)</f>
        <v>0</v>
      </c>
      <c r="AY264">
        <f>MAX(0,ROUND(AY263*(1+'Calc base'!M264),2)-O264)</f>
        <v>0</v>
      </c>
      <c r="AZ264">
        <f>MAX(0,ROUND(AZ263*(1+'Calc base'!N264),2)-P264)</f>
        <v>0</v>
      </c>
      <c r="BA264">
        <f>MAX(0,ROUND(BA263*(1+'Calc base'!O264),2)-Q264)</f>
        <v>0</v>
      </c>
      <c r="BB264">
        <f>MAX(0,ROUND(BB263*(1+'Calc base'!P264),2)-R264)</f>
        <v>0</v>
      </c>
      <c r="BC264">
        <f>MAX(0,ROUND(BC263*(1+'Calc base'!Q264),2)-S264)</f>
        <v>0</v>
      </c>
      <c r="BD264">
        <f>MAX(0,ROUND(BD263*(1+'Calc base'!R264),2)-T264)</f>
        <v>0</v>
      </c>
      <c r="BE264">
        <f>MAX(0,ROUND(BE263*(1+'Calc base'!S264),2)-U264)</f>
        <v>0</v>
      </c>
    </row>
    <row r="265">
      <c r="A265" t="n">
        <v>235</v>
      </c>
      <c r="B265">
        <f>SUMPRODUCT(ROUND($AT264:$BE264*(1+'Calc base'!$H265:$S265),2))</f>
        <v>0</v>
      </c>
      <c r="C265">
        <f>SUM(J265:U265)</f>
        <v>0</v>
      </c>
      <c r="G265">
        <f>SUM(AT265:BE265)</f>
        <v>0</v>
      </c>
      <c r="H265">
        <f>B265-G264</f>
        <v>0</v>
      </c>
      <c r="I265">
        <f>B265-G265</f>
        <v>0</v>
      </c>
      <c r="J265">
        <f>IF(AT264&lt;=0,0,IF(ROUND(AT264*(1+'Calc base'!H265),2)-MAX('Calc base'!C$12,ROUND('Calc base'!C$13*AT264,2))&lt;1,ROUND(AT264*(1+'Calc base'!H265),2),MAX('Calc base'!C$12,ROUND('Calc base'!C$13*AT264,2))))</f>
        <v>0</v>
      </c>
      <c r="K265">
        <f>IF(AU264&lt;=0,0,IF(ROUND(AU264*(1+'Calc base'!I265),2)-MAX('Calc base'!D$12,ROUND('Calc base'!D$13*AU264,2))&lt;1,ROUND(AU264*(1+'Calc base'!I265),2),MAX('Calc base'!D$12,ROUND('Calc base'!D$13*AU264,2))))</f>
        <v>0</v>
      </c>
      <c r="L265">
        <f>IF(AV264&lt;=0,0,IF(ROUND(AV264*(1+'Calc base'!J265),2)-MAX('Calc base'!E$12,ROUND('Calc base'!E$13*AV264,2))&lt;1,ROUND(AV264*(1+'Calc base'!J265),2),MAX('Calc base'!E$12,ROUND('Calc base'!E$13*AV264,2))))</f>
        <v>0</v>
      </c>
      <c r="M265">
        <f>IF(AW264&lt;=0,0,IF(ROUND(AW264*(1+'Calc base'!K265),2)-MAX('Calc base'!F$12,ROUND('Calc base'!F$13*AW264,2))&lt;1,ROUND(AW264*(1+'Calc base'!K265),2),MAX('Calc base'!F$12,ROUND('Calc base'!F$13*AW264,2))))</f>
        <v>0</v>
      </c>
      <c r="N265">
        <f>IF(AX264&lt;=0,0,IF(ROUND(AX264*(1+'Calc base'!L265),2)-MAX('Calc base'!G$12,ROUND('Calc base'!G$13*AX264,2))&lt;1,ROUND(AX264*(1+'Calc base'!L265),2),MAX('Calc base'!G$12,ROUND('Calc base'!G$13*AX264,2))))</f>
        <v>0</v>
      </c>
      <c r="O265">
        <f>IF(AY264&lt;=0,0,IF(ROUND(AY264*(1+'Calc base'!M265),2)-MAX('Calc base'!H$12,ROUND('Calc base'!H$13*AY264,2))&lt;1,ROUND(AY264*(1+'Calc base'!M265),2),MAX('Calc base'!H$12,ROUND('Calc base'!H$13*AY264,2))))</f>
        <v>0</v>
      </c>
      <c r="P265">
        <f>IF(AZ264&lt;=0,0,IF(ROUND(AZ264*(1+'Calc base'!N265),2)-MAX('Calc base'!I$12,ROUND('Calc base'!I$13*AZ264,2))&lt;1,ROUND(AZ264*(1+'Calc base'!N265),2),MAX('Calc base'!I$12,ROUND('Calc base'!I$13*AZ264,2))))</f>
        <v>0</v>
      </c>
      <c r="Q265">
        <f>IF(BA264&lt;=0,0,IF(ROUND(BA264*(1+'Calc base'!O265),2)-MAX('Calc base'!J$12,ROUND('Calc base'!J$13*BA264,2))&lt;1,ROUND(BA264*(1+'Calc base'!O265),2),MAX('Calc base'!J$12,ROUND('Calc base'!J$13*BA264,2))))</f>
        <v>0</v>
      </c>
      <c r="R265">
        <f>IF(BB264&lt;=0,0,IF(ROUND(BB264*(1+'Calc base'!P265),2)-MAX('Calc base'!K$12,ROUND('Calc base'!K$13*BB264,2))&lt;1,ROUND(BB264*(1+'Calc base'!P265),2),MAX('Calc base'!K$12,ROUND('Calc base'!K$13*BB264,2))))</f>
        <v>0</v>
      </c>
      <c r="S265">
        <f>IF(BC264&lt;=0,0,IF(ROUND(BC264*(1+'Calc base'!Q265),2)-MAX('Calc base'!L$12,ROUND('Calc base'!L$13*BC264,2))&lt;1,ROUND(BC264*(1+'Calc base'!Q265),2),MAX('Calc base'!L$12,ROUND('Calc base'!L$13*BC264,2))))</f>
        <v>0</v>
      </c>
      <c r="T265">
        <f>IF(BD264&lt;=0,0,IF(ROUND(BD264*(1+'Calc base'!R265),2)-MAX('Calc base'!M$12,ROUND('Calc base'!M$13*BD264,2))&lt;1,ROUND(BD264*(1+'Calc base'!R265),2),MAX('Calc base'!M$12,ROUND('Calc base'!M$13*BD264,2))))</f>
        <v>0</v>
      </c>
      <c r="U265">
        <f>IF(BE264&lt;=0,0,IF(ROUND(BE264*(1+'Calc base'!S265),2)-MAX('Calc base'!N$12,ROUND('Calc base'!N$13*BE264,2))&lt;1,ROUND(BE264*(1+'Calc base'!S265),2),MAX('Calc base'!N$12,ROUND('Calc base'!N$13*BE264,2))))</f>
        <v>0</v>
      </c>
      <c r="AT265">
        <f>MAX(0,ROUND(AT264*(1+'Calc base'!H265),2)-J265)</f>
        <v>0</v>
      </c>
      <c r="AU265">
        <f>MAX(0,ROUND(AU264*(1+'Calc base'!I265),2)-K265)</f>
        <v>0</v>
      </c>
      <c r="AV265">
        <f>MAX(0,ROUND(AV264*(1+'Calc base'!J265),2)-L265)</f>
        <v>0</v>
      </c>
      <c r="AW265">
        <f>MAX(0,ROUND(AW264*(1+'Calc base'!K265),2)-M265)</f>
        <v>0</v>
      </c>
      <c r="AX265">
        <f>MAX(0,ROUND(AX264*(1+'Calc base'!L265),2)-N265)</f>
        <v>0</v>
      </c>
      <c r="AY265">
        <f>MAX(0,ROUND(AY264*(1+'Calc base'!M265),2)-O265)</f>
        <v>0</v>
      </c>
      <c r="AZ265">
        <f>MAX(0,ROUND(AZ264*(1+'Calc base'!N265),2)-P265)</f>
        <v>0</v>
      </c>
      <c r="BA265">
        <f>MAX(0,ROUND(BA264*(1+'Calc base'!O265),2)-Q265)</f>
        <v>0</v>
      </c>
      <c r="BB265">
        <f>MAX(0,ROUND(BB264*(1+'Calc base'!P265),2)-R265)</f>
        <v>0</v>
      </c>
      <c r="BC265">
        <f>MAX(0,ROUND(BC264*(1+'Calc base'!Q265),2)-S265)</f>
        <v>0</v>
      </c>
      <c r="BD265">
        <f>MAX(0,ROUND(BD264*(1+'Calc base'!R265),2)-T265)</f>
        <v>0</v>
      </c>
      <c r="BE265">
        <f>MAX(0,ROUND(BE264*(1+'Calc base'!S265),2)-U265)</f>
        <v>0</v>
      </c>
    </row>
    <row r="266">
      <c r="A266" t="n">
        <v>236</v>
      </c>
      <c r="B266">
        <f>SUMPRODUCT(ROUND($AT265:$BE265*(1+'Calc base'!$H266:$S266),2))</f>
        <v>0</v>
      </c>
      <c r="C266">
        <f>SUM(J266:U266)</f>
        <v>0</v>
      </c>
      <c r="G266">
        <f>SUM(AT266:BE266)</f>
        <v>0</v>
      </c>
      <c r="H266">
        <f>B266-G265</f>
        <v>0</v>
      </c>
      <c r="I266">
        <f>B266-G266</f>
        <v>0</v>
      </c>
      <c r="J266">
        <f>IF(AT265&lt;=0,0,IF(ROUND(AT265*(1+'Calc base'!H266),2)-MAX('Calc base'!C$12,ROUND('Calc base'!C$13*AT265,2))&lt;1,ROUND(AT265*(1+'Calc base'!H266),2),MAX('Calc base'!C$12,ROUND('Calc base'!C$13*AT265,2))))</f>
        <v>0</v>
      </c>
      <c r="K266">
        <f>IF(AU265&lt;=0,0,IF(ROUND(AU265*(1+'Calc base'!I266),2)-MAX('Calc base'!D$12,ROUND('Calc base'!D$13*AU265,2))&lt;1,ROUND(AU265*(1+'Calc base'!I266),2),MAX('Calc base'!D$12,ROUND('Calc base'!D$13*AU265,2))))</f>
        <v>0</v>
      </c>
      <c r="L266">
        <f>IF(AV265&lt;=0,0,IF(ROUND(AV265*(1+'Calc base'!J266),2)-MAX('Calc base'!E$12,ROUND('Calc base'!E$13*AV265,2))&lt;1,ROUND(AV265*(1+'Calc base'!J266),2),MAX('Calc base'!E$12,ROUND('Calc base'!E$13*AV265,2))))</f>
        <v>0</v>
      </c>
      <c r="M266">
        <f>IF(AW265&lt;=0,0,IF(ROUND(AW265*(1+'Calc base'!K266),2)-MAX('Calc base'!F$12,ROUND('Calc base'!F$13*AW265,2))&lt;1,ROUND(AW265*(1+'Calc base'!K266),2),MAX('Calc base'!F$12,ROUND('Calc base'!F$13*AW265,2))))</f>
        <v>0</v>
      </c>
      <c r="N266">
        <f>IF(AX265&lt;=0,0,IF(ROUND(AX265*(1+'Calc base'!L266),2)-MAX('Calc base'!G$12,ROUND('Calc base'!G$13*AX265,2))&lt;1,ROUND(AX265*(1+'Calc base'!L266),2),MAX('Calc base'!G$12,ROUND('Calc base'!G$13*AX265,2))))</f>
        <v>0</v>
      </c>
      <c r="O266">
        <f>IF(AY265&lt;=0,0,IF(ROUND(AY265*(1+'Calc base'!M266),2)-MAX('Calc base'!H$12,ROUND('Calc base'!H$13*AY265,2))&lt;1,ROUND(AY265*(1+'Calc base'!M266),2),MAX('Calc base'!H$12,ROUND('Calc base'!H$13*AY265,2))))</f>
        <v>0</v>
      </c>
      <c r="P266">
        <f>IF(AZ265&lt;=0,0,IF(ROUND(AZ265*(1+'Calc base'!N266),2)-MAX('Calc base'!I$12,ROUND('Calc base'!I$13*AZ265,2))&lt;1,ROUND(AZ265*(1+'Calc base'!N266),2),MAX('Calc base'!I$12,ROUND('Calc base'!I$13*AZ265,2))))</f>
        <v>0</v>
      </c>
      <c r="Q266">
        <f>IF(BA265&lt;=0,0,IF(ROUND(BA265*(1+'Calc base'!O266),2)-MAX('Calc base'!J$12,ROUND('Calc base'!J$13*BA265,2))&lt;1,ROUND(BA265*(1+'Calc base'!O266),2),MAX('Calc base'!J$12,ROUND('Calc base'!J$13*BA265,2))))</f>
        <v>0</v>
      </c>
      <c r="R266">
        <f>IF(BB265&lt;=0,0,IF(ROUND(BB265*(1+'Calc base'!P266),2)-MAX('Calc base'!K$12,ROUND('Calc base'!K$13*BB265,2))&lt;1,ROUND(BB265*(1+'Calc base'!P266),2),MAX('Calc base'!K$12,ROUND('Calc base'!K$13*BB265,2))))</f>
        <v>0</v>
      </c>
      <c r="S266">
        <f>IF(BC265&lt;=0,0,IF(ROUND(BC265*(1+'Calc base'!Q266),2)-MAX('Calc base'!L$12,ROUND('Calc base'!L$13*BC265,2))&lt;1,ROUND(BC265*(1+'Calc base'!Q266),2),MAX('Calc base'!L$12,ROUND('Calc base'!L$13*BC265,2))))</f>
        <v>0</v>
      </c>
      <c r="T266">
        <f>IF(BD265&lt;=0,0,IF(ROUND(BD265*(1+'Calc base'!R266),2)-MAX('Calc base'!M$12,ROUND('Calc base'!M$13*BD265,2))&lt;1,ROUND(BD265*(1+'Calc base'!R266),2),MAX('Calc base'!M$12,ROUND('Calc base'!M$13*BD265,2))))</f>
        <v>0</v>
      </c>
      <c r="U266">
        <f>IF(BE265&lt;=0,0,IF(ROUND(BE265*(1+'Calc base'!S266),2)-MAX('Calc base'!N$12,ROUND('Calc base'!N$13*BE265,2))&lt;1,ROUND(BE265*(1+'Calc base'!S266),2),MAX('Calc base'!N$12,ROUND('Calc base'!N$13*BE265,2))))</f>
        <v>0</v>
      </c>
      <c r="AT266">
        <f>MAX(0,ROUND(AT265*(1+'Calc base'!H266),2)-J266)</f>
        <v>0</v>
      </c>
      <c r="AU266">
        <f>MAX(0,ROUND(AU265*(1+'Calc base'!I266),2)-K266)</f>
        <v>0</v>
      </c>
      <c r="AV266">
        <f>MAX(0,ROUND(AV265*(1+'Calc base'!J266),2)-L266)</f>
        <v>0</v>
      </c>
      <c r="AW266">
        <f>MAX(0,ROUND(AW265*(1+'Calc base'!K266),2)-M266)</f>
        <v>0</v>
      </c>
      <c r="AX266">
        <f>MAX(0,ROUND(AX265*(1+'Calc base'!L266),2)-N266)</f>
        <v>0</v>
      </c>
      <c r="AY266">
        <f>MAX(0,ROUND(AY265*(1+'Calc base'!M266),2)-O266)</f>
        <v>0</v>
      </c>
      <c r="AZ266">
        <f>MAX(0,ROUND(AZ265*(1+'Calc base'!N266),2)-P266)</f>
        <v>0</v>
      </c>
      <c r="BA266">
        <f>MAX(0,ROUND(BA265*(1+'Calc base'!O266),2)-Q266)</f>
        <v>0</v>
      </c>
      <c r="BB266">
        <f>MAX(0,ROUND(BB265*(1+'Calc base'!P266),2)-R266)</f>
        <v>0</v>
      </c>
      <c r="BC266">
        <f>MAX(0,ROUND(BC265*(1+'Calc base'!Q266),2)-S266)</f>
        <v>0</v>
      </c>
      <c r="BD266">
        <f>MAX(0,ROUND(BD265*(1+'Calc base'!R266),2)-T266)</f>
        <v>0</v>
      </c>
      <c r="BE266">
        <f>MAX(0,ROUND(BE265*(1+'Calc base'!S266),2)-U266)</f>
        <v>0</v>
      </c>
    </row>
    <row r="267">
      <c r="A267" t="n">
        <v>237</v>
      </c>
      <c r="B267">
        <f>SUMPRODUCT(ROUND($AT266:$BE266*(1+'Calc base'!$H267:$S267),2))</f>
        <v>0</v>
      </c>
      <c r="C267">
        <f>SUM(J267:U267)</f>
        <v>0</v>
      </c>
      <c r="G267">
        <f>SUM(AT267:BE267)</f>
        <v>0</v>
      </c>
      <c r="H267">
        <f>B267-G266</f>
        <v>0</v>
      </c>
      <c r="I267">
        <f>B267-G267</f>
        <v>0</v>
      </c>
      <c r="J267">
        <f>IF(AT266&lt;=0,0,IF(ROUND(AT266*(1+'Calc base'!H267),2)-MAX('Calc base'!C$12,ROUND('Calc base'!C$13*AT266,2))&lt;1,ROUND(AT266*(1+'Calc base'!H267),2),MAX('Calc base'!C$12,ROUND('Calc base'!C$13*AT266,2))))</f>
        <v>0</v>
      </c>
      <c r="K267">
        <f>IF(AU266&lt;=0,0,IF(ROUND(AU266*(1+'Calc base'!I267),2)-MAX('Calc base'!D$12,ROUND('Calc base'!D$13*AU266,2))&lt;1,ROUND(AU266*(1+'Calc base'!I267),2),MAX('Calc base'!D$12,ROUND('Calc base'!D$13*AU266,2))))</f>
        <v>0</v>
      </c>
      <c r="L267">
        <f>IF(AV266&lt;=0,0,IF(ROUND(AV266*(1+'Calc base'!J267),2)-MAX('Calc base'!E$12,ROUND('Calc base'!E$13*AV266,2))&lt;1,ROUND(AV266*(1+'Calc base'!J267),2),MAX('Calc base'!E$12,ROUND('Calc base'!E$13*AV266,2))))</f>
        <v>0</v>
      </c>
      <c r="M267">
        <f>IF(AW266&lt;=0,0,IF(ROUND(AW266*(1+'Calc base'!K267),2)-MAX('Calc base'!F$12,ROUND('Calc base'!F$13*AW266,2))&lt;1,ROUND(AW266*(1+'Calc base'!K267),2),MAX('Calc base'!F$12,ROUND('Calc base'!F$13*AW266,2))))</f>
        <v>0</v>
      </c>
      <c r="N267">
        <f>IF(AX266&lt;=0,0,IF(ROUND(AX266*(1+'Calc base'!L267),2)-MAX('Calc base'!G$12,ROUND('Calc base'!G$13*AX266,2))&lt;1,ROUND(AX266*(1+'Calc base'!L267),2),MAX('Calc base'!G$12,ROUND('Calc base'!G$13*AX266,2))))</f>
        <v>0</v>
      </c>
      <c r="O267">
        <f>IF(AY266&lt;=0,0,IF(ROUND(AY266*(1+'Calc base'!M267),2)-MAX('Calc base'!H$12,ROUND('Calc base'!H$13*AY266,2))&lt;1,ROUND(AY266*(1+'Calc base'!M267),2),MAX('Calc base'!H$12,ROUND('Calc base'!H$13*AY266,2))))</f>
        <v>0</v>
      </c>
      <c r="P267">
        <f>IF(AZ266&lt;=0,0,IF(ROUND(AZ266*(1+'Calc base'!N267),2)-MAX('Calc base'!I$12,ROUND('Calc base'!I$13*AZ266,2))&lt;1,ROUND(AZ266*(1+'Calc base'!N267),2),MAX('Calc base'!I$12,ROUND('Calc base'!I$13*AZ266,2))))</f>
        <v>0</v>
      </c>
      <c r="Q267">
        <f>IF(BA266&lt;=0,0,IF(ROUND(BA266*(1+'Calc base'!O267),2)-MAX('Calc base'!J$12,ROUND('Calc base'!J$13*BA266,2))&lt;1,ROUND(BA266*(1+'Calc base'!O267),2),MAX('Calc base'!J$12,ROUND('Calc base'!J$13*BA266,2))))</f>
        <v>0</v>
      </c>
      <c r="R267">
        <f>IF(BB266&lt;=0,0,IF(ROUND(BB266*(1+'Calc base'!P267),2)-MAX('Calc base'!K$12,ROUND('Calc base'!K$13*BB266,2))&lt;1,ROUND(BB266*(1+'Calc base'!P267),2),MAX('Calc base'!K$12,ROUND('Calc base'!K$13*BB266,2))))</f>
        <v>0</v>
      </c>
      <c r="S267">
        <f>IF(BC266&lt;=0,0,IF(ROUND(BC266*(1+'Calc base'!Q267),2)-MAX('Calc base'!L$12,ROUND('Calc base'!L$13*BC266,2))&lt;1,ROUND(BC266*(1+'Calc base'!Q267),2),MAX('Calc base'!L$12,ROUND('Calc base'!L$13*BC266,2))))</f>
        <v>0</v>
      </c>
      <c r="T267">
        <f>IF(BD266&lt;=0,0,IF(ROUND(BD266*(1+'Calc base'!R267),2)-MAX('Calc base'!M$12,ROUND('Calc base'!M$13*BD266,2))&lt;1,ROUND(BD266*(1+'Calc base'!R267),2),MAX('Calc base'!M$12,ROUND('Calc base'!M$13*BD266,2))))</f>
        <v>0</v>
      </c>
      <c r="U267">
        <f>IF(BE266&lt;=0,0,IF(ROUND(BE266*(1+'Calc base'!S267),2)-MAX('Calc base'!N$12,ROUND('Calc base'!N$13*BE266,2))&lt;1,ROUND(BE266*(1+'Calc base'!S267),2),MAX('Calc base'!N$12,ROUND('Calc base'!N$13*BE266,2))))</f>
        <v>0</v>
      </c>
      <c r="AT267">
        <f>MAX(0,ROUND(AT266*(1+'Calc base'!H267),2)-J267)</f>
        <v>0</v>
      </c>
      <c r="AU267">
        <f>MAX(0,ROUND(AU266*(1+'Calc base'!I267),2)-K267)</f>
        <v>0</v>
      </c>
      <c r="AV267">
        <f>MAX(0,ROUND(AV266*(1+'Calc base'!J267),2)-L267)</f>
        <v>0</v>
      </c>
      <c r="AW267">
        <f>MAX(0,ROUND(AW266*(1+'Calc base'!K267),2)-M267)</f>
        <v>0</v>
      </c>
      <c r="AX267">
        <f>MAX(0,ROUND(AX266*(1+'Calc base'!L267),2)-N267)</f>
        <v>0</v>
      </c>
      <c r="AY267">
        <f>MAX(0,ROUND(AY266*(1+'Calc base'!M267),2)-O267)</f>
        <v>0</v>
      </c>
      <c r="AZ267">
        <f>MAX(0,ROUND(AZ266*(1+'Calc base'!N267),2)-P267)</f>
        <v>0</v>
      </c>
      <c r="BA267">
        <f>MAX(0,ROUND(BA266*(1+'Calc base'!O267),2)-Q267)</f>
        <v>0</v>
      </c>
      <c r="BB267">
        <f>MAX(0,ROUND(BB266*(1+'Calc base'!P267),2)-R267)</f>
        <v>0</v>
      </c>
      <c r="BC267">
        <f>MAX(0,ROUND(BC266*(1+'Calc base'!Q267),2)-S267)</f>
        <v>0</v>
      </c>
      <c r="BD267">
        <f>MAX(0,ROUND(BD266*(1+'Calc base'!R267),2)-T267)</f>
        <v>0</v>
      </c>
      <c r="BE267">
        <f>MAX(0,ROUND(BE266*(1+'Calc base'!S267),2)-U267)</f>
        <v>0</v>
      </c>
    </row>
    <row r="268">
      <c r="A268" t="n">
        <v>238</v>
      </c>
      <c r="B268">
        <f>SUMPRODUCT(ROUND($AT267:$BE267*(1+'Calc base'!$H268:$S268),2))</f>
        <v>0</v>
      </c>
      <c r="C268">
        <f>SUM(J268:U268)</f>
        <v>0</v>
      </c>
      <c r="G268">
        <f>SUM(AT268:BE268)</f>
        <v>0</v>
      </c>
      <c r="H268">
        <f>B268-G267</f>
        <v>0</v>
      </c>
      <c r="I268">
        <f>B268-G268</f>
        <v>0</v>
      </c>
      <c r="J268">
        <f>IF(AT267&lt;=0,0,IF(ROUND(AT267*(1+'Calc base'!H268),2)-MAX('Calc base'!C$12,ROUND('Calc base'!C$13*AT267,2))&lt;1,ROUND(AT267*(1+'Calc base'!H268),2),MAX('Calc base'!C$12,ROUND('Calc base'!C$13*AT267,2))))</f>
        <v>0</v>
      </c>
      <c r="K268">
        <f>IF(AU267&lt;=0,0,IF(ROUND(AU267*(1+'Calc base'!I268),2)-MAX('Calc base'!D$12,ROUND('Calc base'!D$13*AU267,2))&lt;1,ROUND(AU267*(1+'Calc base'!I268),2),MAX('Calc base'!D$12,ROUND('Calc base'!D$13*AU267,2))))</f>
        <v>0</v>
      </c>
      <c r="L268">
        <f>IF(AV267&lt;=0,0,IF(ROUND(AV267*(1+'Calc base'!J268),2)-MAX('Calc base'!E$12,ROUND('Calc base'!E$13*AV267,2))&lt;1,ROUND(AV267*(1+'Calc base'!J268),2),MAX('Calc base'!E$12,ROUND('Calc base'!E$13*AV267,2))))</f>
        <v>0</v>
      </c>
      <c r="M268">
        <f>IF(AW267&lt;=0,0,IF(ROUND(AW267*(1+'Calc base'!K268),2)-MAX('Calc base'!F$12,ROUND('Calc base'!F$13*AW267,2))&lt;1,ROUND(AW267*(1+'Calc base'!K268),2),MAX('Calc base'!F$12,ROUND('Calc base'!F$13*AW267,2))))</f>
        <v>0</v>
      </c>
      <c r="N268">
        <f>IF(AX267&lt;=0,0,IF(ROUND(AX267*(1+'Calc base'!L268),2)-MAX('Calc base'!G$12,ROUND('Calc base'!G$13*AX267,2))&lt;1,ROUND(AX267*(1+'Calc base'!L268),2),MAX('Calc base'!G$12,ROUND('Calc base'!G$13*AX267,2))))</f>
        <v>0</v>
      </c>
      <c r="O268">
        <f>IF(AY267&lt;=0,0,IF(ROUND(AY267*(1+'Calc base'!M268),2)-MAX('Calc base'!H$12,ROUND('Calc base'!H$13*AY267,2))&lt;1,ROUND(AY267*(1+'Calc base'!M268),2),MAX('Calc base'!H$12,ROUND('Calc base'!H$13*AY267,2))))</f>
        <v>0</v>
      </c>
      <c r="P268">
        <f>IF(AZ267&lt;=0,0,IF(ROUND(AZ267*(1+'Calc base'!N268),2)-MAX('Calc base'!I$12,ROUND('Calc base'!I$13*AZ267,2))&lt;1,ROUND(AZ267*(1+'Calc base'!N268),2),MAX('Calc base'!I$12,ROUND('Calc base'!I$13*AZ267,2))))</f>
        <v>0</v>
      </c>
      <c r="Q268">
        <f>IF(BA267&lt;=0,0,IF(ROUND(BA267*(1+'Calc base'!O268),2)-MAX('Calc base'!J$12,ROUND('Calc base'!J$13*BA267,2))&lt;1,ROUND(BA267*(1+'Calc base'!O268),2),MAX('Calc base'!J$12,ROUND('Calc base'!J$13*BA267,2))))</f>
        <v>0</v>
      </c>
      <c r="R268">
        <f>IF(BB267&lt;=0,0,IF(ROUND(BB267*(1+'Calc base'!P268),2)-MAX('Calc base'!K$12,ROUND('Calc base'!K$13*BB267,2))&lt;1,ROUND(BB267*(1+'Calc base'!P268),2),MAX('Calc base'!K$12,ROUND('Calc base'!K$13*BB267,2))))</f>
        <v>0</v>
      </c>
      <c r="S268">
        <f>IF(BC267&lt;=0,0,IF(ROUND(BC267*(1+'Calc base'!Q268),2)-MAX('Calc base'!L$12,ROUND('Calc base'!L$13*BC267,2))&lt;1,ROUND(BC267*(1+'Calc base'!Q268),2),MAX('Calc base'!L$12,ROUND('Calc base'!L$13*BC267,2))))</f>
        <v>0</v>
      </c>
      <c r="T268">
        <f>IF(BD267&lt;=0,0,IF(ROUND(BD267*(1+'Calc base'!R268),2)-MAX('Calc base'!M$12,ROUND('Calc base'!M$13*BD267,2))&lt;1,ROUND(BD267*(1+'Calc base'!R268),2),MAX('Calc base'!M$12,ROUND('Calc base'!M$13*BD267,2))))</f>
        <v>0</v>
      </c>
      <c r="U268">
        <f>IF(BE267&lt;=0,0,IF(ROUND(BE267*(1+'Calc base'!S268),2)-MAX('Calc base'!N$12,ROUND('Calc base'!N$13*BE267,2))&lt;1,ROUND(BE267*(1+'Calc base'!S268),2),MAX('Calc base'!N$12,ROUND('Calc base'!N$13*BE267,2))))</f>
        <v>0</v>
      </c>
      <c r="AT268">
        <f>MAX(0,ROUND(AT267*(1+'Calc base'!H268),2)-J268)</f>
        <v>0</v>
      </c>
      <c r="AU268">
        <f>MAX(0,ROUND(AU267*(1+'Calc base'!I268),2)-K268)</f>
        <v>0</v>
      </c>
      <c r="AV268">
        <f>MAX(0,ROUND(AV267*(1+'Calc base'!J268),2)-L268)</f>
        <v>0</v>
      </c>
      <c r="AW268">
        <f>MAX(0,ROUND(AW267*(1+'Calc base'!K268),2)-M268)</f>
        <v>0</v>
      </c>
      <c r="AX268">
        <f>MAX(0,ROUND(AX267*(1+'Calc base'!L268),2)-N268)</f>
        <v>0</v>
      </c>
      <c r="AY268">
        <f>MAX(0,ROUND(AY267*(1+'Calc base'!M268),2)-O268)</f>
        <v>0</v>
      </c>
      <c r="AZ268">
        <f>MAX(0,ROUND(AZ267*(1+'Calc base'!N268),2)-P268)</f>
        <v>0</v>
      </c>
      <c r="BA268">
        <f>MAX(0,ROUND(BA267*(1+'Calc base'!O268),2)-Q268)</f>
        <v>0</v>
      </c>
      <c r="BB268">
        <f>MAX(0,ROUND(BB267*(1+'Calc base'!P268),2)-R268)</f>
        <v>0</v>
      </c>
      <c r="BC268">
        <f>MAX(0,ROUND(BC267*(1+'Calc base'!Q268),2)-S268)</f>
        <v>0</v>
      </c>
      <c r="BD268">
        <f>MAX(0,ROUND(BD267*(1+'Calc base'!R268),2)-T268)</f>
        <v>0</v>
      </c>
      <c r="BE268">
        <f>MAX(0,ROUND(BE267*(1+'Calc base'!S268),2)-U268)</f>
        <v>0</v>
      </c>
    </row>
    <row r="269">
      <c r="A269" t="n">
        <v>239</v>
      </c>
      <c r="B269">
        <f>SUMPRODUCT(ROUND($AT268:$BE268*(1+'Calc base'!$H269:$S269),2))</f>
        <v>0</v>
      </c>
      <c r="C269">
        <f>SUM(J269:U269)</f>
        <v>0</v>
      </c>
      <c r="G269">
        <f>SUM(AT269:BE269)</f>
        <v>0</v>
      </c>
      <c r="H269">
        <f>B269-G268</f>
        <v>0</v>
      </c>
      <c r="I269">
        <f>B269-G269</f>
        <v>0</v>
      </c>
      <c r="J269">
        <f>IF(AT268&lt;=0,0,IF(ROUND(AT268*(1+'Calc base'!H269),2)-MAX('Calc base'!C$12,ROUND('Calc base'!C$13*AT268,2))&lt;1,ROUND(AT268*(1+'Calc base'!H269),2),MAX('Calc base'!C$12,ROUND('Calc base'!C$13*AT268,2))))</f>
        <v>0</v>
      </c>
      <c r="K269">
        <f>IF(AU268&lt;=0,0,IF(ROUND(AU268*(1+'Calc base'!I269),2)-MAX('Calc base'!D$12,ROUND('Calc base'!D$13*AU268,2))&lt;1,ROUND(AU268*(1+'Calc base'!I269),2),MAX('Calc base'!D$12,ROUND('Calc base'!D$13*AU268,2))))</f>
        <v>0</v>
      </c>
      <c r="L269">
        <f>IF(AV268&lt;=0,0,IF(ROUND(AV268*(1+'Calc base'!J269),2)-MAX('Calc base'!E$12,ROUND('Calc base'!E$13*AV268,2))&lt;1,ROUND(AV268*(1+'Calc base'!J269),2),MAX('Calc base'!E$12,ROUND('Calc base'!E$13*AV268,2))))</f>
        <v>0</v>
      </c>
      <c r="M269">
        <f>IF(AW268&lt;=0,0,IF(ROUND(AW268*(1+'Calc base'!K269),2)-MAX('Calc base'!F$12,ROUND('Calc base'!F$13*AW268,2))&lt;1,ROUND(AW268*(1+'Calc base'!K269),2),MAX('Calc base'!F$12,ROUND('Calc base'!F$13*AW268,2))))</f>
        <v>0</v>
      </c>
      <c r="N269">
        <f>IF(AX268&lt;=0,0,IF(ROUND(AX268*(1+'Calc base'!L269),2)-MAX('Calc base'!G$12,ROUND('Calc base'!G$13*AX268,2))&lt;1,ROUND(AX268*(1+'Calc base'!L269),2),MAX('Calc base'!G$12,ROUND('Calc base'!G$13*AX268,2))))</f>
        <v>0</v>
      </c>
      <c r="O269">
        <f>IF(AY268&lt;=0,0,IF(ROUND(AY268*(1+'Calc base'!M269),2)-MAX('Calc base'!H$12,ROUND('Calc base'!H$13*AY268,2))&lt;1,ROUND(AY268*(1+'Calc base'!M269),2),MAX('Calc base'!H$12,ROUND('Calc base'!H$13*AY268,2))))</f>
        <v>0</v>
      </c>
      <c r="P269">
        <f>IF(AZ268&lt;=0,0,IF(ROUND(AZ268*(1+'Calc base'!N269),2)-MAX('Calc base'!I$12,ROUND('Calc base'!I$13*AZ268,2))&lt;1,ROUND(AZ268*(1+'Calc base'!N269),2),MAX('Calc base'!I$12,ROUND('Calc base'!I$13*AZ268,2))))</f>
        <v>0</v>
      </c>
      <c r="Q269">
        <f>IF(BA268&lt;=0,0,IF(ROUND(BA268*(1+'Calc base'!O269),2)-MAX('Calc base'!J$12,ROUND('Calc base'!J$13*BA268,2))&lt;1,ROUND(BA268*(1+'Calc base'!O269),2),MAX('Calc base'!J$12,ROUND('Calc base'!J$13*BA268,2))))</f>
        <v>0</v>
      </c>
      <c r="R269">
        <f>IF(BB268&lt;=0,0,IF(ROUND(BB268*(1+'Calc base'!P269),2)-MAX('Calc base'!K$12,ROUND('Calc base'!K$13*BB268,2))&lt;1,ROUND(BB268*(1+'Calc base'!P269),2),MAX('Calc base'!K$12,ROUND('Calc base'!K$13*BB268,2))))</f>
        <v>0</v>
      </c>
      <c r="S269">
        <f>IF(BC268&lt;=0,0,IF(ROUND(BC268*(1+'Calc base'!Q269),2)-MAX('Calc base'!L$12,ROUND('Calc base'!L$13*BC268,2))&lt;1,ROUND(BC268*(1+'Calc base'!Q269),2),MAX('Calc base'!L$12,ROUND('Calc base'!L$13*BC268,2))))</f>
        <v>0</v>
      </c>
      <c r="T269">
        <f>IF(BD268&lt;=0,0,IF(ROUND(BD268*(1+'Calc base'!R269),2)-MAX('Calc base'!M$12,ROUND('Calc base'!M$13*BD268,2))&lt;1,ROUND(BD268*(1+'Calc base'!R269),2),MAX('Calc base'!M$12,ROUND('Calc base'!M$13*BD268,2))))</f>
        <v>0</v>
      </c>
      <c r="U269">
        <f>IF(BE268&lt;=0,0,IF(ROUND(BE268*(1+'Calc base'!S269),2)-MAX('Calc base'!N$12,ROUND('Calc base'!N$13*BE268,2))&lt;1,ROUND(BE268*(1+'Calc base'!S269),2),MAX('Calc base'!N$12,ROUND('Calc base'!N$13*BE268,2))))</f>
        <v>0</v>
      </c>
      <c r="AT269">
        <f>MAX(0,ROUND(AT268*(1+'Calc base'!H269),2)-J269)</f>
        <v>0</v>
      </c>
      <c r="AU269">
        <f>MAX(0,ROUND(AU268*(1+'Calc base'!I269),2)-K269)</f>
        <v>0</v>
      </c>
      <c r="AV269">
        <f>MAX(0,ROUND(AV268*(1+'Calc base'!J269),2)-L269)</f>
        <v>0</v>
      </c>
      <c r="AW269">
        <f>MAX(0,ROUND(AW268*(1+'Calc base'!K269),2)-M269)</f>
        <v>0</v>
      </c>
      <c r="AX269">
        <f>MAX(0,ROUND(AX268*(1+'Calc base'!L269),2)-N269)</f>
        <v>0</v>
      </c>
      <c r="AY269">
        <f>MAX(0,ROUND(AY268*(1+'Calc base'!M269),2)-O269)</f>
        <v>0</v>
      </c>
      <c r="AZ269">
        <f>MAX(0,ROUND(AZ268*(1+'Calc base'!N269),2)-P269)</f>
        <v>0</v>
      </c>
      <c r="BA269">
        <f>MAX(0,ROUND(BA268*(1+'Calc base'!O269),2)-Q269)</f>
        <v>0</v>
      </c>
      <c r="BB269">
        <f>MAX(0,ROUND(BB268*(1+'Calc base'!P269),2)-R269)</f>
        <v>0</v>
      </c>
      <c r="BC269">
        <f>MAX(0,ROUND(BC268*(1+'Calc base'!Q269),2)-S269)</f>
        <v>0</v>
      </c>
      <c r="BD269">
        <f>MAX(0,ROUND(BD268*(1+'Calc base'!R269),2)-T269)</f>
        <v>0</v>
      </c>
      <c r="BE269">
        <f>MAX(0,ROUND(BE268*(1+'Calc base'!S269),2)-U269)</f>
        <v>0</v>
      </c>
    </row>
    <row r="270">
      <c r="A270" t="n">
        <v>240</v>
      </c>
      <c r="B270">
        <f>SUMPRODUCT(ROUND($AT269:$BE269*(1+'Calc base'!$H270:$S270),2))</f>
        <v>0</v>
      </c>
      <c r="C270">
        <f>SUM(J270:U270)</f>
        <v>0</v>
      </c>
      <c r="G270">
        <f>SUM(AT270:BE270)</f>
        <v>0</v>
      </c>
      <c r="H270">
        <f>B270-G269</f>
        <v>0</v>
      </c>
      <c r="I270">
        <f>B270-G270</f>
        <v>0</v>
      </c>
      <c r="J270">
        <f>IF(AT269&lt;=0,0,IF(ROUND(AT269*(1+'Calc base'!H270),2)-MAX('Calc base'!C$12,ROUND('Calc base'!C$13*AT269,2))&lt;1,ROUND(AT269*(1+'Calc base'!H270),2),MAX('Calc base'!C$12,ROUND('Calc base'!C$13*AT269,2))))</f>
        <v>0</v>
      </c>
      <c r="K270">
        <f>IF(AU269&lt;=0,0,IF(ROUND(AU269*(1+'Calc base'!I270),2)-MAX('Calc base'!D$12,ROUND('Calc base'!D$13*AU269,2))&lt;1,ROUND(AU269*(1+'Calc base'!I270),2),MAX('Calc base'!D$12,ROUND('Calc base'!D$13*AU269,2))))</f>
        <v>0</v>
      </c>
      <c r="L270">
        <f>IF(AV269&lt;=0,0,IF(ROUND(AV269*(1+'Calc base'!J270),2)-MAX('Calc base'!E$12,ROUND('Calc base'!E$13*AV269,2))&lt;1,ROUND(AV269*(1+'Calc base'!J270),2),MAX('Calc base'!E$12,ROUND('Calc base'!E$13*AV269,2))))</f>
        <v>0</v>
      </c>
      <c r="M270">
        <f>IF(AW269&lt;=0,0,IF(ROUND(AW269*(1+'Calc base'!K270),2)-MAX('Calc base'!F$12,ROUND('Calc base'!F$13*AW269,2))&lt;1,ROUND(AW269*(1+'Calc base'!K270),2),MAX('Calc base'!F$12,ROUND('Calc base'!F$13*AW269,2))))</f>
        <v>0</v>
      </c>
      <c r="N270">
        <f>IF(AX269&lt;=0,0,IF(ROUND(AX269*(1+'Calc base'!L270),2)-MAX('Calc base'!G$12,ROUND('Calc base'!G$13*AX269,2))&lt;1,ROUND(AX269*(1+'Calc base'!L270),2),MAX('Calc base'!G$12,ROUND('Calc base'!G$13*AX269,2))))</f>
        <v>0</v>
      </c>
      <c r="O270">
        <f>IF(AY269&lt;=0,0,IF(ROUND(AY269*(1+'Calc base'!M270),2)-MAX('Calc base'!H$12,ROUND('Calc base'!H$13*AY269,2))&lt;1,ROUND(AY269*(1+'Calc base'!M270),2),MAX('Calc base'!H$12,ROUND('Calc base'!H$13*AY269,2))))</f>
        <v>0</v>
      </c>
      <c r="P270">
        <f>IF(AZ269&lt;=0,0,IF(ROUND(AZ269*(1+'Calc base'!N270),2)-MAX('Calc base'!I$12,ROUND('Calc base'!I$13*AZ269,2))&lt;1,ROUND(AZ269*(1+'Calc base'!N270),2),MAX('Calc base'!I$12,ROUND('Calc base'!I$13*AZ269,2))))</f>
        <v>0</v>
      </c>
      <c r="Q270">
        <f>IF(BA269&lt;=0,0,IF(ROUND(BA269*(1+'Calc base'!O270),2)-MAX('Calc base'!J$12,ROUND('Calc base'!J$13*BA269,2))&lt;1,ROUND(BA269*(1+'Calc base'!O270),2),MAX('Calc base'!J$12,ROUND('Calc base'!J$13*BA269,2))))</f>
        <v>0</v>
      </c>
      <c r="R270">
        <f>IF(BB269&lt;=0,0,IF(ROUND(BB269*(1+'Calc base'!P270),2)-MAX('Calc base'!K$12,ROUND('Calc base'!K$13*BB269,2))&lt;1,ROUND(BB269*(1+'Calc base'!P270),2),MAX('Calc base'!K$12,ROUND('Calc base'!K$13*BB269,2))))</f>
        <v>0</v>
      </c>
      <c r="S270">
        <f>IF(BC269&lt;=0,0,IF(ROUND(BC269*(1+'Calc base'!Q270),2)-MAX('Calc base'!L$12,ROUND('Calc base'!L$13*BC269,2))&lt;1,ROUND(BC269*(1+'Calc base'!Q270),2),MAX('Calc base'!L$12,ROUND('Calc base'!L$13*BC269,2))))</f>
        <v>0</v>
      </c>
      <c r="T270">
        <f>IF(BD269&lt;=0,0,IF(ROUND(BD269*(1+'Calc base'!R270),2)-MAX('Calc base'!M$12,ROUND('Calc base'!M$13*BD269,2))&lt;1,ROUND(BD269*(1+'Calc base'!R270),2),MAX('Calc base'!M$12,ROUND('Calc base'!M$13*BD269,2))))</f>
        <v>0</v>
      </c>
      <c r="U270">
        <f>IF(BE269&lt;=0,0,IF(ROUND(BE269*(1+'Calc base'!S270),2)-MAX('Calc base'!N$12,ROUND('Calc base'!N$13*BE269,2))&lt;1,ROUND(BE269*(1+'Calc base'!S270),2),MAX('Calc base'!N$12,ROUND('Calc base'!N$13*BE269,2))))</f>
        <v>0</v>
      </c>
      <c r="AT270">
        <f>MAX(0,ROUND(AT269*(1+'Calc base'!H270),2)-J270)</f>
        <v>0</v>
      </c>
      <c r="AU270">
        <f>MAX(0,ROUND(AU269*(1+'Calc base'!I270),2)-K270)</f>
        <v>0</v>
      </c>
      <c r="AV270">
        <f>MAX(0,ROUND(AV269*(1+'Calc base'!J270),2)-L270)</f>
        <v>0</v>
      </c>
      <c r="AW270">
        <f>MAX(0,ROUND(AW269*(1+'Calc base'!K270),2)-M270)</f>
        <v>0</v>
      </c>
      <c r="AX270">
        <f>MAX(0,ROUND(AX269*(1+'Calc base'!L270),2)-N270)</f>
        <v>0</v>
      </c>
      <c r="AY270">
        <f>MAX(0,ROUND(AY269*(1+'Calc base'!M270),2)-O270)</f>
        <v>0</v>
      </c>
      <c r="AZ270">
        <f>MAX(0,ROUND(AZ269*(1+'Calc base'!N270),2)-P270)</f>
        <v>0</v>
      </c>
      <c r="BA270">
        <f>MAX(0,ROUND(BA269*(1+'Calc base'!O270),2)-Q270)</f>
        <v>0</v>
      </c>
      <c r="BB270">
        <f>MAX(0,ROUND(BB269*(1+'Calc base'!P270),2)-R270)</f>
        <v>0</v>
      </c>
      <c r="BC270">
        <f>MAX(0,ROUND(BC269*(1+'Calc base'!Q270),2)-S270)</f>
        <v>0</v>
      </c>
      <c r="BD270">
        <f>MAX(0,ROUND(BD269*(1+'Calc base'!R270),2)-T270)</f>
        <v>0</v>
      </c>
      <c r="BE270">
        <f>MAX(0,ROUND(BE269*(1+'Calc base'!S270),2)-U270)</f>
        <v>0</v>
      </c>
    </row>
    <row r="271">
      <c r="A271" t="n">
        <v>241</v>
      </c>
      <c r="B271">
        <f>SUMPRODUCT(ROUND($AT270:$BE270*(1+'Calc base'!$H271:$S271),2))</f>
        <v>0</v>
      </c>
      <c r="C271">
        <f>SUM(J271:U271)</f>
        <v>0</v>
      </c>
      <c r="G271">
        <f>SUM(AT271:BE271)</f>
        <v>0</v>
      </c>
      <c r="H271">
        <f>B271-G270</f>
        <v>0</v>
      </c>
      <c r="I271">
        <f>B271-G271</f>
        <v>0</v>
      </c>
      <c r="J271">
        <f>IF(AT270&lt;=0,0,IF(ROUND(AT270*(1+'Calc base'!H271),2)-MAX('Calc base'!C$12,ROUND('Calc base'!C$13*AT270,2))&lt;1,ROUND(AT270*(1+'Calc base'!H271),2),MAX('Calc base'!C$12,ROUND('Calc base'!C$13*AT270,2))))</f>
        <v>0</v>
      </c>
      <c r="K271">
        <f>IF(AU270&lt;=0,0,IF(ROUND(AU270*(1+'Calc base'!I271),2)-MAX('Calc base'!D$12,ROUND('Calc base'!D$13*AU270,2))&lt;1,ROUND(AU270*(1+'Calc base'!I271),2),MAX('Calc base'!D$12,ROUND('Calc base'!D$13*AU270,2))))</f>
        <v>0</v>
      </c>
      <c r="L271">
        <f>IF(AV270&lt;=0,0,IF(ROUND(AV270*(1+'Calc base'!J271),2)-MAX('Calc base'!E$12,ROUND('Calc base'!E$13*AV270,2))&lt;1,ROUND(AV270*(1+'Calc base'!J271),2),MAX('Calc base'!E$12,ROUND('Calc base'!E$13*AV270,2))))</f>
        <v>0</v>
      </c>
      <c r="M271">
        <f>IF(AW270&lt;=0,0,IF(ROUND(AW270*(1+'Calc base'!K271),2)-MAX('Calc base'!F$12,ROUND('Calc base'!F$13*AW270,2))&lt;1,ROUND(AW270*(1+'Calc base'!K271),2),MAX('Calc base'!F$12,ROUND('Calc base'!F$13*AW270,2))))</f>
        <v>0</v>
      </c>
      <c r="N271">
        <f>IF(AX270&lt;=0,0,IF(ROUND(AX270*(1+'Calc base'!L271),2)-MAX('Calc base'!G$12,ROUND('Calc base'!G$13*AX270,2))&lt;1,ROUND(AX270*(1+'Calc base'!L271),2),MAX('Calc base'!G$12,ROUND('Calc base'!G$13*AX270,2))))</f>
        <v>0</v>
      </c>
      <c r="O271">
        <f>IF(AY270&lt;=0,0,IF(ROUND(AY270*(1+'Calc base'!M271),2)-MAX('Calc base'!H$12,ROUND('Calc base'!H$13*AY270,2))&lt;1,ROUND(AY270*(1+'Calc base'!M271),2),MAX('Calc base'!H$12,ROUND('Calc base'!H$13*AY270,2))))</f>
        <v>0</v>
      </c>
      <c r="P271">
        <f>IF(AZ270&lt;=0,0,IF(ROUND(AZ270*(1+'Calc base'!N271),2)-MAX('Calc base'!I$12,ROUND('Calc base'!I$13*AZ270,2))&lt;1,ROUND(AZ270*(1+'Calc base'!N271),2),MAX('Calc base'!I$12,ROUND('Calc base'!I$13*AZ270,2))))</f>
        <v>0</v>
      </c>
      <c r="Q271">
        <f>IF(BA270&lt;=0,0,IF(ROUND(BA270*(1+'Calc base'!O271),2)-MAX('Calc base'!J$12,ROUND('Calc base'!J$13*BA270,2))&lt;1,ROUND(BA270*(1+'Calc base'!O271),2),MAX('Calc base'!J$12,ROUND('Calc base'!J$13*BA270,2))))</f>
        <v>0</v>
      </c>
      <c r="R271">
        <f>IF(BB270&lt;=0,0,IF(ROUND(BB270*(1+'Calc base'!P271),2)-MAX('Calc base'!K$12,ROUND('Calc base'!K$13*BB270,2))&lt;1,ROUND(BB270*(1+'Calc base'!P271),2),MAX('Calc base'!K$12,ROUND('Calc base'!K$13*BB270,2))))</f>
        <v>0</v>
      </c>
      <c r="S271">
        <f>IF(BC270&lt;=0,0,IF(ROUND(BC270*(1+'Calc base'!Q271),2)-MAX('Calc base'!L$12,ROUND('Calc base'!L$13*BC270,2))&lt;1,ROUND(BC270*(1+'Calc base'!Q271),2),MAX('Calc base'!L$12,ROUND('Calc base'!L$13*BC270,2))))</f>
        <v>0</v>
      </c>
      <c r="T271">
        <f>IF(BD270&lt;=0,0,IF(ROUND(BD270*(1+'Calc base'!R271),2)-MAX('Calc base'!M$12,ROUND('Calc base'!M$13*BD270,2))&lt;1,ROUND(BD270*(1+'Calc base'!R271),2),MAX('Calc base'!M$12,ROUND('Calc base'!M$13*BD270,2))))</f>
        <v>0</v>
      </c>
      <c r="U271">
        <f>IF(BE270&lt;=0,0,IF(ROUND(BE270*(1+'Calc base'!S271),2)-MAX('Calc base'!N$12,ROUND('Calc base'!N$13*BE270,2))&lt;1,ROUND(BE270*(1+'Calc base'!S271),2),MAX('Calc base'!N$12,ROUND('Calc base'!N$13*BE270,2))))</f>
        <v>0</v>
      </c>
      <c r="AT271">
        <f>MAX(0,ROUND(AT270*(1+'Calc base'!H271),2)-J271)</f>
        <v>0</v>
      </c>
      <c r="AU271">
        <f>MAX(0,ROUND(AU270*(1+'Calc base'!I271),2)-K271)</f>
        <v>0</v>
      </c>
      <c r="AV271">
        <f>MAX(0,ROUND(AV270*(1+'Calc base'!J271),2)-L271)</f>
        <v>0</v>
      </c>
      <c r="AW271">
        <f>MAX(0,ROUND(AW270*(1+'Calc base'!K271),2)-M271)</f>
        <v>0</v>
      </c>
      <c r="AX271">
        <f>MAX(0,ROUND(AX270*(1+'Calc base'!L271),2)-N271)</f>
        <v>0</v>
      </c>
      <c r="AY271">
        <f>MAX(0,ROUND(AY270*(1+'Calc base'!M271),2)-O271)</f>
        <v>0</v>
      </c>
      <c r="AZ271">
        <f>MAX(0,ROUND(AZ270*(1+'Calc base'!N271),2)-P271)</f>
        <v>0</v>
      </c>
      <c r="BA271">
        <f>MAX(0,ROUND(BA270*(1+'Calc base'!O271),2)-Q271)</f>
        <v>0</v>
      </c>
      <c r="BB271">
        <f>MAX(0,ROUND(BB270*(1+'Calc base'!P271),2)-R271)</f>
        <v>0</v>
      </c>
      <c r="BC271">
        <f>MAX(0,ROUND(BC270*(1+'Calc base'!Q271),2)-S271)</f>
        <v>0</v>
      </c>
      <c r="BD271">
        <f>MAX(0,ROUND(BD270*(1+'Calc base'!R271),2)-T271)</f>
        <v>0</v>
      </c>
      <c r="BE271">
        <f>MAX(0,ROUND(BE270*(1+'Calc base'!S271),2)-U271)</f>
        <v>0</v>
      </c>
    </row>
    <row r="272">
      <c r="A272" t="n">
        <v>242</v>
      </c>
      <c r="B272">
        <f>SUMPRODUCT(ROUND($AT271:$BE271*(1+'Calc base'!$H272:$S272),2))</f>
        <v>0</v>
      </c>
      <c r="C272">
        <f>SUM(J272:U272)</f>
        <v>0</v>
      </c>
      <c r="G272">
        <f>SUM(AT272:BE272)</f>
        <v>0</v>
      </c>
      <c r="H272">
        <f>B272-G271</f>
        <v>0</v>
      </c>
      <c r="I272">
        <f>B272-G272</f>
        <v>0</v>
      </c>
      <c r="J272">
        <f>IF(AT271&lt;=0,0,IF(ROUND(AT271*(1+'Calc base'!H272),2)-MAX('Calc base'!C$12,ROUND('Calc base'!C$13*AT271,2))&lt;1,ROUND(AT271*(1+'Calc base'!H272),2),MAX('Calc base'!C$12,ROUND('Calc base'!C$13*AT271,2))))</f>
        <v>0</v>
      </c>
      <c r="K272">
        <f>IF(AU271&lt;=0,0,IF(ROUND(AU271*(1+'Calc base'!I272),2)-MAX('Calc base'!D$12,ROUND('Calc base'!D$13*AU271,2))&lt;1,ROUND(AU271*(1+'Calc base'!I272),2),MAX('Calc base'!D$12,ROUND('Calc base'!D$13*AU271,2))))</f>
        <v>0</v>
      </c>
      <c r="L272">
        <f>IF(AV271&lt;=0,0,IF(ROUND(AV271*(1+'Calc base'!J272),2)-MAX('Calc base'!E$12,ROUND('Calc base'!E$13*AV271,2))&lt;1,ROUND(AV271*(1+'Calc base'!J272),2),MAX('Calc base'!E$12,ROUND('Calc base'!E$13*AV271,2))))</f>
        <v>0</v>
      </c>
      <c r="M272">
        <f>IF(AW271&lt;=0,0,IF(ROUND(AW271*(1+'Calc base'!K272),2)-MAX('Calc base'!F$12,ROUND('Calc base'!F$13*AW271,2))&lt;1,ROUND(AW271*(1+'Calc base'!K272),2),MAX('Calc base'!F$12,ROUND('Calc base'!F$13*AW271,2))))</f>
        <v>0</v>
      </c>
      <c r="N272">
        <f>IF(AX271&lt;=0,0,IF(ROUND(AX271*(1+'Calc base'!L272),2)-MAX('Calc base'!G$12,ROUND('Calc base'!G$13*AX271,2))&lt;1,ROUND(AX271*(1+'Calc base'!L272),2),MAX('Calc base'!G$12,ROUND('Calc base'!G$13*AX271,2))))</f>
        <v>0</v>
      </c>
      <c r="O272">
        <f>IF(AY271&lt;=0,0,IF(ROUND(AY271*(1+'Calc base'!M272),2)-MAX('Calc base'!H$12,ROUND('Calc base'!H$13*AY271,2))&lt;1,ROUND(AY271*(1+'Calc base'!M272),2),MAX('Calc base'!H$12,ROUND('Calc base'!H$13*AY271,2))))</f>
        <v>0</v>
      </c>
      <c r="P272">
        <f>IF(AZ271&lt;=0,0,IF(ROUND(AZ271*(1+'Calc base'!N272),2)-MAX('Calc base'!I$12,ROUND('Calc base'!I$13*AZ271,2))&lt;1,ROUND(AZ271*(1+'Calc base'!N272),2),MAX('Calc base'!I$12,ROUND('Calc base'!I$13*AZ271,2))))</f>
        <v>0</v>
      </c>
      <c r="Q272">
        <f>IF(BA271&lt;=0,0,IF(ROUND(BA271*(1+'Calc base'!O272),2)-MAX('Calc base'!J$12,ROUND('Calc base'!J$13*BA271,2))&lt;1,ROUND(BA271*(1+'Calc base'!O272),2),MAX('Calc base'!J$12,ROUND('Calc base'!J$13*BA271,2))))</f>
        <v>0</v>
      </c>
      <c r="R272">
        <f>IF(BB271&lt;=0,0,IF(ROUND(BB271*(1+'Calc base'!P272),2)-MAX('Calc base'!K$12,ROUND('Calc base'!K$13*BB271,2))&lt;1,ROUND(BB271*(1+'Calc base'!P272),2),MAX('Calc base'!K$12,ROUND('Calc base'!K$13*BB271,2))))</f>
        <v>0</v>
      </c>
      <c r="S272">
        <f>IF(BC271&lt;=0,0,IF(ROUND(BC271*(1+'Calc base'!Q272),2)-MAX('Calc base'!L$12,ROUND('Calc base'!L$13*BC271,2))&lt;1,ROUND(BC271*(1+'Calc base'!Q272),2),MAX('Calc base'!L$12,ROUND('Calc base'!L$13*BC271,2))))</f>
        <v>0</v>
      </c>
      <c r="T272">
        <f>IF(BD271&lt;=0,0,IF(ROUND(BD271*(1+'Calc base'!R272),2)-MAX('Calc base'!M$12,ROUND('Calc base'!M$13*BD271,2))&lt;1,ROUND(BD271*(1+'Calc base'!R272),2),MAX('Calc base'!M$12,ROUND('Calc base'!M$13*BD271,2))))</f>
        <v>0</v>
      </c>
      <c r="U272">
        <f>IF(BE271&lt;=0,0,IF(ROUND(BE271*(1+'Calc base'!S272),2)-MAX('Calc base'!N$12,ROUND('Calc base'!N$13*BE271,2))&lt;1,ROUND(BE271*(1+'Calc base'!S272),2),MAX('Calc base'!N$12,ROUND('Calc base'!N$13*BE271,2))))</f>
        <v>0</v>
      </c>
      <c r="AT272">
        <f>MAX(0,ROUND(AT271*(1+'Calc base'!H272),2)-J272)</f>
        <v>0</v>
      </c>
      <c r="AU272">
        <f>MAX(0,ROUND(AU271*(1+'Calc base'!I272),2)-K272)</f>
        <v>0</v>
      </c>
      <c r="AV272">
        <f>MAX(0,ROUND(AV271*(1+'Calc base'!J272),2)-L272)</f>
        <v>0</v>
      </c>
      <c r="AW272">
        <f>MAX(0,ROUND(AW271*(1+'Calc base'!K272),2)-M272)</f>
        <v>0</v>
      </c>
      <c r="AX272">
        <f>MAX(0,ROUND(AX271*(1+'Calc base'!L272),2)-N272)</f>
        <v>0</v>
      </c>
      <c r="AY272">
        <f>MAX(0,ROUND(AY271*(1+'Calc base'!M272),2)-O272)</f>
        <v>0</v>
      </c>
      <c r="AZ272">
        <f>MAX(0,ROUND(AZ271*(1+'Calc base'!N272),2)-P272)</f>
        <v>0</v>
      </c>
      <c r="BA272">
        <f>MAX(0,ROUND(BA271*(1+'Calc base'!O272),2)-Q272)</f>
        <v>0</v>
      </c>
      <c r="BB272">
        <f>MAX(0,ROUND(BB271*(1+'Calc base'!P272),2)-R272)</f>
        <v>0</v>
      </c>
      <c r="BC272">
        <f>MAX(0,ROUND(BC271*(1+'Calc base'!Q272),2)-S272)</f>
        <v>0</v>
      </c>
      <c r="BD272">
        <f>MAX(0,ROUND(BD271*(1+'Calc base'!R272),2)-T272)</f>
        <v>0</v>
      </c>
      <c r="BE272">
        <f>MAX(0,ROUND(BE271*(1+'Calc base'!S272),2)-U272)</f>
        <v>0</v>
      </c>
    </row>
    <row r="273">
      <c r="A273" t="n">
        <v>243</v>
      </c>
      <c r="B273">
        <f>SUMPRODUCT(ROUND($AT272:$BE272*(1+'Calc base'!$H273:$S273),2))</f>
        <v>0</v>
      </c>
      <c r="C273">
        <f>SUM(J273:U273)</f>
        <v>0</v>
      </c>
      <c r="G273">
        <f>SUM(AT273:BE273)</f>
        <v>0</v>
      </c>
      <c r="H273">
        <f>B273-G272</f>
        <v>0</v>
      </c>
      <c r="I273">
        <f>B273-G273</f>
        <v>0</v>
      </c>
      <c r="J273">
        <f>IF(AT272&lt;=0,0,IF(ROUND(AT272*(1+'Calc base'!H273),2)-MAX('Calc base'!C$12,ROUND('Calc base'!C$13*AT272,2))&lt;1,ROUND(AT272*(1+'Calc base'!H273),2),MAX('Calc base'!C$12,ROUND('Calc base'!C$13*AT272,2))))</f>
        <v>0</v>
      </c>
      <c r="K273">
        <f>IF(AU272&lt;=0,0,IF(ROUND(AU272*(1+'Calc base'!I273),2)-MAX('Calc base'!D$12,ROUND('Calc base'!D$13*AU272,2))&lt;1,ROUND(AU272*(1+'Calc base'!I273),2),MAX('Calc base'!D$12,ROUND('Calc base'!D$13*AU272,2))))</f>
        <v>0</v>
      </c>
      <c r="L273">
        <f>IF(AV272&lt;=0,0,IF(ROUND(AV272*(1+'Calc base'!J273),2)-MAX('Calc base'!E$12,ROUND('Calc base'!E$13*AV272,2))&lt;1,ROUND(AV272*(1+'Calc base'!J273),2),MAX('Calc base'!E$12,ROUND('Calc base'!E$13*AV272,2))))</f>
        <v>0</v>
      </c>
      <c r="M273">
        <f>IF(AW272&lt;=0,0,IF(ROUND(AW272*(1+'Calc base'!K273),2)-MAX('Calc base'!F$12,ROUND('Calc base'!F$13*AW272,2))&lt;1,ROUND(AW272*(1+'Calc base'!K273),2),MAX('Calc base'!F$12,ROUND('Calc base'!F$13*AW272,2))))</f>
        <v>0</v>
      </c>
      <c r="N273">
        <f>IF(AX272&lt;=0,0,IF(ROUND(AX272*(1+'Calc base'!L273),2)-MAX('Calc base'!G$12,ROUND('Calc base'!G$13*AX272,2))&lt;1,ROUND(AX272*(1+'Calc base'!L273),2),MAX('Calc base'!G$12,ROUND('Calc base'!G$13*AX272,2))))</f>
        <v>0</v>
      </c>
      <c r="O273">
        <f>IF(AY272&lt;=0,0,IF(ROUND(AY272*(1+'Calc base'!M273),2)-MAX('Calc base'!H$12,ROUND('Calc base'!H$13*AY272,2))&lt;1,ROUND(AY272*(1+'Calc base'!M273),2),MAX('Calc base'!H$12,ROUND('Calc base'!H$13*AY272,2))))</f>
        <v>0</v>
      </c>
      <c r="P273">
        <f>IF(AZ272&lt;=0,0,IF(ROUND(AZ272*(1+'Calc base'!N273),2)-MAX('Calc base'!I$12,ROUND('Calc base'!I$13*AZ272,2))&lt;1,ROUND(AZ272*(1+'Calc base'!N273),2),MAX('Calc base'!I$12,ROUND('Calc base'!I$13*AZ272,2))))</f>
        <v>0</v>
      </c>
      <c r="Q273">
        <f>IF(BA272&lt;=0,0,IF(ROUND(BA272*(1+'Calc base'!O273),2)-MAX('Calc base'!J$12,ROUND('Calc base'!J$13*BA272,2))&lt;1,ROUND(BA272*(1+'Calc base'!O273),2),MAX('Calc base'!J$12,ROUND('Calc base'!J$13*BA272,2))))</f>
        <v>0</v>
      </c>
      <c r="R273">
        <f>IF(BB272&lt;=0,0,IF(ROUND(BB272*(1+'Calc base'!P273),2)-MAX('Calc base'!K$12,ROUND('Calc base'!K$13*BB272,2))&lt;1,ROUND(BB272*(1+'Calc base'!P273),2),MAX('Calc base'!K$12,ROUND('Calc base'!K$13*BB272,2))))</f>
        <v>0</v>
      </c>
      <c r="S273">
        <f>IF(BC272&lt;=0,0,IF(ROUND(BC272*(1+'Calc base'!Q273),2)-MAX('Calc base'!L$12,ROUND('Calc base'!L$13*BC272,2))&lt;1,ROUND(BC272*(1+'Calc base'!Q273),2),MAX('Calc base'!L$12,ROUND('Calc base'!L$13*BC272,2))))</f>
        <v>0</v>
      </c>
      <c r="T273">
        <f>IF(BD272&lt;=0,0,IF(ROUND(BD272*(1+'Calc base'!R273),2)-MAX('Calc base'!M$12,ROUND('Calc base'!M$13*BD272,2))&lt;1,ROUND(BD272*(1+'Calc base'!R273),2),MAX('Calc base'!M$12,ROUND('Calc base'!M$13*BD272,2))))</f>
        <v>0</v>
      </c>
      <c r="U273">
        <f>IF(BE272&lt;=0,0,IF(ROUND(BE272*(1+'Calc base'!S273),2)-MAX('Calc base'!N$12,ROUND('Calc base'!N$13*BE272,2))&lt;1,ROUND(BE272*(1+'Calc base'!S273),2),MAX('Calc base'!N$12,ROUND('Calc base'!N$13*BE272,2))))</f>
        <v>0</v>
      </c>
      <c r="AT273">
        <f>MAX(0,ROUND(AT272*(1+'Calc base'!H273),2)-J273)</f>
        <v>0</v>
      </c>
      <c r="AU273">
        <f>MAX(0,ROUND(AU272*(1+'Calc base'!I273),2)-K273)</f>
        <v>0</v>
      </c>
      <c r="AV273">
        <f>MAX(0,ROUND(AV272*(1+'Calc base'!J273),2)-L273)</f>
        <v>0</v>
      </c>
      <c r="AW273">
        <f>MAX(0,ROUND(AW272*(1+'Calc base'!K273),2)-M273)</f>
        <v>0</v>
      </c>
      <c r="AX273">
        <f>MAX(0,ROUND(AX272*(1+'Calc base'!L273),2)-N273)</f>
        <v>0</v>
      </c>
      <c r="AY273">
        <f>MAX(0,ROUND(AY272*(1+'Calc base'!M273),2)-O273)</f>
        <v>0</v>
      </c>
      <c r="AZ273">
        <f>MAX(0,ROUND(AZ272*(1+'Calc base'!N273),2)-P273)</f>
        <v>0</v>
      </c>
      <c r="BA273">
        <f>MAX(0,ROUND(BA272*(1+'Calc base'!O273),2)-Q273)</f>
        <v>0</v>
      </c>
      <c r="BB273">
        <f>MAX(0,ROUND(BB272*(1+'Calc base'!P273),2)-R273)</f>
        <v>0</v>
      </c>
      <c r="BC273">
        <f>MAX(0,ROUND(BC272*(1+'Calc base'!Q273),2)-S273)</f>
        <v>0</v>
      </c>
      <c r="BD273">
        <f>MAX(0,ROUND(BD272*(1+'Calc base'!R273),2)-T273)</f>
        <v>0</v>
      </c>
      <c r="BE273">
        <f>MAX(0,ROUND(BE272*(1+'Calc base'!S273),2)-U273)</f>
        <v>0</v>
      </c>
    </row>
    <row r="274">
      <c r="A274" t="n">
        <v>244</v>
      </c>
      <c r="B274">
        <f>SUMPRODUCT(ROUND($AT273:$BE273*(1+'Calc base'!$H274:$S274),2))</f>
        <v>0</v>
      </c>
      <c r="C274">
        <f>SUM(J274:U274)</f>
        <v>0</v>
      </c>
      <c r="G274">
        <f>SUM(AT274:BE274)</f>
        <v>0</v>
      </c>
      <c r="H274">
        <f>B274-G273</f>
        <v>0</v>
      </c>
      <c r="I274">
        <f>B274-G274</f>
        <v>0</v>
      </c>
      <c r="J274">
        <f>IF(AT273&lt;=0,0,IF(ROUND(AT273*(1+'Calc base'!H274),2)-MAX('Calc base'!C$12,ROUND('Calc base'!C$13*AT273,2))&lt;1,ROUND(AT273*(1+'Calc base'!H274),2),MAX('Calc base'!C$12,ROUND('Calc base'!C$13*AT273,2))))</f>
        <v>0</v>
      </c>
      <c r="K274">
        <f>IF(AU273&lt;=0,0,IF(ROUND(AU273*(1+'Calc base'!I274),2)-MAX('Calc base'!D$12,ROUND('Calc base'!D$13*AU273,2))&lt;1,ROUND(AU273*(1+'Calc base'!I274),2),MAX('Calc base'!D$12,ROUND('Calc base'!D$13*AU273,2))))</f>
        <v>0</v>
      </c>
      <c r="L274">
        <f>IF(AV273&lt;=0,0,IF(ROUND(AV273*(1+'Calc base'!J274),2)-MAX('Calc base'!E$12,ROUND('Calc base'!E$13*AV273,2))&lt;1,ROUND(AV273*(1+'Calc base'!J274),2),MAX('Calc base'!E$12,ROUND('Calc base'!E$13*AV273,2))))</f>
        <v>0</v>
      </c>
      <c r="M274">
        <f>IF(AW273&lt;=0,0,IF(ROUND(AW273*(1+'Calc base'!K274),2)-MAX('Calc base'!F$12,ROUND('Calc base'!F$13*AW273,2))&lt;1,ROUND(AW273*(1+'Calc base'!K274),2),MAX('Calc base'!F$12,ROUND('Calc base'!F$13*AW273,2))))</f>
        <v>0</v>
      </c>
      <c r="N274">
        <f>IF(AX273&lt;=0,0,IF(ROUND(AX273*(1+'Calc base'!L274),2)-MAX('Calc base'!G$12,ROUND('Calc base'!G$13*AX273,2))&lt;1,ROUND(AX273*(1+'Calc base'!L274),2),MAX('Calc base'!G$12,ROUND('Calc base'!G$13*AX273,2))))</f>
        <v>0</v>
      </c>
      <c r="O274">
        <f>IF(AY273&lt;=0,0,IF(ROUND(AY273*(1+'Calc base'!M274),2)-MAX('Calc base'!H$12,ROUND('Calc base'!H$13*AY273,2))&lt;1,ROUND(AY273*(1+'Calc base'!M274),2),MAX('Calc base'!H$12,ROUND('Calc base'!H$13*AY273,2))))</f>
        <v>0</v>
      </c>
      <c r="P274">
        <f>IF(AZ273&lt;=0,0,IF(ROUND(AZ273*(1+'Calc base'!N274),2)-MAX('Calc base'!I$12,ROUND('Calc base'!I$13*AZ273,2))&lt;1,ROUND(AZ273*(1+'Calc base'!N274),2),MAX('Calc base'!I$12,ROUND('Calc base'!I$13*AZ273,2))))</f>
        <v>0</v>
      </c>
      <c r="Q274">
        <f>IF(BA273&lt;=0,0,IF(ROUND(BA273*(1+'Calc base'!O274),2)-MAX('Calc base'!J$12,ROUND('Calc base'!J$13*BA273,2))&lt;1,ROUND(BA273*(1+'Calc base'!O274),2),MAX('Calc base'!J$12,ROUND('Calc base'!J$13*BA273,2))))</f>
        <v>0</v>
      </c>
      <c r="R274">
        <f>IF(BB273&lt;=0,0,IF(ROUND(BB273*(1+'Calc base'!P274),2)-MAX('Calc base'!K$12,ROUND('Calc base'!K$13*BB273,2))&lt;1,ROUND(BB273*(1+'Calc base'!P274),2),MAX('Calc base'!K$12,ROUND('Calc base'!K$13*BB273,2))))</f>
        <v>0</v>
      </c>
      <c r="S274">
        <f>IF(BC273&lt;=0,0,IF(ROUND(BC273*(1+'Calc base'!Q274),2)-MAX('Calc base'!L$12,ROUND('Calc base'!L$13*BC273,2))&lt;1,ROUND(BC273*(1+'Calc base'!Q274),2),MAX('Calc base'!L$12,ROUND('Calc base'!L$13*BC273,2))))</f>
        <v>0</v>
      </c>
      <c r="T274">
        <f>IF(BD273&lt;=0,0,IF(ROUND(BD273*(1+'Calc base'!R274),2)-MAX('Calc base'!M$12,ROUND('Calc base'!M$13*BD273,2))&lt;1,ROUND(BD273*(1+'Calc base'!R274),2),MAX('Calc base'!M$12,ROUND('Calc base'!M$13*BD273,2))))</f>
        <v>0</v>
      </c>
      <c r="U274">
        <f>IF(BE273&lt;=0,0,IF(ROUND(BE273*(1+'Calc base'!S274),2)-MAX('Calc base'!N$12,ROUND('Calc base'!N$13*BE273,2))&lt;1,ROUND(BE273*(1+'Calc base'!S274),2),MAX('Calc base'!N$12,ROUND('Calc base'!N$13*BE273,2))))</f>
        <v>0</v>
      </c>
      <c r="AT274">
        <f>MAX(0,ROUND(AT273*(1+'Calc base'!H274),2)-J274)</f>
        <v>0</v>
      </c>
      <c r="AU274">
        <f>MAX(0,ROUND(AU273*(1+'Calc base'!I274),2)-K274)</f>
        <v>0</v>
      </c>
      <c r="AV274">
        <f>MAX(0,ROUND(AV273*(1+'Calc base'!J274),2)-L274)</f>
        <v>0</v>
      </c>
      <c r="AW274">
        <f>MAX(0,ROUND(AW273*(1+'Calc base'!K274),2)-M274)</f>
        <v>0</v>
      </c>
      <c r="AX274">
        <f>MAX(0,ROUND(AX273*(1+'Calc base'!L274),2)-N274)</f>
        <v>0</v>
      </c>
      <c r="AY274">
        <f>MAX(0,ROUND(AY273*(1+'Calc base'!M274),2)-O274)</f>
        <v>0</v>
      </c>
      <c r="AZ274">
        <f>MAX(0,ROUND(AZ273*(1+'Calc base'!N274),2)-P274)</f>
        <v>0</v>
      </c>
      <c r="BA274">
        <f>MAX(0,ROUND(BA273*(1+'Calc base'!O274),2)-Q274)</f>
        <v>0</v>
      </c>
      <c r="BB274">
        <f>MAX(0,ROUND(BB273*(1+'Calc base'!P274),2)-R274)</f>
        <v>0</v>
      </c>
      <c r="BC274">
        <f>MAX(0,ROUND(BC273*(1+'Calc base'!Q274),2)-S274)</f>
        <v>0</v>
      </c>
      <c r="BD274">
        <f>MAX(0,ROUND(BD273*(1+'Calc base'!R274),2)-T274)</f>
        <v>0</v>
      </c>
      <c r="BE274">
        <f>MAX(0,ROUND(BE273*(1+'Calc base'!S274),2)-U274)</f>
        <v>0</v>
      </c>
    </row>
    <row r="275">
      <c r="A275" t="n">
        <v>245</v>
      </c>
      <c r="B275">
        <f>SUMPRODUCT(ROUND($AT274:$BE274*(1+'Calc base'!$H275:$S275),2))</f>
        <v>0</v>
      </c>
      <c r="C275">
        <f>SUM(J275:U275)</f>
        <v>0</v>
      </c>
      <c r="G275">
        <f>SUM(AT275:BE275)</f>
        <v>0</v>
      </c>
      <c r="H275">
        <f>B275-G274</f>
        <v>0</v>
      </c>
      <c r="I275">
        <f>B275-G275</f>
        <v>0</v>
      </c>
      <c r="J275">
        <f>IF(AT274&lt;=0,0,IF(ROUND(AT274*(1+'Calc base'!H275),2)-MAX('Calc base'!C$12,ROUND('Calc base'!C$13*AT274,2))&lt;1,ROUND(AT274*(1+'Calc base'!H275),2),MAX('Calc base'!C$12,ROUND('Calc base'!C$13*AT274,2))))</f>
        <v>0</v>
      </c>
      <c r="K275">
        <f>IF(AU274&lt;=0,0,IF(ROUND(AU274*(1+'Calc base'!I275),2)-MAX('Calc base'!D$12,ROUND('Calc base'!D$13*AU274,2))&lt;1,ROUND(AU274*(1+'Calc base'!I275),2),MAX('Calc base'!D$12,ROUND('Calc base'!D$13*AU274,2))))</f>
        <v>0</v>
      </c>
      <c r="L275">
        <f>IF(AV274&lt;=0,0,IF(ROUND(AV274*(1+'Calc base'!J275),2)-MAX('Calc base'!E$12,ROUND('Calc base'!E$13*AV274,2))&lt;1,ROUND(AV274*(1+'Calc base'!J275),2),MAX('Calc base'!E$12,ROUND('Calc base'!E$13*AV274,2))))</f>
        <v>0</v>
      </c>
      <c r="M275">
        <f>IF(AW274&lt;=0,0,IF(ROUND(AW274*(1+'Calc base'!K275),2)-MAX('Calc base'!F$12,ROUND('Calc base'!F$13*AW274,2))&lt;1,ROUND(AW274*(1+'Calc base'!K275),2),MAX('Calc base'!F$12,ROUND('Calc base'!F$13*AW274,2))))</f>
        <v>0</v>
      </c>
      <c r="N275">
        <f>IF(AX274&lt;=0,0,IF(ROUND(AX274*(1+'Calc base'!L275),2)-MAX('Calc base'!G$12,ROUND('Calc base'!G$13*AX274,2))&lt;1,ROUND(AX274*(1+'Calc base'!L275),2),MAX('Calc base'!G$12,ROUND('Calc base'!G$13*AX274,2))))</f>
        <v>0</v>
      </c>
      <c r="O275">
        <f>IF(AY274&lt;=0,0,IF(ROUND(AY274*(1+'Calc base'!M275),2)-MAX('Calc base'!H$12,ROUND('Calc base'!H$13*AY274,2))&lt;1,ROUND(AY274*(1+'Calc base'!M275),2),MAX('Calc base'!H$12,ROUND('Calc base'!H$13*AY274,2))))</f>
        <v>0</v>
      </c>
      <c r="P275">
        <f>IF(AZ274&lt;=0,0,IF(ROUND(AZ274*(1+'Calc base'!N275),2)-MAX('Calc base'!I$12,ROUND('Calc base'!I$13*AZ274,2))&lt;1,ROUND(AZ274*(1+'Calc base'!N275),2),MAX('Calc base'!I$12,ROUND('Calc base'!I$13*AZ274,2))))</f>
        <v>0</v>
      </c>
      <c r="Q275">
        <f>IF(BA274&lt;=0,0,IF(ROUND(BA274*(1+'Calc base'!O275),2)-MAX('Calc base'!J$12,ROUND('Calc base'!J$13*BA274,2))&lt;1,ROUND(BA274*(1+'Calc base'!O275),2),MAX('Calc base'!J$12,ROUND('Calc base'!J$13*BA274,2))))</f>
        <v>0</v>
      </c>
      <c r="R275">
        <f>IF(BB274&lt;=0,0,IF(ROUND(BB274*(1+'Calc base'!P275),2)-MAX('Calc base'!K$12,ROUND('Calc base'!K$13*BB274,2))&lt;1,ROUND(BB274*(1+'Calc base'!P275),2),MAX('Calc base'!K$12,ROUND('Calc base'!K$13*BB274,2))))</f>
        <v>0</v>
      </c>
      <c r="S275">
        <f>IF(BC274&lt;=0,0,IF(ROUND(BC274*(1+'Calc base'!Q275),2)-MAX('Calc base'!L$12,ROUND('Calc base'!L$13*BC274,2))&lt;1,ROUND(BC274*(1+'Calc base'!Q275),2),MAX('Calc base'!L$12,ROUND('Calc base'!L$13*BC274,2))))</f>
        <v>0</v>
      </c>
      <c r="T275">
        <f>IF(BD274&lt;=0,0,IF(ROUND(BD274*(1+'Calc base'!R275),2)-MAX('Calc base'!M$12,ROUND('Calc base'!M$13*BD274,2))&lt;1,ROUND(BD274*(1+'Calc base'!R275),2),MAX('Calc base'!M$12,ROUND('Calc base'!M$13*BD274,2))))</f>
        <v>0</v>
      </c>
      <c r="U275">
        <f>IF(BE274&lt;=0,0,IF(ROUND(BE274*(1+'Calc base'!S275),2)-MAX('Calc base'!N$12,ROUND('Calc base'!N$13*BE274,2))&lt;1,ROUND(BE274*(1+'Calc base'!S275),2),MAX('Calc base'!N$12,ROUND('Calc base'!N$13*BE274,2))))</f>
        <v>0</v>
      </c>
      <c r="AT275">
        <f>MAX(0,ROUND(AT274*(1+'Calc base'!H275),2)-J275)</f>
        <v>0</v>
      </c>
      <c r="AU275">
        <f>MAX(0,ROUND(AU274*(1+'Calc base'!I275),2)-K275)</f>
        <v>0</v>
      </c>
      <c r="AV275">
        <f>MAX(0,ROUND(AV274*(1+'Calc base'!J275),2)-L275)</f>
        <v>0</v>
      </c>
      <c r="AW275">
        <f>MAX(0,ROUND(AW274*(1+'Calc base'!K275),2)-M275)</f>
        <v>0</v>
      </c>
      <c r="AX275">
        <f>MAX(0,ROUND(AX274*(1+'Calc base'!L275),2)-N275)</f>
        <v>0</v>
      </c>
      <c r="AY275">
        <f>MAX(0,ROUND(AY274*(1+'Calc base'!M275),2)-O275)</f>
        <v>0</v>
      </c>
      <c r="AZ275">
        <f>MAX(0,ROUND(AZ274*(1+'Calc base'!N275),2)-P275)</f>
        <v>0</v>
      </c>
      <c r="BA275">
        <f>MAX(0,ROUND(BA274*(1+'Calc base'!O275),2)-Q275)</f>
        <v>0</v>
      </c>
      <c r="BB275">
        <f>MAX(0,ROUND(BB274*(1+'Calc base'!P275),2)-R275)</f>
        <v>0</v>
      </c>
      <c r="BC275">
        <f>MAX(0,ROUND(BC274*(1+'Calc base'!Q275),2)-S275)</f>
        <v>0</v>
      </c>
      <c r="BD275">
        <f>MAX(0,ROUND(BD274*(1+'Calc base'!R275),2)-T275)</f>
        <v>0</v>
      </c>
      <c r="BE275">
        <f>MAX(0,ROUND(BE274*(1+'Calc base'!S275),2)-U275)</f>
        <v>0</v>
      </c>
    </row>
    <row r="276">
      <c r="A276" t="n">
        <v>246</v>
      </c>
      <c r="B276">
        <f>SUMPRODUCT(ROUND($AT275:$BE275*(1+'Calc base'!$H276:$S276),2))</f>
        <v>0</v>
      </c>
      <c r="C276">
        <f>SUM(J276:U276)</f>
        <v>0</v>
      </c>
      <c r="G276">
        <f>SUM(AT276:BE276)</f>
        <v>0</v>
      </c>
      <c r="H276">
        <f>B276-G275</f>
        <v>0</v>
      </c>
      <c r="I276">
        <f>B276-G276</f>
        <v>0</v>
      </c>
      <c r="J276">
        <f>IF(AT275&lt;=0,0,IF(ROUND(AT275*(1+'Calc base'!H276),2)-MAX('Calc base'!C$12,ROUND('Calc base'!C$13*AT275,2))&lt;1,ROUND(AT275*(1+'Calc base'!H276),2),MAX('Calc base'!C$12,ROUND('Calc base'!C$13*AT275,2))))</f>
        <v>0</v>
      </c>
      <c r="K276">
        <f>IF(AU275&lt;=0,0,IF(ROUND(AU275*(1+'Calc base'!I276),2)-MAX('Calc base'!D$12,ROUND('Calc base'!D$13*AU275,2))&lt;1,ROUND(AU275*(1+'Calc base'!I276),2),MAX('Calc base'!D$12,ROUND('Calc base'!D$13*AU275,2))))</f>
        <v>0</v>
      </c>
      <c r="L276">
        <f>IF(AV275&lt;=0,0,IF(ROUND(AV275*(1+'Calc base'!J276),2)-MAX('Calc base'!E$12,ROUND('Calc base'!E$13*AV275,2))&lt;1,ROUND(AV275*(1+'Calc base'!J276),2),MAX('Calc base'!E$12,ROUND('Calc base'!E$13*AV275,2))))</f>
        <v>0</v>
      </c>
      <c r="M276">
        <f>IF(AW275&lt;=0,0,IF(ROUND(AW275*(1+'Calc base'!K276),2)-MAX('Calc base'!F$12,ROUND('Calc base'!F$13*AW275,2))&lt;1,ROUND(AW275*(1+'Calc base'!K276),2),MAX('Calc base'!F$12,ROUND('Calc base'!F$13*AW275,2))))</f>
        <v>0</v>
      </c>
      <c r="N276">
        <f>IF(AX275&lt;=0,0,IF(ROUND(AX275*(1+'Calc base'!L276),2)-MAX('Calc base'!G$12,ROUND('Calc base'!G$13*AX275,2))&lt;1,ROUND(AX275*(1+'Calc base'!L276),2),MAX('Calc base'!G$12,ROUND('Calc base'!G$13*AX275,2))))</f>
        <v>0</v>
      </c>
      <c r="O276">
        <f>IF(AY275&lt;=0,0,IF(ROUND(AY275*(1+'Calc base'!M276),2)-MAX('Calc base'!H$12,ROUND('Calc base'!H$13*AY275,2))&lt;1,ROUND(AY275*(1+'Calc base'!M276),2),MAX('Calc base'!H$12,ROUND('Calc base'!H$13*AY275,2))))</f>
        <v>0</v>
      </c>
      <c r="P276">
        <f>IF(AZ275&lt;=0,0,IF(ROUND(AZ275*(1+'Calc base'!N276),2)-MAX('Calc base'!I$12,ROUND('Calc base'!I$13*AZ275,2))&lt;1,ROUND(AZ275*(1+'Calc base'!N276),2),MAX('Calc base'!I$12,ROUND('Calc base'!I$13*AZ275,2))))</f>
        <v>0</v>
      </c>
      <c r="Q276">
        <f>IF(BA275&lt;=0,0,IF(ROUND(BA275*(1+'Calc base'!O276),2)-MAX('Calc base'!J$12,ROUND('Calc base'!J$13*BA275,2))&lt;1,ROUND(BA275*(1+'Calc base'!O276),2),MAX('Calc base'!J$12,ROUND('Calc base'!J$13*BA275,2))))</f>
        <v>0</v>
      </c>
      <c r="R276">
        <f>IF(BB275&lt;=0,0,IF(ROUND(BB275*(1+'Calc base'!P276),2)-MAX('Calc base'!K$12,ROUND('Calc base'!K$13*BB275,2))&lt;1,ROUND(BB275*(1+'Calc base'!P276),2),MAX('Calc base'!K$12,ROUND('Calc base'!K$13*BB275,2))))</f>
        <v>0</v>
      </c>
      <c r="S276">
        <f>IF(BC275&lt;=0,0,IF(ROUND(BC275*(1+'Calc base'!Q276),2)-MAX('Calc base'!L$12,ROUND('Calc base'!L$13*BC275,2))&lt;1,ROUND(BC275*(1+'Calc base'!Q276),2),MAX('Calc base'!L$12,ROUND('Calc base'!L$13*BC275,2))))</f>
        <v>0</v>
      </c>
      <c r="T276">
        <f>IF(BD275&lt;=0,0,IF(ROUND(BD275*(1+'Calc base'!R276),2)-MAX('Calc base'!M$12,ROUND('Calc base'!M$13*BD275,2))&lt;1,ROUND(BD275*(1+'Calc base'!R276),2),MAX('Calc base'!M$12,ROUND('Calc base'!M$13*BD275,2))))</f>
        <v>0</v>
      </c>
      <c r="U276">
        <f>IF(BE275&lt;=0,0,IF(ROUND(BE275*(1+'Calc base'!S276),2)-MAX('Calc base'!N$12,ROUND('Calc base'!N$13*BE275,2))&lt;1,ROUND(BE275*(1+'Calc base'!S276),2),MAX('Calc base'!N$12,ROUND('Calc base'!N$13*BE275,2))))</f>
        <v>0</v>
      </c>
      <c r="AT276">
        <f>MAX(0,ROUND(AT275*(1+'Calc base'!H276),2)-J276)</f>
        <v>0</v>
      </c>
      <c r="AU276">
        <f>MAX(0,ROUND(AU275*(1+'Calc base'!I276),2)-K276)</f>
        <v>0</v>
      </c>
      <c r="AV276">
        <f>MAX(0,ROUND(AV275*(1+'Calc base'!J276),2)-L276)</f>
        <v>0</v>
      </c>
      <c r="AW276">
        <f>MAX(0,ROUND(AW275*(1+'Calc base'!K276),2)-M276)</f>
        <v>0</v>
      </c>
      <c r="AX276">
        <f>MAX(0,ROUND(AX275*(1+'Calc base'!L276),2)-N276)</f>
        <v>0</v>
      </c>
      <c r="AY276">
        <f>MAX(0,ROUND(AY275*(1+'Calc base'!M276),2)-O276)</f>
        <v>0</v>
      </c>
      <c r="AZ276">
        <f>MAX(0,ROUND(AZ275*(1+'Calc base'!N276),2)-P276)</f>
        <v>0</v>
      </c>
      <c r="BA276">
        <f>MAX(0,ROUND(BA275*(1+'Calc base'!O276),2)-Q276)</f>
        <v>0</v>
      </c>
      <c r="BB276">
        <f>MAX(0,ROUND(BB275*(1+'Calc base'!P276),2)-R276)</f>
        <v>0</v>
      </c>
      <c r="BC276">
        <f>MAX(0,ROUND(BC275*(1+'Calc base'!Q276),2)-S276)</f>
        <v>0</v>
      </c>
      <c r="BD276">
        <f>MAX(0,ROUND(BD275*(1+'Calc base'!R276),2)-T276)</f>
        <v>0</v>
      </c>
      <c r="BE276">
        <f>MAX(0,ROUND(BE275*(1+'Calc base'!S276),2)-U276)</f>
        <v>0</v>
      </c>
    </row>
    <row r="277">
      <c r="A277" t="n">
        <v>247</v>
      </c>
      <c r="B277">
        <f>SUMPRODUCT(ROUND($AT276:$BE276*(1+'Calc base'!$H277:$S277),2))</f>
        <v>0</v>
      </c>
      <c r="C277">
        <f>SUM(J277:U277)</f>
        <v>0</v>
      </c>
      <c r="G277">
        <f>SUM(AT277:BE277)</f>
        <v>0</v>
      </c>
      <c r="H277">
        <f>B277-G276</f>
        <v>0</v>
      </c>
      <c r="I277">
        <f>B277-G277</f>
        <v>0</v>
      </c>
      <c r="J277">
        <f>IF(AT276&lt;=0,0,IF(ROUND(AT276*(1+'Calc base'!H277),2)-MAX('Calc base'!C$12,ROUND('Calc base'!C$13*AT276,2))&lt;1,ROUND(AT276*(1+'Calc base'!H277),2),MAX('Calc base'!C$12,ROUND('Calc base'!C$13*AT276,2))))</f>
        <v>0</v>
      </c>
      <c r="K277">
        <f>IF(AU276&lt;=0,0,IF(ROUND(AU276*(1+'Calc base'!I277),2)-MAX('Calc base'!D$12,ROUND('Calc base'!D$13*AU276,2))&lt;1,ROUND(AU276*(1+'Calc base'!I277),2),MAX('Calc base'!D$12,ROUND('Calc base'!D$13*AU276,2))))</f>
        <v>0</v>
      </c>
      <c r="L277">
        <f>IF(AV276&lt;=0,0,IF(ROUND(AV276*(1+'Calc base'!J277),2)-MAX('Calc base'!E$12,ROUND('Calc base'!E$13*AV276,2))&lt;1,ROUND(AV276*(1+'Calc base'!J277),2),MAX('Calc base'!E$12,ROUND('Calc base'!E$13*AV276,2))))</f>
        <v>0</v>
      </c>
      <c r="M277">
        <f>IF(AW276&lt;=0,0,IF(ROUND(AW276*(1+'Calc base'!K277),2)-MAX('Calc base'!F$12,ROUND('Calc base'!F$13*AW276,2))&lt;1,ROUND(AW276*(1+'Calc base'!K277),2),MAX('Calc base'!F$12,ROUND('Calc base'!F$13*AW276,2))))</f>
        <v>0</v>
      </c>
      <c r="N277">
        <f>IF(AX276&lt;=0,0,IF(ROUND(AX276*(1+'Calc base'!L277),2)-MAX('Calc base'!G$12,ROUND('Calc base'!G$13*AX276,2))&lt;1,ROUND(AX276*(1+'Calc base'!L277),2),MAX('Calc base'!G$12,ROUND('Calc base'!G$13*AX276,2))))</f>
        <v>0</v>
      </c>
      <c r="O277">
        <f>IF(AY276&lt;=0,0,IF(ROUND(AY276*(1+'Calc base'!M277),2)-MAX('Calc base'!H$12,ROUND('Calc base'!H$13*AY276,2))&lt;1,ROUND(AY276*(1+'Calc base'!M277),2),MAX('Calc base'!H$12,ROUND('Calc base'!H$13*AY276,2))))</f>
        <v>0</v>
      </c>
      <c r="P277">
        <f>IF(AZ276&lt;=0,0,IF(ROUND(AZ276*(1+'Calc base'!N277),2)-MAX('Calc base'!I$12,ROUND('Calc base'!I$13*AZ276,2))&lt;1,ROUND(AZ276*(1+'Calc base'!N277),2),MAX('Calc base'!I$12,ROUND('Calc base'!I$13*AZ276,2))))</f>
        <v>0</v>
      </c>
      <c r="Q277">
        <f>IF(BA276&lt;=0,0,IF(ROUND(BA276*(1+'Calc base'!O277),2)-MAX('Calc base'!J$12,ROUND('Calc base'!J$13*BA276,2))&lt;1,ROUND(BA276*(1+'Calc base'!O277),2),MAX('Calc base'!J$12,ROUND('Calc base'!J$13*BA276,2))))</f>
        <v>0</v>
      </c>
      <c r="R277">
        <f>IF(BB276&lt;=0,0,IF(ROUND(BB276*(1+'Calc base'!P277),2)-MAX('Calc base'!K$12,ROUND('Calc base'!K$13*BB276,2))&lt;1,ROUND(BB276*(1+'Calc base'!P277),2),MAX('Calc base'!K$12,ROUND('Calc base'!K$13*BB276,2))))</f>
        <v>0</v>
      </c>
      <c r="S277">
        <f>IF(BC276&lt;=0,0,IF(ROUND(BC276*(1+'Calc base'!Q277),2)-MAX('Calc base'!L$12,ROUND('Calc base'!L$13*BC276,2))&lt;1,ROUND(BC276*(1+'Calc base'!Q277),2),MAX('Calc base'!L$12,ROUND('Calc base'!L$13*BC276,2))))</f>
        <v>0</v>
      </c>
      <c r="T277">
        <f>IF(BD276&lt;=0,0,IF(ROUND(BD276*(1+'Calc base'!R277),2)-MAX('Calc base'!M$12,ROUND('Calc base'!M$13*BD276,2))&lt;1,ROUND(BD276*(1+'Calc base'!R277),2),MAX('Calc base'!M$12,ROUND('Calc base'!M$13*BD276,2))))</f>
        <v>0</v>
      </c>
      <c r="U277">
        <f>IF(BE276&lt;=0,0,IF(ROUND(BE276*(1+'Calc base'!S277),2)-MAX('Calc base'!N$12,ROUND('Calc base'!N$13*BE276,2))&lt;1,ROUND(BE276*(1+'Calc base'!S277),2),MAX('Calc base'!N$12,ROUND('Calc base'!N$13*BE276,2))))</f>
        <v>0</v>
      </c>
      <c r="AT277">
        <f>MAX(0,ROUND(AT276*(1+'Calc base'!H277),2)-J277)</f>
        <v>0</v>
      </c>
      <c r="AU277">
        <f>MAX(0,ROUND(AU276*(1+'Calc base'!I277),2)-K277)</f>
        <v>0</v>
      </c>
      <c r="AV277">
        <f>MAX(0,ROUND(AV276*(1+'Calc base'!J277),2)-L277)</f>
        <v>0</v>
      </c>
      <c r="AW277">
        <f>MAX(0,ROUND(AW276*(1+'Calc base'!K277),2)-M277)</f>
        <v>0</v>
      </c>
      <c r="AX277">
        <f>MAX(0,ROUND(AX276*(1+'Calc base'!L277),2)-N277)</f>
        <v>0</v>
      </c>
      <c r="AY277">
        <f>MAX(0,ROUND(AY276*(1+'Calc base'!M277),2)-O277)</f>
        <v>0</v>
      </c>
      <c r="AZ277">
        <f>MAX(0,ROUND(AZ276*(1+'Calc base'!N277),2)-P277)</f>
        <v>0</v>
      </c>
      <c r="BA277">
        <f>MAX(0,ROUND(BA276*(1+'Calc base'!O277),2)-Q277)</f>
        <v>0</v>
      </c>
      <c r="BB277">
        <f>MAX(0,ROUND(BB276*(1+'Calc base'!P277),2)-R277)</f>
        <v>0</v>
      </c>
      <c r="BC277">
        <f>MAX(0,ROUND(BC276*(1+'Calc base'!Q277),2)-S277)</f>
        <v>0</v>
      </c>
      <c r="BD277">
        <f>MAX(0,ROUND(BD276*(1+'Calc base'!R277),2)-T277)</f>
        <v>0</v>
      </c>
      <c r="BE277">
        <f>MAX(0,ROUND(BE276*(1+'Calc base'!S277),2)-U277)</f>
        <v>0</v>
      </c>
    </row>
    <row r="278">
      <c r="A278" t="n">
        <v>248</v>
      </c>
      <c r="B278">
        <f>SUMPRODUCT(ROUND($AT277:$BE277*(1+'Calc base'!$H278:$S278),2))</f>
        <v>0</v>
      </c>
      <c r="C278">
        <f>SUM(J278:U278)</f>
        <v>0</v>
      </c>
      <c r="G278">
        <f>SUM(AT278:BE278)</f>
        <v>0</v>
      </c>
      <c r="H278">
        <f>B278-G277</f>
        <v>0</v>
      </c>
      <c r="I278">
        <f>B278-G278</f>
        <v>0</v>
      </c>
      <c r="J278">
        <f>IF(AT277&lt;=0,0,IF(ROUND(AT277*(1+'Calc base'!H278),2)-MAX('Calc base'!C$12,ROUND('Calc base'!C$13*AT277,2))&lt;1,ROUND(AT277*(1+'Calc base'!H278),2),MAX('Calc base'!C$12,ROUND('Calc base'!C$13*AT277,2))))</f>
        <v>0</v>
      </c>
      <c r="K278">
        <f>IF(AU277&lt;=0,0,IF(ROUND(AU277*(1+'Calc base'!I278),2)-MAX('Calc base'!D$12,ROUND('Calc base'!D$13*AU277,2))&lt;1,ROUND(AU277*(1+'Calc base'!I278),2),MAX('Calc base'!D$12,ROUND('Calc base'!D$13*AU277,2))))</f>
        <v>0</v>
      </c>
      <c r="L278">
        <f>IF(AV277&lt;=0,0,IF(ROUND(AV277*(1+'Calc base'!J278),2)-MAX('Calc base'!E$12,ROUND('Calc base'!E$13*AV277,2))&lt;1,ROUND(AV277*(1+'Calc base'!J278),2),MAX('Calc base'!E$12,ROUND('Calc base'!E$13*AV277,2))))</f>
        <v>0</v>
      </c>
      <c r="M278">
        <f>IF(AW277&lt;=0,0,IF(ROUND(AW277*(1+'Calc base'!K278),2)-MAX('Calc base'!F$12,ROUND('Calc base'!F$13*AW277,2))&lt;1,ROUND(AW277*(1+'Calc base'!K278),2),MAX('Calc base'!F$12,ROUND('Calc base'!F$13*AW277,2))))</f>
        <v>0</v>
      </c>
      <c r="N278">
        <f>IF(AX277&lt;=0,0,IF(ROUND(AX277*(1+'Calc base'!L278),2)-MAX('Calc base'!G$12,ROUND('Calc base'!G$13*AX277,2))&lt;1,ROUND(AX277*(1+'Calc base'!L278),2),MAX('Calc base'!G$12,ROUND('Calc base'!G$13*AX277,2))))</f>
        <v>0</v>
      </c>
      <c r="O278">
        <f>IF(AY277&lt;=0,0,IF(ROUND(AY277*(1+'Calc base'!M278),2)-MAX('Calc base'!H$12,ROUND('Calc base'!H$13*AY277,2))&lt;1,ROUND(AY277*(1+'Calc base'!M278),2),MAX('Calc base'!H$12,ROUND('Calc base'!H$13*AY277,2))))</f>
        <v>0</v>
      </c>
      <c r="P278">
        <f>IF(AZ277&lt;=0,0,IF(ROUND(AZ277*(1+'Calc base'!N278),2)-MAX('Calc base'!I$12,ROUND('Calc base'!I$13*AZ277,2))&lt;1,ROUND(AZ277*(1+'Calc base'!N278),2),MAX('Calc base'!I$12,ROUND('Calc base'!I$13*AZ277,2))))</f>
        <v>0</v>
      </c>
      <c r="Q278">
        <f>IF(BA277&lt;=0,0,IF(ROUND(BA277*(1+'Calc base'!O278),2)-MAX('Calc base'!J$12,ROUND('Calc base'!J$13*BA277,2))&lt;1,ROUND(BA277*(1+'Calc base'!O278),2),MAX('Calc base'!J$12,ROUND('Calc base'!J$13*BA277,2))))</f>
        <v>0</v>
      </c>
      <c r="R278">
        <f>IF(BB277&lt;=0,0,IF(ROUND(BB277*(1+'Calc base'!P278),2)-MAX('Calc base'!K$12,ROUND('Calc base'!K$13*BB277,2))&lt;1,ROUND(BB277*(1+'Calc base'!P278),2),MAX('Calc base'!K$12,ROUND('Calc base'!K$13*BB277,2))))</f>
        <v>0</v>
      </c>
      <c r="S278">
        <f>IF(BC277&lt;=0,0,IF(ROUND(BC277*(1+'Calc base'!Q278),2)-MAX('Calc base'!L$12,ROUND('Calc base'!L$13*BC277,2))&lt;1,ROUND(BC277*(1+'Calc base'!Q278),2),MAX('Calc base'!L$12,ROUND('Calc base'!L$13*BC277,2))))</f>
        <v>0</v>
      </c>
      <c r="T278">
        <f>IF(BD277&lt;=0,0,IF(ROUND(BD277*(1+'Calc base'!R278),2)-MAX('Calc base'!M$12,ROUND('Calc base'!M$13*BD277,2))&lt;1,ROUND(BD277*(1+'Calc base'!R278),2),MAX('Calc base'!M$12,ROUND('Calc base'!M$13*BD277,2))))</f>
        <v>0</v>
      </c>
      <c r="U278">
        <f>IF(BE277&lt;=0,0,IF(ROUND(BE277*(1+'Calc base'!S278),2)-MAX('Calc base'!N$12,ROUND('Calc base'!N$13*BE277,2))&lt;1,ROUND(BE277*(1+'Calc base'!S278),2),MAX('Calc base'!N$12,ROUND('Calc base'!N$13*BE277,2))))</f>
        <v>0</v>
      </c>
      <c r="AT278">
        <f>MAX(0,ROUND(AT277*(1+'Calc base'!H278),2)-J278)</f>
        <v>0</v>
      </c>
      <c r="AU278">
        <f>MAX(0,ROUND(AU277*(1+'Calc base'!I278),2)-K278)</f>
        <v>0</v>
      </c>
      <c r="AV278">
        <f>MAX(0,ROUND(AV277*(1+'Calc base'!J278),2)-L278)</f>
        <v>0</v>
      </c>
      <c r="AW278">
        <f>MAX(0,ROUND(AW277*(1+'Calc base'!K278),2)-M278)</f>
        <v>0</v>
      </c>
      <c r="AX278">
        <f>MAX(0,ROUND(AX277*(1+'Calc base'!L278),2)-N278)</f>
        <v>0</v>
      </c>
      <c r="AY278">
        <f>MAX(0,ROUND(AY277*(1+'Calc base'!M278),2)-O278)</f>
        <v>0</v>
      </c>
      <c r="AZ278">
        <f>MAX(0,ROUND(AZ277*(1+'Calc base'!N278),2)-P278)</f>
        <v>0</v>
      </c>
      <c r="BA278">
        <f>MAX(0,ROUND(BA277*(1+'Calc base'!O278),2)-Q278)</f>
        <v>0</v>
      </c>
      <c r="BB278">
        <f>MAX(0,ROUND(BB277*(1+'Calc base'!P278),2)-R278)</f>
        <v>0</v>
      </c>
      <c r="BC278">
        <f>MAX(0,ROUND(BC277*(1+'Calc base'!Q278),2)-S278)</f>
        <v>0</v>
      </c>
      <c r="BD278">
        <f>MAX(0,ROUND(BD277*(1+'Calc base'!R278),2)-T278)</f>
        <v>0</v>
      </c>
      <c r="BE278">
        <f>MAX(0,ROUND(BE277*(1+'Calc base'!S278),2)-U278)</f>
        <v>0</v>
      </c>
    </row>
    <row r="279">
      <c r="A279" t="n">
        <v>249</v>
      </c>
      <c r="B279">
        <f>SUMPRODUCT(ROUND($AT278:$BE278*(1+'Calc base'!$H279:$S279),2))</f>
        <v>0</v>
      </c>
      <c r="C279">
        <f>SUM(J279:U279)</f>
        <v>0</v>
      </c>
      <c r="G279">
        <f>SUM(AT279:BE279)</f>
        <v>0</v>
      </c>
      <c r="H279">
        <f>B279-G278</f>
        <v>0</v>
      </c>
      <c r="I279">
        <f>B279-G279</f>
        <v>0</v>
      </c>
      <c r="J279">
        <f>IF(AT278&lt;=0,0,IF(ROUND(AT278*(1+'Calc base'!H279),2)-MAX('Calc base'!C$12,ROUND('Calc base'!C$13*AT278,2))&lt;1,ROUND(AT278*(1+'Calc base'!H279),2),MAX('Calc base'!C$12,ROUND('Calc base'!C$13*AT278,2))))</f>
        <v>0</v>
      </c>
      <c r="K279">
        <f>IF(AU278&lt;=0,0,IF(ROUND(AU278*(1+'Calc base'!I279),2)-MAX('Calc base'!D$12,ROUND('Calc base'!D$13*AU278,2))&lt;1,ROUND(AU278*(1+'Calc base'!I279),2),MAX('Calc base'!D$12,ROUND('Calc base'!D$13*AU278,2))))</f>
        <v>0</v>
      </c>
      <c r="L279">
        <f>IF(AV278&lt;=0,0,IF(ROUND(AV278*(1+'Calc base'!J279),2)-MAX('Calc base'!E$12,ROUND('Calc base'!E$13*AV278,2))&lt;1,ROUND(AV278*(1+'Calc base'!J279),2),MAX('Calc base'!E$12,ROUND('Calc base'!E$13*AV278,2))))</f>
        <v>0</v>
      </c>
      <c r="M279">
        <f>IF(AW278&lt;=0,0,IF(ROUND(AW278*(1+'Calc base'!K279),2)-MAX('Calc base'!F$12,ROUND('Calc base'!F$13*AW278,2))&lt;1,ROUND(AW278*(1+'Calc base'!K279),2),MAX('Calc base'!F$12,ROUND('Calc base'!F$13*AW278,2))))</f>
        <v>0</v>
      </c>
      <c r="N279">
        <f>IF(AX278&lt;=0,0,IF(ROUND(AX278*(1+'Calc base'!L279),2)-MAX('Calc base'!G$12,ROUND('Calc base'!G$13*AX278,2))&lt;1,ROUND(AX278*(1+'Calc base'!L279),2),MAX('Calc base'!G$12,ROUND('Calc base'!G$13*AX278,2))))</f>
        <v>0</v>
      </c>
      <c r="O279">
        <f>IF(AY278&lt;=0,0,IF(ROUND(AY278*(1+'Calc base'!M279),2)-MAX('Calc base'!H$12,ROUND('Calc base'!H$13*AY278,2))&lt;1,ROUND(AY278*(1+'Calc base'!M279),2),MAX('Calc base'!H$12,ROUND('Calc base'!H$13*AY278,2))))</f>
        <v>0</v>
      </c>
      <c r="P279">
        <f>IF(AZ278&lt;=0,0,IF(ROUND(AZ278*(1+'Calc base'!N279),2)-MAX('Calc base'!I$12,ROUND('Calc base'!I$13*AZ278,2))&lt;1,ROUND(AZ278*(1+'Calc base'!N279),2),MAX('Calc base'!I$12,ROUND('Calc base'!I$13*AZ278,2))))</f>
        <v>0</v>
      </c>
      <c r="Q279">
        <f>IF(BA278&lt;=0,0,IF(ROUND(BA278*(1+'Calc base'!O279),2)-MAX('Calc base'!J$12,ROUND('Calc base'!J$13*BA278,2))&lt;1,ROUND(BA278*(1+'Calc base'!O279),2),MAX('Calc base'!J$12,ROUND('Calc base'!J$13*BA278,2))))</f>
        <v>0</v>
      </c>
      <c r="R279">
        <f>IF(BB278&lt;=0,0,IF(ROUND(BB278*(1+'Calc base'!P279),2)-MAX('Calc base'!K$12,ROUND('Calc base'!K$13*BB278,2))&lt;1,ROUND(BB278*(1+'Calc base'!P279),2),MAX('Calc base'!K$12,ROUND('Calc base'!K$13*BB278,2))))</f>
        <v>0</v>
      </c>
      <c r="S279">
        <f>IF(BC278&lt;=0,0,IF(ROUND(BC278*(1+'Calc base'!Q279),2)-MAX('Calc base'!L$12,ROUND('Calc base'!L$13*BC278,2))&lt;1,ROUND(BC278*(1+'Calc base'!Q279),2),MAX('Calc base'!L$12,ROUND('Calc base'!L$13*BC278,2))))</f>
        <v>0</v>
      </c>
      <c r="T279">
        <f>IF(BD278&lt;=0,0,IF(ROUND(BD278*(1+'Calc base'!R279),2)-MAX('Calc base'!M$12,ROUND('Calc base'!M$13*BD278,2))&lt;1,ROUND(BD278*(1+'Calc base'!R279),2),MAX('Calc base'!M$12,ROUND('Calc base'!M$13*BD278,2))))</f>
        <v>0</v>
      </c>
      <c r="U279">
        <f>IF(BE278&lt;=0,0,IF(ROUND(BE278*(1+'Calc base'!S279),2)-MAX('Calc base'!N$12,ROUND('Calc base'!N$13*BE278,2))&lt;1,ROUND(BE278*(1+'Calc base'!S279),2),MAX('Calc base'!N$12,ROUND('Calc base'!N$13*BE278,2))))</f>
        <v>0</v>
      </c>
      <c r="AT279">
        <f>MAX(0,ROUND(AT278*(1+'Calc base'!H279),2)-J279)</f>
        <v>0</v>
      </c>
      <c r="AU279">
        <f>MAX(0,ROUND(AU278*(1+'Calc base'!I279),2)-K279)</f>
        <v>0</v>
      </c>
      <c r="AV279">
        <f>MAX(0,ROUND(AV278*(1+'Calc base'!J279),2)-L279)</f>
        <v>0</v>
      </c>
      <c r="AW279">
        <f>MAX(0,ROUND(AW278*(1+'Calc base'!K279),2)-M279)</f>
        <v>0</v>
      </c>
      <c r="AX279">
        <f>MAX(0,ROUND(AX278*(1+'Calc base'!L279),2)-N279)</f>
        <v>0</v>
      </c>
      <c r="AY279">
        <f>MAX(0,ROUND(AY278*(1+'Calc base'!M279),2)-O279)</f>
        <v>0</v>
      </c>
      <c r="AZ279">
        <f>MAX(0,ROUND(AZ278*(1+'Calc base'!N279),2)-P279)</f>
        <v>0</v>
      </c>
      <c r="BA279">
        <f>MAX(0,ROUND(BA278*(1+'Calc base'!O279),2)-Q279)</f>
        <v>0</v>
      </c>
      <c r="BB279">
        <f>MAX(0,ROUND(BB278*(1+'Calc base'!P279),2)-R279)</f>
        <v>0</v>
      </c>
      <c r="BC279">
        <f>MAX(0,ROUND(BC278*(1+'Calc base'!Q279),2)-S279)</f>
        <v>0</v>
      </c>
      <c r="BD279">
        <f>MAX(0,ROUND(BD278*(1+'Calc base'!R279),2)-T279)</f>
        <v>0</v>
      </c>
      <c r="BE279">
        <f>MAX(0,ROUND(BE278*(1+'Calc base'!S279),2)-U279)</f>
        <v>0</v>
      </c>
    </row>
    <row r="280">
      <c r="A280" t="n">
        <v>250</v>
      </c>
      <c r="B280">
        <f>SUMPRODUCT(ROUND($AT279:$BE279*(1+'Calc base'!$H280:$S280),2))</f>
        <v>0</v>
      </c>
      <c r="C280">
        <f>SUM(J280:U280)</f>
        <v>0</v>
      </c>
      <c r="G280">
        <f>SUM(AT280:BE280)</f>
        <v>0</v>
      </c>
      <c r="H280">
        <f>B280-G279</f>
        <v>0</v>
      </c>
      <c r="I280">
        <f>B280-G280</f>
        <v>0</v>
      </c>
      <c r="J280">
        <f>IF(AT279&lt;=0,0,IF(ROUND(AT279*(1+'Calc base'!H280),2)-MAX('Calc base'!C$12,ROUND('Calc base'!C$13*AT279,2))&lt;1,ROUND(AT279*(1+'Calc base'!H280),2),MAX('Calc base'!C$12,ROUND('Calc base'!C$13*AT279,2))))</f>
        <v>0</v>
      </c>
      <c r="K280">
        <f>IF(AU279&lt;=0,0,IF(ROUND(AU279*(1+'Calc base'!I280),2)-MAX('Calc base'!D$12,ROUND('Calc base'!D$13*AU279,2))&lt;1,ROUND(AU279*(1+'Calc base'!I280),2),MAX('Calc base'!D$12,ROUND('Calc base'!D$13*AU279,2))))</f>
        <v>0</v>
      </c>
      <c r="L280">
        <f>IF(AV279&lt;=0,0,IF(ROUND(AV279*(1+'Calc base'!J280),2)-MAX('Calc base'!E$12,ROUND('Calc base'!E$13*AV279,2))&lt;1,ROUND(AV279*(1+'Calc base'!J280),2),MAX('Calc base'!E$12,ROUND('Calc base'!E$13*AV279,2))))</f>
        <v>0</v>
      </c>
      <c r="M280">
        <f>IF(AW279&lt;=0,0,IF(ROUND(AW279*(1+'Calc base'!K280),2)-MAX('Calc base'!F$12,ROUND('Calc base'!F$13*AW279,2))&lt;1,ROUND(AW279*(1+'Calc base'!K280),2),MAX('Calc base'!F$12,ROUND('Calc base'!F$13*AW279,2))))</f>
        <v>0</v>
      </c>
      <c r="N280">
        <f>IF(AX279&lt;=0,0,IF(ROUND(AX279*(1+'Calc base'!L280),2)-MAX('Calc base'!G$12,ROUND('Calc base'!G$13*AX279,2))&lt;1,ROUND(AX279*(1+'Calc base'!L280),2),MAX('Calc base'!G$12,ROUND('Calc base'!G$13*AX279,2))))</f>
        <v>0</v>
      </c>
      <c r="O280">
        <f>IF(AY279&lt;=0,0,IF(ROUND(AY279*(1+'Calc base'!M280),2)-MAX('Calc base'!H$12,ROUND('Calc base'!H$13*AY279,2))&lt;1,ROUND(AY279*(1+'Calc base'!M280),2),MAX('Calc base'!H$12,ROUND('Calc base'!H$13*AY279,2))))</f>
        <v>0</v>
      </c>
      <c r="P280">
        <f>IF(AZ279&lt;=0,0,IF(ROUND(AZ279*(1+'Calc base'!N280),2)-MAX('Calc base'!I$12,ROUND('Calc base'!I$13*AZ279,2))&lt;1,ROUND(AZ279*(1+'Calc base'!N280),2),MAX('Calc base'!I$12,ROUND('Calc base'!I$13*AZ279,2))))</f>
        <v>0</v>
      </c>
      <c r="Q280">
        <f>IF(BA279&lt;=0,0,IF(ROUND(BA279*(1+'Calc base'!O280),2)-MAX('Calc base'!J$12,ROUND('Calc base'!J$13*BA279,2))&lt;1,ROUND(BA279*(1+'Calc base'!O280),2),MAX('Calc base'!J$12,ROUND('Calc base'!J$13*BA279,2))))</f>
        <v>0</v>
      </c>
      <c r="R280">
        <f>IF(BB279&lt;=0,0,IF(ROUND(BB279*(1+'Calc base'!P280),2)-MAX('Calc base'!K$12,ROUND('Calc base'!K$13*BB279,2))&lt;1,ROUND(BB279*(1+'Calc base'!P280),2),MAX('Calc base'!K$12,ROUND('Calc base'!K$13*BB279,2))))</f>
        <v>0</v>
      </c>
      <c r="S280">
        <f>IF(BC279&lt;=0,0,IF(ROUND(BC279*(1+'Calc base'!Q280),2)-MAX('Calc base'!L$12,ROUND('Calc base'!L$13*BC279,2))&lt;1,ROUND(BC279*(1+'Calc base'!Q280),2),MAX('Calc base'!L$12,ROUND('Calc base'!L$13*BC279,2))))</f>
        <v>0</v>
      </c>
      <c r="T280">
        <f>IF(BD279&lt;=0,0,IF(ROUND(BD279*(1+'Calc base'!R280),2)-MAX('Calc base'!M$12,ROUND('Calc base'!M$13*BD279,2))&lt;1,ROUND(BD279*(1+'Calc base'!R280),2),MAX('Calc base'!M$12,ROUND('Calc base'!M$13*BD279,2))))</f>
        <v>0</v>
      </c>
      <c r="U280">
        <f>IF(BE279&lt;=0,0,IF(ROUND(BE279*(1+'Calc base'!S280),2)-MAX('Calc base'!N$12,ROUND('Calc base'!N$13*BE279,2))&lt;1,ROUND(BE279*(1+'Calc base'!S280),2),MAX('Calc base'!N$12,ROUND('Calc base'!N$13*BE279,2))))</f>
        <v>0</v>
      </c>
      <c r="AT280">
        <f>MAX(0,ROUND(AT279*(1+'Calc base'!H280),2)-J280)</f>
        <v>0</v>
      </c>
      <c r="AU280">
        <f>MAX(0,ROUND(AU279*(1+'Calc base'!I280),2)-K280)</f>
        <v>0</v>
      </c>
      <c r="AV280">
        <f>MAX(0,ROUND(AV279*(1+'Calc base'!J280),2)-L280)</f>
        <v>0</v>
      </c>
      <c r="AW280">
        <f>MAX(0,ROUND(AW279*(1+'Calc base'!K280),2)-M280)</f>
        <v>0</v>
      </c>
      <c r="AX280">
        <f>MAX(0,ROUND(AX279*(1+'Calc base'!L280),2)-N280)</f>
        <v>0</v>
      </c>
      <c r="AY280">
        <f>MAX(0,ROUND(AY279*(1+'Calc base'!M280),2)-O280)</f>
        <v>0</v>
      </c>
      <c r="AZ280">
        <f>MAX(0,ROUND(AZ279*(1+'Calc base'!N280),2)-P280)</f>
        <v>0</v>
      </c>
      <c r="BA280">
        <f>MAX(0,ROUND(BA279*(1+'Calc base'!O280),2)-Q280)</f>
        <v>0</v>
      </c>
      <c r="BB280">
        <f>MAX(0,ROUND(BB279*(1+'Calc base'!P280),2)-R280)</f>
        <v>0</v>
      </c>
      <c r="BC280">
        <f>MAX(0,ROUND(BC279*(1+'Calc base'!Q280),2)-S280)</f>
        <v>0</v>
      </c>
      <c r="BD280">
        <f>MAX(0,ROUND(BD279*(1+'Calc base'!R280),2)-T280)</f>
        <v>0</v>
      </c>
      <c r="BE280">
        <f>MAX(0,ROUND(BE279*(1+'Calc base'!S280),2)-U280)</f>
        <v>0</v>
      </c>
    </row>
    <row r="281">
      <c r="A281" t="n">
        <v>251</v>
      </c>
      <c r="B281">
        <f>SUMPRODUCT(ROUND($AT280:$BE280*(1+'Calc base'!$H281:$S281),2))</f>
        <v>0</v>
      </c>
      <c r="C281">
        <f>SUM(J281:U281)</f>
        <v>0</v>
      </c>
      <c r="G281">
        <f>SUM(AT281:BE281)</f>
        <v>0</v>
      </c>
      <c r="H281">
        <f>B281-G280</f>
        <v>0</v>
      </c>
      <c r="I281">
        <f>B281-G281</f>
        <v>0</v>
      </c>
      <c r="J281">
        <f>IF(AT280&lt;=0,0,IF(ROUND(AT280*(1+'Calc base'!H281),2)-MAX('Calc base'!C$12,ROUND('Calc base'!C$13*AT280,2))&lt;1,ROUND(AT280*(1+'Calc base'!H281),2),MAX('Calc base'!C$12,ROUND('Calc base'!C$13*AT280,2))))</f>
        <v>0</v>
      </c>
      <c r="K281">
        <f>IF(AU280&lt;=0,0,IF(ROUND(AU280*(1+'Calc base'!I281),2)-MAX('Calc base'!D$12,ROUND('Calc base'!D$13*AU280,2))&lt;1,ROUND(AU280*(1+'Calc base'!I281),2),MAX('Calc base'!D$12,ROUND('Calc base'!D$13*AU280,2))))</f>
        <v>0</v>
      </c>
      <c r="L281">
        <f>IF(AV280&lt;=0,0,IF(ROUND(AV280*(1+'Calc base'!J281),2)-MAX('Calc base'!E$12,ROUND('Calc base'!E$13*AV280,2))&lt;1,ROUND(AV280*(1+'Calc base'!J281),2),MAX('Calc base'!E$12,ROUND('Calc base'!E$13*AV280,2))))</f>
        <v>0</v>
      </c>
      <c r="M281">
        <f>IF(AW280&lt;=0,0,IF(ROUND(AW280*(1+'Calc base'!K281),2)-MAX('Calc base'!F$12,ROUND('Calc base'!F$13*AW280,2))&lt;1,ROUND(AW280*(1+'Calc base'!K281),2),MAX('Calc base'!F$12,ROUND('Calc base'!F$13*AW280,2))))</f>
        <v>0</v>
      </c>
      <c r="N281">
        <f>IF(AX280&lt;=0,0,IF(ROUND(AX280*(1+'Calc base'!L281),2)-MAX('Calc base'!G$12,ROUND('Calc base'!G$13*AX280,2))&lt;1,ROUND(AX280*(1+'Calc base'!L281),2),MAX('Calc base'!G$12,ROUND('Calc base'!G$13*AX280,2))))</f>
        <v>0</v>
      </c>
      <c r="O281">
        <f>IF(AY280&lt;=0,0,IF(ROUND(AY280*(1+'Calc base'!M281),2)-MAX('Calc base'!H$12,ROUND('Calc base'!H$13*AY280,2))&lt;1,ROUND(AY280*(1+'Calc base'!M281),2),MAX('Calc base'!H$12,ROUND('Calc base'!H$13*AY280,2))))</f>
        <v>0</v>
      </c>
      <c r="P281">
        <f>IF(AZ280&lt;=0,0,IF(ROUND(AZ280*(1+'Calc base'!N281),2)-MAX('Calc base'!I$12,ROUND('Calc base'!I$13*AZ280,2))&lt;1,ROUND(AZ280*(1+'Calc base'!N281),2),MAX('Calc base'!I$12,ROUND('Calc base'!I$13*AZ280,2))))</f>
        <v>0</v>
      </c>
      <c r="Q281">
        <f>IF(BA280&lt;=0,0,IF(ROUND(BA280*(1+'Calc base'!O281),2)-MAX('Calc base'!J$12,ROUND('Calc base'!J$13*BA280,2))&lt;1,ROUND(BA280*(1+'Calc base'!O281),2),MAX('Calc base'!J$12,ROUND('Calc base'!J$13*BA280,2))))</f>
        <v>0</v>
      </c>
      <c r="R281">
        <f>IF(BB280&lt;=0,0,IF(ROUND(BB280*(1+'Calc base'!P281),2)-MAX('Calc base'!K$12,ROUND('Calc base'!K$13*BB280,2))&lt;1,ROUND(BB280*(1+'Calc base'!P281),2),MAX('Calc base'!K$12,ROUND('Calc base'!K$13*BB280,2))))</f>
        <v>0</v>
      </c>
      <c r="S281">
        <f>IF(BC280&lt;=0,0,IF(ROUND(BC280*(1+'Calc base'!Q281),2)-MAX('Calc base'!L$12,ROUND('Calc base'!L$13*BC280,2))&lt;1,ROUND(BC280*(1+'Calc base'!Q281),2),MAX('Calc base'!L$12,ROUND('Calc base'!L$13*BC280,2))))</f>
        <v>0</v>
      </c>
      <c r="T281">
        <f>IF(BD280&lt;=0,0,IF(ROUND(BD280*(1+'Calc base'!R281),2)-MAX('Calc base'!M$12,ROUND('Calc base'!M$13*BD280,2))&lt;1,ROUND(BD280*(1+'Calc base'!R281),2),MAX('Calc base'!M$12,ROUND('Calc base'!M$13*BD280,2))))</f>
        <v>0</v>
      </c>
      <c r="U281">
        <f>IF(BE280&lt;=0,0,IF(ROUND(BE280*(1+'Calc base'!S281),2)-MAX('Calc base'!N$12,ROUND('Calc base'!N$13*BE280,2))&lt;1,ROUND(BE280*(1+'Calc base'!S281),2),MAX('Calc base'!N$12,ROUND('Calc base'!N$13*BE280,2))))</f>
        <v>0</v>
      </c>
      <c r="AT281">
        <f>MAX(0,ROUND(AT280*(1+'Calc base'!H281),2)-J281)</f>
        <v>0</v>
      </c>
      <c r="AU281">
        <f>MAX(0,ROUND(AU280*(1+'Calc base'!I281),2)-K281)</f>
        <v>0</v>
      </c>
      <c r="AV281">
        <f>MAX(0,ROUND(AV280*(1+'Calc base'!J281),2)-L281)</f>
        <v>0</v>
      </c>
      <c r="AW281">
        <f>MAX(0,ROUND(AW280*(1+'Calc base'!K281),2)-M281)</f>
        <v>0</v>
      </c>
      <c r="AX281">
        <f>MAX(0,ROUND(AX280*(1+'Calc base'!L281),2)-N281)</f>
        <v>0</v>
      </c>
      <c r="AY281">
        <f>MAX(0,ROUND(AY280*(1+'Calc base'!M281),2)-O281)</f>
        <v>0</v>
      </c>
      <c r="AZ281">
        <f>MAX(0,ROUND(AZ280*(1+'Calc base'!N281),2)-P281)</f>
        <v>0</v>
      </c>
      <c r="BA281">
        <f>MAX(0,ROUND(BA280*(1+'Calc base'!O281),2)-Q281)</f>
        <v>0</v>
      </c>
      <c r="BB281">
        <f>MAX(0,ROUND(BB280*(1+'Calc base'!P281),2)-R281)</f>
        <v>0</v>
      </c>
      <c r="BC281">
        <f>MAX(0,ROUND(BC280*(1+'Calc base'!Q281),2)-S281)</f>
        <v>0</v>
      </c>
      <c r="BD281">
        <f>MAX(0,ROUND(BD280*(1+'Calc base'!R281),2)-T281)</f>
        <v>0</v>
      </c>
      <c r="BE281">
        <f>MAX(0,ROUND(BE280*(1+'Calc base'!S281),2)-U281)</f>
        <v>0</v>
      </c>
    </row>
    <row r="282">
      <c r="A282" t="n">
        <v>252</v>
      </c>
      <c r="B282">
        <f>SUMPRODUCT(ROUND($AT281:$BE281*(1+'Calc base'!$H282:$S282),2))</f>
        <v>0</v>
      </c>
      <c r="C282">
        <f>SUM(J282:U282)</f>
        <v>0</v>
      </c>
      <c r="G282">
        <f>SUM(AT282:BE282)</f>
        <v>0</v>
      </c>
      <c r="H282">
        <f>B282-G281</f>
        <v>0</v>
      </c>
      <c r="I282">
        <f>B282-G282</f>
        <v>0</v>
      </c>
      <c r="J282">
        <f>IF(AT281&lt;=0,0,IF(ROUND(AT281*(1+'Calc base'!H282),2)-MAX('Calc base'!C$12,ROUND('Calc base'!C$13*AT281,2))&lt;1,ROUND(AT281*(1+'Calc base'!H282),2),MAX('Calc base'!C$12,ROUND('Calc base'!C$13*AT281,2))))</f>
        <v>0</v>
      </c>
      <c r="K282">
        <f>IF(AU281&lt;=0,0,IF(ROUND(AU281*(1+'Calc base'!I282),2)-MAX('Calc base'!D$12,ROUND('Calc base'!D$13*AU281,2))&lt;1,ROUND(AU281*(1+'Calc base'!I282),2),MAX('Calc base'!D$12,ROUND('Calc base'!D$13*AU281,2))))</f>
        <v>0</v>
      </c>
      <c r="L282">
        <f>IF(AV281&lt;=0,0,IF(ROUND(AV281*(1+'Calc base'!J282),2)-MAX('Calc base'!E$12,ROUND('Calc base'!E$13*AV281,2))&lt;1,ROUND(AV281*(1+'Calc base'!J282),2),MAX('Calc base'!E$12,ROUND('Calc base'!E$13*AV281,2))))</f>
        <v>0</v>
      </c>
      <c r="M282">
        <f>IF(AW281&lt;=0,0,IF(ROUND(AW281*(1+'Calc base'!K282),2)-MAX('Calc base'!F$12,ROUND('Calc base'!F$13*AW281,2))&lt;1,ROUND(AW281*(1+'Calc base'!K282),2),MAX('Calc base'!F$12,ROUND('Calc base'!F$13*AW281,2))))</f>
        <v>0</v>
      </c>
      <c r="N282">
        <f>IF(AX281&lt;=0,0,IF(ROUND(AX281*(1+'Calc base'!L282),2)-MAX('Calc base'!G$12,ROUND('Calc base'!G$13*AX281,2))&lt;1,ROUND(AX281*(1+'Calc base'!L282),2),MAX('Calc base'!G$12,ROUND('Calc base'!G$13*AX281,2))))</f>
        <v>0</v>
      </c>
      <c r="O282">
        <f>IF(AY281&lt;=0,0,IF(ROUND(AY281*(1+'Calc base'!M282),2)-MAX('Calc base'!H$12,ROUND('Calc base'!H$13*AY281,2))&lt;1,ROUND(AY281*(1+'Calc base'!M282),2),MAX('Calc base'!H$12,ROUND('Calc base'!H$13*AY281,2))))</f>
        <v>0</v>
      </c>
      <c r="P282">
        <f>IF(AZ281&lt;=0,0,IF(ROUND(AZ281*(1+'Calc base'!N282),2)-MAX('Calc base'!I$12,ROUND('Calc base'!I$13*AZ281,2))&lt;1,ROUND(AZ281*(1+'Calc base'!N282),2),MAX('Calc base'!I$12,ROUND('Calc base'!I$13*AZ281,2))))</f>
        <v>0</v>
      </c>
      <c r="Q282">
        <f>IF(BA281&lt;=0,0,IF(ROUND(BA281*(1+'Calc base'!O282),2)-MAX('Calc base'!J$12,ROUND('Calc base'!J$13*BA281,2))&lt;1,ROUND(BA281*(1+'Calc base'!O282),2),MAX('Calc base'!J$12,ROUND('Calc base'!J$13*BA281,2))))</f>
        <v>0</v>
      </c>
      <c r="R282">
        <f>IF(BB281&lt;=0,0,IF(ROUND(BB281*(1+'Calc base'!P282),2)-MAX('Calc base'!K$12,ROUND('Calc base'!K$13*BB281,2))&lt;1,ROUND(BB281*(1+'Calc base'!P282),2),MAX('Calc base'!K$12,ROUND('Calc base'!K$13*BB281,2))))</f>
        <v>0</v>
      </c>
      <c r="S282">
        <f>IF(BC281&lt;=0,0,IF(ROUND(BC281*(1+'Calc base'!Q282),2)-MAX('Calc base'!L$12,ROUND('Calc base'!L$13*BC281,2))&lt;1,ROUND(BC281*(1+'Calc base'!Q282),2),MAX('Calc base'!L$12,ROUND('Calc base'!L$13*BC281,2))))</f>
        <v>0</v>
      </c>
      <c r="T282">
        <f>IF(BD281&lt;=0,0,IF(ROUND(BD281*(1+'Calc base'!R282),2)-MAX('Calc base'!M$12,ROUND('Calc base'!M$13*BD281,2))&lt;1,ROUND(BD281*(1+'Calc base'!R282),2),MAX('Calc base'!M$12,ROUND('Calc base'!M$13*BD281,2))))</f>
        <v>0</v>
      </c>
      <c r="U282">
        <f>IF(BE281&lt;=0,0,IF(ROUND(BE281*(1+'Calc base'!S282),2)-MAX('Calc base'!N$12,ROUND('Calc base'!N$13*BE281,2))&lt;1,ROUND(BE281*(1+'Calc base'!S282),2),MAX('Calc base'!N$12,ROUND('Calc base'!N$13*BE281,2))))</f>
        <v>0</v>
      </c>
      <c r="AT282">
        <f>MAX(0,ROUND(AT281*(1+'Calc base'!H282),2)-J282)</f>
        <v>0</v>
      </c>
      <c r="AU282">
        <f>MAX(0,ROUND(AU281*(1+'Calc base'!I282),2)-K282)</f>
        <v>0</v>
      </c>
      <c r="AV282">
        <f>MAX(0,ROUND(AV281*(1+'Calc base'!J282),2)-L282)</f>
        <v>0</v>
      </c>
      <c r="AW282">
        <f>MAX(0,ROUND(AW281*(1+'Calc base'!K282),2)-M282)</f>
        <v>0</v>
      </c>
      <c r="AX282">
        <f>MAX(0,ROUND(AX281*(1+'Calc base'!L282),2)-N282)</f>
        <v>0</v>
      </c>
      <c r="AY282">
        <f>MAX(0,ROUND(AY281*(1+'Calc base'!M282),2)-O282)</f>
        <v>0</v>
      </c>
      <c r="AZ282">
        <f>MAX(0,ROUND(AZ281*(1+'Calc base'!N282),2)-P282)</f>
        <v>0</v>
      </c>
      <c r="BA282">
        <f>MAX(0,ROUND(BA281*(1+'Calc base'!O282),2)-Q282)</f>
        <v>0</v>
      </c>
      <c r="BB282">
        <f>MAX(0,ROUND(BB281*(1+'Calc base'!P282),2)-R282)</f>
        <v>0</v>
      </c>
      <c r="BC282">
        <f>MAX(0,ROUND(BC281*(1+'Calc base'!Q282),2)-S282)</f>
        <v>0</v>
      </c>
      <c r="BD282">
        <f>MAX(0,ROUND(BD281*(1+'Calc base'!R282),2)-T282)</f>
        <v>0</v>
      </c>
      <c r="BE282">
        <f>MAX(0,ROUND(BE281*(1+'Calc base'!S282),2)-U282)</f>
        <v>0</v>
      </c>
    </row>
    <row r="283">
      <c r="A283" t="n">
        <v>253</v>
      </c>
      <c r="B283">
        <f>SUMPRODUCT(ROUND($AT282:$BE282*(1+'Calc base'!$H283:$S283),2))</f>
        <v>0</v>
      </c>
      <c r="C283">
        <f>SUM(J283:U283)</f>
        <v>0</v>
      </c>
      <c r="G283">
        <f>SUM(AT283:BE283)</f>
        <v>0</v>
      </c>
      <c r="H283">
        <f>B283-G282</f>
        <v>0</v>
      </c>
      <c r="I283">
        <f>B283-G283</f>
        <v>0</v>
      </c>
      <c r="J283">
        <f>IF(AT282&lt;=0,0,IF(ROUND(AT282*(1+'Calc base'!H283),2)-MAX('Calc base'!C$12,ROUND('Calc base'!C$13*AT282,2))&lt;1,ROUND(AT282*(1+'Calc base'!H283),2),MAX('Calc base'!C$12,ROUND('Calc base'!C$13*AT282,2))))</f>
        <v>0</v>
      </c>
      <c r="K283">
        <f>IF(AU282&lt;=0,0,IF(ROUND(AU282*(1+'Calc base'!I283),2)-MAX('Calc base'!D$12,ROUND('Calc base'!D$13*AU282,2))&lt;1,ROUND(AU282*(1+'Calc base'!I283),2),MAX('Calc base'!D$12,ROUND('Calc base'!D$13*AU282,2))))</f>
        <v>0</v>
      </c>
      <c r="L283">
        <f>IF(AV282&lt;=0,0,IF(ROUND(AV282*(1+'Calc base'!J283),2)-MAX('Calc base'!E$12,ROUND('Calc base'!E$13*AV282,2))&lt;1,ROUND(AV282*(1+'Calc base'!J283),2),MAX('Calc base'!E$12,ROUND('Calc base'!E$13*AV282,2))))</f>
        <v>0</v>
      </c>
      <c r="M283">
        <f>IF(AW282&lt;=0,0,IF(ROUND(AW282*(1+'Calc base'!K283),2)-MAX('Calc base'!F$12,ROUND('Calc base'!F$13*AW282,2))&lt;1,ROUND(AW282*(1+'Calc base'!K283),2),MAX('Calc base'!F$12,ROUND('Calc base'!F$13*AW282,2))))</f>
        <v>0</v>
      </c>
      <c r="N283">
        <f>IF(AX282&lt;=0,0,IF(ROUND(AX282*(1+'Calc base'!L283),2)-MAX('Calc base'!G$12,ROUND('Calc base'!G$13*AX282,2))&lt;1,ROUND(AX282*(1+'Calc base'!L283),2),MAX('Calc base'!G$12,ROUND('Calc base'!G$13*AX282,2))))</f>
        <v>0</v>
      </c>
      <c r="O283">
        <f>IF(AY282&lt;=0,0,IF(ROUND(AY282*(1+'Calc base'!M283),2)-MAX('Calc base'!H$12,ROUND('Calc base'!H$13*AY282,2))&lt;1,ROUND(AY282*(1+'Calc base'!M283),2),MAX('Calc base'!H$12,ROUND('Calc base'!H$13*AY282,2))))</f>
        <v>0</v>
      </c>
      <c r="P283">
        <f>IF(AZ282&lt;=0,0,IF(ROUND(AZ282*(1+'Calc base'!N283),2)-MAX('Calc base'!I$12,ROUND('Calc base'!I$13*AZ282,2))&lt;1,ROUND(AZ282*(1+'Calc base'!N283),2),MAX('Calc base'!I$12,ROUND('Calc base'!I$13*AZ282,2))))</f>
        <v>0</v>
      </c>
      <c r="Q283">
        <f>IF(BA282&lt;=0,0,IF(ROUND(BA282*(1+'Calc base'!O283),2)-MAX('Calc base'!J$12,ROUND('Calc base'!J$13*BA282,2))&lt;1,ROUND(BA282*(1+'Calc base'!O283),2),MAX('Calc base'!J$12,ROUND('Calc base'!J$13*BA282,2))))</f>
        <v>0</v>
      </c>
      <c r="R283">
        <f>IF(BB282&lt;=0,0,IF(ROUND(BB282*(1+'Calc base'!P283),2)-MAX('Calc base'!K$12,ROUND('Calc base'!K$13*BB282,2))&lt;1,ROUND(BB282*(1+'Calc base'!P283),2),MAX('Calc base'!K$12,ROUND('Calc base'!K$13*BB282,2))))</f>
        <v>0</v>
      </c>
      <c r="S283">
        <f>IF(BC282&lt;=0,0,IF(ROUND(BC282*(1+'Calc base'!Q283),2)-MAX('Calc base'!L$12,ROUND('Calc base'!L$13*BC282,2))&lt;1,ROUND(BC282*(1+'Calc base'!Q283),2),MAX('Calc base'!L$12,ROUND('Calc base'!L$13*BC282,2))))</f>
        <v>0</v>
      </c>
      <c r="T283">
        <f>IF(BD282&lt;=0,0,IF(ROUND(BD282*(1+'Calc base'!R283),2)-MAX('Calc base'!M$12,ROUND('Calc base'!M$13*BD282,2))&lt;1,ROUND(BD282*(1+'Calc base'!R283),2),MAX('Calc base'!M$12,ROUND('Calc base'!M$13*BD282,2))))</f>
        <v>0</v>
      </c>
      <c r="U283">
        <f>IF(BE282&lt;=0,0,IF(ROUND(BE282*(1+'Calc base'!S283),2)-MAX('Calc base'!N$12,ROUND('Calc base'!N$13*BE282,2))&lt;1,ROUND(BE282*(1+'Calc base'!S283),2),MAX('Calc base'!N$12,ROUND('Calc base'!N$13*BE282,2))))</f>
        <v>0</v>
      </c>
      <c r="AT283">
        <f>MAX(0,ROUND(AT282*(1+'Calc base'!H283),2)-J283)</f>
        <v>0</v>
      </c>
      <c r="AU283">
        <f>MAX(0,ROUND(AU282*(1+'Calc base'!I283),2)-K283)</f>
        <v>0</v>
      </c>
      <c r="AV283">
        <f>MAX(0,ROUND(AV282*(1+'Calc base'!J283),2)-L283)</f>
        <v>0</v>
      </c>
      <c r="AW283">
        <f>MAX(0,ROUND(AW282*(1+'Calc base'!K283),2)-M283)</f>
        <v>0</v>
      </c>
      <c r="AX283">
        <f>MAX(0,ROUND(AX282*(1+'Calc base'!L283),2)-N283)</f>
        <v>0</v>
      </c>
      <c r="AY283">
        <f>MAX(0,ROUND(AY282*(1+'Calc base'!M283),2)-O283)</f>
        <v>0</v>
      </c>
      <c r="AZ283">
        <f>MAX(0,ROUND(AZ282*(1+'Calc base'!N283),2)-P283)</f>
        <v>0</v>
      </c>
      <c r="BA283">
        <f>MAX(0,ROUND(BA282*(1+'Calc base'!O283),2)-Q283)</f>
        <v>0</v>
      </c>
      <c r="BB283">
        <f>MAX(0,ROUND(BB282*(1+'Calc base'!P283),2)-R283)</f>
        <v>0</v>
      </c>
      <c r="BC283">
        <f>MAX(0,ROUND(BC282*(1+'Calc base'!Q283),2)-S283)</f>
        <v>0</v>
      </c>
      <c r="BD283">
        <f>MAX(0,ROUND(BD282*(1+'Calc base'!R283),2)-T283)</f>
        <v>0</v>
      </c>
      <c r="BE283">
        <f>MAX(0,ROUND(BE282*(1+'Calc base'!S283),2)-U283)</f>
        <v>0</v>
      </c>
    </row>
    <row r="284">
      <c r="A284" t="n">
        <v>254</v>
      </c>
      <c r="B284">
        <f>SUMPRODUCT(ROUND($AT283:$BE283*(1+'Calc base'!$H284:$S284),2))</f>
        <v>0</v>
      </c>
      <c r="C284">
        <f>SUM(J284:U284)</f>
        <v>0</v>
      </c>
      <c r="G284">
        <f>SUM(AT284:BE284)</f>
        <v>0</v>
      </c>
      <c r="H284">
        <f>B284-G283</f>
        <v>0</v>
      </c>
      <c r="I284">
        <f>B284-G284</f>
        <v>0</v>
      </c>
      <c r="J284">
        <f>IF(AT283&lt;=0,0,IF(ROUND(AT283*(1+'Calc base'!H284),2)-MAX('Calc base'!C$12,ROUND('Calc base'!C$13*AT283,2))&lt;1,ROUND(AT283*(1+'Calc base'!H284),2),MAX('Calc base'!C$12,ROUND('Calc base'!C$13*AT283,2))))</f>
        <v>0</v>
      </c>
      <c r="K284">
        <f>IF(AU283&lt;=0,0,IF(ROUND(AU283*(1+'Calc base'!I284),2)-MAX('Calc base'!D$12,ROUND('Calc base'!D$13*AU283,2))&lt;1,ROUND(AU283*(1+'Calc base'!I284),2),MAX('Calc base'!D$12,ROUND('Calc base'!D$13*AU283,2))))</f>
        <v>0</v>
      </c>
      <c r="L284">
        <f>IF(AV283&lt;=0,0,IF(ROUND(AV283*(1+'Calc base'!J284),2)-MAX('Calc base'!E$12,ROUND('Calc base'!E$13*AV283,2))&lt;1,ROUND(AV283*(1+'Calc base'!J284),2),MAX('Calc base'!E$12,ROUND('Calc base'!E$13*AV283,2))))</f>
        <v>0</v>
      </c>
      <c r="M284">
        <f>IF(AW283&lt;=0,0,IF(ROUND(AW283*(1+'Calc base'!K284),2)-MAX('Calc base'!F$12,ROUND('Calc base'!F$13*AW283,2))&lt;1,ROUND(AW283*(1+'Calc base'!K284),2),MAX('Calc base'!F$12,ROUND('Calc base'!F$13*AW283,2))))</f>
        <v>0</v>
      </c>
      <c r="N284">
        <f>IF(AX283&lt;=0,0,IF(ROUND(AX283*(1+'Calc base'!L284),2)-MAX('Calc base'!G$12,ROUND('Calc base'!G$13*AX283,2))&lt;1,ROUND(AX283*(1+'Calc base'!L284),2),MAX('Calc base'!G$12,ROUND('Calc base'!G$13*AX283,2))))</f>
        <v>0</v>
      </c>
      <c r="O284">
        <f>IF(AY283&lt;=0,0,IF(ROUND(AY283*(1+'Calc base'!M284),2)-MAX('Calc base'!H$12,ROUND('Calc base'!H$13*AY283,2))&lt;1,ROUND(AY283*(1+'Calc base'!M284),2),MAX('Calc base'!H$12,ROUND('Calc base'!H$13*AY283,2))))</f>
        <v>0</v>
      </c>
      <c r="P284">
        <f>IF(AZ283&lt;=0,0,IF(ROUND(AZ283*(1+'Calc base'!N284),2)-MAX('Calc base'!I$12,ROUND('Calc base'!I$13*AZ283,2))&lt;1,ROUND(AZ283*(1+'Calc base'!N284),2),MAX('Calc base'!I$12,ROUND('Calc base'!I$13*AZ283,2))))</f>
        <v>0</v>
      </c>
      <c r="Q284">
        <f>IF(BA283&lt;=0,0,IF(ROUND(BA283*(1+'Calc base'!O284),2)-MAX('Calc base'!J$12,ROUND('Calc base'!J$13*BA283,2))&lt;1,ROUND(BA283*(1+'Calc base'!O284),2),MAX('Calc base'!J$12,ROUND('Calc base'!J$13*BA283,2))))</f>
        <v>0</v>
      </c>
      <c r="R284">
        <f>IF(BB283&lt;=0,0,IF(ROUND(BB283*(1+'Calc base'!P284),2)-MAX('Calc base'!K$12,ROUND('Calc base'!K$13*BB283,2))&lt;1,ROUND(BB283*(1+'Calc base'!P284),2),MAX('Calc base'!K$12,ROUND('Calc base'!K$13*BB283,2))))</f>
        <v>0</v>
      </c>
      <c r="S284">
        <f>IF(BC283&lt;=0,0,IF(ROUND(BC283*(1+'Calc base'!Q284),2)-MAX('Calc base'!L$12,ROUND('Calc base'!L$13*BC283,2))&lt;1,ROUND(BC283*(1+'Calc base'!Q284),2),MAX('Calc base'!L$12,ROUND('Calc base'!L$13*BC283,2))))</f>
        <v>0</v>
      </c>
      <c r="T284">
        <f>IF(BD283&lt;=0,0,IF(ROUND(BD283*(1+'Calc base'!R284),2)-MAX('Calc base'!M$12,ROUND('Calc base'!M$13*BD283,2))&lt;1,ROUND(BD283*(1+'Calc base'!R284),2),MAX('Calc base'!M$12,ROUND('Calc base'!M$13*BD283,2))))</f>
        <v>0</v>
      </c>
      <c r="U284">
        <f>IF(BE283&lt;=0,0,IF(ROUND(BE283*(1+'Calc base'!S284),2)-MAX('Calc base'!N$12,ROUND('Calc base'!N$13*BE283,2))&lt;1,ROUND(BE283*(1+'Calc base'!S284),2),MAX('Calc base'!N$12,ROUND('Calc base'!N$13*BE283,2))))</f>
        <v>0</v>
      </c>
      <c r="AT284">
        <f>MAX(0,ROUND(AT283*(1+'Calc base'!H284),2)-J284)</f>
        <v>0</v>
      </c>
      <c r="AU284">
        <f>MAX(0,ROUND(AU283*(1+'Calc base'!I284),2)-K284)</f>
        <v>0</v>
      </c>
      <c r="AV284">
        <f>MAX(0,ROUND(AV283*(1+'Calc base'!J284),2)-L284)</f>
        <v>0</v>
      </c>
      <c r="AW284">
        <f>MAX(0,ROUND(AW283*(1+'Calc base'!K284),2)-M284)</f>
        <v>0</v>
      </c>
      <c r="AX284">
        <f>MAX(0,ROUND(AX283*(1+'Calc base'!L284),2)-N284)</f>
        <v>0</v>
      </c>
      <c r="AY284">
        <f>MAX(0,ROUND(AY283*(1+'Calc base'!M284),2)-O284)</f>
        <v>0</v>
      </c>
      <c r="AZ284">
        <f>MAX(0,ROUND(AZ283*(1+'Calc base'!N284),2)-P284)</f>
        <v>0</v>
      </c>
      <c r="BA284">
        <f>MAX(0,ROUND(BA283*(1+'Calc base'!O284),2)-Q284)</f>
        <v>0</v>
      </c>
      <c r="BB284">
        <f>MAX(0,ROUND(BB283*(1+'Calc base'!P284),2)-R284)</f>
        <v>0</v>
      </c>
      <c r="BC284">
        <f>MAX(0,ROUND(BC283*(1+'Calc base'!Q284),2)-S284)</f>
        <v>0</v>
      </c>
      <c r="BD284">
        <f>MAX(0,ROUND(BD283*(1+'Calc base'!R284),2)-T284)</f>
        <v>0</v>
      </c>
      <c r="BE284">
        <f>MAX(0,ROUND(BE283*(1+'Calc base'!S284),2)-U284)</f>
        <v>0</v>
      </c>
    </row>
    <row r="285">
      <c r="A285" t="n">
        <v>255</v>
      </c>
      <c r="B285">
        <f>SUMPRODUCT(ROUND($AT284:$BE284*(1+'Calc base'!$H285:$S285),2))</f>
        <v>0</v>
      </c>
      <c r="C285">
        <f>SUM(J285:U285)</f>
        <v>0</v>
      </c>
      <c r="G285">
        <f>SUM(AT285:BE285)</f>
        <v>0</v>
      </c>
      <c r="H285">
        <f>B285-G284</f>
        <v>0</v>
      </c>
      <c r="I285">
        <f>B285-G285</f>
        <v>0</v>
      </c>
      <c r="J285">
        <f>IF(AT284&lt;=0,0,IF(ROUND(AT284*(1+'Calc base'!H285),2)-MAX('Calc base'!C$12,ROUND('Calc base'!C$13*AT284,2))&lt;1,ROUND(AT284*(1+'Calc base'!H285),2),MAX('Calc base'!C$12,ROUND('Calc base'!C$13*AT284,2))))</f>
        <v>0</v>
      </c>
      <c r="K285">
        <f>IF(AU284&lt;=0,0,IF(ROUND(AU284*(1+'Calc base'!I285),2)-MAX('Calc base'!D$12,ROUND('Calc base'!D$13*AU284,2))&lt;1,ROUND(AU284*(1+'Calc base'!I285),2),MAX('Calc base'!D$12,ROUND('Calc base'!D$13*AU284,2))))</f>
        <v>0</v>
      </c>
      <c r="L285">
        <f>IF(AV284&lt;=0,0,IF(ROUND(AV284*(1+'Calc base'!J285),2)-MAX('Calc base'!E$12,ROUND('Calc base'!E$13*AV284,2))&lt;1,ROUND(AV284*(1+'Calc base'!J285),2),MAX('Calc base'!E$12,ROUND('Calc base'!E$13*AV284,2))))</f>
        <v>0</v>
      </c>
      <c r="M285">
        <f>IF(AW284&lt;=0,0,IF(ROUND(AW284*(1+'Calc base'!K285),2)-MAX('Calc base'!F$12,ROUND('Calc base'!F$13*AW284,2))&lt;1,ROUND(AW284*(1+'Calc base'!K285),2),MAX('Calc base'!F$12,ROUND('Calc base'!F$13*AW284,2))))</f>
        <v>0</v>
      </c>
      <c r="N285">
        <f>IF(AX284&lt;=0,0,IF(ROUND(AX284*(1+'Calc base'!L285),2)-MAX('Calc base'!G$12,ROUND('Calc base'!G$13*AX284,2))&lt;1,ROUND(AX284*(1+'Calc base'!L285),2),MAX('Calc base'!G$12,ROUND('Calc base'!G$13*AX284,2))))</f>
        <v>0</v>
      </c>
      <c r="O285">
        <f>IF(AY284&lt;=0,0,IF(ROUND(AY284*(1+'Calc base'!M285),2)-MAX('Calc base'!H$12,ROUND('Calc base'!H$13*AY284,2))&lt;1,ROUND(AY284*(1+'Calc base'!M285),2),MAX('Calc base'!H$12,ROUND('Calc base'!H$13*AY284,2))))</f>
        <v>0</v>
      </c>
      <c r="P285">
        <f>IF(AZ284&lt;=0,0,IF(ROUND(AZ284*(1+'Calc base'!N285),2)-MAX('Calc base'!I$12,ROUND('Calc base'!I$13*AZ284,2))&lt;1,ROUND(AZ284*(1+'Calc base'!N285),2),MAX('Calc base'!I$12,ROUND('Calc base'!I$13*AZ284,2))))</f>
        <v>0</v>
      </c>
      <c r="Q285">
        <f>IF(BA284&lt;=0,0,IF(ROUND(BA284*(1+'Calc base'!O285),2)-MAX('Calc base'!J$12,ROUND('Calc base'!J$13*BA284,2))&lt;1,ROUND(BA284*(1+'Calc base'!O285),2),MAX('Calc base'!J$12,ROUND('Calc base'!J$13*BA284,2))))</f>
        <v>0</v>
      </c>
      <c r="R285">
        <f>IF(BB284&lt;=0,0,IF(ROUND(BB284*(1+'Calc base'!P285),2)-MAX('Calc base'!K$12,ROUND('Calc base'!K$13*BB284,2))&lt;1,ROUND(BB284*(1+'Calc base'!P285),2),MAX('Calc base'!K$12,ROUND('Calc base'!K$13*BB284,2))))</f>
        <v>0</v>
      </c>
      <c r="S285">
        <f>IF(BC284&lt;=0,0,IF(ROUND(BC284*(1+'Calc base'!Q285),2)-MAX('Calc base'!L$12,ROUND('Calc base'!L$13*BC284,2))&lt;1,ROUND(BC284*(1+'Calc base'!Q285),2),MAX('Calc base'!L$12,ROUND('Calc base'!L$13*BC284,2))))</f>
        <v>0</v>
      </c>
      <c r="T285">
        <f>IF(BD284&lt;=0,0,IF(ROUND(BD284*(1+'Calc base'!R285),2)-MAX('Calc base'!M$12,ROUND('Calc base'!M$13*BD284,2))&lt;1,ROUND(BD284*(1+'Calc base'!R285),2),MAX('Calc base'!M$12,ROUND('Calc base'!M$13*BD284,2))))</f>
        <v>0</v>
      </c>
      <c r="U285">
        <f>IF(BE284&lt;=0,0,IF(ROUND(BE284*(1+'Calc base'!S285),2)-MAX('Calc base'!N$12,ROUND('Calc base'!N$13*BE284,2))&lt;1,ROUND(BE284*(1+'Calc base'!S285),2),MAX('Calc base'!N$12,ROUND('Calc base'!N$13*BE284,2))))</f>
        <v>0</v>
      </c>
      <c r="AT285">
        <f>MAX(0,ROUND(AT284*(1+'Calc base'!H285),2)-J285)</f>
        <v>0</v>
      </c>
      <c r="AU285">
        <f>MAX(0,ROUND(AU284*(1+'Calc base'!I285),2)-K285)</f>
        <v>0</v>
      </c>
      <c r="AV285">
        <f>MAX(0,ROUND(AV284*(1+'Calc base'!J285),2)-L285)</f>
        <v>0</v>
      </c>
      <c r="AW285">
        <f>MAX(0,ROUND(AW284*(1+'Calc base'!K285),2)-M285)</f>
        <v>0</v>
      </c>
      <c r="AX285">
        <f>MAX(0,ROUND(AX284*(1+'Calc base'!L285),2)-N285)</f>
        <v>0</v>
      </c>
      <c r="AY285">
        <f>MAX(0,ROUND(AY284*(1+'Calc base'!M285),2)-O285)</f>
        <v>0</v>
      </c>
      <c r="AZ285">
        <f>MAX(0,ROUND(AZ284*(1+'Calc base'!N285),2)-P285)</f>
        <v>0</v>
      </c>
      <c r="BA285">
        <f>MAX(0,ROUND(BA284*(1+'Calc base'!O285),2)-Q285)</f>
        <v>0</v>
      </c>
      <c r="BB285">
        <f>MAX(0,ROUND(BB284*(1+'Calc base'!P285),2)-R285)</f>
        <v>0</v>
      </c>
      <c r="BC285">
        <f>MAX(0,ROUND(BC284*(1+'Calc base'!Q285),2)-S285)</f>
        <v>0</v>
      </c>
      <c r="BD285">
        <f>MAX(0,ROUND(BD284*(1+'Calc base'!R285),2)-T285)</f>
        <v>0</v>
      </c>
      <c r="BE285">
        <f>MAX(0,ROUND(BE284*(1+'Calc base'!S285),2)-U285)</f>
        <v>0</v>
      </c>
    </row>
    <row r="286">
      <c r="A286" t="n">
        <v>256</v>
      </c>
      <c r="B286">
        <f>SUMPRODUCT(ROUND($AT285:$BE285*(1+'Calc base'!$H286:$S286),2))</f>
        <v>0</v>
      </c>
      <c r="C286">
        <f>SUM(J286:U286)</f>
        <v>0</v>
      </c>
      <c r="G286">
        <f>SUM(AT286:BE286)</f>
        <v>0</v>
      </c>
      <c r="H286">
        <f>B286-G285</f>
        <v>0</v>
      </c>
      <c r="I286">
        <f>B286-G286</f>
        <v>0</v>
      </c>
      <c r="J286">
        <f>IF(AT285&lt;=0,0,IF(ROUND(AT285*(1+'Calc base'!H286),2)-MAX('Calc base'!C$12,ROUND('Calc base'!C$13*AT285,2))&lt;1,ROUND(AT285*(1+'Calc base'!H286),2),MAX('Calc base'!C$12,ROUND('Calc base'!C$13*AT285,2))))</f>
        <v>0</v>
      </c>
      <c r="K286">
        <f>IF(AU285&lt;=0,0,IF(ROUND(AU285*(1+'Calc base'!I286),2)-MAX('Calc base'!D$12,ROUND('Calc base'!D$13*AU285,2))&lt;1,ROUND(AU285*(1+'Calc base'!I286),2),MAX('Calc base'!D$12,ROUND('Calc base'!D$13*AU285,2))))</f>
        <v>0</v>
      </c>
      <c r="L286">
        <f>IF(AV285&lt;=0,0,IF(ROUND(AV285*(1+'Calc base'!J286),2)-MAX('Calc base'!E$12,ROUND('Calc base'!E$13*AV285,2))&lt;1,ROUND(AV285*(1+'Calc base'!J286),2),MAX('Calc base'!E$12,ROUND('Calc base'!E$13*AV285,2))))</f>
        <v>0</v>
      </c>
      <c r="M286">
        <f>IF(AW285&lt;=0,0,IF(ROUND(AW285*(1+'Calc base'!K286),2)-MAX('Calc base'!F$12,ROUND('Calc base'!F$13*AW285,2))&lt;1,ROUND(AW285*(1+'Calc base'!K286),2),MAX('Calc base'!F$12,ROUND('Calc base'!F$13*AW285,2))))</f>
        <v>0</v>
      </c>
      <c r="N286">
        <f>IF(AX285&lt;=0,0,IF(ROUND(AX285*(1+'Calc base'!L286),2)-MAX('Calc base'!G$12,ROUND('Calc base'!G$13*AX285,2))&lt;1,ROUND(AX285*(1+'Calc base'!L286),2),MAX('Calc base'!G$12,ROUND('Calc base'!G$13*AX285,2))))</f>
        <v>0</v>
      </c>
      <c r="O286">
        <f>IF(AY285&lt;=0,0,IF(ROUND(AY285*(1+'Calc base'!M286),2)-MAX('Calc base'!H$12,ROUND('Calc base'!H$13*AY285,2))&lt;1,ROUND(AY285*(1+'Calc base'!M286),2),MAX('Calc base'!H$12,ROUND('Calc base'!H$13*AY285,2))))</f>
        <v>0</v>
      </c>
      <c r="P286">
        <f>IF(AZ285&lt;=0,0,IF(ROUND(AZ285*(1+'Calc base'!N286),2)-MAX('Calc base'!I$12,ROUND('Calc base'!I$13*AZ285,2))&lt;1,ROUND(AZ285*(1+'Calc base'!N286),2),MAX('Calc base'!I$12,ROUND('Calc base'!I$13*AZ285,2))))</f>
        <v>0</v>
      </c>
      <c r="Q286">
        <f>IF(BA285&lt;=0,0,IF(ROUND(BA285*(1+'Calc base'!O286),2)-MAX('Calc base'!J$12,ROUND('Calc base'!J$13*BA285,2))&lt;1,ROUND(BA285*(1+'Calc base'!O286),2),MAX('Calc base'!J$12,ROUND('Calc base'!J$13*BA285,2))))</f>
        <v>0</v>
      </c>
      <c r="R286">
        <f>IF(BB285&lt;=0,0,IF(ROUND(BB285*(1+'Calc base'!P286),2)-MAX('Calc base'!K$12,ROUND('Calc base'!K$13*BB285,2))&lt;1,ROUND(BB285*(1+'Calc base'!P286),2),MAX('Calc base'!K$12,ROUND('Calc base'!K$13*BB285,2))))</f>
        <v>0</v>
      </c>
      <c r="S286">
        <f>IF(BC285&lt;=0,0,IF(ROUND(BC285*(1+'Calc base'!Q286),2)-MAX('Calc base'!L$12,ROUND('Calc base'!L$13*BC285,2))&lt;1,ROUND(BC285*(1+'Calc base'!Q286),2),MAX('Calc base'!L$12,ROUND('Calc base'!L$13*BC285,2))))</f>
        <v>0</v>
      </c>
      <c r="T286">
        <f>IF(BD285&lt;=0,0,IF(ROUND(BD285*(1+'Calc base'!R286),2)-MAX('Calc base'!M$12,ROUND('Calc base'!M$13*BD285,2))&lt;1,ROUND(BD285*(1+'Calc base'!R286),2),MAX('Calc base'!M$12,ROUND('Calc base'!M$13*BD285,2))))</f>
        <v>0</v>
      </c>
      <c r="U286">
        <f>IF(BE285&lt;=0,0,IF(ROUND(BE285*(1+'Calc base'!S286),2)-MAX('Calc base'!N$12,ROUND('Calc base'!N$13*BE285,2))&lt;1,ROUND(BE285*(1+'Calc base'!S286),2),MAX('Calc base'!N$12,ROUND('Calc base'!N$13*BE285,2))))</f>
        <v>0</v>
      </c>
      <c r="AT286">
        <f>MAX(0,ROUND(AT285*(1+'Calc base'!H286),2)-J286)</f>
        <v>0</v>
      </c>
      <c r="AU286">
        <f>MAX(0,ROUND(AU285*(1+'Calc base'!I286),2)-K286)</f>
        <v>0</v>
      </c>
      <c r="AV286">
        <f>MAX(0,ROUND(AV285*(1+'Calc base'!J286),2)-L286)</f>
        <v>0</v>
      </c>
      <c r="AW286">
        <f>MAX(0,ROUND(AW285*(1+'Calc base'!K286),2)-M286)</f>
        <v>0</v>
      </c>
      <c r="AX286">
        <f>MAX(0,ROUND(AX285*(1+'Calc base'!L286),2)-N286)</f>
        <v>0</v>
      </c>
      <c r="AY286">
        <f>MAX(0,ROUND(AY285*(1+'Calc base'!M286),2)-O286)</f>
        <v>0</v>
      </c>
      <c r="AZ286">
        <f>MAX(0,ROUND(AZ285*(1+'Calc base'!N286),2)-P286)</f>
        <v>0</v>
      </c>
      <c r="BA286">
        <f>MAX(0,ROUND(BA285*(1+'Calc base'!O286),2)-Q286)</f>
        <v>0</v>
      </c>
      <c r="BB286">
        <f>MAX(0,ROUND(BB285*(1+'Calc base'!P286),2)-R286)</f>
        <v>0</v>
      </c>
      <c r="BC286">
        <f>MAX(0,ROUND(BC285*(1+'Calc base'!Q286),2)-S286)</f>
        <v>0</v>
      </c>
      <c r="BD286">
        <f>MAX(0,ROUND(BD285*(1+'Calc base'!R286),2)-T286)</f>
        <v>0</v>
      </c>
      <c r="BE286">
        <f>MAX(0,ROUND(BE285*(1+'Calc base'!S286),2)-U286)</f>
        <v>0</v>
      </c>
    </row>
    <row r="287">
      <c r="A287" t="n">
        <v>257</v>
      </c>
      <c r="B287">
        <f>SUMPRODUCT(ROUND($AT286:$BE286*(1+'Calc base'!$H287:$S287),2))</f>
        <v>0</v>
      </c>
      <c r="C287">
        <f>SUM(J287:U287)</f>
        <v>0</v>
      </c>
      <c r="G287">
        <f>SUM(AT287:BE287)</f>
        <v>0</v>
      </c>
      <c r="H287">
        <f>B287-G286</f>
        <v>0</v>
      </c>
      <c r="I287">
        <f>B287-G287</f>
        <v>0</v>
      </c>
      <c r="J287">
        <f>IF(AT286&lt;=0,0,IF(ROUND(AT286*(1+'Calc base'!H287),2)-MAX('Calc base'!C$12,ROUND('Calc base'!C$13*AT286,2))&lt;1,ROUND(AT286*(1+'Calc base'!H287),2),MAX('Calc base'!C$12,ROUND('Calc base'!C$13*AT286,2))))</f>
        <v>0</v>
      </c>
      <c r="K287">
        <f>IF(AU286&lt;=0,0,IF(ROUND(AU286*(1+'Calc base'!I287),2)-MAX('Calc base'!D$12,ROUND('Calc base'!D$13*AU286,2))&lt;1,ROUND(AU286*(1+'Calc base'!I287),2),MAX('Calc base'!D$12,ROUND('Calc base'!D$13*AU286,2))))</f>
        <v>0</v>
      </c>
      <c r="L287">
        <f>IF(AV286&lt;=0,0,IF(ROUND(AV286*(1+'Calc base'!J287),2)-MAX('Calc base'!E$12,ROUND('Calc base'!E$13*AV286,2))&lt;1,ROUND(AV286*(1+'Calc base'!J287),2),MAX('Calc base'!E$12,ROUND('Calc base'!E$13*AV286,2))))</f>
        <v>0</v>
      </c>
      <c r="M287">
        <f>IF(AW286&lt;=0,0,IF(ROUND(AW286*(1+'Calc base'!K287),2)-MAX('Calc base'!F$12,ROUND('Calc base'!F$13*AW286,2))&lt;1,ROUND(AW286*(1+'Calc base'!K287),2),MAX('Calc base'!F$12,ROUND('Calc base'!F$13*AW286,2))))</f>
        <v>0</v>
      </c>
      <c r="N287">
        <f>IF(AX286&lt;=0,0,IF(ROUND(AX286*(1+'Calc base'!L287),2)-MAX('Calc base'!G$12,ROUND('Calc base'!G$13*AX286,2))&lt;1,ROUND(AX286*(1+'Calc base'!L287),2),MAX('Calc base'!G$12,ROUND('Calc base'!G$13*AX286,2))))</f>
        <v>0</v>
      </c>
      <c r="O287">
        <f>IF(AY286&lt;=0,0,IF(ROUND(AY286*(1+'Calc base'!M287),2)-MAX('Calc base'!H$12,ROUND('Calc base'!H$13*AY286,2))&lt;1,ROUND(AY286*(1+'Calc base'!M287),2),MAX('Calc base'!H$12,ROUND('Calc base'!H$13*AY286,2))))</f>
        <v>0</v>
      </c>
      <c r="P287">
        <f>IF(AZ286&lt;=0,0,IF(ROUND(AZ286*(1+'Calc base'!N287),2)-MAX('Calc base'!I$12,ROUND('Calc base'!I$13*AZ286,2))&lt;1,ROUND(AZ286*(1+'Calc base'!N287),2),MAX('Calc base'!I$12,ROUND('Calc base'!I$13*AZ286,2))))</f>
        <v>0</v>
      </c>
      <c r="Q287">
        <f>IF(BA286&lt;=0,0,IF(ROUND(BA286*(1+'Calc base'!O287),2)-MAX('Calc base'!J$12,ROUND('Calc base'!J$13*BA286,2))&lt;1,ROUND(BA286*(1+'Calc base'!O287),2),MAX('Calc base'!J$12,ROUND('Calc base'!J$13*BA286,2))))</f>
        <v>0</v>
      </c>
      <c r="R287">
        <f>IF(BB286&lt;=0,0,IF(ROUND(BB286*(1+'Calc base'!P287),2)-MAX('Calc base'!K$12,ROUND('Calc base'!K$13*BB286,2))&lt;1,ROUND(BB286*(1+'Calc base'!P287),2),MAX('Calc base'!K$12,ROUND('Calc base'!K$13*BB286,2))))</f>
        <v>0</v>
      </c>
      <c r="S287">
        <f>IF(BC286&lt;=0,0,IF(ROUND(BC286*(1+'Calc base'!Q287),2)-MAX('Calc base'!L$12,ROUND('Calc base'!L$13*BC286,2))&lt;1,ROUND(BC286*(1+'Calc base'!Q287),2),MAX('Calc base'!L$12,ROUND('Calc base'!L$13*BC286,2))))</f>
        <v>0</v>
      </c>
      <c r="T287">
        <f>IF(BD286&lt;=0,0,IF(ROUND(BD286*(1+'Calc base'!R287),2)-MAX('Calc base'!M$12,ROUND('Calc base'!M$13*BD286,2))&lt;1,ROUND(BD286*(1+'Calc base'!R287),2),MAX('Calc base'!M$12,ROUND('Calc base'!M$13*BD286,2))))</f>
        <v>0</v>
      </c>
      <c r="U287">
        <f>IF(BE286&lt;=0,0,IF(ROUND(BE286*(1+'Calc base'!S287),2)-MAX('Calc base'!N$12,ROUND('Calc base'!N$13*BE286,2))&lt;1,ROUND(BE286*(1+'Calc base'!S287),2),MAX('Calc base'!N$12,ROUND('Calc base'!N$13*BE286,2))))</f>
        <v>0</v>
      </c>
      <c r="AT287">
        <f>MAX(0,ROUND(AT286*(1+'Calc base'!H287),2)-J287)</f>
        <v>0</v>
      </c>
      <c r="AU287">
        <f>MAX(0,ROUND(AU286*(1+'Calc base'!I287),2)-K287)</f>
        <v>0</v>
      </c>
      <c r="AV287">
        <f>MAX(0,ROUND(AV286*(1+'Calc base'!J287),2)-L287)</f>
        <v>0</v>
      </c>
      <c r="AW287">
        <f>MAX(0,ROUND(AW286*(1+'Calc base'!K287),2)-M287)</f>
        <v>0</v>
      </c>
      <c r="AX287">
        <f>MAX(0,ROUND(AX286*(1+'Calc base'!L287),2)-N287)</f>
        <v>0</v>
      </c>
      <c r="AY287">
        <f>MAX(0,ROUND(AY286*(1+'Calc base'!M287),2)-O287)</f>
        <v>0</v>
      </c>
      <c r="AZ287">
        <f>MAX(0,ROUND(AZ286*(1+'Calc base'!N287),2)-P287)</f>
        <v>0</v>
      </c>
      <c r="BA287">
        <f>MAX(0,ROUND(BA286*(1+'Calc base'!O287),2)-Q287)</f>
        <v>0</v>
      </c>
      <c r="BB287">
        <f>MAX(0,ROUND(BB286*(1+'Calc base'!P287),2)-R287)</f>
        <v>0</v>
      </c>
      <c r="BC287">
        <f>MAX(0,ROUND(BC286*(1+'Calc base'!Q287),2)-S287)</f>
        <v>0</v>
      </c>
      <c r="BD287">
        <f>MAX(0,ROUND(BD286*(1+'Calc base'!R287),2)-T287)</f>
        <v>0</v>
      </c>
      <c r="BE287">
        <f>MAX(0,ROUND(BE286*(1+'Calc base'!S287),2)-U287)</f>
        <v>0</v>
      </c>
    </row>
    <row r="288">
      <c r="A288" t="n">
        <v>258</v>
      </c>
      <c r="B288">
        <f>SUMPRODUCT(ROUND($AT287:$BE287*(1+'Calc base'!$H288:$S288),2))</f>
        <v>0</v>
      </c>
      <c r="C288">
        <f>SUM(J288:U288)</f>
        <v>0</v>
      </c>
      <c r="G288">
        <f>SUM(AT288:BE288)</f>
        <v>0</v>
      </c>
      <c r="H288">
        <f>B288-G287</f>
        <v>0</v>
      </c>
      <c r="I288">
        <f>B288-G288</f>
        <v>0</v>
      </c>
      <c r="J288">
        <f>IF(AT287&lt;=0,0,IF(ROUND(AT287*(1+'Calc base'!H288),2)-MAX('Calc base'!C$12,ROUND('Calc base'!C$13*AT287,2))&lt;1,ROUND(AT287*(1+'Calc base'!H288),2),MAX('Calc base'!C$12,ROUND('Calc base'!C$13*AT287,2))))</f>
        <v>0</v>
      </c>
      <c r="K288">
        <f>IF(AU287&lt;=0,0,IF(ROUND(AU287*(1+'Calc base'!I288),2)-MAX('Calc base'!D$12,ROUND('Calc base'!D$13*AU287,2))&lt;1,ROUND(AU287*(1+'Calc base'!I288),2),MAX('Calc base'!D$12,ROUND('Calc base'!D$13*AU287,2))))</f>
        <v>0</v>
      </c>
      <c r="L288">
        <f>IF(AV287&lt;=0,0,IF(ROUND(AV287*(1+'Calc base'!J288),2)-MAX('Calc base'!E$12,ROUND('Calc base'!E$13*AV287,2))&lt;1,ROUND(AV287*(1+'Calc base'!J288),2),MAX('Calc base'!E$12,ROUND('Calc base'!E$13*AV287,2))))</f>
        <v>0</v>
      </c>
      <c r="M288">
        <f>IF(AW287&lt;=0,0,IF(ROUND(AW287*(1+'Calc base'!K288),2)-MAX('Calc base'!F$12,ROUND('Calc base'!F$13*AW287,2))&lt;1,ROUND(AW287*(1+'Calc base'!K288),2),MAX('Calc base'!F$12,ROUND('Calc base'!F$13*AW287,2))))</f>
        <v>0</v>
      </c>
      <c r="N288">
        <f>IF(AX287&lt;=0,0,IF(ROUND(AX287*(1+'Calc base'!L288),2)-MAX('Calc base'!G$12,ROUND('Calc base'!G$13*AX287,2))&lt;1,ROUND(AX287*(1+'Calc base'!L288),2),MAX('Calc base'!G$12,ROUND('Calc base'!G$13*AX287,2))))</f>
        <v>0</v>
      </c>
      <c r="O288">
        <f>IF(AY287&lt;=0,0,IF(ROUND(AY287*(1+'Calc base'!M288),2)-MAX('Calc base'!H$12,ROUND('Calc base'!H$13*AY287,2))&lt;1,ROUND(AY287*(1+'Calc base'!M288),2),MAX('Calc base'!H$12,ROUND('Calc base'!H$13*AY287,2))))</f>
        <v>0</v>
      </c>
      <c r="P288">
        <f>IF(AZ287&lt;=0,0,IF(ROUND(AZ287*(1+'Calc base'!N288),2)-MAX('Calc base'!I$12,ROUND('Calc base'!I$13*AZ287,2))&lt;1,ROUND(AZ287*(1+'Calc base'!N288),2),MAX('Calc base'!I$12,ROUND('Calc base'!I$13*AZ287,2))))</f>
        <v>0</v>
      </c>
      <c r="Q288">
        <f>IF(BA287&lt;=0,0,IF(ROUND(BA287*(1+'Calc base'!O288),2)-MAX('Calc base'!J$12,ROUND('Calc base'!J$13*BA287,2))&lt;1,ROUND(BA287*(1+'Calc base'!O288),2),MAX('Calc base'!J$12,ROUND('Calc base'!J$13*BA287,2))))</f>
        <v>0</v>
      </c>
      <c r="R288">
        <f>IF(BB287&lt;=0,0,IF(ROUND(BB287*(1+'Calc base'!P288),2)-MAX('Calc base'!K$12,ROUND('Calc base'!K$13*BB287,2))&lt;1,ROUND(BB287*(1+'Calc base'!P288),2),MAX('Calc base'!K$12,ROUND('Calc base'!K$13*BB287,2))))</f>
        <v>0</v>
      </c>
      <c r="S288">
        <f>IF(BC287&lt;=0,0,IF(ROUND(BC287*(1+'Calc base'!Q288),2)-MAX('Calc base'!L$12,ROUND('Calc base'!L$13*BC287,2))&lt;1,ROUND(BC287*(1+'Calc base'!Q288),2),MAX('Calc base'!L$12,ROUND('Calc base'!L$13*BC287,2))))</f>
        <v>0</v>
      </c>
      <c r="T288">
        <f>IF(BD287&lt;=0,0,IF(ROUND(BD287*(1+'Calc base'!R288),2)-MAX('Calc base'!M$12,ROUND('Calc base'!M$13*BD287,2))&lt;1,ROUND(BD287*(1+'Calc base'!R288),2),MAX('Calc base'!M$12,ROUND('Calc base'!M$13*BD287,2))))</f>
        <v>0</v>
      </c>
      <c r="U288">
        <f>IF(BE287&lt;=0,0,IF(ROUND(BE287*(1+'Calc base'!S288),2)-MAX('Calc base'!N$12,ROUND('Calc base'!N$13*BE287,2))&lt;1,ROUND(BE287*(1+'Calc base'!S288),2),MAX('Calc base'!N$12,ROUND('Calc base'!N$13*BE287,2))))</f>
        <v>0</v>
      </c>
      <c r="AT288">
        <f>MAX(0,ROUND(AT287*(1+'Calc base'!H288),2)-J288)</f>
        <v>0</v>
      </c>
      <c r="AU288">
        <f>MAX(0,ROUND(AU287*(1+'Calc base'!I288),2)-K288)</f>
        <v>0</v>
      </c>
      <c r="AV288">
        <f>MAX(0,ROUND(AV287*(1+'Calc base'!J288),2)-L288)</f>
        <v>0</v>
      </c>
      <c r="AW288">
        <f>MAX(0,ROUND(AW287*(1+'Calc base'!K288),2)-M288)</f>
        <v>0</v>
      </c>
      <c r="AX288">
        <f>MAX(0,ROUND(AX287*(1+'Calc base'!L288),2)-N288)</f>
        <v>0</v>
      </c>
      <c r="AY288">
        <f>MAX(0,ROUND(AY287*(1+'Calc base'!M288),2)-O288)</f>
        <v>0</v>
      </c>
      <c r="AZ288">
        <f>MAX(0,ROUND(AZ287*(1+'Calc base'!N288),2)-P288)</f>
        <v>0</v>
      </c>
      <c r="BA288">
        <f>MAX(0,ROUND(BA287*(1+'Calc base'!O288),2)-Q288)</f>
        <v>0</v>
      </c>
      <c r="BB288">
        <f>MAX(0,ROUND(BB287*(1+'Calc base'!P288),2)-R288)</f>
        <v>0</v>
      </c>
      <c r="BC288">
        <f>MAX(0,ROUND(BC287*(1+'Calc base'!Q288),2)-S288)</f>
        <v>0</v>
      </c>
      <c r="BD288">
        <f>MAX(0,ROUND(BD287*(1+'Calc base'!R288),2)-T288)</f>
        <v>0</v>
      </c>
      <c r="BE288">
        <f>MAX(0,ROUND(BE287*(1+'Calc base'!S288),2)-U288)</f>
        <v>0</v>
      </c>
    </row>
    <row r="289">
      <c r="A289" t="n">
        <v>259</v>
      </c>
      <c r="B289">
        <f>SUMPRODUCT(ROUND($AT288:$BE288*(1+'Calc base'!$H289:$S289),2))</f>
        <v>0</v>
      </c>
      <c r="C289">
        <f>SUM(J289:U289)</f>
        <v>0</v>
      </c>
      <c r="G289">
        <f>SUM(AT289:BE289)</f>
        <v>0</v>
      </c>
      <c r="H289">
        <f>B289-G288</f>
        <v>0</v>
      </c>
      <c r="I289">
        <f>B289-G289</f>
        <v>0</v>
      </c>
      <c r="J289">
        <f>IF(AT288&lt;=0,0,IF(ROUND(AT288*(1+'Calc base'!H289),2)-MAX('Calc base'!C$12,ROUND('Calc base'!C$13*AT288,2))&lt;1,ROUND(AT288*(1+'Calc base'!H289),2),MAX('Calc base'!C$12,ROUND('Calc base'!C$13*AT288,2))))</f>
        <v>0</v>
      </c>
      <c r="K289">
        <f>IF(AU288&lt;=0,0,IF(ROUND(AU288*(1+'Calc base'!I289),2)-MAX('Calc base'!D$12,ROUND('Calc base'!D$13*AU288,2))&lt;1,ROUND(AU288*(1+'Calc base'!I289),2),MAX('Calc base'!D$12,ROUND('Calc base'!D$13*AU288,2))))</f>
        <v>0</v>
      </c>
      <c r="L289">
        <f>IF(AV288&lt;=0,0,IF(ROUND(AV288*(1+'Calc base'!J289),2)-MAX('Calc base'!E$12,ROUND('Calc base'!E$13*AV288,2))&lt;1,ROUND(AV288*(1+'Calc base'!J289),2),MAX('Calc base'!E$12,ROUND('Calc base'!E$13*AV288,2))))</f>
        <v>0</v>
      </c>
      <c r="M289">
        <f>IF(AW288&lt;=0,0,IF(ROUND(AW288*(1+'Calc base'!K289),2)-MAX('Calc base'!F$12,ROUND('Calc base'!F$13*AW288,2))&lt;1,ROUND(AW288*(1+'Calc base'!K289),2),MAX('Calc base'!F$12,ROUND('Calc base'!F$13*AW288,2))))</f>
        <v>0</v>
      </c>
      <c r="N289">
        <f>IF(AX288&lt;=0,0,IF(ROUND(AX288*(1+'Calc base'!L289),2)-MAX('Calc base'!G$12,ROUND('Calc base'!G$13*AX288,2))&lt;1,ROUND(AX288*(1+'Calc base'!L289),2),MAX('Calc base'!G$12,ROUND('Calc base'!G$13*AX288,2))))</f>
        <v>0</v>
      </c>
      <c r="O289">
        <f>IF(AY288&lt;=0,0,IF(ROUND(AY288*(1+'Calc base'!M289),2)-MAX('Calc base'!H$12,ROUND('Calc base'!H$13*AY288,2))&lt;1,ROUND(AY288*(1+'Calc base'!M289),2),MAX('Calc base'!H$12,ROUND('Calc base'!H$13*AY288,2))))</f>
        <v>0</v>
      </c>
      <c r="P289">
        <f>IF(AZ288&lt;=0,0,IF(ROUND(AZ288*(1+'Calc base'!N289),2)-MAX('Calc base'!I$12,ROUND('Calc base'!I$13*AZ288,2))&lt;1,ROUND(AZ288*(1+'Calc base'!N289),2),MAX('Calc base'!I$12,ROUND('Calc base'!I$13*AZ288,2))))</f>
        <v>0</v>
      </c>
      <c r="Q289">
        <f>IF(BA288&lt;=0,0,IF(ROUND(BA288*(1+'Calc base'!O289),2)-MAX('Calc base'!J$12,ROUND('Calc base'!J$13*BA288,2))&lt;1,ROUND(BA288*(1+'Calc base'!O289),2),MAX('Calc base'!J$12,ROUND('Calc base'!J$13*BA288,2))))</f>
        <v>0</v>
      </c>
      <c r="R289">
        <f>IF(BB288&lt;=0,0,IF(ROUND(BB288*(1+'Calc base'!P289),2)-MAX('Calc base'!K$12,ROUND('Calc base'!K$13*BB288,2))&lt;1,ROUND(BB288*(1+'Calc base'!P289),2),MAX('Calc base'!K$12,ROUND('Calc base'!K$13*BB288,2))))</f>
        <v>0</v>
      </c>
      <c r="S289">
        <f>IF(BC288&lt;=0,0,IF(ROUND(BC288*(1+'Calc base'!Q289),2)-MAX('Calc base'!L$12,ROUND('Calc base'!L$13*BC288,2))&lt;1,ROUND(BC288*(1+'Calc base'!Q289),2),MAX('Calc base'!L$12,ROUND('Calc base'!L$13*BC288,2))))</f>
        <v>0</v>
      </c>
      <c r="T289">
        <f>IF(BD288&lt;=0,0,IF(ROUND(BD288*(1+'Calc base'!R289),2)-MAX('Calc base'!M$12,ROUND('Calc base'!M$13*BD288,2))&lt;1,ROUND(BD288*(1+'Calc base'!R289),2),MAX('Calc base'!M$12,ROUND('Calc base'!M$13*BD288,2))))</f>
        <v>0</v>
      </c>
      <c r="U289">
        <f>IF(BE288&lt;=0,0,IF(ROUND(BE288*(1+'Calc base'!S289),2)-MAX('Calc base'!N$12,ROUND('Calc base'!N$13*BE288,2))&lt;1,ROUND(BE288*(1+'Calc base'!S289),2),MAX('Calc base'!N$12,ROUND('Calc base'!N$13*BE288,2))))</f>
        <v>0</v>
      </c>
      <c r="AT289">
        <f>MAX(0,ROUND(AT288*(1+'Calc base'!H289),2)-J289)</f>
        <v>0</v>
      </c>
      <c r="AU289">
        <f>MAX(0,ROUND(AU288*(1+'Calc base'!I289),2)-K289)</f>
        <v>0</v>
      </c>
      <c r="AV289">
        <f>MAX(0,ROUND(AV288*(1+'Calc base'!J289),2)-L289)</f>
        <v>0</v>
      </c>
      <c r="AW289">
        <f>MAX(0,ROUND(AW288*(1+'Calc base'!K289),2)-M289)</f>
        <v>0</v>
      </c>
      <c r="AX289">
        <f>MAX(0,ROUND(AX288*(1+'Calc base'!L289),2)-N289)</f>
        <v>0</v>
      </c>
      <c r="AY289">
        <f>MAX(0,ROUND(AY288*(1+'Calc base'!M289),2)-O289)</f>
        <v>0</v>
      </c>
      <c r="AZ289">
        <f>MAX(0,ROUND(AZ288*(1+'Calc base'!N289),2)-P289)</f>
        <v>0</v>
      </c>
      <c r="BA289">
        <f>MAX(0,ROUND(BA288*(1+'Calc base'!O289),2)-Q289)</f>
        <v>0</v>
      </c>
      <c r="BB289">
        <f>MAX(0,ROUND(BB288*(1+'Calc base'!P289),2)-R289)</f>
        <v>0</v>
      </c>
      <c r="BC289">
        <f>MAX(0,ROUND(BC288*(1+'Calc base'!Q289),2)-S289)</f>
        <v>0</v>
      </c>
      <c r="BD289">
        <f>MAX(0,ROUND(BD288*(1+'Calc base'!R289),2)-T289)</f>
        <v>0</v>
      </c>
      <c r="BE289">
        <f>MAX(0,ROUND(BE288*(1+'Calc base'!S289),2)-U289)</f>
        <v>0</v>
      </c>
    </row>
    <row r="290">
      <c r="A290" t="n">
        <v>260</v>
      </c>
      <c r="B290">
        <f>SUMPRODUCT(ROUND($AT289:$BE289*(1+'Calc base'!$H290:$S290),2))</f>
        <v>0</v>
      </c>
      <c r="C290">
        <f>SUM(J290:U290)</f>
        <v>0</v>
      </c>
      <c r="G290">
        <f>SUM(AT290:BE290)</f>
        <v>0</v>
      </c>
      <c r="H290">
        <f>B290-G289</f>
        <v>0</v>
      </c>
      <c r="I290">
        <f>B290-G290</f>
        <v>0</v>
      </c>
      <c r="J290">
        <f>IF(AT289&lt;=0,0,IF(ROUND(AT289*(1+'Calc base'!H290),2)-MAX('Calc base'!C$12,ROUND('Calc base'!C$13*AT289,2))&lt;1,ROUND(AT289*(1+'Calc base'!H290),2),MAX('Calc base'!C$12,ROUND('Calc base'!C$13*AT289,2))))</f>
        <v>0</v>
      </c>
      <c r="K290">
        <f>IF(AU289&lt;=0,0,IF(ROUND(AU289*(1+'Calc base'!I290),2)-MAX('Calc base'!D$12,ROUND('Calc base'!D$13*AU289,2))&lt;1,ROUND(AU289*(1+'Calc base'!I290),2),MAX('Calc base'!D$12,ROUND('Calc base'!D$13*AU289,2))))</f>
        <v>0</v>
      </c>
      <c r="L290">
        <f>IF(AV289&lt;=0,0,IF(ROUND(AV289*(1+'Calc base'!J290),2)-MAX('Calc base'!E$12,ROUND('Calc base'!E$13*AV289,2))&lt;1,ROUND(AV289*(1+'Calc base'!J290),2),MAX('Calc base'!E$12,ROUND('Calc base'!E$13*AV289,2))))</f>
        <v>0</v>
      </c>
      <c r="M290">
        <f>IF(AW289&lt;=0,0,IF(ROUND(AW289*(1+'Calc base'!K290),2)-MAX('Calc base'!F$12,ROUND('Calc base'!F$13*AW289,2))&lt;1,ROUND(AW289*(1+'Calc base'!K290),2),MAX('Calc base'!F$12,ROUND('Calc base'!F$13*AW289,2))))</f>
        <v>0</v>
      </c>
      <c r="N290">
        <f>IF(AX289&lt;=0,0,IF(ROUND(AX289*(1+'Calc base'!L290),2)-MAX('Calc base'!G$12,ROUND('Calc base'!G$13*AX289,2))&lt;1,ROUND(AX289*(1+'Calc base'!L290),2),MAX('Calc base'!G$12,ROUND('Calc base'!G$13*AX289,2))))</f>
        <v>0</v>
      </c>
      <c r="O290">
        <f>IF(AY289&lt;=0,0,IF(ROUND(AY289*(1+'Calc base'!M290),2)-MAX('Calc base'!H$12,ROUND('Calc base'!H$13*AY289,2))&lt;1,ROUND(AY289*(1+'Calc base'!M290),2),MAX('Calc base'!H$12,ROUND('Calc base'!H$13*AY289,2))))</f>
        <v>0</v>
      </c>
      <c r="P290">
        <f>IF(AZ289&lt;=0,0,IF(ROUND(AZ289*(1+'Calc base'!N290),2)-MAX('Calc base'!I$12,ROUND('Calc base'!I$13*AZ289,2))&lt;1,ROUND(AZ289*(1+'Calc base'!N290),2),MAX('Calc base'!I$12,ROUND('Calc base'!I$13*AZ289,2))))</f>
        <v>0</v>
      </c>
      <c r="Q290">
        <f>IF(BA289&lt;=0,0,IF(ROUND(BA289*(1+'Calc base'!O290),2)-MAX('Calc base'!J$12,ROUND('Calc base'!J$13*BA289,2))&lt;1,ROUND(BA289*(1+'Calc base'!O290),2),MAX('Calc base'!J$12,ROUND('Calc base'!J$13*BA289,2))))</f>
        <v>0</v>
      </c>
      <c r="R290">
        <f>IF(BB289&lt;=0,0,IF(ROUND(BB289*(1+'Calc base'!P290),2)-MAX('Calc base'!K$12,ROUND('Calc base'!K$13*BB289,2))&lt;1,ROUND(BB289*(1+'Calc base'!P290),2),MAX('Calc base'!K$12,ROUND('Calc base'!K$13*BB289,2))))</f>
        <v>0</v>
      </c>
      <c r="S290">
        <f>IF(BC289&lt;=0,0,IF(ROUND(BC289*(1+'Calc base'!Q290),2)-MAX('Calc base'!L$12,ROUND('Calc base'!L$13*BC289,2))&lt;1,ROUND(BC289*(1+'Calc base'!Q290),2),MAX('Calc base'!L$12,ROUND('Calc base'!L$13*BC289,2))))</f>
        <v>0</v>
      </c>
      <c r="T290">
        <f>IF(BD289&lt;=0,0,IF(ROUND(BD289*(1+'Calc base'!R290),2)-MAX('Calc base'!M$12,ROUND('Calc base'!M$13*BD289,2))&lt;1,ROUND(BD289*(1+'Calc base'!R290),2),MAX('Calc base'!M$12,ROUND('Calc base'!M$13*BD289,2))))</f>
        <v>0</v>
      </c>
      <c r="U290">
        <f>IF(BE289&lt;=0,0,IF(ROUND(BE289*(1+'Calc base'!S290),2)-MAX('Calc base'!N$12,ROUND('Calc base'!N$13*BE289,2))&lt;1,ROUND(BE289*(1+'Calc base'!S290),2),MAX('Calc base'!N$12,ROUND('Calc base'!N$13*BE289,2))))</f>
        <v>0</v>
      </c>
      <c r="AT290">
        <f>MAX(0,ROUND(AT289*(1+'Calc base'!H290),2)-J290)</f>
        <v>0</v>
      </c>
      <c r="AU290">
        <f>MAX(0,ROUND(AU289*(1+'Calc base'!I290),2)-K290)</f>
        <v>0</v>
      </c>
      <c r="AV290">
        <f>MAX(0,ROUND(AV289*(1+'Calc base'!J290),2)-L290)</f>
        <v>0</v>
      </c>
      <c r="AW290">
        <f>MAX(0,ROUND(AW289*(1+'Calc base'!K290),2)-M290)</f>
        <v>0</v>
      </c>
      <c r="AX290">
        <f>MAX(0,ROUND(AX289*(1+'Calc base'!L290),2)-N290)</f>
        <v>0</v>
      </c>
      <c r="AY290">
        <f>MAX(0,ROUND(AY289*(1+'Calc base'!M290),2)-O290)</f>
        <v>0</v>
      </c>
      <c r="AZ290">
        <f>MAX(0,ROUND(AZ289*(1+'Calc base'!N290),2)-P290)</f>
        <v>0</v>
      </c>
      <c r="BA290">
        <f>MAX(0,ROUND(BA289*(1+'Calc base'!O290),2)-Q290)</f>
        <v>0</v>
      </c>
      <c r="BB290">
        <f>MAX(0,ROUND(BB289*(1+'Calc base'!P290),2)-R290)</f>
        <v>0</v>
      </c>
      <c r="BC290">
        <f>MAX(0,ROUND(BC289*(1+'Calc base'!Q290),2)-S290)</f>
        <v>0</v>
      </c>
      <c r="BD290">
        <f>MAX(0,ROUND(BD289*(1+'Calc base'!R290),2)-T290)</f>
        <v>0</v>
      </c>
      <c r="BE290">
        <f>MAX(0,ROUND(BE289*(1+'Calc base'!S290),2)-U290)</f>
        <v>0</v>
      </c>
    </row>
    <row r="291">
      <c r="A291" t="n">
        <v>261</v>
      </c>
      <c r="B291">
        <f>SUMPRODUCT(ROUND($AT290:$BE290*(1+'Calc base'!$H291:$S291),2))</f>
        <v>0</v>
      </c>
      <c r="C291">
        <f>SUM(J291:U291)</f>
        <v>0</v>
      </c>
      <c r="G291">
        <f>SUM(AT291:BE291)</f>
        <v>0</v>
      </c>
      <c r="H291">
        <f>B291-G290</f>
        <v>0</v>
      </c>
      <c r="I291">
        <f>B291-G291</f>
        <v>0</v>
      </c>
      <c r="J291">
        <f>IF(AT290&lt;=0,0,IF(ROUND(AT290*(1+'Calc base'!H291),2)-MAX('Calc base'!C$12,ROUND('Calc base'!C$13*AT290,2))&lt;1,ROUND(AT290*(1+'Calc base'!H291),2),MAX('Calc base'!C$12,ROUND('Calc base'!C$13*AT290,2))))</f>
        <v>0</v>
      </c>
      <c r="K291">
        <f>IF(AU290&lt;=0,0,IF(ROUND(AU290*(1+'Calc base'!I291),2)-MAX('Calc base'!D$12,ROUND('Calc base'!D$13*AU290,2))&lt;1,ROUND(AU290*(1+'Calc base'!I291),2),MAX('Calc base'!D$12,ROUND('Calc base'!D$13*AU290,2))))</f>
        <v>0</v>
      </c>
      <c r="L291">
        <f>IF(AV290&lt;=0,0,IF(ROUND(AV290*(1+'Calc base'!J291),2)-MAX('Calc base'!E$12,ROUND('Calc base'!E$13*AV290,2))&lt;1,ROUND(AV290*(1+'Calc base'!J291),2),MAX('Calc base'!E$12,ROUND('Calc base'!E$13*AV290,2))))</f>
        <v>0</v>
      </c>
      <c r="M291">
        <f>IF(AW290&lt;=0,0,IF(ROUND(AW290*(1+'Calc base'!K291),2)-MAX('Calc base'!F$12,ROUND('Calc base'!F$13*AW290,2))&lt;1,ROUND(AW290*(1+'Calc base'!K291),2),MAX('Calc base'!F$12,ROUND('Calc base'!F$13*AW290,2))))</f>
        <v>0</v>
      </c>
      <c r="N291">
        <f>IF(AX290&lt;=0,0,IF(ROUND(AX290*(1+'Calc base'!L291),2)-MAX('Calc base'!G$12,ROUND('Calc base'!G$13*AX290,2))&lt;1,ROUND(AX290*(1+'Calc base'!L291),2),MAX('Calc base'!G$12,ROUND('Calc base'!G$13*AX290,2))))</f>
        <v>0</v>
      </c>
      <c r="O291">
        <f>IF(AY290&lt;=0,0,IF(ROUND(AY290*(1+'Calc base'!M291),2)-MAX('Calc base'!H$12,ROUND('Calc base'!H$13*AY290,2))&lt;1,ROUND(AY290*(1+'Calc base'!M291),2),MAX('Calc base'!H$12,ROUND('Calc base'!H$13*AY290,2))))</f>
        <v>0</v>
      </c>
      <c r="P291">
        <f>IF(AZ290&lt;=0,0,IF(ROUND(AZ290*(1+'Calc base'!N291),2)-MAX('Calc base'!I$12,ROUND('Calc base'!I$13*AZ290,2))&lt;1,ROUND(AZ290*(1+'Calc base'!N291),2),MAX('Calc base'!I$12,ROUND('Calc base'!I$13*AZ290,2))))</f>
        <v>0</v>
      </c>
      <c r="Q291">
        <f>IF(BA290&lt;=0,0,IF(ROUND(BA290*(1+'Calc base'!O291),2)-MAX('Calc base'!J$12,ROUND('Calc base'!J$13*BA290,2))&lt;1,ROUND(BA290*(1+'Calc base'!O291),2),MAX('Calc base'!J$12,ROUND('Calc base'!J$13*BA290,2))))</f>
        <v>0</v>
      </c>
      <c r="R291">
        <f>IF(BB290&lt;=0,0,IF(ROUND(BB290*(1+'Calc base'!P291),2)-MAX('Calc base'!K$12,ROUND('Calc base'!K$13*BB290,2))&lt;1,ROUND(BB290*(1+'Calc base'!P291),2),MAX('Calc base'!K$12,ROUND('Calc base'!K$13*BB290,2))))</f>
        <v>0</v>
      </c>
      <c r="S291">
        <f>IF(BC290&lt;=0,0,IF(ROUND(BC290*(1+'Calc base'!Q291),2)-MAX('Calc base'!L$12,ROUND('Calc base'!L$13*BC290,2))&lt;1,ROUND(BC290*(1+'Calc base'!Q291),2),MAX('Calc base'!L$12,ROUND('Calc base'!L$13*BC290,2))))</f>
        <v>0</v>
      </c>
      <c r="T291">
        <f>IF(BD290&lt;=0,0,IF(ROUND(BD290*(1+'Calc base'!R291),2)-MAX('Calc base'!M$12,ROUND('Calc base'!M$13*BD290,2))&lt;1,ROUND(BD290*(1+'Calc base'!R291),2),MAX('Calc base'!M$12,ROUND('Calc base'!M$13*BD290,2))))</f>
        <v>0</v>
      </c>
      <c r="U291">
        <f>IF(BE290&lt;=0,0,IF(ROUND(BE290*(1+'Calc base'!S291),2)-MAX('Calc base'!N$12,ROUND('Calc base'!N$13*BE290,2))&lt;1,ROUND(BE290*(1+'Calc base'!S291),2),MAX('Calc base'!N$12,ROUND('Calc base'!N$13*BE290,2))))</f>
        <v>0</v>
      </c>
      <c r="AT291">
        <f>MAX(0,ROUND(AT290*(1+'Calc base'!H291),2)-J291)</f>
        <v>0</v>
      </c>
      <c r="AU291">
        <f>MAX(0,ROUND(AU290*(1+'Calc base'!I291),2)-K291)</f>
        <v>0</v>
      </c>
      <c r="AV291">
        <f>MAX(0,ROUND(AV290*(1+'Calc base'!J291),2)-L291)</f>
        <v>0</v>
      </c>
      <c r="AW291">
        <f>MAX(0,ROUND(AW290*(1+'Calc base'!K291),2)-M291)</f>
        <v>0</v>
      </c>
      <c r="AX291">
        <f>MAX(0,ROUND(AX290*(1+'Calc base'!L291),2)-N291)</f>
        <v>0</v>
      </c>
      <c r="AY291">
        <f>MAX(0,ROUND(AY290*(1+'Calc base'!M291),2)-O291)</f>
        <v>0</v>
      </c>
      <c r="AZ291">
        <f>MAX(0,ROUND(AZ290*(1+'Calc base'!N291),2)-P291)</f>
        <v>0</v>
      </c>
      <c r="BA291">
        <f>MAX(0,ROUND(BA290*(1+'Calc base'!O291),2)-Q291)</f>
        <v>0</v>
      </c>
      <c r="BB291">
        <f>MAX(0,ROUND(BB290*(1+'Calc base'!P291),2)-R291)</f>
        <v>0</v>
      </c>
      <c r="BC291">
        <f>MAX(0,ROUND(BC290*(1+'Calc base'!Q291),2)-S291)</f>
        <v>0</v>
      </c>
      <c r="BD291">
        <f>MAX(0,ROUND(BD290*(1+'Calc base'!R291),2)-T291)</f>
        <v>0</v>
      </c>
      <c r="BE291">
        <f>MAX(0,ROUND(BE290*(1+'Calc base'!S291),2)-U291)</f>
        <v>0</v>
      </c>
    </row>
    <row r="292">
      <c r="A292" t="n">
        <v>262</v>
      </c>
      <c r="B292">
        <f>SUMPRODUCT(ROUND($AT291:$BE291*(1+'Calc base'!$H292:$S292),2))</f>
        <v>0</v>
      </c>
      <c r="C292">
        <f>SUM(J292:U292)</f>
        <v>0</v>
      </c>
      <c r="G292">
        <f>SUM(AT292:BE292)</f>
        <v>0</v>
      </c>
      <c r="H292">
        <f>B292-G291</f>
        <v>0</v>
      </c>
      <c r="I292">
        <f>B292-G292</f>
        <v>0</v>
      </c>
      <c r="J292">
        <f>IF(AT291&lt;=0,0,IF(ROUND(AT291*(1+'Calc base'!H292),2)-MAX('Calc base'!C$12,ROUND('Calc base'!C$13*AT291,2))&lt;1,ROUND(AT291*(1+'Calc base'!H292),2),MAX('Calc base'!C$12,ROUND('Calc base'!C$13*AT291,2))))</f>
        <v>0</v>
      </c>
      <c r="K292">
        <f>IF(AU291&lt;=0,0,IF(ROUND(AU291*(1+'Calc base'!I292),2)-MAX('Calc base'!D$12,ROUND('Calc base'!D$13*AU291,2))&lt;1,ROUND(AU291*(1+'Calc base'!I292),2),MAX('Calc base'!D$12,ROUND('Calc base'!D$13*AU291,2))))</f>
        <v>0</v>
      </c>
      <c r="L292">
        <f>IF(AV291&lt;=0,0,IF(ROUND(AV291*(1+'Calc base'!J292),2)-MAX('Calc base'!E$12,ROUND('Calc base'!E$13*AV291,2))&lt;1,ROUND(AV291*(1+'Calc base'!J292),2),MAX('Calc base'!E$12,ROUND('Calc base'!E$13*AV291,2))))</f>
        <v>0</v>
      </c>
      <c r="M292">
        <f>IF(AW291&lt;=0,0,IF(ROUND(AW291*(1+'Calc base'!K292),2)-MAX('Calc base'!F$12,ROUND('Calc base'!F$13*AW291,2))&lt;1,ROUND(AW291*(1+'Calc base'!K292),2),MAX('Calc base'!F$12,ROUND('Calc base'!F$13*AW291,2))))</f>
        <v>0</v>
      </c>
      <c r="N292">
        <f>IF(AX291&lt;=0,0,IF(ROUND(AX291*(1+'Calc base'!L292),2)-MAX('Calc base'!G$12,ROUND('Calc base'!G$13*AX291,2))&lt;1,ROUND(AX291*(1+'Calc base'!L292),2),MAX('Calc base'!G$12,ROUND('Calc base'!G$13*AX291,2))))</f>
        <v>0</v>
      </c>
      <c r="O292">
        <f>IF(AY291&lt;=0,0,IF(ROUND(AY291*(1+'Calc base'!M292),2)-MAX('Calc base'!H$12,ROUND('Calc base'!H$13*AY291,2))&lt;1,ROUND(AY291*(1+'Calc base'!M292),2),MAX('Calc base'!H$12,ROUND('Calc base'!H$13*AY291,2))))</f>
        <v>0</v>
      </c>
      <c r="P292">
        <f>IF(AZ291&lt;=0,0,IF(ROUND(AZ291*(1+'Calc base'!N292),2)-MAX('Calc base'!I$12,ROUND('Calc base'!I$13*AZ291,2))&lt;1,ROUND(AZ291*(1+'Calc base'!N292),2),MAX('Calc base'!I$12,ROUND('Calc base'!I$13*AZ291,2))))</f>
        <v>0</v>
      </c>
      <c r="Q292">
        <f>IF(BA291&lt;=0,0,IF(ROUND(BA291*(1+'Calc base'!O292),2)-MAX('Calc base'!J$12,ROUND('Calc base'!J$13*BA291,2))&lt;1,ROUND(BA291*(1+'Calc base'!O292),2),MAX('Calc base'!J$12,ROUND('Calc base'!J$13*BA291,2))))</f>
        <v>0</v>
      </c>
      <c r="R292">
        <f>IF(BB291&lt;=0,0,IF(ROUND(BB291*(1+'Calc base'!P292),2)-MAX('Calc base'!K$12,ROUND('Calc base'!K$13*BB291,2))&lt;1,ROUND(BB291*(1+'Calc base'!P292),2),MAX('Calc base'!K$12,ROUND('Calc base'!K$13*BB291,2))))</f>
        <v>0</v>
      </c>
      <c r="S292">
        <f>IF(BC291&lt;=0,0,IF(ROUND(BC291*(1+'Calc base'!Q292),2)-MAX('Calc base'!L$12,ROUND('Calc base'!L$13*BC291,2))&lt;1,ROUND(BC291*(1+'Calc base'!Q292),2),MAX('Calc base'!L$12,ROUND('Calc base'!L$13*BC291,2))))</f>
        <v>0</v>
      </c>
      <c r="T292">
        <f>IF(BD291&lt;=0,0,IF(ROUND(BD291*(1+'Calc base'!R292),2)-MAX('Calc base'!M$12,ROUND('Calc base'!M$13*BD291,2))&lt;1,ROUND(BD291*(1+'Calc base'!R292),2),MAX('Calc base'!M$12,ROUND('Calc base'!M$13*BD291,2))))</f>
        <v>0</v>
      </c>
      <c r="U292">
        <f>IF(BE291&lt;=0,0,IF(ROUND(BE291*(1+'Calc base'!S292),2)-MAX('Calc base'!N$12,ROUND('Calc base'!N$13*BE291,2))&lt;1,ROUND(BE291*(1+'Calc base'!S292),2),MAX('Calc base'!N$12,ROUND('Calc base'!N$13*BE291,2))))</f>
        <v>0</v>
      </c>
      <c r="AT292">
        <f>MAX(0,ROUND(AT291*(1+'Calc base'!H292),2)-J292)</f>
        <v>0</v>
      </c>
      <c r="AU292">
        <f>MAX(0,ROUND(AU291*(1+'Calc base'!I292),2)-K292)</f>
        <v>0</v>
      </c>
      <c r="AV292">
        <f>MAX(0,ROUND(AV291*(1+'Calc base'!J292),2)-L292)</f>
        <v>0</v>
      </c>
      <c r="AW292">
        <f>MAX(0,ROUND(AW291*(1+'Calc base'!K292),2)-M292)</f>
        <v>0</v>
      </c>
      <c r="AX292">
        <f>MAX(0,ROUND(AX291*(1+'Calc base'!L292),2)-N292)</f>
        <v>0</v>
      </c>
      <c r="AY292">
        <f>MAX(0,ROUND(AY291*(1+'Calc base'!M292),2)-O292)</f>
        <v>0</v>
      </c>
      <c r="AZ292">
        <f>MAX(0,ROUND(AZ291*(1+'Calc base'!N292),2)-P292)</f>
        <v>0</v>
      </c>
      <c r="BA292">
        <f>MAX(0,ROUND(BA291*(1+'Calc base'!O292),2)-Q292)</f>
        <v>0</v>
      </c>
      <c r="BB292">
        <f>MAX(0,ROUND(BB291*(1+'Calc base'!P292),2)-R292)</f>
        <v>0</v>
      </c>
      <c r="BC292">
        <f>MAX(0,ROUND(BC291*(1+'Calc base'!Q292),2)-S292)</f>
        <v>0</v>
      </c>
      <c r="BD292">
        <f>MAX(0,ROUND(BD291*(1+'Calc base'!R292),2)-T292)</f>
        <v>0</v>
      </c>
      <c r="BE292">
        <f>MAX(0,ROUND(BE291*(1+'Calc base'!S292),2)-U292)</f>
        <v>0</v>
      </c>
    </row>
    <row r="293">
      <c r="A293" t="n">
        <v>263</v>
      </c>
      <c r="B293">
        <f>SUMPRODUCT(ROUND($AT292:$BE292*(1+'Calc base'!$H293:$S293),2))</f>
        <v>0</v>
      </c>
      <c r="C293">
        <f>SUM(J293:U293)</f>
        <v>0</v>
      </c>
      <c r="G293">
        <f>SUM(AT293:BE293)</f>
        <v>0</v>
      </c>
      <c r="H293">
        <f>B293-G292</f>
        <v>0</v>
      </c>
      <c r="I293">
        <f>B293-G293</f>
        <v>0</v>
      </c>
      <c r="J293">
        <f>IF(AT292&lt;=0,0,IF(ROUND(AT292*(1+'Calc base'!H293),2)-MAX('Calc base'!C$12,ROUND('Calc base'!C$13*AT292,2))&lt;1,ROUND(AT292*(1+'Calc base'!H293),2),MAX('Calc base'!C$12,ROUND('Calc base'!C$13*AT292,2))))</f>
        <v>0</v>
      </c>
      <c r="K293">
        <f>IF(AU292&lt;=0,0,IF(ROUND(AU292*(1+'Calc base'!I293),2)-MAX('Calc base'!D$12,ROUND('Calc base'!D$13*AU292,2))&lt;1,ROUND(AU292*(1+'Calc base'!I293),2),MAX('Calc base'!D$12,ROUND('Calc base'!D$13*AU292,2))))</f>
        <v>0</v>
      </c>
      <c r="L293">
        <f>IF(AV292&lt;=0,0,IF(ROUND(AV292*(1+'Calc base'!J293),2)-MAX('Calc base'!E$12,ROUND('Calc base'!E$13*AV292,2))&lt;1,ROUND(AV292*(1+'Calc base'!J293),2),MAX('Calc base'!E$12,ROUND('Calc base'!E$13*AV292,2))))</f>
        <v>0</v>
      </c>
      <c r="M293">
        <f>IF(AW292&lt;=0,0,IF(ROUND(AW292*(1+'Calc base'!K293),2)-MAX('Calc base'!F$12,ROUND('Calc base'!F$13*AW292,2))&lt;1,ROUND(AW292*(1+'Calc base'!K293),2),MAX('Calc base'!F$12,ROUND('Calc base'!F$13*AW292,2))))</f>
        <v>0</v>
      </c>
      <c r="N293">
        <f>IF(AX292&lt;=0,0,IF(ROUND(AX292*(1+'Calc base'!L293),2)-MAX('Calc base'!G$12,ROUND('Calc base'!G$13*AX292,2))&lt;1,ROUND(AX292*(1+'Calc base'!L293),2),MAX('Calc base'!G$12,ROUND('Calc base'!G$13*AX292,2))))</f>
        <v>0</v>
      </c>
      <c r="O293">
        <f>IF(AY292&lt;=0,0,IF(ROUND(AY292*(1+'Calc base'!M293),2)-MAX('Calc base'!H$12,ROUND('Calc base'!H$13*AY292,2))&lt;1,ROUND(AY292*(1+'Calc base'!M293),2),MAX('Calc base'!H$12,ROUND('Calc base'!H$13*AY292,2))))</f>
        <v>0</v>
      </c>
      <c r="P293">
        <f>IF(AZ292&lt;=0,0,IF(ROUND(AZ292*(1+'Calc base'!N293),2)-MAX('Calc base'!I$12,ROUND('Calc base'!I$13*AZ292,2))&lt;1,ROUND(AZ292*(1+'Calc base'!N293),2),MAX('Calc base'!I$12,ROUND('Calc base'!I$13*AZ292,2))))</f>
        <v>0</v>
      </c>
      <c r="Q293">
        <f>IF(BA292&lt;=0,0,IF(ROUND(BA292*(1+'Calc base'!O293),2)-MAX('Calc base'!J$12,ROUND('Calc base'!J$13*BA292,2))&lt;1,ROUND(BA292*(1+'Calc base'!O293),2),MAX('Calc base'!J$12,ROUND('Calc base'!J$13*BA292,2))))</f>
        <v>0</v>
      </c>
      <c r="R293">
        <f>IF(BB292&lt;=0,0,IF(ROUND(BB292*(1+'Calc base'!P293),2)-MAX('Calc base'!K$12,ROUND('Calc base'!K$13*BB292,2))&lt;1,ROUND(BB292*(1+'Calc base'!P293),2),MAX('Calc base'!K$12,ROUND('Calc base'!K$13*BB292,2))))</f>
        <v>0</v>
      </c>
      <c r="S293">
        <f>IF(BC292&lt;=0,0,IF(ROUND(BC292*(1+'Calc base'!Q293),2)-MAX('Calc base'!L$12,ROUND('Calc base'!L$13*BC292,2))&lt;1,ROUND(BC292*(1+'Calc base'!Q293),2),MAX('Calc base'!L$12,ROUND('Calc base'!L$13*BC292,2))))</f>
        <v>0</v>
      </c>
      <c r="T293">
        <f>IF(BD292&lt;=0,0,IF(ROUND(BD292*(1+'Calc base'!R293),2)-MAX('Calc base'!M$12,ROUND('Calc base'!M$13*BD292,2))&lt;1,ROUND(BD292*(1+'Calc base'!R293),2),MAX('Calc base'!M$12,ROUND('Calc base'!M$13*BD292,2))))</f>
        <v>0</v>
      </c>
      <c r="U293">
        <f>IF(BE292&lt;=0,0,IF(ROUND(BE292*(1+'Calc base'!S293),2)-MAX('Calc base'!N$12,ROUND('Calc base'!N$13*BE292,2))&lt;1,ROUND(BE292*(1+'Calc base'!S293),2),MAX('Calc base'!N$12,ROUND('Calc base'!N$13*BE292,2))))</f>
        <v>0</v>
      </c>
      <c r="AT293">
        <f>MAX(0,ROUND(AT292*(1+'Calc base'!H293),2)-J293)</f>
        <v>0</v>
      </c>
      <c r="AU293">
        <f>MAX(0,ROUND(AU292*(1+'Calc base'!I293),2)-K293)</f>
        <v>0</v>
      </c>
      <c r="AV293">
        <f>MAX(0,ROUND(AV292*(1+'Calc base'!J293),2)-L293)</f>
        <v>0</v>
      </c>
      <c r="AW293">
        <f>MAX(0,ROUND(AW292*(1+'Calc base'!K293),2)-M293)</f>
        <v>0</v>
      </c>
      <c r="AX293">
        <f>MAX(0,ROUND(AX292*(1+'Calc base'!L293),2)-N293)</f>
        <v>0</v>
      </c>
      <c r="AY293">
        <f>MAX(0,ROUND(AY292*(1+'Calc base'!M293),2)-O293)</f>
        <v>0</v>
      </c>
      <c r="AZ293">
        <f>MAX(0,ROUND(AZ292*(1+'Calc base'!N293),2)-P293)</f>
        <v>0</v>
      </c>
      <c r="BA293">
        <f>MAX(0,ROUND(BA292*(1+'Calc base'!O293),2)-Q293)</f>
        <v>0</v>
      </c>
      <c r="BB293">
        <f>MAX(0,ROUND(BB292*(1+'Calc base'!P293),2)-R293)</f>
        <v>0</v>
      </c>
      <c r="BC293">
        <f>MAX(0,ROUND(BC292*(1+'Calc base'!Q293),2)-S293)</f>
        <v>0</v>
      </c>
      <c r="BD293">
        <f>MAX(0,ROUND(BD292*(1+'Calc base'!R293),2)-T293)</f>
        <v>0</v>
      </c>
      <c r="BE293">
        <f>MAX(0,ROUND(BE292*(1+'Calc base'!S293),2)-U293)</f>
        <v>0</v>
      </c>
    </row>
    <row r="294">
      <c r="A294" t="n">
        <v>264</v>
      </c>
      <c r="B294">
        <f>SUMPRODUCT(ROUND($AT293:$BE293*(1+'Calc base'!$H294:$S294),2))</f>
        <v>0</v>
      </c>
      <c r="C294">
        <f>SUM(J294:U294)</f>
        <v>0</v>
      </c>
      <c r="G294">
        <f>SUM(AT294:BE294)</f>
        <v>0</v>
      </c>
      <c r="H294">
        <f>B294-G293</f>
        <v>0</v>
      </c>
      <c r="I294">
        <f>B294-G294</f>
        <v>0</v>
      </c>
      <c r="J294">
        <f>IF(AT293&lt;=0,0,IF(ROUND(AT293*(1+'Calc base'!H294),2)-MAX('Calc base'!C$12,ROUND('Calc base'!C$13*AT293,2))&lt;1,ROUND(AT293*(1+'Calc base'!H294),2),MAX('Calc base'!C$12,ROUND('Calc base'!C$13*AT293,2))))</f>
        <v>0</v>
      </c>
      <c r="K294">
        <f>IF(AU293&lt;=0,0,IF(ROUND(AU293*(1+'Calc base'!I294),2)-MAX('Calc base'!D$12,ROUND('Calc base'!D$13*AU293,2))&lt;1,ROUND(AU293*(1+'Calc base'!I294),2),MAX('Calc base'!D$12,ROUND('Calc base'!D$13*AU293,2))))</f>
        <v>0</v>
      </c>
      <c r="L294">
        <f>IF(AV293&lt;=0,0,IF(ROUND(AV293*(1+'Calc base'!J294),2)-MAX('Calc base'!E$12,ROUND('Calc base'!E$13*AV293,2))&lt;1,ROUND(AV293*(1+'Calc base'!J294),2),MAX('Calc base'!E$12,ROUND('Calc base'!E$13*AV293,2))))</f>
        <v>0</v>
      </c>
      <c r="M294">
        <f>IF(AW293&lt;=0,0,IF(ROUND(AW293*(1+'Calc base'!K294),2)-MAX('Calc base'!F$12,ROUND('Calc base'!F$13*AW293,2))&lt;1,ROUND(AW293*(1+'Calc base'!K294),2),MAX('Calc base'!F$12,ROUND('Calc base'!F$13*AW293,2))))</f>
        <v>0</v>
      </c>
      <c r="N294">
        <f>IF(AX293&lt;=0,0,IF(ROUND(AX293*(1+'Calc base'!L294),2)-MAX('Calc base'!G$12,ROUND('Calc base'!G$13*AX293,2))&lt;1,ROUND(AX293*(1+'Calc base'!L294),2),MAX('Calc base'!G$12,ROUND('Calc base'!G$13*AX293,2))))</f>
        <v>0</v>
      </c>
      <c r="O294">
        <f>IF(AY293&lt;=0,0,IF(ROUND(AY293*(1+'Calc base'!M294),2)-MAX('Calc base'!H$12,ROUND('Calc base'!H$13*AY293,2))&lt;1,ROUND(AY293*(1+'Calc base'!M294),2),MAX('Calc base'!H$12,ROUND('Calc base'!H$13*AY293,2))))</f>
        <v>0</v>
      </c>
      <c r="P294">
        <f>IF(AZ293&lt;=0,0,IF(ROUND(AZ293*(1+'Calc base'!N294),2)-MAX('Calc base'!I$12,ROUND('Calc base'!I$13*AZ293,2))&lt;1,ROUND(AZ293*(1+'Calc base'!N294),2),MAX('Calc base'!I$12,ROUND('Calc base'!I$13*AZ293,2))))</f>
        <v>0</v>
      </c>
      <c r="Q294">
        <f>IF(BA293&lt;=0,0,IF(ROUND(BA293*(1+'Calc base'!O294),2)-MAX('Calc base'!J$12,ROUND('Calc base'!J$13*BA293,2))&lt;1,ROUND(BA293*(1+'Calc base'!O294),2),MAX('Calc base'!J$12,ROUND('Calc base'!J$13*BA293,2))))</f>
        <v>0</v>
      </c>
      <c r="R294">
        <f>IF(BB293&lt;=0,0,IF(ROUND(BB293*(1+'Calc base'!P294),2)-MAX('Calc base'!K$12,ROUND('Calc base'!K$13*BB293,2))&lt;1,ROUND(BB293*(1+'Calc base'!P294),2),MAX('Calc base'!K$12,ROUND('Calc base'!K$13*BB293,2))))</f>
        <v>0</v>
      </c>
      <c r="S294">
        <f>IF(BC293&lt;=0,0,IF(ROUND(BC293*(1+'Calc base'!Q294),2)-MAX('Calc base'!L$12,ROUND('Calc base'!L$13*BC293,2))&lt;1,ROUND(BC293*(1+'Calc base'!Q294),2),MAX('Calc base'!L$12,ROUND('Calc base'!L$13*BC293,2))))</f>
        <v>0</v>
      </c>
      <c r="T294">
        <f>IF(BD293&lt;=0,0,IF(ROUND(BD293*(1+'Calc base'!R294),2)-MAX('Calc base'!M$12,ROUND('Calc base'!M$13*BD293,2))&lt;1,ROUND(BD293*(1+'Calc base'!R294),2),MAX('Calc base'!M$12,ROUND('Calc base'!M$13*BD293,2))))</f>
        <v>0</v>
      </c>
      <c r="U294">
        <f>IF(BE293&lt;=0,0,IF(ROUND(BE293*(1+'Calc base'!S294),2)-MAX('Calc base'!N$12,ROUND('Calc base'!N$13*BE293,2))&lt;1,ROUND(BE293*(1+'Calc base'!S294),2),MAX('Calc base'!N$12,ROUND('Calc base'!N$13*BE293,2))))</f>
        <v>0</v>
      </c>
      <c r="AT294">
        <f>MAX(0,ROUND(AT293*(1+'Calc base'!H294),2)-J294)</f>
        <v>0</v>
      </c>
      <c r="AU294">
        <f>MAX(0,ROUND(AU293*(1+'Calc base'!I294),2)-K294)</f>
        <v>0</v>
      </c>
      <c r="AV294">
        <f>MAX(0,ROUND(AV293*(1+'Calc base'!J294),2)-L294)</f>
        <v>0</v>
      </c>
      <c r="AW294">
        <f>MAX(0,ROUND(AW293*(1+'Calc base'!K294),2)-M294)</f>
        <v>0</v>
      </c>
      <c r="AX294">
        <f>MAX(0,ROUND(AX293*(1+'Calc base'!L294),2)-N294)</f>
        <v>0</v>
      </c>
      <c r="AY294">
        <f>MAX(0,ROUND(AY293*(1+'Calc base'!M294),2)-O294)</f>
        <v>0</v>
      </c>
      <c r="AZ294">
        <f>MAX(0,ROUND(AZ293*(1+'Calc base'!N294),2)-P294)</f>
        <v>0</v>
      </c>
      <c r="BA294">
        <f>MAX(0,ROUND(BA293*(1+'Calc base'!O294),2)-Q294)</f>
        <v>0</v>
      </c>
      <c r="BB294">
        <f>MAX(0,ROUND(BB293*(1+'Calc base'!P294),2)-R294)</f>
        <v>0</v>
      </c>
      <c r="BC294">
        <f>MAX(0,ROUND(BC293*(1+'Calc base'!Q294),2)-S294)</f>
        <v>0</v>
      </c>
      <c r="BD294">
        <f>MAX(0,ROUND(BD293*(1+'Calc base'!R294),2)-T294)</f>
        <v>0</v>
      </c>
      <c r="BE294">
        <f>MAX(0,ROUND(BE293*(1+'Calc base'!S294),2)-U294)</f>
        <v>0</v>
      </c>
    </row>
    <row r="295">
      <c r="A295" t="n">
        <v>265</v>
      </c>
      <c r="B295">
        <f>SUMPRODUCT(ROUND($AT294:$BE294*(1+'Calc base'!$H295:$S295),2))</f>
        <v>0</v>
      </c>
      <c r="C295">
        <f>SUM(J295:U295)</f>
        <v>0</v>
      </c>
      <c r="G295">
        <f>SUM(AT295:BE295)</f>
        <v>0</v>
      </c>
      <c r="H295">
        <f>B295-G294</f>
        <v>0</v>
      </c>
      <c r="I295">
        <f>B295-G295</f>
        <v>0</v>
      </c>
      <c r="J295">
        <f>IF(AT294&lt;=0,0,IF(ROUND(AT294*(1+'Calc base'!H295),2)-MAX('Calc base'!C$12,ROUND('Calc base'!C$13*AT294,2))&lt;1,ROUND(AT294*(1+'Calc base'!H295),2),MAX('Calc base'!C$12,ROUND('Calc base'!C$13*AT294,2))))</f>
        <v>0</v>
      </c>
      <c r="K295">
        <f>IF(AU294&lt;=0,0,IF(ROUND(AU294*(1+'Calc base'!I295),2)-MAX('Calc base'!D$12,ROUND('Calc base'!D$13*AU294,2))&lt;1,ROUND(AU294*(1+'Calc base'!I295),2),MAX('Calc base'!D$12,ROUND('Calc base'!D$13*AU294,2))))</f>
        <v>0</v>
      </c>
      <c r="L295">
        <f>IF(AV294&lt;=0,0,IF(ROUND(AV294*(1+'Calc base'!J295),2)-MAX('Calc base'!E$12,ROUND('Calc base'!E$13*AV294,2))&lt;1,ROUND(AV294*(1+'Calc base'!J295),2),MAX('Calc base'!E$12,ROUND('Calc base'!E$13*AV294,2))))</f>
        <v>0</v>
      </c>
      <c r="M295">
        <f>IF(AW294&lt;=0,0,IF(ROUND(AW294*(1+'Calc base'!K295),2)-MAX('Calc base'!F$12,ROUND('Calc base'!F$13*AW294,2))&lt;1,ROUND(AW294*(1+'Calc base'!K295),2),MAX('Calc base'!F$12,ROUND('Calc base'!F$13*AW294,2))))</f>
        <v>0</v>
      </c>
      <c r="N295">
        <f>IF(AX294&lt;=0,0,IF(ROUND(AX294*(1+'Calc base'!L295),2)-MAX('Calc base'!G$12,ROUND('Calc base'!G$13*AX294,2))&lt;1,ROUND(AX294*(1+'Calc base'!L295),2),MAX('Calc base'!G$12,ROUND('Calc base'!G$13*AX294,2))))</f>
        <v>0</v>
      </c>
      <c r="O295">
        <f>IF(AY294&lt;=0,0,IF(ROUND(AY294*(1+'Calc base'!M295),2)-MAX('Calc base'!H$12,ROUND('Calc base'!H$13*AY294,2))&lt;1,ROUND(AY294*(1+'Calc base'!M295),2),MAX('Calc base'!H$12,ROUND('Calc base'!H$13*AY294,2))))</f>
        <v>0</v>
      </c>
      <c r="P295">
        <f>IF(AZ294&lt;=0,0,IF(ROUND(AZ294*(1+'Calc base'!N295),2)-MAX('Calc base'!I$12,ROUND('Calc base'!I$13*AZ294,2))&lt;1,ROUND(AZ294*(1+'Calc base'!N295),2),MAX('Calc base'!I$12,ROUND('Calc base'!I$13*AZ294,2))))</f>
        <v>0</v>
      </c>
      <c r="Q295">
        <f>IF(BA294&lt;=0,0,IF(ROUND(BA294*(1+'Calc base'!O295),2)-MAX('Calc base'!J$12,ROUND('Calc base'!J$13*BA294,2))&lt;1,ROUND(BA294*(1+'Calc base'!O295),2),MAX('Calc base'!J$12,ROUND('Calc base'!J$13*BA294,2))))</f>
        <v>0</v>
      </c>
      <c r="R295">
        <f>IF(BB294&lt;=0,0,IF(ROUND(BB294*(1+'Calc base'!P295),2)-MAX('Calc base'!K$12,ROUND('Calc base'!K$13*BB294,2))&lt;1,ROUND(BB294*(1+'Calc base'!P295),2),MAX('Calc base'!K$12,ROUND('Calc base'!K$13*BB294,2))))</f>
        <v>0</v>
      </c>
      <c r="S295">
        <f>IF(BC294&lt;=0,0,IF(ROUND(BC294*(1+'Calc base'!Q295),2)-MAX('Calc base'!L$12,ROUND('Calc base'!L$13*BC294,2))&lt;1,ROUND(BC294*(1+'Calc base'!Q295),2),MAX('Calc base'!L$12,ROUND('Calc base'!L$13*BC294,2))))</f>
        <v>0</v>
      </c>
      <c r="T295">
        <f>IF(BD294&lt;=0,0,IF(ROUND(BD294*(1+'Calc base'!R295),2)-MAX('Calc base'!M$12,ROUND('Calc base'!M$13*BD294,2))&lt;1,ROUND(BD294*(1+'Calc base'!R295),2),MAX('Calc base'!M$12,ROUND('Calc base'!M$13*BD294,2))))</f>
        <v>0</v>
      </c>
      <c r="U295">
        <f>IF(BE294&lt;=0,0,IF(ROUND(BE294*(1+'Calc base'!S295),2)-MAX('Calc base'!N$12,ROUND('Calc base'!N$13*BE294,2))&lt;1,ROUND(BE294*(1+'Calc base'!S295),2),MAX('Calc base'!N$12,ROUND('Calc base'!N$13*BE294,2))))</f>
        <v>0</v>
      </c>
      <c r="AT295">
        <f>MAX(0,ROUND(AT294*(1+'Calc base'!H295),2)-J295)</f>
        <v>0</v>
      </c>
      <c r="AU295">
        <f>MAX(0,ROUND(AU294*(1+'Calc base'!I295),2)-K295)</f>
        <v>0</v>
      </c>
      <c r="AV295">
        <f>MAX(0,ROUND(AV294*(1+'Calc base'!J295),2)-L295)</f>
        <v>0</v>
      </c>
      <c r="AW295">
        <f>MAX(0,ROUND(AW294*(1+'Calc base'!K295),2)-M295)</f>
        <v>0</v>
      </c>
      <c r="AX295">
        <f>MAX(0,ROUND(AX294*(1+'Calc base'!L295),2)-N295)</f>
        <v>0</v>
      </c>
      <c r="AY295">
        <f>MAX(0,ROUND(AY294*(1+'Calc base'!M295),2)-O295)</f>
        <v>0</v>
      </c>
      <c r="AZ295">
        <f>MAX(0,ROUND(AZ294*(1+'Calc base'!N295),2)-P295)</f>
        <v>0</v>
      </c>
      <c r="BA295">
        <f>MAX(0,ROUND(BA294*(1+'Calc base'!O295),2)-Q295)</f>
        <v>0</v>
      </c>
      <c r="BB295">
        <f>MAX(0,ROUND(BB294*(1+'Calc base'!P295),2)-R295)</f>
        <v>0</v>
      </c>
      <c r="BC295">
        <f>MAX(0,ROUND(BC294*(1+'Calc base'!Q295),2)-S295)</f>
        <v>0</v>
      </c>
      <c r="BD295">
        <f>MAX(0,ROUND(BD294*(1+'Calc base'!R295),2)-T295)</f>
        <v>0</v>
      </c>
      <c r="BE295">
        <f>MAX(0,ROUND(BE294*(1+'Calc base'!S295),2)-U295)</f>
        <v>0</v>
      </c>
    </row>
    <row r="296">
      <c r="A296" t="n">
        <v>266</v>
      </c>
      <c r="B296">
        <f>SUMPRODUCT(ROUND($AT295:$BE295*(1+'Calc base'!$H296:$S296),2))</f>
        <v>0</v>
      </c>
      <c r="C296">
        <f>SUM(J296:U296)</f>
        <v>0</v>
      </c>
      <c r="G296">
        <f>SUM(AT296:BE296)</f>
        <v>0</v>
      </c>
      <c r="H296">
        <f>B296-G295</f>
        <v>0</v>
      </c>
      <c r="I296">
        <f>B296-G296</f>
        <v>0</v>
      </c>
      <c r="J296">
        <f>IF(AT295&lt;=0,0,IF(ROUND(AT295*(1+'Calc base'!H296),2)-MAX('Calc base'!C$12,ROUND('Calc base'!C$13*AT295,2))&lt;1,ROUND(AT295*(1+'Calc base'!H296),2),MAX('Calc base'!C$12,ROUND('Calc base'!C$13*AT295,2))))</f>
        <v>0</v>
      </c>
      <c r="K296">
        <f>IF(AU295&lt;=0,0,IF(ROUND(AU295*(1+'Calc base'!I296),2)-MAX('Calc base'!D$12,ROUND('Calc base'!D$13*AU295,2))&lt;1,ROUND(AU295*(1+'Calc base'!I296),2),MAX('Calc base'!D$12,ROUND('Calc base'!D$13*AU295,2))))</f>
        <v>0</v>
      </c>
      <c r="L296">
        <f>IF(AV295&lt;=0,0,IF(ROUND(AV295*(1+'Calc base'!J296),2)-MAX('Calc base'!E$12,ROUND('Calc base'!E$13*AV295,2))&lt;1,ROUND(AV295*(1+'Calc base'!J296),2),MAX('Calc base'!E$12,ROUND('Calc base'!E$13*AV295,2))))</f>
        <v>0</v>
      </c>
      <c r="M296">
        <f>IF(AW295&lt;=0,0,IF(ROUND(AW295*(1+'Calc base'!K296),2)-MAX('Calc base'!F$12,ROUND('Calc base'!F$13*AW295,2))&lt;1,ROUND(AW295*(1+'Calc base'!K296),2),MAX('Calc base'!F$12,ROUND('Calc base'!F$13*AW295,2))))</f>
        <v>0</v>
      </c>
      <c r="N296">
        <f>IF(AX295&lt;=0,0,IF(ROUND(AX295*(1+'Calc base'!L296),2)-MAX('Calc base'!G$12,ROUND('Calc base'!G$13*AX295,2))&lt;1,ROUND(AX295*(1+'Calc base'!L296),2),MAX('Calc base'!G$12,ROUND('Calc base'!G$13*AX295,2))))</f>
        <v>0</v>
      </c>
      <c r="O296">
        <f>IF(AY295&lt;=0,0,IF(ROUND(AY295*(1+'Calc base'!M296),2)-MAX('Calc base'!H$12,ROUND('Calc base'!H$13*AY295,2))&lt;1,ROUND(AY295*(1+'Calc base'!M296),2),MAX('Calc base'!H$12,ROUND('Calc base'!H$13*AY295,2))))</f>
        <v>0</v>
      </c>
      <c r="P296">
        <f>IF(AZ295&lt;=0,0,IF(ROUND(AZ295*(1+'Calc base'!N296),2)-MAX('Calc base'!I$12,ROUND('Calc base'!I$13*AZ295,2))&lt;1,ROUND(AZ295*(1+'Calc base'!N296),2),MAX('Calc base'!I$12,ROUND('Calc base'!I$13*AZ295,2))))</f>
        <v>0</v>
      </c>
      <c r="Q296">
        <f>IF(BA295&lt;=0,0,IF(ROUND(BA295*(1+'Calc base'!O296),2)-MAX('Calc base'!J$12,ROUND('Calc base'!J$13*BA295,2))&lt;1,ROUND(BA295*(1+'Calc base'!O296),2),MAX('Calc base'!J$12,ROUND('Calc base'!J$13*BA295,2))))</f>
        <v>0</v>
      </c>
      <c r="R296">
        <f>IF(BB295&lt;=0,0,IF(ROUND(BB295*(1+'Calc base'!P296),2)-MAX('Calc base'!K$12,ROUND('Calc base'!K$13*BB295,2))&lt;1,ROUND(BB295*(1+'Calc base'!P296),2),MAX('Calc base'!K$12,ROUND('Calc base'!K$13*BB295,2))))</f>
        <v>0</v>
      </c>
      <c r="S296">
        <f>IF(BC295&lt;=0,0,IF(ROUND(BC295*(1+'Calc base'!Q296),2)-MAX('Calc base'!L$12,ROUND('Calc base'!L$13*BC295,2))&lt;1,ROUND(BC295*(1+'Calc base'!Q296),2),MAX('Calc base'!L$12,ROUND('Calc base'!L$13*BC295,2))))</f>
        <v>0</v>
      </c>
      <c r="T296">
        <f>IF(BD295&lt;=0,0,IF(ROUND(BD295*(1+'Calc base'!R296),2)-MAX('Calc base'!M$12,ROUND('Calc base'!M$13*BD295,2))&lt;1,ROUND(BD295*(1+'Calc base'!R296),2),MAX('Calc base'!M$12,ROUND('Calc base'!M$13*BD295,2))))</f>
        <v>0</v>
      </c>
      <c r="U296">
        <f>IF(BE295&lt;=0,0,IF(ROUND(BE295*(1+'Calc base'!S296),2)-MAX('Calc base'!N$12,ROUND('Calc base'!N$13*BE295,2))&lt;1,ROUND(BE295*(1+'Calc base'!S296),2),MAX('Calc base'!N$12,ROUND('Calc base'!N$13*BE295,2))))</f>
        <v>0</v>
      </c>
      <c r="AT296">
        <f>MAX(0,ROUND(AT295*(1+'Calc base'!H296),2)-J296)</f>
        <v>0</v>
      </c>
      <c r="AU296">
        <f>MAX(0,ROUND(AU295*(1+'Calc base'!I296),2)-K296)</f>
        <v>0</v>
      </c>
      <c r="AV296">
        <f>MAX(0,ROUND(AV295*(1+'Calc base'!J296),2)-L296)</f>
        <v>0</v>
      </c>
      <c r="AW296">
        <f>MAX(0,ROUND(AW295*(1+'Calc base'!K296),2)-M296)</f>
        <v>0</v>
      </c>
      <c r="AX296">
        <f>MAX(0,ROUND(AX295*(1+'Calc base'!L296),2)-N296)</f>
        <v>0</v>
      </c>
      <c r="AY296">
        <f>MAX(0,ROUND(AY295*(1+'Calc base'!M296),2)-O296)</f>
        <v>0</v>
      </c>
      <c r="AZ296">
        <f>MAX(0,ROUND(AZ295*(1+'Calc base'!N296),2)-P296)</f>
        <v>0</v>
      </c>
      <c r="BA296">
        <f>MAX(0,ROUND(BA295*(1+'Calc base'!O296),2)-Q296)</f>
        <v>0</v>
      </c>
      <c r="BB296">
        <f>MAX(0,ROUND(BB295*(1+'Calc base'!P296),2)-R296)</f>
        <v>0</v>
      </c>
      <c r="BC296">
        <f>MAX(0,ROUND(BC295*(1+'Calc base'!Q296),2)-S296)</f>
        <v>0</v>
      </c>
      <c r="BD296">
        <f>MAX(0,ROUND(BD295*(1+'Calc base'!R296),2)-T296)</f>
        <v>0</v>
      </c>
      <c r="BE296">
        <f>MAX(0,ROUND(BE295*(1+'Calc base'!S296),2)-U296)</f>
        <v>0</v>
      </c>
    </row>
    <row r="297">
      <c r="A297" t="n">
        <v>267</v>
      </c>
      <c r="B297">
        <f>SUMPRODUCT(ROUND($AT296:$BE296*(1+'Calc base'!$H297:$S297),2))</f>
        <v>0</v>
      </c>
      <c r="C297">
        <f>SUM(J297:U297)</f>
        <v>0</v>
      </c>
      <c r="G297">
        <f>SUM(AT297:BE297)</f>
        <v>0</v>
      </c>
      <c r="H297">
        <f>B297-G296</f>
        <v>0</v>
      </c>
      <c r="I297">
        <f>B297-G297</f>
        <v>0</v>
      </c>
      <c r="J297">
        <f>IF(AT296&lt;=0,0,IF(ROUND(AT296*(1+'Calc base'!H297),2)-MAX('Calc base'!C$12,ROUND('Calc base'!C$13*AT296,2))&lt;1,ROUND(AT296*(1+'Calc base'!H297),2),MAX('Calc base'!C$12,ROUND('Calc base'!C$13*AT296,2))))</f>
        <v>0</v>
      </c>
      <c r="K297">
        <f>IF(AU296&lt;=0,0,IF(ROUND(AU296*(1+'Calc base'!I297),2)-MAX('Calc base'!D$12,ROUND('Calc base'!D$13*AU296,2))&lt;1,ROUND(AU296*(1+'Calc base'!I297),2),MAX('Calc base'!D$12,ROUND('Calc base'!D$13*AU296,2))))</f>
        <v>0</v>
      </c>
      <c r="L297">
        <f>IF(AV296&lt;=0,0,IF(ROUND(AV296*(1+'Calc base'!J297),2)-MAX('Calc base'!E$12,ROUND('Calc base'!E$13*AV296,2))&lt;1,ROUND(AV296*(1+'Calc base'!J297),2),MAX('Calc base'!E$12,ROUND('Calc base'!E$13*AV296,2))))</f>
        <v>0</v>
      </c>
      <c r="M297">
        <f>IF(AW296&lt;=0,0,IF(ROUND(AW296*(1+'Calc base'!K297),2)-MAX('Calc base'!F$12,ROUND('Calc base'!F$13*AW296,2))&lt;1,ROUND(AW296*(1+'Calc base'!K297),2),MAX('Calc base'!F$12,ROUND('Calc base'!F$13*AW296,2))))</f>
        <v>0</v>
      </c>
      <c r="N297">
        <f>IF(AX296&lt;=0,0,IF(ROUND(AX296*(1+'Calc base'!L297),2)-MAX('Calc base'!G$12,ROUND('Calc base'!G$13*AX296,2))&lt;1,ROUND(AX296*(1+'Calc base'!L297),2),MAX('Calc base'!G$12,ROUND('Calc base'!G$13*AX296,2))))</f>
        <v>0</v>
      </c>
      <c r="O297">
        <f>IF(AY296&lt;=0,0,IF(ROUND(AY296*(1+'Calc base'!M297),2)-MAX('Calc base'!H$12,ROUND('Calc base'!H$13*AY296,2))&lt;1,ROUND(AY296*(1+'Calc base'!M297),2),MAX('Calc base'!H$12,ROUND('Calc base'!H$13*AY296,2))))</f>
        <v>0</v>
      </c>
      <c r="P297">
        <f>IF(AZ296&lt;=0,0,IF(ROUND(AZ296*(1+'Calc base'!N297),2)-MAX('Calc base'!I$12,ROUND('Calc base'!I$13*AZ296,2))&lt;1,ROUND(AZ296*(1+'Calc base'!N297),2),MAX('Calc base'!I$12,ROUND('Calc base'!I$13*AZ296,2))))</f>
        <v>0</v>
      </c>
      <c r="Q297">
        <f>IF(BA296&lt;=0,0,IF(ROUND(BA296*(1+'Calc base'!O297),2)-MAX('Calc base'!J$12,ROUND('Calc base'!J$13*BA296,2))&lt;1,ROUND(BA296*(1+'Calc base'!O297),2),MAX('Calc base'!J$12,ROUND('Calc base'!J$13*BA296,2))))</f>
        <v>0</v>
      </c>
      <c r="R297">
        <f>IF(BB296&lt;=0,0,IF(ROUND(BB296*(1+'Calc base'!P297),2)-MAX('Calc base'!K$12,ROUND('Calc base'!K$13*BB296,2))&lt;1,ROUND(BB296*(1+'Calc base'!P297),2),MAX('Calc base'!K$12,ROUND('Calc base'!K$13*BB296,2))))</f>
        <v>0</v>
      </c>
      <c r="S297">
        <f>IF(BC296&lt;=0,0,IF(ROUND(BC296*(1+'Calc base'!Q297),2)-MAX('Calc base'!L$12,ROUND('Calc base'!L$13*BC296,2))&lt;1,ROUND(BC296*(1+'Calc base'!Q297),2),MAX('Calc base'!L$12,ROUND('Calc base'!L$13*BC296,2))))</f>
        <v>0</v>
      </c>
      <c r="T297">
        <f>IF(BD296&lt;=0,0,IF(ROUND(BD296*(1+'Calc base'!R297),2)-MAX('Calc base'!M$12,ROUND('Calc base'!M$13*BD296,2))&lt;1,ROUND(BD296*(1+'Calc base'!R297),2),MAX('Calc base'!M$12,ROUND('Calc base'!M$13*BD296,2))))</f>
        <v>0</v>
      </c>
      <c r="U297">
        <f>IF(BE296&lt;=0,0,IF(ROUND(BE296*(1+'Calc base'!S297),2)-MAX('Calc base'!N$12,ROUND('Calc base'!N$13*BE296,2))&lt;1,ROUND(BE296*(1+'Calc base'!S297),2),MAX('Calc base'!N$12,ROUND('Calc base'!N$13*BE296,2))))</f>
        <v>0</v>
      </c>
      <c r="AT297">
        <f>MAX(0,ROUND(AT296*(1+'Calc base'!H297),2)-J297)</f>
        <v>0</v>
      </c>
      <c r="AU297">
        <f>MAX(0,ROUND(AU296*(1+'Calc base'!I297),2)-K297)</f>
        <v>0</v>
      </c>
      <c r="AV297">
        <f>MAX(0,ROUND(AV296*(1+'Calc base'!J297),2)-L297)</f>
        <v>0</v>
      </c>
      <c r="AW297">
        <f>MAX(0,ROUND(AW296*(1+'Calc base'!K297),2)-M297)</f>
        <v>0</v>
      </c>
      <c r="AX297">
        <f>MAX(0,ROUND(AX296*(1+'Calc base'!L297),2)-N297)</f>
        <v>0</v>
      </c>
      <c r="AY297">
        <f>MAX(0,ROUND(AY296*(1+'Calc base'!M297),2)-O297)</f>
        <v>0</v>
      </c>
      <c r="AZ297">
        <f>MAX(0,ROUND(AZ296*(1+'Calc base'!N297),2)-P297)</f>
        <v>0</v>
      </c>
      <c r="BA297">
        <f>MAX(0,ROUND(BA296*(1+'Calc base'!O297),2)-Q297)</f>
        <v>0</v>
      </c>
      <c r="BB297">
        <f>MAX(0,ROUND(BB296*(1+'Calc base'!P297),2)-R297)</f>
        <v>0</v>
      </c>
      <c r="BC297">
        <f>MAX(0,ROUND(BC296*(1+'Calc base'!Q297),2)-S297)</f>
        <v>0</v>
      </c>
      <c r="BD297">
        <f>MAX(0,ROUND(BD296*(1+'Calc base'!R297),2)-T297)</f>
        <v>0</v>
      </c>
      <c r="BE297">
        <f>MAX(0,ROUND(BE296*(1+'Calc base'!S297),2)-U297)</f>
        <v>0</v>
      </c>
    </row>
    <row r="298">
      <c r="A298" t="n">
        <v>268</v>
      </c>
      <c r="B298">
        <f>SUMPRODUCT(ROUND($AT297:$BE297*(1+'Calc base'!$H298:$S298),2))</f>
        <v>0</v>
      </c>
      <c r="C298">
        <f>SUM(J298:U298)</f>
        <v>0</v>
      </c>
      <c r="G298">
        <f>SUM(AT298:BE298)</f>
        <v>0</v>
      </c>
      <c r="H298">
        <f>B298-G297</f>
        <v>0</v>
      </c>
      <c r="I298">
        <f>B298-G298</f>
        <v>0</v>
      </c>
      <c r="J298">
        <f>IF(AT297&lt;=0,0,IF(ROUND(AT297*(1+'Calc base'!H298),2)-MAX('Calc base'!C$12,ROUND('Calc base'!C$13*AT297,2))&lt;1,ROUND(AT297*(1+'Calc base'!H298),2),MAX('Calc base'!C$12,ROUND('Calc base'!C$13*AT297,2))))</f>
        <v>0</v>
      </c>
      <c r="K298">
        <f>IF(AU297&lt;=0,0,IF(ROUND(AU297*(1+'Calc base'!I298),2)-MAX('Calc base'!D$12,ROUND('Calc base'!D$13*AU297,2))&lt;1,ROUND(AU297*(1+'Calc base'!I298),2),MAX('Calc base'!D$12,ROUND('Calc base'!D$13*AU297,2))))</f>
        <v>0</v>
      </c>
      <c r="L298">
        <f>IF(AV297&lt;=0,0,IF(ROUND(AV297*(1+'Calc base'!J298),2)-MAX('Calc base'!E$12,ROUND('Calc base'!E$13*AV297,2))&lt;1,ROUND(AV297*(1+'Calc base'!J298),2),MAX('Calc base'!E$12,ROUND('Calc base'!E$13*AV297,2))))</f>
        <v>0</v>
      </c>
      <c r="M298">
        <f>IF(AW297&lt;=0,0,IF(ROUND(AW297*(1+'Calc base'!K298),2)-MAX('Calc base'!F$12,ROUND('Calc base'!F$13*AW297,2))&lt;1,ROUND(AW297*(1+'Calc base'!K298),2),MAX('Calc base'!F$12,ROUND('Calc base'!F$13*AW297,2))))</f>
        <v>0</v>
      </c>
      <c r="N298">
        <f>IF(AX297&lt;=0,0,IF(ROUND(AX297*(1+'Calc base'!L298),2)-MAX('Calc base'!G$12,ROUND('Calc base'!G$13*AX297,2))&lt;1,ROUND(AX297*(1+'Calc base'!L298),2),MAX('Calc base'!G$12,ROUND('Calc base'!G$13*AX297,2))))</f>
        <v>0</v>
      </c>
      <c r="O298">
        <f>IF(AY297&lt;=0,0,IF(ROUND(AY297*(1+'Calc base'!M298),2)-MAX('Calc base'!H$12,ROUND('Calc base'!H$13*AY297,2))&lt;1,ROUND(AY297*(1+'Calc base'!M298),2),MAX('Calc base'!H$12,ROUND('Calc base'!H$13*AY297,2))))</f>
        <v>0</v>
      </c>
      <c r="P298">
        <f>IF(AZ297&lt;=0,0,IF(ROUND(AZ297*(1+'Calc base'!N298),2)-MAX('Calc base'!I$12,ROUND('Calc base'!I$13*AZ297,2))&lt;1,ROUND(AZ297*(1+'Calc base'!N298),2),MAX('Calc base'!I$12,ROUND('Calc base'!I$13*AZ297,2))))</f>
        <v>0</v>
      </c>
      <c r="Q298">
        <f>IF(BA297&lt;=0,0,IF(ROUND(BA297*(1+'Calc base'!O298),2)-MAX('Calc base'!J$12,ROUND('Calc base'!J$13*BA297,2))&lt;1,ROUND(BA297*(1+'Calc base'!O298),2),MAX('Calc base'!J$12,ROUND('Calc base'!J$13*BA297,2))))</f>
        <v>0</v>
      </c>
      <c r="R298">
        <f>IF(BB297&lt;=0,0,IF(ROUND(BB297*(1+'Calc base'!P298),2)-MAX('Calc base'!K$12,ROUND('Calc base'!K$13*BB297,2))&lt;1,ROUND(BB297*(1+'Calc base'!P298),2),MAX('Calc base'!K$12,ROUND('Calc base'!K$13*BB297,2))))</f>
        <v>0</v>
      </c>
      <c r="S298">
        <f>IF(BC297&lt;=0,0,IF(ROUND(BC297*(1+'Calc base'!Q298),2)-MAX('Calc base'!L$12,ROUND('Calc base'!L$13*BC297,2))&lt;1,ROUND(BC297*(1+'Calc base'!Q298),2),MAX('Calc base'!L$12,ROUND('Calc base'!L$13*BC297,2))))</f>
        <v>0</v>
      </c>
      <c r="T298">
        <f>IF(BD297&lt;=0,0,IF(ROUND(BD297*(1+'Calc base'!R298),2)-MAX('Calc base'!M$12,ROUND('Calc base'!M$13*BD297,2))&lt;1,ROUND(BD297*(1+'Calc base'!R298),2),MAX('Calc base'!M$12,ROUND('Calc base'!M$13*BD297,2))))</f>
        <v>0</v>
      </c>
      <c r="U298">
        <f>IF(BE297&lt;=0,0,IF(ROUND(BE297*(1+'Calc base'!S298),2)-MAX('Calc base'!N$12,ROUND('Calc base'!N$13*BE297,2))&lt;1,ROUND(BE297*(1+'Calc base'!S298),2),MAX('Calc base'!N$12,ROUND('Calc base'!N$13*BE297,2))))</f>
        <v>0</v>
      </c>
      <c r="AT298">
        <f>MAX(0,ROUND(AT297*(1+'Calc base'!H298),2)-J298)</f>
        <v>0</v>
      </c>
      <c r="AU298">
        <f>MAX(0,ROUND(AU297*(1+'Calc base'!I298),2)-K298)</f>
        <v>0</v>
      </c>
      <c r="AV298">
        <f>MAX(0,ROUND(AV297*(1+'Calc base'!J298),2)-L298)</f>
        <v>0</v>
      </c>
      <c r="AW298">
        <f>MAX(0,ROUND(AW297*(1+'Calc base'!K298),2)-M298)</f>
        <v>0</v>
      </c>
      <c r="AX298">
        <f>MAX(0,ROUND(AX297*(1+'Calc base'!L298),2)-N298)</f>
        <v>0</v>
      </c>
      <c r="AY298">
        <f>MAX(0,ROUND(AY297*(1+'Calc base'!M298),2)-O298)</f>
        <v>0</v>
      </c>
      <c r="AZ298">
        <f>MAX(0,ROUND(AZ297*(1+'Calc base'!N298),2)-P298)</f>
        <v>0</v>
      </c>
      <c r="BA298">
        <f>MAX(0,ROUND(BA297*(1+'Calc base'!O298),2)-Q298)</f>
        <v>0</v>
      </c>
      <c r="BB298">
        <f>MAX(0,ROUND(BB297*(1+'Calc base'!P298),2)-R298)</f>
        <v>0</v>
      </c>
      <c r="BC298">
        <f>MAX(0,ROUND(BC297*(1+'Calc base'!Q298),2)-S298)</f>
        <v>0</v>
      </c>
      <c r="BD298">
        <f>MAX(0,ROUND(BD297*(1+'Calc base'!R298),2)-T298)</f>
        <v>0</v>
      </c>
      <c r="BE298">
        <f>MAX(0,ROUND(BE297*(1+'Calc base'!S298),2)-U298)</f>
        <v>0</v>
      </c>
    </row>
    <row r="299">
      <c r="A299" t="n">
        <v>269</v>
      </c>
      <c r="B299">
        <f>SUMPRODUCT(ROUND($AT298:$BE298*(1+'Calc base'!$H299:$S299),2))</f>
        <v>0</v>
      </c>
      <c r="C299">
        <f>SUM(J299:U299)</f>
        <v>0</v>
      </c>
      <c r="G299">
        <f>SUM(AT299:BE299)</f>
        <v>0</v>
      </c>
      <c r="H299">
        <f>B299-G298</f>
        <v>0</v>
      </c>
      <c r="I299">
        <f>B299-G299</f>
        <v>0</v>
      </c>
      <c r="J299">
        <f>IF(AT298&lt;=0,0,IF(ROUND(AT298*(1+'Calc base'!H299),2)-MAX('Calc base'!C$12,ROUND('Calc base'!C$13*AT298,2))&lt;1,ROUND(AT298*(1+'Calc base'!H299),2),MAX('Calc base'!C$12,ROUND('Calc base'!C$13*AT298,2))))</f>
        <v>0</v>
      </c>
      <c r="K299">
        <f>IF(AU298&lt;=0,0,IF(ROUND(AU298*(1+'Calc base'!I299),2)-MAX('Calc base'!D$12,ROUND('Calc base'!D$13*AU298,2))&lt;1,ROUND(AU298*(1+'Calc base'!I299),2),MAX('Calc base'!D$12,ROUND('Calc base'!D$13*AU298,2))))</f>
        <v>0</v>
      </c>
      <c r="L299">
        <f>IF(AV298&lt;=0,0,IF(ROUND(AV298*(1+'Calc base'!J299),2)-MAX('Calc base'!E$12,ROUND('Calc base'!E$13*AV298,2))&lt;1,ROUND(AV298*(1+'Calc base'!J299),2),MAX('Calc base'!E$12,ROUND('Calc base'!E$13*AV298,2))))</f>
        <v>0</v>
      </c>
      <c r="M299">
        <f>IF(AW298&lt;=0,0,IF(ROUND(AW298*(1+'Calc base'!K299),2)-MAX('Calc base'!F$12,ROUND('Calc base'!F$13*AW298,2))&lt;1,ROUND(AW298*(1+'Calc base'!K299),2),MAX('Calc base'!F$12,ROUND('Calc base'!F$13*AW298,2))))</f>
        <v>0</v>
      </c>
      <c r="N299">
        <f>IF(AX298&lt;=0,0,IF(ROUND(AX298*(1+'Calc base'!L299),2)-MAX('Calc base'!G$12,ROUND('Calc base'!G$13*AX298,2))&lt;1,ROUND(AX298*(1+'Calc base'!L299),2),MAX('Calc base'!G$12,ROUND('Calc base'!G$13*AX298,2))))</f>
        <v>0</v>
      </c>
      <c r="O299">
        <f>IF(AY298&lt;=0,0,IF(ROUND(AY298*(1+'Calc base'!M299),2)-MAX('Calc base'!H$12,ROUND('Calc base'!H$13*AY298,2))&lt;1,ROUND(AY298*(1+'Calc base'!M299),2),MAX('Calc base'!H$12,ROUND('Calc base'!H$13*AY298,2))))</f>
        <v>0</v>
      </c>
      <c r="P299">
        <f>IF(AZ298&lt;=0,0,IF(ROUND(AZ298*(1+'Calc base'!N299),2)-MAX('Calc base'!I$12,ROUND('Calc base'!I$13*AZ298,2))&lt;1,ROUND(AZ298*(1+'Calc base'!N299),2),MAX('Calc base'!I$12,ROUND('Calc base'!I$13*AZ298,2))))</f>
        <v>0</v>
      </c>
      <c r="Q299">
        <f>IF(BA298&lt;=0,0,IF(ROUND(BA298*(1+'Calc base'!O299),2)-MAX('Calc base'!J$12,ROUND('Calc base'!J$13*BA298,2))&lt;1,ROUND(BA298*(1+'Calc base'!O299),2),MAX('Calc base'!J$12,ROUND('Calc base'!J$13*BA298,2))))</f>
        <v>0</v>
      </c>
      <c r="R299">
        <f>IF(BB298&lt;=0,0,IF(ROUND(BB298*(1+'Calc base'!P299),2)-MAX('Calc base'!K$12,ROUND('Calc base'!K$13*BB298,2))&lt;1,ROUND(BB298*(1+'Calc base'!P299),2),MAX('Calc base'!K$12,ROUND('Calc base'!K$13*BB298,2))))</f>
        <v>0</v>
      </c>
      <c r="S299">
        <f>IF(BC298&lt;=0,0,IF(ROUND(BC298*(1+'Calc base'!Q299),2)-MAX('Calc base'!L$12,ROUND('Calc base'!L$13*BC298,2))&lt;1,ROUND(BC298*(1+'Calc base'!Q299),2),MAX('Calc base'!L$12,ROUND('Calc base'!L$13*BC298,2))))</f>
        <v>0</v>
      </c>
      <c r="T299">
        <f>IF(BD298&lt;=0,0,IF(ROUND(BD298*(1+'Calc base'!R299),2)-MAX('Calc base'!M$12,ROUND('Calc base'!M$13*BD298,2))&lt;1,ROUND(BD298*(1+'Calc base'!R299),2),MAX('Calc base'!M$12,ROUND('Calc base'!M$13*BD298,2))))</f>
        <v>0</v>
      </c>
      <c r="U299">
        <f>IF(BE298&lt;=0,0,IF(ROUND(BE298*(1+'Calc base'!S299),2)-MAX('Calc base'!N$12,ROUND('Calc base'!N$13*BE298,2))&lt;1,ROUND(BE298*(1+'Calc base'!S299),2),MAX('Calc base'!N$12,ROUND('Calc base'!N$13*BE298,2))))</f>
        <v>0</v>
      </c>
      <c r="AT299">
        <f>MAX(0,ROUND(AT298*(1+'Calc base'!H299),2)-J299)</f>
        <v>0</v>
      </c>
      <c r="AU299">
        <f>MAX(0,ROUND(AU298*(1+'Calc base'!I299),2)-K299)</f>
        <v>0</v>
      </c>
      <c r="AV299">
        <f>MAX(0,ROUND(AV298*(1+'Calc base'!J299),2)-L299)</f>
        <v>0</v>
      </c>
      <c r="AW299">
        <f>MAX(0,ROUND(AW298*(1+'Calc base'!K299),2)-M299)</f>
        <v>0</v>
      </c>
      <c r="AX299">
        <f>MAX(0,ROUND(AX298*(1+'Calc base'!L299),2)-N299)</f>
        <v>0</v>
      </c>
      <c r="AY299">
        <f>MAX(0,ROUND(AY298*(1+'Calc base'!M299),2)-O299)</f>
        <v>0</v>
      </c>
      <c r="AZ299">
        <f>MAX(0,ROUND(AZ298*(1+'Calc base'!N299),2)-P299)</f>
        <v>0</v>
      </c>
      <c r="BA299">
        <f>MAX(0,ROUND(BA298*(1+'Calc base'!O299),2)-Q299)</f>
        <v>0</v>
      </c>
      <c r="BB299">
        <f>MAX(0,ROUND(BB298*(1+'Calc base'!P299),2)-R299)</f>
        <v>0</v>
      </c>
      <c r="BC299">
        <f>MAX(0,ROUND(BC298*(1+'Calc base'!Q299),2)-S299)</f>
        <v>0</v>
      </c>
      <c r="BD299">
        <f>MAX(0,ROUND(BD298*(1+'Calc base'!R299),2)-T299)</f>
        <v>0</v>
      </c>
      <c r="BE299">
        <f>MAX(0,ROUND(BE298*(1+'Calc base'!S299),2)-U299)</f>
        <v>0</v>
      </c>
    </row>
    <row r="300">
      <c r="A300" t="n">
        <v>270</v>
      </c>
      <c r="B300">
        <f>SUMPRODUCT(ROUND($AT299:$BE299*(1+'Calc base'!$H300:$S300),2))</f>
        <v>0</v>
      </c>
      <c r="C300">
        <f>SUM(J300:U300)</f>
        <v>0</v>
      </c>
      <c r="G300">
        <f>SUM(AT300:BE300)</f>
        <v>0</v>
      </c>
      <c r="H300">
        <f>B300-G299</f>
        <v>0</v>
      </c>
      <c r="I300">
        <f>B300-G300</f>
        <v>0</v>
      </c>
      <c r="J300">
        <f>IF(AT299&lt;=0,0,IF(ROUND(AT299*(1+'Calc base'!H300),2)-MAX('Calc base'!C$12,ROUND('Calc base'!C$13*AT299,2))&lt;1,ROUND(AT299*(1+'Calc base'!H300),2),MAX('Calc base'!C$12,ROUND('Calc base'!C$13*AT299,2))))</f>
        <v>0</v>
      </c>
      <c r="K300">
        <f>IF(AU299&lt;=0,0,IF(ROUND(AU299*(1+'Calc base'!I300),2)-MAX('Calc base'!D$12,ROUND('Calc base'!D$13*AU299,2))&lt;1,ROUND(AU299*(1+'Calc base'!I300),2),MAX('Calc base'!D$12,ROUND('Calc base'!D$13*AU299,2))))</f>
        <v>0</v>
      </c>
      <c r="L300">
        <f>IF(AV299&lt;=0,0,IF(ROUND(AV299*(1+'Calc base'!J300),2)-MAX('Calc base'!E$12,ROUND('Calc base'!E$13*AV299,2))&lt;1,ROUND(AV299*(1+'Calc base'!J300),2),MAX('Calc base'!E$12,ROUND('Calc base'!E$13*AV299,2))))</f>
        <v>0</v>
      </c>
      <c r="M300">
        <f>IF(AW299&lt;=0,0,IF(ROUND(AW299*(1+'Calc base'!K300),2)-MAX('Calc base'!F$12,ROUND('Calc base'!F$13*AW299,2))&lt;1,ROUND(AW299*(1+'Calc base'!K300),2),MAX('Calc base'!F$12,ROUND('Calc base'!F$13*AW299,2))))</f>
        <v>0</v>
      </c>
      <c r="N300">
        <f>IF(AX299&lt;=0,0,IF(ROUND(AX299*(1+'Calc base'!L300),2)-MAX('Calc base'!G$12,ROUND('Calc base'!G$13*AX299,2))&lt;1,ROUND(AX299*(1+'Calc base'!L300),2),MAX('Calc base'!G$12,ROUND('Calc base'!G$13*AX299,2))))</f>
        <v>0</v>
      </c>
      <c r="O300">
        <f>IF(AY299&lt;=0,0,IF(ROUND(AY299*(1+'Calc base'!M300),2)-MAX('Calc base'!H$12,ROUND('Calc base'!H$13*AY299,2))&lt;1,ROUND(AY299*(1+'Calc base'!M300),2),MAX('Calc base'!H$12,ROUND('Calc base'!H$13*AY299,2))))</f>
        <v>0</v>
      </c>
      <c r="P300">
        <f>IF(AZ299&lt;=0,0,IF(ROUND(AZ299*(1+'Calc base'!N300),2)-MAX('Calc base'!I$12,ROUND('Calc base'!I$13*AZ299,2))&lt;1,ROUND(AZ299*(1+'Calc base'!N300),2),MAX('Calc base'!I$12,ROUND('Calc base'!I$13*AZ299,2))))</f>
        <v>0</v>
      </c>
      <c r="Q300">
        <f>IF(BA299&lt;=0,0,IF(ROUND(BA299*(1+'Calc base'!O300),2)-MAX('Calc base'!J$12,ROUND('Calc base'!J$13*BA299,2))&lt;1,ROUND(BA299*(1+'Calc base'!O300),2),MAX('Calc base'!J$12,ROUND('Calc base'!J$13*BA299,2))))</f>
        <v>0</v>
      </c>
      <c r="R300">
        <f>IF(BB299&lt;=0,0,IF(ROUND(BB299*(1+'Calc base'!P300),2)-MAX('Calc base'!K$12,ROUND('Calc base'!K$13*BB299,2))&lt;1,ROUND(BB299*(1+'Calc base'!P300),2),MAX('Calc base'!K$12,ROUND('Calc base'!K$13*BB299,2))))</f>
        <v>0</v>
      </c>
      <c r="S300">
        <f>IF(BC299&lt;=0,0,IF(ROUND(BC299*(1+'Calc base'!Q300),2)-MAX('Calc base'!L$12,ROUND('Calc base'!L$13*BC299,2))&lt;1,ROUND(BC299*(1+'Calc base'!Q300),2),MAX('Calc base'!L$12,ROUND('Calc base'!L$13*BC299,2))))</f>
        <v>0</v>
      </c>
      <c r="T300">
        <f>IF(BD299&lt;=0,0,IF(ROUND(BD299*(1+'Calc base'!R300),2)-MAX('Calc base'!M$12,ROUND('Calc base'!M$13*BD299,2))&lt;1,ROUND(BD299*(1+'Calc base'!R300),2),MAX('Calc base'!M$12,ROUND('Calc base'!M$13*BD299,2))))</f>
        <v>0</v>
      </c>
      <c r="U300">
        <f>IF(BE299&lt;=0,0,IF(ROUND(BE299*(1+'Calc base'!S300),2)-MAX('Calc base'!N$12,ROUND('Calc base'!N$13*BE299,2))&lt;1,ROUND(BE299*(1+'Calc base'!S300),2),MAX('Calc base'!N$12,ROUND('Calc base'!N$13*BE299,2))))</f>
        <v>0</v>
      </c>
      <c r="AT300">
        <f>MAX(0,ROUND(AT299*(1+'Calc base'!H300),2)-J300)</f>
        <v>0</v>
      </c>
      <c r="AU300">
        <f>MAX(0,ROUND(AU299*(1+'Calc base'!I300),2)-K300)</f>
        <v>0</v>
      </c>
      <c r="AV300">
        <f>MAX(0,ROUND(AV299*(1+'Calc base'!J300),2)-L300)</f>
        <v>0</v>
      </c>
      <c r="AW300">
        <f>MAX(0,ROUND(AW299*(1+'Calc base'!K300),2)-M300)</f>
        <v>0</v>
      </c>
      <c r="AX300">
        <f>MAX(0,ROUND(AX299*(1+'Calc base'!L300),2)-N300)</f>
        <v>0</v>
      </c>
      <c r="AY300">
        <f>MAX(0,ROUND(AY299*(1+'Calc base'!M300),2)-O300)</f>
        <v>0</v>
      </c>
      <c r="AZ300">
        <f>MAX(0,ROUND(AZ299*(1+'Calc base'!N300),2)-P300)</f>
        <v>0</v>
      </c>
      <c r="BA300">
        <f>MAX(0,ROUND(BA299*(1+'Calc base'!O300),2)-Q300)</f>
        <v>0</v>
      </c>
      <c r="BB300">
        <f>MAX(0,ROUND(BB299*(1+'Calc base'!P300),2)-R300)</f>
        <v>0</v>
      </c>
      <c r="BC300">
        <f>MAX(0,ROUND(BC299*(1+'Calc base'!Q300),2)-S300)</f>
        <v>0</v>
      </c>
      <c r="BD300">
        <f>MAX(0,ROUND(BD299*(1+'Calc base'!R300),2)-T300)</f>
        <v>0</v>
      </c>
      <c r="BE300">
        <f>MAX(0,ROUND(BE299*(1+'Calc base'!S300),2)-U300)</f>
        <v>0</v>
      </c>
    </row>
    <row r="301">
      <c r="A301" t="n">
        <v>271</v>
      </c>
      <c r="B301">
        <f>SUMPRODUCT(ROUND($AT300:$BE300*(1+'Calc base'!$H301:$S301),2))</f>
        <v>0</v>
      </c>
      <c r="C301">
        <f>SUM(J301:U301)</f>
        <v>0</v>
      </c>
      <c r="G301">
        <f>SUM(AT301:BE301)</f>
        <v>0</v>
      </c>
      <c r="H301">
        <f>B301-G300</f>
        <v>0</v>
      </c>
      <c r="I301">
        <f>B301-G301</f>
        <v>0</v>
      </c>
      <c r="J301">
        <f>IF(AT300&lt;=0,0,IF(ROUND(AT300*(1+'Calc base'!H301),2)-MAX('Calc base'!C$12,ROUND('Calc base'!C$13*AT300,2))&lt;1,ROUND(AT300*(1+'Calc base'!H301),2),MAX('Calc base'!C$12,ROUND('Calc base'!C$13*AT300,2))))</f>
        <v>0</v>
      </c>
      <c r="K301">
        <f>IF(AU300&lt;=0,0,IF(ROUND(AU300*(1+'Calc base'!I301),2)-MAX('Calc base'!D$12,ROUND('Calc base'!D$13*AU300,2))&lt;1,ROUND(AU300*(1+'Calc base'!I301),2),MAX('Calc base'!D$12,ROUND('Calc base'!D$13*AU300,2))))</f>
        <v>0</v>
      </c>
      <c r="L301">
        <f>IF(AV300&lt;=0,0,IF(ROUND(AV300*(1+'Calc base'!J301),2)-MAX('Calc base'!E$12,ROUND('Calc base'!E$13*AV300,2))&lt;1,ROUND(AV300*(1+'Calc base'!J301),2),MAX('Calc base'!E$12,ROUND('Calc base'!E$13*AV300,2))))</f>
        <v>0</v>
      </c>
      <c r="M301">
        <f>IF(AW300&lt;=0,0,IF(ROUND(AW300*(1+'Calc base'!K301),2)-MAX('Calc base'!F$12,ROUND('Calc base'!F$13*AW300,2))&lt;1,ROUND(AW300*(1+'Calc base'!K301),2),MAX('Calc base'!F$12,ROUND('Calc base'!F$13*AW300,2))))</f>
        <v>0</v>
      </c>
      <c r="N301">
        <f>IF(AX300&lt;=0,0,IF(ROUND(AX300*(1+'Calc base'!L301),2)-MAX('Calc base'!G$12,ROUND('Calc base'!G$13*AX300,2))&lt;1,ROUND(AX300*(1+'Calc base'!L301),2),MAX('Calc base'!G$12,ROUND('Calc base'!G$13*AX300,2))))</f>
        <v>0</v>
      </c>
      <c r="O301">
        <f>IF(AY300&lt;=0,0,IF(ROUND(AY300*(1+'Calc base'!M301),2)-MAX('Calc base'!H$12,ROUND('Calc base'!H$13*AY300,2))&lt;1,ROUND(AY300*(1+'Calc base'!M301),2),MAX('Calc base'!H$12,ROUND('Calc base'!H$13*AY300,2))))</f>
        <v>0</v>
      </c>
      <c r="P301">
        <f>IF(AZ300&lt;=0,0,IF(ROUND(AZ300*(1+'Calc base'!N301),2)-MAX('Calc base'!I$12,ROUND('Calc base'!I$13*AZ300,2))&lt;1,ROUND(AZ300*(1+'Calc base'!N301),2),MAX('Calc base'!I$12,ROUND('Calc base'!I$13*AZ300,2))))</f>
        <v>0</v>
      </c>
      <c r="Q301">
        <f>IF(BA300&lt;=0,0,IF(ROUND(BA300*(1+'Calc base'!O301),2)-MAX('Calc base'!J$12,ROUND('Calc base'!J$13*BA300,2))&lt;1,ROUND(BA300*(1+'Calc base'!O301),2),MAX('Calc base'!J$12,ROUND('Calc base'!J$13*BA300,2))))</f>
        <v>0</v>
      </c>
      <c r="R301">
        <f>IF(BB300&lt;=0,0,IF(ROUND(BB300*(1+'Calc base'!P301),2)-MAX('Calc base'!K$12,ROUND('Calc base'!K$13*BB300,2))&lt;1,ROUND(BB300*(1+'Calc base'!P301),2),MAX('Calc base'!K$12,ROUND('Calc base'!K$13*BB300,2))))</f>
        <v>0</v>
      </c>
      <c r="S301">
        <f>IF(BC300&lt;=0,0,IF(ROUND(BC300*(1+'Calc base'!Q301),2)-MAX('Calc base'!L$12,ROUND('Calc base'!L$13*BC300,2))&lt;1,ROUND(BC300*(1+'Calc base'!Q301),2),MAX('Calc base'!L$12,ROUND('Calc base'!L$13*BC300,2))))</f>
        <v>0</v>
      </c>
      <c r="T301">
        <f>IF(BD300&lt;=0,0,IF(ROUND(BD300*(1+'Calc base'!R301),2)-MAX('Calc base'!M$12,ROUND('Calc base'!M$13*BD300,2))&lt;1,ROUND(BD300*(1+'Calc base'!R301),2),MAX('Calc base'!M$12,ROUND('Calc base'!M$13*BD300,2))))</f>
        <v>0</v>
      </c>
      <c r="U301">
        <f>IF(BE300&lt;=0,0,IF(ROUND(BE300*(1+'Calc base'!S301),2)-MAX('Calc base'!N$12,ROUND('Calc base'!N$13*BE300,2))&lt;1,ROUND(BE300*(1+'Calc base'!S301),2),MAX('Calc base'!N$12,ROUND('Calc base'!N$13*BE300,2))))</f>
        <v>0</v>
      </c>
      <c r="AT301">
        <f>MAX(0,ROUND(AT300*(1+'Calc base'!H301),2)-J301)</f>
        <v>0</v>
      </c>
      <c r="AU301">
        <f>MAX(0,ROUND(AU300*(1+'Calc base'!I301),2)-K301)</f>
        <v>0</v>
      </c>
      <c r="AV301">
        <f>MAX(0,ROUND(AV300*(1+'Calc base'!J301),2)-L301)</f>
        <v>0</v>
      </c>
      <c r="AW301">
        <f>MAX(0,ROUND(AW300*(1+'Calc base'!K301),2)-M301)</f>
        <v>0</v>
      </c>
      <c r="AX301">
        <f>MAX(0,ROUND(AX300*(1+'Calc base'!L301),2)-N301)</f>
        <v>0</v>
      </c>
      <c r="AY301">
        <f>MAX(0,ROUND(AY300*(1+'Calc base'!M301),2)-O301)</f>
        <v>0</v>
      </c>
      <c r="AZ301">
        <f>MAX(0,ROUND(AZ300*(1+'Calc base'!N301),2)-P301)</f>
        <v>0</v>
      </c>
      <c r="BA301">
        <f>MAX(0,ROUND(BA300*(1+'Calc base'!O301),2)-Q301)</f>
        <v>0</v>
      </c>
      <c r="BB301">
        <f>MAX(0,ROUND(BB300*(1+'Calc base'!P301),2)-R301)</f>
        <v>0</v>
      </c>
      <c r="BC301">
        <f>MAX(0,ROUND(BC300*(1+'Calc base'!Q301),2)-S301)</f>
        <v>0</v>
      </c>
      <c r="BD301">
        <f>MAX(0,ROUND(BD300*(1+'Calc base'!R301),2)-T301)</f>
        <v>0</v>
      </c>
      <c r="BE301">
        <f>MAX(0,ROUND(BE300*(1+'Calc base'!S301),2)-U301)</f>
        <v>0</v>
      </c>
    </row>
    <row r="302">
      <c r="A302" t="n">
        <v>272</v>
      </c>
      <c r="B302">
        <f>SUMPRODUCT(ROUND($AT301:$BE301*(1+'Calc base'!$H302:$S302),2))</f>
        <v>0</v>
      </c>
      <c r="C302">
        <f>SUM(J302:U302)</f>
        <v>0</v>
      </c>
      <c r="G302">
        <f>SUM(AT302:BE302)</f>
        <v>0</v>
      </c>
      <c r="H302">
        <f>B302-G301</f>
        <v>0</v>
      </c>
      <c r="I302">
        <f>B302-G302</f>
        <v>0</v>
      </c>
      <c r="J302">
        <f>IF(AT301&lt;=0,0,IF(ROUND(AT301*(1+'Calc base'!H302),2)-MAX('Calc base'!C$12,ROUND('Calc base'!C$13*AT301,2))&lt;1,ROUND(AT301*(1+'Calc base'!H302),2),MAX('Calc base'!C$12,ROUND('Calc base'!C$13*AT301,2))))</f>
        <v>0</v>
      </c>
      <c r="K302">
        <f>IF(AU301&lt;=0,0,IF(ROUND(AU301*(1+'Calc base'!I302),2)-MAX('Calc base'!D$12,ROUND('Calc base'!D$13*AU301,2))&lt;1,ROUND(AU301*(1+'Calc base'!I302),2),MAX('Calc base'!D$12,ROUND('Calc base'!D$13*AU301,2))))</f>
        <v>0</v>
      </c>
      <c r="L302">
        <f>IF(AV301&lt;=0,0,IF(ROUND(AV301*(1+'Calc base'!J302),2)-MAX('Calc base'!E$12,ROUND('Calc base'!E$13*AV301,2))&lt;1,ROUND(AV301*(1+'Calc base'!J302),2),MAX('Calc base'!E$12,ROUND('Calc base'!E$13*AV301,2))))</f>
        <v>0</v>
      </c>
      <c r="M302">
        <f>IF(AW301&lt;=0,0,IF(ROUND(AW301*(1+'Calc base'!K302),2)-MAX('Calc base'!F$12,ROUND('Calc base'!F$13*AW301,2))&lt;1,ROUND(AW301*(1+'Calc base'!K302),2),MAX('Calc base'!F$12,ROUND('Calc base'!F$13*AW301,2))))</f>
        <v>0</v>
      </c>
      <c r="N302">
        <f>IF(AX301&lt;=0,0,IF(ROUND(AX301*(1+'Calc base'!L302),2)-MAX('Calc base'!G$12,ROUND('Calc base'!G$13*AX301,2))&lt;1,ROUND(AX301*(1+'Calc base'!L302),2),MAX('Calc base'!G$12,ROUND('Calc base'!G$13*AX301,2))))</f>
        <v>0</v>
      </c>
      <c r="O302">
        <f>IF(AY301&lt;=0,0,IF(ROUND(AY301*(1+'Calc base'!M302),2)-MAX('Calc base'!H$12,ROUND('Calc base'!H$13*AY301,2))&lt;1,ROUND(AY301*(1+'Calc base'!M302),2),MAX('Calc base'!H$12,ROUND('Calc base'!H$13*AY301,2))))</f>
        <v>0</v>
      </c>
      <c r="P302">
        <f>IF(AZ301&lt;=0,0,IF(ROUND(AZ301*(1+'Calc base'!N302),2)-MAX('Calc base'!I$12,ROUND('Calc base'!I$13*AZ301,2))&lt;1,ROUND(AZ301*(1+'Calc base'!N302),2),MAX('Calc base'!I$12,ROUND('Calc base'!I$13*AZ301,2))))</f>
        <v>0</v>
      </c>
      <c r="Q302">
        <f>IF(BA301&lt;=0,0,IF(ROUND(BA301*(1+'Calc base'!O302),2)-MAX('Calc base'!J$12,ROUND('Calc base'!J$13*BA301,2))&lt;1,ROUND(BA301*(1+'Calc base'!O302),2),MAX('Calc base'!J$12,ROUND('Calc base'!J$13*BA301,2))))</f>
        <v>0</v>
      </c>
      <c r="R302">
        <f>IF(BB301&lt;=0,0,IF(ROUND(BB301*(1+'Calc base'!P302),2)-MAX('Calc base'!K$12,ROUND('Calc base'!K$13*BB301,2))&lt;1,ROUND(BB301*(1+'Calc base'!P302),2),MAX('Calc base'!K$12,ROUND('Calc base'!K$13*BB301,2))))</f>
        <v>0</v>
      </c>
      <c r="S302">
        <f>IF(BC301&lt;=0,0,IF(ROUND(BC301*(1+'Calc base'!Q302),2)-MAX('Calc base'!L$12,ROUND('Calc base'!L$13*BC301,2))&lt;1,ROUND(BC301*(1+'Calc base'!Q302),2),MAX('Calc base'!L$12,ROUND('Calc base'!L$13*BC301,2))))</f>
        <v>0</v>
      </c>
      <c r="T302">
        <f>IF(BD301&lt;=0,0,IF(ROUND(BD301*(1+'Calc base'!R302),2)-MAX('Calc base'!M$12,ROUND('Calc base'!M$13*BD301,2))&lt;1,ROUND(BD301*(1+'Calc base'!R302),2),MAX('Calc base'!M$12,ROUND('Calc base'!M$13*BD301,2))))</f>
        <v>0</v>
      </c>
      <c r="U302">
        <f>IF(BE301&lt;=0,0,IF(ROUND(BE301*(1+'Calc base'!S302),2)-MAX('Calc base'!N$12,ROUND('Calc base'!N$13*BE301,2))&lt;1,ROUND(BE301*(1+'Calc base'!S302),2),MAX('Calc base'!N$12,ROUND('Calc base'!N$13*BE301,2))))</f>
        <v>0</v>
      </c>
      <c r="AT302">
        <f>MAX(0,ROUND(AT301*(1+'Calc base'!H302),2)-J302)</f>
        <v>0</v>
      </c>
      <c r="AU302">
        <f>MAX(0,ROUND(AU301*(1+'Calc base'!I302),2)-K302)</f>
        <v>0</v>
      </c>
      <c r="AV302">
        <f>MAX(0,ROUND(AV301*(1+'Calc base'!J302),2)-L302)</f>
        <v>0</v>
      </c>
      <c r="AW302">
        <f>MAX(0,ROUND(AW301*(1+'Calc base'!K302),2)-M302)</f>
        <v>0</v>
      </c>
      <c r="AX302">
        <f>MAX(0,ROUND(AX301*(1+'Calc base'!L302),2)-N302)</f>
        <v>0</v>
      </c>
      <c r="AY302">
        <f>MAX(0,ROUND(AY301*(1+'Calc base'!M302),2)-O302)</f>
        <v>0</v>
      </c>
      <c r="AZ302">
        <f>MAX(0,ROUND(AZ301*(1+'Calc base'!N302),2)-P302)</f>
        <v>0</v>
      </c>
      <c r="BA302">
        <f>MAX(0,ROUND(BA301*(1+'Calc base'!O302),2)-Q302)</f>
        <v>0</v>
      </c>
      <c r="BB302">
        <f>MAX(0,ROUND(BB301*(1+'Calc base'!P302),2)-R302)</f>
        <v>0</v>
      </c>
      <c r="BC302">
        <f>MAX(0,ROUND(BC301*(1+'Calc base'!Q302),2)-S302)</f>
        <v>0</v>
      </c>
      <c r="BD302">
        <f>MAX(0,ROUND(BD301*(1+'Calc base'!R302),2)-T302)</f>
        <v>0</v>
      </c>
      <c r="BE302">
        <f>MAX(0,ROUND(BE301*(1+'Calc base'!S302),2)-U302)</f>
        <v>0</v>
      </c>
    </row>
    <row r="303">
      <c r="A303" t="n">
        <v>273</v>
      </c>
      <c r="B303">
        <f>SUMPRODUCT(ROUND($AT302:$BE302*(1+'Calc base'!$H303:$S303),2))</f>
        <v>0</v>
      </c>
      <c r="C303">
        <f>SUM(J303:U303)</f>
        <v>0</v>
      </c>
      <c r="G303">
        <f>SUM(AT303:BE303)</f>
        <v>0</v>
      </c>
      <c r="H303">
        <f>B303-G302</f>
        <v>0</v>
      </c>
      <c r="I303">
        <f>B303-G303</f>
        <v>0</v>
      </c>
      <c r="J303">
        <f>IF(AT302&lt;=0,0,IF(ROUND(AT302*(1+'Calc base'!H303),2)-MAX('Calc base'!C$12,ROUND('Calc base'!C$13*AT302,2))&lt;1,ROUND(AT302*(1+'Calc base'!H303),2),MAX('Calc base'!C$12,ROUND('Calc base'!C$13*AT302,2))))</f>
        <v>0</v>
      </c>
      <c r="K303">
        <f>IF(AU302&lt;=0,0,IF(ROUND(AU302*(1+'Calc base'!I303),2)-MAX('Calc base'!D$12,ROUND('Calc base'!D$13*AU302,2))&lt;1,ROUND(AU302*(1+'Calc base'!I303),2),MAX('Calc base'!D$12,ROUND('Calc base'!D$13*AU302,2))))</f>
        <v>0</v>
      </c>
      <c r="L303">
        <f>IF(AV302&lt;=0,0,IF(ROUND(AV302*(1+'Calc base'!J303),2)-MAX('Calc base'!E$12,ROUND('Calc base'!E$13*AV302,2))&lt;1,ROUND(AV302*(1+'Calc base'!J303),2),MAX('Calc base'!E$12,ROUND('Calc base'!E$13*AV302,2))))</f>
        <v>0</v>
      </c>
      <c r="M303">
        <f>IF(AW302&lt;=0,0,IF(ROUND(AW302*(1+'Calc base'!K303),2)-MAX('Calc base'!F$12,ROUND('Calc base'!F$13*AW302,2))&lt;1,ROUND(AW302*(1+'Calc base'!K303),2),MAX('Calc base'!F$12,ROUND('Calc base'!F$13*AW302,2))))</f>
        <v>0</v>
      </c>
      <c r="N303">
        <f>IF(AX302&lt;=0,0,IF(ROUND(AX302*(1+'Calc base'!L303),2)-MAX('Calc base'!G$12,ROUND('Calc base'!G$13*AX302,2))&lt;1,ROUND(AX302*(1+'Calc base'!L303),2),MAX('Calc base'!G$12,ROUND('Calc base'!G$13*AX302,2))))</f>
        <v>0</v>
      </c>
      <c r="O303">
        <f>IF(AY302&lt;=0,0,IF(ROUND(AY302*(1+'Calc base'!M303),2)-MAX('Calc base'!H$12,ROUND('Calc base'!H$13*AY302,2))&lt;1,ROUND(AY302*(1+'Calc base'!M303),2),MAX('Calc base'!H$12,ROUND('Calc base'!H$13*AY302,2))))</f>
        <v>0</v>
      </c>
      <c r="P303">
        <f>IF(AZ302&lt;=0,0,IF(ROUND(AZ302*(1+'Calc base'!N303),2)-MAX('Calc base'!I$12,ROUND('Calc base'!I$13*AZ302,2))&lt;1,ROUND(AZ302*(1+'Calc base'!N303),2),MAX('Calc base'!I$12,ROUND('Calc base'!I$13*AZ302,2))))</f>
        <v>0</v>
      </c>
      <c r="Q303">
        <f>IF(BA302&lt;=0,0,IF(ROUND(BA302*(1+'Calc base'!O303),2)-MAX('Calc base'!J$12,ROUND('Calc base'!J$13*BA302,2))&lt;1,ROUND(BA302*(1+'Calc base'!O303),2),MAX('Calc base'!J$12,ROUND('Calc base'!J$13*BA302,2))))</f>
        <v>0</v>
      </c>
      <c r="R303">
        <f>IF(BB302&lt;=0,0,IF(ROUND(BB302*(1+'Calc base'!P303),2)-MAX('Calc base'!K$12,ROUND('Calc base'!K$13*BB302,2))&lt;1,ROUND(BB302*(1+'Calc base'!P303),2),MAX('Calc base'!K$12,ROUND('Calc base'!K$13*BB302,2))))</f>
        <v>0</v>
      </c>
      <c r="S303">
        <f>IF(BC302&lt;=0,0,IF(ROUND(BC302*(1+'Calc base'!Q303),2)-MAX('Calc base'!L$12,ROUND('Calc base'!L$13*BC302,2))&lt;1,ROUND(BC302*(1+'Calc base'!Q303),2),MAX('Calc base'!L$12,ROUND('Calc base'!L$13*BC302,2))))</f>
        <v>0</v>
      </c>
      <c r="T303">
        <f>IF(BD302&lt;=0,0,IF(ROUND(BD302*(1+'Calc base'!R303),2)-MAX('Calc base'!M$12,ROUND('Calc base'!M$13*BD302,2))&lt;1,ROUND(BD302*(1+'Calc base'!R303),2),MAX('Calc base'!M$12,ROUND('Calc base'!M$13*BD302,2))))</f>
        <v>0</v>
      </c>
      <c r="U303">
        <f>IF(BE302&lt;=0,0,IF(ROUND(BE302*(1+'Calc base'!S303),2)-MAX('Calc base'!N$12,ROUND('Calc base'!N$13*BE302,2))&lt;1,ROUND(BE302*(1+'Calc base'!S303),2),MAX('Calc base'!N$12,ROUND('Calc base'!N$13*BE302,2))))</f>
        <v>0</v>
      </c>
      <c r="AT303">
        <f>MAX(0,ROUND(AT302*(1+'Calc base'!H303),2)-J303)</f>
        <v>0</v>
      </c>
      <c r="AU303">
        <f>MAX(0,ROUND(AU302*(1+'Calc base'!I303),2)-K303)</f>
        <v>0</v>
      </c>
      <c r="AV303">
        <f>MAX(0,ROUND(AV302*(1+'Calc base'!J303),2)-L303)</f>
        <v>0</v>
      </c>
      <c r="AW303">
        <f>MAX(0,ROUND(AW302*(1+'Calc base'!K303),2)-M303)</f>
        <v>0</v>
      </c>
      <c r="AX303">
        <f>MAX(0,ROUND(AX302*(1+'Calc base'!L303),2)-N303)</f>
        <v>0</v>
      </c>
      <c r="AY303">
        <f>MAX(0,ROUND(AY302*(1+'Calc base'!M303),2)-O303)</f>
        <v>0</v>
      </c>
      <c r="AZ303">
        <f>MAX(0,ROUND(AZ302*(1+'Calc base'!N303),2)-P303)</f>
        <v>0</v>
      </c>
      <c r="BA303">
        <f>MAX(0,ROUND(BA302*(1+'Calc base'!O303),2)-Q303)</f>
        <v>0</v>
      </c>
      <c r="BB303">
        <f>MAX(0,ROUND(BB302*(1+'Calc base'!P303),2)-R303)</f>
        <v>0</v>
      </c>
      <c r="BC303">
        <f>MAX(0,ROUND(BC302*(1+'Calc base'!Q303),2)-S303)</f>
        <v>0</v>
      </c>
      <c r="BD303">
        <f>MAX(0,ROUND(BD302*(1+'Calc base'!R303),2)-T303)</f>
        <v>0</v>
      </c>
      <c r="BE303">
        <f>MAX(0,ROUND(BE302*(1+'Calc base'!S303),2)-U303)</f>
        <v>0</v>
      </c>
    </row>
    <row r="304">
      <c r="A304" t="n">
        <v>274</v>
      </c>
      <c r="B304">
        <f>SUMPRODUCT(ROUND($AT303:$BE303*(1+'Calc base'!$H304:$S304),2))</f>
        <v>0</v>
      </c>
      <c r="C304">
        <f>SUM(J304:U304)</f>
        <v>0</v>
      </c>
      <c r="G304">
        <f>SUM(AT304:BE304)</f>
        <v>0</v>
      </c>
      <c r="H304">
        <f>B304-G303</f>
        <v>0</v>
      </c>
      <c r="I304">
        <f>B304-G304</f>
        <v>0</v>
      </c>
      <c r="J304">
        <f>IF(AT303&lt;=0,0,IF(ROUND(AT303*(1+'Calc base'!H304),2)-MAX('Calc base'!C$12,ROUND('Calc base'!C$13*AT303,2))&lt;1,ROUND(AT303*(1+'Calc base'!H304),2),MAX('Calc base'!C$12,ROUND('Calc base'!C$13*AT303,2))))</f>
        <v>0</v>
      </c>
      <c r="K304">
        <f>IF(AU303&lt;=0,0,IF(ROUND(AU303*(1+'Calc base'!I304),2)-MAX('Calc base'!D$12,ROUND('Calc base'!D$13*AU303,2))&lt;1,ROUND(AU303*(1+'Calc base'!I304),2),MAX('Calc base'!D$12,ROUND('Calc base'!D$13*AU303,2))))</f>
        <v>0</v>
      </c>
      <c r="L304">
        <f>IF(AV303&lt;=0,0,IF(ROUND(AV303*(1+'Calc base'!J304),2)-MAX('Calc base'!E$12,ROUND('Calc base'!E$13*AV303,2))&lt;1,ROUND(AV303*(1+'Calc base'!J304),2),MAX('Calc base'!E$12,ROUND('Calc base'!E$13*AV303,2))))</f>
        <v>0</v>
      </c>
      <c r="M304">
        <f>IF(AW303&lt;=0,0,IF(ROUND(AW303*(1+'Calc base'!K304),2)-MAX('Calc base'!F$12,ROUND('Calc base'!F$13*AW303,2))&lt;1,ROUND(AW303*(1+'Calc base'!K304),2),MAX('Calc base'!F$12,ROUND('Calc base'!F$13*AW303,2))))</f>
        <v>0</v>
      </c>
      <c r="N304">
        <f>IF(AX303&lt;=0,0,IF(ROUND(AX303*(1+'Calc base'!L304),2)-MAX('Calc base'!G$12,ROUND('Calc base'!G$13*AX303,2))&lt;1,ROUND(AX303*(1+'Calc base'!L304),2),MAX('Calc base'!G$12,ROUND('Calc base'!G$13*AX303,2))))</f>
        <v>0</v>
      </c>
      <c r="O304">
        <f>IF(AY303&lt;=0,0,IF(ROUND(AY303*(1+'Calc base'!M304),2)-MAX('Calc base'!H$12,ROUND('Calc base'!H$13*AY303,2))&lt;1,ROUND(AY303*(1+'Calc base'!M304),2),MAX('Calc base'!H$12,ROUND('Calc base'!H$13*AY303,2))))</f>
        <v>0</v>
      </c>
      <c r="P304">
        <f>IF(AZ303&lt;=0,0,IF(ROUND(AZ303*(1+'Calc base'!N304),2)-MAX('Calc base'!I$12,ROUND('Calc base'!I$13*AZ303,2))&lt;1,ROUND(AZ303*(1+'Calc base'!N304),2),MAX('Calc base'!I$12,ROUND('Calc base'!I$13*AZ303,2))))</f>
        <v>0</v>
      </c>
      <c r="Q304">
        <f>IF(BA303&lt;=0,0,IF(ROUND(BA303*(1+'Calc base'!O304),2)-MAX('Calc base'!J$12,ROUND('Calc base'!J$13*BA303,2))&lt;1,ROUND(BA303*(1+'Calc base'!O304),2),MAX('Calc base'!J$12,ROUND('Calc base'!J$13*BA303,2))))</f>
        <v>0</v>
      </c>
      <c r="R304">
        <f>IF(BB303&lt;=0,0,IF(ROUND(BB303*(1+'Calc base'!P304),2)-MAX('Calc base'!K$12,ROUND('Calc base'!K$13*BB303,2))&lt;1,ROUND(BB303*(1+'Calc base'!P304),2),MAX('Calc base'!K$12,ROUND('Calc base'!K$13*BB303,2))))</f>
        <v>0</v>
      </c>
      <c r="S304">
        <f>IF(BC303&lt;=0,0,IF(ROUND(BC303*(1+'Calc base'!Q304),2)-MAX('Calc base'!L$12,ROUND('Calc base'!L$13*BC303,2))&lt;1,ROUND(BC303*(1+'Calc base'!Q304),2),MAX('Calc base'!L$12,ROUND('Calc base'!L$13*BC303,2))))</f>
        <v>0</v>
      </c>
      <c r="T304">
        <f>IF(BD303&lt;=0,0,IF(ROUND(BD303*(1+'Calc base'!R304),2)-MAX('Calc base'!M$12,ROUND('Calc base'!M$13*BD303,2))&lt;1,ROUND(BD303*(1+'Calc base'!R304),2),MAX('Calc base'!M$12,ROUND('Calc base'!M$13*BD303,2))))</f>
        <v>0</v>
      </c>
      <c r="U304">
        <f>IF(BE303&lt;=0,0,IF(ROUND(BE303*(1+'Calc base'!S304),2)-MAX('Calc base'!N$12,ROUND('Calc base'!N$13*BE303,2))&lt;1,ROUND(BE303*(1+'Calc base'!S304),2),MAX('Calc base'!N$12,ROUND('Calc base'!N$13*BE303,2))))</f>
        <v>0</v>
      </c>
      <c r="AT304">
        <f>MAX(0,ROUND(AT303*(1+'Calc base'!H304),2)-J304)</f>
        <v>0</v>
      </c>
      <c r="AU304">
        <f>MAX(0,ROUND(AU303*(1+'Calc base'!I304),2)-K304)</f>
        <v>0</v>
      </c>
      <c r="AV304">
        <f>MAX(0,ROUND(AV303*(1+'Calc base'!J304),2)-L304)</f>
        <v>0</v>
      </c>
      <c r="AW304">
        <f>MAX(0,ROUND(AW303*(1+'Calc base'!K304),2)-M304)</f>
        <v>0</v>
      </c>
      <c r="AX304">
        <f>MAX(0,ROUND(AX303*(1+'Calc base'!L304),2)-N304)</f>
        <v>0</v>
      </c>
      <c r="AY304">
        <f>MAX(0,ROUND(AY303*(1+'Calc base'!M304),2)-O304)</f>
        <v>0</v>
      </c>
      <c r="AZ304">
        <f>MAX(0,ROUND(AZ303*(1+'Calc base'!N304),2)-P304)</f>
        <v>0</v>
      </c>
      <c r="BA304">
        <f>MAX(0,ROUND(BA303*(1+'Calc base'!O304),2)-Q304)</f>
        <v>0</v>
      </c>
      <c r="BB304">
        <f>MAX(0,ROUND(BB303*(1+'Calc base'!P304),2)-R304)</f>
        <v>0</v>
      </c>
      <c r="BC304">
        <f>MAX(0,ROUND(BC303*(1+'Calc base'!Q304),2)-S304)</f>
        <v>0</v>
      </c>
      <c r="BD304">
        <f>MAX(0,ROUND(BD303*(1+'Calc base'!R304),2)-T304)</f>
        <v>0</v>
      </c>
      <c r="BE304">
        <f>MAX(0,ROUND(BE303*(1+'Calc base'!S304),2)-U304)</f>
        <v>0</v>
      </c>
    </row>
    <row r="305">
      <c r="A305" t="n">
        <v>275</v>
      </c>
      <c r="B305">
        <f>SUMPRODUCT(ROUND($AT304:$BE304*(1+'Calc base'!$H305:$S305),2))</f>
        <v>0</v>
      </c>
      <c r="C305">
        <f>SUM(J305:U305)</f>
        <v>0</v>
      </c>
      <c r="G305">
        <f>SUM(AT305:BE305)</f>
        <v>0</v>
      </c>
      <c r="H305">
        <f>B305-G304</f>
        <v>0</v>
      </c>
      <c r="I305">
        <f>B305-G305</f>
        <v>0</v>
      </c>
      <c r="J305">
        <f>IF(AT304&lt;=0,0,IF(ROUND(AT304*(1+'Calc base'!H305),2)-MAX('Calc base'!C$12,ROUND('Calc base'!C$13*AT304,2))&lt;1,ROUND(AT304*(1+'Calc base'!H305),2),MAX('Calc base'!C$12,ROUND('Calc base'!C$13*AT304,2))))</f>
        <v>0</v>
      </c>
      <c r="K305">
        <f>IF(AU304&lt;=0,0,IF(ROUND(AU304*(1+'Calc base'!I305),2)-MAX('Calc base'!D$12,ROUND('Calc base'!D$13*AU304,2))&lt;1,ROUND(AU304*(1+'Calc base'!I305),2),MAX('Calc base'!D$12,ROUND('Calc base'!D$13*AU304,2))))</f>
        <v>0</v>
      </c>
      <c r="L305">
        <f>IF(AV304&lt;=0,0,IF(ROUND(AV304*(1+'Calc base'!J305),2)-MAX('Calc base'!E$12,ROUND('Calc base'!E$13*AV304,2))&lt;1,ROUND(AV304*(1+'Calc base'!J305),2),MAX('Calc base'!E$12,ROUND('Calc base'!E$13*AV304,2))))</f>
        <v>0</v>
      </c>
      <c r="M305">
        <f>IF(AW304&lt;=0,0,IF(ROUND(AW304*(1+'Calc base'!K305),2)-MAX('Calc base'!F$12,ROUND('Calc base'!F$13*AW304,2))&lt;1,ROUND(AW304*(1+'Calc base'!K305),2),MAX('Calc base'!F$12,ROUND('Calc base'!F$13*AW304,2))))</f>
        <v>0</v>
      </c>
      <c r="N305">
        <f>IF(AX304&lt;=0,0,IF(ROUND(AX304*(1+'Calc base'!L305),2)-MAX('Calc base'!G$12,ROUND('Calc base'!G$13*AX304,2))&lt;1,ROUND(AX304*(1+'Calc base'!L305),2),MAX('Calc base'!G$12,ROUND('Calc base'!G$13*AX304,2))))</f>
        <v>0</v>
      </c>
      <c r="O305">
        <f>IF(AY304&lt;=0,0,IF(ROUND(AY304*(1+'Calc base'!M305),2)-MAX('Calc base'!H$12,ROUND('Calc base'!H$13*AY304,2))&lt;1,ROUND(AY304*(1+'Calc base'!M305),2),MAX('Calc base'!H$12,ROUND('Calc base'!H$13*AY304,2))))</f>
        <v>0</v>
      </c>
      <c r="P305">
        <f>IF(AZ304&lt;=0,0,IF(ROUND(AZ304*(1+'Calc base'!N305),2)-MAX('Calc base'!I$12,ROUND('Calc base'!I$13*AZ304,2))&lt;1,ROUND(AZ304*(1+'Calc base'!N305),2),MAX('Calc base'!I$12,ROUND('Calc base'!I$13*AZ304,2))))</f>
        <v>0</v>
      </c>
      <c r="Q305">
        <f>IF(BA304&lt;=0,0,IF(ROUND(BA304*(1+'Calc base'!O305),2)-MAX('Calc base'!J$12,ROUND('Calc base'!J$13*BA304,2))&lt;1,ROUND(BA304*(1+'Calc base'!O305),2),MAX('Calc base'!J$12,ROUND('Calc base'!J$13*BA304,2))))</f>
        <v>0</v>
      </c>
      <c r="R305">
        <f>IF(BB304&lt;=0,0,IF(ROUND(BB304*(1+'Calc base'!P305),2)-MAX('Calc base'!K$12,ROUND('Calc base'!K$13*BB304,2))&lt;1,ROUND(BB304*(1+'Calc base'!P305),2),MAX('Calc base'!K$12,ROUND('Calc base'!K$13*BB304,2))))</f>
        <v>0</v>
      </c>
      <c r="S305">
        <f>IF(BC304&lt;=0,0,IF(ROUND(BC304*(1+'Calc base'!Q305),2)-MAX('Calc base'!L$12,ROUND('Calc base'!L$13*BC304,2))&lt;1,ROUND(BC304*(1+'Calc base'!Q305),2),MAX('Calc base'!L$12,ROUND('Calc base'!L$13*BC304,2))))</f>
        <v>0</v>
      </c>
      <c r="T305">
        <f>IF(BD304&lt;=0,0,IF(ROUND(BD304*(1+'Calc base'!R305),2)-MAX('Calc base'!M$12,ROUND('Calc base'!M$13*BD304,2))&lt;1,ROUND(BD304*(1+'Calc base'!R305),2),MAX('Calc base'!M$12,ROUND('Calc base'!M$13*BD304,2))))</f>
        <v>0</v>
      </c>
      <c r="U305">
        <f>IF(BE304&lt;=0,0,IF(ROUND(BE304*(1+'Calc base'!S305),2)-MAX('Calc base'!N$12,ROUND('Calc base'!N$13*BE304,2))&lt;1,ROUND(BE304*(1+'Calc base'!S305),2),MAX('Calc base'!N$12,ROUND('Calc base'!N$13*BE304,2))))</f>
        <v>0</v>
      </c>
      <c r="AT305">
        <f>MAX(0,ROUND(AT304*(1+'Calc base'!H305),2)-J305)</f>
        <v>0</v>
      </c>
      <c r="AU305">
        <f>MAX(0,ROUND(AU304*(1+'Calc base'!I305),2)-K305)</f>
        <v>0</v>
      </c>
      <c r="AV305">
        <f>MAX(0,ROUND(AV304*(1+'Calc base'!J305),2)-L305)</f>
        <v>0</v>
      </c>
      <c r="AW305">
        <f>MAX(0,ROUND(AW304*(1+'Calc base'!K305),2)-M305)</f>
        <v>0</v>
      </c>
      <c r="AX305">
        <f>MAX(0,ROUND(AX304*(1+'Calc base'!L305),2)-N305)</f>
        <v>0</v>
      </c>
      <c r="AY305">
        <f>MAX(0,ROUND(AY304*(1+'Calc base'!M305),2)-O305)</f>
        <v>0</v>
      </c>
      <c r="AZ305">
        <f>MAX(0,ROUND(AZ304*(1+'Calc base'!N305),2)-P305)</f>
        <v>0</v>
      </c>
      <c r="BA305">
        <f>MAX(0,ROUND(BA304*(1+'Calc base'!O305),2)-Q305)</f>
        <v>0</v>
      </c>
      <c r="BB305">
        <f>MAX(0,ROUND(BB304*(1+'Calc base'!P305),2)-R305)</f>
        <v>0</v>
      </c>
      <c r="BC305">
        <f>MAX(0,ROUND(BC304*(1+'Calc base'!Q305),2)-S305)</f>
        <v>0</v>
      </c>
      <c r="BD305">
        <f>MAX(0,ROUND(BD304*(1+'Calc base'!R305),2)-T305)</f>
        <v>0</v>
      </c>
      <c r="BE305">
        <f>MAX(0,ROUND(BE304*(1+'Calc base'!S305),2)-U305)</f>
        <v>0</v>
      </c>
    </row>
    <row r="306">
      <c r="A306" t="n">
        <v>276</v>
      </c>
      <c r="B306">
        <f>SUMPRODUCT(ROUND($AT305:$BE305*(1+'Calc base'!$H306:$S306),2))</f>
        <v>0</v>
      </c>
      <c r="C306">
        <f>SUM(J306:U306)</f>
        <v>0</v>
      </c>
      <c r="G306">
        <f>SUM(AT306:BE306)</f>
        <v>0</v>
      </c>
      <c r="H306">
        <f>B306-G305</f>
        <v>0</v>
      </c>
      <c r="I306">
        <f>B306-G306</f>
        <v>0</v>
      </c>
      <c r="J306">
        <f>IF(AT305&lt;=0,0,IF(ROUND(AT305*(1+'Calc base'!H306),2)-MAX('Calc base'!C$12,ROUND('Calc base'!C$13*AT305,2))&lt;1,ROUND(AT305*(1+'Calc base'!H306),2),MAX('Calc base'!C$12,ROUND('Calc base'!C$13*AT305,2))))</f>
        <v>0</v>
      </c>
      <c r="K306">
        <f>IF(AU305&lt;=0,0,IF(ROUND(AU305*(1+'Calc base'!I306),2)-MAX('Calc base'!D$12,ROUND('Calc base'!D$13*AU305,2))&lt;1,ROUND(AU305*(1+'Calc base'!I306),2),MAX('Calc base'!D$12,ROUND('Calc base'!D$13*AU305,2))))</f>
        <v>0</v>
      </c>
      <c r="L306">
        <f>IF(AV305&lt;=0,0,IF(ROUND(AV305*(1+'Calc base'!J306),2)-MAX('Calc base'!E$12,ROUND('Calc base'!E$13*AV305,2))&lt;1,ROUND(AV305*(1+'Calc base'!J306),2),MAX('Calc base'!E$12,ROUND('Calc base'!E$13*AV305,2))))</f>
        <v>0</v>
      </c>
      <c r="M306">
        <f>IF(AW305&lt;=0,0,IF(ROUND(AW305*(1+'Calc base'!K306),2)-MAX('Calc base'!F$12,ROUND('Calc base'!F$13*AW305,2))&lt;1,ROUND(AW305*(1+'Calc base'!K306),2),MAX('Calc base'!F$12,ROUND('Calc base'!F$13*AW305,2))))</f>
        <v>0</v>
      </c>
      <c r="N306">
        <f>IF(AX305&lt;=0,0,IF(ROUND(AX305*(1+'Calc base'!L306),2)-MAX('Calc base'!G$12,ROUND('Calc base'!G$13*AX305,2))&lt;1,ROUND(AX305*(1+'Calc base'!L306),2),MAX('Calc base'!G$12,ROUND('Calc base'!G$13*AX305,2))))</f>
        <v>0</v>
      </c>
      <c r="O306">
        <f>IF(AY305&lt;=0,0,IF(ROUND(AY305*(1+'Calc base'!M306),2)-MAX('Calc base'!H$12,ROUND('Calc base'!H$13*AY305,2))&lt;1,ROUND(AY305*(1+'Calc base'!M306),2),MAX('Calc base'!H$12,ROUND('Calc base'!H$13*AY305,2))))</f>
        <v>0</v>
      </c>
      <c r="P306">
        <f>IF(AZ305&lt;=0,0,IF(ROUND(AZ305*(1+'Calc base'!N306),2)-MAX('Calc base'!I$12,ROUND('Calc base'!I$13*AZ305,2))&lt;1,ROUND(AZ305*(1+'Calc base'!N306),2),MAX('Calc base'!I$12,ROUND('Calc base'!I$13*AZ305,2))))</f>
        <v>0</v>
      </c>
      <c r="Q306">
        <f>IF(BA305&lt;=0,0,IF(ROUND(BA305*(1+'Calc base'!O306),2)-MAX('Calc base'!J$12,ROUND('Calc base'!J$13*BA305,2))&lt;1,ROUND(BA305*(1+'Calc base'!O306),2),MAX('Calc base'!J$12,ROUND('Calc base'!J$13*BA305,2))))</f>
        <v>0</v>
      </c>
      <c r="R306">
        <f>IF(BB305&lt;=0,0,IF(ROUND(BB305*(1+'Calc base'!P306),2)-MAX('Calc base'!K$12,ROUND('Calc base'!K$13*BB305,2))&lt;1,ROUND(BB305*(1+'Calc base'!P306),2),MAX('Calc base'!K$12,ROUND('Calc base'!K$13*BB305,2))))</f>
        <v>0</v>
      </c>
      <c r="S306">
        <f>IF(BC305&lt;=0,0,IF(ROUND(BC305*(1+'Calc base'!Q306),2)-MAX('Calc base'!L$12,ROUND('Calc base'!L$13*BC305,2))&lt;1,ROUND(BC305*(1+'Calc base'!Q306),2),MAX('Calc base'!L$12,ROUND('Calc base'!L$13*BC305,2))))</f>
        <v>0</v>
      </c>
      <c r="T306">
        <f>IF(BD305&lt;=0,0,IF(ROUND(BD305*(1+'Calc base'!R306),2)-MAX('Calc base'!M$12,ROUND('Calc base'!M$13*BD305,2))&lt;1,ROUND(BD305*(1+'Calc base'!R306),2),MAX('Calc base'!M$12,ROUND('Calc base'!M$13*BD305,2))))</f>
        <v>0</v>
      </c>
      <c r="U306">
        <f>IF(BE305&lt;=0,0,IF(ROUND(BE305*(1+'Calc base'!S306),2)-MAX('Calc base'!N$12,ROUND('Calc base'!N$13*BE305,2))&lt;1,ROUND(BE305*(1+'Calc base'!S306),2),MAX('Calc base'!N$12,ROUND('Calc base'!N$13*BE305,2))))</f>
        <v>0</v>
      </c>
      <c r="AT306">
        <f>MAX(0,ROUND(AT305*(1+'Calc base'!H306),2)-J306)</f>
        <v>0</v>
      </c>
      <c r="AU306">
        <f>MAX(0,ROUND(AU305*(1+'Calc base'!I306),2)-K306)</f>
        <v>0</v>
      </c>
      <c r="AV306">
        <f>MAX(0,ROUND(AV305*(1+'Calc base'!J306),2)-L306)</f>
        <v>0</v>
      </c>
      <c r="AW306">
        <f>MAX(0,ROUND(AW305*(1+'Calc base'!K306),2)-M306)</f>
        <v>0</v>
      </c>
      <c r="AX306">
        <f>MAX(0,ROUND(AX305*(1+'Calc base'!L306),2)-N306)</f>
        <v>0</v>
      </c>
      <c r="AY306">
        <f>MAX(0,ROUND(AY305*(1+'Calc base'!M306),2)-O306)</f>
        <v>0</v>
      </c>
      <c r="AZ306">
        <f>MAX(0,ROUND(AZ305*(1+'Calc base'!N306),2)-P306)</f>
        <v>0</v>
      </c>
      <c r="BA306">
        <f>MAX(0,ROUND(BA305*(1+'Calc base'!O306),2)-Q306)</f>
        <v>0</v>
      </c>
      <c r="BB306">
        <f>MAX(0,ROUND(BB305*(1+'Calc base'!P306),2)-R306)</f>
        <v>0</v>
      </c>
      <c r="BC306">
        <f>MAX(0,ROUND(BC305*(1+'Calc base'!Q306),2)-S306)</f>
        <v>0</v>
      </c>
      <c r="BD306">
        <f>MAX(0,ROUND(BD305*(1+'Calc base'!R306),2)-T306)</f>
        <v>0</v>
      </c>
      <c r="BE306">
        <f>MAX(0,ROUND(BE305*(1+'Calc base'!S306),2)-U306)</f>
        <v>0</v>
      </c>
    </row>
    <row r="307">
      <c r="A307" t="n">
        <v>277</v>
      </c>
      <c r="B307">
        <f>SUMPRODUCT(ROUND($AT306:$BE306*(1+'Calc base'!$H307:$S307),2))</f>
        <v>0</v>
      </c>
      <c r="C307">
        <f>SUM(J307:U307)</f>
        <v>0</v>
      </c>
      <c r="G307">
        <f>SUM(AT307:BE307)</f>
        <v>0</v>
      </c>
      <c r="H307">
        <f>B307-G306</f>
        <v>0</v>
      </c>
      <c r="I307">
        <f>B307-G307</f>
        <v>0</v>
      </c>
      <c r="J307">
        <f>IF(AT306&lt;=0,0,IF(ROUND(AT306*(1+'Calc base'!H307),2)-MAX('Calc base'!C$12,ROUND('Calc base'!C$13*AT306,2))&lt;1,ROUND(AT306*(1+'Calc base'!H307),2),MAX('Calc base'!C$12,ROUND('Calc base'!C$13*AT306,2))))</f>
        <v>0</v>
      </c>
      <c r="K307">
        <f>IF(AU306&lt;=0,0,IF(ROUND(AU306*(1+'Calc base'!I307),2)-MAX('Calc base'!D$12,ROUND('Calc base'!D$13*AU306,2))&lt;1,ROUND(AU306*(1+'Calc base'!I307),2),MAX('Calc base'!D$12,ROUND('Calc base'!D$13*AU306,2))))</f>
        <v>0</v>
      </c>
      <c r="L307">
        <f>IF(AV306&lt;=0,0,IF(ROUND(AV306*(1+'Calc base'!J307),2)-MAX('Calc base'!E$12,ROUND('Calc base'!E$13*AV306,2))&lt;1,ROUND(AV306*(1+'Calc base'!J307),2),MAX('Calc base'!E$12,ROUND('Calc base'!E$13*AV306,2))))</f>
        <v>0</v>
      </c>
      <c r="M307">
        <f>IF(AW306&lt;=0,0,IF(ROUND(AW306*(1+'Calc base'!K307),2)-MAX('Calc base'!F$12,ROUND('Calc base'!F$13*AW306,2))&lt;1,ROUND(AW306*(1+'Calc base'!K307),2),MAX('Calc base'!F$12,ROUND('Calc base'!F$13*AW306,2))))</f>
        <v>0</v>
      </c>
      <c r="N307">
        <f>IF(AX306&lt;=0,0,IF(ROUND(AX306*(1+'Calc base'!L307),2)-MAX('Calc base'!G$12,ROUND('Calc base'!G$13*AX306,2))&lt;1,ROUND(AX306*(1+'Calc base'!L307),2),MAX('Calc base'!G$12,ROUND('Calc base'!G$13*AX306,2))))</f>
        <v>0</v>
      </c>
      <c r="O307">
        <f>IF(AY306&lt;=0,0,IF(ROUND(AY306*(1+'Calc base'!M307),2)-MAX('Calc base'!H$12,ROUND('Calc base'!H$13*AY306,2))&lt;1,ROUND(AY306*(1+'Calc base'!M307),2),MAX('Calc base'!H$12,ROUND('Calc base'!H$13*AY306,2))))</f>
        <v>0</v>
      </c>
      <c r="P307">
        <f>IF(AZ306&lt;=0,0,IF(ROUND(AZ306*(1+'Calc base'!N307),2)-MAX('Calc base'!I$12,ROUND('Calc base'!I$13*AZ306,2))&lt;1,ROUND(AZ306*(1+'Calc base'!N307),2),MAX('Calc base'!I$12,ROUND('Calc base'!I$13*AZ306,2))))</f>
        <v>0</v>
      </c>
      <c r="Q307">
        <f>IF(BA306&lt;=0,0,IF(ROUND(BA306*(1+'Calc base'!O307),2)-MAX('Calc base'!J$12,ROUND('Calc base'!J$13*BA306,2))&lt;1,ROUND(BA306*(1+'Calc base'!O307),2),MAX('Calc base'!J$12,ROUND('Calc base'!J$13*BA306,2))))</f>
        <v>0</v>
      </c>
      <c r="R307">
        <f>IF(BB306&lt;=0,0,IF(ROUND(BB306*(1+'Calc base'!P307),2)-MAX('Calc base'!K$12,ROUND('Calc base'!K$13*BB306,2))&lt;1,ROUND(BB306*(1+'Calc base'!P307),2),MAX('Calc base'!K$12,ROUND('Calc base'!K$13*BB306,2))))</f>
        <v>0</v>
      </c>
      <c r="S307">
        <f>IF(BC306&lt;=0,0,IF(ROUND(BC306*(1+'Calc base'!Q307),2)-MAX('Calc base'!L$12,ROUND('Calc base'!L$13*BC306,2))&lt;1,ROUND(BC306*(1+'Calc base'!Q307),2),MAX('Calc base'!L$12,ROUND('Calc base'!L$13*BC306,2))))</f>
        <v>0</v>
      </c>
      <c r="T307">
        <f>IF(BD306&lt;=0,0,IF(ROUND(BD306*(1+'Calc base'!R307),2)-MAX('Calc base'!M$12,ROUND('Calc base'!M$13*BD306,2))&lt;1,ROUND(BD306*(1+'Calc base'!R307),2),MAX('Calc base'!M$12,ROUND('Calc base'!M$13*BD306,2))))</f>
        <v>0</v>
      </c>
      <c r="U307">
        <f>IF(BE306&lt;=0,0,IF(ROUND(BE306*(1+'Calc base'!S307),2)-MAX('Calc base'!N$12,ROUND('Calc base'!N$13*BE306,2))&lt;1,ROUND(BE306*(1+'Calc base'!S307),2),MAX('Calc base'!N$12,ROUND('Calc base'!N$13*BE306,2))))</f>
        <v>0</v>
      </c>
      <c r="AT307">
        <f>MAX(0,ROUND(AT306*(1+'Calc base'!H307),2)-J307)</f>
        <v>0</v>
      </c>
      <c r="AU307">
        <f>MAX(0,ROUND(AU306*(1+'Calc base'!I307),2)-K307)</f>
        <v>0</v>
      </c>
      <c r="AV307">
        <f>MAX(0,ROUND(AV306*(1+'Calc base'!J307),2)-L307)</f>
        <v>0</v>
      </c>
      <c r="AW307">
        <f>MAX(0,ROUND(AW306*(1+'Calc base'!K307),2)-M307)</f>
        <v>0</v>
      </c>
      <c r="AX307">
        <f>MAX(0,ROUND(AX306*(1+'Calc base'!L307),2)-N307)</f>
        <v>0</v>
      </c>
      <c r="AY307">
        <f>MAX(0,ROUND(AY306*(1+'Calc base'!M307),2)-O307)</f>
        <v>0</v>
      </c>
      <c r="AZ307">
        <f>MAX(0,ROUND(AZ306*(1+'Calc base'!N307),2)-P307)</f>
        <v>0</v>
      </c>
      <c r="BA307">
        <f>MAX(0,ROUND(BA306*(1+'Calc base'!O307),2)-Q307)</f>
        <v>0</v>
      </c>
      <c r="BB307">
        <f>MAX(0,ROUND(BB306*(1+'Calc base'!P307),2)-R307)</f>
        <v>0</v>
      </c>
      <c r="BC307">
        <f>MAX(0,ROUND(BC306*(1+'Calc base'!Q307),2)-S307)</f>
        <v>0</v>
      </c>
      <c r="BD307">
        <f>MAX(0,ROUND(BD306*(1+'Calc base'!R307),2)-T307)</f>
        <v>0</v>
      </c>
      <c r="BE307">
        <f>MAX(0,ROUND(BE306*(1+'Calc base'!S307),2)-U307)</f>
        <v>0</v>
      </c>
    </row>
    <row r="308">
      <c r="A308" t="n">
        <v>278</v>
      </c>
      <c r="B308">
        <f>SUMPRODUCT(ROUND($AT307:$BE307*(1+'Calc base'!$H308:$S308),2))</f>
        <v>0</v>
      </c>
      <c r="C308">
        <f>SUM(J308:U308)</f>
        <v>0</v>
      </c>
      <c r="G308">
        <f>SUM(AT308:BE308)</f>
        <v>0</v>
      </c>
      <c r="H308">
        <f>B308-G307</f>
        <v>0</v>
      </c>
      <c r="I308">
        <f>B308-G308</f>
        <v>0</v>
      </c>
      <c r="J308">
        <f>IF(AT307&lt;=0,0,IF(ROUND(AT307*(1+'Calc base'!H308),2)-MAX('Calc base'!C$12,ROUND('Calc base'!C$13*AT307,2))&lt;1,ROUND(AT307*(1+'Calc base'!H308),2),MAX('Calc base'!C$12,ROUND('Calc base'!C$13*AT307,2))))</f>
        <v>0</v>
      </c>
      <c r="K308">
        <f>IF(AU307&lt;=0,0,IF(ROUND(AU307*(1+'Calc base'!I308),2)-MAX('Calc base'!D$12,ROUND('Calc base'!D$13*AU307,2))&lt;1,ROUND(AU307*(1+'Calc base'!I308),2),MAX('Calc base'!D$12,ROUND('Calc base'!D$13*AU307,2))))</f>
        <v>0</v>
      </c>
      <c r="L308">
        <f>IF(AV307&lt;=0,0,IF(ROUND(AV307*(1+'Calc base'!J308),2)-MAX('Calc base'!E$12,ROUND('Calc base'!E$13*AV307,2))&lt;1,ROUND(AV307*(1+'Calc base'!J308),2),MAX('Calc base'!E$12,ROUND('Calc base'!E$13*AV307,2))))</f>
        <v>0</v>
      </c>
      <c r="M308">
        <f>IF(AW307&lt;=0,0,IF(ROUND(AW307*(1+'Calc base'!K308),2)-MAX('Calc base'!F$12,ROUND('Calc base'!F$13*AW307,2))&lt;1,ROUND(AW307*(1+'Calc base'!K308),2),MAX('Calc base'!F$12,ROUND('Calc base'!F$13*AW307,2))))</f>
        <v>0</v>
      </c>
      <c r="N308">
        <f>IF(AX307&lt;=0,0,IF(ROUND(AX307*(1+'Calc base'!L308),2)-MAX('Calc base'!G$12,ROUND('Calc base'!G$13*AX307,2))&lt;1,ROUND(AX307*(1+'Calc base'!L308),2),MAX('Calc base'!G$12,ROUND('Calc base'!G$13*AX307,2))))</f>
        <v>0</v>
      </c>
      <c r="O308">
        <f>IF(AY307&lt;=0,0,IF(ROUND(AY307*(1+'Calc base'!M308),2)-MAX('Calc base'!H$12,ROUND('Calc base'!H$13*AY307,2))&lt;1,ROUND(AY307*(1+'Calc base'!M308),2),MAX('Calc base'!H$12,ROUND('Calc base'!H$13*AY307,2))))</f>
        <v>0</v>
      </c>
      <c r="P308">
        <f>IF(AZ307&lt;=0,0,IF(ROUND(AZ307*(1+'Calc base'!N308),2)-MAX('Calc base'!I$12,ROUND('Calc base'!I$13*AZ307,2))&lt;1,ROUND(AZ307*(1+'Calc base'!N308),2),MAX('Calc base'!I$12,ROUND('Calc base'!I$13*AZ307,2))))</f>
        <v>0</v>
      </c>
      <c r="Q308">
        <f>IF(BA307&lt;=0,0,IF(ROUND(BA307*(1+'Calc base'!O308),2)-MAX('Calc base'!J$12,ROUND('Calc base'!J$13*BA307,2))&lt;1,ROUND(BA307*(1+'Calc base'!O308),2),MAX('Calc base'!J$12,ROUND('Calc base'!J$13*BA307,2))))</f>
        <v>0</v>
      </c>
      <c r="R308">
        <f>IF(BB307&lt;=0,0,IF(ROUND(BB307*(1+'Calc base'!P308),2)-MAX('Calc base'!K$12,ROUND('Calc base'!K$13*BB307,2))&lt;1,ROUND(BB307*(1+'Calc base'!P308),2),MAX('Calc base'!K$12,ROUND('Calc base'!K$13*BB307,2))))</f>
        <v>0</v>
      </c>
      <c r="S308">
        <f>IF(BC307&lt;=0,0,IF(ROUND(BC307*(1+'Calc base'!Q308),2)-MAX('Calc base'!L$12,ROUND('Calc base'!L$13*BC307,2))&lt;1,ROUND(BC307*(1+'Calc base'!Q308),2),MAX('Calc base'!L$12,ROUND('Calc base'!L$13*BC307,2))))</f>
        <v>0</v>
      </c>
      <c r="T308">
        <f>IF(BD307&lt;=0,0,IF(ROUND(BD307*(1+'Calc base'!R308),2)-MAX('Calc base'!M$12,ROUND('Calc base'!M$13*BD307,2))&lt;1,ROUND(BD307*(1+'Calc base'!R308),2),MAX('Calc base'!M$12,ROUND('Calc base'!M$13*BD307,2))))</f>
        <v>0</v>
      </c>
      <c r="U308">
        <f>IF(BE307&lt;=0,0,IF(ROUND(BE307*(1+'Calc base'!S308),2)-MAX('Calc base'!N$12,ROUND('Calc base'!N$13*BE307,2))&lt;1,ROUND(BE307*(1+'Calc base'!S308),2),MAX('Calc base'!N$12,ROUND('Calc base'!N$13*BE307,2))))</f>
        <v>0</v>
      </c>
      <c r="AT308">
        <f>MAX(0,ROUND(AT307*(1+'Calc base'!H308),2)-J308)</f>
        <v>0</v>
      </c>
      <c r="AU308">
        <f>MAX(0,ROUND(AU307*(1+'Calc base'!I308),2)-K308)</f>
        <v>0</v>
      </c>
      <c r="AV308">
        <f>MAX(0,ROUND(AV307*(1+'Calc base'!J308),2)-L308)</f>
        <v>0</v>
      </c>
      <c r="AW308">
        <f>MAX(0,ROUND(AW307*(1+'Calc base'!K308),2)-M308)</f>
        <v>0</v>
      </c>
      <c r="AX308">
        <f>MAX(0,ROUND(AX307*(1+'Calc base'!L308),2)-N308)</f>
        <v>0</v>
      </c>
      <c r="AY308">
        <f>MAX(0,ROUND(AY307*(1+'Calc base'!M308),2)-O308)</f>
        <v>0</v>
      </c>
      <c r="AZ308">
        <f>MAX(0,ROUND(AZ307*(1+'Calc base'!N308),2)-P308)</f>
        <v>0</v>
      </c>
      <c r="BA308">
        <f>MAX(0,ROUND(BA307*(1+'Calc base'!O308),2)-Q308)</f>
        <v>0</v>
      </c>
      <c r="BB308">
        <f>MAX(0,ROUND(BB307*(1+'Calc base'!P308),2)-R308)</f>
        <v>0</v>
      </c>
      <c r="BC308">
        <f>MAX(0,ROUND(BC307*(1+'Calc base'!Q308),2)-S308)</f>
        <v>0</v>
      </c>
      <c r="BD308">
        <f>MAX(0,ROUND(BD307*(1+'Calc base'!R308),2)-T308)</f>
        <v>0</v>
      </c>
      <c r="BE308">
        <f>MAX(0,ROUND(BE307*(1+'Calc base'!S308),2)-U308)</f>
        <v>0</v>
      </c>
    </row>
    <row r="309">
      <c r="A309" t="n">
        <v>279</v>
      </c>
      <c r="B309">
        <f>SUMPRODUCT(ROUND($AT308:$BE308*(1+'Calc base'!$H309:$S309),2))</f>
        <v>0</v>
      </c>
      <c r="C309">
        <f>SUM(J309:U309)</f>
        <v>0</v>
      </c>
      <c r="G309">
        <f>SUM(AT309:BE309)</f>
        <v>0</v>
      </c>
      <c r="H309">
        <f>B309-G308</f>
        <v>0</v>
      </c>
      <c r="I309">
        <f>B309-G309</f>
        <v>0</v>
      </c>
      <c r="J309">
        <f>IF(AT308&lt;=0,0,IF(ROUND(AT308*(1+'Calc base'!H309),2)-MAX('Calc base'!C$12,ROUND('Calc base'!C$13*AT308,2))&lt;1,ROUND(AT308*(1+'Calc base'!H309),2),MAX('Calc base'!C$12,ROUND('Calc base'!C$13*AT308,2))))</f>
        <v>0</v>
      </c>
      <c r="K309">
        <f>IF(AU308&lt;=0,0,IF(ROUND(AU308*(1+'Calc base'!I309),2)-MAX('Calc base'!D$12,ROUND('Calc base'!D$13*AU308,2))&lt;1,ROUND(AU308*(1+'Calc base'!I309),2),MAX('Calc base'!D$12,ROUND('Calc base'!D$13*AU308,2))))</f>
        <v>0</v>
      </c>
      <c r="L309">
        <f>IF(AV308&lt;=0,0,IF(ROUND(AV308*(1+'Calc base'!J309),2)-MAX('Calc base'!E$12,ROUND('Calc base'!E$13*AV308,2))&lt;1,ROUND(AV308*(1+'Calc base'!J309),2),MAX('Calc base'!E$12,ROUND('Calc base'!E$13*AV308,2))))</f>
        <v>0</v>
      </c>
      <c r="M309">
        <f>IF(AW308&lt;=0,0,IF(ROUND(AW308*(1+'Calc base'!K309),2)-MAX('Calc base'!F$12,ROUND('Calc base'!F$13*AW308,2))&lt;1,ROUND(AW308*(1+'Calc base'!K309),2),MAX('Calc base'!F$12,ROUND('Calc base'!F$13*AW308,2))))</f>
        <v>0</v>
      </c>
      <c r="N309">
        <f>IF(AX308&lt;=0,0,IF(ROUND(AX308*(1+'Calc base'!L309),2)-MAX('Calc base'!G$12,ROUND('Calc base'!G$13*AX308,2))&lt;1,ROUND(AX308*(1+'Calc base'!L309),2),MAX('Calc base'!G$12,ROUND('Calc base'!G$13*AX308,2))))</f>
        <v>0</v>
      </c>
      <c r="O309">
        <f>IF(AY308&lt;=0,0,IF(ROUND(AY308*(1+'Calc base'!M309),2)-MAX('Calc base'!H$12,ROUND('Calc base'!H$13*AY308,2))&lt;1,ROUND(AY308*(1+'Calc base'!M309),2),MAX('Calc base'!H$12,ROUND('Calc base'!H$13*AY308,2))))</f>
        <v>0</v>
      </c>
      <c r="P309">
        <f>IF(AZ308&lt;=0,0,IF(ROUND(AZ308*(1+'Calc base'!N309),2)-MAX('Calc base'!I$12,ROUND('Calc base'!I$13*AZ308,2))&lt;1,ROUND(AZ308*(1+'Calc base'!N309),2),MAX('Calc base'!I$12,ROUND('Calc base'!I$13*AZ308,2))))</f>
        <v>0</v>
      </c>
      <c r="Q309">
        <f>IF(BA308&lt;=0,0,IF(ROUND(BA308*(1+'Calc base'!O309),2)-MAX('Calc base'!J$12,ROUND('Calc base'!J$13*BA308,2))&lt;1,ROUND(BA308*(1+'Calc base'!O309),2),MAX('Calc base'!J$12,ROUND('Calc base'!J$13*BA308,2))))</f>
        <v>0</v>
      </c>
      <c r="R309">
        <f>IF(BB308&lt;=0,0,IF(ROUND(BB308*(1+'Calc base'!P309),2)-MAX('Calc base'!K$12,ROUND('Calc base'!K$13*BB308,2))&lt;1,ROUND(BB308*(1+'Calc base'!P309),2),MAX('Calc base'!K$12,ROUND('Calc base'!K$13*BB308,2))))</f>
        <v>0</v>
      </c>
      <c r="S309">
        <f>IF(BC308&lt;=0,0,IF(ROUND(BC308*(1+'Calc base'!Q309),2)-MAX('Calc base'!L$12,ROUND('Calc base'!L$13*BC308,2))&lt;1,ROUND(BC308*(1+'Calc base'!Q309),2),MAX('Calc base'!L$12,ROUND('Calc base'!L$13*BC308,2))))</f>
        <v>0</v>
      </c>
      <c r="T309">
        <f>IF(BD308&lt;=0,0,IF(ROUND(BD308*(1+'Calc base'!R309),2)-MAX('Calc base'!M$12,ROUND('Calc base'!M$13*BD308,2))&lt;1,ROUND(BD308*(1+'Calc base'!R309),2),MAX('Calc base'!M$12,ROUND('Calc base'!M$13*BD308,2))))</f>
        <v>0</v>
      </c>
      <c r="U309">
        <f>IF(BE308&lt;=0,0,IF(ROUND(BE308*(1+'Calc base'!S309),2)-MAX('Calc base'!N$12,ROUND('Calc base'!N$13*BE308,2))&lt;1,ROUND(BE308*(1+'Calc base'!S309),2),MAX('Calc base'!N$12,ROUND('Calc base'!N$13*BE308,2))))</f>
        <v>0</v>
      </c>
      <c r="AT309">
        <f>MAX(0,ROUND(AT308*(1+'Calc base'!H309),2)-J309)</f>
        <v>0</v>
      </c>
      <c r="AU309">
        <f>MAX(0,ROUND(AU308*(1+'Calc base'!I309),2)-K309)</f>
        <v>0</v>
      </c>
      <c r="AV309">
        <f>MAX(0,ROUND(AV308*(1+'Calc base'!J309),2)-L309)</f>
        <v>0</v>
      </c>
      <c r="AW309">
        <f>MAX(0,ROUND(AW308*(1+'Calc base'!K309),2)-M309)</f>
        <v>0</v>
      </c>
      <c r="AX309">
        <f>MAX(0,ROUND(AX308*(1+'Calc base'!L309),2)-N309)</f>
        <v>0</v>
      </c>
      <c r="AY309">
        <f>MAX(0,ROUND(AY308*(1+'Calc base'!M309),2)-O309)</f>
        <v>0</v>
      </c>
      <c r="AZ309">
        <f>MAX(0,ROUND(AZ308*(1+'Calc base'!N309),2)-P309)</f>
        <v>0</v>
      </c>
      <c r="BA309">
        <f>MAX(0,ROUND(BA308*(1+'Calc base'!O309),2)-Q309)</f>
        <v>0</v>
      </c>
      <c r="BB309">
        <f>MAX(0,ROUND(BB308*(1+'Calc base'!P309),2)-R309)</f>
        <v>0</v>
      </c>
      <c r="BC309">
        <f>MAX(0,ROUND(BC308*(1+'Calc base'!Q309),2)-S309)</f>
        <v>0</v>
      </c>
      <c r="BD309">
        <f>MAX(0,ROUND(BD308*(1+'Calc base'!R309),2)-T309)</f>
        <v>0</v>
      </c>
      <c r="BE309">
        <f>MAX(0,ROUND(BE308*(1+'Calc base'!S309),2)-U309)</f>
        <v>0</v>
      </c>
    </row>
    <row r="310">
      <c r="A310" t="n">
        <v>280</v>
      </c>
      <c r="B310">
        <f>SUMPRODUCT(ROUND($AT309:$BE309*(1+'Calc base'!$H310:$S310),2))</f>
        <v>0</v>
      </c>
      <c r="C310">
        <f>SUM(J310:U310)</f>
        <v>0</v>
      </c>
      <c r="G310">
        <f>SUM(AT310:BE310)</f>
        <v>0</v>
      </c>
      <c r="H310">
        <f>B310-G309</f>
        <v>0</v>
      </c>
      <c r="I310">
        <f>B310-G310</f>
        <v>0</v>
      </c>
      <c r="J310">
        <f>IF(AT309&lt;=0,0,IF(ROUND(AT309*(1+'Calc base'!H310),2)-MAX('Calc base'!C$12,ROUND('Calc base'!C$13*AT309,2))&lt;1,ROUND(AT309*(1+'Calc base'!H310),2),MAX('Calc base'!C$12,ROUND('Calc base'!C$13*AT309,2))))</f>
        <v>0</v>
      </c>
      <c r="K310">
        <f>IF(AU309&lt;=0,0,IF(ROUND(AU309*(1+'Calc base'!I310),2)-MAX('Calc base'!D$12,ROUND('Calc base'!D$13*AU309,2))&lt;1,ROUND(AU309*(1+'Calc base'!I310),2),MAX('Calc base'!D$12,ROUND('Calc base'!D$13*AU309,2))))</f>
        <v>0</v>
      </c>
      <c r="L310">
        <f>IF(AV309&lt;=0,0,IF(ROUND(AV309*(1+'Calc base'!J310),2)-MAX('Calc base'!E$12,ROUND('Calc base'!E$13*AV309,2))&lt;1,ROUND(AV309*(1+'Calc base'!J310),2),MAX('Calc base'!E$12,ROUND('Calc base'!E$13*AV309,2))))</f>
        <v>0</v>
      </c>
      <c r="M310">
        <f>IF(AW309&lt;=0,0,IF(ROUND(AW309*(1+'Calc base'!K310),2)-MAX('Calc base'!F$12,ROUND('Calc base'!F$13*AW309,2))&lt;1,ROUND(AW309*(1+'Calc base'!K310),2),MAX('Calc base'!F$12,ROUND('Calc base'!F$13*AW309,2))))</f>
        <v>0</v>
      </c>
      <c r="N310">
        <f>IF(AX309&lt;=0,0,IF(ROUND(AX309*(1+'Calc base'!L310),2)-MAX('Calc base'!G$12,ROUND('Calc base'!G$13*AX309,2))&lt;1,ROUND(AX309*(1+'Calc base'!L310),2),MAX('Calc base'!G$12,ROUND('Calc base'!G$13*AX309,2))))</f>
        <v>0</v>
      </c>
      <c r="O310">
        <f>IF(AY309&lt;=0,0,IF(ROUND(AY309*(1+'Calc base'!M310),2)-MAX('Calc base'!H$12,ROUND('Calc base'!H$13*AY309,2))&lt;1,ROUND(AY309*(1+'Calc base'!M310),2),MAX('Calc base'!H$12,ROUND('Calc base'!H$13*AY309,2))))</f>
        <v>0</v>
      </c>
      <c r="P310">
        <f>IF(AZ309&lt;=0,0,IF(ROUND(AZ309*(1+'Calc base'!N310),2)-MAX('Calc base'!I$12,ROUND('Calc base'!I$13*AZ309,2))&lt;1,ROUND(AZ309*(1+'Calc base'!N310),2),MAX('Calc base'!I$12,ROUND('Calc base'!I$13*AZ309,2))))</f>
        <v>0</v>
      </c>
      <c r="Q310">
        <f>IF(BA309&lt;=0,0,IF(ROUND(BA309*(1+'Calc base'!O310),2)-MAX('Calc base'!J$12,ROUND('Calc base'!J$13*BA309,2))&lt;1,ROUND(BA309*(1+'Calc base'!O310),2),MAX('Calc base'!J$12,ROUND('Calc base'!J$13*BA309,2))))</f>
        <v>0</v>
      </c>
      <c r="R310">
        <f>IF(BB309&lt;=0,0,IF(ROUND(BB309*(1+'Calc base'!P310),2)-MAX('Calc base'!K$12,ROUND('Calc base'!K$13*BB309,2))&lt;1,ROUND(BB309*(1+'Calc base'!P310),2),MAX('Calc base'!K$12,ROUND('Calc base'!K$13*BB309,2))))</f>
        <v>0</v>
      </c>
      <c r="S310">
        <f>IF(BC309&lt;=0,0,IF(ROUND(BC309*(1+'Calc base'!Q310),2)-MAX('Calc base'!L$12,ROUND('Calc base'!L$13*BC309,2))&lt;1,ROUND(BC309*(1+'Calc base'!Q310),2),MAX('Calc base'!L$12,ROUND('Calc base'!L$13*BC309,2))))</f>
        <v>0</v>
      </c>
      <c r="T310">
        <f>IF(BD309&lt;=0,0,IF(ROUND(BD309*(1+'Calc base'!R310),2)-MAX('Calc base'!M$12,ROUND('Calc base'!M$13*BD309,2))&lt;1,ROUND(BD309*(1+'Calc base'!R310),2),MAX('Calc base'!M$12,ROUND('Calc base'!M$13*BD309,2))))</f>
        <v>0</v>
      </c>
      <c r="U310">
        <f>IF(BE309&lt;=0,0,IF(ROUND(BE309*(1+'Calc base'!S310),2)-MAX('Calc base'!N$12,ROUND('Calc base'!N$13*BE309,2))&lt;1,ROUND(BE309*(1+'Calc base'!S310),2),MAX('Calc base'!N$12,ROUND('Calc base'!N$13*BE309,2))))</f>
        <v>0</v>
      </c>
      <c r="AT310">
        <f>MAX(0,ROUND(AT309*(1+'Calc base'!H310),2)-J310)</f>
        <v>0</v>
      </c>
      <c r="AU310">
        <f>MAX(0,ROUND(AU309*(1+'Calc base'!I310),2)-K310)</f>
        <v>0</v>
      </c>
      <c r="AV310">
        <f>MAX(0,ROUND(AV309*(1+'Calc base'!J310),2)-L310)</f>
        <v>0</v>
      </c>
      <c r="AW310">
        <f>MAX(0,ROUND(AW309*(1+'Calc base'!K310),2)-M310)</f>
        <v>0</v>
      </c>
      <c r="AX310">
        <f>MAX(0,ROUND(AX309*(1+'Calc base'!L310),2)-N310)</f>
        <v>0</v>
      </c>
      <c r="AY310">
        <f>MAX(0,ROUND(AY309*(1+'Calc base'!M310),2)-O310)</f>
        <v>0</v>
      </c>
      <c r="AZ310">
        <f>MAX(0,ROUND(AZ309*(1+'Calc base'!N310),2)-P310)</f>
        <v>0</v>
      </c>
      <c r="BA310">
        <f>MAX(0,ROUND(BA309*(1+'Calc base'!O310),2)-Q310)</f>
        <v>0</v>
      </c>
      <c r="BB310">
        <f>MAX(0,ROUND(BB309*(1+'Calc base'!P310),2)-R310)</f>
        <v>0</v>
      </c>
      <c r="BC310">
        <f>MAX(0,ROUND(BC309*(1+'Calc base'!Q310),2)-S310)</f>
        <v>0</v>
      </c>
      <c r="BD310">
        <f>MAX(0,ROUND(BD309*(1+'Calc base'!R310),2)-T310)</f>
        <v>0</v>
      </c>
      <c r="BE310">
        <f>MAX(0,ROUND(BE309*(1+'Calc base'!S310),2)-U310)</f>
        <v>0</v>
      </c>
    </row>
    <row r="311">
      <c r="A311" t="n">
        <v>281</v>
      </c>
      <c r="B311">
        <f>SUMPRODUCT(ROUND($AT310:$BE310*(1+'Calc base'!$H311:$S311),2))</f>
        <v>0</v>
      </c>
      <c r="C311">
        <f>SUM(J311:U311)</f>
        <v>0</v>
      </c>
      <c r="G311">
        <f>SUM(AT311:BE311)</f>
        <v>0</v>
      </c>
      <c r="H311">
        <f>B311-G310</f>
        <v>0</v>
      </c>
      <c r="I311">
        <f>B311-G311</f>
        <v>0</v>
      </c>
      <c r="J311">
        <f>IF(AT310&lt;=0,0,IF(ROUND(AT310*(1+'Calc base'!H311),2)-MAX('Calc base'!C$12,ROUND('Calc base'!C$13*AT310,2))&lt;1,ROUND(AT310*(1+'Calc base'!H311),2),MAX('Calc base'!C$12,ROUND('Calc base'!C$13*AT310,2))))</f>
        <v>0</v>
      </c>
      <c r="K311">
        <f>IF(AU310&lt;=0,0,IF(ROUND(AU310*(1+'Calc base'!I311),2)-MAX('Calc base'!D$12,ROUND('Calc base'!D$13*AU310,2))&lt;1,ROUND(AU310*(1+'Calc base'!I311),2),MAX('Calc base'!D$12,ROUND('Calc base'!D$13*AU310,2))))</f>
        <v>0</v>
      </c>
      <c r="L311">
        <f>IF(AV310&lt;=0,0,IF(ROUND(AV310*(1+'Calc base'!J311),2)-MAX('Calc base'!E$12,ROUND('Calc base'!E$13*AV310,2))&lt;1,ROUND(AV310*(1+'Calc base'!J311),2),MAX('Calc base'!E$12,ROUND('Calc base'!E$13*AV310,2))))</f>
        <v>0</v>
      </c>
      <c r="M311">
        <f>IF(AW310&lt;=0,0,IF(ROUND(AW310*(1+'Calc base'!K311),2)-MAX('Calc base'!F$12,ROUND('Calc base'!F$13*AW310,2))&lt;1,ROUND(AW310*(1+'Calc base'!K311),2),MAX('Calc base'!F$12,ROUND('Calc base'!F$13*AW310,2))))</f>
        <v>0</v>
      </c>
      <c r="N311">
        <f>IF(AX310&lt;=0,0,IF(ROUND(AX310*(1+'Calc base'!L311),2)-MAX('Calc base'!G$12,ROUND('Calc base'!G$13*AX310,2))&lt;1,ROUND(AX310*(1+'Calc base'!L311),2),MAX('Calc base'!G$12,ROUND('Calc base'!G$13*AX310,2))))</f>
        <v>0</v>
      </c>
      <c r="O311">
        <f>IF(AY310&lt;=0,0,IF(ROUND(AY310*(1+'Calc base'!M311),2)-MAX('Calc base'!H$12,ROUND('Calc base'!H$13*AY310,2))&lt;1,ROUND(AY310*(1+'Calc base'!M311),2),MAX('Calc base'!H$12,ROUND('Calc base'!H$13*AY310,2))))</f>
        <v>0</v>
      </c>
      <c r="P311">
        <f>IF(AZ310&lt;=0,0,IF(ROUND(AZ310*(1+'Calc base'!N311),2)-MAX('Calc base'!I$12,ROUND('Calc base'!I$13*AZ310,2))&lt;1,ROUND(AZ310*(1+'Calc base'!N311),2),MAX('Calc base'!I$12,ROUND('Calc base'!I$13*AZ310,2))))</f>
        <v>0</v>
      </c>
      <c r="Q311">
        <f>IF(BA310&lt;=0,0,IF(ROUND(BA310*(1+'Calc base'!O311),2)-MAX('Calc base'!J$12,ROUND('Calc base'!J$13*BA310,2))&lt;1,ROUND(BA310*(1+'Calc base'!O311),2),MAX('Calc base'!J$12,ROUND('Calc base'!J$13*BA310,2))))</f>
        <v>0</v>
      </c>
      <c r="R311">
        <f>IF(BB310&lt;=0,0,IF(ROUND(BB310*(1+'Calc base'!P311),2)-MAX('Calc base'!K$12,ROUND('Calc base'!K$13*BB310,2))&lt;1,ROUND(BB310*(1+'Calc base'!P311),2),MAX('Calc base'!K$12,ROUND('Calc base'!K$13*BB310,2))))</f>
        <v>0</v>
      </c>
      <c r="S311">
        <f>IF(BC310&lt;=0,0,IF(ROUND(BC310*(1+'Calc base'!Q311),2)-MAX('Calc base'!L$12,ROUND('Calc base'!L$13*BC310,2))&lt;1,ROUND(BC310*(1+'Calc base'!Q311),2),MAX('Calc base'!L$12,ROUND('Calc base'!L$13*BC310,2))))</f>
        <v>0</v>
      </c>
      <c r="T311">
        <f>IF(BD310&lt;=0,0,IF(ROUND(BD310*(1+'Calc base'!R311),2)-MAX('Calc base'!M$12,ROUND('Calc base'!M$13*BD310,2))&lt;1,ROUND(BD310*(1+'Calc base'!R311),2),MAX('Calc base'!M$12,ROUND('Calc base'!M$13*BD310,2))))</f>
        <v>0</v>
      </c>
      <c r="U311">
        <f>IF(BE310&lt;=0,0,IF(ROUND(BE310*(1+'Calc base'!S311),2)-MAX('Calc base'!N$12,ROUND('Calc base'!N$13*BE310,2))&lt;1,ROUND(BE310*(1+'Calc base'!S311),2),MAX('Calc base'!N$12,ROUND('Calc base'!N$13*BE310,2))))</f>
        <v>0</v>
      </c>
      <c r="AT311">
        <f>MAX(0,ROUND(AT310*(1+'Calc base'!H311),2)-J311)</f>
        <v>0</v>
      </c>
      <c r="AU311">
        <f>MAX(0,ROUND(AU310*(1+'Calc base'!I311),2)-K311)</f>
        <v>0</v>
      </c>
      <c r="AV311">
        <f>MAX(0,ROUND(AV310*(1+'Calc base'!J311),2)-L311)</f>
        <v>0</v>
      </c>
      <c r="AW311">
        <f>MAX(0,ROUND(AW310*(1+'Calc base'!K311),2)-M311)</f>
        <v>0</v>
      </c>
      <c r="AX311">
        <f>MAX(0,ROUND(AX310*(1+'Calc base'!L311),2)-N311)</f>
        <v>0</v>
      </c>
      <c r="AY311">
        <f>MAX(0,ROUND(AY310*(1+'Calc base'!M311),2)-O311)</f>
        <v>0</v>
      </c>
      <c r="AZ311">
        <f>MAX(0,ROUND(AZ310*(1+'Calc base'!N311),2)-P311)</f>
        <v>0</v>
      </c>
      <c r="BA311">
        <f>MAX(0,ROUND(BA310*(1+'Calc base'!O311),2)-Q311)</f>
        <v>0</v>
      </c>
      <c r="BB311">
        <f>MAX(0,ROUND(BB310*(1+'Calc base'!P311),2)-R311)</f>
        <v>0</v>
      </c>
      <c r="BC311">
        <f>MAX(0,ROUND(BC310*(1+'Calc base'!Q311),2)-S311)</f>
        <v>0</v>
      </c>
      <c r="BD311">
        <f>MAX(0,ROUND(BD310*(1+'Calc base'!R311),2)-T311)</f>
        <v>0</v>
      </c>
      <c r="BE311">
        <f>MAX(0,ROUND(BE310*(1+'Calc base'!S311),2)-U311)</f>
        <v>0</v>
      </c>
    </row>
    <row r="312">
      <c r="A312" t="n">
        <v>282</v>
      </c>
      <c r="B312">
        <f>SUMPRODUCT(ROUND($AT311:$BE311*(1+'Calc base'!$H312:$S312),2))</f>
        <v>0</v>
      </c>
      <c r="C312">
        <f>SUM(J312:U312)</f>
        <v>0</v>
      </c>
      <c r="G312">
        <f>SUM(AT312:BE312)</f>
        <v>0</v>
      </c>
      <c r="H312">
        <f>B312-G311</f>
        <v>0</v>
      </c>
      <c r="I312">
        <f>B312-G312</f>
        <v>0</v>
      </c>
      <c r="J312">
        <f>IF(AT311&lt;=0,0,IF(ROUND(AT311*(1+'Calc base'!H312),2)-MAX('Calc base'!C$12,ROUND('Calc base'!C$13*AT311,2))&lt;1,ROUND(AT311*(1+'Calc base'!H312),2),MAX('Calc base'!C$12,ROUND('Calc base'!C$13*AT311,2))))</f>
        <v>0</v>
      </c>
      <c r="K312">
        <f>IF(AU311&lt;=0,0,IF(ROUND(AU311*(1+'Calc base'!I312),2)-MAX('Calc base'!D$12,ROUND('Calc base'!D$13*AU311,2))&lt;1,ROUND(AU311*(1+'Calc base'!I312),2),MAX('Calc base'!D$12,ROUND('Calc base'!D$13*AU311,2))))</f>
        <v>0</v>
      </c>
      <c r="L312">
        <f>IF(AV311&lt;=0,0,IF(ROUND(AV311*(1+'Calc base'!J312),2)-MAX('Calc base'!E$12,ROUND('Calc base'!E$13*AV311,2))&lt;1,ROUND(AV311*(1+'Calc base'!J312),2),MAX('Calc base'!E$12,ROUND('Calc base'!E$13*AV311,2))))</f>
        <v>0</v>
      </c>
      <c r="M312">
        <f>IF(AW311&lt;=0,0,IF(ROUND(AW311*(1+'Calc base'!K312),2)-MAX('Calc base'!F$12,ROUND('Calc base'!F$13*AW311,2))&lt;1,ROUND(AW311*(1+'Calc base'!K312),2),MAX('Calc base'!F$12,ROUND('Calc base'!F$13*AW311,2))))</f>
        <v>0</v>
      </c>
      <c r="N312">
        <f>IF(AX311&lt;=0,0,IF(ROUND(AX311*(1+'Calc base'!L312),2)-MAX('Calc base'!G$12,ROUND('Calc base'!G$13*AX311,2))&lt;1,ROUND(AX311*(1+'Calc base'!L312),2),MAX('Calc base'!G$12,ROUND('Calc base'!G$13*AX311,2))))</f>
        <v>0</v>
      </c>
      <c r="O312">
        <f>IF(AY311&lt;=0,0,IF(ROUND(AY311*(1+'Calc base'!M312),2)-MAX('Calc base'!H$12,ROUND('Calc base'!H$13*AY311,2))&lt;1,ROUND(AY311*(1+'Calc base'!M312),2),MAX('Calc base'!H$12,ROUND('Calc base'!H$13*AY311,2))))</f>
        <v>0</v>
      </c>
      <c r="P312">
        <f>IF(AZ311&lt;=0,0,IF(ROUND(AZ311*(1+'Calc base'!N312),2)-MAX('Calc base'!I$12,ROUND('Calc base'!I$13*AZ311,2))&lt;1,ROUND(AZ311*(1+'Calc base'!N312),2),MAX('Calc base'!I$12,ROUND('Calc base'!I$13*AZ311,2))))</f>
        <v>0</v>
      </c>
      <c r="Q312">
        <f>IF(BA311&lt;=0,0,IF(ROUND(BA311*(1+'Calc base'!O312),2)-MAX('Calc base'!J$12,ROUND('Calc base'!J$13*BA311,2))&lt;1,ROUND(BA311*(1+'Calc base'!O312),2),MAX('Calc base'!J$12,ROUND('Calc base'!J$13*BA311,2))))</f>
        <v>0</v>
      </c>
      <c r="R312">
        <f>IF(BB311&lt;=0,0,IF(ROUND(BB311*(1+'Calc base'!P312),2)-MAX('Calc base'!K$12,ROUND('Calc base'!K$13*BB311,2))&lt;1,ROUND(BB311*(1+'Calc base'!P312),2),MAX('Calc base'!K$12,ROUND('Calc base'!K$13*BB311,2))))</f>
        <v>0</v>
      </c>
      <c r="S312">
        <f>IF(BC311&lt;=0,0,IF(ROUND(BC311*(1+'Calc base'!Q312),2)-MAX('Calc base'!L$12,ROUND('Calc base'!L$13*BC311,2))&lt;1,ROUND(BC311*(1+'Calc base'!Q312),2),MAX('Calc base'!L$12,ROUND('Calc base'!L$13*BC311,2))))</f>
        <v>0</v>
      </c>
      <c r="T312">
        <f>IF(BD311&lt;=0,0,IF(ROUND(BD311*(1+'Calc base'!R312),2)-MAX('Calc base'!M$12,ROUND('Calc base'!M$13*BD311,2))&lt;1,ROUND(BD311*(1+'Calc base'!R312),2),MAX('Calc base'!M$12,ROUND('Calc base'!M$13*BD311,2))))</f>
        <v>0</v>
      </c>
      <c r="U312">
        <f>IF(BE311&lt;=0,0,IF(ROUND(BE311*(1+'Calc base'!S312),2)-MAX('Calc base'!N$12,ROUND('Calc base'!N$13*BE311,2))&lt;1,ROUND(BE311*(1+'Calc base'!S312),2),MAX('Calc base'!N$12,ROUND('Calc base'!N$13*BE311,2))))</f>
        <v>0</v>
      </c>
      <c r="AT312">
        <f>MAX(0,ROUND(AT311*(1+'Calc base'!H312),2)-J312)</f>
        <v>0</v>
      </c>
      <c r="AU312">
        <f>MAX(0,ROUND(AU311*(1+'Calc base'!I312),2)-K312)</f>
        <v>0</v>
      </c>
      <c r="AV312">
        <f>MAX(0,ROUND(AV311*(1+'Calc base'!J312),2)-L312)</f>
        <v>0</v>
      </c>
      <c r="AW312">
        <f>MAX(0,ROUND(AW311*(1+'Calc base'!K312),2)-M312)</f>
        <v>0</v>
      </c>
      <c r="AX312">
        <f>MAX(0,ROUND(AX311*(1+'Calc base'!L312),2)-N312)</f>
        <v>0</v>
      </c>
      <c r="AY312">
        <f>MAX(0,ROUND(AY311*(1+'Calc base'!M312),2)-O312)</f>
        <v>0</v>
      </c>
      <c r="AZ312">
        <f>MAX(0,ROUND(AZ311*(1+'Calc base'!N312),2)-P312)</f>
        <v>0</v>
      </c>
      <c r="BA312">
        <f>MAX(0,ROUND(BA311*(1+'Calc base'!O312),2)-Q312)</f>
        <v>0</v>
      </c>
      <c r="BB312">
        <f>MAX(0,ROUND(BB311*(1+'Calc base'!P312),2)-R312)</f>
        <v>0</v>
      </c>
      <c r="BC312">
        <f>MAX(0,ROUND(BC311*(1+'Calc base'!Q312),2)-S312)</f>
        <v>0</v>
      </c>
      <c r="BD312">
        <f>MAX(0,ROUND(BD311*(1+'Calc base'!R312),2)-T312)</f>
        <v>0</v>
      </c>
      <c r="BE312">
        <f>MAX(0,ROUND(BE311*(1+'Calc base'!S312),2)-U312)</f>
        <v>0</v>
      </c>
    </row>
    <row r="313">
      <c r="A313" t="n">
        <v>283</v>
      </c>
      <c r="B313">
        <f>SUMPRODUCT(ROUND($AT312:$BE312*(1+'Calc base'!$H313:$S313),2))</f>
        <v>0</v>
      </c>
      <c r="C313">
        <f>SUM(J313:U313)</f>
        <v>0</v>
      </c>
      <c r="G313">
        <f>SUM(AT313:BE313)</f>
        <v>0</v>
      </c>
      <c r="H313">
        <f>B313-G312</f>
        <v>0</v>
      </c>
      <c r="I313">
        <f>B313-G313</f>
        <v>0</v>
      </c>
      <c r="J313">
        <f>IF(AT312&lt;=0,0,IF(ROUND(AT312*(1+'Calc base'!H313),2)-MAX('Calc base'!C$12,ROUND('Calc base'!C$13*AT312,2))&lt;1,ROUND(AT312*(1+'Calc base'!H313),2),MAX('Calc base'!C$12,ROUND('Calc base'!C$13*AT312,2))))</f>
        <v>0</v>
      </c>
      <c r="K313">
        <f>IF(AU312&lt;=0,0,IF(ROUND(AU312*(1+'Calc base'!I313),2)-MAX('Calc base'!D$12,ROUND('Calc base'!D$13*AU312,2))&lt;1,ROUND(AU312*(1+'Calc base'!I313),2),MAX('Calc base'!D$12,ROUND('Calc base'!D$13*AU312,2))))</f>
        <v>0</v>
      </c>
      <c r="L313">
        <f>IF(AV312&lt;=0,0,IF(ROUND(AV312*(1+'Calc base'!J313),2)-MAX('Calc base'!E$12,ROUND('Calc base'!E$13*AV312,2))&lt;1,ROUND(AV312*(1+'Calc base'!J313),2),MAX('Calc base'!E$12,ROUND('Calc base'!E$13*AV312,2))))</f>
        <v>0</v>
      </c>
      <c r="M313">
        <f>IF(AW312&lt;=0,0,IF(ROUND(AW312*(1+'Calc base'!K313),2)-MAX('Calc base'!F$12,ROUND('Calc base'!F$13*AW312,2))&lt;1,ROUND(AW312*(1+'Calc base'!K313),2),MAX('Calc base'!F$12,ROUND('Calc base'!F$13*AW312,2))))</f>
        <v>0</v>
      </c>
      <c r="N313">
        <f>IF(AX312&lt;=0,0,IF(ROUND(AX312*(1+'Calc base'!L313),2)-MAX('Calc base'!G$12,ROUND('Calc base'!G$13*AX312,2))&lt;1,ROUND(AX312*(1+'Calc base'!L313),2),MAX('Calc base'!G$12,ROUND('Calc base'!G$13*AX312,2))))</f>
        <v>0</v>
      </c>
      <c r="O313">
        <f>IF(AY312&lt;=0,0,IF(ROUND(AY312*(1+'Calc base'!M313),2)-MAX('Calc base'!H$12,ROUND('Calc base'!H$13*AY312,2))&lt;1,ROUND(AY312*(1+'Calc base'!M313),2),MAX('Calc base'!H$12,ROUND('Calc base'!H$13*AY312,2))))</f>
        <v>0</v>
      </c>
      <c r="P313">
        <f>IF(AZ312&lt;=0,0,IF(ROUND(AZ312*(1+'Calc base'!N313),2)-MAX('Calc base'!I$12,ROUND('Calc base'!I$13*AZ312,2))&lt;1,ROUND(AZ312*(1+'Calc base'!N313),2),MAX('Calc base'!I$12,ROUND('Calc base'!I$13*AZ312,2))))</f>
        <v>0</v>
      </c>
      <c r="Q313">
        <f>IF(BA312&lt;=0,0,IF(ROUND(BA312*(1+'Calc base'!O313),2)-MAX('Calc base'!J$12,ROUND('Calc base'!J$13*BA312,2))&lt;1,ROUND(BA312*(1+'Calc base'!O313),2),MAX('Calc base'!J$12,ROUND('Calc base'!J$13*BA312,2))))</f>
        <v>0</v>
      </c>
      <c r="R313">
        <f>IF(BB312&lt;=0,0,IF(ROUND(BB312*(1+'Calc base'!P313),2)-MAX('Calc base'!K$12,ROUND('Calc base'!K$13*BB312,2))&lt;1,ROUND(BB312*(1+'Calc base'!P313),2),MAX('Calc base'!K$12,ROUND('Calc base'!K$13*BB312,2))))</f>
        <v>0</v>
      </c>
      <c r="S313">
        <f>IF(BC312&lt;=0,0,IF(ROUND(BC312*(1+'Calc base'!Q313),2)-MAX('Calc base'!L$12,ROUND('Calc base'!L$13*BC312,2))&lt;1,ROUND(BC312*(1+'Calc base'!Q313),2),MAX('Calc base'!L$12,ROUND('Calc base'!L$13*BC312,2))))</f>
        <v>0</v>
      </c>
      <c r="T313">
        <f>IF(BD312&lt;=0,0,IF(ROUND(BD312*(1+'Calc base'!R313),2)-MAX('Calc base'!M$12,ROUND('Calc base'!M$13*BD312,2))&lt;1,ROUND(BD312*(1+'Calc base'!R313),2),MAX('Calc base'!M$12,ROUND('Calc base'!M$13*BD312,2))))</f>
        <v>0</v>
      </c>
      <c r="U313">
        <f>IF(BE312&lt;=0,0,IF(ROUND(BE312*(1+'Calc base'!S313),2)-MAX('Calc base'!N$12,ROUND('Calc base'!N$13*BE312,2))&lt;1,ROUND(BE312*(1+'Calc base'!S313),2),MAX('Calc base'!N$12,ROUND('Calc base'!N$13*BE312,2))))</f>
        <v>0</v>
      </c>
      <c r="AT313">
        <f>MAX(0,ROUND(AT312*(1+'Calc base'!H313),2)-J313)</f>
        <v>0</v>
      </c>
      <c r="AU313">
        <f>MAX(0,ROUND(AU312*(1+'Calc base'!I313),2)-K313)</f>
        <v>0</v>
      </c>
      <c r="AV313">
        <f>MAX(0,ROUND(AV312*(1+'Calc base'!J313),2)-L313)</f>
        <v>0</v>
      </c>
      <c r="AW313">
        <f>MAX(0,ROUND(AW312*(1+'Calc base'!K313),2)-M313)</f>
        <v>0</v>
      </c>
      <c r="AX313">
        <f>MAX(0,ROUND(AX312*(1+'Calc base'!L313),2)-N313)</f>
        <v>0</v>
      </c>
      <c r="AY313">
        <f>MAX(0,ROUND(AY312*(1+'Calc base'!M313),2)-O313)</f>
        <v>0</v>
      </c>
      <c r="AZ313">
        <f>MAX(0,ROUND(AZ312*(1+'Calc base'!N313),2)-P313)</f>
        <v>0</v>
      </c>
      <c r="BA313">
        <f>MAX(0,ROUND(BA312*(1+'Calc base'!O313),2)-Q313)</f>
        <v>0</v>
      </c>
      <c r="BB313">
        <f>MAX(0,ROUND(BB312*(1+'Calc base'!P313),2)-R313)</f>
        <v>0</v>
      </c>
      <c r="BC313">
        <f>MAX(0,ROUND(BC312*(1+'Calc base'!Q313),2)-S313)</f>
        <v>0</v>
      </c>
      <c r="BD313">
        <f>MAX(0,ROUND(BD312*(1+'Calc base'!R313),2)-T313)</f>
        <v>0</v>
      </c>
      <c r="BE313">
        <f>MAX(0,ROUND(BE312*(1+'Calc base'!S313),2)-U313)</f>
        <v>0</v>
      </c>
    </row>
    <row r="314">
      <c r="A314" t="n">
        <v>284</v>
      </c>
      <c r="B314">
        <f>SUMPRODUCT(ROUND($AT313:$BE313*(1+'Calc base'!$H314:$S314),2))</f>
        <v>0</v>
      </c>
      <c r="C314">
        <f>SUM(J314:U314)</f>
        <v>0</v>
      </c>
      <c r="G314">
        <f>SUM(AT314:BE314)</f>
        <v>0</v>
      </c>
      <c r="H314">
        <f>B314-G313</f>
        <v>0</v>
      </c>
      <c r="I314">
        <f>B314-G314</f>
        <v>0</v>
      </c>
      <c r="J314">
        <f>IF(AT313&lt;=0,0,IF(ROUND(AT313*(1+'Calc base'!H314),2)-MAX('Calc base'!C$12,ROUND('Calc base'!C$13*AT313,2))&lt;1,ROUND(AT313*(1+'Calc base'!H314),2),MAX('Calc base'!C$12,ROUND('Calc base'!C$13*AT313,2))))</f>
        <v>0</v>
      </c>
      <c r="K314">
        <f>IF(AU313&lt;=0,0,IF(ROUND(AU313*(1+'Calc base'!I314),2)-MAX('Calc base'!D$12,ROUND('Calc base'!D$13*AU313,2))&lt;1,ROUND(AU313*(1+'Calc base'!I314),2),MAX('Calc base'!D$12,ROUND('Calc base'!D$13*AU313,2))))</f>
        <v>0</v>
      </c>
      <c r="L314">
        <f>IF(AV313&lt;=0,0,IF(ROUND(AV313*(1+'Calc base'!J314),2)-MAX('Calc base'!E$12,ROUND('Calc base'!E$13*AV313,2))&lt;1,ROUND(AV313*(1+'Calc base'!J314),2),MAX('Calc base'!E$12,ROUND('Calc base'!E$13*AV313,2))))</f>
        <v>0</v>
      </c>
      <c r="M314">
        <f>IF(AW313&lt;=0,0,IF(ROUND(AW313*(1+'Calc base'!K314),2)-MAX('Calc base'!F$12,ROUND('Calc base'!F$13*AW313,2))&lt;1,ROUND(AW313*(1+'Calc base'!K314),2),MAX('Calc base'!F$12,ROUND('Calc base'!F$13*AW313,2))))</f>
        <v>0</v>
      </c>
      <c r="N314">
        <f>IF(AX313&lt;=0,0,IF(ROUND(AX313*(1+'Calc base'!L314),2)-MAX('Calc base'!G$12,ROUND('Calc base'!G$13*AX313,2))&lt;1,ROUND(AX313*(1+'Calc base'!L314),2),MAX('Calc base'!G$12,ROUND('Calc base'!G$13*AX313,2))))</f>
        <v>0</v>
      </c>
      <c r="O314">
        <f>IF(AY313&lt;=0,0,IF(ROUND(AY313*(1+'Calc base'!M314),2)-MAX('Calc base'!H$12,ROUND('Calc base'!H$13*AY313,2))&lt;1,ROUND(AY313*(1+'Calc base'!M314),2),MAX('Calc base'!H$12,ROUND('Calc base'!H$13*AY313,2))))</f>
        <v>0</v>
      </c>
      <c r="P314">
        <f>IF(AZ313&lt;=0,0,IF(ROUND(AZ313*(1+'Calc base'!N314),2)-MAX('Calc base'!I$12,ROUND('Calc base'!I$13*AZ313,2))&lt;1,ROUND(AZ313*(1+'Calc base'!N314),2),MAX('Calc base'!I$12,ROUND('Calc base'!I$13*AZ313,2))))</f>
        <v>0</v>
      </c>
      <c r="Q314">
        <f>IF(BA313&lt;=0,0,IF(ROUND(BA313*(1+'Calc base'!O314),2)-MAX('Calc base'!J$12,ROUND('Calc base'!J$13*BA313,2))&lt;1,ROUND(BA313*(1+'Calc base'!O314),2),MAX('Calc base'!J$12,ROUND('Calc base'!J$13*BA313,2))))</f>
        <v>0</v>
      </c>
      <c r="R314">
        <f>IF(BB313&lt;=0,0,IF(ROUND(BB313*(1+'Calc base'!P314),2)-MAX('Calc base'!K$12,ROUND('Calc base'!K$13*BB313,2))&lt;1,ROUND(BB313*(1+'Calc base'!P314),2),MAX('Calc base'!K$12,ROUND('Calc base'!K$13*BB313,2))))</f>
        <v>0</v>
      </c>
      <c r="S314">
        <f>IF(BC313&lt;=0,0,IF(ROUND(BC313*(1+'Calc base'!Q314),2)-MAX('Calc base'!L$12,ROUND('Calc base'!L$13*BC313,2))&lt;1,ROUND(BC313*(1+'Calc base'!Q314),2),MAX('Calc base'!L$12,ROUND('Calc base'!L$13*BC313,2))))</f>
        <v>0</v>
      </c>
      <c r="T314">
        <f>IF(BD313&lt;=0,0,IF(ROUND(BD313*(1+'Calc base'!R314),2)-MAX('Calc base'!M$12,ROUND('Calc base'!M$13*BD313,2))&lt;1,ROUND(BD313*(1+'Calc base'!R314),2),MAX('Calc base'!M$12,ROUND('Calc base'!M$13*BD313,2))))</f>
        <v>0</v>
      </c>
      <c r="U314">
        <f>IF(BE313&lt;=0,0,IF(ROUND(BE313*(1+'Calc base'!S314),2)-MAX('Calc base'!N$12,ROUND('Calc base'!N$13*BE313,2))&lt;1,ROUND(BE313*(1+'Calc base'!S314),2),MAX('Calc base'!N$12,ROUND('Calc base'!N$13*BE313,2))))</f>
        <v>0</v>
      </c>
      <c r="AT314">
        <f>MAX(0,ROUND(AT313*(1+'Calc base'!H314),2)-J314)</f>
        <v>0</v>
      </c>
      <c r="AU314">
        <f>MAX(0,ROUND(AU313*(1+'Calc base'!I314),2)-K314)</f>
        <v>0</v>
      </c>
      <c r="AV314">
        <f>MAX(0,ROUND(AV313*(1+'Calc base'!J314),2)-L314)</f>
        <v>0</v>
      </c>
      <c r="AW314">
        <f>MAX(0,ROUND(AW313*(1+'Calc base'!K314),2)-M314)</f>
        <v>0</v>
      </c>
      <c r="AX314">
        <f>MAX(0,ROUND(AX313*(1+'Calc base'!L314),2)-N314)</f>
        <v>0</v>
      </c>
      <c r="AY314">
        <f>MAX(0,ROUND(AY313*(1+'Calc base'!M314),2)-O314)</f>
        <v>0</v>
      </c>
      <c r="AZ314">
        <f>MAX(0,ROUND(AZ313*(1+'Calc base'!N314),2)-P314)</f>
        <v>0</v>
      </c>
      <c r="BA314">
        <f>MAX(0,ROUND(BA313*(1+'Calc base'!O314),2)-Q314)</f>
        <v>0</v>
      </c>
      <c r="BB314">
        <f>MAX(0,ROUND(BB313*(1+'Calc base'!P314),2)-R314)</f>
        <v>0</v>
      </c>
      <c r="BC314">
        <f>MAX(0,ROUND(BC313*(1+'Calc base'!Q314),2)-S314)</f>
        <v>0</v>
      </c>
      <c r="BD314">
        <f>MAX(0,ROUND(BD313*(1+'Calc base'!R314),2)-T314)</f>
        <v>0</v>
      </c>
      <c r="BE314">
        <f>MAX(0,ROUND(BE313*(1+'Calc base'!S314),2)-U314)</f>
        <v>0</v>
      </c>
    </row>
    <row r="315">
      <c r="A315" t="n">
        <v>285</v>
      </c>
      <c r="B315">
        <f>SUMPRODUCT(ROUND($AT314:$BE314*(1+'Calc base'!$H315:$S315),2))</f>
        <v>0</v>
      </c>
      <c r="C315">
        <f>SUM(J315:U315)</f>
        <v>0</v>
      </c>
      <c r="G315">
        <f>SUM(AT315:BE315)</f>
        <v>0</v>
      </c>
      <c r="H315">
        <f>B315-G314</f>
        <v>0</v>
      </c>
      <c r="I315">
        <f>B315-G315</f>
        <v>0</v>
      </c>
      <c r="J315">
        <f>IF(AT314&lt;=0,0,IF(ROUND(AT314*(1+'Calc base'!H315),2)-MAX('Calc base'!C$12,ROUND('Calc base'!C$13*AT314,2))&lt;1,ROUND(AT314*(1+'Calc base'!H315),2),MAX('Calc base'!C$12,ROUND('Calc base'!C$13*AT314,2))))</f>
        <v>0</v>
      </c>
      <c r="K315">
        <f>IF(AU314&lt;=0,0,IF(ROUND(AU314*(1+'Calc base'!I315),2)-MAX('Calc base'!D$12,ROUND('Calc base'!D$13*AU314,2))&lt;1,ROUND(AU314*(1+'Calc base'!I315),2),MAX('Calc base'!D$12,ROUND('Calc base'!D$13*AU314,2))))</f>
        <v>0</v>
      </c>
      <c r="L315">
        <f>IF(AV314&lt;=0,0,IF(ROUND(AV314*(1+'Calc base'!J315),2)-MAX('Calc base'!E$12,ROUND('Calc base'!E$13*AV314,2))&lt;1,ROUND(AV314*(1+'Calc base'!J315),2),MAX('Calc base'!E$12,ROUND('Calc base'!E$13*AV314,2))))</f>
        <v>0</v>
      </c>
      <c r="M315">
        <f>IF(AW314&lt;=0,0,IF(ROUND(AW314*(1+'Calc base'!K315),2)-MAX('Calc base'!F$12,ROUND('Calc base'!F$13*AW314,2))&lt;1,ROUND(AW314*(1+'Calc base'!K315),2),MAX('Calc base'!F$12,ROUND('Calc base'!F$13*AW314,2))))</f>
        <v>0</v>
      </c>
      <c r="N315">
        <f>IF(AX314&lt;=0,0,IF(ROUND(AX314*(1+'Calc base'!L315),2)-MAX('Calc base'!G$12,ROUND('Calc base'!G$13*AX314,2))&lt;1,ROUND(AX314*(1+'Calc base'!L315),2),MAX('Calc base'!G$12,ROUND('Calc base'!G$13*AX314,2))))</f>
        <v>0</v>
      </c>
      <c r="O315">
        <f>IF(AY314&lt;=0,0,IF(ROUND(AY314*(1+'Calc base'!M315),2)-MAX('Calc base'!H$12,ROUND('Calc base'!H$13*AY314,2))&lt;1,ROUND(AY314*(1+'Calc base'!M315),2),MAX('Calc base'!H$12,ROUND('Calc base'!H$13*AY314,2))))</f>
        <v>0</v>
      </c>
      <c r="P315">
        <f>IF(AZ314&lt;=0,0,IF(ROUND(AZ314*(1+'Calc base'!N315),2)-MAX('Calc base'!I$12,ROUND('Calc base'!I$13*AZ314,2))&lt;1,ROUND(AZ314*(1+'Calc base'!N315),2),MAX('Calc base'!I$12,ROUND('Calc base'!I$13*AZ314,2))))</f>
        <v>0</v>
      </c>
      <c r="Q315">
        <f>IF(BA314&lt;=0,0,IF(ROUND(BA314*(1+'Calc base'!O315),2)-MAX('Calc base'!J$12,ROUND('Calc base'!J$13*BA314,2))&lt;1,ROUND(BA314*(1+'Calc base'!O315),2),MAX('Calc base'!J$12,ROUND('Calc base'!J$13*BA314,2))))</f>
        <v>0</v>
      </c>
      <c r="R315">
        <f>IF(BB314&lt;=0,0,IF(ROUND(BB314*(1+'Calc base'!P315),2)-MAX('Calc base'!K$12,ROUND('Calc base'!K$13*BB314,2))&lt;1,ROUND(BB314*(1+'Calc base'!P315),2),MAX('Calc base'!K$12,ROUND('Calc base'!K$13*BB314,2))))</f>
        <v>0</v>
      </c>
      <c r="S315">
        <f>IF(BC314&lt;=0,0,IF(ROUND(BC314*(1+'Calc base'!Q315),2)-MAX('Calc base'!L$12,ROUND('Calc base'!L$13*BC314,2))&lt;1,ROUND(BC314*(1+'Calc base'!Q315),2),MAX('Calc base'!L$12,ROUND('Calc base'!L$13*BC314,2))))</f>
        <v>0</v>
      </c>
      <c r="T315">
        <f>IF(BD314&lt;=0,0,IF(ROUND(BD314*(1+'Calc base'!R315),2)-MAX('Calc base'!M$12,ROUND('Calc base'!M$13*BD314,2))&lt;1,ROUND(BD314*(1+'Calc base'!R315),2),MAX('Calc base'!M$12,ROUND('Calc base'!M$13*BD314,2))))</f>
        <v>0</v>
      </c>
      <c r="U315">
        <f>IF(BE314&lt;=0,0,IF(ROUND(BE314*(1+'Calc base'!S315),2)-MAX('Calc base'!N$12,ROUND('Calc base'!N$13*BE314,2))&lt;1,ROUND(BE314*(1+'Calc base'!S315),2),MAX('Calc base'!N$12,ROUND('Calc base'!N$13*BE314,2))))</f>
        <v>0</v>
      </c>
      <c r="AT315">
        <f>MAX(0,ROUND(AT314*(1+'Calc base'!H315),2)-J315)</f>
        <v>0</v>
      </c>
      <c r="AU315">
        <f>MAX(0,ROUND(AU314*(1+'Calc base'!I315),2)-K315)</f>
        <v>0</v>
      </c>
      <c r="AV315">
        <f>MAX(0,ROUND(AV314*(1+'Calc base'!J315),2)-L315)</f>
        <v>0</v>
      </c>
      <c r="AW315">
        <f>MAX(0,ROUND(AW314*(1+'Calc base'!K315),2)-M315)</f>
        <v>0</v>
      </c>
      <c r="AX315">
        <f>MAX(0,ROUND(AX314*(1+'Calc base'!L315),2)-N315)</f>
        <v>0</v>
      </c>
      <c r="AY315">
        <f>MAX(0,ROUND(AY314*(1+'Calc base'!M315),2)-O315)</f>
        <v>0</v>
      </c>
      <c r="AZ315">
        <f>MAX(0,ROUND(AZ314*(1+'Calc base'!N315),2)-P315)</f>
        <v>0</v>
      </c>
      <c r="BA315">
        <f>MAX(0,ROUND(BA314*(1+'Calc base'!O315),2)-Q315)</f>
        <v>0</v>
      </c>
      <c r="BB315">
        <f>MAX(0,ROUND(BB314*(1+'Calc base'!P315),2)-R315)</f>
        <v>0</v>
      </c>
      <c r="BC315">
        <f>MAX(0,ROUND(BC314*(1+'Calc base'!Q315),2)-S315)</f>
        <v>0</v>
      </c>
      <c r="BD315">
        <f>MAX(0,ROUND(BD314*(1+'Calc base'!R315),2)-T315)</f>
        <v>0</v>
      </c>
      <c r="BE315">
        <f>MAX(0,ROUND(BE314*(1+'Calc base'!S315),2)-U315)</f>
        <v>0</v>
      </c>
    </row>
    <row r="316">
      <c r="A316" t="n">
        <v>286</v>
      </c>
      <c r="B316">
        <f>SUMPRODUCT(ROUND($AT315:$BE315*(1+'Calc base'!$H316:$S316),2))</f>
        <v>0</v>
      </c>
      <c r="C316">
        <f>SUM(J316:U316)</f>
        <v>0</v>
      </c>
      <c r="G316">
        <f>SUM(AT316:BE316)</f>
        <v>0</v>
      </c>
      <c r="H316">
        <f>B316-G315</f>
        <v>0</v>
      </c>
      <c r="I316">
        <f>B316-G316</f>
        <v>0</v>
      </c>
      <c r="J316">
        <f>IF(AT315&lt;=0,0,IF(ROUND(AT315*(1+'Calc base'!H316),2)-MAX('Calc base'!C$12,ROUND('Calc base'!C$13*AT315,2))&lt;1,ROUND(AT315*(1+'Calc base'!H316),2),MAX('Calc base'!C$12,ROUND('Calc base'!C$13*AT315,2))))</f>
        <v>0</v>
      </c>
      <c r="K316">
        <f>IF(AU315&lt;=0,0,IF(ROUND(AU315*(1+'Calc base'!I316),2)-MAX('Calc base'!D$12,ROUND('Calc base'!D$13*AU315,2))&lt;1,ROUND(AU315*(1+'Calc base'!I316),2),MAX('Calc base'!D$12,ROUND('Calc base'!D$13*AU315,2))))</f>
        <v>0</v>
      </c>
      <c r="L316">
        <f>IF(AV315&lt;=0,0,IF(ROUND(AV315*(1+'Calc base'!J316),2)-MAX('Calc base'!E$12,ROUND('Calc base'!E$13*AV315,2))&lt;1,ROUND(AV315*(1+'Calc base'!J316),2),MAX('Calc base'!E$12,ROUND('Calc base'!E$13*AV315,2))))</f>
        <v>0</v>
      </c>
      <c r="M316">
        <f>IF(AW315&lt;=0,0,IF(ROUND(AW315*(1+'Calc base'!K316),2)-MAX('Calc base'!F$12,ROUND('Calc base'!F$13*AW315,2))&lt;1,ROUND(AW315*(1+'Calc base'!K316),2),MAX('Calc base'!F$12,ROUND('Calc base'!F$13*AW315,2))))</f>
        <v>0</v>
      </c>
      <c r="N316">
        <f>IF(AX315&lt;=0,0,IF(ROUND(AX315*(1+'Calc base'!L316),2)-MAX('Calc base'!G$12,ROUND('Calc base'!G$13*AX315,2))&lt;1,ROUND(AX315*(1+'Calc base'!L316),2),MAX('Calc base'!G$12,ROUND('Calc base'!G$13*AX315,2))))</f>
        <v>0</v>
      </c>
      <c r="O316">
        <f>IF(AY315&lt;=0,0,IF(ROUND(AY315*(1+'Calc base'!M316),2)-MAX('Calc base'!H$12,ROUND('Calc base'!H$13*AY315,2))&lt;1,ROUND(AY315*(1+'Calc base'!M316),2),MAX('Calc base'!H$12,ROUND('Calc base'!H$13*AY315,2))))</f>
        <v>0</v>
      </c>
      <c r="P316">
        <f>IF(AZ315&lt;=0,0,IF(ROUND(AZ315*(1+'Calc base'!N316),2)-MAX('Calc base'!I$12,ROUND('Calc base'!I$13*AZ315,2))&lt;1,ROUND(AZ315*(1+'Calc base'!N316),2),MAX('Calc base'!I$12,ROUND('Calc base'!I$13*AZ315,2))))</f>
        <v>0</v>
      </c>
      <c r="Q316">
        <f>IF(BA315&lt;=0,0,IF(ROUND(BA315*(1+'Calc base'!O316),2)-MAX('Calc base'!J$12,ROUND('Calc base'!J$13*BA315,2))&lt;1,ROUND(BA315*(1+'Calc base'!O316),2),MAX('Calc base'!J$12,ROUND('Calc base'!J$13*BA315,2))))</f>
        <v>0</v>
      </c>
      <c r="R316">
        <f>IF(BB315&lt;=0,0,IF(ROUND(BB315*(1+'Calc base'!P316),2)-MAX('Calc base'!K$12,ROUND('Calc base'!K$13*BB315,2))&lt;1,ROUND(BB315*(1+'Calc base'!P316),2),MAX('Calc base'!K$12,ROUND('Calc base'!K$13*BB315,2))))</f>
        <v>0</v>
      </c>
      <c r="S316">
        <f>IF(BC315&lt;=0,0,IF(ROUND(BC315*(1+'Calc base'!Q316),2)-MAX('Calc base'!L$12,ROUND('Calc base'!L$13*BC315,2))&lt;1,ROUND(BC315*(1+'Calc base'!Q316),2),MAX('Calc base'!L$12,ROUND('Calc base'!L$13*BC315,2))))</f>
        <v>0</v>
      </c>
      <c r="T316">
        <f>IF(BD315&lt;=0,0,IF(ROUND(BD315*(1+'Calc base'!R316),2)-MAX('Calc base'!M$12,ROUND('Calc base'!M$13*BD315,2))&lt;1,ROUND(BD315*(1+'Calc base'!R316),2),MAX('Calc base'!M$12,ROUND('Calc base'!M$13*BD315,2))))</f>
        <v>0</v>
      </c>
      <c r="U316">
        <f>IF(BE315&lt;=0,0,IF(ROUND(BE315*(1+'Calc base'!S316),2)-MAX('Calc base'!N$12,ROUND('Calc base'!N$13*BE315,2))&lt;1,ROUND(BE315*(1+'Calc base'!S316),2),MAX('Calc base'!N$12,ROUND('Calc base'!N$13*BE315,2))))</f>
        <v>0</v>
      </c>
      <c r="AT316">
        <f>MAX(0,ROUND(AT315*(1+'Calc base'!H316),2)-J316)</f>
        <v>0</v>
      </c>
      <c r="AU316">
        <f>MAX(0,ROUND(AU315*(1+'Calc base'!I316),2)-K316)</f>
        <v>0</v>
      </c>
      <c r="AV316">
        <f>MAX(0,ROUND(AV315*(1+'Calc base'!J316),2)-L316)</f>
        <v>0</v>
      </c>
      <c r="AW316">
        <f>MAX(0,ROUND(AW315*(1+'Calc base'!K316),2)-M316)</f>
        <v>0</v>
      </c>
      <c r="AX316">
        <f>MAX(0,ROUND(AX315*(1+'Calc base'!L316),2)-N316)</f>
        <v>0</v>
      </c>
      <c r="AY316">
        <f>MAX(0,ROUND(AY315*(1+'Calc base'!M316),2)-O316)</f>
        <v>0</v>
      </c>
      <c r="AZ316">
        <f>MAX(0,ROUND(AZ315*(1+'Calc base'!N316),2)-P316)</f>
        <v>0</v>
      </c>
      <c r="BA316">
        <f>MAX(0,ROUND(BA315*(1+'Calc base'!O316),2)-Q316)</f>
        <v>0</v>
      </c>
      <c r="BB316">
        <f>MAX(0,ROUND(BB315*(1+'Calc base'!P316),2)-R316)</f>
        <v>0</v>
      </c>
      <c r="BC316">
        <f>MAX(0,ROUND(BC315*(1+'Calc base'!Q316),2)-S316)</f>
        <v>0</v>
      </c>
      <c r="BD316">
        <f>MAX(0,ROUND(BD315*(1+'Calc base'!R316),2)-T316)</f>
        <v>0</v>
      </c>
      <c r="BE316">
        <f>MAX(0,ROUND(BE315*(1+'Calc base'!S316),2)-U316)</f>
        <v>0</v>
      </c>
    </row>
    <row r="317">
      <c r="A317" t="n">
        <v>287</v>
      </c>
      <c r="B317">
        <f>SUMPRODUCT(ROUND($AT316:$BE316*(1+'Calc base'!$H317:$S317),2))</f>
        <v>0</v>
      </c>
      <c r="C317">
        <f>SUM(J317:U317)</f>
        <v>0</v>
      </c>
      <c r="G317">
        <f>SUM(AT317:BE317)</f>
        <v>0</v>
      </c>
      <c r="H317">
        <f>B317-G316</f>
        <v>0</v>
      </c>
      <c r="I317">
        <f>B317-G317</f>
        <v>0</v>
      </c>
      <c r="J317">
        <f>IF(AT316&lt;=0,0,IF(ROUND(AT316*(1+'Calc base'!H317),2)-MAX('Calc base'!C$12,ROUND('Calc base'!C$13*AT316,2))&lt;1,ROUND(AT316*(1+'Calc base'!H317),2),MAX('Calc base'!C$12,ROUND('Calc base'!C$13*AT316,2))))</f>
        <v>0</v>
      </c>
      <c r="K317">
        <f>IF(AU316&lt;=0,0,IF(ROUND(AU316*(1+'Calc base'!I317),2)-MAX('Calc base'!D$12,ROUND('Calc base'!D$13*AU316,2))&lt;1,ROUND(AU316*(1+'Calc base'!I317),2),MAX('Calc base'!D$12,ROUND('Calc base'!D$13*AU316,2))))</f>
        <v>0</v>
      </c>
      <c r="L317">
        <f>IF(AV316&lt;=0,0,IF(ROUND(AV316*(1+'Calc base'!J317),2)-MAX('Calc base'!E$12,ROUND('Calc base'!E$13*AV316,2))&lt;1,ROUND(AV316*(1+'Calc base'!J317),2),MAX('Calc base'!E$12,ROUND('Calc base'!E$13*AV316,2))))</f>
        <v>0</v>
      </c>
      <c r="M317">
        <f>IF(AW316&lt;=0,0,IF(ROUND(AW316*(1+'Calc base'!K317),2)-MAX('Calc base'!F$12,ROUND('Calc base'!F$13*AW316,2))&lt;1,ROUND(AW316*(1+'Calc base'!K317),2),MAX('Calc base'!F$12,ROUND('Calc base'!F$13*AW316,2))))</f>
        <v>0</v>
      </c>
      <c r="N317">
        <f>IF(AX316&lt;=0,0,IF(ROUND(AX316*(1+'Calc base'!L317),2)-MAX('Calc base'!G$12,ROUND('Calc base'!G$13*AX316,2))&lt;1,ROUND(AX316*(1+'Calc base'!L317),2),MAX('Calc base'!G$12,ROUND('Calc base'!G$13*AX316,2))))</f>
        <v>0</v>
      </c>
      <c r="O317">
        <f>IF(AY316&lt;=0,0,IF(ROUND(AY316*(1+'Calc base'!M317),2)-MAX('Calc base'!H$12,ROUND('Calc base'!H$13*AY316,2))&lt;1,ROUND(AY316*(1+'Calc base'!M317),2),MAX('Calc base'!H$12,ROUND('Calc base'!H$13*AY316,2))))</f>
        <v>0</v>
      </c>
      <c r="P317">
        <f>IF(AZ316&lt;=0,0,IF(ROUND(AZ316*(1+'Calc base'!N317),2)-MAX('Calc base'!I$12,ROUND('Calc base'!I$13*AZ316,2))&lt;1,ROUND(AZ316*(1+'Calc base'!N317),2),MAX('Calc base'!I$12,ROUND('Calc base'!I$13*AZ316,2))))</f>
        <v>0</v>
      </c>
      <c r="Q317">
        <f>IF(BA316&lt;=0,0,IF(ROUND(BA316*(1+'Calc base'!O317),2)-MAX('Calc base'!J$12,ROUND('Calc base'!J$13*BA316,2))&lt;1,ROUND(BA316*(1+'Calc base'!O317),2),MAX('Calc base'!J$12,ROUND('Calc base'!J$13*BA316,2))))</f>
        <v>0</v>
      </c>
      <c r="R317">
        <f>IF(BB316&lt;=0,0,IF(ROUND(BB316*(1+'Calc base'!P317),2)-MAX('Calc base'!K$12,ROUND('Calc base'!K$13*BB316,2))&lt;1,ROUND(BB316*(1+'Calc base'!P317),2),MAX('Calc base'!K$12,ROUND('Calc base'!K$13*BB316,2))))</f>
        <v>0</v>
      </c>
      <c r="S317">
        <f>IF(BC316&lt;=0,0,IF(ROUND(BC316*(1+'Calc base'!Q317),2)-MAX('Calc base'!L$12,ROUND('Calc base'!L$13*BC316,2))&lt;1,ROUND(BC316*(1+'Calc base'!Q317),2),MAX('Calc base'!L$12,ROUND('Calc base'!L$13*BC316,2))))</f>
        <v>0</v>
      </c>
      <c r="T317">
        <f>IF(BD316&lt;=0,0,IF(ROUND(BD316*(1+'Calc base'!R317),2)-MAX('Calc base'!M$12,ROUND('Calc base'!M$13*BD316,2))&lt;1,ROUND(BD316*(1+'Calc base'!R317),2),MAX('Calc base'!M$12,ROUND('Calc base'!M$13*BD316,2))))</f>
        <v>0</v>
      </c>
      <c r="U317">
        <f>IF(BE316&lt;=0,0,IF(ROUND(BE316*(1+'Calc base'!S317),2)-MAX('Calc base'!N$12,ROUND('Calc base'!N$13*BE316,2))&lt;1,ROUND(BE316*(1+'Calc base'!S317),2),MAX('Calc base'!N$12,ROUND('Calc base'!N$13*BE316,2))))</f>
        <v>0</v>
      </c>
      <c r="AT317">
        <f>MAX(0,ROUND(AT316*(1+'Calc base'!H317),2)-J317)</f>
        <v>0</v>
      </c>
      <c r="AU317">
        <f>MAX(0,ROUND(AU316*(1+'Calc base'!I317),2)-K317)</f>
        <v>0</v>
      </c>
      <c r="AV317">
        <f>MAX(0,ROUND(AV316*(1+'Calc base'!J317),2)-L317)</f>
        <v>0</v>
      </c>
      <c r="AW317">
        <f>MAX(0,ROUND(AW316*(1+'Calc base'!K317),2)-M317)</f>
        <v>0</v>
      </c>
      <c r="AX317">
        <f>MAX(0,ROUND(AX316*(1+'Calc base'!L317),2)-N317)</f>
        <v>0</v>
      </c>
      <c r="AY317">
        <f>MAX(0,ROUND(AY316*(1+'Calc base'!M317),2)-O317)</f>
        <v>0</v>
      </c>
      <c r="AZ317">
        <f>MAX(0,ROUND(AZ316*(1+'Calc base'!N317),2)-P317)</f>
        <v>0</v>
      </c>
      <c r="BA317">
        <f>MAX(0,ROUND(BA316*(1+'Calc base'!O317),2)-Q317)</f>
        <v>0</v>
      </c>
      <c r="BB317">
        <f>MAX(0,ROUND(BB316*(1+'Calc base'!P317),2)-R317)</f>
        <v>0</v>
      </c>
      <c r="BC317">
        <f>MAX(0,ROUND(BC316*(1+'Calc base'!Q317),2)-S317)</f>
        <v>0</v>
      </c>
      <c r="BD317">
        <f>MAX(0,ROUND(BD316*(1+'Calc base'!R317),2)-T317)</f>
        <v>0</v>
      </c>
      <c r="BE317">
        <f>MAX(0,ROUND(BE316*(1+'Calc base'!S317),2)-U317)</f>
        <v>0</v>
      </c>
    </row>
    <row r="318">
      <c r="A318" t="n">
        <v>288</v>
      </c>
      <c r="B318">
        <f>SUMPRODUCT(ROUND($AT317:$BE317*(1+'Calc base'!$H318:$S318),2))</f>
        <v>0</v>
      </c>
      <c r="C318">
        <f>SUM(J318:U318)</f>
        <v>0</v>
      </c>
      <c r="G318">
        <f>SUM(AT318:BE318)</f>
        <v>0</v>
      </c>
      <c r="H318">
        <f>B318-G317</f>
        <v>0</v>
      </c>
      <c r="I318">
        <f>B318-G318</f>
        <v>0</v>
      </c>
      <c r="J318">
        <f>IF(AT317&lt;=0,0,IF(ROUND(AT317*(1+'Calc base'!H318),2)-MAX('Calc base'!C$12,ROUND('Calc base'!C$13*AT317,2))&lt;1,ROUND(AT317*(1+'Calc base'!H318),2),MAX('Calc base'!C$12,ROUND('Calc base'!C$13*AT317,2))))</f>
        <v>0</v>
      </c>
      <c r="K318">
        <f>IF(AU317&lt;=0,0,IF(ROUND(AU317*(1+'Calc base'!I318),2)-MAX('Calc base'!D$12,ROUND('Calc base'!D$13*AU317,2))&lt;1,ROUND(AU317*(1+'Calc base'!I318),2),MAX('Calc base'!D$12,ROUND('Calc base'!D$13*AU317,2))))</f>
        <v>0</v>
      </c>
      <c r="L318">
        <f>IF(AV317&lt;=0,0,IF(ROUND(AV317*(1+'Calc base'!J318),2)-MAX('Calc base'!E$12,ROUND('Calc base'!E$13*AV317,2))&lt;1,ROUND(AV317*(1+'Calc base'!J318),2),MAX('Calc base'!E$12,ROUND('Calc base'!E$13*AV317,2))))</f>
        <v>0</v>
      </c>
      <c r="M318">
        <f>IF(AW317&lt;=0,0,IF(ROUND(AW317*(1+'Calc base'!K318),2)-MAX('Calc base'!F$12,ROUND('Calc base'!F$13*AW317,2))&lt;1,ROUND(AW317*(1+'Calc base'!K318),2),MAX('Calc base'!F$12,ROUND('Calc base'!F$13*AW317,2))))</f>
        <v>0</v>
      </c>
      <c r="N318">
        <f>IF(AX317&lt;=0,0,IF(ROUND(AX317*(1+'Calc base'!L318),2)-MAX('Calc base'!G$12,ROUND('Calc base'!G$13*AX317,2))&lt;1,ROUND(AX317*(1+'Calc base'!L318),2),MAX('Calc base'!G$12,ROUND('Calc base'!G$13*AX317,2))))</f>
        <v>0</v>
      </c>
      <c r="O318">
        <f>IF(AY317&lt;=0,0,IF(ROUND(AY317*(1+'Calc base'!M318),2)-MAX('Calc base'!H$12,ROUND('Calc base'!H$13*AY317,2))&lt;1,ROUND(AY317*(1+'Calc base'!M318),2),MAX('Calc base'!H$12,ROUND('Calc base'!H$13*AY317,2))))</f>
        <v>0</v>
      </c>
      <c r="P318">
        <f>IF(AZ317&lt;=0,0,IF(ROUND(AZ317*(1+'Calc base'!N318),2)-MAX('Calc base'!I$12,ROUND('Calc base'!I$13*AZ317,2))&lt;1,ROUND(AZ317*(1+'Calc base'!N318),2),MAX('Calc base'!I$12,ROUND('Calc base'!I$13*AZ317,2))))</f>
        <v>0</v>
      </c>
      <c r="Q318">
        <f>IF(BA317&lt;=0,0,IF(ROUND(BA317*(1+'Calc base'!O318),2)-MAX('Calc base'!J$12,ROUND('Calc base'!J$13*BA317,2))&lt;1,ROUND(BA317*(1+'Calc base'!O318),2),MAX('Calc base'!J$12,ROUND('Calc base'!J$13*BA317,2))))</f>
        <v>0</v>
      </c>
      <c r="R318">
        <f>IF(BB317&lt;=0,0,IF(ROUND(BB317*(1+'Calc base'!P318),2)-MAX('Calc base'!K$12,ROUND('Calc base'!K$13*BB317,2))&lt;1,ROUND(BB317*(1+'Calc base'!P318),2),MAX('Calc base'!K$12,ROUND('Calc base'!K$13*BB317,2))))</f>
        <v>0</v>
      </c>
      <c r="S318">
        <f>IF(BC317&lt;=0,0,IF(ROUND(BC317*(1+'Calc base'!Q318),2)-MAX('Calc base'!L$12,ROUND('Calc base'!L$13*BC317,2))&lt;1,ROUND(BC317*(1+'Calc base'!Q318),2),MAX('Calc base'!L$12,ROUND('Calc base'!L$13*BC317,2))))</f>
        <v>0</v>
      </c>
      <c r="T318">
        <f>IF(BD317&lt;=0,0,IF(ROUND(BD317*(1+'Calc base'!R318),2)-MAX('Calc base'!M$12,ROUND('Calc base'!M$13*BD317,2))&lt;1,ROUND(BD317*(1+'Calc base'!R318),2),MAX('Calc base'!M$12,ROUND('Calc base'!M$13*BD317,2))))</f>
        <v>0</v>
      </c>
      <c r="U318">
        <f>IF(BE317&lt;=0,0,IF(ROUND(BE317*(1+'Calc base'!S318),2)-MAX('Calc base'!N$12,ROUND('Calc base'!N$13*BE317,2))&lt;1,ROUND(BE317*(1+'Calc base'!S318),2),MAX('Calc base'!N$12,ROUND('Calc base'!N$13*BE317,2))))</f>
        <v>0</v>
      </c>
      <c r="AT318">
        <f>MAX(0,ROUND(AT317*(1+'Calc base'!H318),2)-J318)</f>
        <v>0</v>
      </c>
      <c r="AU318">
        <f>MAX(0,ROUND(AU317*(1+'Calc base'!I318),2)-K318)</f>
        <v>0</v>
      </c>
      <c r="AV318">
        <f>MAX(0,ROUND(AV317*(1+'Calc base'!J318),2)-L318)</f>
        <v>0</v>
      </c>
      <c r="AW318">
        <f>MAX(0,ROUND(AW317*(1+'Calc base'!K318),2)-M318)</f>
        <v>0</v>
      </c>
      <c r="AX318">
        <f>MAX(0,ROUND(AX317*(1+'Calc base'!L318),2)-N318)</f>
        <v>0</v>
      </c>
      <c r="AY318">
        <f>MAX(0,ROUND(AY317*(1+'Calc base'!M318),2)-O318)</f>
        <v>0</v>
      </c>
      <c r="AZ318">
        <f>MAX(0,ROUND(AZ317*(1+'Calc base'!N318),2)-P318)</f>
        <v>0</v>
      </c>
      <c r="BA318">
        <f>MAX(0,ROUND(BA317*(1+'Calc base'!O318),2)-Q318)</f>
        <v>0</v>
      </c>
      <c r="BB318">
        <f>MAX(0,ROUND(BB317*(1+'Calc base'!P318),2)-R318)</f>
        <v>0</v>
      </c>
      <c r="BC318">
        <f>MAX(0,ROUND(BC317*(1+'Calc base'!Q318),2)-S318)</f>
        <v>0</v>
      </c>
      <c r="BD318">
        <f>MAX(0,ROUND(BD317*(1+'Calc base'!R318),2)-T318)</f>
        <v>0</v>
      </c>
      <c r="BE318">
        <f>MAX(0,ROUND(BE317*(1+'Calc base'!S318),2)-U318)</f>
        <v>0</v>
      </c>
    </row>
    <row r="319">
      <c r="A319" t="n">
        <v>289</v>
      </c>
      <c r="B319">
        <f>SUMPRODUCT(ROUND($AT318:$BE318*(1+'Calc base'!$H319:$S319),2))</f>
        <v>0</v>
      </c>
      <c r="C319">
        <f>SUM(J319:U319)</f>
        <v>0</v>
      </c>
      <c r="G319">
        <f>SUM(AT319:BE319)</f>
        <v>0</v>
      </c>
      <c r="H319">
        <f>B319-G318</f>
        <v>0</v>
      </c>
      <c r="I319">
        <f>B319-G319</f>
        <v>0</v>
      </c>
      <c r="J319">
        <f>IF(AT318&lt;=0,0,IF(ROUND(AT318*(1+'Calc base'!H319),2)-MAX('Calc base'!C$12,ROUND('Calc base'!C$13*AT318,2))&lt;1,ROUND(AT318*(1+'Calc base'!H319),2),MAX('Calc base'!C$12,ROUND('Calc base'!C$13*AT318,2))))</f>
        <v>0</v>
      </c>
      <c r="K319">
        <f>IF(AU318&lt;=0,0,IF(ROUND(AU318*(1+'Calc base'!I319),2)-MAX('Calc base'!D$12,ROUND('Calc base'!D$13*AU318,2))&lt;1,ROUND(AU318*(1+'Calc base'!I319),2),MAX('Calc base'!D$12,ROUND('Calc base'!D$13*AU318,2))))</f>
        <v>0</v>
      </c>
      <c r="L319">
        <f>IF(AV318&lt;=0,0,IF(ROUND(AV318*(1+'Calc base'!J319),2)-MAX('Calc base'!E$12,ROUND('Calc base'!E$13*AV318,2))&lt;1,ROUND(AV318*(1+'Calc base'!J319),2),MAX('Calc base'!E$12,ROUND('Calc base'!E$13*AV318,2))))</f>
        <v>0</v>
      </c>
      <c r="M319">
        <f>IF(AW318&lt;=0,0,IF(ROUND(AW318*(1+'Calc base'!K319),2)-MAX('Calc base'!F$12,ROUND('Calc base'!F$13*AW318,2))&lt;1,ROUND(AW318*(1+'Calc base'!K319),2),MAX('Calc base'!F$12,ROUND('Calc base'!F$13*AW318,2))))</f>
        <v>0</v>
      </c>
      <c r="N319">
        <f>IF(AX318&lt;=0,0,IF(ROUND(AX318*(1+'Calc base'!L319),2)-MAX('Calc base'!G$12,ROUND('Calc base'!G$13*AX318,2))&lt;1,ROUND(AX318*(1+'Calc base'!L319),2),MAX('Calc base'!G$12,ROUND('Calc base'!G$13*AX318,2))))</f>
        <v>0</v>
      </c>
      <c r="O319">
        <f>IF(AY318&lt;=0,0,IF(ROUND(AY318*(1+'Calc base'!M319),2)-MAX('Calc base'!H$12,ROUND('Calc base'!H$13*AY318,2))&lt;1,ROUND(AY318*(1+'Calc base'!M319),2),MAX('Calc base'!H$12,ROUND('Calc base'!H$13*AY318,2))))</f>
        <v>0</v>
      </c>
      <c r="P319">
        <f>IF(AZ318&lt;=0,0,IF(ROUND(AZ318*(1+'Calc base'!N319),2)-MAX('Calc base'!I$12,ROUND('Calc base'!I$13*AZ318,2))&lt;1,ROUND(AZ318*(1+'Calc base'!N319),2),MAX('Calc base'!I$12,ROUND('Calc base'!I$13*AZ318,2))))</f>
        <v>0</v>
      </c>
      <c r="Q319">
        <f>IF(BA318&lt;=0,0,IF(ROUND(BA318*(1+'Calc base'!O319),2)-MAX('Calc base'!J$12,ROUND('Calc base'!J$13*BA318,2))&lt;1,ROUND(BA318*(1+'Calc base'!O319),2),MAX('Calc base'!J$12,ROUND('Calc base'!J$13*BA318,2))))</f>
        <v>0</v>
      </c>
      <c r="R319">
        <f>IF(BB318&lt;=0,0,IF(ROUND(BB318*(1+'Calc base'!P319),2)-MAX('Calc base'!K$12,ROUND('Calc base'!K$13*BB318,2))&lt;1,ROUND(BB318*(1+'Calc base'!P319),2),MAX('Calc base'!K$12,ROUND('Calc base'!K$13*BB318,2))))</f>
        <v>0</v>
      </c>
      <c r="S319">
        <f>IF(BC318&lt;=0,0,IF(ROUND(BC318*(1+'Calc base'!Q319),2)-MAX('Calc base'!L$12,ROUND('Calc base'!L$13*BC318,2))&lt;1,ROUND(BC318*(1+'Calc base'!Q319),2),MAX('Calc base'!L$12,ROUND('Calc base'!L$13*BC318,2))))</f>
        <v>0</v>
      </c>
      <c r="T319">
        <f>IF(BD318&lt;=0,0,IF(ROUND(BD318*(1+'Calc base'!R319),2)-MAX('Calc base'!M$12,ROUND('Calc base'!M$13*BD318,2))&lt;1,ROUND(BD318*(1+'Calc base'!R319),2),MAX('Calc base'!M$12,ROUND('Calc base'!M$13*BD318,2))))</f>
        <v>0</v>
      </c>
      <c r="U319">
        <f>IF(BE318&lt;=0,0,IF(ROUND(BE318*(1+'Calc base'!S319),2)-MAX('Calc base'!N$12,ROUND('Calc base'!N$13*BE318,2))&lt;1,ROUND(BE318*(1+'Calc base'!S319),2),MAX('Calc base'!N$12,ROUND('Calc base'!N$13*BE318,2))))</f>
        <v>0</v>
      </c>
      <c r="AT319">
        <f>MAX(0,ROUND(AT318*(1+'Calc base'!H319),2)-J319)</f>
        <v>0</v>
      </c>
      <c r="AU319">
        <f>MAX(0,ROUND(AU318*(1+'Calc base'!I319),2)-K319)</f>
        <v>0</v>
      </c>
      <c r="AV319">
        <f>MAX(0,ROUND(AV318*(1+'Calc base'!J319),2)-L319)</f>
        <v>0</v>
      </c>
      <c r="AW319">
        <f>MAX(0,ROUND(AW318*(1+'Calc base'!K319),2)-M319)</f>
        <v>0</v>
      </c>
      <c r="AX319">
        <f>MAX(0,ROUND(AX318*(1+'Calc base'!L319),2)-N319)</f>
        <v>0</v>
      </c>
      <c r="AY319">
        <f>MAX(0,ROUND(AY318*(1+'Calc base'!M319),2)-O319)</f>
        <v>0</v>
      </c>
      <c r="AZ319">
        <f>MAX(0,ROUND(AZ318*(1+'Calc base'!N319),2)-P319)</f>
        <v>0</v>
      </c>
      <c r="BA319">
        <f>MAX(0,ROUND(BA318*(1+'Calc base'!O319),2)-Q319)</f>
        <v>0</v>
      </c>
      <c r="BB319">
        <f>MAX(0,ROUND(BB318*(1+'Calc base'!P319),2)-R319)</f>
        <v>0</v>
      </c>
      <c r="BC319">
        <f>MAX(0,ROUND(BC318*(1+'Calc base'!Q319),2)-S319)</f>
        <v>0</v>
      </c>
      <c r="BD319">
        <f>MAX(0,ROUND(BD318*(1+'Calc base'!R319),2)-T319)</f>
        <v>0</v>
      </c>
      <c r="BE319">
        <f>MAX(0,ROUND(BE318*(1+'Calc base'!S319),2)-U319)</f>
        <v>0</v>
      </c>
    </row>
    <row r="320">
      <c r="A320" t="n">
        <v>290</v>
      </c>
      <c r="B320">
        <f>SUMPRODUCT(ROUND($AT319:$BE319*(1+'Calc base'!$H320:$S320),2))</f>
        <v>0</v>
      </c>
      <c r="C320">
        <f>SUM(J320:U320)</f>
        <v>0</v>
      </c>
      <c r="G320">
        <f>SUM(AT320:BE320)</f>
        <v>0</v>
      </c>
      <c r="H320">
        <f>B320-G319</f>
        <v>0</v>
      </c>
      <c r="I320">
        <f>B320-G320</f>
        <v>0</v>
      </c>
      <c r="J320">
        <f>IF(AT319&lt;=0,0,IF(ROUND(AT319*(1+'Calc base'!H320),2)-MAX('Calc base'!C$12,ROUND('Calc base'!C$13*AT319,2))&lt;1,ROUND(AT319*(1+'Calc base'!H320),2),MAX('Calc base'!C$12,ROUND('Calc base'!C$13*AT319,2))))</f>
        <v>0</v>
      </c>
      <c r="K320">
        <f>IF(AU319&lt;=0,0,IF(ROUND(AU319*(1+'Calc base'!I320),2)-MAX('Calc base'!D$12,ROUND('Calc base'!D$13*AU319,2))&lt;1,ROUND(AU319*(1+'Calc base'!I320),2),MAX('Calc base'!D$12,ROUND('Calc base'!D$13*AU319,2))))</f>
        <v>0</v>
      </c>
      <c r="L320">
        <f>IF(AV319&lt;=0,0,IF(ROUND(AV319*(1+'Calc base'!J320),2)-MAX('Calc base'!E$12,ROUND('Calc base'!E$13*AV319,2))&lt;1,ROUND(AV319*(1+'Calc base'!J320),2),MAX('Calc base'!E$12,ROUND('Calc base'!E$13*AV319,2))))</f>
        <v>0</v>
      </c>
      <c r="M320">
        <f>IF(AW319&lt;=0,0,IF(ROUND(AW319*(1+'Calc base'!K320),2)-MAX('Calc base'!F$12,ROUND('Calc base'!F$13*AW319,2))&lt;1,ROUND(AW319*(1+'Calc base'!K320),2),MAX('Calc base'!F$12,ROUND('Calc base'!F$13*AW319,2))))</f>
        <v>0</v>
      </c>
      <c r="N320">
        <f>IF(AX319&lt;=0,0,IF(ROUND(AX319*(1+'Calc base'!L320),2)-MAX('Calc base'!G$12,ROUND('Calc base'!G$13*AX319,2))&lt;1,ROUND(AX319*(1+'Calc base'!L320),2),MAX('Calc base'!G$12,ROUND('Calc base'!G$13*AX319,2))))</f>
        <v>0</v>
      </c>
      <c r="O320">
        <f>IF(AY319&lt;=0,0,IF(ROUND(AY319*(1+'Calc base'!M320),2)-MAX('Calc base'!H$12,ROUND('Calc base'!H$13*AY319,2))&lt;1,ROUND(AY319*(1+'Calc base'!M320),2),MAX('Calc base'!H$12,ROUND('Calc base'!H$13*AY319,2))))</f>
        <v>0</v>
      </c>
      <c r="P320">
        <f>IF(AZ319&lt;=0,0,IF(ROUND(AZ319*(1+'Calc base'!N320),2)-MAX('Calc base'!I$12,ROUND('Calc base'!I$13*AZ319,2))&lt;1,ROUND(AZ319*(1+'Calc base'!N320),2),MAX('Calc base'!I$12,ROUND('Calc base'!I$13*AZ319,2))))</f>
        <v>0</v>
      </c>
      <c r="Q320">
        <f>IF(BA319&lt;=0,0,IF(ROUND(BA319*(1+'Calc base'!O320),2)-MAX('Calc base'!J$12,ROUND('Calc base'!J$13*BA319,2))&lt;1,ROUND(BA319*(1+'Calc base'!O320),2),MAX('Calc base'!J$12,ROUND('Calc base'!J$13*BA319,2))))</f>
        <v>0</v>
      </c>
      <c r="R320">
        <f>IF(BB319&lt;=0,0,IF(ROUND(BB319*(1+'Calc base'!P320),2)-MAX('Calc base'!K$12,ROUND('Calc base'!K$13*BB319,2))&lt;1,ROUND(BB319*(1+'Calc base'!P320),2),MAX('Calc base'!K$12,ROUND('Calc base'!K$13*BB319,2))))</f>
        <v>0</v>
      </c>
      <c r="S320">
        <f>IF(BC319&lt;=0,0,IF(ROUND(BC319*(1+'Calc base'!Q320),2)-MAX('Calc base'!L$12,ROUND('Calc base'!L$13*BC319,2))&lt;1,ROUND(BC319*(1+'Calc base'!Q320),2),MAX('Calc base'!L$12,ROUND('Calc base'!L$13*BC319,2))))</f>
        <v>0</v>
      </c>
      <c r="T320">
        <f>IF(BD319&lt;=0,0,IF(ROUND(BD319*(1+'Calc base'!R320),2)-MAX('Calc base'!M$12,ROUND('Calc base'!M$13*BD319,2))&lt;1,ROUND(BD319*(1+'Calc base'!R320),2),MAX('Calc base'!M$12,ROUND('Calc base'!M$13*BD319,2))))</f>
        <v>0</v>
      </c>
      <c r="U320">
        <f>IF(BE319&lt;=0,0,IF(ROUND(BE319*(1+'Calc base'!S320),2)-MAX('Calc base'!N$12,ROUND('Calc base'!N$13*BE319,2))&lt;1,ROUND(BE319*(1+'Calc base'!S320),2),MAX('Calc base'!N$12,ROUND('Calc base'!N$13*BE319,2))))</f>
        <v>0</v>
      </c>
      <c r="AT320">
        <f>MAX(0,ROUND(AT319*(1+'Calc base'!H320),2)-J320)</f>
        <v>0</v>
      </c>
      <c r="AU320">
        <f>MAX(0,ROUND(AU319*(1+'Calc base'!I320),2)-K320)</f>
        <v>0</v>
      </c>
      <c r="AV320">
        <f>MAX(0,ROUND(AV319*(1+'Calc base'!J320),2)-L320)</f>
        <v>0</v>
      </c>
      <c r="AW320">
        <f>MAX(0,ROUND(AW319*(1+'Calc base'!K320),2)-M320)</f>
        <v>0</v>
      </c>
      <c r="AX320">
        <f>MAX(0,ROUND(AX319*(1+'Calc base'!L320),2)-N320)</f>
        <v>0</v>
      </c>
      <c r="AY320">
        <f>MAX(0,ROUND(AY319*(1+'Calc base'!M320),2)-O320)</f>
        <v>0</v>
      </c>
      <c r="AZ320">
        <f>MAX(0,ROUND(AZ319*(1+'Calc base'!N320),2)-P320)</f>
        <v>0</v>
      </c>
      <c r="BA320">
        <f>MAX(0,ROUND(BA319*(1+'Calc base'!O320),2)-Q320)</f>
        <v>0</v>
      </c>
      <c r="BB320">
        <f>MAX(0,ROUND(BB319*(1+'Calc base'!P320),2)-R320)</f>
        <v>0</v>
      </c>
      <c r="BC320">
        <f>MAX(0,ROUND(BC319*(1+'Calc base'!Q320),2)-S320)</f>
        <v>0</v>
      </c>
      <c r="BD320">
        <f>MAX(0,ROUND(BD319*(1+'Calc base'!R320),2)-T320)</f>
        <v>0</v>
      </c>
      <c r="BE320">
        <f>MAX(0,ROUND(BE319*(1+'Calc base'!S320),2)-U320)</f>
        <v>0</v>
      </c>
    </row>
    <row r="321">
      <c r="A321" t="n">
        <v>291</v>
      </c>
      <c r="B321">
        <f>SUMPRODUCT(ROUND($AT320:$BE320*(1+'Calc base'!$H321:$S321),2))</f>
        <v>0</v>
      </c>
      <c r="C321">
        <f>SUM(J321:U321)</f>
        <v>0</v>
      </c>
      <c r="G321">
        <f>SUM(AT321:BE321)</f>
        <v>0</v>
      </c>
      <c r="H321">
        <f>B321-G320</f>
        <v>0</v>
      </c>
      <c r="I321">
        <f>B321-G321</f>
        <v>0</v>
      </c>
      <c r="J321">
        <f>IF(AT320&lt;=0,0,IF(ROUND(AT320*(1+'Calc base'!H321),2)-MAX('Calc base'!C$12,ROUND('Calc base'!C$13*AT320,2))&lt;1,ROUND(AT320*(1+'Calc base'!H321),2),MAX('Calc base'!C$12,ROUND('Calc base'!C$13*AT320,2))))</f>
        <v>0</v>
      </c>
      <c r="K321">
        <f>IF(AU320&lt;=0,0,IF(ROUND(AU320*(1+'Calc base'!I321),2)-MAX('Calc base'!D$12,ROUND('Calc base'!D$13*AU320,2))&lt;1,ROUND(AU320*(1+'Calc base'!I321),2),MAX('Calc base'!D$12,ROUND('Calc base'!D$13*AU320,2))))</f>
        <v>0</v>
      </c>
      <c r="L321">
        <f>IF(AV320&lt;=0,0,IF(ROUND(AV320*(1+'Calc base'!J321),2)-MAX('Calc base'!E$12,ROUND('Calc base'!E$13*AV320,2))&lt;1,ROUND(AV320*(1+'Calc base'!J321),2),MAX('Calc base'!E$12,ROUND('Calc base'!E$13*AV320,2))))</f>
        <v>0</v>
      </c>
      <c r="M321">
        <f>IF(AW320&lt;=0,0,IF(ROUND(AW320*(1+'Calc base'!K321),2)-MAX('Calc base'!F$12,ROUND('Calc base'!F$13*AW320,2))&lt;1,ROUND(AW320*(1+'Calc base'!K321),2),MAX('Calc base'!F$12,ROUND('Calc base'!F$13*AW320,2))))</f>
        <v>0</v>
      </c>
      <c r="N321">
        <f>IF(AX320&lt;=0,0,IF(ROUND(AX320*(1+'Calc base'!L321),2)-MAX('Calc base'!G$12,ROUND('Calc base'!G$13*AX320,2))&lt;1,ROUND(AX320*(1+'Calc base'!L321),2),MAX('Calc base'!G$12,ROUND('Calc base'!G$13*AX320,2))))</f>
        <v>0</v>
      </c>
      <c r="O321">
        <f>IF(AY320&lt;=0,0,IF(ROUND(AY320*(1+'Calc base'!M321),2)-MAX('Calc base'!H$12,ROUND('Calc base'!H$13*AY320,2))&lt;1,ROUND(AY320*(1+'Calc base'!M321),2),MAX('Calc base'!H$12,ROUND('Calc base'!H$13*AY320,2))))</f>
        <v>0</v>
      </c>
      <c r="P321">
        <f>IF(AZ320&lt;=0,0,IF(ROUND(AZ320*(1+'Calc base'!N321),2)-MAX('Calc base'!I$12,ROUND('Calc base'!I$13*AZ320,2))&lt;1,ROUND(AZ320*(1+'Calc base'!N321),2),MAX('Calc base'!I$12,ROUND('Calc base'!I$13*AZ320,2))))</f>
        <v>0</v>
      </c>
      <c r="Q321">
        <f>IF(BA320&lt;=0,0,IF(ROUND(BA320*(1+'Calc base'!O321),2)-MAX('Calc base'!J$12,ROUND('Calc base'!J$13*BA320,2))&lt;1,ROUND(BA320*(1+'Calc base'!O321),2),MAX('Calc base'!J$12,ROUND('Calc base'!J$13*BA320,2))))</f>
        <v>0</v>
      </c>
      <c r="R321">
        <f>IF(BB320&lt;=0,0,IF(ROUND(BB320*(1+'Calc base'!P321),2)-MAX('Calc base'!K$12,ROUND('Calc base'!K$13*BB320,2))&lt;1,ROUND(BB320*(1+'Calc base'!P321),2),MAX('Calc base'!K$12,ROUND('Calc base'!K$13*BB320,2))))</f>
        <v>0</v>
      </c>
      <c r="S321">
        <f>IF(BC320&lt;=0,0,IF(ROUND(BC320*(1+'Calc base'!Q321),2)-MAX('Calc base'!L$12,ROUND('Calc base'!L$13*BC320,2))&lt;1,ROUND(BC320*(1+'Calc base'!Q321),2),MAX('Calc base'!L$12,ROUND('Calc base'!L$13*BC320,2))))</f>
        <v>0</v>
      </c>
      <c r="T321">
        <f>IF(BD320&lt;=0,0,IF(ROUND(BD320*(1+'Calc base'!R321),2)-MAX('Calc base'!M$12,ROUND('Calc base'!M$13*BD320,2))&lt;1,ROUND(BD320*(1+'Calc base'!R321),2),MAX('Calc base'!M$12,ROUND('Calc base'!M$13*BD320,2))))</f>
        <v>0</v>
      </c>
      <c r="U321">
        <f>IF(BE320&lt;=0,0,IF(ROUND(BE320*(1+'Calc base'!S321),2)-MAX('Calc base'!N$12,ROUND('Calc base'!N$13*BE320,2))&lt;1,ROUND(BE320*(1+'Calc base'!S321),2),MAX('Calc base'!N$12,ROUND('Calc base'!N$13*BE320,2))))</f>
        <v>0</v>
      </c>
      <c r="AT321">
        <f>MAX(0,ROUND(AT320*(1+'Calc base'!H321),2)-J321)</f>
        <v>0</v>
      </c>
      <c r="AU321">
        <f>MAX(0,ROUND(AU320*(1+'Calc base'!I321),2)-K321)</f>
        <v>0</v>
      </c>
      <c r="AV321">
        <f>MAX(0,ROUND(AV320*(1+'Calc base'!J321),2)-L321)</f>
        <v>0</v>
      </c>
      <c r="AW321">
        <f>MAX(0,ROUND(AW320*(1+'Calc base'!K321),2)-M321)</f>
        <v>0</v>
      </c>
      <c r="AX321">
        <f>MAX(0,ROUND(AX320*(1+'Calc base'!L321),2)-N321)</f>
        <v>0</v>
      </c>
      <c r="AY321">
        <f>MAX(0,ROUND(AY320*(1+'Calc base'!M321),2)-O321)</f>
        <v>0</v>
      </c>
      <c r="AZ321">
        <f>MAX(0,ROUND(AZ320*(1+'Calc base'!N321),2)-P321)</f>
        <v>0</v>
      </c>
      <c r="BA321">
        <f>MAX(0,ROUND(BA320*(1+'Calc base'!O321),2)-Q321)</f>
        <v>0</v>
      </c>
      <c r="BB321">
        <f>MAX(0,ROUND(BB320*(1+'Calc base'!P321),2)-R321)</f>
        <v>0</v>
      </c>
      <c r="BC321">
        <f>MAX(0,ROUND(BC320*(1+'Calc base'!Q321),2)-S321)</f>
        <v>0</v>
      </c>
      <c r="BD321">
        <f>MAX(0,ROUND(BD320*(1+'Calc base'!R321),2)-T321)</f>
        <v>0</v>
      </c>
      <c r="BE321">
        <f>MAX(0,ROUND(BE320*(1+'Calc base'!S321),2)-U321)</f>
        <v>0</v>
      </c>
    </row>
    <row r="322">
      <c r="A322" t="n">
        <v>292</v>
      </c>
      <c r="B322">
        <f>SUMPRODUCT(ROUND($AT321:$BE321*(1+'Calc base'!$H322:$S322),2))</f>
        <v>0</v>
      </c>
      <c r="C322">
        <f>SUM(J322:U322)</f>
        <v>0</v>
      </c>
      <c r="G322">
        <f>SUM(AT322:BE322)</f>
        <v>0</v>
      </c>
      <c r="H322">
        <f>B322-G321</f>
        <v>0</v>
      </c>
      <c r="I322">
        <f>B322-G322</f>
        <v>0</v>
      </c>
      <c r="J322">
        <f>IF(AT321&lt;=0,0,IF(ROUND(AT321*(1+'Calc base'!H322),2)-MAX('Calc base'!C$12,ROUND('Calc base'!C$13*AT321,2))&lt;1,ROUND(AT321*(1+'Calc base'!H322),2),MAX('Calc base'!C$12,ROUND('Calc base'!C$13*AT321,2))))</f>
        <v>0</v>
      </c>
      <c r="K322">
        <f>IF(AU321&lt;=0,0,IF(ROUND(AU321*(1+'Calc base'!I322),2)-MAX('Calc base'!D$12,ROUND('Calc base'!D$13*AU321,2))&lt;1,ROUND(AU321*(1+'Calc base'!I322),2),MAX('Calc base'!D$12,ROUND('Calc base'!D$13*AU321,2))))</f>
        <v>0</v>
      </c>
      <c r="L322">
        <f>IF(AV321&lt;=0,0,IF(ROUND(AV321*(1+'Calc base'!J322),2)-MAX('Calc base'!E$12,ROUND('Calc base'!E$13*AV321,2))&lt;1,ROUND(AV321*(1+'Calc base'!J322),2),MAX('Calc base'!E$12,ROUND('Calc base'!E$13*AV321,2))))</f>
        <v>0</v>
      </c>
      <c r="M322">
        <f>IF(AW321&lt;=0,0,IF(ROUND(AW321*(1+'Calc base'!K322),2)-MAX('Calc base'!F$12,ROUND('Calc base'!F$13*AW321,2))&lt;1,ROUND(AW321*(1+'Calc base'!K322),2),MAX('Calc base'!F$12,ROUND('Calc base'!F$13*AW321,2))))</f>
        <v>0</v>
      </c>
      <c r="N322">
        <f>IF(AX321&lt;=0,0,IF(ROUND(AX321*(1+'Calc base'!L322),2)-MAX('Calc base'!G$12,ROUND('Calc base'!G$13*AX321,2))&lt;1,ROUND(AX321*(1+'Calc base'!L322),2),MAX('Calc base'!G$12,ROUND('Calc base'!G$13*AX321,2))))</f>
        <v>0</v>
      </c>
      <c r="O322">
        <f>IF(AY321&lt;=0,0,IF(ROUND(AY321*(1+'Calc base'!M322),2)-MAX('Calc base'!H$12,ROUND('Calc base'!H$13*AY321,2))&lt;1,ROUND(AY321*(1+'Calc base'!M322),2),MAX('Calc base'!H$12,ROUND('Calc base'!H$13*AY321,2))))</f>
        <v>0</v>
      </c>
      <c r="P322">
        <f>IF(AZ321&lt;=0,0,IF(ROUND(AZ321*(1+'Calc base'!N322),2)-MAX('Calc base'!I$12,ROUND('Calc base'!I$13*AZ321,2))&lt;1,ROUND(AZ321*(1+'Calc base'!N322),2),MAX('Calc base'!I$12,ROUND('Calc base'!I$13*AZ321,2))))</f>
        <v>0</v>
      </c>
      <c r="Q322">
        <f>IF(BA321&lt;=0,0,IF(ROUND(BA321*(1+'Calc base'!O322),2)-MAX('Calc base'!J$12,ROUND('Calc base'!J$13*BA321,2))&lt;1,ROUND(BA321*(1+'Calc base'!O322),2),MAX('Calc base'!J$12,ROUND('Calc base'!J$13*BA321,2))))</f>
        <v>0</v>
      </c>
      <c r="R322">
        <f>IF(BB321&lt;=0,0,IF(ROUND(BB321*(1+'Calc base'!P322),2)-MAX('Calc base'!K$12,ROUND('Calc base'!K$13*BB321,2))&lt;1,ROUND(BB321*(1+'Calc base'!P322),2),MAX('Calc base'!K$12,ROUND('Calc base'!K$13*BB321,2))))</f>
        <v>0</v>
      </c>
      <c r="S322">
        <f>IF(BC321&lt;=0,0,IF(ROUND(BC321*(1+'Calc base'!Q322),2)-MAX('Calc base'!L$12,ROUND('Calc base'!L$13*BC321,2))&lt;1,ROUND(BC321*(1+'Calc base'!Q322),2),MAX('Calc base'!L$12,ROUND('Calc base'!L$13*BC321,2))))</f>
        <v>0</v>
      </c>
      <c r="T322">
        <f>IF(BD321&lt;=0,0,IF(ROUND(BD321*(1+'Calc base'!R322),2)-MAX('Calc base'!M$12,ROUND('Calc base'!M$13*BD321,2))&lt;1,ROUND(BD321*(1+'Calc base'!R322),2),MAX('Calc base'!M$12,ROUND('Calc base'!M$13*BD321,2))))</f>
        <v>0</v>
      </c>
      <c r="U322">
        <f>IF(BE321&lt;=0,0,IF(ROUND(BE321*(1+'Calc base'!S322),2)-MAX('Calc base'!N$12,ROUND('Calc base'!N$13*BE321,2))&lt;1,ROUND(BE321*(1+'Calc base'!S322),2),MAX('Calc base'!N$12,ROUND('Calc base'!N$13*BE321,2))))</f>
        <v>0</v>
      </c>
      <c r="AT322">
        <f>MAX(0,ROUND(AT321*(1+'Calc base'!H322),2)-J322)</f>
        <v>0</v>
      </c>
      <c r="AU322">
        <f>MAX(0,ROUND(AU321*(1+'Calc base'!I322),2)-K322)</f>
        <v>0</v>
      </c>
      <c r="AV322">
        <f>MAX(0,ROUND(AV321*(1+'Calc base'!J322),2)-L322)</f>
        <v>0</v>
      </c>
      <c r="AW322">
        <f>MAX(0,ROUND(AW321*(1+'Calc base'!K322),2)-M322)</f>
        <v>0</v>
      </c>
      <c r="AX322">
        <f>MAX(0,ROUND(AX321*(1+'Calc base'!L322),2)-N322)</f>
        <v>0</v>
      </c>
      <c r="AY322">
        <f>MAX(0,ROUND(AY321*(1+'Calc base'!M322),2)-O322)</f>
        <v>0</v>
      </c>
      <c r="AZ322">
        <f>MAX(0,ROUND(AZ321*(1+'Calc base'!N322),2)-P322)</f>
        <v>0</v>
      </c>
      <c r="BA322">
        <f>MAX(0,ROUND(BA321*(1+'Calc base'!O322),2)-Q322)</f>
        <v>0</v>
      </c>
      <c r="BB322">
        <f>MAX(0,ROUND(BB321*(1+'Calc base'!P322),2)-R322)</f>
        <v>0</v>
      </c>
      <c r="BC322">
        <f>MAX(0,ROUND(BC321*(1+'Calc base'!Q322),2)-S322)</f>
        <v>0</v>
      </c>
      <c r="BD322">
        <f>MAX(0,ROUND(BD321*(1+'Calc base'!R322),2)-T322)</f>
        <v>0</v>
      </c>
      <c r="BE322">
        <f>MAX(0,ROUND(BE321*(1+'Calc base'!S322),2)-U322)</f>
        <v>0</v>
      </c>
    </row>
    <row r="323">
      <c r="A323" t="n">
        <v>293</v>
      </c>
      <c r="B323">
        <f>SUMPRODUCT(ROUND($AT322:$BE322*(1+'Calc base'!$H323:$S323),2))</f>
        <v>0</v>
      </c>
      <c r="C323">
        <f>SUM(J323:U323)</f>
        <v>0</v>
      </c>
      <c r="G323">
        <f>SUM(AT323:BE323)</f>
        <v>0</v>
      </c>
      <c r="H323">
        <f>B323-G322</f>
        <v>0</v>
      </c>
      <c r="I323">
        <f>B323-G323</f>
        <v>0</v>
      </c>
      <c r="J323">
        <f>IF(AT322&lt;=0,0,IF(ROUND(AT322*(1+'Calc base'!H323),2)-MAX('Calc base'!C$12,ROUND('Calc base'!C$13*AT322,2))&lt;1,ROUND(AT322*(1+'Calc base'!H323),2),MAX('Calc base'!C$12,ROUND('Calc base'!C$13*AT322,2))))</f>
        <v>0</v>
      </c>
      <c r="K323">
        <f>IF(AU322&lt;=0,0,IF(ROUND(AU322*(1+'Calc base'!I323),2)-MAX('Calc base'!D$12,ROUND('Calc base'!D$13*AU322,2))&lt;1,ROUND(AU322*(1+'Calc base'!I323),2),MAX('Calc base'!D$12,ROUND('Calc base'!D$13*AU322,2))))</f>
        <v>0</v>
      </c>
      <c r="L323">
        <f>IF(AV322&lt;=0,0,IF(ROUND(AV322*(1+'Calc base'!J323),2)-MAX('Calc base'!E$12,ROUND('Calc base'!E$13*AV322,2))&lt;1,ROUND(AV322*(1+'Calc base'!J323),2),MAX('Calc base'!E$12,ROUND('Calc base'!E$13*AV322,2))))</f>
        <v>0</v>
      </c>
      <c r="M323">
        <f>IF(AW322&lt;=0,0,IF(ROUND(AW322*(1+'Calc base'!K323),2)-MAX('Calc base'!F$12,ROUND('Calc base'!F$13*AW322,2))&lt;1,ROUND(AW322*(1+'Calc base'!K323),2),MAX('Calc base'!F$12,ROUND('Calc base'!F$13*AW322,2))))</f>
        <v>0</v>
      </c>
      <c r="N323">
        <f>IF(AX322&lt;=0,0,IF(ROUND(AX322*(1+'Calc base'!L323),2)-MAX('Calc base'!G$12,ROUND('Calc base'!G$13*AX322,2))&lt;1,ROUND(AX322*(1+'Calc base'!L323),2),MAX('Calc base'!G$12,ROUND('Calc base'!G$13*AX322,2))))</f>
        <v>0</v>
      </c>
      <c r="O323">
        <f>IF(AY322&lt;=0,0,IF(ROUND(AY322*(1+'Calc base'!M323),2)-MAX('Calc base'!H$12,ROUND('Calc base'!H$13*AY322,2))&lt;1,ROUND(AY322*(1+'Calc base'!M323),2),MAX('Calc base'!H$12,ROUND('Calc base'!H$13*AY322,2))))</f>
        <v>0</v>
      </c>
      <c r="P323">
        <f>IF(AZ322&lt;=0,0,IF(ROUND(AZ322*(1+'Calc base'!N323),2)-MAX('Calc base'!I$12,ROUND('Calc base'!I$13*AZ322,2))&lt;1,ROUND(AZ322*(1+'Calc base'!N323),2),MAX('Calc base'!I$12,ROUND('Calc base'!I$13*AZ322,2))))</f>
        <v>0</v>
      </c>
      <c r="Q323">
        <f>IF(BA322&lt;=0,0,IF(ROUND(BA322*(1+'Calc base'!O323),2)-MAX('Calc base'!J$12,ROUND('Calc base'!J$13*BA322,2))&lt;1,ROUND(BA322*(1+'Calc base'!O323),2),MAX('Calc base'!J$12,ROUND('Calc base'!J$13*BA322,2))))</f>
        <v>0</v>
      </c>
      <c r="R323">
        <f>IF(BB322&lt;=0,0,IF(ROUND(BB322*(1+'Calc base'!P323),2)-MAX('Calc base'!K$12,ROUND('Calc base'!K$13*BB322,2))&lt;1,ROUND(BB322*(1+'Calc base'!P323),2),MAX('Calc base'!K$12,ROUND('Calc base'!K$13*BB322,2))))</f>
        <v>0</v>
      </c>
      <c r="S323">
        <f>IF(BC322&lt;=0,0,IF(ROUND(BC322*(1+'Calc base'!Q323),2)-MAX('Calc base'!L$12,ROUND('Calc base'!L$13*BC322,2))&lt;1,ROUND(BC322*(1+'Calc base'!Q323),2),MAX('Calc base'!L$12,ROUND('Calc base'!L$13*BC322,2))))</f>
        <v>0</v>
      </c>
      <c r="T323">
        <f>IF(BD322&lt;=0,0,IF(ROUND(BD322*(1+'Calc base'!R323),2)-MAX('Calc base'!M$12,ROUND('Calc base'!M$13*BD322,2))&lt;1,ROUND(BD322*(1+'Calc base'!R323),2),MAX('Calc base'!M$12,ROUND('Calc base'!M$13*BD322,2))))</f>
        <v>0</v>
      </c>
      <c r="U323">
        <f>IF(BE322&lt;=0,0,IF(ROUND(BE322*(1+'Calc base'!S323),2)-MAX('Calc base'!N$12,ROUND('Calc base'!N$13*BE322,2))&lt;1,ROUND(BE322*(1+'Calc base'!S323),2),MAX('Calc base'!N$12,ROUND('Calc base'!N$13*BE322,2))))</f>
        <v>0</v>
      </c>
      <c r="AT323">
        <f>MAX(0,ROUND(AT322*(1+'Calc base'!H323),2)-J323)</f>
        <v>0</v>
      </c>
      <c r="AU323">
        <f>MAX(0,ROUND(AU322*(1+'Calc base'!I323),2)-K323)</f>
        <v>0</v>
      </c>
      <c r="AV323">
        <f>MAX(0,ROUND(AV322*(1+'Calc base'!J323),2)-L323)</f>
        <v>0</v>
      </c>
      <c r="AW323">
        <f>MAX(0,ROUND(AW322*(1+'Calc base'!K323),2)-M323)</f>
        <v>0</v>
      </c>
      <c r="AX323">
        <f>MAX(0,ROUND(AX322*(1+'Calc base'!L323),2)-N323)</f>
        <v>0</v>
      </c>
      <c r="AY323">
        <f>MAX(0,ROUND(AY322*(1+'Calc base'!M323),2)-O323)</f>
        <v>0</v>
      </c>
      <c r="AZ323">
        <f>MAX(0,ROUND(AZ322*(1+'Calc base'!N323),2)-P323)</f>
        <v>0</v>
      </c>
      <c r="BA323">
        <f>MAX(0,ROUND(BA322*(1+'Calc base'!O323),2)-Q323)</f>
        <v>0</v>
      </c>
      <c r="BB323">
        <f>MAX(0,ROUND(BB322*(1+'Calc base'!P323),2)-R323)</f>
        <v>0</v>
      </c>
      <c r="BC323">
        <f>MAX(0,ROUND(BC322*(1+'Calc base'!Q323),2)-S323)</f>
        <v>0</v>
      </c>
      <c r="BD323">
        <f>MAX(0,ROUND(BD322*(1+'Calc base'!R323),2)-T323)</f>
        <v>0</v>
      </c>
      <c r="BE323">
        <f>MAX(0,ROUND(BE322*(1+'Calc base'!S323),2)-U323)</f>
        <v>0</v>
      </c>
    </row>
    <row r="324">
      <c r="A324" t="n">
        <v>294</v>
      </c>
      <c r="B324">
        <f>SUMPRODUCT(ROUND($AT323:$BE323*(1+'Calc base'!$H324:$S324),2))</f>
        <v>0</v>
      </c>
      <c r="C324">
        <f>SUM(J324:U324)</f>
        <v>0</v>
      </c>
      <c r="G324">
        <f>SUM(AT324:BE324)</f>
        <v>0</v>
      </c>
      <c r="H324">
        <f>B324-G323</f>
        <v>0</v>
      </c>
      <c r="I324">
        <f>B324-G324</f>
        <v>0</v>
      </c>
      <c r="J324">
        <f>IF(AT323&lt;=0,0,IF(ROUND(AT323*(1+'Calc base'!H324),2)-MAX('Calc base'!C$12,ROUND('Calc base'!C$13*AT323,2))&lt;1,ROUND(AT323*(1+'Calc base'!H324),2),MAX('Calc base'!C$12,ROUND('Calc base'!C$13*AT323,2))))</f>
        <v>0</v>
      </c>
      <c r="K324">
        <f>IF(AU323&lt;=0,0,IF(ROUND(AU323*(1+'Calc base'!I324),2)-MAX('Calc base'!D$12,ROUND('Calc base'!D$13*AU323,2))&lt;1,ROUND(AU323*(1+'Calc base'!I324),2),MAX('Calc base'!D$12,ROUND('Calc base'!D$13*AU323,2))))</f>
        <v>0</v>
      </c>
      <c r="L324">
        <f>IF(AV323&lt;=0,0,IF(ROUND(AV323*(1+'Calc base'!J324),2)-MAX('Calc base'!E$12,ROUND('Calc base'!E$13*AV323,2))&lt;1,ROUND(AV323*(1+'Calc base'!J324),2),MAX('Calc base'!E$12,ROUND('Calc base'!E$13*AV323,2))))</f>
        <v>0</v>
      </c>
      <c r="M324">
        <f>IF(AW323&lt;=0,0,IF(ROUND(AW323*(1+'Calc base'!K324),2)-MAX('Calc base'!F$12,ROUND('Calc base'!F$13*AW323,2))&lt;1,ROUND(AW323*(1+'Calc base'!K324),2),MAX('Calc base'!F$12,ROUND('Calc base'!F$13*AW323,2))))</f>
        <v>0</v>
      </c>
      <c r="N324">
        <f>IF(AX323&lt;=0,0,IF(ROUND(AX323*(1+'Calc base'!L324),2)-MAX('Calc base'!G$12,ROUND('Calc base'!G$13*AX323,2))&lt;1,ROUND(AX323*(1+'Calc base'!L324),2),MAX('Calc base'!G$12,ROUND('Calc base'!G$13*AX323,2))))</f>
        <v>0</v>
      </c>
      <c r="O324">
        <f>IF(AY323&lt;=0,0,IF(ROUND(AY323*(1+'Calc base'!M324),2)-MAX('Calc base'!H$12,ROUND('Calc base'!H$13*AY323,2))&lt;1,ROUND(AY323*(1+'Calc base'!M324),2),MAX('Calc base'!H$12,ROUND('Calc base'!H$13*AY323,2))))</f>
        <v>0</v>
      </c>
      <c r="P324">
        <f>IF(AZ323&lt;=0,0,IF(ROUND(AZ323*(1+'Calc base'!N324),2)-MAX('Calc base'!I$12,ROUND('Calc base'!I$13*AZ323,2))&lt;1,ROUND(AZ323*(1+'Calc base'!N324),2),MAX('Calc base'!I$12,ROUND('Calc base'!I$13*AZ323,2))))</f>
        <v>0</v>
      </c>
      <c r="Q324">
        <f>IF(BA323&lt;=0,0,IF(ROUND(BA323*(1+'Calc base'!O324),2)-MAX('Calc base'!J$12,ROUND('Calc base'!J$13*BA323,2))&lt;1,ROUND(BA323*(1+'Calc base'!O324),2),MAX('Calc base'!J$12,ROUND('Calc base'!J$13*BA323,2))))</f>
        <v>0</v>
      </c>
      <c r="R324">
        <f>IF(BB323&lt;=0,0,IF(ROUND(BB323*(1+'Calc base'!P324),2)-MAX('Calc base'!K$12,ROUND('Calc base'!K$13*BB323,2))&lt;1,ROUND(BB323*(1+'Calc base'!P324),2),MAX('Calc base'!K$12,ROUND('Calc base'!K$13*BB323,2))))</f>
        <v>0</v>
      </c>
      <c r="S324">
        <f>IF(BC323&lt;=0,0,IF(ROUND(BC323*(1+'Calc base'!Q324),2)-MAX('Calc base'!L$12,ROUND('Calc base'!L$13*BC323,2))&lt;1,ROUND(BC323*(1+'Calc base'!Q324),2),MAX('Calc base'!L$12,ROUND('Calc base'!L$13*BC323,2))))</f>
        <v>0</v>
      </c>
      <c r="T324">
        <f>IF(BD323&lt;=0,0,IF(ROUND(BD323*(1+'Calc base'!R324),2)-MAX('Calc base'!M$12,ROUND('Calc base'!M$13*BD323,2))&lt;1,ROUND(BD323*(1+'Calc base'!R324),2),MAX('Calc base'!M$12,ROUND('Calc base'!M$13*BD323,2))))</f>
        <v>0</v>
      </c>
      <c r="U324">
        <f>IF(BE323&lt;=0,0,IF(ROUND(BE323*(1+'Calc base'!S324),2)-MAX('Calc base'!N$12,ROUND('Calc base'!N$13*BE323,2))&lt;1,ROUND(BE323*(1+'Calc base'!S324),2),MAX('Calc base'!N$12,ROUND('Calc base'!N$13*BE323,2))))</f>
        <v>0</v>
      </c>
      <c r="AT324">
        <f>MAX(0,ROUND(AT323*(1+'Calc base'!H324),2)-J324)</f>
        <v>0</v>
      </c>
      <c r="AU324">
        <f>MAX(0,ROUND(AU323*(1+'Calc base'!I324),2)-K324)</f>
        <v>0</v>
      </c>
      <c r="AV324">
        <f>MAX(0,ROUND(AV323*(1+'Calc base'!J324),2)-L324)</f>
        <v>0</v>
      </c>
      <c r="AW324">
        <f>MAX(0,ROUND(AW323*(1+'Calc base'!K324),2)-M324)</f>
        <v>0</v>
      </c>
      <c r="AX324">
        <f>MAX(0,ROUND(AX323*(1+'Calc base'!L324),2)-N324)</f>
        <v>0</v>
      </c>
      <c r="AY324">
        <f>MAX(0,ROUND(AY323*(1+'Calc base'!M324),2)-O324)</f>
        <v>0</v>
      </c>
      <c r="AZ324">
        <f>MAX(0,ROUND(AZ323*(1+'Calc base'!N324),2)-P324)</f>
        <v>0</v>
      </c>
      <c r="BA324">
        <f>MAX(0,ROUND(BA323*(1+'Calc base'!O324),2)-Q324)</f>
        <v>0</v>
      </c>
      <c r="BB324">
        <f>MAX(0,ROUND(BB323*(1+'Calc base'!P324),2)-R324)</f>
        <v>0</v>
      </c>
      <c r="BC324">
        <f>MAX(0,ROUND(BC323*(1+'Calc base'!Q324),2)-S324)</f>
        <v>0</v>
      </c>
      <c r="BD324">
        <f>MAX(0,ROUND(BD323*(1+'Calc base'!R324),2)-T324)</f>
        <v>0</v>
      </c>
      <c r="BE324">
        <f>MAX(0,ROUND(BE323*(1+'Calc base'!S324),2)-U324)</f>
        <v>0</v>
      </c>
    </row>
    <row r="325">
      <c r="A325" t="n">
        <v>295</v>
      </c>
      <c r="B325">
        <f>SUMPRODUCT(ROUND($AT324:$BE324*(1+'Calc base'!$H325:$S325),2))</f>
        <v>0</v>
      </c>
      <c r="C325">
        <f>SUM(J325:U325)</f>
        <v>0</v>
      </c>
      <c r="G325">
        <f>SUM(AT325:BE325)</f>
        <v>0</v>
      </c>
      <c r="H325">
        <f>B325-G324</f>
        <v>0</v>
      </c>
      <c r="I325">
        <f>B325-G325</f>
        <v>0</v>
      </c>
      <c r="J325">
        <f>IF(AT324&lt;=0,0,IF(ROUND(AT324*(1+'Calc base'!H325),2)-MAX('Calc base'!C$12,ROUND('Calc base'!C$13*AT324,2))&lt;1,ROUND(AT324*(1+'Calc base'!H325),2),MAX('Calc base'!C$12,ROUND('Calc base'!C$13*AT324,2))))</f>
        <v>0</v>
      </c>
      <c r="K325">
        <f>IF(AU324&lt;=0,0,IF(ROUND(AU324*(1+'Calc base'!I325),2)-MAX('Calc base'!D$12,ROUND('Calc base'!D$13*AU324,2))&lt;1,ROUND(AU324*(1+'Calc base'!I325),2),MAX('Calc base'!D$12,ROUND('Calc base'!D$13*AU324,2))))</f>
        <v>0</v>
      </c>
      <c r="L325">
        <f>IF(AV324&lt;=0,0,IF(ROUND(AV324*(1+'Calc base'!J325),2)-MAX('Calc base'!E$12,ROUND('Calc base'!E$13*AV324,2))&lt;1,ROUND(AV324*(1+'Calc base'!J325),2),MAX('Calc base'!E$12,ROUND('Calc base'!E$13*AV324,2))))</f>
        <v>0</v>
      </c>
      <c r="M325">
        <f>IF(AW324&lt;=0,0,IF(ROUND(AW324*(1+'Calc base'!K325),2)-MAX('Calc base'!F$12,ROUND('Calc base'!F$13*AW324,2))&lt;1,ROUND(AW324*(1+'Calc base'!K325),2),MAX('Calc base'!F$12,ROUND('Calc base'!F$13*AW324,2))))</f>
        <v>0</v>
      </c>
      <c r="N325">
        <f>IF(AX324&lt;=0,0,IF(ROUND(AX324*(1+'Calc base'!L325),2)-MAX('Calc base'!G$12,ROUND('Calc base'!G$13*AX324,2))&lt;1,ROUND(AX324*(1+'Calc base'!L325),2),MAX('Calc base'!G$12,ROUND('Calc base'!G$13*AX324,2))))</f>
        <v>0</v>
      </c>
      <c r="O325">
        <f>IF(AY324&lt;=0,0,IF(ROUND(AY324*(1+'Calc base'!M325),2)-MAX('Calc base'!H$12,ROUND('Calc base'!H$13*AY324,2))&lt;1,ROUND(AY324*(1+'Calc base'!M325),2),MAX('Calc base'!H$12,ROUND('Calc base'!H$13*AY324,2))))</f>
        <v>0</v>
      </c>
      <c r="P325">
        <f>IF(AZ324&lt;=0,0,IF(ROUND(AZ324*(1+'Calc base'!N325),2)-MAX('Calc base'!I$12,ROUND('Calc base'!I$13*AZ324,2))&lt;1,ROUND(AZ324*(1+'Calc base'!N325),2),MAX('Calc base'!I$12,ROUND('Calc base'!I$13*AZ324,2))))</f>
        <v>0</v>
      </c>
      <c r="Q325">
        <f>IF(BA324&lt;=0,0,IF(ROUND(BA324*(1+'Calc base'!O325),2)-MAX('Calc base'!J$12,ROUND('Calc base'!J$13*BA324,2))&lt;1,ROUND(BA324*(1+'Calc base'!O325),2),MAX('Calc base'!J$12,ROUND('Calc base'!J$13*BA324,2))))</f>
        <v>0</v>
      </c>
      <c r="R325">
        <f>IF(BB324&lt;=0,0,IF(ROUND(BB324*(1+'Calc base'!P325),2)-MAX('Calc base'!K$12,ROUND('Calc base'!K$13*BB324,2))&lt;1,ROUND(BB324*(1+'Calc base'!P325),2),MAX('Calc base'!K$12,ROUND('Calc base'!K$13*BB324,2))))</f>
        <v>0</v>
      </c>
      <c r="S325">
        <f>IF(BC324&lt;=0,0,IF(ROUND(BC324*(1+'Calc base'!Q325),2)-MAX('Calc base'!L$12,ROUND('Calc base'!L$13*BC324,2))&lt;1,ROUND(BC324*(1+'Calc base'!Q325),2),MAX('Calc base'!L$12,ROUND('Calc base'!L$13*BC324,2))))</f>
        <v>0</v>
      </c>
      <c r="T325">
        <f>IF(BD324&lt;=0,0,IF(ROUND(BD324*(1+'Calc base'!R325),2)-MAX('Calc base'!M$12,ROUND('Calc base'!M$13*BD324,2))&lt;1,ROUND(BD324*(1+'Calc base'!R325),2),MAX('Calc base'!M$12,ROUND('Calc base'!M$13*BD324,2))))</f>
        <v>0</v>
      </c>
      <c r="U325">
        <f>IF(BE324&lt;=0,0,IF(ROUND(BE324*(1+'Calc base'!S325),2)-MAX('Calc base'!N$12,ROUND('Calc base'!N$13*BE324,2))&lt;1,ROUND(BE324*(1+'Calc base'!S325),2),MAX('Calc base'!N$12,ROUND('Calc base'!N$13*BE324,2))))</f>
        <v>0</v>
      </c>
      <c r="AT325">
        <f>MAX(0,ROUND(AT324*(1+'Calc base'!H325),2)-J325)</f>
        <v>0</v>
      </c>
      <c r="AU325">
        <f>MAX(0,ROUND(AU324*(1+'Calc base'!I325),2)-K325)</f>
        <v>0</v>
      </c>
      <c r="AV325">
        <f>MAX(0,ROUND(AV324*(1+'Calc base'!J325),2)-L325)</f>
        <v>0</v>
      </c>
      <c r="AW325">
        <f>MAX(0,ROUND(AW324*(1+'Calc base'!K325),2)-M325)</f>
        <v>0</v>
      </c>
      <c r="AX325">
        <f>MAX(0,ROUND(AX324*(1+'Calc base'!L325),2)-N325)</f>
        <v>0</v>
      </c>
      <c r="AY325">
        <f>MAX(0,ROUND(AY324*(1+'Calc base'!M325),2)-O325)</f>
        <v>0</v>
      </c>
      <c r="AZ325">
        <f>MAX(0,ROUND(AZ324*(1+'Calc base'!N325),2)-P325)</f>
        <v>0</v>
      </c>
      <c r="BA325">
        <f>MAX(0,ROUND(BA324*(1+'Calc base'!O325),2)-Q325)</f>
        <v>0</v>
      </c>
      <c r="BB325">
        <f>MAX(0,ROUND(BB324*(1+'Calc base'!P325),2)-R325)</f>
        <v>0</v>
      </c>
      <c r="BC325">
        <f>MAX(0,ROUND(BC324*(1+'Calc base'!Q325),2)-S325)</f>
        <v>0</v>
      </c>
      <c r="BD325">
        <f>MAX(0,ROUND(BD324*(1+'Calc base'!R325),2)-T325)</f>
        <v>0</v>
      </c>
      <c r="BE325">
        <f>MAX(0,ROUND(BE324*(1+'Calc base'!S325),2)-U325)</f>
        <v>0</v>
      </c>
    </row>
    <row r="326">
      <c r="A326" t="n">
        <v>296</v>
      </c>
      <c r="B326">
        <f>SUMPRODUCT(ROUND($AT325:$BE325*(1+'Calc base'!$H326:$S326),2))</f>
        <v>0</v>
      </c>
      <c r="C326">
        <f>SUM(J326:U326)</f>
        <v>0</v>
      </c>
      <c r="G326">
        <f>SUM(AT326:BE326)</f>
        <v>0</v>
      </c>
      <c r="H326">
        <f>B326-G325</f>
        <v>0</v>
      </c>
      <c r="I326">
        <f>B326-G326</f>
        <v>0</v>
      </c>
      <c r="J326">
        <f>IF(AT325&lt;=0,0,IF(ROUND(AT325*(1+'Calc base'!H326),2)-MAX('Calc base'!C$12,ROUND('Calc base'!C$13*AT325,2))&lt;1,ROUND(AT325*(1+'Calc base'!H326),2),MAX('Calc base'!C$12,ROUND('Calc base'!C$13*AT325,2))))</f>
        <v>0</v>
      </c>
      <c r="K326">
        <f>IF(AU325&lt;=0,0,IF(ROUND(AU325*(1+'Calc base'!I326),2)-MAX('Calc base'!D$12,ROUND('Calc base'!D$13*AU325,2))&lt;1,ROUND(AU325*(1+'Calc base'!I326),2),MAX('Calc base'!D$12,ROUND('Calc base'!D$13*AU325,2))))</f>
        <v>0</v>
      </c>
      <c r="L326">
        <f>IF(AV325&lt;=0,0,IF(ROUND(AV325*(1+'Calc base'!J326),2)-MAX('Calc base'!E$12,ROUND('Calc base'!E$13*AV325,2))&lt;1,ROUND(AV325*(1+'Calc base'!J326),2),MAX('Calc base'!E$12,ROUND('Calc base'!E$13*AV325,2))))</f>
        <v>0</v>
      </c>
      <c r="M326">
        <f>IF(AW325&lt;=0,0,IF(ROUND(AW325*(1+'Calc base'!K326),2)-MAX('Calc base'!F$12,ROUND('Calc base'!F$13*AW325,2))&lt;1,ROUND(AW325*(1+'Calc base'!K326),2),MAX('Calc base'!F$12,ROUND('Calc base'!F$13*AW325,2))))</f>
        <v>0</v>
      </c>
      <c r="N326">
        <f>IF(AX325&lt;=0,0,IF(ROUND(AX325*(1+'Calc base'!L326),2)-MAX('Calc base'!G$12,ROUND('Calc base'!G$13*AX325,2))&lt;1,ROUND(AX325*(1+'Calc base'!L326),2),MAX('Calc base'!G$12,ROUND('Calc base'!G$13*AX325,2))))</f>
        <v>0</v>
      </c>
      <c r="O326">
        <f>IF(AY325&lt;=0,0,IF(ROUND(AY325*(1+'Calc base'!M326),2)-MAX('Calc base'!H$12,ROUND('Calc base'!H$13*AY325,2))&lt;1,ROUND(AY325*(1+'Calc base'!M326),2),MAX('Calc base'!H$12,ROUND('Calc base'!H$13*AY325,2))))</f>
        <v>0</v>
      </c>
      <c r="P326">
        <f>IF(AZ325&lt;=0,0,IF(ROUND(AZ325*(1+'Calc base'!N326),2)-MAX('Calc base'!I$12,ROUND('Calc base'!I$13*AZ325,2))&lt;1,ROUND(AZ325*(1+'Calc base'!N326),2),MAX('Calc base'!I$12,ROUND('Calc base'!I$13*AZ325,2))))</f>
        <v>0</v>
      </c>
      <c r="Q326">
        <f>IF(BA325&lt;=0,0,IF(ROUND(BA325*(1+'Calc base'!O326),2)-MAX('Calc base'!J$12,ROUND('Calc base'!J$13*BA325,2))&lt;1,ROUND(BA325*(1+'Calc base'!O326),2),MAX('Calc base'!J$12,ROUND('Calc base'!J$13*BA325,2))))</f>
        <v>0</v>
      </c>
      <c r="R326">
        <f>IF(BB325&lt;=0,0,IF(ROUND(BB325*(1+'Calc base'!P326),2)-MAX('Calc base'!K$12,ROUND('Calc base'!K$13*BB325,2))&lt;1,ROUND(BB325*(1+'Calc base'!P326),2),MAX('Calc base'!K$12,ROUND('Calc base'!K$13*BB325,2))))</f>
        <v>0</v>
      </c>
      <c r="S326">
        <f>IF(BC325&lt;=0,0,IF(ROUND(BC325*(1+'Calc base'!Q326),2)-MAX('Calc base'!L$12,ROUND('Calc base'!L$13*BC325,2))&lt;1,ROUND(BC325*(1+'Calc base'!Q326),2),MAX('Calc base'!L$12,ROUND('Calc base'!L$13*BC325,2))))</f>
        <v>0</v>
      </c>
      <c r="T326">
        <f>IF(BD325&lt;=0,0,IF(ROUND(BD325*(1+'Calc base'!R326),2)-MAX('Calc base'!M$12,ROUND('Calc base'!M$13*BD325,2))&lt;1,ROUND(BD325*(1+'Calc base'!R326),2),MAX('Calc base'!M$12,ROUND('Calc base'!M$13*BD325,2))))</f>
        <v>0</v>
      </c>
      <c r="U326">
        <f>IF(BE325&lt;=0,0,IF(ROUND(BE325*(1+'Calc base'!S326),2)-MAX('Calc base'!N$12,ROUND('Calc base'!N$13*BE325,2))&lt;1,ROUND(BE325*(1+'Calc base'!S326),2),MAX('Calc base'!N$12,ROUND('Calc base'!N$13*BE325,2))))</f>
        <v>0</v>
      </c>
      <c r="AT326">
        <f>MAX(0,ROUND(AT325*(1+'Calc base'!H326),2)-J326)</f>
        <v>0</v>
      </c>
      <c r="AU326">
        <f>MAX(0,ROUND(AU325*(1+'Calc base'!I326),2)-K326)</f>
        <v>0</v>
      </c>
      <c r="AV326">
        <f>MAX(0,ROUND(AV325*(1+'Calc base'!J326),2)-L326)</f>
        <v>0</v>
      </c>
      <c r="AW326">
        <f>MAX(0,ROUND(AW325*(1+'Calc base'!K326),2)-M326)</f>
        <v>0</v>
      </c>
      <c r="AX326">
        <f>MAX(0,ROUND(AX325*(1+'Calc base'!L326),2)-N326)</f>
        <v>0</v>
      </c>
      <c r="AY326">
        <f>MAX(0,ROUND(AY325*(1+'Calc base'!M326),2)-O326)</f>
        <v>0</v>
      </c>
      <c r="AZ326">
        <f>MAX(0,ROUND(AZ325*(1+'Calc base'!N326),2)-P326)</f>
        <v>0</v>
      </c>
      <c r="BA326">
        <f>MAX(0,ROUND(BA325*(1+'Calc base'!O326),2)-Q326)</f>
        <v>0</v>
      </c>
      <c r="BB326">
        <f>MAX(0,ROUND(BB325*(1+'Calc base'!P326),2)-R326)</f>
        <v>0</v>
      </c>
      <c r="BC326">
        <f>MAX(0,ROUND(BC325*(1+'Calc base'!Q326),2)-S326)</f>
        <v>0</v>
      </c>
      <c r="BD326">
        <f>MAX(0,ROUND(BD325*(1+'Calc base'!R326),2)-T326)</f>
        <v>0</v>
      </c>
      <c r="BE326">
        <f>MAX(0,ROUND(BE325*(1+'Calc base'!S326),2)-U326)</f>
        <v>0</v>
      </c>
    </row>
    <row r="327">
      <c r="A327" t="n">
        <v>297</v>
      </c>
      <c r="B327">
        <f>SUMPRODUCT(ROUND($AT326:$BE326*(1+'Calc base'!$H327:$S327),2))</f>
        <v>0</v>
      </c>
      <c r="C327">
        <f>SUM(J327:U327)</f>
        <v>0</v>
      </c>
      <c r="G327">
        <f>SUM(AT327:BE327)</f>
        <v>0</v>
      </c>
      <c r="H327">
        <f>B327-G326</f>
        <v>0</v>
      </c>
      <c r="I327">
        <f>B327-G327</f>
        <v>0</v>
      </c>
      <c r="J327">
        <f>IF(AT326&lt;=0,0,IF(ROUND(AT326*(1+'Calc base'!H327),2)-MAX('Calc base'!C$12,ROUND('Calc base'!C$13*AT326,2))&lt;1,ROUND(AT326*(1+'Calc base'!H327),2),MAX('Calc base'!C$12,ROUND('Calc base'!C$13*AT326,2))))</f>
        <v>0</v>
      </c>
      <c r="K327">
        <f>IF(AU326&lt;=0,0,IF(ROUND(AU326*(1+'Calc base'!I327),2)-MAX('Calc base'!D$12,ROUND('Calc base'!D$13*AU326,2))&lt;1,ROUND(AU326*(1+'Calc base'!I327),2),MAX('Calc base'!D$12,ROUND('Calc base'!D$13*AU326,2))))</f>
        <v>0</v>
      </c>
      <c r="L327">
        <f>IF(AV326&lt;=0,0,IF(ROUND(AV326*(1+'Calc base'!J327),2)-MAX('Calc base'!E$12,ROUND('Calc base'!E$13*AV326,2))&lt;1,ROUND(AV326*(1+'Calc base'!J327),2),MAX('Calc base'!E$12,ROUND('Calc base'!E$13*AV326,2))))</f>
        <v>0</v>
      </c>
      <c r="M327">
        <f>IF(AW326&lt;=0,0,IF(ROUND(AW326*(1+'Calc base'!K327),2)-MAX('Calc base'!F$12,ROUND('Calc base'!F$13*AW326,2))&lt;1,ROUND(AW326*(1+'Calc base'!K327),2),MAX('Calc base'!F$12,ROUND('Calc base'!F$13*AW326,2))))</f>
        <v>0</v>
      </c>
      <c r="N327">
        <f>IF(AX326&lt;=0,0,IF(ROUND(AX326*(1+'Calc base'!L327),2)-MAX('Calc base'!G$12,ROUND('Calc base'!G$13*AX326,2))&lt;1,ROUND(AX326*(1+'Calc base'!L327),2),MAX('Calc base'!G$12,ROUND('Calc base'!G$13*AX326,2))))</f>
        <v>0</v>
      </c>
      <c r="O327">
        <f>IF(AY326&lt;=0,0,IF(ROUND(AY326*(1+'Calc base'!M327),2)-MAX('Calc base'!H$12,ROUND('Calc base'!H$13*AY326,2))&lt;1,ROUND(AY326*(1+'Calc base'!M327),2),MAX('Calc base'!H$12,ROUND('Calc base'!H$13*AY326,2))))</f>
        <v>0</v>
      </c>
      <c r="P327">
        <f>IF(AZ326&lt;=0,0,IF(ROUND(AZ326*(1+'Calc base'!N327),2)-MAX('Calc base'!I$12,ROUND('Calc base'!I$13*AZ326,2))&lt;1,ROUND(AZ326*(1+'Calc base'!N327),2),MAX('Calc base'!I$12,ROUND('Calc base'!I$13*AZ326,2))))</f>
        <v>0</v>
      </c>
      <c r="Q327">
        <f>IF(BA326&lt;=0,0,IF(ROUND(BA326*(1+'Calc base'!O327),2)-MAX('Calc base'!J$12,ROUND('Calc base'!J$13*BA326,2))&lt;1,ROUND(BA326*(1+'Calc base'!O327),2),MAX('Calc base'!J$12,ROUND('Calc base'!J$13*BA326,2))))</f>
        <v>0</v>
      </c>
      <c r="R327">
        <f>IF(BB326&lt;=0,0,IF(ROUND(BB326*(1+'Calc base'!P327),2)-MAX('Calc base'!K$12,ROUND('Calc base'!K$13*BB326,2))&lt;1,ROUND(BB326*(1+'Calc base'!P327),2),MAX('Calc base'!K$12,ROUND('Calc base'!K$13*BB326,2))))</f>
        <v>0</v>
      </c>
      <c r="S327">
        <f>IF(BC326&lt;=0,0,IF(ROUND(BC326*(1+'Calc base'!Q327),2)-MAX('Calc base'!L$12,ROUND('Calc base'!L$13*BC326,2))&lt;1,ROUND(BC326*(1+'Calc base'!Q327),2),MAX('Calc base'!L$12,ROUND('Calc base'!L$13*BC326,2))))</f>
        <v>0</v>
      </c>
      <c r="T327">
        <f>IF(BD326&lt;=0,0,IF(ROUND(BD326*(1+'Calc base'!R327),2)-MAX('Calc base'!M$12,ROUND('Calc base'!M$13*BD326,2))&lt;1,ROUND(BD326*(1+'Calc base'!R327),2),MAX('Calc base'!M$12,ROUND('Calc base'!M$13*BD326,2))))</f>
        <v>0</v>
      </c>
      <c r="U327">
        <f>IF(BE326&lt;=0,0,IF(ROUND(BE326*(1+'Calc base'!S327),2)-MAX('Calc base'!N$12,ROUND('Calc base'!N$13*BE326,2))&lt;1,ROUND(BE326*(1+'Calc base'!S327),2),MAX('Calc base'!N$12,ROUND('Calc base'!N$13*BE326,2))))</f>
        <v>0</v>
      </c>
      <c r="AT327">
        <f>MAX(0,ROUND(AT326*(1+'Calc base'!H327),2)-J327)</f>
        <v>0</v>
      </c>
      <c r="AU327">
        <f>MAX(0,ROUND(AU326*(1+'Calc base'!I327),2)-K327)</f>
        <v>0</v>
      </c>
      <c r="AV327">
        <f>MAX(0,ROUND(AV326*(1+'Calc base'!J327),2)-L327)</f>
        <v>0</v>
      </c>
      <c r="AW327">
        <f>MAX(0,ROUND(AW326*(1+'Calc base'!K327),2)-M327)</f>
        <v>0</v>
      </c>
      <c r="AX327">
        <f>MAX(0,ROUND(AX326*(1+'Calc base'!L327),2)-N327)</f>
        <v>0</v>
      </c>
      <c r="AY327">
        <f>MAX(0,ROUND(AY326*(1+'Calc base'!M327),2)-O327)</f>
        <v>0</v>
      </c>
      <c r="AZ327">
        <f>MAX(0,ROUND(AZ326*(1+'Calc base'!N327),2)-P327)</f>
        <v>0</v>
      </c>
      <c r="BA327">
        <f>MAX(0,ROUND(BA326*(1+'Calc base'!O327),2)-Q327)</f>
        <v>0</v>
      </c>
      <c r="BB327">
        <f>MAX(0,ROUND(BB326*(1+'Calc base'!P327),2)-R327)</f>
        <v>0</v>
      </c>
      <c r="BC327">
        <f>MAX(0,ROUND(BC326*(1+'Calc base'!Q327),2)-S327)</f>
        <v>0</v>
      </c>
      <c r="BD327">
        <f>MAX(0,ROUND(BD326*(1+'Calc base'!R327),2)-T327)</f>
        <v>0</v>
      </c>
      <c r="BE327">
        <f>MAX(0,ROUND(BE326*(1+'Calc base'!S327),2)-U327)</f>
        <v>0</v>
      </c>
    </row>
    <row r="328">
      <c r="A328" t="n">
        <v>298</v>
      </c>
      <c r="B328">
        <f>SUMPRODUCT(ROUND($AT327:$BE327*(1+'Calc base'!$H328:$S328),2))</f>
        <v>0</v>
      </c>
      <c r="C328">
        <f>SUM(J328:U328)</f>
        <v>0</v>
      </c>
      <c r="G328">
        <f>SUM(AT328:BE328)</f>
        <v>0</v>
      </c>
      <c r="H328">
        <f>B328-G327</f>
        <v>0</v>
      </c>
      <c r="I328">
        <f>B328-G328</f>
        <v>0</v>
      </c>
      <c r="J328">
        <f>IF(AT327&lt;=0,0,IF(ROUND(AT327*(1+'Calc base'!H328),2)-MAX('Calc base'!C$12,ROUND('Calc base'!C$13*AT327,2))&lt;1,ROUND(AT327*(1+'Calc base'!H328),2),MAX('Calc base'!C$12,ROUND('Calc base'!C$13*AT327,2))))</f>
        <v>0</v>
      </c>
      <c r="K328">
        <f>IF(AU327&lt;=0,0,IF(ROUND(AU327*(1+'Calc base'!I328),2)-MAX('Calc base'!D$12,ROUND('Calc base'!D$13*AU327,2))&lt;1,ROUND(AU327*(1+'Calc base'!I328),2),MAX('Calc base'!D$12,ROUND('Calc base'!D$13*AU327,2))))</f>
        <v>0</v>
      </c>
      <c r="L328">
        <f>IF(AV327&lt;=0,0,IF(ROUND(AV327*(1+'Calc base'!J328),2)-MAX('Calc base'!E$12,ROUND('Calc base'!E$13*AV327,2))&lt;1,ROUND(AV327*(1+'Calc base'!J328),2),MAX('Calc base'!E$12,ROUND('Calc base'!E$13*AV327,2))))</f>
        <v>0</v>
      </c>
      <c r="M328">
        <f>IF(AW327&lt;=0,0,IF(ROUND(AW327*(1+'Calc base'!K328),2)-MAX('Calc base'!F$12,ROUND('Calc base'!F$13*AW327,2))&lt;1,ROUND(AW327*(1+'Calc base'!K328),2),MAX('Calc base'!F$12,ROUND('Calc base'!F$13*AW327,2))))</f>
        <v>0</v>
      </c>
      <c r="N328">
        <f>IF(AX327&lt;=0,0,IF(ROUND(AX327*(1+'Calc base'!L328),2)-MAX('Calc base'!G$12,ROUND('Calc base'!G$13*AX327,2))&lt;1,ROUND(AX327*(1+'Calc base'!L328),2),MAX('Calc base'!G$12,ROUND('Calc base'!G$13*AX327,2))))</f>
        <v>0</v>
      </c>
      <c r="O328">
        <f>IF(AY327&lt;=0,0,IF(ROUND(AY327*(1+'Calc base'!M328),2)-MAX('Calc base'!H$12,ROUND('Calc base'!H$13*AY327,2))&lt;1,ROUND(AY327*(1+'Calc base'!M328),2),MAX('Calc base'!H$12,ROUND('Calc base'!H$13*AY327,2))))</f>
        <v>0</v>
      </c>
      <c r="P328">
        <f>IF(AZ327&lt;=0,0,IF(ROUND(AZ327*(1+'Calc base'!N328),2)-MAX('Calc base'!I$12,ROUND('Calc base'!I$13*AZ327,2))&lt;1,ROUND(AZ327*(1+'Calc base'!N328),2),MAX('Calc base'!I$12,ROUND('Calc base'!I$13*AZ327,2))))</f>
        <v>0</v>
      </c>
      <c r="Q328">
        <f>IF(BA327&lt;=0,0,IF(ROUND(BA327*(1+'Calc base'!O328),2)-MAX('Calc base'!J$12,ROUND('Calc base'!J$13*BA327,2))&lt;1,ROUND(BA327*(1+'Calc base'!O328),2),MAX('Calc base'!J$12,ROUND('Calc base'!J$13*BA327,2))))</f>
        <v>0</v>
      </c>
      <c r="R328">
        <f>IF(BB327&lt;=0,0,IF(ROUND(BB327*(1+'Calc base'!P328),2)-MAX('Calc base'!K$12,ROUND('Calc base'!K$13*BB327,2))&lt;1,ROUND(BB327*(1+'Calc base'!P328),2),MAX('Calc base'!K$12,ROUND('Calc base'!K$13*BB327,2))))</f>
        <v>0</v>
      </c>
      <c r="S328">
        <f>IF(BC327&lt;=0,0,IF(ROUND(BC327*(1+'Calc base'!Q328),2)-MAX('Calc base'!L$12,ROUND('Calc base'!L$13*BC327,2))&lt;1,ROUND(BC327*(1+'Calc base'!Q328),2),MAX('Calc base'!L$12,ROUND('Calc base'!L$13*BC327,2))))</f>
        <v>0</v>
      </c>
      <c r="T328">
        <f>IF(BD327&lt;=0,0,IF(ROUND(BD327*(1+'Calc base'!R328),2)-MAX('Calc base'!M$12,ROUND('Calc base'!M$13*BD327,2))&lt;1,ROUND(BD327*(1+'Calc base'!R328),2),MAX('Calc base'!M$12,ROUND('Calc base'!M$13*BD327,2))))</f>
        <v>0</v>
      </c>
      <c r="U328">
        <f>IF(BE327&lt;=0,0,IF(ROUND(BE327*(1+'Calc base'!S328),2)-MAX('Calc base'!N$12,ROUND('Calc base'!N$13*BE327,2))&lt;1,ROUND(BE327*(1+'Calc base'!S328),2),MAX('Calc base'!N$12,ROUND('Calc base'!N$13*BE327,2))))</f>
        <v>0</v>
      </c>
      <c r="AT328">
        <f>MAX(0,ROUND(AT327*(1+'Calc base'!H328),2)-J328)</f>
        <v>0</v>
      </c>
      <c r="AU328">
        <f>MAX(0,ROUND(AU327*(1+'Calc base'!I328),2)-K328)</f>
        <v>0</v>
      </c>
      <c r="AV328">
        <f>MAX(0,ROUND(AV327*(1+'Calc base'!J328),2)-L328)</f>
        <v>0</v>
      </c>
      <c r="AW328">
        <f>MAX(0,ROUND(AW327*(1+'Calc base'!K328),2)-M328)</f>
        <v>0</v>
      </c>
      <c r="AX328">
        <f>MAX(0,ROUND(AX327*(1+'Calc base'!L328),2)-N328)</f>
        <v>0</v>
      </c>
      <c r="AY328">
        <f>MAX(0,ROUND(AY327*(1+'Calc base'!M328),2)-O328)</f>
        <v>0</v>
      </c>
      <c r="AZ328">
        <f>MAX(0,ROUND(AZ327*(1+'Calc base'!N328),2)-P328)</f>
        <v>0</v>
      </c>
      <c r="BA328">
        <f>MAX(0,ROUND(BA327*(1+'Calc base'!O328),2)-Q328)</f>
        <v>0</v>
      </c>
      <c r="BB328">
        <f>MAX(0,ROUND(BB327*(1+'Calc base'!P328),2)-R328)</f>
        <v>0</v>
      </c>
      <c r="BC328">
        <f>MAX(0,ROUND(BC327*(1+'Calc base'!Q328),2)-S328)</f>
        <v>0</v>
      </c>
      <c r="BD328">
        <f>MAX(0,ROUND(BD327*(1+'Calc base'!R328),2)-T328)</f>
        <v>0</v>
      </c>
      <c r="BE328">
        <f>MAX(0,ROUND(BE327*(1+'Calc base'!S328),2)-U328)</f>
        <v>0</v>
      </c>
    </row>
    <row r="329">
      <c r="A329" t="n">
        <v>299</v>
      </c>
      <c r="B329">
        <f>SUMPRODUCT(ROUND($AT328:$BE328*(1+'Calc base'!$H329:$S329),2))</f>
        <v>0</v>
      </c>
      <c r="C329">
        <f>SUM(J329:U329)</f>
        <v>0</v>
      </c>
      <c r="G329">
        <f>SUM(AT329:BE329)</f>
        <v>0</v>
      </c>
      <c r="H329">
        <f>B329-G328</f>
        <v>0</v>
      </c>
      <c r="I329">
        <f>B329-G329</f>
        <v>0</v>
      </c>
      <c r="J329">
        <f>IF(AT328&lt;=0,0,IF(ROUND(AT328*(1+'Calc base'!H329),2)-MAX('Calc base'!C$12,ROUND('Calc base'!C$13*AT328,2))&lt;1,ROUND(AT328*(1+'Calc base'!H329),2),MAX('Calc base'!C$12,ROUND('Calc base'!C$13*AT328,2))))</f>
        <v>0</v>
      </c>
      <c r="K329">
        <f>IF(AU328&lt;=0,0,IF(ROUND(AU328*(1+'Calc base'!I329),2)-MAX('Calc base'!D$12,ROUND('Calc base'!D$13*AU328,2))&lt;1,ROUND(AU328*(1+'Calc base'!I329),2),MAX('Calc base'!D$12,ROUND('Calc base'!D$13*AU328,2))))</f>
        <v>0</v>
      </c>
      <c r="L329">
        <f>IF(AV328&lt;=0,0,IF(ROUND(AV328*(1+'Calc base'!J329),2)-MAX('Calc base'!E$12,ROUND('Calc base'!E$13*AV328,2))&lt;1,ROUND(AV328*(1+'Calc base'!J329),2),MAX('Calc base'!E$12,ROUND('Calc base'!E$13*AV328,2))))</f>
        <v>0</v>
      </c>
      <c r="M329">
        <f>IF(AW328&lt;=0,0,IF(ROUND(AW328*(1+'Calc base'!K329),2)-MAX('Calc base'!F$12,ROUND('Calc base'!F$13*AW328,2))&lt;1,ROUND(AW328*(1+'Calc base'!K329),2),MAX('Calc base'!F$12,ROUND('Calc base'!F$13*AW328,2))))</f>
        <v>0</v>
      </c>
      <c r="N329">
        <f>IF(AX328&lt;=0,0,IF(ROUND(AX328*(1+'Calc base'!L329),2)-MAX('Calc base'!G$12,ROUND('Calc base'!G$13*AX328,2))&lt;1,ROUND(AX328*(1+'Calc base'!L329),2),MAX('Calc base'!G$12,ROUND('Calc base'!G$13*AX328,2))))</f>
        <v>0</v>
      </c>
      <c r="O329">
        <f>IF(AY328&lt;=0,0,IF(ROUND(AY328*(1+'Calc base'!M329),2)-MAX('Calc base'!H$12,ROUND('Calc base'!H$13*AY328,2))&lt;1,ROUND(AY328*(1+'Calc base'!M329),2),MAX('Calc base'!H$12,ROUND('Calc base'!H$13*AY328,2))))</f>
        <v>0</v>
      </c>
      <c r="P329">
        <f>IF(AZ328&lt;=0,0,IF(ROUND(AZ328*(1+'Calc base'!N329),2)-MAX('Calc base'!I$12,ROUND('Calc base'!I$13*AZ328,2))&lt;1,ROUND(AZ328*(1+'Calc base'!N329),2),MAX('Calc base'!I$12,ROUND('Calc base'!I$13*AZ328,2))))</f>
        <v>0</v>
      </c>
      <c r="Q329">
        <f>IF(BA328&lt;=0,0,IF(ROUND(BA328*(1+'Calc base'!O329),2)-MAX('Calc base'!J$12,ROUND('Calc base'!J$13*BA328,2))&lt;1,ROUND(BA328*(1+'Calc base'!O329),2),MAX('Calc base'!J$12,ROUND('Calc base'!J$13*BA328,2))))</f>
        <v>0</v>
      </c>
      <c r="R329">
        <f>IF(BB328&lt;=0,0,IF(ROUND(BB328*(1+'Calc base'!P329),2)-MAX('Calc base'!K$12,ROUND('Calc base'!K$13*BB328,2))&lt;1,ROUND(BB328*(1+'Calc base'!P329),2),MAX('Calc base'!K$12,ROUND('Calc base'!K$13*BB328,2))))</f>
        <v>0</v>
      </c>
      <c r="S329">
        <f>IF(BC328&lt;=0,0,IF(ROUND(BC328*(1+'Calc base'!Q329),2)-MAX('Calc base'!L$12,ROUND('Calc base'!L$13*BC328,2))&lt;1,ROUND(BC328*(1+'Calc base'!Q329),2),MAX('Calc base'!L$12,ROUND('Calc base'!L$13*BC328,2))))</f>
        <v>0</v>
      </c>
      <c r="T329">
        <f>IF(BD328&lt;=0,0,IF(ROUND(BD328*(1+'Calc base'!R329),2)-MAX('Calc base'!M$12,ROUND('Calc base'!M$13*BD328,2))&lt;1,ROUND(BD328*(1+'Calc base'!R329),2),MAX('Calc base'!M$12,ROUND('Calc base'!M$13*BD328,2))))</f>
        <v>0</v>
      </c>
      <c r="U329">
        <f>IF(BE328&lt;=0,0,IF(ROUND(BE328*(1+'Calc base'!S329),2)-MAX('Calc base'!N$12,ROUND('Calc base'!N$13*BE328,2))&lt;1,ROUND(BE328*(1+'Calc base'!S329),2),MAX('Calc base'!N$12,ROUND('Calc base'!N$13*BE328,2))))</f>
        <v>0</v>
      </c>
      <c r="AT329">
        <f>MAX(0,ROUND(AT328*(1+'Calc base'!H329),2)-J329)</f>
        <v>0</v>
      </c>
      <c r="AU329">
        <f>MAX(0,ROUND(AU328*(1+'Calc base'!I329),2)-K329)</f>
        <v>0</v>
      </c>
      <c r="AV329">
        <f>MAX(0,ROUND(AV328*(1+'Calc base'!J329),2)-L329)</f>
        <v>0</v>
      </c>
      <c r="AW329">
        <f>MAX(0,ROUND(AW328*(1+'Calc base'!K329),2)-M329)</f>
        <v>0</v>
      </c>
      <c r="AX329">
        <f>MAX(0,ROUND(AX328*(1+'Calc base'!L329),2)-N329)</f>
        <v>0</v>
      </c>
      <c r="AY329">
        <f>MAX(0,ROUND(AY328*(1+'Calc base'!M329),2)-O329)</f>
        <v>0</v>
      </c>
      <c r="AZ329">
        <f>MAX(0,ROUND(AZ328*(1+'Calc base'!N329),2)-P329)</f>
        <v>0</v>
      </c>
      <c r="BA329">
        <f>MAX(0,ROUND(BA328*(1+'Calc base'!O329),2)-Q329)</f>
        <v>0</v>
      </c>
      <c r="BB329">
        <f>MAX(0,ROUND(BB328*(1+'Calc base'!P329),2)-R329)</f>
        <v>0</v>
      </c>
      <c r="BC329">
        <f>MAX(0,ROUND(BC328*(1+'Calc base'!Q329),2)-S329)</f>
        <v>0</v>
      </c>
      <c r="BD329">
        <f>MAX(0,ROUND(BD328*(1+'Calc base'!R329),2)-T329)</f>
        <v>0</v>
      </c>
      <c r="BE329">
        <f>MAX(0,ROUND(BE328*(1+'Calc base'!S329),2)-U329)</f>
        <v>0</v>
      </c>
    </row>
    <row r="330">
      <c r="A330" t="n">
        <v>300</v>
      </c>
      <c r="B330">
        <f>SUMPRODUCT(ROUND($AT329:$BE329*(1+'Calc base'!$H330:$S330),2))</f>
        <v>0</v>
      </c>
      <c r="C330">
        <f>SUM(J330:U330)</f>
        <v>0</v>
      </c>
      <c r="G330">
        <f>SUM(AT330:BE330)</f>
        <v>0</v>
      </c>
      <c r="H330">
        <f>B330-G329</f>
        <v>0</v>
      </c>
      <c r="I330">
        <f>B330-G330</f>
        <v>0</v>
      </c>
      <c r="J330">
        <f>IF(AT329&lt;=0,0,IF(ROUND(AT329*(1+'Calc base'!H330),2)-MAX('Calc base'!C$12,ROUND('Calc base'!C$13*AT329,2))&lt;1,ROUND(AT329*(1+'Calc base'!H330),2),MAX('Calc base'!C$12,ROUND('Calc base'!C$13*AT329,2))))</f>
        <v>0</v>
      </c>
      <c r="K330">
        <f>IF(AU329&lt;=0,0,IF(ROUND(AU329*(1+'Calc base'!I330),2)-MAX('Calc base'!D$12,ROUND('Calc base'!D$13*AU329,2))&lt;1,ROUND(AU329*(1+'Calc base'!I330),2),MAX('Calc base'!D$12,ROUND('Calc base'!D$13*AU329,2))))</f>
        <v>0</v>
      </c>
      <c r="L330">
        <f>IF(AV329&lt;=0,0,IF(ROUND(AV329*(1+'Calc base'!J330),2)-MAX('Calc base'!E$12,ROUND('Calc base'!E$13*AV329,2))&lt;1,ROUND(AV329*(1+'Calc base'!J330),2),MAX('Calc base'!E$12,ROUND('Calc base'!E$13*AV329,2))))</f>
        <v>0</v>
      </c>
      <c r="M330">
        <f>IF(AW329&lt;=0,0,IF(ROUND(AW329*(1+'Calc base'!K330),2)-MAX('Calc base'!F$12,ROUND('Calc base'!F$13*AW329,2))&lt;1,ROUND(AW329*(1+'Calc base'!K330),2),MAX('Calc base'!F$12,ROUND('Calc base'!F$13*AW329,2))))</f>
        <v>0</v>
      </c>
      <c r="N330">
        <f>IF(AX329&lt;=0,0,IF(ROUND(AX329*(1+'Calc base'!L330),2)-MAX('Calc base'!G$12,ROUND('Calc base'!G$13*AX329,2))&lt;1,ROUND(AX329*(1+'Calc base'!L330),2),MAX('Calc base'!G$12,ROUND('Calc base'!G$13*AX329,2))))</f>
        <v>0</v>
      </c>
      <c r="O330">
        <f>IF(AY329&lt;=0,0,IF(ROUND(AY329*(1+'Calc base'!M330),2)-MAX('Calc base'!H$12,ROUND('Calc base'!H$13*AY329,2))&lt;1,ROUND(AY329*(1+'Calc base'!M330),2),MAX('Calc base'!H$12,ROUND('Calc base'!H$13*AY329,2))))</f>
        <v>0</v>
      </c>
      <c r="P330">
        <f>IF(AZ329&lt;=0,0,IF(ROUND(AZ329*(1+'Calc base'!N330),2)-MAX('Calc base'!I$12,ROUND('Calc base'!I$13*AZ329,2))&lt;1,ROUND(AZ329*(1+'Calc base'!N330),2),MAX('Calc base'!I$12,ROUND('Calc base'!I$13*AZ329,2))))</f>
        <v>0</v>
      </c>
      <c r="Q330">
        <f>IF(BA329&lt;=0,0,IF(ROUND(BA329*(1+'Calc base'!O330),2)-MAX('Calc base'!J$12,ROUND('Calc base'!J$13*BA329,2))&lt;1,ROUND(BA329*(1+'Calc base'!O330),2),MAX('Calc base'!J$12,ROUND('Calc base'!J$13*BA329,2))))</f>
        <v>0</v>
      </c>
      <c r="R330">
        <f>IF(BB329&lt;=0,0,IF(ROUND(BB329*(1+'Calc base'!P330),2)-MAX('Calc base'!K$12,ROUND('Calc base'!K$13*BB329,2))&lt;1,ROUND(BB329*(1+'Calc base'!P330),2),MAX('Calc base'!K$12,ROUND('Calc base'!K$13*BB329,2))))</f>
        <v>0</v>
      </c>
      <c r="S330">
        <f>IF(BC329&lt;=0,0,IF(ROUND(BC329*(1+'Calc base'!Q330),2)-MAX('Calc base'!L$12,ROUND('Calc base'!L$13*BC329,2))&lt;1,ROUND(BC329*(1+'Calc base'!Q330),2),MAX('Calc base'!L$12,ROUND('Calc base'!L$13*BC329,2))))</f>
        <v>0</v>
      </c>
      <c r="T330">
        <f>IF(BD329&lt;=0,0,IF(ROUND(BD329*(1+'Calc base'!R330),2)-MAX('Calc base'!M$12,ROUND('Calc base'!M$13*BD329,2))&lt;1,ROUND(BD329*(1+'Calc base'!R330),2),MAX('Calc base'!M$12,ROUND('Calc base'!M$13*BD329,2))))</f>
        <v>0</v>
      </c>
      <c r="U330">
        <f>IF(BE329&lt;=0,0,IF(ROUND(BE329*(1+'Calc base'!S330),2)-MAX('Calc base'!N$12,ROUND('Calc base'!N$13*BE329,2))&lt;1,ROUND(BE329*(1+'Calc base'!S330),2),MAX('Calc base'!N$12,ROUND('Calc base'!N$13*BE329,2))))</f>
        <v>0</v>
      </c>
      <c r="AT330">
        <f>MAX(0,ROUND(AT329*(1+'Calc base'!H330),2)-J330)</f>
        <v>0</v>
      </c>
      <c r="AU330">
        <f>MAX(0,ROUND(AU329*(1+'Calc base'!I330),2)-K330)</f>
        <v>0</v>
      </c>
      <c r="AV330">
        <f>MAX(0,ROUND(AV329*(1+'Calc base'!J330),2)-L330)</f>
        <v>0</v>
      </c>
      <c r="AW330">
        <f>MAX(0,ROUND(AW329*(1+'Calc base'!K330),2)-M330)</f>
        <v>0</v>
      </c>
      <c r="AX330">
        <f>MAX(0,ROUND(AX329*(1+'Calc base'!L330),2)-N330)</f>
        <v>0</v>
      </c>
      <c r="AY330">
        <f>MAX(0,ROUND(AY329*(1+'Calc base'!M330),2)-O330)</f>
        <v>0</v>
      </c>
      <c r="AZ330">
        <f>MAX(0,ROUND(AZ329*(1+'Calc base'!N330),2)-P330)</f>
        <v>0</v>
      </c>
      <c r="BA330">
        <f>MAX(0,ROUND(BA329*(1+'Calc base'!O330),2)-Q330)</f>
        <v>0</v>
      </c>
      <c r="BB330">
        <f>MAX(0,ROUND(BB329*(1+'Calc base'!P330),2)-R330)</f>
        <v>0</v>
      </c>
      <c r="BC330">
        <f>MAX(0,ROUND(BC329*(1+'Calc base'!Q330),2)-S330)</f>
        <v>0</v>
      </c>
      <c r="BD330">
        <f>MAX(0,ROUND(BD329*(1+'Calc base'!R330),2)-T330)</f>
        <v>0</v>
      </c>
      <c r="BE330">
        <f>MAX(0,ROUND(BE329*(1+'Calc base'!S330),2)-U330)</f>
        <v>0</v>
      </c>
    </row>
    <row r="331">
      <c r="A331" t="n">
        <v>301</v>
      </c>
      <c r="B331">
        <f>SUMPRODUCT(ROUND($AT330:$BE330*(1+'Calc base'!$H331:$S331),2))</f>
        <v>0</v>
      </c>
      <c r="C331">
        <f>SUM(J331:U331)</f>
        <v>0</v>
      </c>
      <c r="G331">
        <f>SUM(AT331:BE331)</f>
        <v>0</v>
      </c>
      <c r="H331">
        <f>B331-G330</f>
        <v>0</v>
      </c>
      <c r="I331">
        <f>B331-G331</f>
        <v>0</v>
      </c>
      <c r="J331">
        <f>IF(AT330&lt;=0,0,IF(ROUND(AT330*(1+'Calc base'!H331),2)-MAX('Calc base'!C$12,ROUND('Calc base'!C$13*AT330,2))&lt;1,ROUND(AT330*(1+'Calc base'!H331),2),MAX('Calc base'!C$12,ROUND('Calc base'!C$13*AT330,2))))</f>
        <v>0</v>
      </c>
      <c r="K331">
        <f>IF(AU330&lt;=0,0,IF(ROUND(AU330*(1+'Calc base'!I331),2)-MAX('Calc base'!D$12,ROUND('Calc base'!D$13*AU330,2))&lt;1,ROUND(AU330*(1+'Calc base'!I331),2),MAX('Calc base'!D$12,ROUND('Calc base'!D$13*AU330,2))))</f>
        <v>0</v>
      </c>
      <c r="L331">
        <f>IF(AV330&lt;=0,0,IF(ROUND(AV330*(1+'Calc base'!J331),2)-MAX('Calc base'!E$12,ROUND('Calc base'!E$13*AV330,2))&lt;1,ROUND(AV330*(1+'Calc base'!J331),2),MAX('Calc base'!E$12,ROUND('Calc base'!E$13*AV330,2))))</f>
        <v>0</v>
      </c>
      <c r="M331">
        <f>IF(AW330&lt;=0,0,IF(ROUND(AW330*(1+'Calc base'!K331),2)-MAX('Calc base'!F$12,ROUND('Calc base'!F$13*AW330,2))&lt;1,ROUND(AW330*(1+'Calc base'!K331),2),MAX('Calc base'!F$12,ROUND('Calc base'!F$13*AW330,2))))</f>
        <v>0</v>
      </c>
      <c r="N331">
        <f>IF(AX330&lt;=0,0,IF(ROUND(AX330*(1+'Calc base'!L331),2)-MAX('Calc base'!G$12,ROUND('Calc base'!G$13*AX330,2))&lt;1,ROUND(AX330*(1+'Calc base'!L331),2),MAX('Calc base'!G$12,ROUND('Calc base'!G$13*AX330,2))))</f>
        <v>0</v>
      </c>
      <c r="O331">
        <f>IF(AY330&lt;=0,0,IF(ROUND(AY330*(1+'Calc base'!M331),2)-MAX('Calc base'!H$12,ROUND('Calc base'!H$13*AY330,2))&lt;1,ROUND(AY330*(1+'Calc base'!M331),2),MAX('Calc base'!H$12,ROUND('Calc base'!H$13*AY330,2))))</f>
        <v>0</v>
      </c>
      <c r="P331">
        <f>IF(AZ330&lt;=0,0,IF(ROUND(AZ330*(1+'Calc base'!N331),2)-MAX('Calc base'!I$12,ROUND('Calc base'!I$13*AZ330,2))&lt;1,ROUND(AZ330*(1+'Calc base'!N331),2),MAX('Calc base'!I$12,ROUND('Calc base'!I$13*AZ330,2))))</f>
        <v>0</v>
      </c>
      <c r="Q331">
        <f>IF(BA330&lt;=0,0,IF(ROUND(BA330*(1+'Calc base'!O331),2)-MAX('Calc base'!J$12,ROUND('Calc base'!J$13*BA330,2))&lt;1,ROUND(BA330*(1+'Calc base'!O331),2),MAX('Calc base'!J$12,ROUND('Calc base'!J$13*BA330,2))))</f>
        <v>0</v>
      </c>
      <c r="R331">
        <f>IF(BB330&lt;=0,0,IF(ROUND(BB330*(1+'Calc base'!P331),2)-MAX('Calc base'!K$12,ROUND('Calc base'!K$13*BB330,2))&lt;1,ROUND(BB330*(1+'Calc base'!P331),2),MAX('Calc base'!K$12,ROUND('Calc base'!K$13*BB330,2))))</f>
        <v>0</v>
      </c>
      <c r="S331">
        <f>IF(BC330&lt;=0,0,IF(ROUND(BC330*(1+'Calc base'!Q331),2)-MAX('Calc base'!L$12,ROUND('Calc base'!L$13*BC330,2))&lt;1,ROUND(BC330*(1+'Calc base'!Q331),2),MAX('Calc base'!L$12,ROUND('Calc base'!L$13*BC330,2))))</f>
        <v>0</v>
      </c>
      <c r="T331">
        <f>IF(BD330&lt;=0,0,IF(ROUND(BD330*(1+'Calc base'!R331),2)-MAX('Calc base'!M$12,ROUND('Calc base'!M$13*BD330,2))&lt;1,ROUND(BD330*(1+'Calc base'!R331),2),MAX('Calc base'!M$12,ROUND('Calc base'!M$13*BD330,2))))</f>
        <v>0</v>
      </c>
      <c r="U331">
        <f>IF(BE330&lt;=0,0,IF(ROUND(BE330*(1+'Calc base'!S331),2)-MAX('Calc base'!N$12,ROUND('Calc base'!N$13*BE330,2))&lt;1,ROUND(BE330*(1+'Calc base'!S331),2),MAX('Calc base'!N$12,ROUND('Calc base'!N$13*BE330,2))))</f>
        <v>0</v>
      </c>
      <c r="AT331">
        <f>MAX(0,ROUND(AT330*(1+'Calc base'!H331),2)-J331)</f>
        <v>0</v>
      </c>
      <c r="AU331">
        <f>MAX(0,ROUND(AU330*(1+'Calc base'!I331),2)-K331)</f>
        <v>0</v>
      </c>
      <c r="AV331">
        <f>MAX(0,ROUND(AV330*(1+'Calc base'!J331),2)-L331)</f>
        <v>0</v>
      </c>
      <c r="AW331">
        <f>MAX(0,ROUND(AW330*(1+'Calc base'!K331),2)-M331)</f>
        <v>0</v>
      </c>
      <c r="AX331">
        <f>MAX(0,ROUND(AX330*(1+'Calc base'!L331),2)-N331)</f>
        <v>0</v>
      </c>
      <c r="AY331">
        <f>MAX(0,ROUND(AY330*(1+'Calc base'!M331),2)-O331)</f>
        <v>0</v>
      </c>
      <c r="AZ331">
        <f>MAX(0,ROUND(AZ330*(1+'Calc base'!N331),2)-P331)</f>
        <v>0</v>
      </c>
      <c r="BA331">
        <f>MAX(0,ROUND(BA330*(1+'Calc base'!O331),2)-Q331)</f>
        <v>0</v>
      </c>
      <c r="BB331">
        <f>MAX(0,ROUND(BB330*(1+'Calc base'!P331),2)-R331)</f>
        <v>0</v>
      </c>
      <c r="BC331">
        <f>MAX(0,ROUND(BC330*(1+'Calc base'!Q331),2)-S331)</f>
        <v>0</v>
      </c>
      <c r="BD331">
        <f>MAX(0,ROUND(BD330*(1+'Calc base'!R331),2)-T331)</f>
        <v>0</v>
      </c>
      <c r="BE331">
        <f>MAX(0,ROUND(BE330*(1+'Calc base'!S331),2)-U331)</f>
        <v>0</v>
      </c>
    </row>
    <row r="332">
      <c r="A332" t="n">
        <v>302</v>
      </c>
      <c r="B332">
        <f>SUMPRODUCT(ROUND($AT331:$BE331*(1+'Calc base'!$H332:$S332),2))</f>
        <v>0</v>
      </c>
      <c r="C332">
        <f>SUM(J332:U332)</f>
        <v>0</v>
      </c>
      <c r="G332">
        <f>SUM(AT332:BE332)</f>
        <v>0</v>
      </c>
      <c r="H332">
        <f>B332-G331</f>
        <v>0</v>
      </c>
      <c r="I332">
        <f>B332-G332</f>
        <v>0</v>
      </c>
      <c r="J332">
        <f>IF(AT331&lt;=0,0,IF(ROUND(AT331*(1+'Calc base'!H332),2)-MAX('Calc base'!C$12,ROUND('Calc base'!C$13*AT331,2))&lt;1,ROUND(AT331*(1+'Calc base'!H332),2),MAX('Calc base'!C$12,ROUND('Calc base'!C$13*AT331,2))))</f>
        <v>0</v>
      </c>
      <c r="K332">
        <f>IF(AU331&lt;=0,0,IF(ROUND(AU331*(1+'Calc base'!I332),2)-MAX('Calc base'!D$12,ROUND('Calc base'!D$13*AU331,2))&lt;1,ROUND(AU331*(1+'Calc base'!I332),2),MAX('Calc base'!D$12,ROUND('Calc base'!D$13*AU331,2))))</f>
        <v>0</v>
      </c>
      <c r="L332">
        <f>IF(AV331&lt;=0,0,IF(ROUND(AV331*(1+'Calc base'!J332),2)-MAX('Calc base'!E$12,ROUND('Calc base'!E$13*AV331,2))&lt;1,ROUND(AV331*(1+'Calc base'!J332),2),MAX('Calc base'!E$12,ROUND('Calc base'!E$13*AV331,2))))</f>
        <v>0</v>
      </c>
      <c r="M332">
        <f>IF(AW331&lt;=0,0,IF(ROUND(AW331*(1+'Calc base'!K332),2)-MAX('Calc base'!F$12,ROUND('Calc base'!F$13*AW331,2))&lt;1,ROUND(AW331*(1+'Calc base'!K332),2),MAX('Calc base'!F$12,ROUND('Calc base'!F$13*AW331,2))))</f>
        <v>0</v>
      </c>
      <c r="N332">
        <f>IF(AX331&lt;=0,0,IF(ROUND(AX331*(1+'Calc base'!L332),2)-MAX('Calc base'!G$12,ROUND('Calc base'!G$13*AX331,2))&lt;1,ROUND(AX331*(1+'Calc base'!L332),2),MAX('Calc base'!G$12,ROUND('Calc base'!G$13*AX331,2))))</f>
        <v>0</v>
      </c>
      <c r="O332">
        <f>IF(AY331&lt;=0,0,IF(ROUND(AY331*(1+'Calc base'!M332),2)-MAX('Calc base'!H$12,ROUND('Calc base'!H$13*AY331,2))&lt;1,ROUND(AY331*(1+'Calc base'!M332),2),MAX('Calc base'!H$12,ROUND('Calc base'!H$13*AY331,2))))</f>
        <v>0</v>
      </c>
      <c r="P332">
        <f>IF(AZ331&lt;=0,0,IF(ROUND(AZ331*(1+'Calc base'!N332),2)-MAX('Calc base'!I$12,ROUND('Calc base'!I$13*AZ331,2))&lt;1,ROUND(AZ331*(1+'Calc base'!N332),2),MAX('Calc base'!I$12,ROUND('Calc base'!I$13*AZ331,2))))</f>
        <v>0</v>
      </c>
      <c r="Q332">
        <f>IF(BA331&lt;=0,0,IF(ROUND(BA331*(1+'Calc base'!O332),2)-MAX('Calc base'!J$12,ROUND('Calc base'!J$13*BA331,2))&lt;1,ROUND(BA331*(1+'Calc base'!O332),2),MAX('Calc base'!J$12,ROUND('Calc base'!J$13*BA331,2))))</f>
        <v>0</v>
      </c>
      <c r="R332">
        <f>IF(BB331&lt;=0,0,IF(ROUND(BB331*(1+'Calc base'!P332),2)-MAX('Calc base'!K$12,ROUND('Calc base'!K$13*BB331,2))&lt;1,ROUND(BB331*(1+'Calc base'!P332),2),MAX('Calc base'!K$12,ROUND('Calc base'!K$13*BB331,2))))</f>
        <v>0</v>
      </c>
      <c r="S332">
        <f>IF(BC331&lt;=0,0,IF(ROUND(BC331*(1+'Calc base'!Q332),2)-MAX('Calc base'!L$12,ROUND('Calc base'!L$13*BC331,2))&lt;1,ROUND(BC331*(1+'Calc base'!Q332),2),MAX('Calc base'!L$12,ROUND('Calc base'!L$13*BC331,2))))</f>
        <v>0</v>
      </c>
      <c r="T332">
        <f>IF(BD331&lt;=0,0,IF(ROUND(BD331*(1+'Calc base'!R332),2)-MAX('Calc base'!M$12,ROUND('Calc base'!M$13*BD331,2))&lt;1,ROUND(BD331*(1+'Calc base'!R332),2),MAX('Calc base'!M$12,ROUND('Calc base'!M$13*BD331,2))))</f>
        <v>0</v>
      </c>
      <c r="U332">
        <f>IF(BE331&lt;=0,0,IF(ROUND(BE331*(1+'Calc base'!S332),2)-MAX('Calc base'!N$12,ROUND('Calc base'!N$13*BE331,2))&lt;1,ROUND(BE331*(1+'Calc base'!S332),2),MAX('Calc base'!N$12,ROUND('Calc base'!N$13*BE331,2))))</f>
        <v>0</v>
      </c>
      <c r="AT332">
        <f>MAX(0,ROUND(AT331*(1+'Calc base'!H332),2)-J332)</f>
        <v>0</v>
      </c>
      <c r="AU332">
        <f>MAX(0,ROUND(AU331*(1+'Calc base'!I332),2)-K332)</f>
        <v>0</v>
      </c>
      <c r="AV332">
        <f>MAX(0,ROUND(AV331*(1+'Calc base'!J332),2)-L332)</f>
        <v>0</v>
      </c>
      <c r="AW332">
        <f>MAX(0,ROUND(AW331*(1+'Calc base'!K332),2)-M332)</f>
        <v>0</v>
      </c>
      <c r="AX332">
        <f>MAX(0,ROUND(AX331*(1+'Calc base'!L332),2)-N332)</f>
        <v>0</v>
      </c>
      <c r="AY332">
        <f>MAX(0,ROUND(AY331*(1+'Calc base'!M332),2)-O332)</f>
        <v>0</v>
      </c>
      <c r="AZ332">
        <f>MAX(0,ROUND(AZ331*(1+'Calc base'!N332),2)-P332)</f>
        <v>0</v>
      </c>
      <c r="BA332">
        <f>MAX(0,ROUND(BA331*(1+'Calc base'!O332),2)-Q332)</f>
        <v>0</v>
      </c>
      <c r="BB332">
        <f>MAX(0,ROUND(BB331*(1+'Calc base'!P332),2)-R332)</f>
        <v>0</v>
      </c>
      <c r="BC332">
        <f>MAX(0,ROUND(BC331*(1+'Calc base'!Q332),2)-S332)</f>
        <v>0</v>
      </c>
      <c r="BD332">
        <f>MAX(0,ROUND(BD331*(1+'Calc base'!R332),2)-T332)</f>
        <v>0</v>
      </c>
      <c r="BE332">
        <f>MAX(0,ROUND(BE331*(1+'Calc base'!S332),2)-U332)</f>
        <v>0</v>
      </c>
    </row>
    <row r="333">
      <c r="A333" t="n">
        <v>303</v>
      </c>
      <c r="B333">
        <f>SUMPRODUCT(ROUND($AT332:$BE332*(1+'Calc base'!$H333:$S333),2))</f>
        <v>0</v>
      </c>
      <c r="C333">
        <f>SUM(J333:U333)</f>
        <v>0</v>
      </c>
      <c r="G333">
        <f>SUM(AT333:BE333)</f>
        <v>0</v>
      </c>
      <c r="H333">
        <f>B333-G332</f>
        <v>0</v>
      </c>
      <c r="I333">
        <f>B333-G333</f>
        <v>0</v>
      </c>
      <c r="J333">
        <f>IF(AT332&lt;=0,0,IF(ROUND(AT332*(1+'Calc base'!H333),2)-MAX('Calc base'!C$12,ROUND('Calc base'!C$13*AT332,2))&lt;1,ROUND(AT332*(1+'Calc base'!H333),2),MAX('Calc base'!C$12,ROUND('Calc base'!C$13*AT332,2))))</f>
        <v>0</v>
      </c>
      <c r="K333">
        <f>IF(AU332&lt;=0,0,IF(ROUND(AU332*(1+'Calc base'!I333),2)-MAX('Calc base'!D$12,ROUND('Calc base'!D$13*AU332,2))&lt;1,ROUND(AU332*(1+'Calc base'!I333),2),MAX('Calc base'!D$12,ROUND('Calc base'!D$13*AU332,2))))</f>
        <v>0</v>
      </c>
      <c r="L333">
        <f>IF(AV332&lt;=0,0,IF(ROUND(AV332*(1+'Calc base'!J333),2)-MAX('Calc base'!E$12,ROUND('Calc base'!E$13*AV332,2))&lt;1,ROUND(AV332*(1+'Calc base'!J333),2),MAX('Calc base'!E$12,ROUND('Calc base'!E$13*AV332,2))))</f>
        <v>0</v>
      </c>
      <c r="M333">
        <f>IF(AW332&lt;=0,0,IF(ROUND(AW332*(1+'Calc base'!K333),2)-MAX('Calc base'!F$12,ROUND('Calc base'!F$13*AW332,2))&lt;1,ROUND(AW332*(1+'Calc base'!K333),2),MAX('Calc base'!F$12,ROUND('Calc base'!F$13*AW332,2))))</f>
        <v>0</v>
      </c>
      <c r="N333">
        <f>IF(AX332&lt;=0,0,IF(ROUND(AX332*(1+'Calc base'!L333),2)-MAX('Calc base'!G$12,ROUND('Calc base'!G$13*AX332,2))&lt;1,ROUND(AX332*(1+'Calc base'!L333),2),MAX('Calc base'!G$12,ROUND('Calc base'!G$13*AX332,2))))</f>
        <v>0</v>
      </c>
      <c r="O333">
        <f>IF(AY332&lt;=0,0,IF(ROUND(AY332*(1+'Calc base'!M333),2)-MAX('Calc base'!H$12,ROUND('Calc base'!H$13*AY332,2))&lt;1,ROUND(AY332*(1+'Calc base'!M333),2),MAX('Calc base'!H$12,ROUND('Calc base'!H$13*AY332,2))))</f>
        <v>0</v>
      </c>
      <c r="P333">
        <f>IF(AZ332&lt;=0,0,IF(ROUND(AZ332*(1+'Calc base'!N333),2)-MAX('Calc base'!I$12,ROUND('Calc base'!I$13*AZ332,2))&lt;1,ROUND(AZ332*(1+'Calc base'!N333),2),MAX('Calc base'!I$12,ROUND('Calc base'!I$13*AZ332,2))))</f>
        <v>0</v>
      </c>
      <c r="Q333">
        <f>IF(BA332&lt;=0,0,IF(ROUND(BA332*(1+'Calc base'!O333),2)-MAX('Calc base'!J$12,ROUND('Calc base'!J$13*BA332,2))&lt;1,ROUND(BA332*(1+'Calc base'!O333),2),MAX('Calc base'!J$12,ROUND('Calc base'!J$13*BA332,2))))</f>
        <v>0</v>
      </c>
      <c r="R333">
        <f>IF(BB332&lt;=0,0,IF(ROUND(BB332*(1+'Calc base'!P333),2)-MAX('Calc base'!K$12,ROUND('Calc base'!K$13*BB332,2))&lt;1,ROUND(BB332*(1+'Calc base'!P333),2),MAX('Calc base'!K$12,ROUND('Calc base'!K$13*BB332,2))))</f>
        <v>0</v>
      </c>
      <c r="S333">
        <f>IF(BC332&lt;=0,0,IF(ROUND(BC332*(1+'Calc base'!Q333),2)-MAX('Calc base'!L$12,ROUND('Calc base'!L$13*BC332,2))&lt;1,ROUND(BC332*(1+'Calc base'!Q333),2),MAX('Calc base'!L$12,ROUND('Calc base'!L$13*BC332,2))))</f>
        <v>0</v>
      </c>
      <c r="T333">
        <f>IF(BD332&lt;=0,0,IF(ROUND(BD332*(1+'Calc base'!R333),2)-MAX('Calc base'!M$12,ROUND('Calc base'!M$13*BD332,2))&lt;1,ROUND(BD332*(1+'Calc base'!R333),2),MAX('Calc base'!M$12,ROUND('Calc base'!M$13*BD332,2))))</f>
        <v>0</v>
      </c>
      <c r="U333">
        <f>IF(BE332&lt;=0,0,IF(ROUND(BE332*(1+'Calc base'!S333),2)-MAX('Calc base'!N$12,ROUND('Calc base'!N$13*BE332,2))&lt;1,ROUND(BE332*(1+'Calc base'!S333),2),MAX('Calc base'!N$12,ROUND('Calc base'!N$13*BE332,2))))</f>
        <v>0</v>
      </c>
      <c r="AT333">
        <f>MAX(0,ROUND(AT332*(1+'Calc base'!H333),2)-J333)</f>
        <v>0</v>
      </c>
      <c r="AU333">
        <f>MAX(0,ROUND(AU332*(1+'Calc base'!I333),2)-K333)</f>
        <v>0</v>
      </c>
      <c r="AV333">
        <f>MAX(0,ROUND(AV332*(1+'Calc base'!J333),2)-L333)</f>
        <v>0</v>
      </c>
      <c r="AW333">
        <f>MAX(0,ROUND(AW332*(1+'Calc base'!K333),2)-M333)</f>
        <v>0</v>
      </c>
      <c r="AX333">
        <f>MAX(0,ROUND(AX332*(1+'Calc base'!L333),2)-N333)</f>
        <v>0</v>
      </c>
      <c r="AY333">
        <f>MAX(0,ROUND(AY332*(1+'Calc base'!M333),2)-O333)</f>
        <v>0</v>
      </c>
      <c r="AZ333">
        <f>MAX(0,ROUND(AZ332*(1+'Calc base'!N333),2)-P333)</f>
        <v>0</v>
      </c>
      <c r="BA333">
        <f>MAX(0,ROUND(BA332*(1+'Calc base'!O333),2)-Q333)</f>
        <v>0</v>
      </c>
      <c r="BB333">
        <f>MAX(0,ROUND(BB332*(1+'Calc base'!P333),2)-R333)</f>
        <v>0</v>
      </c>
      <c r="BC333">
        <f>MAX(0,ROUND(BC332*(1+'Calc base'!Q333),2)-S333)</f>
        <v>0</v>
      </c>
      <c r="BD333">
        <f>MAX(0,ROUND(BD332*(1+'Calc base'!R333),2)-T333)</f>
        <v>0</v>
      </c>
      <c r="BE333">
        <f>MAX(0,ROUND(BE332*(1+'Calc base'!S333),2)-U333)</f>
        <v>0</v>
      </c>
    </row>
    <row r="334">
      <c r="A334" t="n">
        <v>304</v>
      </c>
      <c r="B334">
        <f>SUMPRODUCT(ROUND($AT333:$BE333*(1+'Calc base'!$H334:$S334),2))</f>
        <v>0</v>
      </c>
      <c r="C334">
        <f>SUM(J334:U334)</f>
        <v>0</v>
      </c>
      <c r="G334">
        <f>SUM(AT334:BE334)</f>
        <v>0</v>
      </c>
      <c r="H334">
        <f>B334-G333</f>
        <v>0</v>
      </c>
      <c r="I334">
        <f>B334-G334</f>
        <v>0</v>
      </c>
      <c r="J334">
        <f>IF(AT333&lt;=0,0,IF(ROUND(AT333*(1+'Calc base'!H334),2)-MAX('Calc base'!C$12,ROUND('Calc base'!C$13*AT333,2))&lt;1,ROUND(AT333*(1+'Calc base'!H334),2),MAX('Calc base'!C$12,ROUND('Calc base'!C$13*AT333,2))))</f>
        <v>0</v>
      </c>
      <c r="K334">
        <f>IF(AU333&lt;=0,0,IF(ROUND(AU333*(1+'Calc base'!I334),2)-MAX('Calc base'!D$12,ROUND('Calc base'!D$13*AU333,2))&lt;1,ROUND(AU333*(1+'Calc base'!I334),2),MAX('Calc base'!D$12,ROUND('Calc base'!D$13*AU333,2))))</f>
        <v>0</v>
      </c>
      <c r="L334">
        <f>IF(AV333&lt;=0,0,IF(ROUND(AV333*(1+'Calc base'!J334),2)-MAX('Calc base'!E$12,ROUND('Calc base'!E$13*AV333,2))&lt;1,ROUND(AV333*(1+'Calc base'!J334),2),MAX('Calc base'!E$12,ROUND('Calc base'!E$13*AV333,2))))</f>
        <v>0</v>
      </c>
      <c r="M334">
        <f>IF(AW333&lt;=0,0,IF(ROUND(AW333*(1+'Calc base'!K334),2)-MAX('Calc base'!F$12,ROUND('Calc base'!F$13*AW333,2))&lt;1,ROUND(AW333*(1+'Calc base'!K334),2),MAX('Calc base'!F$12,ROUND('Calc base'!F$13*AW333,2))))</f>
        <v>0</v>
      </c>
      <c r="N334">
        <f>IF(AX333&lt;=0,0,IF(ROUND(AX333*(1+'Calc base'!L334),2)-MAX('Calc base'!G$12,ROUND('Calc base'!G$13*AX333,2))&lt;1,ROUND(AX333*(1+'Calc base'!L334),2),MAX('Calc base'!G$12,ROUND('Calc base'!G$13*AX333,2))))</f>
        <v>0</v>
      </c>
      <c r="O334">
        <f>IF(AY333&lt;=0,0,IF(ROUND(AY333*(1+'Calc base'!M334),2)-MAX('Calc base'!H$12,ROUND('Calc base'!H$13*AY333,2))&lt;1,ROUND(AY333*(1+'Calc base'!M334),2),MAX('Calc base'!H$12,ROUND('Calc base'!H$13*AY333,2))))</f>
        <v>0</v>
      </c>
      <c r="P334">
        <f>IF(AZ333&lt;=0,0,IF(ROUND(AZ333*(1+'Calc base'!N334),2)-MAX('Calc base'!I$12,ROUND('Calc base'!I$13*AZ333,2))&lt;1,ROUND(AZ333*(1+'Calc base'!N334),2),MAX('Calc base'!I$12,ROUND('Calc base'!I$13*AZ333,2))))</f>
        <v>0</v>
      </c>
      <c r="Q334">
        <f>IF(BA333&lt;=0,0,IF(ROUND(BA333*(1+'Calc base'!O334),2)-MAX('Calc base'!J$12,ROUND('Calc base'!J$13*BA333,2))&lt;1,ROUND(BA333*(1+'Calc base'!O334),2),MAX('Calc base'!J$12,ROUND('Calc base'!J$13*BA333,2))))</f>
        <v>0</v>
      </c>
      <c r="R334">
        <f>IF(BB333&lt;=0,0,IF(ROUND(BB333*(1+'Calc base'!P334),2)-MAX('Calc base'!K$12,ROUND('Calc base'!K$13*BB333,2))&lt;1,ROUND(BB333*(1+'Calc base'!P334),2),MAX('Calc base'!K$12,ROUND('Calc base'!K$13*BB333,2))))</f>
        <v>0</v>
      </c>
      <c r="S334">
        <f>IF(BC333&lt;=0,0,IF(ROUND(BC333*(1+'Calc base'!Q334),2)-MAX('Calc base'!L$12,ROUND('Calc base'!L$13*BC333,2))&lt;1,ROUND(BC333*(1+'Calc base'!Q334),2),MAX('Calc base'!L$12,ROUND('Calc base'!L$13*BC333,2))))</f>
        <v>0</v>
      </c>
      <c r="T334">
        <f>IF(BD333&lt;=0,0,IF(ROUND(BD333*(1+'Calc base'!R334),2)-MAX('Calc base'!M$12,ROUND('Calc base'!M$13*BD333,2))&lt;1,ROUND(BD333*(1+'Calc base'!R334),2),MAX('Calc base'!M$12,ROUND('Calc base'!M$13*BD333,2))))</f>
        <v>0</v>
      </c>
      <c r="U334">
        <f>IF(BE333&lt;=0,0,IF(ROUND(BE333*(1+'Calc base'!S334),2)-MAX('Calc base'!N$12,ROUND('Calc base'!N$13*BE333,2))&lt;1,ROUND(BE333*(1+'Calc base'!S334),2),MAX('Calc base'!N$12,ROUND('Calc base'!N$13*BE333,2))))</f>
        <v>0</v>
      </c>
      <c r="AT334">
        <f>MAX(0,ROUND(AT333*(1+'Calc base'!H334),2)-J334)</f>
        <v>0</v>
      </c>
      <c r="AU334">
        <f>MAX(0,ROUND(AU333*(1+'Calc base'!I334),2)-K334)</f>
        <v>0</v>
      </c>
      <c r="AV334">
        <f>MAX(0,ROUND(AV333*(1+'Calc base'!J334),2)-L334)</f>
        <v>0</v>
      </c>
      <c r="AW334">
        <f>MAX(0,ROUND(AW333*(1+'Calc base'!K334),2)-M334)</f>
        <v>0</v>
      </c>
      <c r="AX334">
        <f>MAX(0,ROUND(AX333*(1+'Calc base'!L334),2)-N334)</f>
        <v>0</v>
      </c>
      <c r="AY334">
        <f>MAX(0,ROUND(AY333*(1+'Calc base'!M334),2)-O334)</f>
        <v>0</v>
      </c>
      <c r="AZ334">
        <f>MAX(0,ROUND(AZ333*(1+'Calc base'!N334),2)-P334)</f>
        <v>0</v>
      </c>
      <c r="BA334">
        <f>MAX(0,ROUND(BA333*(1+'Calc base'!O334),2)-Q334)</f>
        <v>0</v>
      </c>
      <c r="BB334">
        <f>MAX(0,ROUND(BB333*(1+'Calc base'!P334),2)-R334)</f>
        <v>0</v>
      </c>
      <c r="BC334">
        <f>MAX(0,ROUND(BC333*(1+'Calc base'!Q334),2)-S334)</f>
        <v>0</v>
      </c>
      <c r="BD334">
        <f>MAX(0,ROUND(BD333*(1+'Calc base'!R334),2)-T334)</f>
        <v>0</v>
      </c>
      <c r="BE334">
        <f>MAX(0,ROUND(BE333*(1+'Calc base'!S334),2)-U334)</f>
        <v>0</v>
      </c>
    </row>
    <row r="335">
      <c r="A335" t="n">
        <v>305</v>
      </c>
      <c r="B335">
        <f>SUMPRODUCT(ROUND($AT334:$BE334*(1+'Calc base'!$H335:$S335),2))</f>
        <v>0</v>
      </c>
      <c r="C335">
        <f>SUM(J335:U335)</f>
        <v>0</v>
      </c>
      <c r="G335">
        <f>SUM(AT335:BE335)</f>
        <v>0</v>
      </c>
      <c r="H335">
        <f>B335-G334</f>
        <v>0</v>
      </c>
      <c r="I335">
        <f>B335-G335</f>
        <v>0</v>
      </c>
      <c r="J335">
        <f>IF(AT334&lt;=0,0,IF(ROUND(AT334*(1+'Calc base'!H335),2)-MAX('Calc base'!C$12,ROUND('Calc base'!C$13*AT334,2))&lt;1,ROUND(AT334*(1+'Calc base'!H335),2),MAX('Calc base'!C$12,ROUND('Calc base'!C$13*AT334,2))))</f>
        <v>0</v>
      </c>
      <c r="K335">
        <f>IF(AU334&lt;=0,0,IF(ROUND(AU334*(1+'Calc base'!I335),2)-MAX('Calc base'!D$12,ROUND('Calc base'!D$13*AU334,2))&lt;1,ROUND(AU334*(1+'Calc base'!I335),2),MAX('Calc base'!D$12,ROUND('Calc base'!D$13*AU334,2))))</f>
        <v>0</v>
      </c>
      <c r="L335">
        <f>IF(AV334&lt;=0,0,IF(ROUND(AV334*(1+'Calc base'!J335),2)-MAX('Calc base'!E$12,ROUND('Calc base'!E$13*AV334,2))&lt;1,ROUND(AV334*(1+'Calc base'!J335),2),MAX('Calc base'!E$12,ROUND('Calc base'!E$13*AV334,2))))</f>
        <v>0</v>
      </c>
      <c r="M335">
        <f>IF(AW334&lt;=0,0,IF(ROUND(AW334*(1+'Calc base'!K335),2)-MAX('Calc base'!F$12,ROUND('Calc base'!F$13*AW334,2))&lt;1,ROUND(AW334*(1+'Calc base'!K335),2),MAX('Calc base'!F$12,ROUND('Calc base'!F$13*AW334,2))))</f>
        <v>0</v>
      </c>
      <c r="N335">
        <f>IF(AX334&lt;=0,0,IF(ROUND(AX334*(1+'Calc base'!L335),2)-MAX('Calc base'!G$12,ROUND('Calc base'!G$13*AX334,2))&lt;1,ROUND(AX334*(1+'Calc base'!L335),2),MAX('Calc base'!G$12,ROUND('Calc base'!G$13*AX334,2))))</f>
        <v>0</v>
      </c>
      <c r="O335">
        <f>IF(AY334&lt;=0,0,IF(ROUND(AY334*(1+'Calc base'!M335),2)-MAX('Calc base'!H$12,ROUND('Calc base'!H$13*AY334,2))&lt;1,ROUND(AY334*(1+'Calc base'!M335),2),MAX('Calc base'!H$12,ROUND('Calc base'!H$13*AY334,2))))</f>
        <v>0</v>
      </c>
      <c r="P335">
        <f>IF(AZ334&lt;=0,0,IF(ROUND(AZ334*(1+'Calc base'!N335),2)-MAX('Calc base'!I$12,ROUND('Calc base'!I$13*AZ334,2))&lt;1,ROUND(AZ334*(1+'Calc base'!N335),2),MAX('Calc base'!I$12,ROUND('Calc base'!I$13*AZ334,2))))</f>
        <v>0</v>
      </c>
      <c r="Q335">
        <f>IF(BA334&lt;=0,0,IF(ROUND(BA334*(1+'Calc base'!O335),2)-MAX('Calc base'!J$12,ROUND('Calc base'!J$13*BA334,2))&lt;1,ROUND(BA334*(1+'Calc base'!O335),2),MAX('Calc base'!J$12,ROUND('Calc base'!J$13*BA334,2))))</f>
        <v>0</v>
      </c>
      <c r="R335">
        <f>IF(BB334&lt;=0,0,IF(ROUND(BB334*(1+'Calc base'!P335),2)-MAX('Calc base'!K$12,ROUND('Calc base'!K$13*BB334,2))&lt;1,ROUND(BB334*(1+'Calc base'!P335),2),MAX('Calc base'!K$12,ROUND('Calc base'!K$13*BB334,2))))</f>
        <v>0</v>
      </c>
      <c r="S335">
        <f>IF(BC334&lt;=0,0,IF(ROUND(BC334*(1+'Calc base'!Q335),2)-MAX('Calc base'!L$12,ROUND('Calc base'!L$13*BC334,2))&lt;1,ROUND(BC334*(1+'Calc base'!Q335),2),MAX('Calc base'!L$12,ROUND('Calc base'!L$13*BC334,2))))</f>
        <v>0</v>
      </c>
      <c r="T335">
        <f>IF(BD334&lt;=0,0,IF(ROUND(BD334*(1+'Calc base'!R335),2)-MAX('Calc base'!M$12,ROUND('Calc base'!M$13*BD334,2))&lt;1,ROUND(BD334*(1+'Calc base'!R335),2),MAX('Calc base'!M$12,ROUND('Calc base'!M$13*BD334,2))))</f>
        <v>0</v>
      </c>
      <c r="U335">
        <f>IF(BE334&lt;=0,0,IF(ROUND(BE334*(1+'Calc base'!S335),2)-MAX('Calc base'!N$12,ROUND('Calc base'!N$13*BE334,2))&lt;1,ROUND(BE334*(1+'Calc base'!S335),2),MAX('Calc base'!N$12,ROUND('Calc base'!N$13*BE334,2))))</f>
        <v>0</v>
      </c>
      <c r="AT335">
        <f>MAX(0,ROUND(AT334*(1+'Calc base'!H335),2)-J335)</f>
        <v>0</v>
      </c>
      <c r="AU335">
        <f>MAX(0,ROUND(AU334*(1+'Calc base'!I335),2)-K335)</f>
        <v>0</v>
      </c>
      <c r="AV335">
        <f>MAX(0,ROUND(AV334*(1+'Calc base'!J335),2)-L335)</f>
        <v>0</v>
      </c>
      <c r="AW335">
        <f>MAX(0,ROUND(AW334*(1+'Calc base'!K335),2)-M335)</f>
        <v>0</v>
      </c>
      <c r="AX335">
        <f>MAX(0,ROUND(AX334*(1+'Calc base'!L335),2)-N335)</f>
        <v>0</v>
      </c>
      <c r="AY335">
        <f>MAX(0,ROUND(AY334*(1+'Calc base'!M335),2)-O335)</f>
        <v>0</v>
      </c>
      <c r="AZ335">
        <f>MAX(0,ROUND(AZ334*(1+'Calc base'!N335),2)-P335)</f>
        <v>0</v>
      </c>
      <c r="BA335">
        <f>MAX(0,ROUND(BA334*(1+'Calc base'!O335),2)-Q335)</f>
        <v>0</v>
      </c>
      <c r="BB335">
        <f>MAX(0,ROUND(BB334*(1+'Calc base'!P335),2)-R335)</f>
        <v>0</v>
      </c>
      <c r="BC335">
        <f>MAX(0,ROUND(BC334*(1+'Calc base'!Q335),2)-S335)</f>
        <v>0</v>
      </c>
      <c r="BD335">
        <f>MAX(0,ROUND(BD334*(1+'Calc base'!R335),2)-T335)</f>
        <v>0</v>
      </c>
      <c r="BE335">
        <f>MAX(0,ROUND(BE334*(1+'Calc base'!S335),2)-U335)</f>
        <v>0</v>
      </c>
    </row>
    <row r="336">
      <c r="A336" t="n">
        <v>306</v>
      </c>
      <c r="B336">
        <f>SUMPRODUCT(ROUND($AT335:$BE335*(1+'Calc base'!$H336:$S336),2))</f>
        <v>0</v>
      </c>
      <c r="C336">
        <f>SUM(J336:U336)</f>
        <v>0</v>
      </c>
      <c r="G336">
        <f>SUM(AT336:BE336)</f>
        <v>0</v>
      </c>
      <c r="H336">
        <f>B336-G335</f>
        <v>0</v>
      </c>
      <c r="I336">
        <f>B336-G336</f>
        <v>0</v>
      </c>
      <c r="J336">
        <f>IF(AT335&lt;=0,0,IF(ROUND(AT335*(1+'Calc base'!H336),2)-MAX('Calc base'!C$12,ROUND('Calc base'!C$13*AT335,2))&lt;1,ROUND(AT335*(1+'Calc base'!H336),2),MAX('Calc base'!C$12,ROUND('Calc base'!C$13*AT335,2))))</f>
        <v>0</v>
      </c>
      <c r="K336">
        <f>IF(AU335&lt;=0,0,IF(ROUND(AU335*(1+'Calc base'!I336),2)-MAX('Calc base'!D$12,ROUND('Calc base'!D$13*AU335,2))&lt;1,ROUND(AU335*(1+'Calc base'!I336),2),MAX('Calc base'!D$12,ROUND('Calc base'!D$13*AU335,2))))</f>
        <v>0</v>
      </c>
      <c r="L336">
        <f>IF(AV335&lt;=0,0,IF(ROUND(AV335*(1+'Calc base'!J336),2)-MAX('Calc base'!E$12,ROUND('Calc base'!E$13*AV335,2))&lt;1,ROUND(AV335*(1+'Calc base'!J336),2),MAX('Calc base'!E$12,ROUND('Calc base'!E$13*AV335,2))))</f>
        <v>0</v>
      </c>
      <c r="M336">
        <f>IF(AW335&lt;=0,0,IF(ROUND(AW335*(1+'Calc base'!K336),2)-MAX('Calc base'!F$12,ROUND('Calc base'!F$13*AW335,2))&lt;1,ROUND(AW335*(1+'Calc base'!K336),2),MAX('Calc base'!F$12,ROUND('Calc base'!F$13*AW335,2))))</f>
        <v>0</v>
      </c>
      <c r="N336">
        <f>IF(AX335&lt;=0,0,IF(ROUND(AX335*(1+'Calc base'!L336),2)-MAX('Calc base'!G$12,ROUND('Calc base'!G$13*AX335,2))&lt;1,ROUND(AX335*(1+'Calc base'!L336),2),MAX('Calc base'!G$12,ROUND('Calc base'!G$13*AX335,2))))</f>
        <v>0</v>
      </c>
      <c r="O336">
        <f>IF(AY335&lt;=0,0,IF(ROUND(AY335*(1+'Calc base'!M336),2)-MAX('Calc base'!H$12,ROUND('Calc base'!H$13*AY335,2))&lt;1,ROUND(AY335*(1+'Calc base'!M336),2),MAX('Calc base'!H$12,ROUND('Calc base'!H$13*AY335,2))))</f>
        <v>0</v>
      </c>
      <c r="P336">
        <f>IF(AZ335&lt;=0,0,IF(ROUND(AZ335*(1+'Calc base'!N336),2)-MAX('Calc base'!I$12,ROUND('Calc base'!I$13*AZ335,2))&lt;1,ROUND(AZ335*(1+'Calc base'!N336),2),MAX('Calc base'!I$12,ROUND('Calc base'!I$13*AZ335,2))))</f>
        <v>0</v>
      </c>
      <c r="Q336">
        <f>IF(BA335&lt;=0,0,IF(ROUND(BA335*(1+'Calc base'!O336),2)-MAX('Calc base'!J$12,ROUND('Calc base'!J$13*BA335,2))&lt;1,ROUND(BA335*(1+'Calc base'!O336),2),MAX('Calc base'!J$12,ROUND('Calc base'!J$13*BA335,2))))</f>
        <v>0</v>
      </c>
      <c r="R336">
        <f>IF(BB335&lt;=0,0,IF(ROUND(BB335*(1+'Calc base'!P336),2)-MAX('Calc base'!K$12,ROUND('Calc base'!K$13*BB335,2))&lt;1,ROUND(BB335*(1+'Calc base'!P336),2),MAX('Calc base'!K$12,ROUND('Calc base'!K$13*BB335,2))))</f>
        <v>0</v>
      </c>
      <c r="S336">
        <f>IF(BC335&lt;=0,0,IF(ROUND(BC335*(1+'Calc base'!Q336),2)-MAX('Calc base'!L$12,ROUND('Calc base'!L$13*BC335,2))&lt;1,ROUND(BC335*(1+'Calc base'!Q336),2),MAX('Calc base'!L$12,ROUND('Calc base'!L$13*BC335,2))))</f>
        <v>0</v>
      </c>
      <c r="T336">
        <f>IF(BD335&lt;=0,0,IF(ROUND(BD335*(1+'Calc base'!R336),2)-MAX('Calc base'!M$12,ROUND('Calc base'!M$13*BD335,2))&lt;1,ROUND(BD335*(1+'Calc base'!R336),2),MAX('Calc base'!M$12,ROUND('Calc base'!M$13*BD335,2))))</f>
        <v>0</v>
      </c>
      <c r="U336">
        <f>IF(BE335&lt;=0,0,IF(ROUND(BE335*(1+'Calc base'!S336),2)-MAX('Calc base'!N$12,ROUND('Calc base'!N$13*BE335,2))&lt;1,ROUND(BE335*(1+'Calc base'!S336),2),MAX('Calc base'!N$12,ROUND('Calc base'!N$13*BE335,2))))</f>
        <v>0</v>
      </c>
      <c r="AT336">
        <f>MAX(0,ROUND(AT335*(1+'Calc base'!H336),2)-J336)</f>
        <v>0</v>
      </c>
      <c r="AU336">
        <f>MAX(0,ROUND(AU335*(1+'Calc base'!I336),2)-K336)</f>
        <v>0</v>
      </c>
      <c r="AV336">
        <f>MAX(0,ROUND(AV335*(1+'Calc base'!J336),2)-L336)</f>
        <v>0</v>
      </c>
      <c r="AW336">
        <f>MAX(0,ROUND(AW335*(1+'Calc base'!K336),2)-M336)</f>
        <v>0</v>
      </c>
      <c r="AX336">
        <f>MAX(0,ROUND(AX335*(1+'Calc base'!L336),2)-N336)</f>
        <v>0</v>
      </c>
      <c r="AY336">
        <f>MAX(0,ROUND(AY335*(1+'Calc base'!M336),2)-O336)</f>
        <v>0</v>
      </c>
      <c r="AZ336">
        <f>MAX(0,ROUND(AZ335*(1+'Calc base'!N336),2)-P336)</f>
        <v>0</v>
      </c>
      <c r="BA336">
        <f>MAX(0,ROUND(BA335*(1+'Calc base'!O336),2)-Q336)</f>
        <v>0</v>
      </c>
      <c r="BB336">
        <f>MAX(0,ROUND(BB335*(1+'Calc base'!P336),2)-R336)</f>
        <v>0</v>
      </c>
      <c r="BC336">
        <f>MAX(0,ROUND(BC335*(1+'Calc base'!Q336),2)-S336)</f>
        <v>0</v>
      </c>
      <c r="BD336">
        <f>MAX(0,ROUND(BD335*(1+'Calc base'!R336),2)-T336)</f>
        <v>0</v>
      </c>
      <c r="BE336">
        <f>MAX(0,ROUND(BE335*(1+'Calc base'!S336),2)-U336)</f>
        <v>0</v>
      </c>
    </row>
    <row r="337">
      <c r="A337" t="n">
        <v>307</v>
      </c>
      <c r="B337">
        <f>SUMPRODUCT(ROUND($AT336:$BE336*(1+'Calc base'!$H337:$S337),2))</f>
        <v>0</v>
      </c>
      <c r="C337">
        <f>SUM(J337:U337)</f>
        <v>0</v>
      </c>
      <c r="G337">
        <f>SUM(AT337:BE337)</f>
        <v>0</v>
      </c>
      <c r="H337">
        <f>B337-G336</f>
        <v>0</v>
      </c>
      <c r="I337">
        <f>B337-G337</f>
        <v>0</v>
      </c>
      <c r="J337">
        <f>IF(AT336&lt;=0,0,IF(ROUND(AT336*(1+'Calc base'!H337),2)-MAX('Calc base'!C$12,ROUND('Calc base'!C$13*AT336,2))&lt;1,ROUND(AT336*(1+'Calc base'!H337),2),MAX('Calc base'!C$12,ROUND('Calc base'!C$13*AT336,2))))</f>
        <v>0</v>
      </c>
      <c r="K337">
        <f>IF(AU336&lt;=0,0,IF(ROUND(AU336*(1+'Calc base'!I337),2)-MAX('Calc base'!D$12,ROUND('Calc base'!D$13*AU336,2))&lt;1,ROUND(AU336*(1+'Calc base'!I337),2),MAX('Calc base'!D$12,ROUND('Calc base'!D$13*AU336,2))))</f>
        <v>0</v>
      </c>
      <c r="L337">
        <f>IF(AV336&lt;=0,0,IF(ROUND(AV336*(1+'Calc base'!J337),2)-MAX('Calc base'!E$12,ROUND('Calc base'!E$13*AV336,2))&lt;1,ROUND(AV336*(1+'Calc base'!J337),2),MAX('Calc base'!E$12,ROUND('Calc base'!E$13*AV336,2))))</f>
        <v>0</v>
      </c>
      <c r="M337">
        <f>IF(AW336&lt;=0,0,IF(ROUND(AW336*(1+'Calc base'!K337),2)-MAX('Calc base'!F$12,ROUND('Calc base'!F$13*AW336,2))&lt;1,ROUND(AW336*(1+'Calc base'!K337),2),MAX('Calc base'!F$12,ROUND('Calc base'!F$13*AW336,2))))</f>
        <v>0</v>
      </c>
      <c r="N337">
        <f>IF(AX336&lt;=0,0,IF(ROUND(AX336*(1+'Calc base'!L337),2)-MAX('Calc base'!G$12,ROUND('Calc base'!G$13*AX336,2))&lt;1,ROUND(AX336*(1+'Calc base'!L337),2),MAX('Calc base'!G$12,ROUND('Calc base'!G$13*AX336,2))))</f>
        <v>0</v>
      </c>
      <c r="O337">
        <f>IF(AY336&lt;=0,0,IF(ROUND(AY336*(1+'Calc base'!M337),2)-MAX('Calc base'!H$12,ROUND('Calc base'!H$13*AY336,2))&lt;1,ROUND(AY336*(1+'Calc base'!M337),2),MAX('Calc base'!H$12,ROUND('Calc base'!H$13*AY336,2))))</f>
        <v>0</v>
      </c>
      <c r="P337">
        <f>IF(AZ336&lt;=0,0,IF(ROUND(AZ336*(1+'Calc base'!N337),2)-MAX('Calc base'!I$12,ROUND('Calc base'!I$13*AZ336,2))&lt;1,ROUND(AZ336*(1+'Calc base'!N337),2),MAX('Calc base'!I$12,ROUND('Calc base'!I$13*AZ336,2))))</f>
        <v>0</v>
      </c>
      <c r="Q337">
        <f>IF(BA336&lt;=0,0,IF(ROUND(BA336*(1+'Calc base'!O337),2)-MAX('Calc base'!J$12,ROUND('Calc base'!J$13*BA336,2))&lt;1,ROUND(BA336*(1+'Calc base'!O337),2),MAX('Calc base'!J$12,ROUND('Calc base'!J$13*BA336,2))))</f>
        <v>0</v>
      </c>
      <c r="R337">
        <f>IF(BB336&lt;=0,0,IF(ROUND(BB336*(1+'Calc base'!P337),2)-MAX('Calc base'!K$12,ROUND('Calc base'!K$13*BB336,2))&lt;1,ROUND(BB336*(1+'Calc base'!P337),2),MAX('Calc base'!K$12,ROUND('Calc base'!K$13*BB336,2))))</f>
        <v>0</v>
      </c>
      <c r="S337">
        <f>IF(BC336&lt;=0,0,IF(ROUND(BC336*(1+'Calc base'!Q337),2)-MAX('Calc base'!L$12,ROUND('Calc base'!L$13*BC336,2))&lt;1,ROUND(BC336*(1+'Calc base'!Q337),2),MAX('Calc base'!L$12,ROUND('Calc base'!L$13*BC336,2))))</f>
        <v>0</v>
      </c>
      <c r="T337">
        <f>IF(BD336&lt;=0,0,IF(ROUND(BD336*(1+'Calc base'!R337),2)-MAX('Calc base'!M$12,ROUND('Calc base'!M$13*BD336,2))&lt;1,ROUND(BD336*(1+'Calc base'!R337),2),MAX('Calc base'!M$12,ROUND('Calc base'!M$13*BD336,2))))</f>
        <v>0</v>
      </c>
      <c r="U337">
        <f>IF(BE336&lt;=0,0,IF(ROUND(BE336*(1+'Calc base'!S337),2)-MAX('Calc base'!N$12,ROUND('Calc base'!N$13*BE336,2))&lt;1,ROUND(BE336*(1+'Calc base'!S337),2),MAX('Calc base'!N$12,ROUND('Calc base'!N$13*BE336,2))))</f>
        <v>0</v>
      </c>
      <c r="AT337">
        <f>MAX(0,ROUND(AT336*(1+'Calc base'!H337),2)-J337)</f>
        <v>0</v>
      </c>
      <c r="AU337">
        <f>MAX(0,ROUND(AU336*(1+'Calc base'!I337),2)-K337)</f>
        <v>0</v>
      </c>
      <c r="AV337">
        <f>MAX(0,ROUND(AV336*(1+'Calc base'!J337),2)-L337)</f>
        <v>0</v>
      </c>
      <c r="AW337">
        <f>MAX(0,ROUND(AW336*(1+'Calc base'!K337),2)-M337)</f>
        <v>0</v>
      </c>
      <c r="AX337">
        <f>MAX(0,ROUND(AX336*(1+'Calc base'!L337),2)-N337)</f>
        <v>0</v>
      </c>
      <c r="AY337">
        <f>MAX(0,ROUND(AY336*(1+'Calc base'!M337),2)-O337)</f>
        <v>0</v>
      </c>
      <c r="AZ337">
        <f>MAX(0,ROUND(AZ336*(1+'Calc base'!N337),2)-P337)</f>
        <v>0</v>
      </c>
      <c r="BA337">
        <f>MAX(0,ROUND(BA336*(1+'Calc base'!O337),2)-Q337)</f>
        <v>0</v>
      </c>
      <c r="BB337">
        <f>MAX(0,ROUND(BB336*(1+'Calc base'!P337),2)-R337)</f>
        <v>0</v>
      </c>
      <c r="BC337">
        <f>MAX(0,ROUND(BC336*(1+'Calc base'!Q337),2)-S337)</f>
        <v>0</v>
      </c>
      <c r="BD337">
        <f>MAX(0,ROUND(BD336*(1+'Calc base'!R337),2)-T337)</f>
        <v>0</v>
      </c>
      <c r="BE337">
        <f>MAX(0,ROUND(BE336*(1+'Calc base'!S337),2)-U337)</f>
        <v>0</v>
      </c>
    </row>
    <row r="338">
      <c r="A338" t="n">
        <v>308</v>
      </c>
      <c r="B338">
        <f>SUMPRODUCT(ROUND($AT337:$BE337*(1+'Calc base'!$H338:$S338),2))</f>
        <v>0</v>
      </c>
      <c r="C338">
        <f>SUM(J338:U338)</f>
        <v>0</v>
      </c>
      <c r="G338">
        <f>SUM(AT338:BE338)</f>
        <v>0</v>
      </c>
      <c r="H338">
        <f>B338-G337</f>
        <v>0</v>
      </c>
      <c r="I338">
        <f>B338-G338</f>
        <v>0</v>
      </c>
      <c r="J338">
        <f>IF(AT337&lt;=0,0,IF(ROUND(AT337*(1+'Calc base'!H338),2)-MAX('Calc base'!C$12,ROUND('Calc base'!C$13*AT337,2))&lt;1,ROUND(AT337*(1+'Calc base'!H338),2),MAX('Calc base'!C$12,ROUND('Calc base'!C$13*AT337,2))))</f>
        <v>0</v>
      </c>
      <c r="K338">
        <f>IF(AU337&lt;=0,0,IF(ROUND(AU337*(1+'Calc base'!I338),2)-MAX('Calc base'!D$12,ROUND('Calc base'!D$13*AU337,2))&lt;1,ROUND(AU337*(1+'Calc base'!I338),2),MAX('Calc base'!D$12,ROUND('Calc base'!D$13*AU337,2))))</f>
        <v>0</v>
      </c>
      <c r="L338">
        <f>IF(AV337&lt;=0,0,IF(ROUND(AV337*(1+'Calc base'!J338),2)-MAX('Calc base'!E$12,ROUND('Calc base'!E$13*AV337,2))&lt;1,ROUND(AV337*(1+'Calc base'!J338),2),MAX('Calc base'!E$12,ROUND('Calc base'!E$13*AV337,2))))</f>
        <v>0</v>
      </c>
      <c r="M338">
        <f>IF(AW337&lt;=0,0,IF(ROUND(AW337*(1+'Calc base'!K338),2)-MAX('Calc base'!F$12,ROUND('Calc base'!F$13*AW337,2))&lt;1,ROUND(AW337*(1+'Calc base'!K338),2),MAX('Calc base'!F$12,ROUND('Calc base'!F$13*AW337,2))))</f>
        <v>0</v>
      </c>
      <c r="N338">
        <f>IF(AX337&lt;=0,0,IF(ROUND(AX337*(1+'Calc base'!L338),2)-MAX('Calc base'!G$12,ROUND('Calc base'!G$13*AX337,2))&lt;1,ROUND(AX337*(1+'Calc base'!L338),2),MAX('Calc base'!G$12,ROUND('Calc base'!G$13*AX337,2))))</f>
        <v>0</v>
      </c>
      <c r="O338">
        <f>IF(AY337&lt;=0,0,IF(ROUND(AY337*(1+'Calc base'!M338),2)-MAX('Calc base'!H$12,ROUND('Calc base'!H$13*AY337,2))&lt;1,ROUND(AY337*(1+'Calc base'!M338),2),MAX('Calc base'!H$12,ROUND('Calc base'!H$13*AY337,2))))</f>
        <v>0</v>
      </c>
      <c r="P338">
        <f>IF(AZ337&lt;=0,0,IF(ROUND(AZ337*(1+'Calc base'!N338),2)-MAX('Calc base'!I$12,ROUND('Calc base'!I$13*AZ337,2))&lt;1,ROUND(AZ337*(1+'Calc base'!N338),2),MAX('Calc base'!I$12,ROUND('Calc base'!I$13*AZ337,2))))</f>
        <v>0</v>
      </c>
      <c r="Q338">
        <f>IF(BA337&lt;=0,0,IF(ROUND(BA337*(1+'Calc base'!O338),2)-MAX('Calc base'!J$12,ROUND('Calc base'!J$13*BA337,2))&lt;1,ROUND(BA337*(1+'Calc base'!O338),2),MAX('Calc base'!J$12,ROUND('Calc base'!J$13*BA337,2))))</f>
        <v>0</v>
      </c>
      <c r="R338">
        <f>IF(BB337&lt;=0,0,IF(ROUND(BB337*(1+'Calc base'!P338),2)-MAX('Calc base'!K$12,ROUND('Calc base'!K$13*BB337,2))&lt;1,ROUND(BB337*(1+'Calc base'!P338),2),MAX('Calc base'!K$12,ROUND('Calc base'!K$13*BB337,2))))</f>
        <v>0</v>
      </c>
      <c r="S338">
        <f>IF(BC337&lt;=0,0,IF(ROUND(BC337*(1+'Calc base'!Q338),2)-MAX('Calc base'!L$12,ROUND('Calc base'!L$13*BC337,2))&lt;1,ROUND(BC337*(1+'Calc base'!Q338),2),MAX('Calc base'!L$12,ROUND('Calc base'!L$13*BC337,2))))</f>
        <v>0</v>
      </c>
      <c r="T338">
        <f>IF(BD337&lt;=0,0,IF(ROUND(BD337*(1+'Calc base'!R338),2)-MAX('Calc base'!M$12,ROUND('Calc base'!M$13*BD337,2))&lt;1,ROUND(BD337*(1+'Calc base'!R338),2),MAX('Calc base'!M$12,ROUND('Calc base'!M$13*BD337,2))))</f>
        <v>0</v>
      </c>
      <c r="U338">
        <f>IF(BE337&lt;=0,0,IF(ROUND(BE337*(1+'Calc base'!S338),2)-MAX('Calc base'!N$12,ROUND('Calc base'!N$13*BE337,2))&lt;1,ROUND(BE337*(1+'Calc base'!S338),2),MAX('Calc base'!N$12,ROUND('Calc base'!N$13*BE337,2))))</f>
        <v>0</v>
      </c>
      <c r="AT338">
        <f>MAX(0,ROUND(AT337*(1+'Calc base'!H338),2)-J338)</f>
        <v>0</v>
      </c>
      <c r="AU338">
        <f>MAX(0,ROUND(AU337*(1+'Calc base'!I338),2)-K338)</f>
        <v>0</v>
      </c>
      <c r="AV338">
        <f>MAX(0,ROUND(AV337*(1+'Calc base'!J338),2)-L338)</f>
        <v>0</v>
      </c>
      <c r="AW338">
        <f>MAX(0,ROUND(AW337*(1+'Calc base'!K338),2)-M338)</f>
        <v>0</v>
      </c>
      <c r="AX338">
        <f>MAX(0,ROUND(AX337*(1+'Calc base'!L338),2)-N338)</f>
        <v>0</v>
      </c>
      <c r="AY338">
        <f>MAX(0,ROUND(AY337*(1+'Calc base'!M338),2)-O338)</f>
        <v>0</v>
      </c>
      <c r="AZ338">
        <f>MAX(0,ROUND(AZ337*(1+'Calc base'!N338),2)-P338)</f>
        <v>0</v>
      </c>
      <c r="BA338">
        <f>MAX(0,ROUND(BA337*(1+'Calc base'!O338),2)-Q338)</f>
        <v>0</v>
      </c>
      <c r="BB338">
        <f>MAX(0,ROUND(BB337*(1+'Calc base'!P338),2)-R338)</f>
        <v>0</v>
      </c>
      <c r="BC338">
        <f>MAX(0,ROUND(BC337*(1+'Calc base'!Q338),2)-S338)</f>
        <v>0</v>
      </c>
      <c r="BD338">
        <f>MAX(0,ROUND(BD337*(1+'Calc base'!R338),2)-T338)</f>
        <v>0</v>
      </c>
      <c r="BE338">
        <f>MAX(0,ROUND(BE337*(1+'Calc base'!S338),2)-U338)</f>
        <v>0</v>
      </c>
    </row>
    <row r="339">
      <c r="A339" t="n">
        <v>309</v>
      </c>
      <c r="B339">
        <f>SUMPRODUCT(ROUND($AT338:$BE338*(1+'Calc base'!$H339:$S339),2))</f>
        <v>0</v>
      </c>
      <c r="C339">
        <f>SUM(J339:U339)</f>
        <v>0</v>
      </c>
      <c r="G339">
        <f>SUM(AT339:BE339)</f>
        <v>0</v>
      </c>
      <c r="H339">
        <f>B339-G338</f>
        <v>0</v>
      </c>
      <c r="I339">
        <f>B339-G339</f>
        <v>0</v>
      </c>
      <c r="J339">
        <f>IF(AT338&lt;=0,0,IF(ROUND(AT338*(1+'Calc base'!H339),2)-MAX('Calc base'!C$12,ROUND('Calc base'!C$13*AT338,2))&lt;1,ROUND(AT338*(1+'Calc base'!H339),2),MAX('Calc base'!C$12,ROUND('Calc base'!C$13*AT338,2))))</f>
        <v>0</v>
      </c>
      <c r="K339">
        <f>IF(AU338&lt;=0,0,IF(ROUND(AU338*(1+'Calc base'!I339),2)-MAX('Calc base'!D$12,ROUND('Calc base'!D$13*AU338,2))&lt;1,ROUND(AU338*(1+'Calc base'!I339),2),MAX('Calc base'!D$12,ROUND('Calc base'!D$13*AU338,2))))</f>
        <v>0</v>
      </c>
      <c r="L339">
        <f>IF(AV338&lt;=0,0,IF(ROUND(AV338*(1+'Calc base'!J339),2)-MAX('Calc base'!E$12,ROUND('Calc base'!E$13*AV338,2))&lt;1,ROUND(AV338*(1+'Calc base'!J339),2),MAX('Calc base'!E$12,ROUND('Calc base'!E$13*AV338,2))))</f>
        <v>0</v>
      </c>
      <c r="M339">
        <f>IF(AW338&lt;=0,0,IF(ROUND(AW338*(1+'Calc base'!K339),2)-MAX('Calc base'!F$12,ROUND('Calc base'!F$13*AW338,2))&lt;1,ROUND(AW338*(1+'Calc base'!K339),2),MAX('Calc base'!F$12,ROUND('Calc base'!F$13*AW338,2))))</f>
        <v>0</v>
      </c>
      <c r="N339">
        <f>IF(AX338&lt;=0,0,IF(ROUND(AX338*(1+'Calc base'!L339),2)-MAX('Calc base'!G$12,ROUND('Calc base'!G$13*AX338,2))&lt;1,ROUND(AX338*(1+'Calc base'!L339),2),MAX('Calc base'!G$12,ROUND('Calc base'!G$13*AX338,2))))</f>
        <v>0</v>
      </c>
      <c r="O339">
        <f>IF(AY338&lt;=0,0,IF(ROUND(AY338*(1+'Calc base'!M339),2)-MAX('Calc base'!H$12,ROUND('Calc base'!H$13*AY338,2))&lt;1,ROUND(AY338*(1+'Calc base'!M339),2),MAX('Calc base'!H$12,ROUND('Calc base'!H$13*AY338,2))))</f>
        <v>0</v>
      </c>
      <c r="P339">
        <f>IF(AZ338&lt;=0,0,IF(ROUND(AZ338*(1+'Calc base'!N339),2)-MAX('Calc base'!I$12,ROUND('Calc base'!I$13*AZ338,2))&lt;1,ROUND(AZ338*(1+'Calc base'!N339),2),MAX('Calc base'!I$12,ROUND('Calc base'!I$13*AZ338,2))))</f>
        <v>0</v>
      </c>
      <c r="Q339">
        <f>IF(BA338&lt;=0,0,IF(ROUND(BA338*(1+'Calc base'!O339),2)-MAX('Calc base'!J$12,ROUND('Calc base'!J$13*BA338,2))&lt;1,ROUND(BA338*(1+'Calc base'!O339),2),MAX('Calc base'!J$12,ROUND('Calc base'!J$13*BA338,2))))</f>
        <v>0</v>
      </c>
      <c r="R339">
        <f>IF(BB338&lt;=0,0,IF(ROUND(BB338*(1+'Calc base'!P339),2)-MAX('Calc base'!K$12,ROUND('Calc base'!K$13*BB338,2))&lt;1,ROUND(BB338*(1+'Calc base'!P339),2),MAX('Calc base'!K$12,ROUND('Calc base'!K$13*BB338,2))))</f>
        <v>0</v>
      </c>
      <c r="S339">
        <f>IF(BC338&lt;=0,0,IF(ROUND(BC338*(1+'Calc base'!Q339),2)-MAX('Calc base'!L$12,ROUND('Calc base'!L$13*BC338,2))&lt;1,ROUND(BC338*(1+'Calc base'!Q339),2),MAX('Calc base'!L$12,ROUND('Calc base'!L$13*BC338,2))))</f>
        <v>0</v>
      </c>
      <c r="T339">
        <f>IF(BD338&lt;=0,0,IF(ROUND(BD338*(1+'Calc base'!R339),2)-MAX('Calc base'!M$12,ROUND('Calc base'!M$13*BD338,2))&lt;1,ROUND(BD338*(1+'Calc base'!R339),2),MAX('Calc base'!M$12,ROUND('Calc base'!M$13*BD338,2))))</f>
        <v>0</v>
      </c>
      <c r="U339">
        <f>IF(BE338&lt;=0,0,IF(ROUND(BE338*(1+'Calc base'!S339),2)-MAX('Calc base'!N$12,ROUND('Calc base'!N$13*BE338,2))&lt;1,ROUND(BE338*(1+'Calc base'!S339),2),MAX('Calc base'!N$12,ROUND('Calc base'!N$13*BE338,2))))</f>
        <v>0</v>
      </c>
      <c r="AT339">
        <f>MAX(0,ROUND(AT338*(1+'Calc base'!H339),2)-J339)</f>
        <v>0</v>
      </c>
      <c r="AU339">
        <f>MAX(0,ROUND(AU338*(1+'Calc base'!I339),2)-K339)</f>
        <v>0</v>
      </c>
      <c r="AV339">
        <f>MAX(0,ROUND(AV338*(1+'Calc base'!J339),2)-L339)</f>
        <v>0</v>
      </c>
      <c r="AW339">
        <f>MAX(0,ROUND(AW338*(1+'Calc base'!K339),2)-M339)</f>
        <v>0</v>
      </c>
      <c r="AX339">
        <f>MAX(0,ROUND(AX338*(1+'Calc base'!L339),2)-N339)</f>
        <v>0</v>
      </c>
      <c r="AY339">
        <f>MAX(0,ROUND(AY338*(1+'Calc base'!M339),2)-O339)</f>
        <v>0</v>
      </c>
      <c r="AZ339">
        <f>MAX(0,ROUND(AZ338*(1+'Calc base'!N339),2)-P339)</f>
        <v>0</v>
      </c>
      <c r="BA339">
        <f>MAX(0,ROUND(BA338*(1+'Calc base'!O339),2)-Q339)</f>
        <v>0</v>
      </c>
      <c r="BB339">
        <f>MAX(0,ROUND(BB338*(1+'Calc base'!P339),2)-R339)</f>
        <v>0</v>
      </c>
      <c r="BC339">
        <f>MAX(0,ROUND(BC338*(1+'Calc base'!Q339),2)-S339)</f>
        <v>0</v>
      </c>
      <c r="BD339">
        <f>MAX(0,ROUND(BD338*(1+'Calc base'!R339),2)-T339)</f>
        <v>0</v>
      </c>
      <c r="BE339">
        <f>MAX(0,ROUND(BE338*(1+'Calc base'!S339),2)-U339)</f>
        <v>0</v>
      </c>
    </row>
    <row r="340">
      <c r="A340" t="n">
        <v>310</v>
      </c>
      <c r="B340">
        <f>SUMPRODUCT(ROUND($AT339:$BE339*(1+'Calc base'!$H340:$S340),2))</f>
        <v>0</v>
      </c>
      <c r="C340">
        <f>SUM(J340:U340)</f>
        <v>0</v>
      </c>
      <c r="G340">
        <f>SUM(AT340:BE340)</f>
        <v>0</v>
      </c>
      <c r="H340">
        <f>B340-G339</f>
        <v>0</v>
      </c>
      <c r="I340">
        <f>B340-G340</f>
        <v>0</v>
      </c>
      <c r="J340">
        <f>IF(AT339&lt;=0,0,IF(ROUND(AT339*(1+'Calc base'!H340),2)-MAX('Calc base'!C$12,ROUND('Calc base'!C$13*AT339,2))&lt;1,ROUND(AT339*(1+'Calc base'!H340),2),MAX('Calc base'!C$12,ROUND('Calc base'!C$13*AT339,2))))</f>
        <v>0</v>
      </c>
      <c r="K340">
        <f>IF(AU339&lt;=0,0,IF(ROUND(AU339*(1+'Calc base'!I340),2)-MAX('Calc base'!D$12,ROUND('Calc base'!D$13*AU339,2))&lt;1,ROUND(AU339*(1+'Calc base'!I340),2),MAX('Calc base'!D$12,ROUND('Calc base'!D$13*AU339,2))))</f>
        <v>0</v>
      </c>
      <c r="L340">
        <f>IF(AV339&lt;=0,0,IF(ROUND(AV339*(1+'Calc base'!J340),2)-MAX('Calc base'!E$12,ROUND('Calc base'!E$13*AV339,2))&lt;1,ROUND(AV339*(1+'Calc base'!J340),2),MAX('Calc base'!E$12,ROUND('Calc base'!E$13*AV339,2))))</f>
        <v>0</v>
      </c>
      <c r="M340">
        <f>IF(AW339&lt;=0,0,IF(ROUND(AW339*(1+'Calc base'!K340),2)-MAX('Calc base'!F$12,ROUND('Calc base'!F$13*AW339,2))&lt;1,ROUND(AW339*(1+'Calc base'!K340),2),MAX('Calc base'!F$12,ROUND('Calc base'!F$13*AW339,2))))</f>
        <v>0</v>
      </c>
      <c r="N340">
        <f>IF(AX339&lt;=0,0,IF(ROUND(AX339*(1+'Calc base'!L340),2)-MAX('Calc base'!G$12,ROUND('Calc base'!G$13*AX339,2))&lt;1,ROUND(AX339*(1+'Calc base'!L340),2),MAX('Calc base'!G$12,ROUND('Calc base'!G$13*AX339,2))))</f>
        <v>0</v>
      </c>
      <c r="O340">
        <f>IF(AY339&lt;=0,0,IF(ROUND(AY339*(1+'Calc base'!M340),2)-MAX('Calc base'!H$12,ROUND('Calc base'!H$13*AY339,2))&lt;1,ROUND(AY339*(1+'Calc base'!M340),2),MAX('Calc base'!H$12,ROUND('Calc base'!H$13*AY339,2))))</f>
        <v>0</v>
      </c>
      <c r="P340">
        <f>IF(AZ339&lt;=0,0,IF(ROUND(AZ339*(1+'Calc base'!N340),2)-MAX('Calc base'!I$12,ROUND('Calc base'!I$13*AZ339,2))&lt;1,ROUND(AZ339*(1+'Calc base'!N340),2),MAX('Calc base'!I$12,ROUND('Calc base'!I$13*AZ339,2))))</f>
        <v>0</v>
      </c>
      <c r="Q340">
        <f>IF(BA339&lt;=0,0,IF(ROUND(BA339*(1+'Calc base'!O340),2)-MAX('Calc base'!J$12,ROUND('Calc base'!J$13*BA339,2))&lt;1,ROUND(BA339*(1+'Calc base'!O340),2),MAX('Calc base'!J$12,ROUND('Calc base'!J$13*BA339,2))))</f>
        <v>0</v>
      </c>
      <c r="R340">
        <f>IF(BB339&lt;=0,0,IF(ROUND(BB339*(1+'Calc base'!P340),2)-MAX('Calc base'!K$12,ROUND('Calc base'!K$13*BB339,2))&lt;1,ROUND(BB339*(1+'Calc base'!P340),2),MAX('Calc base'!K$12,ROUND('Calc base'!K$13*BB339,2))))</f>
        <v>0</v>
      </c>
      <c r="S340">
        <f>IF(BC339&lt;=0,0,IF(ROUND(BC339*(1+'Calc base'!Q340),2)-MAX('Calc base'!L$12,ROUND('Calc base'!L$13*BC339,2))&lt;1,ROUND(BC339*(1+'Calc base'!Q340),2),MAX('Calc base'!L$12,ROUND('Calc base'!L$13*BC339,2))))</f>
        <v>0</v>
      </c>
      <c r="T340">
        <f>IF(BD339&lt;=0,0,IF(ROUND(BD339*(1+'Calc base'!R340),2)-MAX('Calc base'!M$12,ROUND('Calc base'!M$13*BD339,2))&lt;1,ROUND(BD339*(1+'Calc base'!R340),2),MAX('Calc base'!M$12,ROUND('Calc base'!M$13*BD339,2))))</f>
        <v>0</v>
      </c>
      <c r="U340">
        <f>IF(BE339&lt;=0,0,IF(ROUND(BE339*(1+'Calc base'!S340),2)-MAX('Calc base'!N$12,ROUND('Calc base'!N$13*BE339,2))&lt;1,ROUND(BE339*(1+'Calc base'!S340),2),MAX('Calc base'!N$12,ROUND('Calc base'!N$13*BE339,2))))</f>
        <v>0</v>
      </c>
      <c r="AT340">
        <f>MAX(0,ROUND(AT339*(1+'Calc base'!H340),2)-J340)</f>
        <v>0</v>
      </c>
      <c r="AU340">
        <f>MAX(0,ROUND(AU339*(1+'Calc base'!I340),2)-K340)</f>
        <v>0</v>
      </c>
      <c r="AV340">
        <f>MAX(0,ROUND(AV339*(1+'Calc base'!J340),2)-L340)</f>
        <v>0</v>
      </c>
      <c r="AW340">
        <f>MAX(0,ROUND(AW339*(1+'Calc base'!K340),2)-M340)</f>
        <v>0</v>
      </c>
      <c r="AX340">
        <f>MAX(0,ROUND(AX339*(1+'Calc base'!L340),2)-N340)</f>
        <v>0</v>
      </c>
      <c r="AY340">
        <f>MAX(0,ROUND(AY339*(1+'Calc base'!M340),2)-O340)</f>
        <v>0</v>
      </c>
      <c r="AZ340">
        <f>MAX(0,ROUND(AZ339*(1+'Calc base'!N340),2)-P340)</f>
        <v>0</v>
      </c>
      <c r="BA340">
        <f>MAX(0,ROUND(BA339*(1+'Calc base'!O340),2)-Q340)</f>
        <v>0</v>
      </c>
      <c r="BB340">
        <f>MAX(0,ROUND(BB339*(1+'Calc base'!P340),2)-R340)</f>
        <v>0</v>
      </c>
      <c r="BC340">
        <f>MAX(0,ROUND(BC339*(1+'Calc base'!Q340),2)-S340)</f>
        <v>0</v>
      </c>
      <c r="BD340">
        <f>MAX(0,ROUND(BD339*(1+'Calc base'!R340),2)-T340)</f>
        <v>0</v>
      </c>
      <c r="BE340">
        <f>MAX(0,ROUND(BE339*(1+'Calc base'!S340),2)-U340)</f>
        <v>0</v>
      </c>
    </row>
    <row r="341">
      <c r="A341" t="n">
        <v>311</v>
      </c>
      <c r="B341">
        <f>SUMPRODUCT(ROUND($AT340:$BE340*(1+'Calc base'!$H341:$S341),2))</f>
        <v>0</v>
      </c>
      <c r="C341">
        <f>SUM(J341:U341)</f>
        <v>0</v>
      </c>
      <c r="G341">
        <f>SUM(AT341:BE341)</f>
        <v>0</v>
      </c>
      <c r="H341">
        <f>B341-G340</f>
        <v>0</v>
      </c>
      <c r="I341">
        <f>B341-G341</f>
        <v>0</v>
      </c>
      <c r="J341">
        <f>IF(AT340&lt;=0,0,IF(ROUND(AT340*(1+'Calc base'!H341),2)-MAX('Calc base'!C$12,ROUND('Calc base'!C$13*AT340,2))&lt;1,ROUND(AT340*(1+'Calc base'!H341),2),MAX('Calc base'!C$12,ROUND('Calc base'!C$13*AT340,2))))</f>
        <v>0</v>
      </c>
      <c r="K341">
        <f>IF(AU340&lt;=0,0,IF(ROUND(AU340*(1+'Calc base'!I341),2)-MAX('Calc base'!D$12,ROUND('Calc base'!D$13*AU340,2))&lt;1,ROUND(AU340*(1+'Calc base'!I341),2),MAX('Calc base'!D$12,ROUND('Calc base'!D$13*AU340,2))))</f>
        <v>0</v>
      </c>
      <c r="L341">
        <f>IF(AV340&lt;=0,0,IF(ROUND(AV340*(1+'Calc base'!J341),2)-MAX('Calc base'!E$12,ROUND('Calc base'!E$13*AV340,2))&lt;1,ROUND(AV340*(1+'Calc base'!J341),2),MAX('Calc base'!E$12,ROUND('Calc base'!E$13*AV340,2))))</f>
        <v>0</v>
      </c>
      <c r="M341">
        <f>IF(AW340&lt;=0,0,IF(ROUND(AW340*(1+'Calc base'!K341),2)-MAX('Calc base'!F$12,ROUND('Calc base'!F$13*AW340,2))&lt;1,ROUND(AW340*(1+'Calc base'!K341),2),MAX('Calc base'!F$12,ROUND('Calc base'!F$13*AW340,2))))</f>
        <v>0</v>
      </c>
      <c r="N341">
        <f>IF(AX340&lt;=0,0,IF(ROUND(AX340*(1+'Calc base'!L341),2)-MAX('Calc base'!G$12,ROUND('Calc base'!G$13*AX340,2))&lt;1,ROUND(AX340*(1+'Calc base'!L341),2),MAX('Calc base'!G$12,ROUND('Calc base'!G$13*AX340,2))))</f>
        <v>0</v>
      </c>
      <c r="O341">
        <f>IF(AY340&lt;=0,0,IF(ROUND(AY340*(1+'Calc base'!M341),2)-MAX('Calc base'!H$12,ROUND('Calc base'!H$13*AY340,2))&lt;1,ROUND(AY340*(1+'Calc base'!M341),2),MAX('Calc base'!H$12,ROUND('Calc base'!H$13*AY340,2))))</f>
        <v>0</v>
      </c>
      <c r="P341">
        <f>IF(AZ340&lt;=0,0,IF(ROUND(AZ340*(1+'Calc base'!N341),2)-MAX('Calc base'!I$12,ROUND('Calc base'!I$13*AZ340,2))&lt;1,ROUND(AZ340*(1+'Calc base'!N341),2),MAX('Calc base'!I$12,ROUND('Calc base'!I$13*AZ340,2))))</f>
        <v>0</v>
      </c>
      <c r="Q341">
        <f>IF(BA340&lt;=0,0,IF(ROUND(BA340*(1+'Calc base'!O341),2)-MAX('Calc base'!J$12,ROUND('Calc base'!J$13*BA340,2))&lt;1,ROUND(BA340*(1+'Calc base'!O341),2),MAX('Calc base'!J$12,ROUND('Calc base'!J$13*BA340,2))))</f>
        <v>0</v>
      </c>
      <c r="R341">
        <f>IF(BB340&lt;=0,0,IF(ROUND(BB340*(1+'Calc base'!P341),2)-MAX('Calc base'!K$12,ROUND('Calc base'!K$13*BB340,2))&lt;1,ROUND(BB340*(1+'Calc base'!P341),2),MAX('Calc base'!K$12,ROUND('Calc base'!K$13*BB340,2))))</f>
        <v>0</v>
      </c>
      <c r="S341">
        <f>IF(BC340&lt;=0,0,IF(ROUND(BC340*(1+'Calc base'!Q341),2)-MAX('Calc base'!L$12,ROUND('Calc base'!L$13*BC340,2))&lt;1,ROUND(BC340*(1+'Calc base'!Q341),2),MAX('Calc base'!L$12,ROUND('Calc base'!L$13*BC340,2))))</f>
        <v>0</v>
      </c>
      <c r="T341">
        <f>IF(BD340&lt;=0,0,IF(ROUND(BD340*(1+'Calc base'!R341),2)-MAX('Calc base'!M$12,ROUND('Calc base'!M$13*BD340,2))&lt;1,ROUND(BD340*(1+'Calc base'!R341),2),MAX('Calc base'!M$12,ROUND('Calc base'!M$13*BD340,2))))</f>
        <v>0</v>
      </c>
      <c r="U341">
        <f>IF(BE340&lt;=0,0,IF(ROUND(BE340*(1+'Calc base'!S341),2)-MAX('Calc base'!N$12,ROUND('Calc base'!N$13*BE340,2))&lt;1,ROUND(BE340*(1+'Calc base'!S341),2),MAX('Calc base'!N$12,ROUND('Calc base'!N$13*BE340,2))))</f>
        <v>0</v>
      </c>
      <c r="AT341">
        <f>MAX(0,ROUND(AT340*(1+'Calc base'!H341),2)-J341)</f>
        <v>0</v>
      </c>
      <c r="AU341">
        <f>MAX(0,ROUND(AU340*(1+'Calc base'!I341),2)-K341)</f>
        <v>0</v>
      </c>
      <c r="AV341">
        <f>MAX(0,ROUND(AV340*(1+'Calc base'!J341),2)-L341)</f>
        <v>0</v>
      </c>
      <c r="AW341">
        <f>MAX(0,ROUND(AW340*(1+'Calc base'!K341),2)-M341)</f>
        <v>0</v>
      </c>
      <c r="AX341">
        <f>MAX(0,ROUND(AX340*(1+'Calc base'!L341),2)-N341)</f>
        <v>0</v>
      </c>
      <c r="AY341">
        <f>MAX(0,ROUND(AY340*(1+'Calc base'!M341),2)-O341)</f>
        <v>0</v>
      </c>
      <c r="AZ341">
        <f>MAX(0,ROUND(AZ340*(1+'Calc base'!N341),2)-P341)</f>
        <v>0</v>
      </c>
      <c r="BA341">
        <f>MAX(0,ROUND(BA340*(1+'Calc base'!O341),2)-Q341)</f>
        <v>0</v>
      </c>
      <c r="BB341">
        <f>MAX(0,ROUND(BB340*(1+'Calc base'!P341),2)-R341)</f>
        <v>0</v>
      </c>
      <c r="BC341">
        <f>MAX(0,ROUND(BC340*(1+'Calc base'!Q341),2)-S341)</f>
        <v>0</v>
      </c>
      <c r="BD341">
        <f>MAX(0,ROUND(BD340*(1+'Calc base'!R341),2)-T341)</f>
        <v>0</v>
      </c>
      <c r="BE341">
        <f>MAX(0,ROUND(BE340*(1+'Calc base'!S341),2)-U341)</f>
        <v>0</v>
      </c>
    </row>
    <row r="342">
      <c r="A342" t="n">
        <v>312</v>
      </c>
      <c r="B342">
        <f>SUMPRODUCT(ROUND($AT341:$BE341*(1+'Calc base'!$H342:$S342),2))</f>
        <v>0</v>
      </c>
      <c r="C342">
        <f>SUM(J342:U342)</f>
        <v>0</v>
      </c>
      <c r="G342">
        <f>SUM(AT342:BE342)</f>
        <v>0</v>
      </c>
      <c r="H342">
        <f>B342-G341</f>
        <v>0</v>
      </c>
      <c r="I342">
        <f>B342-G342</f>
        <v>0</v>
      </c>
      <c r="J342">
        <f>IF(AT341&lt;=0,0,IF(ROUND(AT341*(1+'Calc base'!H342),2)-MAX('Calc base'!C$12,ROUND('Calc base'!C$13*AT341,2))&lt;1,ROUND(AT341*(1+'Calc base'!H342),2),MAX('Calc base'!C$12,ROUND('Calc base'!C$13*AT341,2))))</f>
        <v>0</v>
      </c>
      <c r="K342">
        <f>IF(AU341&lt;=0,0,IF(ROUND(AU341*(1+'Calc base'!I342),2)-MAX('Calc base'!D$12,ROUND('Calc base'!D$13*AU341,2))&lt;1,ROUND(AU341*(1+'Calc base'!I342),2),MAX('Calc base'!D$12,ROUND('Calc base'!D$13*AU341,2))))</f>
        <v>0</v>
      </c>
      <c r="L342">
        <f>IF(AV341&lt;=0,0,IF(ROUND(AV341*(1+'Calc base'!J342),2)-MAX('Calc base'!E$12,ROUND('Calc base'!E$13*AV341,2))&lt;1,ROUND(AV341*(1+'Calc base'!J342),2),MAX('Calc base'!E$12,ROUND('Calc base'!E$13*AV341,2))))</f>
        <v>0</v>
      </c>
      <c r="M342">
        <f>IF(AW341&lt;=0,0,IF(ROUND(AW341*(1+'Calc base'!K342),2)-MAX('Calc base'!F$12,ROUND('Calc base'!F$13*AW341,2))&lt;1,ROUND(AW341*(1+'Calc base'!K342),2),MAX('Calc base'!F$12,ROUND('Calc base'!F$13*AW341,2))))</f>
        <v>0</v>
      </c>
      <c r="N342">
        <f>IF(AX341&lt;=0,0,IF(ROUND(AX341*(1+'Calc base'!L342),2)-MAX('Calc base'!G$12,ROUND('Calc base'!G$13*AX341,2))&lt;1,ROUND(AX341*(1+'Calc base'!L342),2),MAX('Calc base'!G$12,ROUND('Calc base'!G$13*AX341,2))))</f>
        <v>0</v>
      </c>
      <c r="O342">
        <f>IF(AY341&lt;=0,0,IF(ROUND(AY341*(1+'Calc base'!M342),2)-MAX('Calc base'!H$12,ROUND('Calc base'!H$13*AY341,2))&lt;1,ROUND(AY341*(1+'Calc base'!M342),2),MAX('Calc base'!H$12,ROUND('Calc base'!H$13*AY341,2))))</f>
        <v>0</v>
      </c>
      <c r="P342">
        <f>IF(AZ341&lt;=0,0,IF(ROUND(AZ341*(1+'Calc base'!N342),2)-MAX('Calc base'!I$12,ROUND('Calc base'!I$13*AZ341,2))&lt;1,ROUND(AZ341*(1+'Calc base'!N342),2),MAX('Calc base'!I$12,ROUND('Calc base'!I$13*AZ341,2))))</f>
        <v>0</v>
      </c>
      <c r="Q342">
        <f>IF(BA341&lt;=0,0,IF(ROUND(BA341*(1+'Calc base'!O342),2)-MAX('Calc base'!J$12,ROUND('Calc base'!J$13*BA341,2))&lt;1,ROUND(BA341*(1+'Calc base'!O342),2),MAX('Calc base'!J$12,ROUND('Calc base'!J$13*BA341,2))))</f>
        <v>0</v>
      </c>
      <c r="R342">
        <f>IF(BB341&lt;=0,0,IF(ROUND(BB341*(1+'Calc base'!P342),2)-MAX('Calc base'!K$12,ROUND('Calc base'!K$13*BB341,2))&lt;1,ROUND(BB341*(1+'Calc base'!P342),2),MAX('Calc base'!K$12,ROUND('Calc base'!K$13*BB341,2))))</f>
        <v>0</v>
      </c>
      <c r="S342">
        <f>IF(BC341&lt;=0,0,IF(ROUND(BC341*(1+'Calc base'!Q342),2)-MAX('Calc base'!L$12,ROUND('Calc base'!L$13*BC341,2))&lt;1,ROUND(BC341*(1+'Calc base'!Q342),2),MAX('Calc base'!L$12,ROUND('Calc base'!L$13*BC341,2))))</f>
        <v>0</v>
      </c>
      <c r="T342">
        <f>IF(BD341&lt;=0,0,IF(ROUND(BD341*(1+'Calc base'!R342),2)-MAX('Calc base'!M$12,ROUND('Calc base'!M$13*BD341,2))&lt;1,ROUND(BD341*(1+'Calc base'!R342),2),MAX('Calc base'!M$12,ROUND('Calc base'!M$13*BD341,2))))</f>
        <v>0</v>
      </c>
      <c r="U342">
        <f>IF(BE341&lt;=0,0,IF(ROUND(BE341*(1+'Calc base'!S342),2)-MAX('Calc base'!N$12,ROUND('Calc base'!N$13*BE341,2))&lt;1,ROUND(BE341*(1+'Calc base'!S342),2),MAX('Calc base'!N$12,ROUND('Calc base'!N$13*BE341,2))))</f>
        <v>0</v>
      </c>
      <c r="AT342">
        <f>MAX(0,ROUND(AT341*(1+'Calc base'!H342),2)-J342)</f>
        <v>0</v>
      </c>
      <c r="AU342">
        <f>MAX(0,ROUND(AU341*(1+'Calc base'!I342),2)-K342)</f>
        <v>0</v>
      </c>
      <c r="AV342">
        <f>MAX(0,ROUND(AV341*(1+'Calc base'!J342),2)-L342)</f>
        <v>0</v>
      </c>
      <c r="AW342">
        <f>MAX(0,ROUND(AW341*(1+'Calc base'!K342),2)-M342)</f>
        <v>0</v>
      </c>
      <c r="AX342">
        <f>MAX(0,ROUND(AX341*(1+'Calc base'!L342),2)-N342)</f>
        <v>0</v>
      </c>
      <c r="AY342">
        <f>MAX(0,ROUND(AY341*(1+'Calc base'!M342),2)-O342)</f>
        <v>0</v>
      </c>
      <c r="AZ342">
        <f>MAX(0,ROUND(AZ341*(1+'Calc base'!N342),2)-P342)</f>
        <v>0</v>
      </c>
      <c r="BA342">
        <f>MAX(0,ROUND(BA341*(1+'Calc base'!O342),2)-Q342)</f>
        <v>0</v>
      </c>
      <c r="BB342">
        <f>MAX(0,ROUND(BB341*(1+'Calc base'!P342),2)-R342)</f>
        <v>0</v>
      </c>
      <c r="BC342">
        <f>MAX(0,ROUND(BC341*(1+'Calc base'!Q342),2)-S342)</f>
        <v>0</v>
      </c>
      <c r="BD342">
        <f>MAX(0,ROUND(BD341*(1+'Calc base'!R342),2)-T342)</f>
        <v>0</v>
      </c>
      <c r="BE342">
        <f>MAX(0,ROUND(BE341*(1+'Calc base'!S342),2)-U342)</f>
        <v>0</v>
      </c>
    </row>
    <row r="343">
      <c r="A343" t="n">
        <v>313</v>
      </c>
      <c r="B343">
        <f>SUMPRODUCT(ROUND($AT342:$BE342*(1+'Calc base'!$H343:$S343),2))</f>
        <v>0</v>
      </c>
      <c r="C343">
        <f>SUM(J343:U343)</f>
        <v>0</v>
      </c>
      <c r="G343">
        <f>SUM(AT343:BE343)</f>
        <v>0</v>
      </c>
      <c r="H343">
        <f>B343-G342</f>
        <v>0</v>
      </c>
      <c r="I343">
        <f>B343-G343</f>
        <v>0</v>
      </c>
      <c r="J343">
        <f>IF(AT342&lt;=0,0,IF(ROUND(AT342*(1+'Calc base'!H343),2)-MAX('Calc base'!C$12,ROUND('Calc base'!C$13*AT342,2))&lt;1,ROUND(AT342*(1+'Calc base'!H343),2),MAX('Calc base'!C$12,ROUND('Calc base'!C$13*AT342,2))))</f>
        <v>0</v>
      </c>
      <c r="K343">
        <f>IF(AU342&lt;=0,0,IF(ROUND(AU342*(1+'Calc base'!I343),2)-MAX('Calc base'!D$12,ROUND('Calc base'!D$13*AU342,2))&lt;1,ROUND(AU342*(1+'Calc base'!I343),2),MAX('Calc base'!D$12,ROUND('Calc base'!D$13*AU342,2))))</f>
        <v>0</v>
      </c>
      <c r="L343">
        <f>IF(AV342&lt;=0,0,IF(ROUND(AV342*(1+'Calc base'!J343),2)-MAX('Calc base'!E$12,ROUND('Calc base'!E$13*AV342,2))&lt;1,ROUND(AV342*(1+'Calc base'!J343),2),MAX('Calc base'!E$12,ROUND('Calc base'!E$13*AV342,2))))</f>
        <v>0</v>
      </c>
      <c r="M343">
        <f>IF(AW342&lt;=0,0,IF(ROUND(AW342*(1+'Calc base'!K343),2)-MAX('Calc base'!F$12,ROUND('Calc base'!F$13*AW342,2))&lt;1,ROUND(AW342*(1+'Calc base'!K343),2),MAX('Calc base'!F$12,ROUND('Calc base'!F$13*AW342,2))))</f>
        <v>0</v>
      </c>
      <c r="N343">
        <f>IF(AX342&lt;=0,0,IF(ROUND(AX342*(1+'Calc base'!L343),2)-MAX('Calc base'!G$12,ROUND('Calc base'!G$13*AX342,2))&lt;1,ROUND(AX342*(1+'Calc base'!L343),2),MAX('Calc base'!G$12,ROUND('Calc base'!G$13*AX342,2))))</f>
        <v>0</v>
      </c>
      <c r="O343">
        <f>IF(AY342&lt;=0,0,IF(ROUND(AY342*(1+'Calc base'!M343),2)-MAX('Calc base'!H$12,ROUND('Calc base'!H$13*AY342,2))&lt;1,ROUND(AY342*(1+'Calc base'!M343),2),MAX('Calc base'!H$12,ROUND('Calc base'!H$13*AY342,2))))</f>
        <v>0</v>
      </c>
      <c r="P343">
        <f>IF(AZ342&lt;=0,0,IF(ROUND(AZ342*(1+'Calc base'!N343),2)-MAX('Calc base'!I$12,ROUND('Calc base'!I$13*AZ342,2))&lt;1,ROUND(AZ342*(1+'Calc base'!N343),2),MAX('Calc base'!I$12,ROUND('Calc base'!I$13*AZ342,2))))</f>
        <v>0</v>
      </c>
      <c r="Q343">
        <f>IF(BA342&lt;=0,0,IF(ROUND(BA342*(1+'Calc base'!O343),2)-MAX('Calc base'!J$12,ROUND('Calc base'!J$13*BA342,2))&lt;1,ROUND(BA342*(1+'Calc base'!O343),2),MAX('Calc base'!J$12,ROUND('Calc base'!J$13*BA342,2))))</f>
        <v>0</v>
      </c>
      <c r="R343">
        <f>IF(BB342&lt;=0,0,IF(ROUND(BB342*(1+'Calc base'!P343),2)-MAX('Calc base'!K$12,ROUND('Calc base'!K$13*BB342,2))&lt;1,ROUND(BB342*(1+'Calc base'!P343),2),MAX('Calc base'!K$12,ROUND('Calc base'!K$13*BB342,2))))</f>
        <v>0</v>
      </c>
      <c r="S343">
        <f>IF(BC342&lt;=0,0,IF(ROUND(BC342*(1+'Calc base'!Q343),2)-MAX('Calc base'!L$12,ROUND('Calc base'!L$13*BC342,2))&lt;1,ROUND(BC342*(1+'Calc base'!Q343),2),MAX('Calc base'!L$12,ROUND('Calc base'!L$13*BC342,2))))</f>
        <v>0</v>
      </c>
      <c r="T343">
        <f>IF(BD342&lt;=0,0,IF(ROUND(BD342*(1+'Calc base'!R343),2)-MAX('Calc base'!M$12,ROUND('Calc base'!M$13*BD342,2))&lt;1,ROUND(BD342*(1+'Calc base'!R343),2),MAX('Calc base'!M$12,ROUND('Calc base'!M$13*BD342,2))))</f>
        <v>0</v>
      </c>
      <c r="U343">
        <f>IF(BE342&lt;=0,0,IF(ROUND(BE342*(1+'Calc base'!S343),2)-MAX('Calc base'!N$12,ROUND('Calc base'!N$13*BE342,2))&lt;1,ROUND(BE342*(1+'Calc base'!S343),2),MAX('Calc base'!N$12,ROUND('Calc base'!N$13*BE342,2))))</f>
        <v>0</v>
      </c>
      <c r="AT343">
        <f>MAX(0,ROUND(AT342*(1+'Calc base'!H343),2)-J343)</f>
        <v>0</v>
      </c>
      <c r="AU343">
        <f>MAX(0,ROUND(AU342*(1+'Calc base'!I343),2)-K343)</f>
        <v>0</v>
      </c>
      <c r="AV343">
        <f>MAX(0,ROUND(AV342*(1+'Calc base'!J343),2)-L343)</f>
        <v>0</v>
      </c>
      <c r="AW343">
        <f>MAX(0,ROUND(AW342*(1+'Calc base'!K343),2)-M343)</f>
        <v>0</v>
      </c>
      <c r="AX343">
        <f>MAX(0,ROUND(AX342*(1+'Calc base'!L343),2)-N343)</f>
        <v>0</v>
      </c>
      <c r="AY343">
        <f>MAX(0,ROUND(AY342*(1+'Calc base'!M343),2)-O343)</f>
        <v>0</v>
      </c>
      <c r="AZ343">
        <f>MAX(0,ROUND(AZ342*(1+'Calc base'!N343),2)-P343)</f>
        <v>0</v>
      </c>
      <c r="BA343">
        <f>MAX(0,ROUND(BA342*(1+'Calc base'!O343),2)-Q343)</f>
        <v>0</v>
      </c>
      <c r="BB343">
        <f>MAX(0,ROUND(BB342*(1+'Calc base'!P343),2)-R343)</f>
        <v>0</v>
      </c>
      <c r="BC343">
        <f>MAX(0,ROUND(BC342*(1+'Calc base'!Q343),2)-S343)</f>
        <v>0</v>
      </c>
      <c r="BD343">
        <f>MAX(0,ROUND(BD342*(1+'Calc base'!R343),2)-T343)</f>
        <v>0</v>
      </c>
      <c r="BE343">
        <f>MAX(0,ROUND(BE342*(1+'Calc base'!S343),2)-U343)</f>
        <v>0</v>
      </c>
    </row>
    <row r="344">
      <c r="A344" t="n">
        <v>314</v>
      </c>
      <c r="B344">
        <f>SUMPRODUCT(ROUND($AT343:$BE343*(1+'Calc base'!$H344:$S344),2))</f>
        <v>0</v>
      </c>
      <c r="C344">
        <f>SUM(J344:U344)</f>
        <v>0</v>
      </c>
      <c r="G344">
        <f>SUM(AT344:BE344)</f>
        <v>0</v>
      </c>
      <c r="H344">
        <f>B344-G343</f>
        <v>0</v>
      </c>
      <c r="I344">
        <f>B344-G344</f>
        <v>0</v>
      </c>
      <c r="J344">
        <f>IF(AT343&lt;=0,0,IF(ROUND(AT343*(1+'Calc base'!H344),2)-MAX('Calc base'!C$12,ROUND('Calc base'!C$13*AT343,2))&lt;1,ROUND(AT343*(1+'Calc base'!H344),2),MAX('Calc base'!C$12,ROUND('Calc base'!C$13*AT343,2))))</f>
        <v>0</v>
      </c>
      <c r="K344">
        <f>IF(AU343&lt;=0,0,IF(ROUND(AU343*(1+'Calc base'!I344),2)-MAX('Calc base'!D$12,ROUND('Calc base'!D$13*AU343,2))&lt;1,ROUND(AU343*(1+'Calc base'!I344),2),MAX('Calc base'!D$12,ROUND('Calc base'!D$13*AU343,2))))</f>
        <v>0</v>
      </c>
      <c r="L344">
        <f>IF(AV343&lt;=0,0,IF(ROUND(AV343*(1+'Calc base'!J344),2)-MAX('Calc base'!E$12,ROUND('Calc base'!E$13*AV343,2))&lt;1,ROUND(AV343*(1+'Calc base'!J344),2),MAX('Calc base'!E$12,ROUND('Calc base'!E$13*AV343,2))))</f>
        <v>0</v>
      </c>
      <c r="M344">
        <f>IF(AW343&lt;=0,0,IF(ROUND(AW343*(1+'Calc base'!K344),2)-MAX('Calc base'!F$12,ROUND('Calc base'!F$13*AW343,2))&lt;1,ROUND(AW343*(1+'Calc base'!K344),2),MAX('Calc base'!F$12,ROUND('Calc base'!F$13*AW343,2))))</f>
        <v>0</v>
      </c>
      <c r="N344">
        <f>IF(AX343&lt;=0,0,IF(ROUND(AX343*(1+'Calc base'!L344),2)-MAX('Calc base'!G$12,ROUND('Calc base'!G$13*AX343,2))&lt;1,ROUND(AX343*(1+'Calc base'!L344),2),MAX('Calc base'!G$12,ROUND('Calc base'!G$13*AX343,2))))</f>
        <v>0</v>
      </c>
      <c r="O344">
        <f>IF(AY343&lt;=0,0,IF(ROUND(AY343*(1+'Calc base'!M344),2)-MAX('Calc base'!H$12,ROUND('Calc base'!H$13*AY343,2))&lt;1,ROUND(AY343*(1+'Calc base'!M344),2),MAX('Calc base'!H$12,ROUND('Calc base'!H$13*AY343,2))))</f>
        <v>0</v>
      </c>
      <c r="P344">
        <f>IF(AZ343&lt;=0,0,IF(ROUND(AZ343*(1+'Calc base'!N344),2)-MAX('Calc base'!I$12,ROUND('Calc base'!I$13*AZ343,2))&lt;1,ROUND(AZ343*(1+'Calc base'!N344),2),MAX('Calc base'!I$12,ROUND('Calc base'!I$13*AZ343,2))))</f>
        <v>0</v>
      </c>
      <c r="Q344">
        <f>IF(BA343&lt;=0,0,IF(ROUND(BA343*(1+'Calc base'!O344),2)-MAX('Calc base'!J$12,ROUND('Calc base'!J$13*BA343,2))&lt;1,ROUND(BA343*(1+'Calc base'!O344),2),MAX('Calc base'!J$12,ROUND('Calc base'!J$13*BA343,2))))</f>
        <v>0</v>
      </c>
      <c r="R344">
        <f>IF(BB343&lt;=0,0,IF(ROUND(BB343*(1+'Calc base'!P344),2)-MAX('Calc base'!K$12,ROUND('Calc base'!K$13*BB343,2))&lt;1,ROUND(BB343*(1+'Calc base'!P344),2),MAX('Calc base'!K$12,ROUND('Calc base'!K$13*BB343,2))))</f>
        <v>0</v>
      </c>
      <c r="S344">
        <f>IF(BC343&lt;=0,0,IF(ROUND(BC343*(1+'Calc base'!Q344),2)-MAX('Calc base'!L$12,ROUND('Calc base'!L$13*BC343,2))&lt;1,ROUND(BC343*(1+'Calc base'!Q344),2),MAX('Calc base'!L$12,ROUND('Calc base'!L$13*BC343,2))))</f>
        <v>0</v>
      </c>
      <c r="T344">
        <f>IF(BD343&lt;=0,0,IF(ROUND(BD343*(1+'Calc base'!R344),2)-MAX('Calc base'!M$12,ROUND('Calc base'!M$13*BD343,2))&lt;1,ROUND(BD343*(1+'Calc base'!R344),2),MAX('Calc base'!M$12,ROUND('Calc base'!M$13*BD343,2))))</f>
        <v>0</v>
      </c>
      <c r="U344">
        <f>IF(BE343&lt;=0,0,IF(ROUND(BE343*(1+'Calc base'!S344),2)-MAX('Calc base'!N$12,ROUND('Calc base'!N$13*BE343,2))&lt;1,ROUND(BE343*(1+'Calc base'!S344),2),MAX('Calc base'!N$12,ROUND('Calc base'!N$13*BE343,2))))</f>
        <v>0</v>
      </c>
      <c r="AT344">
        <f>MAX(0,ROUND(AT343*(1+'Calc base'!H344),2)-J344)</f>
        <v>0</v>
      </c>
      <c r="AU344">
        <f>MAX(0,ROUND(AU343*(1+'Calc base'!I344),2)-K344)</f>
        <v>0</v>
      </c>
      <c r="AV344">
        <f>MAX(0,ROUND(AV343*(1+'Calc base'!J344),2)-L344)</f>
        <v>0</v>
      </c>
      <c r="AW344">
        <f>MAX(0,ROUND(AW343*(1+'Calc base'!K344),2)-M344)</f>
        <v>0</v>
      </c>
      <c r="AX344">
        <f>MAX(0,ROUND(AX343*(1+'Calc base'!L344),2)-N344)</f>
        <v>0</v>
      </c>
      <c r="AY344">
        <f>MAX(0,ROUND(AY343*(1+'Calc base'!M344),2)-O344)</f>
        <v>0</v>
      </c>
      <c r="AZ344">
        <f>MAX(0,ROUND(AZ343*(1+'Calc base'!N344),2)-P344)</f>
        <v>0</v>
      </c>
      <c r="BA344">
        <f>MAX(0,ROUND(BA343*(1+'Calc base'!O344),2)-Q344)</f>
        <v>0</v>
      </c>
      <c r="BB344">
        <f>MAX(0,ROUND(BB343*(1+'Calc base'!P344),2)-R344)</f>
        <v>0</v>
      </c>
      <c r="BC344">
        <f>MAX(0,ROUND(BC343*(1+'Calc base'!Q344),2)-S344)</f>
        <v>0</v>
      </c>
      <c r="BD344">
        <f>MAX(0,ROUND(BD343*(1+'Calc base'!R344),2)-T344)</f>
        <v>0</v>
      </c>
      <c r="BE344">
        <f>MAX(0,ROUND(BE343*(1+'Calc base'!S344),2)-U344)</f>
        <v>0</v>
      </c>
    </row>
    <row r="345">
      <c r="A345" t="n">
        <v>315</v>
      </c>
      <c r="B345">
        <f>SUMPRODUCT(ROUND($AT344:$BE344*(1+'Calc base'!$H345:$S345),2))</f>
        <v>0</v>
      </c>
      <c r="C345">
        <f>SUM(J345:U345)</f>
        <v>0</v>
      </c>
      <c r="G345">
        <f>SUM(AT345:BE345)</f>
        <v>0</v>
      </c>
      <c r="H345">
        <f>B345-G344</f>
        <v>0</v>
      </c>
      <c r="I345">
        <f>B345-G345</f>
        <v>0</v>
      </c>
      <c r="J345">
        <f>IF(AT344&lt;=0,0,IF(ROUND(AT344*(1+'Calc base'!H345),2)-MAX('Calc base'!C$12,ROUND('Calc base'!C$13*AT344,2))&lt;1,ROUND(AT344*(1+'Calc base'!H345),2),MAX('Calc base'!C$12,ROUND('Calc base'!C$13*AT344,2))))</f>
        <v>0</v>
      </c>
      <c r="K345">
        <f>IF(AU344&lt;=0,0,IF(ROUND(AU344*(1+'Calc base'!I345),2)-MAX('Calc base'!D$12,ROUND('Calc base'!D$13*AU344,2))&lt;1,ROUND(AU344*(1+'Calc base'!I345),2),MAX('Calc base'!D$12,ROUND('Calc base'!D$13*AU344,2))))</f>
        <v>0</v>
      </c>
      <c r="L345">
        <f>IF(AV344&lt;=0,0,IF(ROUND(AV344*(1+'Calc base'!J345),2)-MAX('Calc base'!E$12,ROUND('Calc base'!E$13*AV344,2))&lt;1,ROUND(AV344*(1+'Calc base'!J345),2),MAX('Calc base'!E$12,ROUND('Calc base'!E$13*AV344,2))))</f>
        <v>0</v>
      </c>
      <c r="M345">
        <f>IF(AW344&lt;=0,0,IF(ROUND(AW344*(1+'Calc base'!K345),2)-MAX('Calc base'!F$12,ROUND('Calc base'!F$13*AW344,2))&lt;1,ROUND(AW344*(1+'Calc base'!K345),2),MAX('Calc base'!F$12,ROUND('Calc base'!F$13*AW344,2))))</f>
        <v>0</v>
      </c>
      <c r="N345">
        <f>IF(AX344&lt;=0,0,IF(ROUND(AX344*(1+'Calc base'!L345),2)-MAX('Calc base'!G$12,ROUND('Calc base'!G$13*AX344,2))&lt;1,ROUND(AX344*(1+'Calc base'!L345),2),MAX('Calc base'!G$12,ROUND('Calc base'!G$13*AX344,2))))</f>
        <v>0</v>
      </c>
      <c r="O345">
        <f>IF(AY344&lt;=0,0,IF(ROUND(AY344*(1+'Calc base'!M345),2)-MAX('Calc base'!H$12,ROUND('Calc base'!H$13*AY344,2))&lt;1,ROUND(AY344*(1+'Calc base'!M345),2),MAX('Calc base'!H$12,ROUND('Calc base'!H$13*AY344,2))))</f>
        <v>0</v>
      </c>
      <c r="P345">
        <f>IF(AZ344&lt;=0,0,IF(ROUND(AZ344*(1+'Calc base'!N345),2)-MAX('Calc base'!I$12,ROUND('Calc base'!I$13*AZ344,2))&lt;1,ROUND(AZ344*(1+'Calc base'!N345),2),MAX('Calc base'!I$12,ROUND('Calc base'!I$13*AZ344,2))))</f>
        <v>0</v>
      </c>
      <c r="Q345">
        <f>IF(BA344&lt;=0,0,IF(ROUND(BA344*(1+'Calc base'!O345),2)-MAX('Calc base'!J$12,ROUND('Calc base'!J$13*BA344,2))&lt;1,ROUND(BA344*(1+'Calc base'!O345),2),MAX('Calc base'!J$12,ROUND('Calc base'!J$13*BA344,2))))</f>
        <v>0</v>
      </c>
      <c r="R345">
        <f>IF(BB344&lt;=0,0,IF(ROUND(BB344*(1+'Calc base'!P345),2)-MAX('Calc base'!K$12,ROUND('Calc base'!K$13*BB344,2))&lt;1,ROUND(BB344*(1+'Calc base'!P345),2),MAX('Calc base'!K$12,ROUND('Calc base'!K$13*BB344,2))))</f>
        <v>0</v>
      </c>
      <c r="S345">
        <f>IF(BC344&lt;=0,0,IF(ROUND(BC344*(1+'Calc base'!Q345),2)-MAX('Calc base'!L$12,ROUND('Calc base'!L$13*BC344,2))&lt;1,ROUND(BC344*(1+'Calc base'!Q345),2),MAX('Calc base'!L$12,ROUND('Calc base'!L$13*BC344,2))))</f>
        <v>0</v>
      </c>
      <c r="T345">
        <f>IF(BD344&lt;=0,0,IF(ROUND(BD344*(1+'Calc base'!R345),2)-MAX('Calc base'!M$12,ROUND('Calc base'!M$13*BD344,2))&lt;1,ROUND(BD344*(1+'Calc base'!R345),2),MAX('Calc base'!M$12,ROUND('Calc base'!M$13*BD344,2))))</f>
        <v>0</v>
      </c>
      <c r="U345">
        <f>IF(BE344&lt;=0,0,IF(ROUND(BE344*(1+'Calc base'!S345),2)-MAX('Calc base'!N$12,ROUND('Calc base'!N$13*BE344,2))&lt;1,ROUND(BE344*(1+'Calc base'!S345),2),MAX('Calc base'!N$12,ROUND('Calc base'!N$13*BE344,2))))</f>
        <v>0</v>
      </c>
      <c r="AT345">
        <f>MAX(0,ROUND(AT344*(1+'Calc base'!H345),2)-J345)</f>
        <v>0</v>
      </c>
      <c r="AU345">
        <f>MAX(0,ROUND(AU344*(1+'Calc base'!I345),2)-K345)</f>
        <v>0</v>
      </c>
      <c r="AV345">
        <f>MAX(0,ROUND(AV344*(1+'Calc base'!J345),2)-L345)</f>
        <v>0</v>
      </c>
      <c r="AW345">
        <f>MAX(0,ROUND(AW344*(1+'Calc base'!K345),2)-M345)</f>
        <v>0</v>
      </c>
      <c r="AX345">
        <f>MAX(0,ROUND(AX344*(1+'Calc base'!L345),2)-N345)</f>
        <v>0</v>
      </c>
      <c r="AY345">
        <f>MAX(0,ROUND(AY344*(1+'Calc base'!M345),2)-O345)</f>
        <v>0</v>
      </c>
      <c r="AZ345">
        <f>MAX(0,ROUND(AZ344*(1+'Calc base'!N345),2)-P345)</f>
        <v>0</v>
      </c>
      <c r="BA345">
        <f>MAX(0,ROUND(BA344*(1+'Calc base'!O345),2)-Q345)</f>
        <v>0</v>
      </c>
      <c r="BB345">
        <f>MAX(0,ROUND(BB344*(1+'Calc base'!P345),2)-R345)</f>
        <v>0</v>
      </c>
      <c r="BC345">
        <f>MAX(0,ROUND(BC344*(1+'Calc base'!Q345),2)-S345)</f>
        <v>0</v>
      </c>
      <c r="BD345">
        <f>MAX(0,ROUND(BD344*(1+'Calc base'!R345),2)-T345)</f>
        <v>0</v>
      </c>
      <c r="BE345">
        <f>MAX(0,ROUND(BE344*(1+'Calc base'!S345),2)-U345)</f>
        <v>0</v>
      </c>
    </row>
    <row r="346">
      <c r="A346" t="n">
        <v>316</v>
      </c>
      <c r="B346">
        <f>SUMPRODUCT(ROUND($AT345:$BE345*(1+'Calc base'!$H346:$S346),2))</f>
        <v>0</v>
      </c>
      <c r="C346">
        <f>SUM(J346:U346)</f>
        <v>0</v>
      </c>
      <c r="G346">
        <f>SUM(AT346:BE346)</f>
        <v>0</v>
      </c>
      <c r="H346">
        <f>B346-G345</f>
        <v>0</v>
      </c>
      <c r="I346">
        <f>B346-G346</f>
        <v>0</v>
      </c>
      <c r="J346">
        <f>IF(AT345&lt;=0,0,IF(ROUND(AT345*(1+'Calc base'!H346),2)-MAX('Calc base'!C$12,ROUND('Calc base'!C$13*AT345,2))&lt;1,ROUND(AT345*(1+'Calc base'!H346),2),MAX('Calc base'!C$12,ROUND('Calc base'!C$13*AT345,2))))</f>
        <v>0</v>
      </c>
      <c r="K346">
        <f>IF(AU345&lt;=0,0,IF(ROUND(AU345*(1+'Calc base'!I346),2)-MAX('Calc base'!D$12,ROUND('Calc base'!D$13*AU345,2))&lt;1,ROUND(AU345*(1+'Calc base'!I346),2),MAX('Calc base'!D$12,ROUND('Calc base'!D$13*AU345,2))))</f>
        <v>0</v>
      </c>
      <c r="L346">
        <f>IF(AV345&lt;=0,0,IF(ROUND(AV345*(1+'Calc base'!J346),2)-MAX('Calc base'!E$12,ROUND('Calc base'!E$13*AV345,2))&lt;1,ROUND(AV345*(1+'Calc base'!J346),2),MAX('Calc base'!E$12,ROUND('Calc base'!E$13*AV345,2))))</f>
        <v>0</v>
      </c>
      <c r="M346">
        <f>IF(AW345&lt;=0,0,IF(ROUND(AW345*(1+'Calc base'!K346),2)-MAX('Calc base'!F$12,ROUND('Calc base'!F$13*AW345,2))&lt;1,ROUND(AW345*(1+'Calc base'!K346),2),MAX('Calc base'!F$12,ROUND('Calc base'!F$13*AW345,2))))</f>
        <v>0</v>
      </c>
      <c r="N346">
        <f>IF(AX345&lt;=0,0,IF(ROUND(AX345*(1+'Calc base'!L346),2)-MAX('Calc base'!G$12,ROUND('Calc base'!G$13*AX345,2))&lt;1,ROUND(AX345*(1+'Calc base'!L346),2),MAX('Calc base'!G$12,ROUND('Calc base'!G$13*AX345,2))))</f>
        <v>0</v>
      </c>
      <c r="O346">
        <f>IF(AY345&lt;=0,0,IF(ROUND(AY345*(1+'Calc base'!M346),2)-MAX('Calc base'!H$12,ROUND('Calc base'!H$13*AY345,2))&lt;1,ROUND(AY345*(1+'Calc base'!M346),2),MAX('Calc base'!H$12,ROUND('Calc base'!H$13*AY345,2))))</f>
        <v>0</v>
      </c>
      <c r="P346">
        <f>IF(AZ345&lt;=0,0,IF(ROUND(AZ345*(1+'Calc base'!N346),2)-MAX('Calc base'!I$12,ROUND('Calc base'!I$13*AZ345,2))&lt;1,ROUND(AZ345*(1+'Calc base'!N346),2),MAX('Calc base'!I$12,ROUND('Calc base'!I$13*AZ345,2))))</f>
        <v>0</v>
      </c>
      <c r="Q346">
        <f>IF(BA345&lt;=0,0,IF(ROUND(BA345*(1+'Calc base'!O346),2)-MAX('Calc base'!J$12,ROUND('Calc base'!J$13*BA345,2))&lt;1,ROUND(BA345*(1+'Calc base'!O346),2),MAX('Calc base'!J$12,ROUND('Calc base'!J$13*BA345,2))))</f>
        <v>0</v>
      </c>
      <c r="R346">
        <f>IF(BB345&lt;=0,0,IF(ROUND(BB345*(1+'Calc base'!P346),2)-MAX('Calc base'!K$12,ROUND('Calc base'!K$13*BB345,2))&lt;1,ROUND(BB345*(1+'Calc base'!P346),2),MAX('Calc base'!K$12,ROUND('Calc base'!K$13*BB345,2))))</f>
        <v>0</v>
      </c>
      <c r="S346">
        <f>IF(BC345&lt;=0,0,IF(ROUND(BC345*(1+'Calc base'!Q346),2)-MAX('Calc base'!L$12,ROUND('Calc base'!L$13*BC345,2))&lt;1,ROUND(BC345*(1+'Calc base'!Q346),2),MAX('Calc base'!L$12,ROUND('Calc base'!L$13*BC345,2))))</f>
        <v>0</v>
      </c>
      <c r="T346">
        <f>IF(BD345&lt;=0,0,IF(ROUND(BD345*(1+'Calc base'!R346),2)-MAX('Calc base'!M$12,ROUND('Calc base'!M$13*BD345,2))&lt;1,ROUND(BD345*(1+'Calc base'!R346),2),MAX('Calc base'!M$12,ROUND('Calc base'!M$13*BD345,2))))</f>
        <v>0</v>
      </c>
      <c r="U346">
        <f>IF(BE345&lt;=0,0,IF(ROUND(BE345*(1+'Calc base'!S346),2)-MAX('Calc base'!N$12,ROUND('Calc base'!N$13*BE345,2))&lt;1,ROUND(BE345*(1+'Calc base'!S346),2),MAX('Calc base'!N$12,ROUND('Calc base'!N$13*BE345,2))))</f>
        <v>0</v>
      </c>
      <c r="AT346">
        <f>MAX(0,ROUND(AT345*(1+'Calc base'!H346),2)-J346)</f>
        <v>0</v>
      </c>
      <c r="AU346">
        <f>MAX(0,ROUND(AU345*(1+'Calc base'!I346),2)-K346)</f>
        <v>0</v>
      </c>
      <c r="AV346">
        <f>MAX(0,ROUND(AV345*(1+'Calc base'!J346),2)-L346)</f>
        <v>0</v>
      </c>
      <c r="AW346">
        <f>MAX(0,ROUND(AW345*(1+'Calc base'!K346),2)-M346)</f>
        <v>0</v>
      </c>
      <c r="AX346">
        <f>MAX(0,ROUND(AX345*(1+'Calc base'!L346),2)-N346)</f>
        <v>0</v>
      </c>
      <c r="AY346">
        <f>MAX(0,ROUND(AY345*(1+'Calc base'!M346),2)-O346)</f>
        <v>0</v>
      </c>
      <c r="AZ346">
        <f>MAX(0,ROUND(AZ345*(1+'Calc base'!N346),2)-P346)</f>
        <v>0</v>
      </c>
      <c r="BA346">
        <f>MAX(0,ROUND(BA345*(1+'Calc base'!O346),2)-Q346)</f>
        <v>0</v>
      </c>
      <c r="BB346">
        <f>MAX(0,ROUND(BB345*(1+'Calc base'!P346),2)-R346)</f>
        <v>0</v>
      </c>
      <c r="BC346">
        <f>MAX(0,ROUND(BC345*(1+'Calc base'!Q346),2)-S346)</f>
        <v>0</v>
      </c>
      <c r="BD346">
        <f>MAX(0,ROUND(BD345*(1+'Calc base'!R346),2)-T346)</f>
        <v>0</v>
      </c>
      <c r="BE346">
        <f>MAX(0,ROUND(BE345*(1+'Calc base'!S346),2)-U346)</f>
        <v>0</v>
      </c>
    </row>
    <row r="347">
      <c r="A347" t="n">
        <v>317</v>
      </c>
      <c r="B347">
        <f>SUMPRODUCT(ROUND($AT346:$BE346*(1+'Calc base'!$H347:$S347),2))</f>
        <v>0</v>
      </c>
      <c r="C347">
        <f>SUM(J347:U347)</f>
        <v>0</v>
      </c>
      <c r="G347">
        <f>SUM(AT347:BE347)</f>
        <v>0</v>
      </c>
      <c r="H347">
        <f>B347-G346</f>
        <v>0</v>
      </c>
      <c r="I347">
        <f>B347-G347</f>
        <v>0</v>
      </c>
      <c r="J347">
        <f>IF(AT346&lt;=0,0,IF(ROUND(AT346*(1+'Calc base'!H347),2)-MAX('Calc base'!C$12,ROUND('Calc base'!C$13*AT346,2))&lt;1,ROUND(AT346*(1+'Calc base'!H347),2),MAX('Calc base'!C$12,ROUND('Calc base'!C$13*AT346,2))))</f>
        <v>0</v>
      </c>
      <c r="K347">
        <f>IF(AU346&lt;=0,0,IF(ROUND(AU346*(1+'Calc base'!I347),2)-MAX('Calc base'!D$12,ROUND('Calc base'!D$13*AU346,2))&lt;1,ROUND(AU346*(1+'Calc base'!I347),2),MAX('Calc base'!D$12,ROUND('Calc base'!D$13*AU346,2))))</f>
        <v>0</v>
      </c>
      <c r="L347">
        <f>IF(AV346&lt;=0,0,IF(ROUND(AV346*(1+'Calc base'!J347),2)-MAX('Calc base'!E$12,ROUND('Calc base'!E$13*AV346,2))&lt;1,ROUND(AV346*(1+'Calc base'!J347),2),MAX('Calc base'!E$12,ROUND('Calc base'!E$13*AV346,2))))</f>
        <v>0</v>
      </c>
      <c r="M347">
        <f>IF(AW346&lt;=0,0,IF(ROUND(AW346*(1+'Calc base'!K347),2)-MAX('Calc base'!F$12,ROUND('Calc base'!F$13*AW346,2))&lt;1,ROUND(AW346*(1+'Calc base'!K347),2),MAX('Calc base'!F$12,ROUND('Calc base'!F$13*AW346,2))))</f>
        <v>0</v>
      </c>
      <c r="N347">
        <f>IF(AX346&lt;=0,0,IF(ROUND(AX346*(1+'Calc base'!L347),2)-MAX('Calc base'!G$12,ROUND('Calc base'!G$13*AX346,2))&lt;1,ROUND(AX346*(1+'Calc base'!L347),2),MAX('Calc base'!G$12,ROUND('Calc base'!G$13*AX346,2))))</f>
        <v>0</v>
      </c>
      <c r="O347">
        <f>IF(AY346&lt;=0,0,IF(ROUND(AY346*(1+'Calc base'!M347),2)-MAX('Calc base'!H$12,ROUND('Calc base'!H$13*AY346,2))&lt;1,ROUND(AY346*(1+'Calc base'!M347),2),MAX('Calc base'!H$12,ROUND('Calc base'!H$13*AY346,2))))</f>
        <v>0</v>
      </c>
      <c r="P347">
        <f>IF(AZ346&lt;=0,0,IF(ROUND(AZ346*(1+'Calc base'!N347),2)-MAX('Calc base'!I$12,ROUND('Calc base'!I$13*AZ346,2))&lt;1,ROUND(AZ346*(1+'Calc base'!N347),2),MAX('Calc base'!I$12,ROUND('Calc base'!I$13*AZ346,2))))</f>
        <v>0</v>
      </c>
      <c r="Q347">
        <f>IF(BA346&lt;=0,0,IF(ROUND(BA346*(1+'Calc base'!O347),2)-MAX('Calc base'!J$12,ROUND('Calc base'!J$13*BA346,2))&lt;1,ROUND(BA346*(1+'Calc base'!O347),2),MAX('Calc base'!J$12,ROUND('Calc base'!J$13*BA346,2))))</f>
        <v>0</v>
      </c>
      <c r="R347">
        <f>IF(BB346&lt;=0,0,IF(ROUND(BB346*(1+'Calc base'!P347),2)-MAX('Calc base'!K$12,ROUND('Calc base'!K$13*BB346,2))&lt;1,ROUND(BB346*(1+'Calc base'!P347),2),MAX('Calc base'!K$12,ROUND('Calc base'!K$13*BB346,2))))</f>
        <v>0</v>
      </c>
      <c r="S347">
        <f>IF(BC346&lt;=0,0,IF(ROUND(BC346*(1+'Calc base'!Q347),2)-MAX('Calc base'!L$12,ROUND('Calc base'!L$13*BC346,2))&lt;1,ROUND(BC346*(1+'Calc base'!Q347),2),MAX('Calc base'!L$12,ROUND('Calc base'!L$13*BC346,2))))</f>
        <v>0</v>
      </c>
      <c r="T347">
        <f>IF(BD346&lt;=0,0,IF(ROUND(BD346*(1+'Calc base'!R347),2)-MAX('Calc base'!M$12,ROUND('Calc base'!M$13*BD346,2))&lt;1,ROUND(BD346*(1+'Calc base'!R347),2),MAX('Calc base'!M$12,ROUND('Calc base'!M$13*BD346,2))))</f>
        <v>0</v>
      </c>
      <c r="U347">
        <f>IF(BE346&lt;=0,0,IF(ROUND(BE346*(1+'Calc base'!S347),2)-MAX('Calc base'!N$12,ROUND('Calc base'!N$13*BE346,2))&lt;1,ROUND(BE346*(1+'Calc base'!S347),2),MAX('Calc base'!N$12,ROUND('Calc base'!N$13*BE346,2))))</f>
        <v>0</v>
      </c>
      <c r="AT347">
        <f>MAX(0,ROUND(AT346*(1+'Calc base'!H347),2)-J347)</f>
        <v>0</v>
      </c>
      <c r="AU347">
        <f>MAX(0,ROUND(AU346*(1+'Calc base'!I347),2)-K347)</f>
        <v>0</v>
      </c>
      <c r="AV347">
        <f>MAX(0,ROUND(AV346*(1+'Calc base'!J347),2)-L347)</f>
        <v>0</v>
      </c>
      <c r="AW347">
        <f>MAX(0,ROUND(AW346*(1+'Calc base'!K347),2)-M347)</f>
        <v>0</v>
      </c>
      <c r="AX347">
        <f>MAX(0,ROUND(AX346*(1+'Calc base'!L347),2)-N347)</f>
        <v>0</v>
      </c>
      <c r="AY347">
        <f>MAX(0,ROUND(AY346*(1+'Calc base'!M347),2)-O347)</f>
        <v>0</v>
      </c>
      <c r="AZ347">
        <f>MAX(0,ROUND(AZ346*(1+'Calc base'!N347),2)-P347)</f>
        <v>0</v>
      </c>
      <c r="BA347">
        <f>MAX(0,ROUND(BA346*(1+'Calc base'!O347),2)-Q347)</f>
        <v>0</v>
      </c>
      <c r="BB347">
        <f>MAX(0,ROUND(BB346*(1+'Calc base'!P347),2)-R347)</f>
        <v>0</v>
      </c>
      <c r="BC347">
        <f>MAX(0,ROUND(BC346*(1+'Calc base'!Q347),2)-S347)</f>
        <v>0</v>
      </c>
      <c r="BD347">
        <f>MAX(0,ROUND(BD346*(1+'Calc base'!R347),2)-T347)</f>
        <v>0</v>
      </c>
      <c r="BE347">
        <f>MAX(0,ROUND(BE346*(1+'Calc base'!S347),2)-U347)</f>
        <v>0</v>
      </c>
    </row>
    <row r="348">
      <c r="A348" t="n">
        <v>318</v>
      </c>
      <c r="B348">
        <f>SUMPRODUCT(ROUND($AT347:$BE347*(1+'Calc base'!$H348:$S348),2))</f>
        <v>0</v>
      </c>
      <c r="C348">
        <f>SUM(J348:U348)</f>
        <v>0</v>
      </c>
      <c r="G348">
        <f>SUM(AT348:BE348)</f>
        <v>0</v>
      </c>
      <c r="H348">
        <f>B348-G347</f>
        <v>0</v>
      </c>
      <c r="I348">
        <f>B348-G348</f>
        <v>0</v>
      </c>
      <c r="J348">
        <f>IF(AT347&lt;=0,0,IF(ROUND(AT347*(1+'Calc base'!H348),2)-MAX('Calc base'!C$12,ROUND('Calc base'!C$13*AT347,2))&lt;1,ROUND(AT347*(1+'Calc base'!H348),2),MAX('Calc base'!C$12,ROUND('Calc base'!C$13*AT347,2))))</f>
        <v>0</v>
      </c>
      <c r="K348">
        <f>IF(AU347&lt;=0,0,IF(ROUND(AU347*(1+'Calc base'!I348),2)-MAX('Calc base'!D$12,ROUND('Calc base'!D$13*AU347,2))&lt;1,ROUND(AU347*(1+'Calc base'!I348),2),MAX('Calc base'!D$12,ROUND('Calc base'!D$13*AU347,2))))</f>
        <v>0</v>
      </c>
      <c r="L348">
        <f>IF(AV347&lt;=0,0,IF(ROUND(AV347*(1+'Calc base'!J348),2)-MAX('Calc base'!E$12,ROUND('Calc base'!E$13*AV347,2))&lt;1,ROUND(AV347*(1+'Calc base'!J348),2),MAX('Calc base'!E$12,ROUND('Calc base'!E$13*AV347,2))))</f>
        <v>0</v>
      </c>
      <c r="M348">
        <f>IF(AW347&lt;=0,0,IF(ROUND(AW347*(1+'Calc base'!K348),2)-MAX('Calc base'!F$12,ROUND('Calc base'!F$13*AW347,2))&lt;1,ROUND(AW347*(1+'Calc base'!K348),2),MAX('Calc base'!F$12,ROUND('Calc base'!F$13*AW347,2))))</f>
        <v>0</v>
      </c>
      <c r="N348">
        <f>IF(AX347&lt;=0,0,IF(ROUND(AX347*(1+'Calc base'!L348),2)-MAX('Calc base'!G$12,ROUND('Calc base'!G$13*AX347,2))&lt;1,ROUND(AX347*(1+'Calc base'!L348),2),MAX('Calc base'!G$12,ROUND('Calc base'!G$13*AX347,2))))</f>
        <v>0</v>
      </c>
      <c r="O348">
        <f>IF(AY347&lt;=0,0,IF(ROUND(AY347*(1+'Calc base'!M348),2)-MAX('Calc base'!H$12,ROUND('Calc base'!H$13*AY347,2))&lt;1,ROUND(AY347*(1+'Calc base'!M348),2),MAX('Calc base'!H$12,ROUND('Calc base'!H$13*AY347,2))))</f>
        <v>0</v>
      </c>
      <c r="P348">
        <f>IF(AZ347&lt;=0,0,IF(ROUND(AZ347*(1+'Calc base'!N348),2)-MAX('Calc base'!I$12,ROUND('Calc base'!I$13*AZ347,2))&lt;1,ROUND(AZ347*(1+'Calc base'!N348),2),MAX('Calc base'!I$12,ROUND('Calc base'!I$13*AZ347,2))))</f>
        <v>0</v>
      </c>
      <c r="Q348">
        <f>IF(BA347&lt;=0,0,IF(ROUND(BA347*(1+'Calc base'!O348),2)-MAX('Calc base'!J$12,ROUND('Calc base'!J$13*BA347,2))&lt;1,ROUND(BA347*(1+'Calc base'!O348),2),MAX('Calc base'!J$12,ROUND('Calc base'!J$13*BA347,2))))</f>
        <v>0</v>
      </c>
      <c r="R348">
        <f>IF(BB347&lt;=0,0,IF(ROUND(BB347*(1+'Calc base'!P348),2)-MAX('Calc base'!K$12,ROUND('Calc base'!K$13*BB347,2))&lt;1,ROUND(BB347*(1+'Calc base'!P348),2),MAX('Calc base'!K$12,ROUND('Calc base'!K$13*BB347,2))))</f>
        <v>0</v>
      </c>
      <c r="S348">
        <f>IF(BC347&lt;=0,0,IF(ROUND(BC347*(1+'Calc base'!Q348),2)-MAX('Calc base'!L$12,ROUND('Calc base'!L$13*BC347,2))&lt;1,ROUND(BC347*(1+'Calc base'!Q348),2),MAX('Calc base'!L$12,ROUND('Calc base'!L$13*BC347,2))))</f>
        <v>0</v>
      </c>
      <c r="T348">
        <f>IF(BD347&lt;=0,0,IF(ROUND(BD347*(1+'Calc base'!R348),2)-MAX('Calc base'!M$12,ROUND('Calc base'!M$13*BD347,2))&lt;1,ROUND(BD347*(1+'Calc base'!R348),2),MAX('Calc base'!M$12,ROUND('Calc base'!M$13*BD347,2))))</f>
        <v>0</v>
      </c>
      <c r="U348">
        <f>IF(BE347&lt;=0,0,IF(ROUND(BE347*(1+'Calc base'!S348),2)-MAX('Calc base'!N$12,ROUND('Calc base'!N$13*BE347,2))&lt;1,ROUND(BE347*(1+'Calc base'!S348),2),MAX('Calc base'!N$12,ROUND('Calc base'!N$13*BE347,2))))</f>
        <v>0</v>
      </c>
      <c r="AT348">
        <f>MAX(0,ROUND(AT347*(1+'Calc base'!H348),2)-J348)</f>
        <v>0</v>
      </c>
      <c r="AU348">
        <f>MAX(0,ROUND(AU347*(1+'Calc base'!I348),2)-K348)</f>
        <v>0</v>
      </c>
      <c r="AV348">
        <f>MAX(0,ROUND(AV347*(1+'Calc base'!J348),2)-L348)</f>
        <v>0</v>
      </c>
      <c r="AW348">
        <f>MAX(0,ROUND(AW347*(1+'Calc base'!K348),2)-M348)</f>
        <v>0</v>
      </c>
      <c r="AX348">
        <f>MAX(0,ROUND(AX347*(1+'Calc base'!L348),2)-N348)</f>
        <v>0</v>
      </c>
      <c r="AY348">
        <f>MAX(0,ROUND(AY347*(1+'Calc base'!M348),2)-O348)</f>
        <v>0</v>
      </c>
      <c r="AZ348">
        <f>MAX(0,ROUND(AZ347*(1+'Calc base'!N348),2)-P348)</f>
        <v>0</v>
      </c>
      <c r="BA348">
        <f>MAX(0,ROUND(BA347*(1+'Calc base'!O348),2)-Q348)</f>
        <v>0</v>
      </c>
      <c r="BB348">
        <f>MAX(0,ROUND(BB347*(1+'Calc base'!P348),2)-R348)</f>
        <v>0</v>
      </c>
      <c r="BC348">
        <f>MAX(0,ROUND(BC347*(1+'Calc base'!Q348),2)-S348)</f>
        <v>0</v>
      </c>
      <c r="BD348">
        <f>MAX(0,ROUND(BD347*(1+'Calc base'!R348),2)-T348)</f>
        <v>0</v>
      </c>
      <c r="BE348">
        <f>MAX(0,ROUND(BE347*(1+'Calc base'!S348),2)-U348)</f>
        <v>0</v>
      </c>
    </row>
    <row r="349">
      <c r="A349" t="n">
        <v>319</v>
      </c>
      <c r="B349">
        <f>SUMPRODUCT(ROUND($AT348:$BE348*(1+'Calc base'!$H349:$S349),2))</f>
        <v>0</v>
      </c>
      <c r="C349">
        <f>SUM(J349:U349)</f>
        <v>0</v>
      </c>
      <c r="G349">
        <f>SUM(AT349:BE349)</f>
        <v>0</v>
      </c>
      <c r="H349">
        <f>B349-G348</f>
        <v>0</v>
      </c>
      <c r="I349">
        <f>B349-G349</f>
        <v>0</v>
      </c>
      <c r="J349">
        <f>IF(AT348&lt;=0,0,IF(ROUND(AT348*(1+'Calc base'!H349),2)-MAX('Calc base'!C$12,ROUND('Calc base'!C$13*AT348,2))&lt;1,ROUND(AT348*(1+'Calc base'!H349),2),MAX('Calc base'!C$12,ROUND('Calc base'!C$13*AT348,2))))</f>
        <v>0</v>
      </c>
      <c r="K349">
        <f>IF(AU348&lt;=0,0,IF(ROUND(AU348*(1+'Calc base'!I349),2)-MAX('Calc base'!D$12,ROUND('Calc base'!D$13*AU348,2))&lt;1,ROUND(AU348*(1+'Calc base'!I349),2),MAX('Calc base'!D$12,ROUND('Calc base'!D$13*AU348,2))))</f>
        <v>0</v>
      </c>
      <c r="L349">
        <f>IF(AV348&lt;=0,0,IF(ROUND(AV348*(1+'Calc base'!J349),2)-MAX('Calc base'!E$12,ROUND('Calc base'!E$13*AV348,2))&lt;1,ROUND(AV348*(1+'Calc base'!J349),2),MAX('Calc base'!E$12,ROUND('Calc base'!E$13*AV348,2))))</f>
        <v>0</v>
      </c>
      <c r="M349">
        <f>IF(AW348&lt;=0,0,IF(ROUND(AW348*(1+'Calc base'!K349),2)-MAX('Calc base'!F$12,ROUND('Calc base'!F$13*AW348,2))&lt;1,ROUND(AW348*(1+'Calc base'!K349),2),MAX('Calc base'!F$12,ROUND('Calc base'!F$13*AW348,2))))</f>
        <v>0</v>
      </c>
      <c r="N349">
        <f>IF(AX348&lt;=0,0,IF(ROUND(AX348*(1+'Calc base'!L349),2)-MAX('Calc base'!G$12,ROUND('Calc base'!G$13*AX348,2))&lt;1,ROUND(AX348*(1+'Calc base'!L349),2),MAX('Calc base'!G$12,ROUND('Calc base'!G$13*AX348,2))))</f>
        <v>0</v>
      </c>
      <c r="O349">
        <f>IF(AY348&lt;=0,0,IF(ROUND(AY348*(1+'Calc base'!M349),2)-MAX('Calc base'!H$12,ROUND('Calc base'!H$13*AY348,2))&lt;1,ROUND(AY348*(1+'Calc base'!M349),2),MAX('Calc base'!H$12,ROUND('Calc base'!H$13*AY348,2))))</f>
        <v>0</v>
      </c>
      <c r="P349">
        <f>IF(AZ348&lt;=0,0,IF(ROUND(AZ348*(1+'Calc base'!N349),2)-MAX('Calc base'!I$12,ROUND('Calc base'!I$13*AZ348,2))&lt;1,ROUND(AZ348*(1+'Calc base'!N349),2),MAX('Calc base'!I$12,ROUND('Calc base'!I$13*AZ348,2))))</f>
        <v>0</v>
      </c>
      <c r="Q349">
        <f>IF(BA348&lt;=0,0,IF(ROUND(BA348*(1+'Calc base'!O349),2)-MAX('Calc base'!J$12,ROUND('Calc base'!J$13*BA348,2))&lt;1,ROUND(BA348*(1+'Calc base'!O349),2),MAX('Calc base'!J$12,ROUND('Calc base'!J$13*BA348,2))))</f>
        <v>0</v>
      </c>
      <c r="R349">
        <f>IF(BB348&lt;=0,0,IF(ROUND(BB348*(1+'Calc base'!P349),2)-MAX('Calc base'!K$12,ROUND('Calc base'!K$13*BB348,2))&lt;1,ROUND(BB348*(1+'Calc base'!P349),2),MAX('Calc base'!K$12,ROUND('Calc base'!K$13*BB348,2))))</f>
        <v>0</v>
      </c>
      <c r="S349">
        <f>IF(BC348&lt;=0,0,IF(ROUND(BC348*(1+'Calc base'!Q349),2)-MAX('Calc base'!L$12,ROUND('Calc base'!L$13*BC348,2))&lt;1,ROUND(BC348*(1+'Calc base'!Q349),2),MAX('Calc base'!L$12,ROUND('Calc base'!L$13*BC348,2))))</f>
        <v>0</v>
      </c>
      <c r="T349">
        <f>IF(BD348&lt;=0,0,IF(ROUND(BD348*(1+'Calc base'!R349),2)-MAX('Calc base'!M$12,ROUND('Calc base'!M$13*BD348,2))&lt;1,ROUND(BD348*(1+'Calc base'!R349),2),MAX('Calc base'!M$12,ROUND('Calc base'!M$13*BD348,2))))</f>
        <v>0</v>
      </c>
      <c r="U349">
        <f>IF(BE348&lt;=0,0,IF(ROUND(BE348*(1+'Calc base'!S349),2)-MAX('Calc base'!N$12,ROUND('Calc base'!N$13*BE348,2))&lt;1,ROUND(BE348*(1+'Calc base'!S349),2),MAX('Calc base'!N$12,ROUND('Calc base'!N$13*BE348,2))))</f>
        <v>0</v>
      </c>
      <c r="AT349">
        <f>MAX(0,ROUND(AT348*(1+'Calc base'!H349),2)-J349)</f>
        <v>0</v>
      </c>
      <c r="AU349">
        <f>MAX(0,ROUND(AU348*(1+'Calc base'!I349),2)-K349)</f>
        <v>0</v>
      </c>
      <c r="AV349">
        <f>MAX(0,ROUND(AV348*(1+'Calc base'!J349),2)-L349)</f>
        <v>0</v>
      </c>
      <c r="AW349">
        <f>MAX(0,ROUND(AW348*(1+'Calc base'!K349),2)-M349)</f>
        <v>0</v>
      </c>
      <c r="AX349">
        <f>MAX(0,ROUND(AX348*(1+'Calc base'!L349),2)-N349)</f>
        <v>0</v>
      </c>
      <c r="AY349">
        <f>MAX(0,ROUND(AY348*(1+'Calc base'!M349),2)-O349)</f>
        <v>0</v>
      </c>
      <c r="AZ349">
        <f>MAX(0,ROUND(AZ348*(1+'Calc base'!N349),2)-P349)</f>
        <v>0</v>
      </c>
      <c r="BA349">
        <f>MAX(0,ROUND(BA348*(1+'Calc base'!O349),2)-Q349)</f>
        <v>0</v>
      </c>
      <c r="BB349">
        <f>MAX(0,ROUND(BB348*(1+'Calc base'!P349),2)-R349)</f>
        <v>0</v>
      </c>
      <c r="BC349">
        <f>MAX(0,ROUND(BC348*(1+'Calc base'!Q349),2)-S349)</f>
        <v>0</v>
      </c>
      <c r="BD349">
        <f>MAX(0,ROUND(BD348*(1+'Calc base'!R349),2)-T349)</f>
        <v>0</v>
      </c>
      <c r="BE349">
        <f>MAX(0,ROUND(BE348*(1+'Calc base'!S349),2)-U349)</f>
        <v>0</v>
      </c>
    </row>
    <row r="350">
      <c r="A350" t="n">
        <v>320</v>
      </c>
      <c r="B350">
        <f>SUMPRODUCT(ROUND($AT349:$BE349*(1+'Calc base'!$H350:$S350),2))</f>
        <v>0</v>
      </c>
      <c r="C350">
        <f>SUM(J350:U350)</f>
        <v>0</v>
      </c>
      <c r="G350">
        <f>SUM(AT350:BE350)</f>
        <v>0</v>
      </c>
      <c r="H350">
        <f>B350-G349</f>
        <v>0</v>
      </c>
      <c r="I350">
        <f>B350-G350</f>
        <v>0</v>
      </c>
      <c r="J350">
        <f>IF(AT349&lt;=0,0,IF(ROUND(AT349*(1+'Calc base'!H350),2)-MAX('Calc base'!C$12,ROUND('Calc base'!C$13*AT349,2))&lt;1,ROUND(AT349*(1+'Calc base'!H350),2),MAX('Calc base'!C$12,ROUND('Calc base'!C$13*AT349,2))))</f>
        <v>0</v>
      </c>
      <c r="K350">
        <f>IF(AU349&lt;=0,0,IF(ROUND(AU349*(1+'Calc base'!I350),2)-MAX('Calc base'!D$12,ROUND('Calc base'!D$13*AU349,2))&lt;1,ROUND(AU349*(1+'Calc base'!I350),2),MAX('Calc base'!D$12,ROUND('Calc base'!D$13*AU349,2))))</f>
        <v>0</v>
      </c>
      <c r="L350">
        <f>IF(AV349&lt;=0,0,IF(ROUND(AV349*(1+'Calc base'!J350),2)-MAX('Calc base'!E$12,ROUND('Calc base'!E$13*AV349,2))&lt;1,ROUND(AV349*(1+'Calc base'!J350),2),MAX('Calc base'!E$12,ROUND('Calc base'!E$13*AV349,2))))</f>
        <v>0</v>
      </c>
      <c r="M350">
        <f>IF(AW349&lt;=0,0,IF(ROUND(AW349*(1+'Calc base'!K350),2)-MAX('Calc base'!F$12,ROUND('Calc base'!F$13*AW349,2))&lt;1,ROUND(AW349*(1+'Calc base'!K350),2),MAX('Calc base'!F$12,ROUND('Calc base'!F$13*AW349,2))))</f>
        <v>0</v>
      </c>
      <c r="N350">
        <f>IF(AX349&lt;=0,0,IF(ROUND(AX349*(1+'Calc base'!L350),2)-MAX('Calc base'!G$12,ROUND('Calc base'!G$13*AX349,2))&lt;1,ROUND(AX349*(1+'Calc base'!L350),2),MAX('Calc base'!G$12,ROUND('Calc base'!G$13*AX349,2))))</f>
        <v>0</v>
      </c>
      <c r="O350">
        <f>IF(AY349&lt;=0,0,IF(ROUND(AY349*(1+'Calc base'!M350),2)-MAX('Calc base'!H$12,ROUND('Calc base'!H$13*AY349,2))&lt;1,ROUND(AY349*(1+'Calc base'!M350),2),MAX('Calc base'!H$12,ROUND('Calc base'!H$13*AY349,2))))</f>
        <v>0</v>
      </c>
      <c r="P350">
        <f>IF(AZ349&lt;=0,0,IF(ROUND(AZ349*(1+'Calc base'!N350),2)-MAX('Calc base'!I$12,ROUND('Calc base'!I$13*AZ349,2))&lt;1,ROUND(AZ349*(1+'Calc base'!N350),2),MAX('Calc base'!I$12,ROUND('Calc base'!I$13*AZ349,2))))</f>
        <v>0</v>
      </c>
      <c r="Q350">
        <f>IF(BA349&lt;=0,0,IF(ROUND(BA349*(1+'Calc base'!O350),2)-MAX('Calc base'!J$12,ROUND('Calc base'!J$13*BA349,2))&lt;1,ROUND(BA349*(1+'Calc base'!O350),2),MAX('Calc base'!J$12,ROUND('Calc base'!J$13*BA349,2))))</f>
        <v>0</v>
      </c>
      <c r="R350">
        <f>IF(BB349&lt;=0,0,IF(ROUND(BB349*(1+'Calc base'!P350),2)-MAX('Calc base'!K$12,ROUND('Calc base'!K$13*BB349,2))&lt;1,ROUND(BB349*(1+'Calc base'!P350),2),MAX('Calc base'!K$12,ROUND('Calc base'!K$13*BB349,2))))</f>
        <v>0</v>
      </c>
      <c r="S350">
        <f>IF(BC349&lt;=0,0,IF(ROUND(BC349*(1+'Calc base'!Q350),2)-MAX('Calc base'!L$12,ROUND('Calc base'!L$13*BC349,2))&lt;1,ROUND(BC349*(1+'Calc base'!Q350),2),MAX('Calc base'!L$12,ROUND('Calc base'!L$13*BC349,2))))</f>
        <v>0</v>
      </c>
      <c r="T350">
        <f>IF(BD349&lt;=0,0,IF(ROUND(BD349*(1+'Calc base'!R350),2)-MAX('Calc base'!M$12,ROUND('Calc base'!M$13*BD349,2))&lt;1,ROUND(BD349*(1+'Calc base'!R350),2),MAX('Calc base'!M$12,ROUND('Calc base'!M$13*BD349,2))))</f>
        <v>0</v>
      </c>
      <c r="U350">
        <f>IF(BE349&lt;=0,0,IF(ROUND(BE349*(1+'Calc base'!S350),2)-MAX('Calc base'!N$12,ROUND('Calc base'!N$13*BE349,2))&lt;1,ROUND(BE349*(1+'Calc base'!S350),2),MAX('Calc base'!N$12,ROUND('Calc base'!N$13*BE349,2))))</f>
        <v>0</v>
      </c>
      <c r="AT350">
        <f>MAX(0,ROUND(AT349*(1+'Calc base'!H350),2)-J350)</f>
        <v>0</v>
      </c>
      <c r="AU350">
        <f>MAX(0,ROUND(AU349*(1+'Calc base'!I350),2)-K350)</f>
        <v>0</v>
      </c>
      <c r="AV350">
        <f>MAX(0,ROUND(AV349*(1+'Calc base'!J350),2)-L350)</f>
        <v>0</v>
      </c>
      <c r="AW350">
        <f>MAX(0,ROUND(AW349*(1+'Calc base'!K350),2)-M350)</f>
        <v>0</v>
      </c>
      <c r="AX350">
        <f>MAX(0,ROUND(AX349*(1+'Calc base'!L350),2)-N350)</f>
        <v>0</v>
      </c>
      <c r="AY350">
        <f>MAX(0,ROUND(AY349*(1+'Calc base'!M350),2)-O350)</f>
        <v>0</v>
      </c>
      <c r="AZ350">
        <f>MAX(0,ROUND(AZ349*(1+'Calc base'!N350),2)-P350)</f>
        <v>0</v>
      </c>
      <c r="BA350">
        <f>MAX(0,ROUND(BA349*(1+'Calc base'!O350),2)-Q350)</f>
        <v>0</v>
      </c>
      <c r="BB350">
        <f>MAX(0,ROUND(BB349*(1+'Calc base'!P350),2)-R350)</f>
        <v>0</v>
      </c>
      <c r="BC350">
        <f>MAX(0,ROUND(BC349*(1+'Calc base'!Q350),2)-S350)</f>
        <v>0</v>
      </c>
      <c r="BD350">
        <f>MAX(0,ROUND(BD349*(1+'Calc base'!R350),2)-T350)</f>
        <v>0</v>
      </c>
      <c r="BE350">
        <f>MAX(0,ROUND(BE349*(1+'Calc base'!S350),2)-U350)</f>
        <v>0</v>
      </c>
    </row>
    <row r="351">
      <c r="A351" t="n">
        <v>321</v>
      </c>
      <c r="B351">
        <f>SUMPRODUCT(ROUND($AT350:$BE350*(1+'Calc base'!$H351:$S351),2))</f>
        <v>0</v>
      </c>
      <c r="C351">
        <f>SUM(J351:U351)</f>
        <v>0</v>
      </c>
      <c r="G351">
        <f>SUM(AT351:BE351)</f>
        <v>0</v>
      </c>
      <c r="H351">
        <f>B351-G350</f>
        <v>0</v>
      </c>
      <c r="I351">
        <f>B351-G351</f>
        <v>0</v>
      </c>
      <c r="J351">
        <f>IF(AT350&lt;=0,0,IF(ROUND(AT350*(1+'Calc base'!H351),2)-MAX('Calc base'!C$12,ROUND('Calc base'!C$13*AT350,2))&lt;1,ROUND(AT350*(1+'Calc base'!H351),2),MAX('Calc base'!C$12,ROUND('Calc base'!C$13*AT350,2))))</f>
        <v>0</v>
      </c>
      <c r="K351">
        <f>IF(AU350&lt;=0,0,IF(ROUND(AU350*(1+'Calc base'!I351),2)-MAX('Calc base'!D$12,ROUND('Calc base'!D$13*AU350,2))&lt;1,ROUND(AU350*(1+'Calc base'!I351),2),MAX('Calc base'!D$12,ROUND('Calc base'!D$13*AU350,2))))</f>
        <v>0</v>
      </c>
      <c r="L351">
        <f>IF(AV350&lt;=0,0,IF(ROUND(AV350*(1+'Calc base'!J351),2)-MAX('Calc base'!E$12,ROUND('Calc base'!E$13*AV350,2))&lt;1,ROUND(AV350*(1+'Calc base'!J351),2),MAX('Calc base'!E$12,ROUND('Calc base'!E$13*AV350,2))))</f>
        <v>0</v>
      </c>
      <c r="M351">
        <f>IF(AW350&lt;=0,0,IF(ROUND(AW350*(1+'Calc base'!K351),2)-MAX('Calc base'!F$12,ROUND('Calc base'!F$13*AW350,2))&lt;1,ROUND(AW350*(1+'Calc base'!K351),2),MAX('Calc base'!F$12,ROUND('Calc base'!F$13*AW350,2))))</f>
        <v>0</v>
      </c>
      <c r="N351">
        <f>IF(AX350&lt;=0,0,IF(ROUND(AX350*(1+'Calc base'!L351),2)-MAX('Calc base'!G$12,ROUND('Calc base'!G$13*AX350,2))&lt;1,ROUND(AX350*(1+'Calc base'!L351),2),MAX('Calc base'!G$12,ROUND('Calc base'!G$13*AX350,2))))</f>
        <v>0</v>
      </c>
      <c r="O351">
        <f>IF(AY350&lt;=0,0,IF(ROUND(AY350*(1+'Calc base'!M351),2)-MAX('Calc base'!H$12,ROUND('Calc base'!H$13*AY350,2))&lt;1,ROUND(AY350*(1+'Calc base'!M351),2),MAX('Calc base'!H$12,ROUND('Calc base'!H$13*AY350,2))))</f>
        <v>0</v>
      </c>
      <c r="P351">
        <f>IF(AZ350&lt;=0,0,IF(ROUND(AZ350*(1+'Calc base'!N351),2)-MAX('Calc base'!I$12,ROUND('Calc base'!I$13*AZ350,2))&lt;1,ROUND(AZ350*(1+'Calc base'!N351),2),MAX('Calc base'!I$12,ROUND('Calc base'!I$13*AZ350,2))))</f>
        <v>0</v>
      </c>
      <c r="Q351">
        <f>IF(BA350&lt;=0,0,IF(ROUND(BA350*(1+'Calc base'!O351),2)-MAX('Calc base'!J$12,ROUND('Calc base'!J$13*BA350,2))&lt;1,ROUND(BA350*(1+'Calc base'!O351),2),MAX('Calc base'!J$12,ROUND('Calc base'!J$13*BA350,2))))</f>
        <v>0</v>
      </c>
      <c r="R351">
        <f>IF(BB350&lt;=0,0,IF(ROUND(BB350*(1+'Calc base'!P351),2)-MAX('Calc base'!K$12,ROUND('Calc base'!K$13*BB350,2))&lt;1,ROUND(BB350*(1+'Calc base'!P351),2),MAX('Calc base'!K$12,ROUND('Calc base'!K$13*BB350,2))))</f>
        <v>0</v>
      </c>
      <c r="S351">
        <f>IF(BC350&lt;=0,0,IF(ROUND(BC350*(1+'Calc base'!Q351),2)-MAX('Calc base'!L$12,ROUND('Calc base'!L$13*BC350,2))&lt;1,ROUND(BC350*(1+'Calc base'!Q351),2),MAX('Calc base'!L$12,ROUND('Calc base'!L$13*BC350,2))))</f>
        <v>0</v>
      </c>
      <c r="T351">
        <f>IF(BD350&lt;=0,0,IF(ROUND(BD350*(1+'Calc base'!R351),2)-MAX('Calc base'!M$12,ROUND('Calc base'!M$13*BD350,2))&lt;1,ROUND(BD350*(1+'Calc base'!R351),2),MAX('Calc base'!M$12,ROUND('Calc base'!M$13*BD350,2))))</f>
        <v>0</v>
      </c>
      <c r="U351">
        <f>IF(BE350&lt;=0,0,IF(ROUND(BE350*(1+'Calc base'!S351),2)-MAX('Calc base'!N$12,ROUND('Calc base'!N$13*BE350,2))&lt;1,ROUND(BE350*(1+'Calc base'!S351),2),MAX('Calc base'!N$12,ROUND('Calc base'!N$13*BE350,2))))</f>
        <v>0</v>
      </c>
      <c r="AT351">
        <f>MAX(0,ROUND(AT350*(1+'Calc base'!H351),2)-J351)</f>
        <v>0</v>
      </c>
      <c r="AU351">
        <f>MAX(0,ROUND(AU350*(1+'Calc base'!I351),2)-K351)</f>
        <v>0</v>
      </c>
      <c r="AV351">
        <f>MAX(0,ROUND(AV350*(1+'Calc base'!J351),2)-L351)</f>
        <v>0</v>
      </c>
      <c r="AW351">
        <f>MAX(0,ROUND(AW350*(1+'Calc base'!K351),2)-M351)</f>
        <v>0</v>
      </c>
      <c r="AX351">
        <f>MAX(0,ROUND(AX350*(1+'Calc base'!L351),2)-N351)</f>
        <v>0</v>
      </c>
      <c r="AY351">
        <f>MAX(0,ROUND(AY350*(1+'Calc base'!M351),2)-O351)</f>
        <v>0</v>
      </c>
      <c r="AZ351">
        <f>MAX(0,ROUND(AZ350*(1+'Calc base'!N351),2)-P351)</f>
        <v>0</v>
      </c>
      <c r="BA351">
        <f>MAX(0,ROUND(BA350*(1+'Calc base'!O351),2)-Q351)</f>
        <v>0</v>
      </c>
      <c r="BB351">
        <f>MAX(0,ROUND(BB350*(1+'Calc base'!P351),2)-R351)</f>
        <v>0</v>
      </c>
      <c r="BC351">
        <f>MAX(0,ROUND(BC350*(1+'Calc base'!Q351),2)-S351)</f>
        <v>0</v>
      </c>
      <c r="BD351">
        <f>MAX(0,ROUND(BD350*(1+'Calc base'!R351),2)-T351)</f>
        <v>0</v>
      </c>
      <c r="BE351">
        <f>MAX(0,ROUND(BE350*(1+'Calc base'!S351),2)-U351)</f>
        <v>0</v>
      </c>
    </row>
    <row r="352">
      <c r="A352" t="n">
        <v>322</v>
      </c>
      <c r="B352">
        <f>SUMPRODUCT(ROUND($AT351:$BE351*(1+'Calc base'!$H352:$S352),2))</f>
        <v>0</v>
      </c>
      <c r="C352">
        <f>SUM(J352:U352)</f>
        <v>0</v>
      </c>
      <c r="G352">
        <f>SUM(AT352:BE352)</f>
        <v>0</v>
      </c>
      <c r="H352">
        <f>B352-G351</f>
        <v>0</v>
      </c>
      <c r="I352">
        <f>B352-G352</f>
        <v>0</v>
      </c>
      <c r="J352">
        <f>IF(AT351&lt;=0,0,IF(ROUND(AT351*(1+'Calc base'!H352),2)-MAX('Calc base'!C$12,ROUND('Calc base'!C$13*AT351,2))&lt;1,ROUND(AT351*(1+'Calc base'!H352),2),MAX('Calc base'!C$12,ROUND('Calc base'!C$13*AT351,2))))</f>
        <v>0</v>
      </c>
      <c r="K352">
        <f>IF(AU351&lt;=0,0,IF(ROUND(AU351*(1+'Calc base'!I352),2)-MAX('Calc base'!D$12,ROUND('Calc base'!D$13*AU351,2))&lt;1,ROUND(AU351*(1+'Calc base'!I352),2),MAX('Calc base'!D$12,ROUND('Calc base'!D$13*AU351,2))))</f>
        <v>0</v>
      </c>
      <c r="L352">
        <f>IF(AV351&lt;=0,0,IF(ROUND(AV351*(1+'Calc base'!J352),2)-MAX('Calc base'!E$12,ROUND('Calc base'!E$13*AV351,2))&lt;1,ROUND(AV351*(1+'Calc base'!J352),2),MAX('Calc base'!E$12,ROUND('Calc base'!E$13*AV351,2))))</f>
        <v>0</v>
      </c>
      <c r="M352">
        <f>IF(AW351&lt;=0,0,IF(ROUND(AW351*(1+'Calc base'!K352),2)-MAX('Calc base'!F$12,ROUND('Calc base'!F$13*AW351,2))&lt;1,ROUND(AW351*(1+'Calc base'!K352),2),MAX('Calc base'!F$12,ROUND('Calc base'!F$13*AW351,2))))</f>
        <v>0</v>
      </c>
      <c r="N352">
        <f>IF(AX351&lt;=0,0,IF(ROUND(AX351*(1+'Calc base'!L352),2)-MAX('Calc base'!G$12,ROUND('Calc base'!G$13*AX351,2))&lt;1,ROUND(AX351*(1+'Calc base'!L352),2),MAX('Calc base'!G$12,ROUND('Calc base'!G$13*AX351,2))))</f>
        <v>0</v>
      </c>
      <c r="O352">
        <f>IF(AY351&lt;=0,0,IF(ROUND(AY351*(1+'Calc base'!M352),2)-MAX('Calc base'!H$12,ROUND('Calc base'!H$13*AY351,2))&lt;1,ROUND(AY351*(1+'Calc base'!M352),2),MAX('Calc base'!H$12,ROUND('Calc base'!H$13*AY351,2))))</f>
        <v>0</v>
      </c>
      <c r="P352">
        <f>IF(AZ351&lt;=0,0,IF(ROUND(AZ351*(1+'Calc base'!N352),2)-MAX('Calc base'!I$12,ROUND('Calc base'!I$13*AZ351,2))&lt;1,ROUND(AZ351*(1+'Calc base'!N352),2),MAX('Calc base'!I$12,ROUND('Calc base'!I$13*AZ351,2))))</f>
        <v>0</v>
      </c>
      <c r="Q352">
        <f>IF(BA351&lt;=0,0,IF(ROUND(BA351*(1+'Calc base'!O352),2)-MAX('Calc base'!J$12,ROUND('Calc base'!J$13*BA351,2))&lt;1,ROUND(BA351*(1+'Calc base'!O352),2),MAX('Calc base'!J$12,ROUND('Calc base'!J$13*BA351,2))))</f>
        <v>0</v>
      </c>
      <c r="R352">
        <f>IF(BB351&lt;=0,0,IF(ROUND(BB351*(1+'Calc base'!P352),2)-MAX('Calc base'!K$12,ROUND('Calc base'!K$13*BB351,2))&lt;1,ROUND(BB351*(1+'Calc base'!P352),2),MAX('Calc base'!K$12,ROUND('Calc base'!K$13*BB351,2))))</f>
        <v>0</v>
      </c>
      <c r="S352">
        <f>IF(BC351&lt;=0,0,IF(ROUND(BC351*(1+'Calc base'!Q352),2)-MAX('Calc base'!L$12,ROUND('Calc base'!L$13*BC351,2))&lt;1,ROUND(BC351*(1+'Calc base'!Q352),2),MAX('Calc base'!L$12,ROUND('Calc base'!L$13*BC351,2))))</f>
        <v>0</v>
      </c>
      <c r="T352">
        <f>IF(BD351&lt;=0,0,IF(ROUND(BD351*(1+'Calc base'!R352),2)-MAX('Calc base'!M$12,ROUND('Calc base'!M$13*BD351,2))&lt;1,ROUND(BD351*(1+'Calc base'!R352),2),MAX('Calc base'!M$12,ROUND('Calc base'!M$13*BD351,2))))</f>
        <v>0</v>
      </c>
      <c r="U352">
        <f>IF(BE351&lt;=0,0,IF(ROUND(BE351*(1+'Calc base'!S352),2)-MAX('Calc base'!N$12,ROUND('Calc base'!N$13*BE351,2))&lt;1,ROUND(BE351*(1+'Calc base'!S352),2),MAX('Calc base'!N$12,ROUND('Calc base'!N$13*BE351,2))))</f>
        <v>0</v>
      </c>
      <c r="AT352">
        <f>MAX(0,ROUND(AT351*(1+'Calc base'!H352),2)-J352)</f>
        <v>0</v>
      </c>
      <c r="AU352">
        <f>MAX(0,ROUND(AU351*(1+'Calc base'!I352),2)-K352)</f>
        <v>0</v>
      </c>
      <c r="AV352">
        <f>MAX(0,ROUND(AV351*(1+'Calc base'!J352),2)-L352)</f>
        <v>0</v>
      </c>
      <c r="AW352">
        <f>MAX(0,ROUND(AW351*(1+'Calc base'!K352),2)-M352)</f>
        <v>0</v>
      </c>
      <c r="AX352">
        <f>MAX(0,ROUND(AX351*(1+'Calc base'!L352),2)-N352)</f>
        <v>0</v>
      </c>
      <c r="AY352">
        <f>MAX(0,ROUND(AY351*(1+'Calc base'!M352),2)-O352)</f>
        <v>0</v>
      </c>
      <c r="AZ352">
        <f>MAX(0,ROUND(AZ351*(1+'Calc base'!N352),2)-P352)</f>
        <v>0</v>
      </c>
      <c r="BA352">
        <f>MAX(0,ROUND(BA351*(1+'Calc base'!O352),2)-Q352)</f>
        <v>0</v>
      </c>
      <c r="BB352">
        <f>MAX(0,ROUND(BB351*(1+'Calc base'!P352),2)-R352)</f>
        <v>0</v>
      </c>
      <c r="BC352">
        <f>MAX(0,ROUND(BC351*(1+'Calc base'!Q352),2)-S352)</f>
        <v>0</v>
      </c>
      <c r="BD352">
        <f>MAX(0,ROUND(BD351*(1+'Calc base'!R352),2)-T352)</f>
        <v>0</v>
      </c>
      <c r="BE352">
        <f>MAX(0,ROUND(BE351*(1+'Calc base'!S352),2)-U352)</f>
        <v>0</v>
      </c>
    </row>
    <row r="353">
      <c r="A353" t="n">
        <v>323</v>
      </c>
      <c r="B353">
        <f>SUMPRODUCT(ROUND($AT352:$BE352*(1+'Calc base'!$H353:$S353),2))</f>
        <v>0</v>
      </c>
      <c r="C353">
        <f>SUM(J353:U353)</f>
        <v>0</v>
      </c>
      <c r="G353">
        <f>SUM(AT353:BE353)</f>
        <v>0</v>
      </c>
      <c r="H353">
        <f>B353-G352</f>
        <v>0</v>
      </c>
      <c r="I353">
        <f>B353-G353</f>
        <v>0</v>
      </c>
      <c r="J353">
        <f>IF(AT352&lt;=0,0,IF(ROUND(AT352*(1+'Calc base'!H353),2)-MAX('Calc base'!C$12,ROUND('Calc base'!C$13*AT352,2))&lt;1,ROUND(AT352*(1+'Calc base'!H353),2),MAX('Calc base'!C$12,ROUND('Calc base'!C$13*AT352,2))))</f>
        <v>0</v>
      </c>
      <c r="K353">
        <f>IF(AU352&lt;=0,0,IF(ROUND(AU352*(1+'Calc base'!I353),2)-MAX('Calc base'!D$12,ROUND('Calc base'!D$13*AU352,2))&lt;1,ROUND(AU352*(1+'Calc base'!I353),2),MAX('Calc base'!D$12,ROUND('Calc base'!D$13*AU352,2))))</f>
        <v>0</v>
      </c>
      <c r="L353">
        <f>IF(AV352&lt;=0,0,IF(ROUND(AV352*(1+'Calc base'!J353),2)-MAX('Calc base'!E$12,ROUND('Calc base'!E$13*AV352,2))&lt;1,ROUND(AV352*(1+'Calc base'!J353),2),MAX('Calc base'!E$12,ROUND('Calc base'!E$13*AV352,2))))</f>
        <v>0</v>
      </c>
      <c r="M353">
        <f>IF(AW352&lt;=0,0,IF(ROUND(AW352*(1+'Calc base'!K353),2)-MAX('Calc base'!F$12,ROUND('Calc base'!F$13*AW352,2))&lt;1,ROUND(AW352*(1+'Calc base'!K353),2),MAX('Calc base'!F$12,ROUND('Calc base'!F$13*AW352,2))))</f>
        <v>0</v>
      </c>
      <c r="N353">
        <f>IF(AX352&lt;=0,0,IF(ROUND(AX352*(1+'Calc base'!L353),2)-MAX('Calc base'!G$12,ROUND('Calc base'!G$13*AX352,2))&lt;1,ROUND(AX352*(1+'Calc base'!L353),2),MAX('Calc base'!G$12,ROUND('Calc base'!G$13*AX352,2))))</f>
        <v>0</v>
      </c>
      <c r="O353">
        <f>IF(AY352&lt;=0,0,IF(ROUND(AY352*(1+'Calc base'!M353),2)-MAX('Calc base'!H$12,ROUND('Calc base'!H$13*AY352,2))&lt;1,ROUND(AY352*(1+'Calc base'!M353),2),MAX('Calc base'!H$12,ROUND('Calc base'!H$13*AY352,2))))</f>
        <v>0</v>
      </c>
      <c r="P353">
        <f>IF(AZ352&lt;=0,0,IF(ROUND(AZ352*(1+'Calc base'!N353),2)-MAX('Calc base'!I$12,ROUND('Calc base'!I$13*AZ352,2))&lt;1,ROUND(AZ352*(1+'Calc base'!N353),2),MAX('Calc base'!I$12,ROUND('Calc base'!I$13*AZ352,2))))</f>
        <v>0</v>
      </c>
      <c r="Q353">
        <f>IF(BA352&lt;=0,0,IF(ROUND(BA352*(1+'Calc base'!O353),2)-MAX('Calc base'!J$12,ROUND('Calc base'!J$13*BA352,2))&lt;1,ROUND(BA352*(1+'Calc base'!O353),2),MAX('Calc base'!J$12,ROUND('Calc base'!J$13*BA352,2))))</f>
        <v>0</v>
      </c>
      <c r="R353">
        <f>IF(BB352&lt;=0,0,IF(ROUND(BB352*(1+'Calc base'!P353),2)-MAX('Calc base'!K$12,ROUND('Calc base'!K$13*BB352,2))&lt;1,ROUND(BB352*(1+'Calc base'!P353),2),MAX('Calc base'!K$12,ROUND('Calc base'!K$13*BB352,2))))</f>
        <v>0</v>
      </c>
      <c r="S353">
        <f>IF(BC352&lt;=0,0,IF(ROUND(BC352*(1+'Calc base'!Q353),2)-MAX('Calc base'!L$12,ROUND('Calc base'!L$13*BC352,2))&lt;1,ROUND(BC352*(1+'Calc base'!Q353),2),MAX('Calc base'!L$12,ROUND('Calc base'!L$13*BC352,2))))</f>
        <v>0</v>
      </c>
      <c r="T353">
        <f>IF(BD352&lt;=0,0,IF(ROUND(BD352*(1+'Calc base'!R353),2)-MAX('Calc base'!M$12,ROUND('Calc base'!M$13*BD352,2))&lt;1,ROUND(BD352*(1+'Calc base'!R353),2),MAX('Calc base'!M$12,ROUND('Calc base'!M$13*BD352,2))))</f>
        <v>0</v>
      </c>
      <c r="U353">
        <f>IF(BE352&lt;=0,0,IF(ROUND(BE352*(1+'Calc base'!S353),2)-MAX('Calc base'!N$12,ROUND('Calc base'!N$13*BE352,2))&lt;1,ROUND(BE352*(1+'Calc base'!S353),2),MAX('Calc base'!N$12,ROUND('Calc base'!N$13*BE352,2))))</f>
        <v>0</v>
      </c>
      <c r="AT353">
        <f>MAX(0,ROUND(AT352*(1+'Calc base'!H353),2)-J353)</f>
        <v>0</v>
      </c>
      <c r="AU353">
        <f>MAX(0,ROUND(AU352*(1+'Calc base'!I353),2)-K353)</f>
        <v>0</v>
      </c>
      <c r="AV353">
        <f>MAX(0,ROUND(AV352*(1+'Calc base'!J353),2)-L353)</f>
        <v>0</v>
      </c>
      <c r="AW353">
        <f>MAX(0,ROUND(AW352*(1+'Calc base'!K353),2)-M353)</f>
        <v>0</v>
      </c>
      <c r="AX353">
        <f>MAX(0,ROUND(AX352*(1+'Calc base'!L353),2)-N353)</f>
        <v>0</v>
      </c>
      <c r="AY353">
        <f>MAX(0,ROUND(AY352*(1+'Calc base'!M353),2)-O353)</f>
        <v>0</v>
      </c>
      <c r="AZ353">
        <f>MAX(0,ROUND(AZ352*(1+'Calc base'!N353),2)-P353)</f>
        <v>0</v>
      </c>
      <c r="BA353">
        <f>MAX(0,ROUND(BA352*(1+'Calc base'!O353),2)-Q353)</f>
        <v>0</v>
      </c>
      <c r="BB353">
        <f>MAX(0,ROUND(BB352*(1+'Calc base'!P353),2)-R353)</f>
        <v>0</v>
      </c>
      <c r="BC353">
        <f>MAX(0,ROUND(BC352*(1+'Calc base'!Q353),2)-S353)</f>
        <v>0</v>
      </c>
      <c r="BD353">
        <f>MAX(0,ROUND(BD352*(1+'Calc base'!R353),2)-T353)</f>
        <v>0</v>
      </c>
      <c r="BE353">
        <f>MAX(0,ROUND(BE352*(1+'Calc base'!S353),2)-U353)</f>
        <v>0</v>
      </c>
    </row>
    <row r="354">
      <c r="A354" t="n">
        <v>324</v>
      </c>
      <c r="B354">
        <f>SUMPRODUCT(ROUND($AT353:$BE353*(1+'Calc base'!$H354:$S354),2))</f>
        <v>0</v>
      </c>
      <c r="C354">
        <f>SUM(J354:U354)</f>
        <v>0</v>
      </c>
      <c r="G354">
        <f>SUM(AT354:BE354)</f>
        <v>0</v>
      </c>
      <c r="H354">
        <f>B354-G353</f>
        <v>0</v>
      </c>
      <c r="I354">
        <f>B354-G354</f>
        <v>0</v>
      </c>
      <c r="J354">
        <f>IF(AT353&lt;=0,0,IF(ROUND(AT353*(1+'Calc base'!H354),2)-MAX('Calc base'!C$12,ROUND('Calc base'!C$13*AT353,2))&lt;1,ROUND(AT353*(1+'Calc base'!H354),2),MAX('Calc base'!C$12,ROUND('Calc base'!C$13*AT353,2))))</f>
        <v>0</v>
      </c>
      <c r="K354">
        <f>IF(AU353&lt;=0,0,IF(ROUND(AU353*(1+'Calc base'!I354),2)-MAX('Calc base'!D$12,ROUND('Calc base'!D$13*AU353,2))&lt;1,ROUND(AU353*(1+'Calc base'!I354),2),MAX('Calc base'!D$12,ROUND('Calc base'!D$13*AU353,2))))</f>
        <v>0</v>
      </c>
      <c r="L354">
        <f>IF(AV353&lt;=0,0,IF(ROUND(AV353*(1+'Calc base'!J354),2)-MAX('Calc base'!E$12,ROUND('Calc base'!E$13*AV353,2))&lt;1,ROUND(AV353*(1+'Calc base'!J354),2),MAX('Calc base'!E$12,ROUND('Calc base'!E$13*AV353,2))))</f>
        <v>0</v>
      </c>
      <c r="M354">
        <f>IF(AW353&lt;=0,0,IF(ROUND(AW353*(1+'Calc base'!K354),2)-MAX('Calc base'!F$12,ROUND('Calc base'!F$13*AW353,2))&lt;1,ROUND(AW353*(1+'Calc base'!K354),2),MAX('Calc base'!F$12,ROUND('Calc base'!F$13*AW353,2))))</f>
        <v>0</v>
      </c>
      <c r="N354">
        <f>IF(AX353&lt;=0,0,IF(ROUND(AX353*(1+'Calc base'!L354),2)-MAX('Calc base'!G$12,ROUND('Calc base'!G$13*AX353,2))&lt;1,ROUND(AX353*(1+'Calc base'!L354),2),MAX('Calc base'!G$12,ROUND('Calc base'!G$13*AX353,2))))</f>
        <v>0</v>
      </c>
      <c r="O354">
        <f>IF(AY353&lt;=0,0,IF(ROUND(AY353*(1+'Calc base'!M354),2)-MAX('Calc base'!H$12,ROUND('Calc base'!H$13*AY353,2))&lt;1,ROUND(AY353*(1+'Calc base'!M354),2),MAX('Calc base'!H$12,ROUND('Calc base'!H$13*AY353,2))))</f>
        <v>0</v>
      </c>
      <c r="P354">
        <f>IF(AZ353&lt;=0,0,IF(ROUND(AZ353*(1+'Calc base'!N354),2)-MAX('Calc base'!I$12,ROUND('Calc base'!I$13*AZ353,2))&lt;1,ROUND(AZ353*(1+'Calc base'!N354),2),MAX('Calc base'!I$12,ROUND('Calc base'!I$13*AZ353,2))))</f>
        <v>0</v>
      </c>
      <c r="Q354">
        <f>IF(BA353&lt;=0,0,IF(ROUND(BA353*(1+'Calc base'!O354),2)-MAX('Calc base'!J$12,ROUND('Calc base'!J$13*BA353,2))&lt;1,ROUND(BA353*(1+'Calc base'!O354),2),MAX('Calc base'!J$12,ROUND('Calc base'!J$13*BA353,2))))</f>
        <v>0</v>
      </c>
      <c r="R354">
        <f>IF(BB353&lt;=0,0,IF(ROUND(BB353*(1+'Calc base'!P354),2)-MAX('Calc base'!K$12,ROUND('Calc base'!K$13*BB353,2))&lt;1,ROUND(BB353*(1+'Calc base'!P354),2),MAX('Calc base'!K$12,ROUND('Calc base'!K$13*BB353,2))))</f>
        <v>0</v>
      </c>
      <c r="S354">
        <f>IF(BC353&lt;=0,0,IF(ROUND(BC353*(1+'Calc base'!Q354),2)-MAX('Calc base'!L$12,ROUND('Calc base'!L$13*BC353,2))&lt;1,ROUND(BC353*(1+'Calc base'!Q354),2),MAX('Calc base'!L$12,ROUND('Calc base'!L$13*BC353,2))))</f>
        <v>0</v>
      </c>
      <c r="T354">
        <f>IF(BD353&lt;=0,0,IF(ROUND(BD353*(1+'Calc base'!R354),2)-MAX('Calc base'!M$12,ROUND('Calc base'!M$13*BD353,2))&lt;1,ROUND(BD353*(1+'Calc base'!R354),2),MAX('Calc base'!M$12,ROUND('Calc base'!M$13*BD353,2))))</f>
        <v>0</v>
      </c>
      <c r="U354">
        <f>IF(BE353&lt;=0,0,IF(ROUND(BE353*(1+'Calc base'!S354),2)-MAX('Calc base'!N$12,ROUND('Calc base'!N$13*BE353,2))&lt;1,ROUND(BE353*(1+'Calc base'!S354),2),MAX('Calc base'!N$12,ROUND('Calc base'!N$13*BE353,2))))</f>
        <v>0</v>
      </c>
      <c r="AT354">
        <f>MAX(0,ROUND(AT353*(1+'Calc base'!H354),2)-J354)</f>
        <v>0</v>
      </c>
      <c r="AU354">
        <f>MAX(0,ROUND(AU353*(1+'Calc base'!I354),2)-K354)</f>
        <v>0</v>
      </c>
      <c r="AV354">
        <f>MAX(0,ROUND(AV353*(1+'Calc base'!J354),2)-L354)</f>
        <v>0</v>
      </c>
      <c r="AW354">
        <f>MAX(0,ROUND(AW353*(1+'Calc base'!K354),2)-M354)</f>
        <v>0</v>
      </c>
      <c r="AX354">
        <f>MAX(0,ROUND(AX353*(1+'Calc base'!L354),2)-N354)</f>
        <v>0</v>
      </c>
      <c r="AY354">
        <f>MAX(0,ROUND(AY353*(1+'Calc base'!M354),2)-O354)</f>
        <v>0</v>
      </c>
      <c r="AZ354">
        <f>MAX(0,ROUND(AZ353*(1+'Calc base'!N354),2)-P354)</f>
        <v>0</v>
      </c>
      <c r="BA354">
        <f>MAX(0,ROUND(BA353*(1+'Calc base'!O354),2)-Q354)</f>
        <v>0</v>
      </c>
      <c r="BB354">
        <f>MAX(0,ROUND(BB353*(1+'Calc base'!P354),2)-R354)</f>
        <v>0</v>
      </c>
      <c r="BC354">
        <f>MAX(0,ROUND(BC353*(1+'Calc base'!Q354),2)-S354)</f>
        <v>0</v>
      </c>
      <c r="BD354">
        <f>MAX(0,ROUND(BD353*(1+'Calc base'!R354),2)-T354)</f>
        <v>0</v>
      </c>
      <c r="BE354">
        <f>MAX(0,ROUND(BE353*(1+'Calc base'!S354),2)-U354)</f>
        <v>0</v>
      </c>
    </row>
    <row r="355">
      <c r="A355" t="n">
        <v>325</v>
      </c>
      <c r="B355">
        <f>SUMPRODUCT(ROUND($AT354:$BE354*(1+'Calc base'!$H355:$S355),2))</f>
        <v>0</v>
      </c>
      <c r="C355">
        <f>SUM(J355:U355)</f>
        <v>0</v>
      </c>
      <c r="G355">
        <f>SUM(AT355:BE355)</f>
        <v>0</v>
      </c>
      <c r="H355">
        <f>B355-G354</f>
        <v>0</v>
      </c>
      <c r="I355">
        <f>B355-G355</f>
        <v>0</v>
      </c>
      <c r="J355">
        <f>IF(AT354&lt;=0,0,IF(ROUND(AT354*(1+'Calc base'!H355),2)-MAX('Calc base'!C$12,ROUND('Calc base'!C$13*AT354,2))&lt;1,ROUND(AT354*(1+'Calc base'!H355),2),MAX('Calc base'!C$12,ROUND('Calc base'!C$13*AT354,2))))</f>
        <v>0</v>
      </c>
      <c r="K355">
        <f>IF(AU354&lt;=0,0,IF(ROUND(AU354*(1+'Calc base'!I355),2)-MAX('Calc base'!D$12,ROUND('Calc base'!D$13*AU354,2))&lt;1,ROUND(AU354*(1+'Calc base'!I355),2),MAX('Calc base'!D$12,ROUND('Calc base'!D$13*AU354,2))))</f>
        <v>0</v>
      </c>
      <c r="L355">
        <f>IF(AV354&lt;=0,0,IF(ROUND(AV354*(1+'Calc base'!J355),2)-MAX('Calc base'!E$12,ROUND('Calc base'!E$13*AV354,2))&lt;1,ROUND(AV354*(1+'Calc base'!J355),2),MAX('Calc base'!E$12,ROUND('Calc base'!E$13*AV354,2))))</f>
        <v>0</v>
      </c>
      <c r="M355">
        <f>IF(AW354&lt;=0,0,IF(ROUND(AW354*(1+'Calc base'!K355),2)-MAX('Calc base'!F$12,ROUND('Calc base'!F$13*AW354,2))&lt;1,ROUND(AW354*(1+'Calc base'!K355),2),MAX('Calc base'!F$12,ROUND('Calc base'!F$13*AW354,2))))</f>
        <v>0</v>
      </c>
      <c r="N355">
        <f>IF(AX354&lt;=0,0,IF(ROUND(AX354*(1+'Calc base'!L355),2)-MAX('Calc base'!G$12,ROUND('Calc base'!G$13*AX354,2))&lt;1,ROUND(AX354*(1+'Calc base'!L355),2),MAX('Calc base'!G$12,ROUND('Calc base'!G$13*AX354,2))))</f>
        <v>0</v>
      </c>
      <c r="O355">
        <f>IF(AY354&lt;=0,0,IF(ROUND(AY354*(1+'Calc base'!M355),2)-MAX('Calc base'!H$12,ROUND('Calc base'!H$13*AY354,2))&lt;1,ROUND(AY354*(1+'Calc base'!M355),2),MAX('Calc base'!H$12,ROUND('Calc base'!H$13*AY354,2))))</f>
        <v>0</v>
      </c>
      <c r="P355">
        <f>IF(AZ354&lt;=0,0,IF(ROUND(AZ354*(1+'Calc base'!N355),2)-MAX('Calc base'!I$12,ROUND('Calc base'!I$13*AZ354,2))&lt;1,ROUND(AZ354*(1+'Calc base'!N355),2),MAX('Calc base'!I$12,ROUND('Calc base'!I$13*AZ354,2))))</f>
        <v>0</v>
      </c>
      <c r="Q355">
        <f>IF(BA354&lt;=0,0,IF(ROUND(BA354*(1+'Calc base'!O355),2)-MAX('Calc base'!J$12,ROUND('Calc base'!J$13*BA354,2))&lt;1,ROUND(BA354*(1+'Calc base'!O355),2),MAX('Calc base'!J$12,ROUND('Calc base'!J$13*BA354,2))))</f>
        <v>0</v>
      </c>
      <c r="R355">
        <f>IF(BB354&lt;=0,0,IF(ROUND(BB354*(1+'Calc base'!P355),2)-MAX('Calc base'!K$12,ROUND('Calc base'!K$13*BB354,2))&lt;1,ROUND(BB354*(1+'Calc base'!P355),2),MAX('Calc base'!K$12,ROUND('Calc base'!K$13*BB354,2))))</f>
        <v>0</v>
      </c>
      <c r="S355">
        <f>IF(BC354&lt;=0,0,IF(ROUND(BC354*(1+'Calc base'!Q355),2)-MAX('Calc base'!L$12,ROUND('Calc base'!L$13*BC354,2))&lt;1,ROUND(BC354*(1+'Calc base'!Q355),2),MAX('Calc base'!L$12,ROUND('Calc base'!L$13*BC354,2))))</f>
        <v>0</v>
      </c>
      <c r="T355">
        <f>IF(BD354&lt;=0,0,IF(ROUND(BD354*(1+'Calc base'!R355),2)-MAX('Calc base'!M$12,ROUND('Calc base'!M$13*BD354,2))&lt;1,ROUND(BD354*(1+'Calc base'!R355),2),MAX('Calc base'!M$12,ROUND('Calc base'!M$13*BD354,2))))</f>
        <v>0</v>
      </c>
      <c r="U355">
        <f>IF(BE354&lt;=0,0,IF(ROUND(BE354*(1+'Calc base'!S355),2)-MAX('Calc base'!N$12,ROUND('Calc base'!N$13*BE354,2))&lt;1,ROUND(BE354*(1+'Calc base'!S355),2),MAX('Calc base'!N$12,ROUND('Calc base'!N$13*BE354,2))))</f>
        <v>0</v>
      </c>
      <c r="AT355">
        <f>MAX(0,ROUND(AT354*(1+'Calc base'!H355),2)-J355)</f>
        <v>0</v>
      </c>
      <c r="AU355">
        <f>MAX(0,ROUND(AU354*(1+'Calc base'!I355),2)-K355)</f>
        <v>0</v>
      </c>
      <c r="AV355">
        <f>MAX(0,ROUND(AV354*(1+'Calc base'!J355),2)-L355)</f>
        <v>0</v>
      </c>
      <c r="AW355">
        <f>MAX(0,ROUND(AW354*(1+'Calc base'!K355),2)-M355)</f>
        <v>0</v>
      </c>
      <c r="AX355">
        <f>MAX(0,ROUND(AX354*(1+'Calc base'!L355),2)-N355)</f>
        <v>0</v>
      </c>
      <c r="AY355">
        <f>MAX(0,ROUND(AY354*(1+'Calc base'!M355),2)-O355)</f>
        <v>0</v>
      </c>
      <c r="AZ355">
        <f>MAX(0,ROUND(AZ354*(1+'Calc base'!N355),2)-P355)</f>
        <v>0</v>
      </c>
      <c r="BA355">
        <f>MAX(0,ROUND(BA354*(1+'Calc base'!O355),2)-Q355)</f>
        <v>0</v>
      </c>
      <c r="BB355">
        <f>MAX(0,ROUND(BB354*(1+'Calc base'!P355),2)-R355)</f>
        <v>0</v>
      </c>
      <c r="BC355">
        <f>MAX(0,ROUND(BC354*(1+'Calc base'!Q355),2)-S355)</f>
        <v>0</v>
      </c>
      <c r="BD355">
        <f>MAX(0,ROUND(BD354*(1+'Calc base'!R355),2)-T355)</f>
        <v>0</v>
      </c>
      <c r="BE355">
        <f>MAX(0,ROUND(BE354*(1+'Calc base'!S355),2)-U355)</f>
        <v>0</v>
      </c>
    </row>
    <row r="356">
      <c r="A356" t="n">
        <v>326</v>
      </c>
      <c r="B356">
        <f>SUMPRODUCT(ROUND($AT355:$BE355*(1+'Calc base'!$H356:$S356),2))</f>
        <v>0</v>
      </c>
      <c r="C356">
        <f>SUM(J356:U356)</f>
        <v>0</v>
      </c>
      <c r="G356">
        <f>SUM(AT356:BE356)</f>
        <v>0</v>
      </c>
      <c r="H356">
        <f>B356-G355</f>
        <v>0</v>
      </c>
      <c r="I356">
        <f>B356-G356</f>
        <v>0</v>
      </c>
      <c r="J356">
        <f>IF(AT355&lt;=0,0,IF(ROUND(AT355*(1+'Calc base'!H356),2)-MAX('Calc base'!C$12,ROUND('Calc base'!C$13*AT355,2))&lt;1,ROUND(AT355*(1+'Calc base'!H356),2),MAX('Calc base'!C$12,ROUND('Calc base'!C$13*AT355,2))))</f>
        <v>0</v>
      </c>
      <c r="K356">
        <f>IF(AU355&lt;=0,0,IF(ROUND(AU355*(1+'Calc base'!I356),2)-MAX('Calc base'!D$12,ROUND('Calc base'!D$13*AU355,2))&lt;1,ROUND(AU355*(1+'Calc base'!I356),2),MAX('Calc base'!D$12,ROUND('Calc base'!D$13*AU355,2))))</f>
        <v>0</v>
      </c>
      <c r="L356">
        <f>IF(AV355&lt;=0,0,IF(ROUND(AV355*(1+'Calc base'!J356),2)-MAX('Calc base'!E$12,ROUND('Calc base'!E$13*AV355,2))&lt;1,ROUND(AV355*(1+'Calc base'!J356),2),MAX('Calc base'!E$12,ROUND('Calc base'!E$13*AV355,2))))</f>
        <v>0</v>
      </c>
      <c r="M356">
        <f>IF(AW355&lt;=0,0,IF(ROUND(AW355*(1+'Calc base'!K356),2)-MAX('Calc base'!F$12,ROUND('Calc base'!F$13*AW355,2))&lt;1,ROUND(AW355*(1+'Calc base'!K356),2),MAX('Calc base'!F$12,ROUND('Calc base'!F$13*AW355,2))))</f>
        <v>0</v>
      </c>
      <c r="N356">
        <f>IF(AX355&lt;=0,0,IF(ROUND(AX355*(1+'Calc base'!L356),2)-MAX('Calc base'!G$12,ROUND('Calc base'!G$13*AX355,2))&lt;1,ROUND(AX355*(1+'Calc base'!L356),2),MAX('Calc base'!G$12,ROUND('Calc base'!G$13*AX355,2))))</f>
        <v>0</v>
      </c>
      <c r="O356">
        <f>IF(AY355&lt;=0,0,IF(ROUND(AY355*(1+'Calc base'!M356),2)-MAX('Calc base'!H$12,ROUND('Calc base'!H$13*AY355,2))&lt;1,ROUND(AY355*(1+'Calc base'!M356),2),MAX('Calc base'!H$12,ROUND('Calc base'!H$13*AY355,2))))</f>
        <v>0</v>
      </c>
      <c r="P356">
        <f>IF(AZ355&lt;=0,0,IF(ROUND(AZ355*(1+'Calc base'!N356),2)-MAX('Calc base'!I$12,ROUND('Calc base'!I$13*AZ355,2))&lt;1,ROUND(AZ355*(1+'Calc base'!N356),2),MAX('Calc base'!I$12,ROUND('Calc base'!I$13*AZ355,2))))</f>
        <v>0</v>
      </c>
      <c r="Q356">
        <f>IF(BA355&lt;=0,0,IF(ROUND(BA355*(1+'Calc base'!O356),2)-MAX('Calc base'!J$12,ROUND('Calc base'!J$13*BA355,2))&lt;1,ROUND(BA355*(1+'Calc base'!O356),2),MAX('Calc base'!J$12,ROUND('Calc base'!J$13*BA355,2))))</f>
        <v>0</v>
      </c>
      <c r="R356">
        <f>IF(BB355&lt;=0,0,IF(ROUND(BB355*(1+'Calc base'!P356),2)-MAX('Calc base'!K$12,ROUND('Calc base'!K$13*BB355,2))&lt;1,ROUND(BB355*(1+'Calc base'!P356),2),MAX('Calc base'!K$12,ROUND('Calc base'!K$13*BB355,2))))</f>
        <v>0</v>
      </c>
      <c r="S356">
        <f>IF(BC355&lt;=0,0,IF(ROUND(BC355*(1+'Calc base'!Q356),2)-MAX('Calc base'!L$12,ROUND('Calc base'!L$13*BC355,2))&lt;1,ROUND(BC355*(1+'Calc base'!Q356),2),MAX('Calc base'!L$12,ROUND('Calc base'!L$13*BC355,2))))</f>
        <v>0</v>
      </c>
      <c r="T356">
        <f>IF(BD355&lt;=0,0,IF(ROUND(BD355*(1+'Calc base'!R356),2)-MAX('Calc base'!M$12,ROUND('Calc base'!M$13*BD355,2))&lt;1,ROUND(BD355*(1+'Calc base'!R356),2),MAX('Calc base'!M$12,ROUND('Calc base'!M$13*BD355,2))))</f>
        <v>0</v>
      </c>
      <c r="U356">
        <f>IF(BE355&lt;=0,0,IF(ROUND(BE355*(1+'Calc base'!S356),2)-MAX('Calc base'!N$12,ROUND('Calc base'!N$13*BE355,2))&lt;1,ROUND(BE355*(1+'Calc base'!S356),2),MAX('Calc base'!N$12,ROUND('Calc base'!N$13*BE355,2))))</f>
        <v>0</v>
      </c>
      <c r="AT356">
        <f>MAX(0,ROUND(AT355*(1+'Calc base'!H356),2)-J356)</f>
        <v>0</v>
      </c>
      <c r="AU356">
        <f>MAX(0,ROUND(AU355*(1+'Calc base'!I356),2)-K356)</f>
        <v>0</v>
      </c>
      <c r="AV356">
        <f>MAX(0,ROUND(AV355*(1+'Calc base'!J356),2)-L356)</f>
        <v>0</v>
      </c>
      <c r="AW356">
        <f>MAX(0,ROUND(AW355*(1+'Calc base'!K356),2)-M356)</f>
        <v>0</v>
      </c>
      <c r="AX356">
        <f>MAX(0,ROUND(AX355*(1+'Calc base'!L356),2)-N356)</f>
        <v>0</v>
      </c>
      <c r="AY356">
        <f>MAX(0,ROUND(AY355*(1+'Calc base'!M356),2)-O356)</f>
        <v>0</v>
      </c>
      <c r="AZ356">
        <f>MAX(0,ROUND(AZ355*(1+'Calc base'!N356),2)-P356)</f>
        <v>0</v>
      </c>
      <c r="BA356">
        <f>MAX(0,ROUND(BA355*(1+'Calc base'!O356),2)-Q356)</f>
        <v>0</v>
      </c>
      <c r="BB356">
        <f>MAX(0,ROUND(BB355*(1+'Calc base'!P356),2)-R356)</f>
        <v>0</v>
      </c>
      <c r="BC356">
        <f>MAX(0,ROUND(BC355*(1+'Calc base'!Q356),2)-S356)</f>
        <v>0</v>
      </c>
      <c r="BD356">
        <f>MAX(0,ROUND(BD355*(1+'Calc base'!R356),2)-T356)</f>
        <v>0</v>
      </c>
      <c r="BE356">
        <f>MAX(0,ROUND(BE355*(1+'Calc base'!S356),2)-U356)</f>
        <v>0</v>
      </c>
    </row>
    <row r="357">
      <c r="A357" t="n">
        <v>327</v>
      </c>
      <c r="B357">
        <f>SUMPRODUCT(ROUND($AT356:$BE356*(1+'Calc base'!$H357:$S357),2))</f>
        <v>0</v>
      </c>
      <c r="C357">
        <f>SUM(J357:U357)</f>
        <v>0</v>
      </c>
      <c r="G357">
        <f>SUM(AT357:BE357)</f>
        <v>0</v>
      </c>
      <c r="H357">
        <f>B357-G356</f>
        <v>0</v>
      </c>
      <c r="I357">
        <f>B357-G357</f>
        <v>0</v>
      </c>
      <c r="J357">
        <f>IF(AT356&lt;=0,0,IF(ROUND(AT356*(1+'Calc base'!H357),2)-MAX('Calc base'!C$12,ROUND('Calc base'!C$13*AT356,2))&lt;1,ROUND(AT356*(1+'Calc base'!H357),2),MAX('Calc base'!C$12,ROUND('Calc base'!C$13*AT356,2))))</f>
        <v>0</v>
      </c>
      <c r="K357">
        <f>IF(AU356&lt;=0,0,IF(ROUND(AU356*(1+'Calc base'!I357),2)-MAX('Calc base'!D$12,ROUND('Calc base'!D$13*AU356,2))&lt;1,ROUND(AU356*(1+'Calc base'!I357),2),MAX('Calc base'!D$12,ROUND('Calc base'!D$13*AU356,2))))</f>
        <v>0</v>
      </c>
      <c r="L357">
        <f>IF(AV356&lt;=0,0,IF(ROUND(AV356*(1+'Calc base'!J357),2)-MAX('Calc base'!E$12,ROUND('Calc base'!E$13*AV356,2))&lt;1,ROUND(AV356*(1+'Calc base'!J357),2),MAX('Calc base'!E$12,ROUND('Calc base'!E$13*AV356,2))))</f>
        <v>0</v>
      </c>
      <c r="M357">
        <f>IF(AW356&lt;=0,0,IF(ROUND(AW356*(1+'Calc base'!K357),2)-MAX('Calc base'!F$12,ROUND('Calc base'!F$13*AW356,2))&lt;1,ROUND(AW356*(1+'Calc base'!K357),2),MAX('Calc base'!F$12,ROUND('Calc base'!F$13*AW356,2))))</f>
        <v>0</v>
      </c>
      <c r="N357">
        <f>IF(AX356&lt;=0,0,IF(ROUND(AX356*(1+'Calc base'!L357),2)-MAX('Calc base'!G$12,ROUND('Calc base'!G$13*AX356,2))&lt;1,ROUND(AX356*(1+'Calc base'!L357),2),MAX('Calc base'!G$12,ROUND('Calc base'!G$13*AX356,2))))</f>
        <v>0</v>
      </c>
      <c r="O357">
        <f>IF(AY356&lt;=0,0,IF(ROUND(AY356*(1+'Calc base'!M357),2)-MAX('Calc base'!H$12,ROUND('Calc base'!H$13*AY356,2))&lt;1,ROUND(AY356*(1+'Calc base'!M357),2),MAX('Calc base'!H$12,ROUND('Calc base'!H$13*AY356,2))))</f>
        <v>0</v>
      </c>
      <c r="P357">
        <f>IF(AZ356&lt;=0,0,IF(ROUND(AZ356*(1+'Calc base'!N357),2)-MAX('Calc base'!I$12,ROUND('Calc base'!I$13*AZ356,2))&lt;1,ROUND(AZ356*(1+'Calc base'!N357),2),MAX('Calc base'!I$12,ROUND('Calc base'!I$13*AZ356,2))))</f>
        <v>0</v>
      </c>
      <c r="Q357">
        <f>IF(BA356&lt;=0,0,IF(ROUND(BA356*(1+'Calc base'!O357),2)-MAX('Calc base'!J$12,ROUND('Calc base'!J$13*BA356,2))&lt;1,ROUND(BA356*(1+'Calc base'!O357),2),MAX('Calc base'!J$12,ROUND('Calc base'!J$13*BA356,2))))</f>
        <v>0</v>
      </c>
      <c r="R357">
        <f>IF(BB356&lt;=0,0,IF(ROUND(BB356*(1+'Calc base'!P357),2)-MAX('Calc base'!K$12,ROUND('Calc base'!K$13*BB356,2))&lt;1,ROUND(BB356*(1+'Calc base'!P357),2),MAX('Calc base'!K$12,ROUND('Calc base'!K$13*BB356,2))))</f>
        <v>0</v>
      </c>
      <c r="S357">
        <f>IF(BC356&lt;=0,0,IF(ROUND(BC356*(1+'Calc base'!Q357),2)-MAX('Calc base'!L$12,ROUND('Calc base'!L$13*BC356,2))&lt;1,ROUND(BC356*(1+'Calc base'!Q357),2),MAX('Calc base'!L$12,ROUND('Calc base'!L$13*BC356,2))))</f>
        <v>0</v>
      </c>
      <c r="T357">
        <f>IF(BD356&lt;=0,0,IF(ROUND(BD356*(1+'Calc base'!R357),2)-MAX('Calc base'!M$12,ROUND('Calc base'!M$13*BD356,2))&lt;1,ROUND(BD356*(1+'Calc base'!R357),2),MAX('Calc base'!M$12,ROUND('Calc base'!M$13*BD356,2))))</f>
        <v>0</v>
      </c>
      <c r="U357">
        <f>IF(BE356&lt;=0,0,IF(ROUND(BE356*(1+'Calc base'!S357),2)-MAX('Calc base'!N$12,ROUND('Calc base'!N$13*BE356,2))&lt;1,ROUND(BE356*(1+'Calc base'!S357),2),MAX('Calc base'!N$12,ROUND('Calc base'!N$13*BE356,2))))</f>
        <v>0</v>
      </c>
      <c r="AT357">
        <f>MAX(0,ROUND(AT356*(1+'Calc base'!H357),2)-J357)</f>
        <v>0</v>
      </c>
      <c r="AU357">
        <f>MAX(0,ROUND(AU356*(1+'Calc base'!I357),2)-K357)</f>
        <v>0</v>
      </c>
      <c r="AV357">
        <f>MAX(0,ROUND(AV356*(1+'Calc base'!J357),2)-L357)</f>
        <v>0</v>
      </c>
      <c r="AW357">
        <f>MAX(0,ROUND(AW356*(1+'Calc base'!K357),2)-M357)</f>
        <v>0</v>
      </c>
      <c r="AX357">
        <f>MAX(0,ROUND(AX356*(1+'Calc base'!L357),2)-N357)</f>
        <v>0</v>
      </c>
      <c r="AY357">
        <f>MAX(0,ROUND(AY356*(1+'Calc base'!M357),2)-O357)</f>
        <v>0</v>
      </c>
      <c r="AZ357">
        <f>MAX(0,ROUND(AZ356*(1+'Calc base'!N357),2)-P357)</f>
        <v>0</v>
      </c>
      <c r="BA357">
        <f>MAX(0,ROUND(BA356*(1+'Calc base'!O357),2)-Q357)</f>
        <v>0</v>
      </c>
      <c r="BB357">
        <f>MAX(0,ROUND(BB356*(1+'Calc base'!P357),2)-R357)</f>
        <v>0</v>
      </c>
      <c r="BC357">
        <f>MAX(0,ROUND(BC356*(1+'Calc base'!Q357),2)-S357)</f>
        <v>0</v>
      </c>
      <c r="BD357">
        <f>MAX(0,ROUND(BD356*(1+'Calc base'!R357),2)-T357)</f>
        <v>0</v>
      </c>
      <c r="BE357">
        <f>MAX(0,ROUND(BE356*(1+'Calc base'!S357),2)-U357)</f>
        <v>0</v>
      </c>
    </row>
    <row r="358">
      <c r="A358" t="n">
        <v>328</v>
      </c>
      <c r="B358">
        <f>SUMPRODUCT(ROUND($AT357:$BE357*(1+'Calc base'!$H358:$S358),2))</f>
        <v>0</v>
      </c>
      <c r="C358">
        <f>SUM(J358:U358)</f>
        <v>0</v>
      </c>
      <c r="G358">
        <f>SUM(AT358:BE358)</f>
        <v>0</v>
      </c>
      <c r="H358">
        <f>B358-G357</f>
        <v>0</v>
      </c>
      <c r="I358">
        <f>B358-G358</f>
        <v>0</v>
      </c>
      <c r="J358">
        <f>IF(AT357&lt;=0,0,IF(ROUND(AT357*(1+'Calc base'!H358),2)-MAX('Calc base'!C$12,ROUND('Calc base'!C$13*AT357,2))&lt;1,ROUND(AT357*(1+'Calc base'!H358),2),MAX('Calc base'!C$12,ROUND('Calc base'!C$13*AT357,2))))</f>
        <v>0</v>
      </c>
      <c r="K358">
        <f>IF(AU357&lt;=0,0,IF(ROUND(AU357*(1+'Calc base'!I358),2)-MAX('Calc base'!D$12,ROUND('Calc base'!D$13*AU357,2))&lt;1,ROUND(AU357*(1+'Calc base'!I358),2),MAX('Calc base'!D$12,ROUND('Calc base'!D$13*AU357,2))))</f>
        <v>0</v>
      </c>
      <c r="L358">
        <f>IF(AV357&lt;=0,0,IF(ROUND(AV357*(1+'Calc base'!J358),2)-MAX('Calc base'!E$12,ROUND('Calc base'!E$13*AV357,2))&lt;1,ROUND(AV357*(1+'Calc base'!J358),2),MAX('Calc base'!E$12,ROUND('Calc base'!E$13*AV357,2))))</f>
        <v>0</v>
      </c>
      <c r="M358">
        <f>IF(AW357&lt;=0,0,IF(ROUND(AW357*(1+'Calc base'!K358),2)-MAX('Calc base'!F$12,ROUND('Calc base'!F$13*AW357,2))&lt;1,ROUND(AW357*(1+'Calc base'!K358),2),MAX('Calc base'!F$12,ROUND('Calc base'!F$13*AW357,2))))</f>
        <v>0</v>
      </c>
      <c r="N358">
        <f>IF(AX357&lt;=0,0,IF(ROUND(AX357*(1+'Calc base'!L358),2)-MAX('Calc base'!G$12,ROUND('Calc base'!G$13*AX357,2))&lt;1,ROUND(AX357*(1+'Calc base'!L358),2),MAX('Calc base'!G$12,ROUND('Calc base'!G$13*AX357,2))))</f>
        <v>0</v>
      </c>
      <c r="O358">
        <f>IF(AY357&lt;=0,0,IF(ROUND(AY357*(1+'Calc base'!M358),2)-MAX('Calc base'!H$12,ROUND('Calc base'!H$13*AY357,2))&lt;1,ROUND(AY357*(1+'Calc base'!M358),2),MAX('Calc base'!H$12,ROUND('Calc base'!H$13*AY357,2))))</f>
        <v>0</v>
      </c>
      <c r="P358">
        <f>IF(AZ357&lt;=0,0,IF(ROUND(AZ357*(1+'Calc base'!N358),2)-MAX('Calc base'!I$12,ROUND('Calc base'!I$13*AZ357,2))&lt;1,ROUND(AZ357*(1+'Calc base'!N358),2),MAX('Calc base'!I$12,ROUND('Calc base'!I$13*AZ357,2))))</f>
        <v>0</v>
      </c>
      <c r="Q358">
        <f>IF(BA357&lt;=0,0,IF(ROUND(BA357*(1+'Calc base'!O358),2)-MAX('Calc base'!J$12,ROUND('Calc base'!J$13*BA357,2))&lt;1,ROUND(BA357*(1+'Calc base'!O358),2),MAX('Calc base'!J$12,ROUND('Calc base'!J$13*BA357,2))))</f>
        <v>0</v>
      </c>
      <c r="R358">
        <f>IF(BB357&lt;=0,0,IF(ROUND(BB357*(1+'Calc base'!P358),2)-MAX('Calc base'!K$12,ROUND('Calc base'!K$13*BB357,2))&lt;1,ROUND(BB357*(1+'Calc base'!P358),2),MAX('Calc base'!K$12,ROUND('Calc base'!K$13*BB357,2))))</f>
        <v>0</v>
      </c>
      <c r="S358">
        <f>IF(BC357&lt;=0,0,IF(ROUND(BC357*(1+'Calc base'!Q358),2)-MAX('Calc base'!L$12,ROUND('Calc base'!L$13*BC357,2))&lt;1,ROUND(BC357*(1+'Calc base'!Q358),2),MAX('Calc base'!L$12,ROUND('Calc base'!L$13*BC357,2))))</f>
        <v>0</v>
      </c>
      <c r="T358">
        <f>IF(BD357&lt;=0,0,IF(ROUND(BD357*(1+'Calc base'!R358),2)-MAX('Calc base'!M$12,ROUND('Calc base'!M$13*BD357,2))&lt;1,ROUND(BD357*(1+'Calc base'!R358),2),MAX('Calc base'!M$12,ROUND('Calc base'!M$13*BD357,2))))</f>
        <v>0</v>
      </c>
      <c r="U358">
        <f>IF(BE357&lt;=0,0,IF(ROUND(BE357*(1+'Calc base'!S358),2)-MAX('Calc base'!N$12,ROUND('Calc base'!N$13*BE357,2))&lt;1,ROUND(BE357*(1+'Calc base'!S358),2),MAX('Calc base'!N$12,ROUND('Calc base'!N$13*BE357,2))))</f>
        <v>0</v>
      </c>
      <c r="AT358">
        <f>MAX(0,ROUND(AT357*(1+'Calc base'!H358),2)-J358)</f>
        <v>0</v>
      </c>
      <c r="AU358">
        <f>MAX(0,ROUND(AU357*(1+'Calc base'!I358),2)-K358)</f>
        <v>0</v>
      </c>
      <c r="AV358">
        <f>MAX(0,ROUND(AV357*(1+'Calc base'!J358),2)-L358)</f>
        <v>0</v>
      </c>
      <c r="AW358">
        <f>MAX(0,ROUND(AW357*(1+'Calc base'!K358),2)-M358)</f>
        <v>0</v>
      </c>
      <c r="AX358">
        <f>MAX(0,ROUND(AX357*(1+'Calc base'!L358),2)-N358)</f>
        <v>0</v>
      </c>
      <c r="AY358">
        <f>MAX(0,ROUND(AY357*(1+'Calc base'!M358),2)-O358)</f>
        <v>0</v>
      </c>
      <c r="AZ358">
        <f>MAX(0,ROUND(AZ357*(1+'Calc base'!N358),2)-P358)</f>
        <v>0</v>
      </c>
      <c r="BA358">
        <f>MAX(0,ROUND(BA357*(1+'Calc base'!O358),2)-Q358)</f>
        <v>0</v>
      </c>
      <c r="BB358">
        <f>MAX(0,ROUND(BB357*(1+'Calc base'!P358),2)-R358)</f>
        <v>0</v>
      </c>
      <c r="BC358">
        <f>MAX(0,ROUND(BC357*(1+'Calc base'!Q358),2)-S358)</f>
        <v>0</v>
      </c>
      <c r="BD358">
        <f>MAX(0,ROUND(BD357*(1+'Calc base'!R358),2)-T358)</f>
        <v>0</v>
      </c>
      <c r="BE358">
        <f>MAX(0,ROUND(BE357*(1+'Calc base'!S358),2)-U358)</f>
        <v>0</v>
      </c>
    </row>
    <row r="359">
      <c r="A359" t="n">
        <v>329</v>
      </c>
      <c r="B359">
        <f>SUMPRODUCT(ROUND($AT358:$BE358*(1+'Calc base'!$H359:$S359),2))</f>
        <v>0</v>
      </c>
      <c r="C359">
        <f>SUM(J359:U359)</f>
        <v>0</v>
      </c>
      <c r="G359">
        <f>SUM(AT359:BE359)</f>
        <v>0</v>
      </c>
      <c r="H359">
        <f>B359-G358</f>
        <v>0</v>
      </c>
      <c r="I359">
        <f>B359-G359</f>
        <v>0</v>
      </c>
      <c r="J359">
        <f>IF(AT358&lt;=0,0,IF(ROUND(AT358*(1+'Calc base'!H359),2)-MAX('Calc base'!C$12,ROUND('Calc base'!C$13*AT358,2))&lt;1,ROUND(AT358*(1+'Calc base'!H359),2),MAX('Calc base'!C$12,ROUND('Calc base'!C$13*AT358,2))))</f>
        <v>0</v>
      </c>
      <c r="K359">
        <f>IF(AU358&lt;=0,0,IF(ROUND(AU358*(1+'Calc base'!I359),2)-MAX('Calc base'!D$12,ROUND('Calc base'!D$13*AU358,2))&lt;1,ROUND(AU358*(1+'Calc base'!I359),2),MAX('Calc base'!D$12,ROUND('Calc base'!D$13*AU358,2))))</f>
        <v>0</v>
      </c>
      <c r="L359">
        <f>IF(AV358&lt;=0,0,IF(ROUND(AV358*(1+'Calc base'!J359),2)-MAX('Calc base'!E$12,ROUND('Calc base'!E$13*AV358,2))&lt;1,ROUND(AV358*(1+'Calc base'!J359),2),MAX('Calc base'!E$12,ROUND('Calc base'!E$13*AV358,2))))</f>
        <v>0</v>
      </c>
      <c r="M359">
        <f>IF(AW358&lt;=0,0,IF(ROUND(AW358*(1+'Calc base'!K359),2)-MAX('Calc base'!F$12,ROUND('Calc base'!F$13*AW358,2))&lt;1,ROUND(AW358*(1+'Calc base'!K359),2),MAX('Calc base'!F$12,ROUND('Calc base'!F$13*AW358,2))))</f>
        <v>0</v>
      </c>
      <c r="N359">
        <f>IF(AX358&lt;=0,0,IF(ROUND(AX358*(1+'Calc base'!L359),2)-MAX('Calc base'!G$12,ROUND('Calc base'!G$13*AX358,2))&lt;1,ROUND(AX358*(1+'Calc base'!L359),2),MAX('Calc base'!G$12,ROUND('Calc base'!G$13*AX358,2))))</f>
        <v>0</v>
      </c>
      <c r="O359">
        <f>IF(AY358&lt;=0,0,IF(ROUND(AY358*(1+'Calc base'!M359),2)-MAX('Calc base'!H$12,ROUND('Calc base'!H$13*AY358,2))&lt;1,ROUND(AY358*(1+'Calc base'!M359),2),MAX('Calc base'!H$12,ROUND('Calc base'!H$13*AY358,2))))</f>
        <v>0</v>
      </c>
      <c r="P359">
        <f>IF(AZ358&lt;=0,0,IF(ROUND(AZ358*(1+'Calc base'!N359),2)-MAX('Calc base'!I$12,ROUND('Calc base'!I$13*AZ358,2))&lt;1,ROUND(AZ358*(1+'Calc base'!N359),2),MAX('Calc base'!I$12,ROUND('Calc base'!I$13*AZ358,2))))</f>
        <v>0</v>
      </c>
      <c r="Q359">
        <f>IF(BA358&lt;=0,0,IF(ROUND(BA358*(1+'Calc base'!O359),2)-MAX('Calc base'!J$12,ROUND('Calc base'!J$13*BA358,2))&lt;1,ROUND(BA358*(1+'Calc base'!O359),2),MAX('Calc base'!J$12,ROUND('Calc base'!J$13*BA358,2))))</f>
        <v>0</v>
      </c>
      <c r="R359">
        <f>IF(BB358&lt;=0,0,IF(ROUND(BB358*(1+'Calc base'!P359),2)-MAX('Calc base'!K$12,ROUND('Calc base'!K$13*BB358,2))&lt;1,ROUND(BB358*(1+'Calc base'!P359),2),MAX('Calc base'!K$12,ROUND('Calc base'!K$13*BB358,2))))</f>
        <v>0</v>
      </c>
      <c r="S359">
        <f>IF(BC358&lt;=0,0,IF(ROUND(BC358*(1+'Calc base'!Q359),2)-MAX('Calc base'!L$12,ROUND('Calc base'!L$13*BC358,2))&lt;1,ROUND(BC358*(1+'Calc base'!Q359),2),MAX('Calc base'!L$12,ROUND('Calc base'!L$13*BC358,2))))</f>
        <v>0</v>
      </c>
      <c r="T359">
        <f>IF(BD358&lt;=0,0,IF(ROUND(BD358*(1+'Calc base'!R359),2)-MAX('Calc base'!M$12,ROUND('Calc base'!M$13*BD358,2))&lt;1,ROUND(BD358*(1+'Calc base'!R359),2),MAX('Calc base'!M$12,ROUND('Calc base'!M$13*BD358,2))))</f>
        <v>0</v>
      </c>
      <c r="U359">
        <f>IF(BE358&lt;=0,0,IF(ROUND(BE358*(1+'Calc base'!S359),2)-MAX('Calc base'!N$12,ROUND('Calc base'!N$13*BE358,2))&lt;1,ROUND(BE358*(1+'Calc base'!S359),2),MAX('Calc base'!N$12,ROUND('Calc base'!N$13*BE358,2))))</f>
        <v>0</v>
      </c>
      <c r="AT359">
        <f>MAX(0,ROUND(AT358*(1+'Calc base'!H359),2)-J359)</f>
        <v>0</v>
      </c>
      <c r="AU359">
        <f>MAX(0,ROUND(AU358*(1+'Calc base'!I359),2)-K359)</f>
        <v>0</v>
      </c>
      <c r="AV359">
        <f>MAX(0,ROUND(AV358*(1+'Calc base'!J359),2)-L359)</f>
        <v>0</v>
      </c>
      <c r="AW359">
        <f>MAX(0,ROUND(AW358*(1+'Calc base'!K359),2)-M359)</f>
        <v>0</v>
      </c>
      <c r="AX359">
        <f>MAX(0,ROUND(AX358*(1+'Calc base'!L359),2)-N359)</f>
        <v>0</v>
      </c>
      <c r="AY359">
        <f>MAX(0,ROUND(AY358*(1+'Calc base'!M359),2)-O359)</f>
        <v>0</v>
      </c>
      <c r="AZ359">
        <f>MAX(0,ROUND(AZ358*(1+'Calc base'!N359),2)-P359)</f>
        <v>0</v>
      </c>
      <c r="BA359">
        <f>MAX(0,ROUND(BA358*(1+'Calc base'!O359),2)-Q359)</f>
        <v>0</v>
      </c>
      <c r="BB359">
        <f>MAX(0,ROUND(BB358*(1+'Calc base'!P359),2)-R359)</f>
        <v>0</v>
      </c>
      <c r="BC359">
        <f>MAX(0,ROUND(BC358*(1+'Calc base'!Q359),2)-S359)</f>
        <v>0</v>
      </c>
      <c r="BD359">
        <f>MAX(0,ROUND(BD358*(1+'Calc base'!R359),2)-T359)</f>
        <v>0</v>
      </c>
      <c r="BE359">
        <f>MAX(0,ROUND(BE358*(1+'Calc base'!S359),2)-U359)</f>
        <v>0</v>
      </c>
    </row>
    <row r="360">
      <c r="A360" t="n">
        <v>330</v>
      </c>
      <c r="B360">
        <f>SUMPRODUCT(ROUND($AT359:$BE359*(1+'Calc base'!$H360:$S360),2))</f>
        <v>0</v>
      </c>
      <c r="C360">
        <f>SUM(J360:U360)</f>
        <v>0</v>
      </c>
      <c r="G360">
        <f>SUM(AT360:BE360)</f>
        <v>0</v>
      </c>
      <c r="H360">
        <f>B360-G359</f>
        <v>0</v>
      </c>
      <c r="I360">
        <f>B360-G360</f>
        <v>0</v>
      </c>
      <c r="J360">
        <f>IF(AT359&lt;=0,0,IF(ROUND(AT359*(1+'Calc base'!H360),2)-MAX('Calc base'!C$12,ROUND('Calc base'!C$13*AT359,2))&lt;1,ROUND(AT359*(1+'Calc base'!H360),2),MAX('Calc base'!C$12,ROUND('Calc base'!C$13*AT359,2))))</f>
        <v>0</v>
      </c>
      <c r="K360">
        <f>IF(AU359&lt;=0,0,IF(ROUND(AU359*(1+'Calc base'!I360),2)-MAX('Calc base'!D$12,ROUND('Calc base'!D$13*AU359,2))&lt;1,ROUND(AU359*(1+'Calc base'!I360),2),MAX('Calc base'!D$12,ROUND('Calc base'!D$13*AU359,2))))</f>
        <v>0</v>
      </c>
      <c r="L360">
        <f>IF(AV359&lt;=0,0,IF(ROUND(AV359*(1+'Calc base'!J360),2)-MAX('Calc base'!E$12,ROUND('Calc base'!E$13*AV359,2))&lt;1,ROUND(AV359*(1+'Calc base'!J360),2),MAX('Calc base'!E$12,ROUND('Calc base'!E$13*AV359,2))))</f>
        <v>0</v>
      </c>
      <c r="M360">
        <f>IF(AW359&lt;=0,0,IF(ROUND(AW359*(1+'Calc base'!K360),2)-MAX('Calc base'!F$12,ROUND('Calc base'!F$13*AW359,2))&lt;1,ROUND(AW359*(1+'Calc base'!K360),2),MAX('Calc base'!F$12,ROUND('Calc base'!F$13*AW359,2))))</f>
        <v>0</v>
      </c>
      <c r="N360">
        <f>IF(AX359&lt;=0,0,IF(ROUND(AX359*(1+'Calc base'!L360),2)-MAX('Calc base'!G$12,ROUND('Calc base'!G$13*AX359,2))&lt;1,ROUND(AX359*(1+'Calc base'!L360),2),MAX('Calc base'!G$12,ROUND('Calc base'!G$13*AX359,2))))</f>
        <v>0</v>
      </c>
      <c r="O360">
        <f>IF(AY359&lt;=0,0,IF(ROUND(AY359*(1+'Calc base'!M360),2)-MAX('Calc base'!H$12,ROUND('Calc base'!H$13*AY359,2))&lt;1,ROUND(AY359*(1+'Calc base'!M360),2),MAX('Calc base'!H$12,ROUND('Calc base'!H$13*AY359,2))))</f>
        <v>0</v>
      </c>
      <c r="P360">
        <f>IF(AZ359&lt;=0,0,IF(ROUND(AZ359*(1+'Calc base'!N360),2)-MAX('Calc base'!I$12,ROUND('Calc base'!I$13*AZ359,2))&lt;1,ROUND(AZ359*(1+'Calc base'!N360),2),MAX('Calc base'!I$12,ROUND('Calc base'!I$13*AZ359,2))))</f>
        <v>0</v>
      </c>
      <c r="Q360">
        <f>IF(BA359&lt;=0,0,IF(ROUND(BA359*(1+'Calc base'!O360),2)-MAX('Calc base'!J$12,ROUND('Calc base'!J$13*BA359,2))&lt;1,ROUND(BA359*(1+'Calc base'!O360),2),MAX('Calc base'!J$12,ROUND('Calc base'!J$13*BA359,2))))</f>
        <v>0</v>
      </c>
      <c r="R360">
        <f>IF(BB359&lt;=0,0,IF(ROUND(BB359*(1+'Calc base'!P360),2)-MAX('Calc base'!K$12,ROUND('Calc base'!K$13*BB359,2))&lt;1,ROUND(BB359*(1+'Calc base'!P360),2),MAX('Calc base'!K$12,ROUND('Calc base'!K$13*BB359,2))))</f>
        <v>0</v>
      </c>
      <c r="S360">
        <f>IF(BC359&lt;=0,0,IF(ROUND(BC359*(1+'Calc base'!Q360),2)-MAX('Calc base'!L$12,ROUND('Calc base'!L$13*BC359,2))&lt;1,ROUND(BC359*(1+'Calc base'!Q360),2),MAX('Calc base'!L$12,ROUND('Calc base'!L$13*BC359,2))))</f>
        <v>0</v>
      </c>
      <c r="T360">
        <f>IF(BD359&lt;=0,0,IF(ROUND(BD359*(1+'Calc base'!R360),2)-MAX('Calc base'!M$12,ROUND('Calc base'!M$13*BD359,2))&lt;1,ROUND(BD359*(1+'Calc base'!R360),2),MAX('Calc base'!M$12,ROUND('Calc base'!M$13*BD359,2))))</f>
        <v>0</v>
      </c>
      <c r="U360">
        <f>IF(BE359&lt;=0,0,IF(ROUND(BE359*(1+'Calc base'!S360),2)-MAX('Calc base'!N$12,ROUND('Calc base'!N$13*BE359,2))&lt;1,ROUND(BE359*(1+'Calc base'!S360),2),MAX('Calc base'!N$12,ROUND('Calc base'!N$13*BE359,2))))</f>
        <v>0</v>
      </c>
      <c r="AT360">
        <f>MAX(0,ROUND(AT359*(1+'Calc base'!H360),2)-J360)</f>
        <v>0</v>
      </c>
      <c r="AU360">
        <f>MAX(0,ROUND(AU359*(1+'Calc base'!I360),2)-K360)</f>
        <v>0</v>
      </c>
      <c r="AV360">
        <f>MAX(0,ROUND(AV359*(1+'Calc base'!J360),2)-L360)</f>
        <v>0</v>
      </c>
      <c r="AW360">
        <f>MAX(0,ROUND(AW359*(1+'Calc base'!K360),2)-M360)</f>
        <v>0</v>
      </c>
      <c r="AX360">
        <f>MAX(0,ROUND(AX359*(1+'Calc base'!L360),2)-N360)</f>
        <v>0</v>
      </c>
      <c r="AY360">
        <f>MAX(0,ROUND(AY359*(1+'Calc base'!M360),2)-O360)</f>
        <v>0</v>
      </c>
      <c r="AZ360">
        <f>MAX(0,ROUND(AZ359*(1+'Calc base'!N360),2)-P360)</f>
        <v>0</v>
      </c>
      <c r="BA360">
        <f>MAX(0,ROUND(BA359*(1+'Calc base'!O360),2)-Q360)</f>
        <v>0</v>
      </c>
      <c r="BB360">
        <f>MAX(0,ROUND(BB359*(1+'Calc base'!P360),2)-R360)</f>
        <v>0</v>
      </c>
      <c r="BC360">
        <f>MAX(0,ROUND(BC359*(1+'Calc base'!Q360),2)-S360)</f>
        <v>0</v>
      </c>
      <c r="BD360">
        <f>MAX(0,ROUND(BD359*(1+'Calc base'!R360),2)-T360)</f>
        <v>0</v>
      </c>
      <c r="BE360">
        <f>MAX(0,ROUND(BE359*(1+'Calc base'!S360),2)-U360)</f>
        <v>0</v>
      </c>
    </row>
    <row r="361">
      <c r="A361" t="n">
        <v>331</v>
      </c>
      <c r="B361">
        <f>SUMPRODUCT(ROUND($AT360:$BE360*(1+'Calc base'!$H361:$S361),2))</f>
        <v>0</v>
      </c>
      <c r="C361">
        <f>SUM(J361:U361)</f>
        <v>0</v>
      </c>
      <c r="G361">
        <f>SUM(AT361:BE361)</f>
        <v>0</v>
      </c>
      <c r="H361">
        <f>B361-G360</f>
        <v>0</v>
      </c>
      <c r="I361">
        <f>B361-G361</f>
        <v>0</v>
      </c>
      <c r="J361">
        <f>IF(AT360&lt;=0,0,IF(ROUND(AT360*(1+'Calc base'!H361),2)-MAX('Calc base'!C$12,ROUND('Calc base'!C$13*AT360,2))&lt;1,ROUND(AT360*(1+'Calc base'!H361),2),MAX('Calc base'!C$12,ROUND('Calc base'!C$13*AT360,2))))</f>
        <v>0</v>
      </c>
      <c r="K361">
        <f>IF(AU360&lt;=0,0,IF(ROUND(AU360*(1+'Calc base'!I361),2)-MAX('Calc base'!D$12,ROUND('Calc base'!D$13*AU360,2))&lt;1,ROUND(AU360*(1+'Calc base'!I361),2),MAX('Calc base'!D$12,ROUND('Calc base'!D$13*AU360,2))))</f>
        <v>0</v>
      </c>
      <c r="L361">
        <f>IF(AV360&lt;=0,0,IF(ROUND(AV360*(1+'Calc base'!J361),2)-MAX('Calc base'!E$12,ROUND('Calc base'!E$13*AV360,2))&lt;1,ROUND(AV360*(1+'Calc base'!J361),2),MAX('Calc base'!E$12,ROUND('Calc base'!E$13*AV360,2))))</f>
        <v>0</v>
      </c>
      <c r="M361">
        <f>IF(AW360&lt;=0,0,IF(ROUND(AW360*(1+'Calc base'!K361),2)-MAX('Calc base'!F$12,ROUND('Calc base'!F$13*AW360,2))&lt;1,ROUND(AW360*(1+'Calc base'!K361),2),MAX('Calc base'!F$12,ROUND('Calc base'!F$13*AW360,2))))</f>
        <v>0</v>
      </c>
      <c r="N361">
        <f>IF(AX360&lt;=0,0,IF(ROUND(AX360*(1+'Calc base'!L361),2)-MAX('Calc base'!G$12,ROUND('Calc base'!G$13*AX360,2))&lt;1,ROUND(AX360*(1+'Calc base'!L361),2),MAX('Calc base'!G$12,ROUND('Calc base'!G$13*AX360,2))))</f>
        <v>0</v>
      </c>
      <c r="O361">
        <f>IF(AY360&lt;=0,0,IF(ROUND(AY360*(1+'Calc base'!M361),2)-MAX('Calc base'!H$12,ROUND('Calc base'!H$13*AY360,2))&lt;1,ROUND(AY360*(1+'Calc base'!M361),2),MAX('Calc base'!H$12,ROUND('Calc base'!H$13*AY360,2))))</f>
        <v>0</v>
      </c>
      <c r="P361">
        <f>IF(AZ360&lt;=0,0,IF(ROUND(AZ360*(1+'Calc base'!N361),2)-MAX('Calc base'!I$12,ROUND('Calc base'!I$13*AZ360,2))&lt;1,ROUND(AZ360*(1+'Calc base'!N361),2),MAX('Calc base'!I$12,ROUND('Calc base'!I$13*AZ360,2))))</f>
        <v>0</v>
      </c>
      <c r="Q361">
        <f>IF(BA360&lt;=0,0,IF(ROUND(BA360*(1+'Calc base'!O361),2)-MAX('Calc base'!J$12,ROUND('Calc base'!J$13*BA360,2))&lt;1,ROUND(BA360*(1+'Calc base'!O361),2),MAX('Calc base'!J$12,ROUND('Calc base'!J$13*BA360,2))))</f>
        <v>0</v>
      </c>
      <c r="R361">
        <f>IF(BB360&lt;=0,0,IF(ROUND(BB360*(1+'Calc base'!P361),2)-MAX('Calc base'!K$12,ROUND('Calc base'!K$13*BB360,2))&lt;1,ROUND(BB360*(1+'Calc base'!P361),2),MAX('Calc base'!K$12,ROUND('Calc base'!K$13*BB360,2))))</f>
        <v>0</v>
      </c>
      <c r="S361">
        <f>IF(BC360&lt;=0,0,IF(ROUND(BC360*(1+'Calc base'!Q361),2)-MAX('Calc base'!L$12,ROUND('Calc base'!L$13*BC360,2))&lt;1,ROUND(BC360*(1+'Calc base'!Q361),2),MAX('Calc base'!L$12,ROUND('Calc base'!L$13*BC360,2))))</f>
        <v>0</v>
      </c>
      <c r="T361">
        <f>IF(BD360&lt;=0,0,IF(ROUND(BD360*(1+'Calc base'!R361),2)-MAX('Calc base'!M$12,ROUND('Calc base'!M$13*BD360,2))&lt;1,ROUND(BD360*(1+'Calc base'!R361),2),MAX('Calc base'!M$12,ROUND('Calc base'!M$13*BD360,2))))</f>
        <v>0</v>
      </c>
      <c r="U361">
        <f>IF(BE360&lt;=0,0,IF(ROUND(BE360*(1+'Calc base'!S361),2)-MAX('Calc base'!N$12,ROUND('Calc base'!N$13*BE360,2))&lt;1,ROUND(BE360*(1+'Calc base'!S361),2),MAX('Calc base'!N$12,ROUND('Calc base'!N$13*BE360,2))))</f>
        <v>0</v>
      </c>
      <c r="AT361">
        <f>MAX(0,ROUND(AT360*(1+'Calc base'!H361),2)-J361)</f>
        <v>0</v>
      </c>
      <c r="AU361">
        <f>MAX(0,ROUND(AU360*(1+'Calc base'!I361),2)-K361)</f>
        <v>0</v>
      </c>
      <c r="AV361">
        <f>MAX(0,ROUND(AV360*(1+'Calc base'!J361),2)-L361)</f>
        <v>0</v>
      </c>
      <c r="AW361">
        <f>MAX(0,ROUND(AW360*(1+'Calc base'!K361),2)-M361)</f>
        <v>0</v>
      </c>
      <c r="AX361">
        <f>MAX(0,ROUND(AX360*(1+'Calc base'!L361),2)-N361)</f>
        <v>0</v>
      </c>
      <c r="AY361">
        <f>MAX(0,ROUND(AY360*(1+'Calc base'!M361),2)-O361)</f>
        <v>0</v>
      </c>
      <c r="AZ361">
        <f>MAX(0,ROUND(AZ360*(1+'Calc base'!N361),2)-P361)</f>
        <v>0</v>
      </c>
      <c r="BA361">
        <f>MAX(0,ROUND(BA360*(1+'Calc base'!O361),2)-Q361)</f>
        <v>0</v>
      </c>
      <c r="BB361">
        <f>MAX(0,ROUND(BB360*(1+'Calc base'!P361),2)-R361)</f>
        <v>0</v>
      </c>
      <c r="BC361">
        <f>MAX(0,ROUND(BC360*(1+'Calc base'!Q361),2)-S361)</f>
        <v>0</v>
      </c>
      <c r="BD361">
        <f>MAX(0,ROUND(BD360*(1+'Calc base'!R361),2)-T361)</f>
        <v>0</v>
      </c>
      <c r="BE361">
        <f>MAX(0,ROUND(BE360*(1+'Calc base'!S361),2)-U361)</f>
        <v>0</v>
      </c>
    </row>
    <row r="362">
      <c r="A362" t="n">
        <v>332</v>
      </c>
      <c r="B362">
        <f>SUMPRODUCT(ROUND($AT361:$BE361*(1+'Calc base'!$H362:$S362),2))</f>
        <v>0</v>
      </c>
      <c r="C362">
        <f>SUM(J362:U362)</f>
        <v>0</v>
      </c>
      <c r="G362">
        <f>SUM(AT362:BE362)</f>
        <v>0</v>
      </c>
      <c r="H362">
        <f>B362-G361</f>
        <v>0</v>
      </c>
      <c r="I362">
        <f>B362-G362</f>
        <v>0</v>
      </c>
      <c r="J362">
        <f>IF(AT361&lt;=0,0,IF(ROUND(AT361*(1+'Calc base'!H362),2)-MAX('Calc base'!C$12,ROUND('Calc base'!C$13*AT361,2))&lt;1,ROUND(AT361*(1+'Calc base'!H362),2),MAX('Calc base'!C$12,ROUND('Calc base'!C$13*AT361,2))))</f>
        <v>0</v>
      </c>
      <c r="K362">
        <f>IF(AU361&lt;=0,0,IF(ROUND(AU361*(1+'Calc base'!I362),2)-MAX('Calc base'!D$12,ROUND('Calc base'!D$13*AU361,2))&lt;1,ROUND(AU361*(1+'Calc base'!I362),2),MAX('Calc base'!D$12,ROUND('Calc base'!D$13*AU361,2))))</f>
        <v>0</v>
      </c>
      <c r="L362">
        <f>IF(AV361&lt;=0,0,IF(ROUND(AV361*(1+'Calc base'!J362),2)-MAX('Calc base'!E$12,ROUND('Calc base'!E$13*AV361,2))&lt;1,ROUND(AV361*(1+'Calc base'!J362),2),MAX('Calc base'!E$12,ROUND('Calc base'!E$13*AV361,2))))</f>
        <v>0</v>
      </c>
      <c r="M362">
        <f>IF(AW361&lt;=0,0,IF(ROUND(AW361*(1+'Calc base'!K362),2)-MAX('Calc base'!F$12,ROUND('Calc base'!F$13*AW361,2))&lt;1,ROUND(AW361*(1+'Calc base'!K362),2),MAX('Calc base'!F$12,ROUND('Calc base'!F$13*AW361,2))))</f>
        <v>0</v>
      </c>
      <c r="N362">
        <f>IF(AX361&lt;=0,0,IF(ROUND(AX361*(1+'Calc base'!L362),2)-MAX('Calc base'!G$12,ROUND('Calc base'!G$13*AX361,2))&lt;1,ROUND(AX361*(1+'Calc base'!L362),2),MAX('Calc base'!G$12,ROUND('Calc base'!G$13*AX361,2))))</f>
        <v>0</v>
      </c>
      <c r="O362">
        <f>IF(AY361&lt;=0,0,IF(ROUND(AY361*(1+'Calc base'!M362),2)-MAX('Calc base'!H$12,ROUND('Calc base'!H$13*AY361,2))&lt;1,ROUND(AY361*(1+'Calc base'!M362),2),MAX('Calc base'!H$12,ROUND('Calc base'!H$13*AY361,2))))</f>
        <v>0</v>
      </c>
      <c r="P362">
        <f>IF(AZ361&lt;=0,0,IF(ROUND(AZ361*(1+'Calc base'!N362),2)-MAX('Calc base'!I$12,ROUND('Calc base'!I$13*AZ361,2))&lt;1,ROUND(AZ361*(1+'Calc base'!N362),2),MAX('Calc base'!I$12,ROUND('Calc base'!I$13*AZ361,2))))</f>
        <v>0</v>
      </c>
      <c r="Q362">
        <f>IF(BA361&lt;=0,0,IF(ROUND(BA361*(1+'Calc base'!O362),2)-MAX('Calc base'!J$12,ROUND('Calc base'!J$13*BA361,2))&lt;1,ROUND(BA361*(1+'Calc base'!O362),2),MAX('Calc base'!J$12,ROUND('Calc base'!J$13*BA361,2))))</f>
        <v>0</v>
      </c>
      <c r="R362">
        <f>IF(BB361&lt;=0,0,IF(ROUND(BB361*(1+'Calc base'!P362),2)-MAX('Calc base'!K$12,ROUND('Calc base'!K$13*BB361,2))&lt;1,ROUND(BB361*(1+'Calc base'!P362),2),MAX('Calc base'!K$12,ROUND('Calc base'!K$13*BB361,2))))</f>
        <v>0</v>
      </c>
      <c r="S362">
        <f>IF(BC361&lt;=0,0,IF(ROUND(BC361*(1+'Calc base'!Q362),2)-MAX('Calc base'!L$12,ROUND('Calc base'!L$13*BC361,2))&lt;1,ROUND(BC361*(1+'Calc base'!Q362),2),MAX('Calc base'!L$12,ROUND('Calc base'!L$13*BC361,2))))</f>
        <v>0</v>
      </c>
      <c r="T362">
        <f>IF(BD361&lt;=0,0,IF(ROUND(BD361*(1+'Calc base'!R362),2)-MAX('Calc base'!M$12,ROUND('Calc base'!M$13*BD361,2))&lt;1,ROUND(BD361*(1+'Calc base'!R362),2),MAX('Calc base'!M$12,ROUND('Calc base'!M$13*BD361,2))))</f>
        <v>0</v>
      </c>
      <c r="U362">
        <f>IF(BE361&lt;=0,0,IF(ROUND(BE361*(1+'Calc base'!S362),2)-MAX('Calc base'!N$12,ROUND('Calc base'!N$13*BE361,2))&lt;1,ROUND(BE361*(1+'Calc base'!S362),2),MAX('Calc base'!N$12,ROUND('Calc base'!N$13*BE361,2))))</f>
        <v>0</v>
      </c>
      <c r="AT362">
        <f>MAX(0,ROUND(AT361*(1+'Calc base'!H362),2)-J362)</f>
        <v>0</v>
      </c>
      <c r="AU362">
        <f>MAX(0,ROUND(AU361*(1+'Calc base'!I362),2)-K362)</f>
        <v>0</v>
      </c>
      <c r="AV362">
        <f>MAX(0,ROUND(AV361*(1+'Calc base'!J362),2)-L362)</f>
        <v>0</v>
      </c>
      <c r="AW362">
        <f>MAX(0,ROUND(AW361*(1+'Calc base'!K362),2)-M362)</f>
        <v>0</v>
      </c>
      <c r="AX362">
        <f>MAX(0,ROUND(AX361*(1+'Calc base'!L362),2)-N362)</f>
        <v>0</v>
      </c>
      <c r="AY362">
        <f>MAX(0,ROUND(AY361*(1+'Calc base'!M362),2)-O362)</f>
        <v>0</v>
      </c>
      <c r="AZ362">
        <f>MAX(0,ROUND(AZ361*(1+'Calc base'!N362),2)-P362)</f>
        <v>0</v>
      </c>
      <c r="BA362">
        <f>MAX(0,ROUND(BA361*(1+'Calc base'!O362),2)-Q362)</f>
        <v>0</v>
      </c>
      <c r="BB362">
        <f>MAX(0,ROUND(BB361*(1+'Calc base'!P362),2)-R362)</f>
        <v>0</v>
      </c>
      <c r="BC362">
        <f>MAX(0,ROUND(BC361*(1+'Calc base'!Q362),2)-S362)</f>
        <v>0</v>
      </c>
      <c r="BD362">
        <f>MAX(0,ROUND(BD361*(1+'Calc base'!R362),2)-T362)</f>
        <v>0</v>
      </c>
      <c r="BE362">
        <f>MAX(0,ROUND(BE361*(1+'Calc base'!S362),2)-U362)</f>
        <v>0</v>
      </c>
    </row>
    <row r="363">
      <c r="A363" t="n">
        <v>333</v>
      </c>
      <c r="B363">
        <f>SUMPRODUCT(ROUND($AT362:$BE362*(1+'Calc base'!$H363:$S363),2))</f>
        <v>0</v>
      </c>
      <c r="C363">
        <f>SUM(J363:U363)</f>
        <v>0</v>
      </c>
      <c r="G363">
        <f>SUM(AT363:BE363)</f>
        <v>0</v>
      </c>
      <c r="H363">
        <f>B363-G362</f>
        <v>0</v>
      </c>
      <c r="I363">
        <f>B363-G363</f>
        <v>0</v>
      </c>
      <c r="J363">
        <f>IF(AT362&lt;=0,0,IF(ROUND(AT362*(1+'Calc base'!H363),2)-MAX('Calc base'!C$12,ROUND('Calc base'!C$13*AT362,2))&lt;1,ROUND(AT362*(1+'Calc base'!H363),2),MAX('Calc base'!C$12,ROUND('Calc base'!C$13*AT362,2))))</f>
        <v>0</v>
      </c>
      <c r="K363">
        <f>IF(AU362&lt;=0,0,IF(ROUND(AU362*(1+'Calc base'!I363),2)-MAX('Calc base'!D$12,ROUND('Calc base'!D$13*AU362,2))&lt;1,ROUND(AU362*(1+'Calc base'!I363),2),MAX('Calc base'!D$12,ROUND('Calc base'!D$13*AU362,2))))</f>
        <v>0</v>
      </c>
      <c r="L363">
        <f>IF(AV362&lt;=0,0,IF(ROUND(AV362*(1+'Calc base'!J363),2)-MAX('Calc base'!E$12,ROUND('Calc base'!E$13*AV362,2))&lt;1,ROUND(AV362*(1+'Calc base'!J363),2),MAX('Calc base'!E$12,ROUND('Calc base'!E$13*AV362,2))))</f>
        <v>0</v>
      </c>
      <c r="M363">
        <f>IF(AW362&lt;=0,0,IF(ROUND(AW362*(1+'Calc base'!K363),2)-MAX('Calc base'!F$12,ROUND('Calc base'!F$13*AW362,2))&lt;1,ROUND(AW362*(1+'Calc base'!K363),2),MAX('Calc base'!F$12,ROUND('Calc base'!F$13*AW362,2))))</f>
        <v>0</v>
      </c>
      <c r="N363">
        <f>IF(AX362&lt;=0,0,IF(ROUND(AX362*(1+'Calc base'!L363),2)-MAX('Calc base'!G$12,ROUND('Calc base'!G$13*AX362,2))&lt;1,ROUND(AX362*(1+'Calc base'!L363),2),MAX('Calc base'!G$12,ROUND('Calc base'!G$13*AX362,2))))</f>
        <v>0</v>
      </c>
      <c r="O363">
        <f>IF(AY362&lt;=0,0,IF(ROUND(AY362*(1+'Calc base'!M363),2)-MAX('Calc base'!H$12,ROUND('Calc base'!H$13*AY362,2))&lt;1,ROUND(AY362*(1+'Calc base'!M363),2),MAX('Calc base'!H$12,ROUND('Calc base'!H$13*AY362,2))))</f>
        <v>0</v>
      </c>
      <c r="P363">
        <f>IF(AZ362&lt;=0,0,IF(ROUND(AZ362*(1+'Calc base'!N363),2)-MAX('Calc base'!I$12,ROUND('Calc base'!I$13*AZ362,2))&lt;1,ROUND(AZ362*(1+'Calc base'!N363),2),MAX('Calc base'!I$12,ROUND('Calc base'!I$13*AZ362,2))))</f>
        <v>0</v>
      </c>
      <c r="Q363">
        <f>IF(BA362&lt;=0,0,IF(ROUND(BA362*(1+'Calc base'!O363),2)-MAX('Calc base'!J$12,ROUND('Calc base'!J$13*BA362,2))&lt;1,ROUND(BA362*(1+'Calc base'!O363),2),MAX('Calc base'!J$12,ROUND('Calc base'!J$13*BA362,2))))</f>
        <v>0</v>
      </c>
      <c r="R363">
        <f>IF(BB362&lt;=0,0,IF(ROUND(BB362*(1+'Calc base'!P363),2)-MAX('Calc base'!K$12,ROUND('Calc base'!K$13*BB362,2))&lt;1,ROUND(BB362*(1+'Calc base'!P363),2),MAX('Calc base'!K$12,ROUND('Calc base'!K$13*BB362,2))))</f>
        <v>0</v>
      </c>
      <c r="S363">
        <f>IF(BC362&lt;=0,0,IF(ROUND(BC362*(1+'Calc base'!Q363),2)-MAX('Calc base'!L$12,ROUND('Calc base'!L$13*BC362,2))&lt;1,ROUND(BC362*(1+'Calc base'!Q363),2),MAX('Calc base'!L$12,ROUND('Calc base'!L$13*BC362,2))))</f>
        <v>0</v>
      </c>
      <c r="T363">
        <f>IF(BD362&lt;=0,0,IF(ROUND(BD362*(1+'Calc base'!R363),2)-MAX('Calc base'!M$12,ROUND('Calc base'!M$13*BD362,2))&lt;1,ROUND(BD362*(1+'Calc base'!R363),2),MAX('Calc base'!M$12,ROUND('Calc base'!M$13*BD362,2))))</f>
        <v>0</v>
      </c>
      <c r="U363">
        <f>IF(BE362&lt;=0,0,IF(ROUND(BE362*(1+'Calc base'!S363),2)-MAX('Calc base'!N$12,ROUND('Calc base'!N$13*BE362,2))&lt;1,ROUND(BE362*(1+'Calc base'!S363),2),MAX('Calc base'!N$12,ROUND('Calc base'!N$13*BE362,2))))</f>
        <v>0</v>
      </c>
      <c r="AT363">
        <f>MAX(0,ROUND(AT362*(1+'Calc base'!H363),2)-J363)</f>
        <v>0</v>
      </c>
      <c r="AU363">
        <f>MAX(0,ROUND(AU362*(1+'Calc base'!I363),2)-K363)</f>
        <v>0</v>
      </c>
      <c r="AV363">
        <f>MAX(0,ROUND(AV362*(1+'Calc base'!J363),2)-L363)</f>
        <v>0</v>
      </c>
      <c r="AW363">
        <f>MAX(0,ROUND(AW362*(1+'Calc base'!K363),2)-M363)</f>
        <v>0</v>
      </c>
      <c r="AX363">
        <f>MAX(0,ROUND(AX362*(1+'Calc base'!L363),2)-N363)</f>
        <v>0</v>
      </c>
      <c r="AY363">
        <f>MAX(0,ROUND(AY362*(1+'Calc base'!M363),2)-O363)</f>
        <v>0</v>
      </c>
      <c r="AZ363">
        <f>MAX(0,ROUND(AZ362*(1+'Calc base'!N363),2)-P363)</f>
        <v>0</v>
      </c>
      <c r="BA363">
        <f>MAX(0,ROUND(BA362*(1+'Calc base'!O363),2)-Q363)</f>
        <v>0</v>
      </c>
      <c r="BB363">
        <f>MAX(0,ROUND(BB362*(1+'Calc base'!P363),2)-R363)</f>
        <v>0</v>
      </c>
      <c r="BC363">
        <f>MAX(0,ROUND(BC362*(1+'Calc base'!Q363),2)-S363)</f>
        <v>0</v>
      </c>
      <c r="BD363">
        <f>MAX(0,ROUND(BD362*(1+'Calc base'!R363),2)-T363)</f>
        <v>0</v>
      </c>
      <c r="BE363">
        <f>MAX(0,ROUND(BE362*(1+'Calc base'!S363),2)-U363)</f>
        <v>0</v>
      </c>
    </row>
    <row r="364">
      <c r="A364" t="n">
        <v>334</v>
      </c>
      <c r="B364">
        <f>SUMPRODUCT(ROUND($AT363:$BE363*(1+'Calc base'!$H364:$S364),2))</f>
        <v>0</v>
      </c>
      <c r="C364">
        <f>SUM(J364:U364)</f>
        <v>0</v>
      </c>
      <c r="G364">
        <f>SUM(AT364:BE364)</f>
        <v>0</v>
      </c>
      <c r="H364">
        <f>B364-G363</f>
        <v>0</v>
      </c>
      <c r="I364">
        <f>B364-G364</f>
        <v>0</v>
      </c>
      <c r="J364">
        <f>IF(AT363&lt;=0,0,IF(ROUND(AT363*(1+'Calc base'!H364),2)-MAX('Calc base'!C$12,ROUND('Calc base'!C$13*AT363,2))&lt;1,ROUND(AT363*(1+'Calc base'!H364),2),MAX('Calc base'!C$12,ROUND('Calc base'!C$13*AT363,2))))</f>
        <v>0</v>
      </c>
      <c r="K364">
        <f>IF(AU363&lt;=0,0,IF(ROUND(AU363*(1+'Calc base'!I364),2)-MAX('Calc base'!D$12,ROUND('Calc base'!D$13*AU363,2))&lt;1,ROUND(AU363*(1+'Calc base'!I364),2),MAX('Calc base'!D$12,ROUND('Calc base'!D$13*AU363,2))))</f>
        <v>0</v>
      </c>
      <c r="L364">
        <f>IF(AV363&lt;=0,0,IF(ROUND(AV363*(1+'Calc base'!J364),2)-MAX('Calc base'!E$12,ROUND('Calc base'!E$13*AV363,2))&lt;1,ROUND(AV363*(1+'Calc base'!J364),2),MAX('Calc base'!E$12,ROUND('Calc base'!E$13*AV363,2))))</f>
        <v>0</v>
      </c>
      <c r="M364">
        <f>IF(AW363&lt;=0,0,IF(ROUND(AW363*(1+'Calc base'!K364),2)-MAX('Calc base'!F$12,ROUND('Calc base'!F$13*AW363,2))&lt;1,ROUND(AW363*(1+'Calc base'!K364),2),MAX('Calc base'!F$12,ROUND('Calc base'!F$13*AW363,2))))</f>
        <v>0</v>
      </c>
      <c r="N364">
        <f>IF(AX363&lt;=0,0,IF(ROUND(AX363*(1+'Calc base'!L364),2)-MAX('Calc base'!G$12,ROUND('Calc base'!G$13*AX363,2))&lt;1,ROUND(AX363*(1+'Calc base'!L364),2),MAX('Calc base'!G$12,ROUND('Calc base'!G$13*AX363,2))))</f>
        <v>0</v>
      </c>
      <c r="O364">
        <f>IF(AY363&lt;=0,0,IF(ROUND(AY363*(1+'Calc base'!M364),2)-MAX('Calc base'!H$12,ROUND('Calc base'!H$13*AY363,2))&lt;1,ROUND(AY363*(1+'Calc base'!M364),2),MAX('Calc base'!H$12,ROUND('Calc base'!H$13*AY363,2))))</f>
        <v>0</v>
      </c>
      <c r="P364">
        <f>IF(AZ363&lt;=0,0,IF(ROUND(AZ363*(1+'Calc base'!N364),2)-MAX('Calc base'!I$12,ROUND('Calc base'!I$13*AZ363,2))&lt;1,ROUND(AZ363*(1+'Calc base'!N364),2),MAX('Calc base'!I$12,ROUND('Calc base'!I$13*AZ363,2))))</f>
        <v>0</v>
      </c>
      <c r="Q364">
        <f>IF(BA363&lt;=0,0,IF(ROUND(BA363*(1+'Calc base'!O364),2)-MAX('Calc base'!J$12,ROUND('Calc base'!J$13*BA363,2))&lt;1,ROUND(BA363*(1+'Calc base'!O364),2),MAX('Calc base'!J$12,ROUND('Calc base'!J$13*BA363,2))))</f>
        <v>0</v>
      </c>
      <c r="R364">
        <f>IF(BB363&lt;=0,0,IF(ROUND(BB363*(1+'Calc base'!P364),2)-MAX('Calc base'!K$12,ROUND('Calc base'!K$13*BB363,2))&lt;1,ROUND(BB363*(1+'Calc base'!P364),2),MAX('Calc base'!K$12,ROUND('Calc base'!K$13*BB363,2))))</f>
        <v>0</v>
      </c>
      <c r="S364">
        <f>IF(BC363&lt;=0,0,IF(ROUND(BC363*(1+'Calc base'!Q364),2)-MAX('Calc base'!L$12,ROUND('Calc base'!L$13*BC363,2))&lt;1,ROUND(BC363*(1+'Calc base'!Q364),2),MAX('Calc base'!L$12,ROUND('Calc base'!L$13*BC363,2))))</f>
        <v>0</v>
      </c>
      <c r="T364">
        <f>IF(BD363&lt;=0,0,IF(ROUND(BD363*(1+'Calc base'!R364),2)-MAX('Calc base'!M$12,ROUND('Calc base'!M$13*BD363,2))&lt;1,ROUND(BD363*(1+'Calc base'!R364),2),MAX('Calc base'!M$12,ROUND('Calc base'!M$13*BD363,2))))</f>
        <v>0</v>
      </c>
      <c r="U364">
        <f>IF(BE363&lt;=0,0,IF(ROUND(BE363*(1+'Calc base'!S364),2)-MAX('Calc base'!N$12,ROUND('Calc base'!N$13*BE363,2))&lt;1,ROUND(BE363*(1+'Calc base'!S364),2),MAX('Calc base'!N$12,ROUND('Calc base'!N$13*BE363,2))))</f>
        <v>0</v>
      </c>
      <c r="AT364">
        <f>MAX(0,ROUND(AT363*(1+'Calc base'!H364),2)-J364)</f>
        <v>0</v>
      </c>
      <c r="AU364">
        <f>MAX(0,ROUND(AU363*(1+'Calc base'!I364),2)-K364)</f>
        <v>0</v>
      </c>
      <c r="AV364">
        <f>MAX(0,ROUND(AV363*(1+'Calc base'!J364),2)-L364)</f>
        <v>0</v>
      </c>
      <c r="AW364">
        <f>MAX(0,ROUND(AW363*(1+'Calc base'!K364),2)-M364)</f>
        <v>0</v>
      </c>
      <c r="AX364">
        <f>MAX(0,ROUND(AX363*(1+'Calc base'!L364),2)-N364)</f>
        <v>0</v>
      </c>
      <c r="AY364">
        <f>MAX(0,ROUND(AY363*(1+'Calc base'!M364),2)-O364)</f>
        <v>0</v>
      </c>
      <c r="AZ364">
        <f>MAX(0,ROUND(AZ363*(1+'Calc base'!N364),2)-P364)</f>
        <v>0</v>
      </c>
      <c r="BA364">
        <f>MAX(0,ROUND(BA363*(1+'Calc base'!O364),2)-Q364)</f>
        <v>0</v>
      </c>
      <c r="BB364">
        <f>MAX(0,ROUND(BB363*(1+'Calc base'!P364),2)-R364)</f>
        <v>0</v>
      </c>
      <c r="BC364">
        <f>MAX(0,ROUND(BC363*(1+'Calc base'!Q364),2)-S364)</f>
        <v>0</v>
      </c>
      <c r="BD364">
        <f>MAX(0,ROUND(BD363*(1+'Calc base'!R364),2)-T364)</f>
        <v>0</v>
      </c>
      <c r="BE364">
        <f>MAX(0,ROUND(BE363*(1+'Calc base'!S364),2)-U364)</f>
        <v>0</v>
      </c>
    </row>
    <row r="365">
      <c r="A365" t="n">
        <v>335</v>
      </c>
      <c r="B365">
        <f>SUMPRODUCT(ROUND($AT364:$BE364*(1+'Calc base'!$H365:$S365),2))</f>
        <v>0</v>
      </c>
      <c r="C365">
        <f>SUM(J365:U365)</f>
        <v>0</v>
      </c>
      <c r="G365">
        <f>SUM(AT365:BE365)</f>
        <v>0</v>
      </c>
      <c r="H365">
        <f>B365-G364</f>
        <v>0</v>
      </c>
      <c r="I365">
        <f>B365-G365</f>
        <v>0</v>
      </c>
      <c r="J365">
        <f>IF(AT364&lt;=0,0,IF(ROUND(AT364*(1+'Calc base'!H365),2)-MAX('Calc base'!C$12,ROUND('Calc base'!C$13*AT364,2))&lt;1,ROUND(AT364*(1+'Calc base'!H365),2),MAX('Calc base'!C$12,ROUND('Calc base'!C$13*AT364,2))))</f>
        <v>0</v>
      </c>
      <c r="K365">
        <f>IF(AU364&lt;=0,0,IF(ROUND(AU364*(1+'Calc base'!I365),2)-MAX('Calc base'!D$12,ROUND('Calc base'!D$13*AU364,2))&lt;1,ROUND(AU364*(1+'Calc base'!I365),2),MAX('Calc base'!D$12,ROUND('Calc base'!D$13*AU364,2))))</f>
        <v>0</v>
      </c>
      <c r="L365">
        <f>IF(AV364&lt;=0,0,IF(ROUND(AV364*(1+'Calc base'!J365),2)-MAX('Calc base'!E$12,ROUND('Calc base'!E$13*AV364,2))&lt;1,ROUND(AV364*(1+'Calc base'!J365),2),MAX('Calc base'!E$12,ROUND('Calc base'!E$13*AV364,2))))</f>
        <v>0</v>
      </c>
      <c r="M365">
        <f>IF(AW364&lt;=0,0,IF(ROUND(AW364*(1+'Calc base'!K365),2)-MAX('Calc base'!F$12,ROUND('Calc base'!F$13*AW364,2))&lt;1,ROUND(AW364*(1+'Calc base'!K365),2),MAX('Calc base'!F$12,ROUND('Calc base'!F$13*AW364,2))))</f>
        <v>0</v>
      </c>
      <c r="N365">
        <f>IF(AX364&lt;=0,0,IF(ROUND(AX364*(1+'Calc base'!L365),2)-MAX('Calc base'!G$12,ROUND('Calc base'!G$13*AX364,2))&lt;1,ROUND(AX364*(1+'Calc base'!L365),2),MAX('Calc base'!G$12,ROUND('Calc base'!G$13*AX364,2))))</f>
        <v>0</v>
      </c>
      <c r="O365">
        <f>IF(AY364&lt;=0,0,IF(ROUND(AY364*(1+'Calc base'!M365),2)-MAX('Calc base'!H$12,ROUND('Calc base'!H$13*AY364,2))&lt;1,ROUND(AY364*(1+'Calc base'!M365),2),MAX('Calc base'!H$12,ROUND('Calc base'!H$13*AY364,2))))</f>
        <v>0</v>
      </c>
      <c r="P365">
        <f>IF(AZ364&lt;=0,0,IF(ROUND(AZ364*(1+'Calc base'!N365),2)-MAX('Calc base'!I$12,ROUND('Calc base'!I$13*AZ364,2))&lt;1,ROUND(AZ364*(1+'Calc base'!N365),2),MAX('Calc base'!I$12,ROUND('Calc base'!I$13*AZ364,2))))</f>
        <v>0</v>
      </c>
      <c r="Q365">
        <f>IF(BA364&lt;=0,0,IF(ROUND(BA364*(1+'Calc base'!O365),2)-MAX('Calc base'!J$12,ROUND('Calc base'!J$13*BA364,2))&lt;1,ROUND(BA364*(1+'Calc base'!O365),2),MAX('Calc base'!J$12,ROUND('Calc base'!J$13*BA364,2))))</f>
        <v>0</v>
      </c>
      <c r="R365">
        <f>IF(BB364&lt;=0,0,IF(ROUND(BB364*(1+'Calc base'!P365),2)-MAX('Calc base'!K$12,ROUND('Calc base'!K$13*BB364,2))&lt;1,ROUND(BB364*(1+'Calc base'!P365),2),MAX('Calc base'!K$12,ROUND('Calc base'!K$13*BB364,2))))</f>
        <v>0</v>
      </c>
      <c r="S365">
        <f>IF(BC364&lt;=0,0,IF(ROUND(BC364*(1+'Calc base'!Q365),2)-MAX('Calc base'!L$12,ROUND('Calc base'!L$13*BC364,2))&lt;1,ROUND(BC364*(1+'Calc base'!Q365),2),MAX('Calc base'!L$12,ROUND('Calc base'!L$13*BC364,2))))</f>
        <v>0</v>
      </c>
      <c r="T365">
        <f>IF(BD364&lt;=0,0,IF(ROUND(BD364*(1+'Calc base'!R365),2)-MAX('Calc base'!M$12,ROUND('Calc base'!M$13*BD364,2))&lt;1,ROUND(BD364*(1+'Calc base'!R365),2),MAX('Calc base'!M$12,ROUND('Calc base'!M$13*BD364,2))))</f>
        <v>0</v>
      </c>
      <c r="U365">
        <f>IF(BE364&lt;=0,0,IF(ROUND(BE364*(1+'Calc base'!S365),2)-MAX('Calc base'!N$12,ROUND('Calc base'!N$13*BE364,2))&lt;1,ROUND(BE364*(1+'Calc base'!S365),2),MAX('Calc base'!N$12,ROUND('Calc base'!N$13*BE364,2))))</f>
        <v>0</v>
      </c>
      <c r="AT365">
        <f>MAX(0,ROUND(AT364*(1+'Calc base'!H365),2)-J365)</f>
        <v>0</v>
      </c>
      <c r="AU365">
        <f>MAX(0,ROUND(AU364*(1+'Calc base'!I365),2)-K365)</f>
        <v>0</v>
      </c>
      <c r="AV365">
        <f>MAX(0,ROUND(AV364*(1+'Calc base'!J365),2)-L365)</f>
        <v>0</v>
      </c>
      <c r="AW365">
        <f>MAX(0,ROUND(AW364*(1+'Calc base'!K365),2)-M365)</f>
        <v>0</v>
      </c>
      <c r="AX365">
        <f>MAX(0,ROUND(AX364*(1+'Calc base'!L365),2)-N365)</f>
        <v>0</v>
      </c>
      <c r="AY365">
        <f>MAX(0,ROUND(AY364*(1+'Calc base'!M365),2)-O365)</f>
        <v>0</v>
      </c>
      <c r="AZ365">
        <f>MAX(0,ROUND(AZ364*(1+'Calc base'!N365),2)-P365)</f>
        <v>0</v>
      </c>
      <c r="BA365">
        <f>MAX(0,ROUND(BA364*(1+'Calc base'!O365),2)-Q365)</f>
        <v>0</v>
      </c>
      <c r="BB365">
        <f>MAX(0,ROUND(BB364*(1+'Calc base'!P365),2)-R365)</f>
        <v>0</v>
      </c>
      <c r="BC365">
        <f>MAX(0,ROUND(BC364*(1+'Calc base'!Q365),2)-S365)</f>
        <v>0</v>
      </c>
      <c r="BD365">
        <f>MAX(0,ROUND(BD364*(1+'Calc base'!R365),2)-T365)</f>
        <v>0</v>
      </c>
      <c r="BE365">
        <f>MAX(0,ROUND(BE364*(1+'Calc base'!S365),2)-U365)</f>
        <v>0</v>
      </c>
    </row>
    <row r="366">
      <c r="A366" t="n">
        <v>336</v>
      </c>
      <c r="B366">
        <f>SUMPRODUCT(ROUND($AT365:$BE365*(1+'Calc base'!$H366:$S366),2))</f>
        <v>0</v>
      </c>
      <c r="C366">
        <f>SUM(J366:U366)</f>
        <v>0</v>
      </c>
      <c r="G366">
        <f>SUM(AT366:BE366)</f>
        <v>0</v>
      </c>
      <c r="H366">
        <f>B366-G365</f>
        <v>0</v>
      </c>
      <c r="I366">
        <f>B366-G366</f>
        <v>0</v>
      </c>
      <c r="J366">
        <f>IF(AT365&lt;=0,0,IF(ROUND(AT365*(1+'Calc base'!H366),2)-MAX('Calc base'!C$12,ROUND('Calc base'!C$13*AT365,2))&lt;1,ROUND(AT365*(1+'Calc base'!H366),2),MAX('Calc base'!C$12,ROUND('Calc base'!C$13*AT365,2))))</f>
        <v>0</v>
      </c>
      <c r="K366">
        <f>IF(AU365&lt;=0,0,IF(ROUND(AU365*(1+'Calc base'!I366),2)-MAX('Calc base'!D$12,ROUND('Calc base'!D$13*AU365,2))&lt;1,ROUND(AU365*(1+'Calc base'!I366),2),MAX('Calc base'!D$12,ROUND('Calc base'!D$13*AU365,2))))</f>
        <v>0</v>
      </c>
      <c r="L366">
        <f>IF(AV365&lt;=0,0,IF(ROUND(AV365*(1+'Calc base'!J366),2)-MAX('Calc base'!E$12,ROUND('Calc base'!E$13*AV365,2))&lt;1,ROUND(AV365*(1+'Calc base'!J366),2),MAX('Calc base'!E$12,ROUND('Calc base'!E$13*AV365,2))))</f>
        <v>0</v>
      </c>
      <c r="M366">
        <f>IF(AW365&lt;=0,0,IF(ROUND(AW365*(1+'Calc base'!K366),2)-MAX('Calc base'!F$12,ROUND('Calc base'!F$13*AW365,2))&lt;1,ROUND(AW365*(1+'Calc base'!K366),2),MAX('Calc base'!F$12,ROUND('Calc base'!F$13*AW365,2))))</f>
        <v>0</v>
      </c>
      <c r="N366">
        <f>IF(AX365&lt;=0,0,IF(ROUND(AX365*(1+'Calc base'!L366),2)-MAX('Calc base'!G$12,ROUND('Calc base'!G$13*AX365,2))&lt;1,ROUND(AX365*(1+'Calc base'!L366),2),MAX('Calc base'!G$12,ROUND('Calc base'!G$13*AX365,2))))</f>
        <v>0</v>
      </c>
      <c r="O366">
        <f>IF(AY365&lt;=0,0,IF(ROUND(AY365*(1+'Calc base'!M366),2)-MAX('Calc base'!H$12,ROUND('Calc base'!H$13*AY365,2))&lt;1,ROUND(AY365*(1+'Calc base'!M366),2),MAX('Calc base'!H$12,ROUND('Calc base'!H$13*AY365,2))))</f>
        <v>0</v>
      </c>
      <c r="P366">
        <f>IF(AZ365&lt;=0,0,IF(ROUND(AZ365*(1+'Calc base'!N366),2)-MAX('Calc base'!I$12,ROUND('Calc base'!I$13*AZ365,2))&lt;1,ROUND(AZ365*(1+'Calc base'!N366),2),MAX('Calc base'!I$12,ROUND('Calc base'!I$13*AZ365,2))))</f>
        <v>0</v>
      </c>
      <c r="Q366">
        <f>IF(BA365&lt;=0,0,IF(ROUND(BA365*(1+'Calc base'!O366),2)-MAX('Calc base'!J$12,ROUND('Calc base'!J$13*BA365,2))&lt;1,ROUND(BA365*(1+'Calc base'!O366),2),MAX('Calc base'!J$12,ROUND('Calc base'!J$13*BA365,2))))</f>
        <v>0</v>
      </c>
      <c r="R366">
        <f>IF(BB365&lt;=0,0,IF(ROUND(BB365*(1+'Calc base'!P366),2)-MAX('Calc base'!K$12,ROUND('Calc base'!K$13*BB365,2))&lt;1,ROUND(BB365*(1+'Calc base'!P366),2),MAX('Calc base'!K$12,ROUND('Calc base'!K$13*BB365,2))))</f>
        <v>0</v>
      </c>
      <c r="S366">
        <f>IF(BC365&lt;=0,0,IF(ROUND(BC365*(1+'Calc base'!Q366),2)-MAX('Calc base'!L$12,ROUND('Calc base'!L$13*BC365,2))&lt;1,ROUND(BC365*(1+'Calc base'!Q366),2),MAX('Calc base'!L$12,ROUND('Calc base'!L$13*BC365,2))))</f>
        <v>0</v>
      </c>
      <c r="T366">
        <f>IF(BD365&lt;=0,0,IF(ROUND(BD365*(1+'Calc base'!R366),2)-MAX('Calc base'!M$12,ROUND('Calc base'!M$13*BD365,2))&lt;1,ROUND(BD365*(1+'Calc base'!R366),2),MAX('Calc base'!M$12,ROUND('Calc base'!M$13*BD365,2))))</f>
        <v>0</v>
      </c>
      <c r="U366">
        <f>IF(BE365&lt;=0,0,IF(ROUND(BE365*(1+'Calc base'!S366),2)-MAX('Calc base'!N$12,ROUND('Calc base'!N$13*BE365,2))&lt;1,ROUND(BE365*(1+'Calc base'!S366),2),MAX('Calc base'!N$12,ROUND('Calc base'!N$13*BE365,2))))</f>
        <v>0</v>
      </c>
      <c r="AT366">
        <f>MAX(0,ROUND(AT365*(1+'Calc base'!H366),2)-J366)</f>
        <v>0</v>
      </c>
      <c r="AU366">
        <f>MAX(0,ROUND(AU365*(1+'Calc base'!I366),2)-K366)</f>
        <v>0</v>
      </c>
      <c r="AV366">
        <f>MAX(0,ROUND(AV365*(1+'Calc base'!J366),2)-L366)</f>
        <v>0</v>
      </c>
      <c r="AW366">
        <f>MAX(0,ROUND(AW365*(1+'Calc base'!K366),2)-M366)</f>
        <v>0</v>
      </c>
      <c r="AX366">
        <f>MAX(0,ROUND(AX365*(1+'Calc base'!L366),2)-N366)</f>
        <v>0</v>
      </c>
      <c r="AY366">
        <f>MAX(0,ROUND(AY365*(1+'Calc base'!M366),2)-O366)</f>
        <v>0</v>
      </c>
      <c r="AZ366">
        <f>MAX(0,ROUND(AZ365*(1+'Calc base'!N366),2)-P366)</f>
        <v>0</v>
      </c>
      <c r="BA366">
        <f>MAX(0,ROUND(BA365*(1+'Calc base'!O366),2)-Q366)</f>
        <v>0</v>
      </c>
      <c r="BB366">
        <f>MAX(0,ROUND(BB365*(1+'Calc base'!P366),2)-R366)</f>
        <v>0</v>
      </c>
      <c r="BC366">
        <f>MAX(0,ROUND(BC365*(1+'Calc base'!Q366),2)-S366)</f>
        <v>0</v>
      </c>
      <c r="BD366">
        <f>MAX(0,ROUND(BD365*(1+'Calc base'!R366),2)-T366)</f>
        <v>0</v>
      </c>
      <c r="BE366">
        <f>MAX(0,ROUND(BE365*(1+'Calc base'!S366),2)-U366)</f>
        <v>0</v>
      </c>
    </row>
    <row r="367">
      <c r="A367" t="n">
        <v>337</v>
      </c>
      <c r="B367">
        <f>SUMPRODUCT(ROUND($AT366:$BE366*(1+'Calc base'!$H367:$S367),2))</f>
        <v>0</v>
      </c>
      <c r="C367">
        <f>SUM(J367:U367)</f>
        <v>0</v>
      </c>
      <c r="G367">
        <f>SUM(AT367:BE367)</f>
        <v>0</v>
      </c>
      <c r="H367">
        <f>B367-G366</f>
        <v>0</v>
      </c>
      <c r="I367">
        <f>B367-G367</f>
        <v>0</v>
      </c>
      <c r="J367">
        <f>IF(AT366&lt;=0,0,IF(ROUND(AT366*(1+'Calc base'!H367),2)-MAX('Calc base'!C$12,ROUND('Calc base'!C$13*AT366,2))&lt;1,ROUND(AT366*(1+'Calc base'!H367),2),MAX('Calc base'!C$12,ROUND('Calc base'!C$13*AT366,2))))</f>
        <v>0</v>
      </c>
      <c r="K367">
        <f>IF(AU366&lt;=0,0,IF(ROUND(AU366*(1+'Calc base'!I367),2)-MAX('Calc base'!D$12,ROUND('Calc base'!D$13*AU366,2))&lt;1,ROUND(AU366*(1+'Calc base'!I367),2),MAX('Calc base'!D$12,ROUND('Calc base'!D$13*AU366,2))))</f>
        <v>0</v>
      </c>
      <c r="L367">
        <f>IF(AV366&lt;=0,0,IF(ROUND(AV366*(1+'Calc base'!J367),2)-MAX('Calc base'!E$12,ROUND('Calc base'!E$13*AV366,2))&lt;1,ROUND(AV366*(1+'Calc base'!J367),2),MAX('Calc base'!E$12,ROUND('Calc base'!E$13*AV366,2))))</f>
        <v>0</v>
      </c>
      <c r="M367">
        <f>IF(AW366&lt;=0,0,IF(ROUND(AW366*(1+'Calc base'!K367),2)-MAX('Calc base'!F$12,ROUND('Calc base'!F$13*AW366,2))&lt;1,ROUND(AW366*(1+'Calc base'!K367),2),MAX('Calc base'!F$12,ROUND('Calc base'!F$13*AW366,2))))</f>
        <v>0</v>
      </c>
      <c r="N367">
        <f>IF(AX366&lt;=0,0,IF(ROUND(AX366*(1+'Calc base'!L367),2)-MAX('Calc base'!G$12,ROUND('Calc base'!G$13*AX366,2))&lt;1,ROUND(AX366*(1+'Calc base'!L367),2),MAX('Calc base'!G$12,ROUND('Calc base'!G$13*AX366,2))))</f>
        <v>0</v>
      </c>
      <c r="O367">
        <f>IF(AY366&lt;=0,0,IF(ROUND(AY366*(1+'Calc base'!M367),2)-MAX('Calc base'!H$12,ROUND('Calc base'!H$13*AY366,2))&lt;1,ROUND(AY366*(1+'Calc base'!M367),2),MAX('Calc base'!H$12,ROUND('Calc base'!H$13*AY366,2))))</f>
        <v>0</v>
      </c>
      <c r="P367">
        <f>IF(AZ366&lt;=0,0,IF(ROUND(AZ366*(1+'Calc base'!N367),2)-MAX('Calc base'!I$12,ROUND('Calc base'!I$13*AZ366,2))&lt;1,ROUND(AZ366*(1+'Calc base'!N367),2),MAX('Calc base'!I$12,ROUND('Calc base'!I$13*AZ366,2))))</f>
        <v>0</v>
      </c>
      <c r="Q367">
        <f>IF(BA366&lt;=0,0,IF(ROUND(BA366*(1+'Calc base'!O367),2)-MAX('Calc base'!J$12,ROUND('Calc base'!J$13*BA366,2))&lt;1,ROUND(BA366*(1+'Calc base'!O367),2),MAX('Calc base'!J$12,ROUND('Calc base'!J$13*BA366,2))))</f>
        <v>0</v>
      </c>
      <c r="R367">
        <f>IF(BB366&lt;=0,0,IF(ROUND(BB366*(1+'Calc base'!P367),2)-MAX('Calc base'!K$12,ROUND('Calc base'!K$13*BB366,2))&lt;1,ROUND(BB366*(1+'Calc base'!P367),2),MAX('Calc base'!K$12,ROUND('Calc base'!K$13*BB366,2))))</f>
        <v>0</v>
      </c>
      <c r="S367">
        <f>IF(BC366&lt;=0,0,IF(ROUND(BC366*(1+'Calc base'!Q367),2)-MAX('Calc base'!L$12,ROUND('Calc base'!L$13*BC366,2))&lt;1,ROUND(BC366*(1+'Calc base'!Q367),2),MAX('Calc base'!L$12,ROUND('Calc base'!L$13*BC366,2))))</f>
        <v>0</v>
      </c>
      <c r="T367">
        <f>IF(BD366&lt;=0,0,IF(ROUND(BD366*(1+'Calc base'!R367),2)-MAX('Calc base'!M$12,ROUND('Calc base'!M$13*BD366,2))&lt;1,ROUND(BD366*(1+'Calc base'!R367),2),MAX('Calc base'!M$12,ROUND('Calc base'!M$13*BD366,2))))</f>
        <v>0</v>
      </c>
      <c r="U367">
        <f>IF(BE366&lt;=0,0,IF(ROUND(BE366*(1+'Calc base'!S367),2)-MAX('Calc base'!N$12,ROUND('Calc base'!N$13*BE366,2))&lt;1,ROUND(BE366*(1+'Calc base'!S367),2),MAX('Calc base'!N$12,ROUND('Calc base'!N$13*BE366,2))))</f>
        <v>0</v>
      </c>
      <c r="AT367">
        <f>MAX(0,ROUND(AT366*(1+'Calc base'!H367),2)-J367)</f>
        <v>0</v>
      </c>
      <c r="AU367">
        <f>MAX(0,ROUND(AU366*(1+'Calc base'!I367),2)-K367)</f>
        <v>0</v>
      </c>
      <c r="AV367">
        <f>MAX(0,ROUND(AV366*(1+'Calc base'!J367),2)-L367)</f>
        <v>0</v>
      </c>
      <c r="AW367">
        <f>MAX(0,ROUND(AW366*(1+'Calc base'!K367),2)-M367)</f>
        <v>0</v>
      </c>
      <c r="AX367">
        <f>MAX(0,ROUND(AX366*(1+'Calc base'!L367),2)-N367)</f>
        <v>0</v>
      </c>
      <c r="AY367">
        <f>MAX(0,ROUND(AY366*(1+'Calc base'!M367),2)-O367)</f>
        <v>0</v>
      </c>
      <c r="AZ367">
        <f>MAX(0,ROUND(AZ366*(1+'Calc base'!N367),2)-P367)</f>
        <v>0</v>
      </c>
      <c r="BA367">
        <f>MAX(0,ROUND(BA366*(1+'Calc base'!O367),2)-Q367)</f>
        <v>0</v>
      </c>
      <c r="BB367">
        <f>MAX(0,ROUND(BB366*(1+'Calc base'!P367),2)-R367)</f>
        <v>0</v>
      </c>
      <c r="BC367">
        <f>MAX(0,ROUND(BC366*(1+'Calc base'!Q367),2)-S367)</f>
        <v>0</v>
      </c>
      <c r="BD367">
        <f>MAX(0,ROUND(BD366*(1+'Calc base'!R367),2)-T367)</f>
        <v>0</v>
      </c>
      <c r="BE367">
        <f>MAX(0,ROUND(BE366*(1+'Calc base'!S367),2)-U367)</f>
        <v>0</v>
      </c>
    </row>
    <row r="368">
      <c r="A368" t="n">
        <v>338</v>
      </c>
      <c r="B368">
        <f>SUMPRODUCT(ROUND($AT367:$BE367*(1+'Calc base'!$H368:$S368),2))</f>
        <v>0</v>
      </c>
      <c r="C368">
        <f>SUM(J368:U368)</f>
        <v>0</v>
      </c>
      <c r="G368">
        <f>SUM(AT368:BE368)</f>
        <v>0</v>
      </c>
      <c r="H368">
        <f>B368-G367</f>
        <v>0</v>
      </c>
      <c r="I368">
        <f>B368-G368</f>
        <v>0</v>
      </c>
      <c r="J368">
        <f>IF(AT367&lt;=0,0,IF(ROUND(AT367*(1+'Calc base'!H368),2)-MAX('Calc base'!C$12,ROUND('Calc base'!C$13*AT367,2))&lt;1,ROUND(AT367*(1+'Calc base'!H368),2),MAX('Calc base'!C$12,ROUND('Calc base'!C$13*AT367,2))))</f>
        <v>0</v>
      </c>
      <c r="K368">
        <f>IF(AU367&lt;=0,0,IF(ROUND(AU367*(1+'Calc base'!I368),2)-MAX('Calc base'!D$12,ROUND('Calc base'!D$13*AU367,2))&lt;1,ROUND(AU367*(1+'Calc base'!I368),2),MAX('Calc base'!D$12,ROUND('Calc base'!D$13*AU367,2))))</f>
        <v>0</v>
      </c>
      <c r="L368">
        <f>IF(AV367&lt;=0,0,IF(ROUND(AV367*(1+'Calc base'!J368),2)-MAX('Calc base'!E$12,ROUND('Calc base'!E$13*AV367,2))&lt;1,ROUND(AV367*(1+'Calc base'!J368),2),MAX('Calc base'!E$12,ROUND('Calc base'!E$13*AV367,2))))</f>
        <v>0</v>
      </c>
      <c r="M368">
        <f>IF(AW367&lt;=0,0,IF(ROUND(AW367*(1+'Calc base'!K368),2)-MAX('Calc base'!F$12,ROUND('Calc base'!F$13*AW367,2))&lt;1,ROUND(AW367*(1+'Calc base'!K368),2),MAX('Calc base'!F$12,ROUND('Calc base'!F$13*AW367,2))))</f>
        <v>0</v>
      </c>
      <c r="N368">
        <f>IF(AX367&lt;=0,0,IF(ROUND(AX367*(1+'Calc base'!L368),2)-MAX('Calc base'!G$12,ROUND('Calc base'!G$13*AX367,2))&lt;1,ROUND(AX367*(1+'Calc base'!L368),2),MAX('Calc base'!G$12,ROUND('Calc base'!G$13*AX367,2))))</f>
        <v>0</v>
      </c>
      <c r="O368">
        <f>IF(AY367&lt;=0,0,IF(ROUND(AY367*(1+'Calc base'!M368),2)-MAX('Calc base'!H$12,ROUND('Calc base'!H$13*AY367,2))&lt;1,ROUND(AY367*(1+'Calc base'!M368),2),MAX('Calc base'!H$12,ROUND('Calc base'!H$13*AY367,2))))</f>
        <v>0</v>
      </c>
      <c r="P368">
        <f>IF(AZ367&lt;=0,0,IF(ROUND(AZ367*(1+'Calc base'!N368),2)-MAX('Calc base'!I$12,ROUND('Calc base'!I$13*AZ367,2))&lt;1,ROUND(AZ367*(1+'Calc base'!N368),2),MAX('Calc base'!I$12,ROUND('Calc base'!I$13*AZ367,2))))</f>
        <v>0</v>
      </c>
      <c r="Q368">
        <f>IF(BA367&lt;=0,0,IF(ROUND(BA367*(1+'Calc base'!O368),2)-MAX('Calc base'!J$12,ROUND('Calc base'!J$13*BA367,2))&lt;1,ROUND(BA367*(1+'Calc base'!O368),2),MAX('Calc base'!J$12,ROUND('Calc base'!J$13*BA367,2))))</f>
        <v>0</v>
      </c>
      <c r="R368">
        <f>IF(BB367&lt;=0,0,IF(ROUND(BB367*(1+'Calc base'!P368),2)-MAX('Calc base'!K$12,ROUND('Calc base'!K$13*BB367,2))&lt;1,ROUND(BB367*(1+'Calc base'!P368),2),MAX('Calc base'!K$12,ROUND('Calc base'!K$13*BB367,2))))</f>
        <v>0</v>
      </c>
      <c r="S368">
        <f>IF(BC367&lt;=0,0,IF(ROUND(BC367*(1+'Calc base'!Q368),2)-MAX('Calc base'!L$12,ROUND('Calc base'!L$13*BC367,2))&lt;1,ROUND(BC367*(1+'Calc base'!Q368),2),MAX('Calc base'!L$12,ROUND('Calc base'!L$13*BC367,2))))</f>
        <v>0</v>
      </c>
      <c r="T368">
        <f>IF(BD367&lt;=0,0,IF(ROUND(BD367*(1+'Calc base'!R368),2)-MAX('Calc base'!M$12,ROUND('Calc base'!M$13*BD367,2))&lt;1,ROUND(BD367*(1+'Calc base'!R368),2),MAX('Calc base'!M$12,ROUND('Calc base'!M$13*BD367,2))))</f>
        <v>0</v>
      </c>
      <c r="U368">
        <f>IF(BE367&lt;=0,0,IF(ROUND(BE367*(1+'Calc base'!S368),2)-MAX('Calc base'!N$12,ROUND('Calc base'!N$13*BE367,2))&lt;1,ROUND(BE367*(1+'Calc base'!S368),2),MAX('Calc base'!N$12,ROUND('Calc base'!N$13*BE367,2))))</f>
        <v>0</v>
      </c>
      <c r="AT368">
        <f>MAX(0,ROUND(AT367*(1+'Calc base'!H368),2)-J368)</f>
        <v>0</v>
      </c>
      <c r="AU368">
        <f>MAX(0,ROUND(AU367*(1+'Calc base'!I368),2)-K368)</f>
        <v>0</v>
      </c>
      <c r="AV368">
        <f>MAX(0,ROUND(AV367*(1+'Calc base'!J368),2)-L368)</f>
        <v>0</v>
      </c>
      <c r="AW368">
        <f>MAX(0,ROUND(AW367*(1+'Calc base'!K368),2)-M368)</f>
        <v>0</v>
      </c>
      <c r="AX368">
        <f>MAX(0,ROUND(AX367*(1+'Calc base'!L368),2)-N368)</f>
        <v>0</v>
      </c>
      <c r="AY368">
        <f>MAX(0,ROUND(AY367*(1+'Calc base'!M368),2)-O368)</f>
        <v>0</v>
      </c>
      <c r="AZ368">
        <f>MAX(0,ROUND(AZ367*(1+'Calc base'!N368),2)-P368)</f>
        <v>0</v>
      </c>
      <c r="BA368">
        <f>MAX(0,ROUND(BA367*(1+'Calc base'!O368),2)-Q368)</f>
        <v>0</v>
      </c>
      <c r="BB368">
        <f>MAX(0,ROUND(BB367*(1+'Calc base'!P368),2)-R368)</f>
        <v>0</v>
      </c>
      <c r="BC368">
        <f>MAX(0,ROUND(BC367*(1+'Calc base'!Q368),2)-S368)</f>
        <v>0</v>
      </c>
      <c r="BD368">
        <f>MAX(0,ROUND(BD367*(1+'Calc base'!R368),2)-T368)</f>
        <v>0</v>
      </c>
      <c r="BE368">
        <f>MAX(0,ROUND(BE367*(1+'Calc base'!S368),2)-U368)</f>
        <v>0</v>
      </c>
    </row>
    <row r="369">
      <c r="A369" t="n">
        <v>339</v>
      </c>
      <c r="B369">
        <f>SUMPRODUCT(ROUND($AT368:$BE368*(1+'Calc base'!$H369:$S369),2))</f>
        <v>0</v>
      </c>
      <c r="C369">
        <f>SUM(J369:U369)</f>
        <v>0</v>
      </c>
      <c r="G369">
        <f>SUM(AT369:BE369)</f>
        <v>0</v>
      </c>
      <c r="H369">
        <f>B369-G368</f>
        <v>0</v>
      </c>
      <c r="I369">
        <f>B369-G369</f>
        <v>0</v>
      </c>
      <c r="J369">
        <f>IF(AT368&lt;=0,0,IF(ROUND(AT368*(1+'Calc base'!H369),2)-MAX('Calc base'!C$12,ROUND('Calc base'!C$13*AT368,2))&lt;1,ROUND(AT368*(1+'Calc base'!H369),2),MAX('Calc base'!C$12,ROUND('Calc base'!C$13*AT368,2))))</f>
        <v>0</v>
      </c>
      <c r="K369">
        <f>IF(AU368&lt;=0,0,IF(ROUND(AU368*(1+'Calc base'!I369),2)-MAX('Calc base'!D$12,ROUND('Calc base'!D$13*AU368,2))&lt;1,ROUND(AU368*(1+'Calc base'!I369),2),MAX('Calc base'!D$12,ROUND('Calc base'!D$13*AU368,2))))</f>
        <v>0</v>
      </c>
      <c r="L369">
        <f>IF(AV368&lt;=0,0,IF(ROUND(AV368*(1+'Calc base'!J369),2)-MAX('Calc base'!E$12,ROUND('Calc base'!E$13*AV368,2))&lt;1,ROUND(AV368*(1+'Calc base'!J369),2),MAX('Calc base'!E$12,ROUND('Calc base'!E$13*AV368,2))))</f>
        <v>0</v>
      </c>
      <c r="M369">
        <f>IF(AW368&lt;=0,0,IF(ROUND(AW368*(1+'Calc base'!K369),2)-MAX('Calc base'!F$12,ROUND('Calc base'!F$13*AW368,2))&lt;1,ROUND(AW368*(1+'Calc base'!K369),2),MAX('Calc base'!F$12,ROUND('Calc base'!F$13*AW368,2))))</f>
        <v>0</v>
      </c>
      <c r="N369">
        <f>IF(AX368&lt;=0,0,IF(ROUND(AX368*(1+'Calc base'!L369),2)-MAX('Calc base'!G$12,ROUND('Calc base'!G$13*AX368,2))&lt;1,ROUND(AX368*(1+'Calc base'!L369),2),MAX('Calc base'!G$12,ROUND('Calc base'!G$13*AX368,2))))</f>
        <v>0</v>
      </c>
      <c r="O369">
        <f>IF(AY368&lt;=0,0,IF(ROUND(AY368*(1+'Calc base'!M369),2)-MAX('Calc base'!H$12,ROUND('Calc base'!H$13*AY368,2))&lt;1,ROUND(AY368*(1+'Calc base'!M369),2),MAX('Calc base'!H$12,ROUND('Calc base'!H$13*AY368,2))))</f>
        <v>0</v>
      </c>
      <c r="P369">
        <f>IF(AZ368&lt;=0,0,IF(ROUND(AZ368*(1+'Calc base'!N369),2)-MAX('Calc base'!I$12,ROUND('Calc base'!I$13*AZ368,2))&lt;1,ROUND(AZ368*(1+'Calc base'!N369),2),MAX('Calc base'!I$12,ROUND('Calc base'!I$13*AZ368,2))))</f>
        <v>0</v>
      </c>
      <c r="Q369">
        <f>IF(BA368&lt;=0,0,IF(ROUND(BA368*(1+'Calc base'!O369),2)-MAX('Calc base'!J$12,ROUND('Calc base'!J$13*BA368,2))&lt;1,ROUND(BA368*(1+'Calc base'!O369),2),MAX('Calc base'!J$12,ROUND('Calc base'!J$13*BA368,2))))</f>
        <v>0</v>
      </c>
      <c r="R369">
        <f>IF(BB368&lt;=0,0,IF(ROUND(BB368*(1+'Calc base'!P369),2)-MAX('Calc base'!K$12,ROUND('Calc base'!K$13*BB368,2))&lt;1,ROUND(BB368*(1+'Calc base'!P369),2),MAX('Calc base'!K$12,ROUND('Calc base'!K$13*BB368,2))))</f>
        <v>0</v>
      </c>
      <c r="S369">
        <f>IF(BC368&lt;=0,0,IF(ROUND(BC368*(1+'Calc base'!Q369),2)-MAX('Calc base'!L$12,ROUND('Calc base'!L$13*BC368,2))&lt;1,ROUND(BC368*(1+'Calc base'!Q369),2),MAX('Calc base'!L$12,ROUND('Calc base'!L$13*BC368,2))))</f>
        <v>0</v>
      </c>
      <c r="T369">
        <f>IF(BD368&lt;=0,0,IF(ROUND(BD368*(1+'Calc base'!R369),2)-MAX('Calc base'!M$12,ROUND('Calc base'!M$13*BD368,2))&lt;1,ROUND(BD368*(1+'Calc base'!R369),2),MAX('Calc base'!M$12,ROUND('Calc base'!M$13*BD368,2))))</f>
        <v>0</v>
      </c>
      <c r="U369">
        <f>IF(BE368&lt;=0,0,IF(ROUND(BE368*(1+'Calc base'!S369),2)-MAX('Calc base'!N$12,ROUND('Calc base'!N$13*BE368,2))&lt;1,ROUND(BE368*(1+'Calc base'!S369),2),MAX('Calc base'!N$12,ROUND('Calc base'!N$13*BE368,2))))</f>
        <v>0</v>
      </c>
      <c r="AT369">
        <f>MAX(0,ROUND(AT368*(1+'Calc base'!H369),2)-J369)</f>
        <v>0</v>
      </c>
      <c r="AU369">
        <f>MAX(0,ROUND(AU368*(1+'Calc base'!I369),2)-K369)</f>
        <v>0</v>
      </c>
      <c r="AV369">
        <f>MAX(0,ROUND(AV368*(1+'Calc base'!J369),2)-L369)</f>
        <v>0</v>
      </c>
      <c r="AW369">
        <f>MAX(0,ROUND(AW368*(1+'Calc base'!K369),2)-M369)</f>
        <v>0</v>
      </c>
      <c r="AX369">
        <f>MAX(0,ROUND(AX368*(1+'Calc base'!L369),2)-N369)</f>
        <v>0</v>
      </c>
      <c r="AY369">
        <f>MAX(0,ROUND(AY368*(1+'Calc base'!M369),2)-O369)</f>
        <v>0</v>
      </c>
      <c r="AZ369">
        <f>MAX(0,ROUND(AZ368*(1+'Calc base'!N369),2)-P369)</f>
        <v>0</v>
      </c>
      <c r="BA369">
        <f>MAX(0,ROUND(BA368*(1+'Calc base'!O369),2)-Q369)</f>
        <v>0</v>
      </c>
      <c r="BB369">
        <f>MAX(0,ROUND(BB368*(1+'Calc base'!P369),2)-R369)</f>
        <v>0</v>
      </c>
      <c r="BC369">
        <f>MAX(0,ROUND(BC368*(1+'Calc base'!Q369),2)-S369)</f>
        <v>0</v>
      </c>
      <c r="BD369">
        <f>MAX(0,ROUND(BD368*(1+'Calc base'!R369),2)-T369)</f>
        <v>0</v>
      </c>
      <c r="BE369">
        <f>MAX(0,ROUND(BE368*(1+'Calc base'!S369),2)-U369)</f>
        <v>0</v>
      </c>
    </row>
    <row r="370">
      <c r="A370" t="n">
        <v>340</v>
      </c>
      <c r="B370">
        <f>SUMPRODUCT(ROUND($AT369:$BE369*(1+'Calc base'!$H370:$S370),2))</f>
        <v>0</v>
      </c>
      <c r="C370">
        <f>SUM(J370:U370)</f>
        <v>0</v>
      </c>
      <c r="G370">
        <f>SUM(AT370:BE370)</f>
        <v>0</v>
      </c>
      <c r="H370">
        <f>B370-G369</f>
        <v>0</v>
      </c>
      <c r="I370">
        <f>B370-G370</f>
        <v>0</v>
      </c>
      <c r="J370">
        <f>IF(AT369&lt;=0,0,IF(ROUND(AT369*(1+'Calc base'!H370),2)-MAX('Calc base'!C$12,ROUND('Calc base'!C$13*AT369,2))&lt;1,ROUND(AT369*(1+'Calc base'!H370),2),MAX('Calc base'!C$12,ROUND('Calc base'!C$13*AT369,2))))</f>
        <v>0</v>
      </c>
      <c r="K370">
        <f>IF(AU369&lt;=0,0,IF(ROUND(AU369*(1+'Calc base'!I370),2)-MAX('Calc base'!D$12,ROUND('Calc base'!D$13*AU369,2))&lt;1,ROUND(AU369*(1+'Calc base'!I370),2),MAX('Calc base'!D$12,ROUND('Calc base'!D$13*AU369,2))))</f>
        <v>0</v>
      </c>
      <c r="L370">
        <f>IF(AV369&lt;=0,0,IF(ROUND(AV369*(1+'Calc base'!J370),2)-MAX('Calc base'!E$12,ROUND('Calc base'!E$13*AV369,2))&lt;1,ROUND(AV369*(1+'Calc base'!J370),2),MAX('Calc base'!E$12,ROUND('Calc base'!E$13*AV369,2))))</f>
        <v>0</v>
      </c>
      <c r="M370">
        <f>IF(AW369&lt;=0,0,IF(ROUND(AW369*(1+'Calc base'!K370),2)-MAX('Calc base'!F$12,ROUND('Calc base'!F$13*AW369,2))&lt;1,ROUND(AW369*(1+'Calc base'!K370),2),MAX('Calc base'!F$12,ROUND('Calc base'!F$13*AW369,2))))</f>
        <v>0</v>
      </c>
      <c r="N370">
        <f>IF(AX369&lt;=0,0,IF(ROUND(AX369*(1+'Calc base'!L370),2)-MAX('Calc base'!G$12,ROUND('Calc base'!G$13*AX369,2))&lt;1,ROUND(AX369*(1+'Calc base'!L370),2),MAX('Calc base'!G$12,ROUND('Calc base'!G$13*AX369,2))))</f>
        <v>0</v>
      </c>
      <c r="O370">
        <f>IF(AY369&lt;=0,0,IF(ROUND(AY369*(1+'Calc base'!M370),2)-MAX('Calc base'!H$12,ROUND('Calc base'!H$13*AY369,2))&lt;1,ROUND(AY369*(1+'Calc base'!M370),2),MAX('Calc base'!H$12,ROUND('Calc base'!H$13*AY369,2))))</f>
        <v>0</v>
      </c>
      <c r="P370">
        <f>IF(AZ369&lt;=0,0,IF(ROUND(AZ369*(1+'Calc base'!N370),2)-MAX('Calc base'!I$12,ROUND('Calc base'!I$13*AZ369,2))&lt;1,ROUND(AZ369*(1+'Calc base'!N370),2),MAX('Calc base'!I$12,ROUND('Calc base'!I$13*AZ369,2))))</f>
        <v>0</v>
      </c>
      <c r="Q370">
        <f>IF(BA369&lt;=0,0,IF(ROUND(BA369*(1+'Calc base'!O370),2)-MAX('Calc base'!J$12,ROUND('Calc base'!J$13*BA369,2))&lt;1,ROUND(BA369*(1+'Calc base'!O370),2),MAX('Calc base'!J$12,ROUND('Calc base'!J$13*BA369,2))))</f>
        <v>0</v>
      </c>
      <c r="R370">
        <f>IF(BB369&lt;=0,0,IF(ROUND(BB369*(1+'Calc base'!P370),2)-MAX('Calc base'!K$12,ROUND('Calc base'!K$13*BB369,2))&lt;1,ROUND(BB369*(1+'Calc base'!P370),2),MAX('Calc base'!K$12,ROUND('Calc base'!K$13*BB369,2))))</f>
        <v>0</v>
      </c>
      <c r="S370">
        <f>IF(BC369&lt;=0,0,IF(ROUND(BC369*(1+'Calc base'!Q370),2)-MAX('Calc base'!L$12,ROUND('Calc base'!L$13*BC369,2))&lt;1,ROUND(BC369*(1+'Calc base'!Q370),2),MAX('Calc base'!L$12,ROUND('Calc base'!L$13*BC369,2))))</f>
        <v>0</v>
      </c>
      <c r="T370">
        <f>IF(BD369&lt;=0,0,IF(ROUND(BD369*(1+'Calc base'!R370),2)-MAX('Calc base'!M$12,ROUND('Calc base'!M$13*BD369,2))&lt;1,ROUND(BD369*(1+'Calc base'!R370),2),MAX('Calc base'!M$12,ROUND('Calc base'!M$13*BD369,2))))</f>
        <v>0</v>
      </c>
      <c r="U370">
        <f>IF(BE369&lt;=0,0,IF(ROUND(BE369*(1+'Calc base'!S370),2)-MAX('Calc base'!N$12,ROUND('Calc base'!N$13*BE369,2))&lt;1,ROUND(BE369*(1+'Calc base'!S370),2),MAX('Calc base'!N$12,ROUND('Calc base'!N$13*BE369,2))))</f>
        <v>0</v>
      </c>
      <c r="AT370">
        <f>MAX(0,ROUND(AT369*(1+'Calc base'!H370),2)-J370)</f>
        <v>0</v>
      </c>
      <c r="AU370">
        <f>MAX(0,ROUND(AU369*(1+'Calc base'!I370),2)-K370)</f>
        <v>0</v>
      </c>
      <c r="AV370">
        <f>MAX(0,ROUND(AV369*(1+'Calc base'!J370),2)-L370)</f>
        <v>0</v>
      </c>
      <c r="AW370">
        <f>MAX(0,ROUND(AW369*(1+'Calc base'!K370),2)-M370)</f>
        <v>0</v>
      </c>
      <c r="AX370">
        <f>MAX(0,ROUND(AX369*(1+'Calc base'!L370),2)-N370)</f>
        <v>0</v>
      </c>
      <c r="AY370">
        <f>MAX(0,ROUND(AY369*(1+'Calc base'!M370),2)-O370)</f>
        <v>0</v>
      </c>
      <c r="AZ370">
        <f>MAX(0,ROUND(AZ369*(1+'Calc base'!N370),2)-P370)</f>
        <v>0</v>
      </c>
      <c r="BA370">
        <f>MAX(0,ROUND(BA369*(1+'Calc base'!O370),2)-Q370)</f>
        <v>0</v>
      </c>
      <c r="BB370">
        <f>MAX(0,ROUND(BB369*(1+'Calc base'!P370),2)-R370)</f>
        <v>0</v>
      </c>
      <c r="BC370">
        <f>MAX(0,ROUND(BC369*(1+'Calc base'!Q370),2)-S370)</f>
        <v>0</v>
      </c>
      <c r="BD370">
        <f>MAX(0,ROUND(BD369*(1+'Calc base'!R370),2)-T370)</f>
        <v>0</v>
      </c>
      <c r="BE370">
        <f>MAX(0,ROUND(BE369*(1+'Calc base'!S370),2)-U370)</f>
        <v>0</v>
      </c>
    </row>
    <row r="371">
      <c r="A371" t="n">
        <v>341</v>
      </c>
      <c r="B371">
        <f>SUMPRODUCT(ROUND($AT370:$BE370*(1+'Calc base'!$H371:$S371),2))</f>
        <v>0</v>
      </c>
      <c r="C371">
        <f>SUM(J371:U371)</f>
        <v>0</v>
      </c>
      <c r="G371">
        <f>SUM(AT371:BE371)</f>
        <v>0</v>
      </c>
      <c r="H371">
        <f>B371-G370</f>
        <v>0</v>
      </c>
      <c r="I371">
        <f>B371-G371</f>
        <v>0</v>
      </c>
      <c r="J371">
        <f>IF(AT370&lt;=0,0,IF(ROUND(AT370*(1+'Calc base'!H371),2)-MAX('Calc base'!C$12,ROUND('Calc base'!C$13*AT370,2))&lt;1,ROUND(AT370*(1+'Calc base'!H371),2),MAX('Calc base'!C$12,ROUND('Calc base'!C$13*AT370,2))))</f>
        <v>0</v>
      </c>
      <c r="K371">
        <f>IF(AU370&lt;=0,0,IF(ROUND(AU370*(1+'Calc base'!I371),2)-MAX('Calc base'!D$12,ROUND('Calc base'!D$13*AU370,2))&lt;1,ROUND(AU370*(1+'Calc base'!I371),2),MAX('Calc base'!D$12,ROUND('Calc base'!D$13*AU370,2))))</f>
        <v>0</v>
      </c>
      <c r="L371">
        <f>IF(AV370&lt;=0,0,IF(ROUND(AV370*(1+'Calc base'!J371),2)-MAX('Calc base'!E$12,ROUND('Calc base'!E$13*AV370,2))&lt;1,ROUND(AV370*(1+'Calc base'!J371),2),MAX('Calc base'!E$12,ROUND('Calc base'!E$13*AV370,2))))</f>
        <v>0</v>
      </c>
      <c r="M371">
        <f>IF(AW370&lt;=0,0,IF(ROUND(AW370*(1+'Calc base'!K371),2)-MAX('Calc base'!F$12,ROUND('Calc base'!F$13*AW370,2))&lt;1,ROUND(AW370*(1+'Calc base'!K371),2),MAX('Calc base'!F$12,ROUND('Calc base'!F$13*AW370,2))))</f>
        <v>0</v>
      </c>
      <c r="N371">
        <f>IF(AX370&lt;=0,0,IF(ROUND(AX370*(1+'Calc base'!L371),2)-MAX('Calc base'!G$12,ROUND('Calc base'!G$13*AX370,2))&lt;1,ROUND(AX370*(1+'Calc base'!L371),2),MAX('Calc base'!G$12,ROUND('Calc base'!G$13*AX370,2))))</f>
        <v>0</v>
      </c>
      <c r="O371">
        <f>IF(AY370&lt;=0,0,IF(ROUND(AY370*(1+'Calc base'!M371),2)-MAX('Calc base'!H$12,ROUND('Calc base'!H$13*AY370,2))&lt;1,ROUND(AY370*(1+'Calc base'!M371),2),MAX('Calc base'!H$12,ROUND('Calc base'!H$13*AY370,2))))</f>
        <v>0</v>
      </c>
      <c r="P371">
        <f>IF(AZ370&lt;=0,0,IF(ROUND(AZ370*(1+'Calc base'!N371),2)-MAX('Calc base'!I$12,ROUND('Calc base'!I$13*AZ370,2))&lt;1,ROUND(AZ370*(1+'Calc base'!N371),2),MAX('Calc base'!I$12,ROUND('Calc base'!I$13*AZ370,2))))</f>
        <v>0</v>
      </c>
      <c r="Q371">
        <f>IF(BA370&lt;=0,0,IF(ROUND(BA370*(1+'Calc base'!O371),2)-MAX('Calc base'!J$12,ROUND('Calc base'!J$13*BA370,2))&lt;1,ROUND(BA370*(1+'Calc base'!O371),2),MAX('Calc base'!J$12,ROUND('Calc base'!J$13*BA370,2))))</f>
        <v>0</v>
      </c>
      <c r="R371">
        <f>IF(BB370&lt;=0,0,IF(ROUND(BB370*(1+'Calc base'!P371),2)-MAX('Calc base'!K$12,ROUND('Calc base'!K$13*BB370,2))&lt;1,ROUND(BB370*(1+'Calc base'!P371),2),MAX('Calc base'!K$12,ROUND('Calc base'!K$13*BB370,2))))</f>
        <v>0</v>
      </c>
      <c r="S371">
        <f>IF(BC370&lt;=0,0,IF(ROUND(BC370*(1+'Calc base'!Q371),2)-MAX('Calc base'!L$12,ROUND('Calc base'!L$13*BC370,2))&lt;1,ROUND(BC370*(1+'Calc base'!Q371),2),MAX('Calc base'!L$12,ROUND('Calc base'!L$13*BC370,2))))</f>
        <v>0</v>
      </c>
      <c r="T371">
        <f>IF(BD370&lt;=0,0,IF(ROUND(BD370*(1+'Calc base'!R371),2)-MAX('Calc base'!M$12,ROUND('Calc base'!M$13*BD370,2))&lt;1,ROUND(BD370*(1+'Calc base'!R371),2),MAX('Calc base'!M$12,ROUND('Calc base'!M$13*BD370,2))))</f>
        <v>0</v>
      </c>
      <c r="U371">
        <f>IF(BE370&lt;=0,0,IF(ROUND(BE370*(1+'Calc base'!S371),2)-MAX('Calc base'!N$12,ROUND('Calc base'!N$13*BE370,2))&lt;1,ROUND(BE370*(1+'Calc base'!S371),2),MAX('Calc base'!N$12,ROUND('Calc base'!N$13*BE370,2))))</f>
        <v>0</v>
      </c>
      <c r="AT371">
        <f>MAX(0,ROUND(AT370*(1+'Calc base'!H371),2)-J371)</f>
        <v>0</v>
      </c>
      <c r="AU371">
        <f>MAX(0,ROUND(AU370*(1+'Calc base'!I371),2)-K371)</f>
        <v>0</v>
      </c>
      <c r="AV371">
        <f>MAX(0,ROUND(AV370*(1+'Calc base'!J371),2)-L371)</f>
        <v>0</v>
      </c>
      <c r="AW371">
        <f>MAX(0,ROUND(AW370*(1+'Calc base'!K371),2)-M371)</f>
        <v>0</v>
      </c>
      <c r="AX371">
        <f>MAX(0,ROUND(AX370*(1+'Calc base'!L371),2)-N371)</f>
        <v>0</v>
      </c>
      <c r="AY371">
        <f>MAX(0,ROUND(AY370*(1+'Calc base'!M371),2)-O371)</f>
        <v>0</v>
      </c>
      <c r="AZ371">
        <f>MAX(0,ROUND(AZ370*(1+'Calc base'!N371),2)-P371)</f>
        <v>0</v>
      </c>
      <c r="BA371">
        <f>MAX(0,ROUND(BA370*(1+'Calc base'!O371),2)-Q371)</f>
        <v>0</v>
      </c>
      <c r="BB371">
        <f>MAX(0,ROUND(BB370*(1+'Calc base'!P371),2)-R371)</f>
        <v>0</v>
      </c>
      <c r="BC371">
        <f>MAX(0,ROUND(BC370*(1+'Calc base'!Q371),2)-S371)</f>
        <v>0</v>
      </c>
      <c r="BD371">
        <f>MAX(0,ROUND(BD370*(1+'Calc base'!R371),2)-T371)</f>
        <v>0</v>
      </c>
      <c r="BE371">
        <f>MAX(0,ROUND(BE370*(1+'Calc base'!S371),2)-U371)</f>
        <v>0</v>
      </c>
    </row>
    <row r="372">
      <c r="A372" t="n">
        <v>342</v>
      </c>
      <c r="B372">
        <f>SUMPRODUCT(ROUND($AT371:$BE371*(1+'Calc base'!$H372:$S372),2))</f>
        <v>0</v>
      </c>
      <c r="C372">
        <f>SUM(J372:U372)</f>
        <v>0</v>
      </c>
      <c r="G372">
        <f>SUM(AT372:BE372)</f>
        <v>0</v>
      </c>
      <c r="H372">
        <f>B372-G371</f>
        <v>0</v>
      </c>
      <c r="I372">
        <f>B372-G372</f>
        <v>0</v>
      </c>
      <c r="J372">
        <f>IF(AT371&lt;=0,0,IF(ROUND(AT371*(1+'Calc base'!H372),2)-MAX('Calc base'!C$12,ROUND('Calc base'!C$13*AT371,2))&lt;1,ROUND(AT371*(1+'Calc base'!H372),2),MAX('Calc base'!C$12,ROUND('Calc base'!C$13*AT371,2))))</f>
        <v>0</v>
      </c>
      <c r="K372">
        <f>IF(AU371&lt;=0,0,IF(ROUND(AU371*(1+'Calc base'!I372),2)-MAX('Calc base'!D$12,ROUND('Calc base'!D$13*AU371,2))&lt;1,ROUND(AU371*(1+'Calc base'!I372),2),MAX('Calc base'!D$12,ROUND('Calc base'!D$13*AU371,2))))</f>
        <v>0</v>
      </c>
      <c r="L372">
        <f>IF(AV371&lt;=0,0,IF(ROUND(AV371*(1+'Calc base'!J372),2)-MAX('Calc base'!E$12,ROUND('Calc base'!E$13*AV371,2))&lt;1,ROUND(AV371*(1+'Calc base'!J372),2),MAX('Calc base'!E$12,ROUND('Calc base'!E$13*AV371,2))))</f>
        <v>0</v>
      </c>
      <c r="M372">
        <f>IF(AW371&lt;=0,0,IF(ROUND(AW371*(1+'Calc base'!K372),2)-MAX('Calc base'!F$12,ROUND('Calc base'!F$13*AW371,2))&lt;1,ROUND(AW371*(1+'Calc base'!K372),2),MAX('Calc base'!F$12,ROUND('Calc base'!F$13*AW371,2))))</f>
        <v>0</v>
      </c>
      <c r="N372">
        <f>IF(AX371&lt;=0,0,IF(ROUND(AX371*(1+'Calc base'!L372),2)-MAX('Calc base'!G$12,ROUND('Calc base'!G$13*AX371,2))&lt;1,ROUND(AX371*(1+'Calc base'!L372),2),MAX('Calc base'!G$12,ROUND('Calc base'!G$13*AX371,2))))</f>
        <v>0</v>
      </c>
      <c r="O372">
        <f>IF(AY371&lt;=0,0,IF(ROUND(AY371*(1+'Calc base'!M372),2)-MAX('Calc base'!H$12,ROUND('Calc base'!H$13*AY371,2))&lt;1,ROUND(AY371*(1+'Calc base'!M372),2),MAX('Calc base'!H$12,ROUND('Calc base'!H$13*AY371,2))))</f>
        <v>0</v>
      </c>
      <c r="P372">
        <f>IF(AZ371&lt;=0,0,IF(ROUND(AZ371*(1+'Calc base'!N372),2)-MAX('Calc base'!I$12,ROUND('Calc base'!I$13*AZ371,2))&lt;1,ROUND(AZ371*(1+'Calc base'!N372),2),MAX('Calc base'!I$12,ROUND('Calc base'!I$13*AZ371,2))))</f>
        <v>0</v>
      </c>
      <c r="Q372">
        <f>IF(BA371&lt;=0,0,IF(ROUND(BA371*(1+'Calc base'!O372),2)-MAX('Calc base'!J$12,ROUND('Calc base'!J$13*BA371,2))&lt;1,ROUND(BA371*(1+'Calc base'!O372),2),MAX('Calc base'!J$12,ROUND('Calc base'!J$13*BA371,2))))</f>
        <v>0</v>
      </c>
      <c r="R372">
        <f>IF(BB371&lt;=0,0,IF(ROUND(BB371*(1+'Calc base'!P372),2)-MAX('Calc base'!K$12,ROUND('Calc base'!K$13*BB371,2))&lt;1,ROUND(BB371*(1+'Calc base'!P372),2),MAX('Calc base'!K$12,ROUND('Calc base'!K$13*BB371,2))))</f>
        <v>0</v>
      </c>
      <c r="S372">
        <f>IF(BC371&lt;=0,0,IF(ROUND(BC371*(1+'Calc base'!Q372),2)-MAX('Calc base'!L$12,ROUND('Calc base'!L$13*BC371,2))&lt;1,ROUND(BC371*(1+'Calc base'!Q372),2),MAX('Calc base'!L$12,ROUND('Calc base'!L$13*BC371,2))))</f>
        <v>0</v>
      </c>
      <c r="T372">
        <f>IF(BD371&lt;=0,0,IF(ROUND(BD371*(1+'Calc base'!R372),2)-MAX('Calc base'!M$12,ROUND('Calc base'!M$13*BD371,2))&lt;1,ROUND(BD371*(1+'Calc base'!R372),2),MAX('Calc base'!M$12,ROUND('Calc base'!M$13*BD371,2))))</f>
        <v>0</v>
      </c>
      <c r="U372">
        <f>IF(BE371&lt;=0,0,IF(ROUND(BE371*(1+'Calc base'!S372),2)-MAX('Calc base'!N$12,ROUND('Calc base'!N$13*BE371,2))&lt;1,ROUND(BE371*(1+'Calc base'!S372),2),MAX('Calc base'!N$12,ROUND('Calc base'!N$13*BE371,2))))</f>
        <v>0</v>
      </c>
      <c r="AT372">
        <f>MAX(0,ROUND(AT371*(1+'Calc base'!H372),2)-J372)</f>
        <v>0</v>
      </c>
      <c r="AU372">
        <f>MAX(0,ROUND(AU371*(1+'Calc base'!I372),2)-K372)</f>
        <v>0</v>
      </c>
      <c r="AV372">
        <f>MAX(0,ROUND(AV371*(1+'Calc base'!J372),2)-L372)</f>
        <v>0</v>
      </c>
      <c r="AW372">
        <f>MAX(0,ROUND(AW371*(1+'Calc base'!K372),2)-M372)</f>
        <v>0</v>
      </c>
      <c r="AX372">
        <f>MAX(0,ROUND(AX371*(1+'Calc base'!L372),2)-N372)</f>
        <v>0</v>
      </c>
      <c r="AY372">
        <f>MAX(0,ROUND(AY371*(1+'Calc base'!M372),2)-O372)</f>
        <v>0</v>
      </c>
      <c r="AZ372">
        <f>MAX(0,ROUND(AZ371*(1+'Calc base'!N372),2)-P372)</f>
        <v>0</v>
      </c>
      <c r="BA372">
        <f>MAX(0,ROUND(BA371*(1+'Calc base'!O372),2)-Q372)</f>
        <v>0</v>
      </c>
      <c r="BB372">
        <f>MAX(0,ROUND(BB371*(1+'Calc base'!P372),2)-R372)</f>
        <v>0</v>
      </c>
      <c r="BC372">
        <f>MAX(0,ROUND(BC371*(1+'Calc base'!Q372),2)-S372)</f>
        <v>0</v>
      </c>
      <c r="BD372">
        <f>MAX(0,ROUND(BD371*(1+'Calc base'!R372),2)-T372)</f>
        <v>0</v>
      </c>
      <c r="BE372">
        <f>MAX(0,ROUND(BE371*(1+'Calc base'!S372),2)-U372)</f>
        <v>0</v>
      </c>
    </row>
    <row r="373">
      <c r="A373" t="n">
        <v>343</v>
      </c>
      <c r="B373">
        <f>SUMPRODUCT(ROUND($AT372:$BE372*(1+'Calc base'!$H373:$S373),2))</f>
        <v>0</v>
      </c>
      <c r="C373">
        <f>SUM(J373:U373)</f>
        <v>0</v>
      </c>
      <c r="G373">
        <f>SUM(AT373:BE373)</f>
        <v>0</v>
      </c>
      <c r="H373">
        <f>B373-G372</f>
        <v>0</v>
      </c>
      <c r="I373">
        <f>B373-G373</f>
        <v>0</v>
      </c>
      <c r="J373">
        <f>IF(AT372&lt;=0,0,IF(ROUND(AT372*(1+'Calc base'!H373),2)-MAX('Calc base'!C$12,ROUND('Calc base'!C$13*AT372,2))&lt;1,ROUND(AT372*(1+'Calc base'!H373),2),MAX('Calc base'!C$12,ROUND('Calc base'!C$13*AT372,2))))</f>
        <v>0</v>
      </c>
      <c r="K373">
        <f>IF(AU372&lt;=0,0,IF(ROUND(AU372*(1+'Calc base'!I373),2)-MAX('Calc base'!D$12,ROUND('Calc base'!D$13*AU372,2))&lt;1,ROUND(AU372*(1+'Calc base'!I373),2),MAX('Calc base'!D$12,ROUND('Calc base'!D$13*AU372,2))))</f>
        <v>0</v>
      </c>
      <c r="L373">
        <f>IF(AV372&lt;=0,0,IF(ROUND(AV372*(1+'Calc base'!J373),2)-MAX('Calc base'!E$12,ROUND('Calc base'!E$13*AV372,2))&lt;1,ROUND(AV372*(1+'Calc base'!J373),2),MAX('Calc base'!E$12,ROUND('Calc base'!E$13*AV372,2))))</f>
        <v>0</v>
      </c>
      <c r="M373">
        <f>IF(AW372&lt;=0,0,IF(ROUND(AW372*(1+'Calc base'!K373),2)-MAX('Calc base'!F$12,ROUND('Calc base'!F$13*AW372,2))&lt;1,ROUND(AW372*(1+'Calc base'!K373),2),MAX('Calc base'!F$12,ROUND('Calc base'!F$13*AW372,2))))</f>
        <v>0</v>
      </c>
      <c r="N373">
        <f>IF(AX372&lt;=0,0,IF(ROUND(AX372*(1+'Calc base'!L373),2)-MAX('Calc base'!G$12,ROUND('Calc base'!G$13*AX372,2))&lt;1,ROUND(AX372*(1+'Calc base'!L373),2),MAX('Calc base'!G$12,ROUND('Calc base'!G$13*AX372,2))))</f>
        <v>0</v>
      </c>
      <c r="O373">
        <f>IF(AY372&lt;=0,0,IF(ROUND(AY372*(1+'Calc base'!M373),2)-MAX('Calc base'!H$12,ROUND('Calc base'!H$13*AY372,2))&lt;1,ROUND(AY372*(1+'Calc base'!M373),2),MAX('Calc base'!H$12,ROUND('Calc base'!H$13*AY372,2))))</f>
        <v>0</v>
      </c>
      <c r="P373">
        <f>IF(AZ372&lt;=0,0,IF(ROUND(AZ372*(1+'Calc base'!N373),2)-MAX('Calc base'!I$12,ROUND('Calc base'!I$13*AZ372,2))&lt;1,ROUND(AZ372*(1+'Calc base'!N373),2),MAX('Calc base'!I$12,ROUND('Calc base'!I$13*AZ372,2))))</f>
        <v>0</v>
      </c>
      <c r="Q373">
        <f>IF(BA372&lt;=0,0,IF(ROUND(BA372*(1+'Calc base'!O373),2)-MAX('Calc base'!J$12,ROUND('Calc base'!J$13*BA372,2))&lt;1,ROUND(BA372*(1+'Calc base'!O373),2),MAX('Calc base'!J$12,ROUND('Calc base'!J$13*BA372,2))))</f>
        <v>0</v>
      </c>
      <c r="R373">
        <f>IF(BB372&lt;=0,0,IF(ROUND(BB372*(1+'Calc base'!P373),2)-MAX('Calc base'!K$12,ROUND('Calc base'!K$13*BB372,2))&lt;1,ROUND(BB372*(1+'Calc base'!P373),2),MAX('Calc base'!K$12,ROUND('Calc base'!K$13*BB372,2))))</f>
        <v>0</v>
      </c>
      <c r="S373">
        <f>IF(BC372&lt;=0,0,IF(ROUND(BC372*(1+'Calc base'!Q373),2)-MAX('Calc base'!L$12,ROUND('Calc base'!L$13*BC372,2))&lt;1,ROUND(BC372*(1+'Calc base'!Q373),2),MAX('Calc base'!L$12,ROUND('Calc base'!L$13*BC372,2))))</f>
        <v>0</v>
      </c>
      <c r="T373">
        <f>IF(BD372&lt;=0,0,IF(ROUND(BD372*(1+'Calc base'!R373),2)-MAX('Calc base'!M$12,ROUND('Calc base'!M$13*BD372,2))&lt;1,ROUND(BD372*(1+'Calc base'!R373),2),MAX('Calc base'!M$12,ROUND('Calc base'!M$13*BD372,2))))</f>
        <v>0</v>
      </c>
      <c r="U373">
        <f>IF(BE372&lt;=0,0,IF(ROUND(BE372*(1+'Calc base'!S373),2)-MAX('Calc base'!N$12,ROUND('Calc base'!N$13*BE372,2))&lt;1,ROUND(BE372*(1+'Calc base'!S373),2),MAX('Calc base'!N$12,ROUND('Calc base'!N$13*BE372,2))))</f>
        <v>0</v>
      </c>
      <c r="AT373">
        <f>MAX(0,ROUND(AT372*(1+'Calc base'!H373),2)-J373)</f>
        <v>0</v>
      </c>
      <c r="AU373">
        <f>MAX(0,ROUND(AU372*(1+'Calc base'!I373),2)-K373)</f>
        <v>0</v>
      </c>
      <c r="AV373">
        <f>MAX(0,ROUND(AV372*(1+'Calc base'!J373),2)-L373)</f>
        <v>0</v>
      </c>
      <c r="AW373">
        <f>MAX(0,ROUND(AW372*(1+'Calc base'!K373),2)-M373)</f>
        <v>0</v>
      </c>
      <c r="AX373">
        <f>MAX(0,ROUND(AX372*(1+'Calc base'!L373),2)-N373)</f>
        <v>0</v>
      </c>
      <c r="AY373">
        <f>MAX(0,ROUND(AY372*(1+'Calc base'!M373),2)-O373)</f>
        <v>0</v>
      </c>
      <c r="AZ373">
        <f>MAX(0,ROUND(AZ372*(1+'Calc base'!N373),2)-P373)</f>
        <v>0</v>
      </c>
      <c r="BA373">
        <f>MAX(0,ROUND(BA372*(1+'Calc base'!O373),2)-Q373)</f>
        <v>0</v>
      </c>
      <c r="BB373">
        <f>MAX(0,ROUND(BB372*(1+'Calc base'!P373),2)-R373)</f>
        <v>0</v>
      </c>
      <c r="BC373">
        <f>MAX(0,ROUND(BC372*(1+'Calc base'!Q373),2)-S373)</f>
        <v>0</v>
      </c>
      <c r="BD373">
        <f>MAX(0,ROUND(BD372*(1+'Calc base'!R373),2)-T373)</f>
        <v>0</v>
      </c>
      <c r="BE373">
        <f>MAX(0,ROUND(BE372*(1+'Calc base'!S373),2)-U373)</f>
        <v>0</v>
      </c>
    </row>
    <row r="374">
      <c r="A374" t="n">
        <v>344</v>
      </c>
      <c r="B374">
        <f>SUMPRODUCT(ROUND($AT373:$BE373*(1+'Calc base'!$H374:$S374),2))</f>
        <v>0</v>
      </c>
      <c r="C374">
        <f>SUM(J374:U374)</f>
        <v>0</v>
      </c>
      <c r="G374">
        <f>SUM(AT374:BE374)</f>
        <v>0</v>
      </c>
      <c r="H374">
        <f>B374-G373</f>
        <v>0</v>
      </c>
      <c r="I374">
        <f>B374-G374</f>
        <v>0</v>
      </c>
      <c r="J374">
        <f>IF(AT373&lt;=0,0,IF(ROUND(AT373*(1+'Calc base'!H374),2)-MAX('Calc base'!C$12,ROUND('Calc base'!C$13*AT373,2))&lt;1,ROUND(AT373*(1+'Calc base'!H374),2),MAX('Calc base'!C$12,ROUND('Calc base'!C$13*AT373,2))))</f>
        <v>0</v>
      </c>
      <c r="K374">
        <f>IF(AU373&lt;=0,0,IF(ROUND(AU373*(1+'Calc base'!I374),2)-MAX('Calc base'!D$12,ROUND('Calc base'!D$13*AU373,2))&lt;1,ROUND(AU373*(1+'Calc base'!I374),2),MAX('Calc base'!D$12,ROUND('Calc base'!D$13*AU373,2))))</f>
        <v>0</v>
      </c>
      <c r="L374">
        <f>IF(AV373&lt;=0,0,IF(ROUND(AV373*(1+'Calc base'!J374),2)-MAX('Calc base'!E$12,ROUND('Calc base'!E$13*AV373,2))&lt;1,ROUND(AV373*(1+'Calc base'!J374),2),MAX('Calc base'!E$12,ROUND('Calc base'!E$13*AV373,2))))</f>
        <v>0</v>
      </c>
      <c r="M374">
        <f>IF(AW373&lt;=0,0,IF(ROUND(AW373*(1+'Calc base'!K374),2)-MAX('Calc base'!F$12,ROUND('Calc base'!F$13*AW373,2))&lt;1,ROUND(AW373*(1+'Calc base'!K374),2),MAX('Calc base'!F$12,ROUND('Calc base'!F$13*AW373,2))))</f>
        <v>0</v>
      </c>
      <c r="N374">
        <f>IF(AX373&lt;=0,0,IF(ROUND(AX373*(1+'Calc base'!L374),2)-MAX('Calc base'!G$12,ROUND('Calc base'!G$13*AX373,2))&lt;1,ROUND(AX373*(1+'Calc base'!L374),2),MAX('Calc base'!G$12,ROUND('Calc base'!G$13*AX373,2))))</f>
        <v>0</v>
      </c>
      <c r="O374">
        <f>IF(AY373&lt;=0,0,IF(ROUND(AY373*(1+'Calc base'!M374),2)-MAX('Calc base'!H$12,ROUND('Calc base'!H$13*AY373,2))&lt;1,ROUND(AY373*(1+'Calc base'!M374),2),MAX('Calc base'!H$12,ROUND('Calc base'!H$13*AY373,2))))</f>
        <v>0</v>
      </c>
      <c r="P374">
        <f>IF(AZ373&lt;=0,0,IF(ROUND(AZ373*(1+'Calc base'!N374),2)-MAX('Calc base'!I$12,ROUND('Calc base'!I$13*AZ373,2))&lt;1,ROUND(AZ373*(1+'Calc base'!N374),2),MAX('Calc base'!I$12,ROUND('Calc base'!I$13*AZ373,2))))</f>
        <v>0</v>
      </c>
      <c r="Q374">
        <f>IF(BA373&lt;=0,0,IF(ROUND(BA373*(1+'Calc base'!O374),2)-MAX('Calc base'!J$12,ROUND('Calc base'!J$13*BA373,2))&lt;1,ROUND(BA373*(1+'Calc base'!O374),2),MAX('Calc base'!J$12,ROUND('Calc base'!J$13*BA373,2))))</f>
        <v>0</v>
      </c>
      <c r="R374">
        <f>IF(BB373&lt;=0,0,IF(ROUND(BB373*(1+'Calc base'!P374),2)-MAX('Calc base'!K$12,ROUND('Calc base'!K$13*BB373,2))&lt;1,ROUND(BB373*(1+'Calc base'!P374),2),MAX('Calc base'!K$12,ROUND('Calc base'!K$13*BB373,2))))</f>
        <v>0</v>
      </c>
      <c r="S374">
        <f>IF(BC373&lt;=0,0,IF(ROUND(BC373*(1+'Calc base'!Q374),2)-MAX('Calc base'!L$12,ROUND('Calc base'!L$13*BC373,2))&lt;1,ROUND(BC373*(1+'Calc base'!Q374),2),MAX('Calc base'!L$12,ROUND('Calc base'!L$13*BC373,2))))</f>
        <v>0</v>
      </c>
      <c r="T374">
        <f>IF(BD373&lt;=0,0,IF(ROUND(BD373*(1+'Calc base'!R374),2)-MAX('Calc base'!M$12,ROUND('Calc base'!M$13*BD373,2))&lt;1,ROUND(BD373*(1+'Calc base'!R374),2),MAX('Calc base'!M$12,ROUND('Calc base'!M$13*BD373,2))))</f>
        <v>0</v>
      </c>
      <c r="U374">
        <f>IF(BE373&lt;=0,0,IF(ROUND(BE373*(1+'Calc base'!S374),2)-MAX('Calc base'!N$12,ROUND('Calc base'!N$13*BE373,2))&lt;1,ROUND(BE373*(1+'Calc base'!S374),2),MAX('Calc base'!N$12,ROUND('Calc base'!N$13*BE373,2))))</f>
        <v>0</v>
      </c>
      <c r="AT374">
        <f>MAX(0,ROUND(AT373*(1+'Calc base'!H374),2)-J374)</f>
        <v>0</v>
      </c>
      <c r="AU374">
        <f>MAX(0,ROUND(AU373*(1+'Calc base'!I374),2)-K374)</f>
        <v>0</v>
      </c>
      <c r="AV374">
        <f>MAX(0,ROUND(AV373*(1+'Calc base'!J374),2)-L374)</f>
        <v>0</v>
      </c>
      <c r="AW374">
        <f>MAX(0,ROUND(AW373*(1+'Calc base'!K374),2)-M374)</f>
        <v>0</v>
      </c>
      <c r="AX374">
        <f>MAX(0,ROUND(AX373*(1+'Calc base'!L374),2)-N374)</f>
        <v>0</v>
      </c>
      <c r="AY374">
        <f>MAX(0,ROUND(AY373*(1+'Calc base'!M374),2)-O374)</f>
        <v>0</v>
      </c>
      <c r="AZ374">
        <f>MAX(0,ROUND(AZ373*(1+'Calc base'!N374),2)-P374)</f>
        <v>0</v>
      </c>
      <c r="BA374">
        <f>MAX(0,ROUND(BA373*(1+'Calc base'!O374),2)-Q374)</f>
        <v>0</v>
      </c>
      <c r="BB374">
        <f>MAX(0,ROUND(BB373*(1+'Calc base'!P374),2)-R374)</f>
        <v>0</v>
      </c>
      <c r="BC374">
        <f>MAX(0,ROUND(BC373*(1+'Calc base'!Q374),2)-S374)</f>
        <v>0</v>
      </c>
      <c r="BD374">
        <f>MAX(0,ROUND(BD373*(1+'Calc base'!R374),2)-T374)</f>
        <v>0</v>
      </c>
      <c r="BE374">
        <f>MAX(0,ROUND(BE373*(1+'Calc base'!S374),2)-U374)</f>
        <v>0</v>
      </c>
    </row>
    <row r="375">
      <c r="A375" t="n">
        <v>345</v>
      </c>
      <c r="B375">
        <f>SUMPRODUCT(ROUND($AT374:$BE374*(1+'Calc base'!$H375:$S375),2))</f>
        <v>0</v>
      </c>
      <c r="C375">
        <f>SUM(J375:U375)</f>
        <v>0</v>
      </c>
      <c r="G375">
        <f>SUM(AT375:BE375)</f>
        <v>0</v>
      </c>
      <c r="H375">
        <f>B375-G374</f>
        <v>0</v>
      </c>
      <c r="I375">
        <f>B375-G375</f>
        <v>0</v>
      </c>
      <c r="J375">
        <f>IF(AT374&lt;=0,0,IF(ROUND(AT374*(1+'Calc base'!H375),2)-MAX('Calc base'!C$12,ROUND('Calc base'!C$13*AT374,2))&lt;1,ROUND(AT374*(1+'Calc base'!H375),2),MAX('Calc base'!C$12,ROUND('Calc base'!C$13*AT374,2))))</f>
        <v>0</v>
      </c>
      <c r="K375">
        <f>IF(AU374&lt;=0,0,IF(ROUND(AU374*(1+'Calc base'!I375),2)-MAX('Calc base'!D$12,ROUND('Calc base'!D$13*AU374,2))&lt;1,ROUND(AU374*(1+'Calc base'!I375),2),MAX('Calc base'!D$12,ROUND('Calc base'!D$13*AU374,2))))</f>
        <v>0</v>
      </c>
      <c r="L375">
        <f>IF(AV374&lt;=0,0,IF(ROUND(AV374*(1+'Calc base'!J375),2)-MAX('Calc base'!E$12,ROUND('Calc base'!E$13*AV374,2))&lt;1,ROUND(AV374*(1+'Calc base'!J375),2),MAX('Calc base'!E$12,ROUND('Calc base'!E$13*AV374,2))))</f>
        <v>0</v>
      </c>
      <c r="M375">
        <f>IF(AW374&lt;=0,0,IF(ROUND(AW374*(1+'Calc base'!K375),2)-MAX('Calc base'!F$12,ROUND('Calc base'!F$13*AW374,2))&lt;1,ROUND(AW374*(1+'Calc base'!K375),2),MAX('Calc base'!F$12,ROUND('Calc base'!F$13*AW374,2))))</f>
        <v>0</v>
      </c>
      <c r="N375">
        <f>IF(AX374&lt;=0,0,IF(ROUND(AX374*(1+'Calc base'!L375),2)-MAX('Calc base'!G$12,ROUND('Calc base'!G$13*AX374,2))&lt;1,ROUND(AX374*(1+'Calc base'!L375),2),MAX('Calc base'!G$12,ROUND('Calc base'!G$13*AX374,2))))</f>
        <v>0</v>
      </c>
      <c r="O375">
        <f>IF(AY374&lt;=0,0,IF(ROUND(AY374*(1+'Calc base'!M375),2)-MAX('Calc base'!H$12,ROUND('Calc base'!H$13*AY374,2))&lt;1,ROUND(AY374*(1+'Calc base'!M375),2),MAX('Calc base'!H$12,ROUND('Calc base'!H$13*AY374,2))))</f>
        <v>0</v>
      </c>
      <c r="P375">
        <f>IF(AZ374&lt;=0,0,IF(ROUND(AZ374*(1+'Calc base'!N375),2)-MAX('Calc base'!I$12,ROUND('Calc base'!I$13*AZ374,2))&lt;1,ROUND(AZ374*(1+'Calc base'!N375),2),MAX('Calc base'!I$12,ROUND('Calc base'!I$13*AZ374,2))))</f>
        <v>0</v>
      </c>
      <c r="Q375">
        <f>IF(BA374&lt;=0,0,IF(ROUND(BA374*(1+'Calc base'!O375),2)-MAX('Calc base'!J$12,ROUND('Calc base'!J$13*BA374,2))&lt;1,ROUND(BA374*(1+'Calc base'!O375),2),MAX('Calc base'!J$12,ROUND('Calc base'!J$13*BA374,2))))</f>
        <v>0</v>
      </c>
      <c r="R375">
        <f>IF(BB374&lt;=0,0,IF(ROUND(BB374*(1+'Calc base'!P375),2)-MAX('Calc base'!K$12,ROUND('Calc base'!K$13*BB374,2))&lt;1,ROUND(BB374*(1+'Calc base'!P375),2),MAX('Calc base'!K$12,ROUND('Calc base'!K$13*BB374,2))))</f>
        <v>0</v>
      </c>
      <c r="S375">
        <f>IF(BC374&lt;=0,0,IF(ROUND(BC374*(1+'Calc base'!Q375),2)-MAX('Calc base'!L$12,ROUND('Calc base'!L$13*BC374,2))&lt;1,ROUND(BC374*(1+'Calc base'!Q375),2),MAX('Calc base'!L$12,ROUND('Calc base'!L$13*BC374,2))))</f>
        <v>0</v>
      </c>
      <c r="T375">
        <f>IF(BD374&lt;=0,0,IF(ROUND(BD374*(1+'Calc base'!R375),2)-MAX('Calc base'!M$12,ROUND('Calc base'!M$13*BD374,2))&lt;1,ROUND(BD374*(1+'Calc base'!R375),2),MAX('Calc base'!M$12,ROUND('Calc base'!M$13*BD374,2))))</f>
        <v>0</v>
      </c>
      <c r="U375">
        <f>IF(BE374&lt;=0,0,IF(ROUND(BE374*(1+'Calc base'!S375),2)-MAX('Calc base'!N$12,ROUND('Calc base'!N$13*BE374,2))&lt;1,ROUND(BE374*(1+'Calc base'!S375),2),MAX('Calc base'!N$12,ROUND('Calc base'!N$13*BE374,2))))</f>
        <v>0</v>
      </c>
      <c r="AT375">
        <f>MAX(0,ROUND(AT374*(1+'Calc base'!H375),2)-J375)</f>
        <v>0</v>
      </c>
      <c r="AU375">
        <f>MAX(0,ROUND(AU374*(1+'Calc base'!I375),2)-K375)</f>
        <v>0</v>
      </c>
      <c r="AV375">
        <f>MAX(0,ROUND(AV374*(1+'Calc base'!J375),2)-L375)</f>
        <v>0</v>
      </c>
      <c r="AW375">
        <f>MAX(0,ROUND(AW374*(1+'Calc base'!K375),2)-M375)</f>
        <v>0</v>
      </c>
      <c r="AX375">
        <f>MAX(0,ROUND(AX374*(1+'Calc base'!L375),2)-N375)</f>
        <v>0</v>
      </c>
      <c r="AY375">
        <f>MAX(0,ROUND(AY374*(1+'Calc base'!M375),2)-O375)</f>
        <v>0</v>
      </c>
      <c r="AZ375">
        <f>MAX(0,ROUND(AZ374*(1+'Calc base'!N375),2)-P375)</f>
        <v>0</v>
      </c>
      <c r="BA375">
        <f>MAX(0,ROUND(BA374*(1+'Calc base'!O375),2)-Q375)</f>
        <v>0</v>
      </c>
      <c r="BB375">
        <f>MAX(0,ROUND(BB374*(1+'Calc base'!P375),2)-R375)</f>
        <v>0</v>
      </c>
      <c r="BC375">
        <f>MAX(0,ROUND(BC374*(1+'Calc base'!Q375),2)-S375)</f>
        <v>0</v>
      </c>
      <c r="BD375">
        <f>MAX(0,ROUND(BD374*(1+'Calc base'!R375),2)-T375)</f>
        <v>0</v>
      </c>
      <c r="BE375">
        <f>MAX(0,ROUND(BE374*(1+'Calc base'!S375),2)-U375)</f>
        <v>0</v>
      </c>
    </row>
    <row r="376">
      <c r="A376" t="n">
        <v>346</v>
      </c>
      <c r="B376">
        <f>SUMPRODUCT(ROUND($AT375:$BE375*(1+'Calc base'!$H376:$S376),2))</f>
        <v>0</v>
      </c>
      <c r="C376">
        <f>SUM(J376:U376)</f>
        <v>0</v>
      </c>
      <c r="G376">
        <f>SUM(AT376:BE376)</f>
        <v>0</v>
      </c>
      <c r="H376">
        <f>B376-G375</f>
        <v>0</v>
      </c>
      <c r="I376">
        <f>B376-G376</f>
        <v>0</v>
      </c>
      <c r="J376">
        <f>IF(AT375&lt;=0,0,IF(ROUND(AT375*(1+'Calc base'!H376),2)-MAX('Calc base'!C$12,ROUND('Calc base'!C$13*AT375,2))&lt;1,ROUND(AT375*(1+'Calc base'!H376),2),MAX('Calc base'!C$12,ROUND('Calc base'!C$13*AT375,2))))</f>
        <v>0</v>
      </c>
      <c r="K376">
        <f>IF(AU375&lt;=0,0,IF(ROUND(AU375*(1+'Calc base'!I376),2)-MAX('Calc base'!D$12,ROUND('Calc base'!D$13*AU375,2))&lt;1,ROUND(AU375*(1+'Calc base'!I376),2),MAX('Calc base'!D$12,ROUND('Calc base'!D$13*AU375,2))))</f>
        <v>0</v>
      </c>
      <c r="L376">
        <f>IF(AV375&lt;=0,0,IF(ROUND(AV375*(1+'Calc base'!J376),2)-MAX('Calc base'!E$12,ROUND('Calc base'!E$13*AV375,2))&lt;1,ROUND(AV375*(1+'Calc base'!J376),2),MAX('Calc base'!E$12,ROUND('Calc base'!E$13*AV375,2))))</f>
        <v>0</v>
      </c>
      <c r="M376">
        <f>IF(AW375&lt;=0,0,IF(ROUND(AW375*(1+'Calc base'!K376),2)-MAX('Calc base'!F$12,ROUND('Calc base'!F$13*AW375,2))&lt;1,ROUND(AW375*(1+'Calc base'!K376),2),MAX('Calc base'!F$12,ROUND('Calc base'!F$13*AW375,2))))</f>
        <v>0</v>
      </c>
      <c r="N376">
        <f>IF(AX375&lt;=0,0,IF(ROUND(AX375*(1+'Calc base'!L376),2)-MAX('Calc base'!G$12,ROUND('Calc base'!G$13*AX375,2))&lt;1,ROUND(AX375*(1+'Calc base'!L376),2),MAX('Calc base'!G$12,ROUND('Calc base'!G$13*AX375,2))))</f>
        <v>0</v>
      </c>
      <c r="O376">
        <f>IF(AY375&lt;=0,0,IF(ROUND(AY375*(1+'Calc base'!M376),2)-MAX('Calc base'!H$12,ROUND('Calc base'!H$13*AY375,2))&lt;1,ROUND(AY375*(1+'Calc base'!M376),2),MAX('Calc base'!H$12,ROUND('Calc base'!H$13*AY375,2))))</f>
        <v>0</v>
      </c>
      <c r="P376">
        <f>IF(AZ375&lt;=0,0,IF(ROUND(AZ375*(1+'Calc base'!N376),2)-MAX('Calc base'!I$12,ROUND('Calc base'!I$13*AZ375,2))&lt;1,ROUND(AZ375*(1+'Calc base'!N376),2),MAX('Calc base'!I$12,ROUND('Calc base'!I$13*AZ375,2))))</f>
        <v>0</v>
      </c>
      <c r="Q376">
        <f>IF(BA375&lt;=0,0,IF(ROUND(BA375*(1+'Calc base'!O376),2)-MAX('Calc base'!J$12,ROUND('Calc base'!J$13*BA375,2))&lt;1,ROUND(BA375*(1+'Calc base'!O376),2),MAX('Calc base'!J$12,ROUND('Calc base'!J$13*BA375,2))))</f>
        <v>0</v>
      </c>
      <c r="R376">
        <f>IF(BB375&lt;=0,0,IF(ROUND(BB375*(1+'Calc base'!P376),2)-MAX('Calc base'!K$12,ROUND('Calc base'!K$13*BB375,2))&lt;1,ROUND(BB375*(1+'Calc base'!P376),2),MAX('Calc base'!K$12,ROUND('Calc base'!K$13*BB375,2))))</f>
        <v>0</v>
      </c>
      <c r="S376">
        <f>IF(BC375&lt;=0,0,IF(ROUND(BC375*(1+'Calc base'!Q376),2)-MAX('Calc base'!L$12,ROUND('Calc base'!L$13*BC375,2))&lt;1,ROUND(BC375*(1+'Calc base'!Q376),2),MAX('Calc base'!L$12,ROUND('Calc base'!L$13*BC375,2))))</f>
        <v>0</v>
      </c>
      <c r="T376">
        <f>IF(BD375&lt;=0,0,IF(ROUND(BD375*(1+'Calc base'!R376),2)-MAX('Calc base'!M$12,ROUND('Calc base'!M$13*BD375,2))&lt;1,ROUND(BD375*(1+'Calc base'!R376),2),MAX('Calc base'!M$12,ROUND('Calc base'!M$13*BD375,2))))</f>
        <v>0</v>
      </c>
      <c r="U376">
        <f>IF(BE375&lt;=0,0,IF(ROUND(BE375*(1+'Calc base'!S376),2)-MAX('Calc base'!N$12,ROUND('Calc base'!N$13*BE375,2))&lt;1,ROUND(BE375*(1+'Calc base'!S376),2),MAX('Calc base'!N$12,ROUND('Calc base'!N$13*BE375,2))))</f>
        <v>0</v>
      </c>
      <c r="AT376">
        <f>MAX(0,ROUND(AT375*(1+'Calc base'!H376),2)-J376)</f>
        <v>0</v>
      </c>
      <c r="AU376">
        <f>MAX(0,ROUND(AU375*(1+'Calc base'!I376),2)-K376)</f>
        <v>0</v>
      </c>
      <c r="AV376">
        <f>MAX(0,ROUND(AV375*(1+'Calc base'!J376),2)-L376)</f>
        <v>0</v>
      </c>
      <c r="AW376">
        <f>MAX(0,ROUND(AW375*(1+'Calc base'!K376),2)-M376)</f>
        <v>0</v>
      </c>
      <c r="AX376">
        <f>MAX(0,ROUND(AX375*(1+'Calc base'!L376),2)-N376)</f>
        <v>0</v>
      </c>
      <c r="AY376">
        <f>MAX(0,ROUND(AY375*(1+'Calc base'!M376),2)-O376)</f>
        <v>0</v>
      </c>
      <c r="AZ376">
        <f>MAX(0,ROUND(AZ375*(1+'Calc base'!N376),2)-P376)</f>
        <v>0</v>
      </c>
      <c r="BA376">
        <f>MAX(0,ROUND(BA375*(1+'Calc base'!O376),2)-Q376)</f>
        <v>0</v>
      </c>
      <c r="BB376">
        <f>MAX(0,ROUND(BB375*(1+'Calc base'!P376),2)-R376)</f>
        <v>0</v>
      </c>
      <c r="BC376">
        <f>MAX(0,ROUND(BC375*(1+'Calc base'!Q376),2)-S376)</f>
        <v>0</v>
      </c>
      <c r="BD376">
        <f>MAX(0,ROUND(BD375*(1+'Calc base'!R376),2)-T376)</f>
        <v>0</v>
      </c>
      <c r="BE376">
        <f>MAX(0,ROUND(BE375*(1+'Calc base'!S376),2)-U376)</f>
        <v>0</v>
      </c>
    </row>
    <row r="377">
      <c r="A377" t="n">
        <v>347</v>
      </c>
      <c r="B377">
        <f>SUMPRODUCT(ROUND($AT376:$BE376*(1+'Calc base'!$H377:$S377),2))</f>
        <v>0</v>
      </c>
      <c r="C377">
        <f>SUM(J377:U377)</f>
        <v>0</v>
      </c>
      <c r="G377">
        <f>SUM(AT377:BE377)</f>
        <v>0</v>
      </c>
      <c r="H377">
        <f>B377-G376</f>
        <v>0</v>
      </c>
      <c r="I377">
        <f>B377-G377</f>
        <v>0</v>
      </c>
      <c r="J377">
        <f>IF(AT376&lt;=0,0,IF(ROUND(AT376*(1+'Calc base'!H377),2)-MAX('Calc base'!C$12,ROUND('Calc base'!C$13*AT376,2))&lt;1,ROUND(AT376*(1+'Calc base'!H377),2),MAX('Calc base'!C$12,ROUND('Calc base'!C$13*AT376,2))))</f>
        <v>0</v>
      </c>
      <c r="K377">
        <f>IF(AU376&lt;=0,0,IF(ROUND(AU376*(1+'Calc base'!I377),2)-MAX('Calc base'!D$12,ROUND('Calc base'!D$13*AU376,2))&lt;1,ROUND(AU376*(1+'Calc base'!I377),2),MAX('Calc base'!D$12,ROUND('Calc base'!D$13*AU376,2))))</f>
        <v>0</v>
      </c>
      <c r="L377">
        <f>IF(AV376&lt;=0,0,IF(ROUND(AV376*(1+'Calc base'!J377),2)-MAX('Calc base'!E$12,ROUND('Calc base'!E$13*AV376,2))&lt;1,ROUND(AV376*(1+'Calc base'!J377),2),MAX('Calc base'!E$12,ROUND('Calc base'!E$13*AV376,2))))</f>
        <v>0</v>
      </c>
      <c r="M377">
        <f>IF(AW376&lt;=0,0,IF(ROUND(AW376*(1+'Calc base'!K377),2)-MAX('Calc base'!F$12,ROUND('Calc base'!F$13*AW376,2))&lt;1,ROUND(AW376*(1+'Calc base'!K377),2),MAX('Calc base'!F$12,ROUND('Calc base'!F$13*AW376,2))))</f>
        <v>0</v>
      </c>
      <c r="N377">
        <f>IF(AX376&lt;=0,0,IF(ROUND(AX376*(1+'Calc base'!L377),2)-MAX('Calc base'!G$12,ROUND('Calc base'!G$13*AX376,2))&lt;1,ROUND(AX376*(1+'Calc base'!L377),2),MAX('Calc base'!G$12,ROUND('Calc base'!G$13*AX376,2))))</f>
        <v>0</v>
      </c>
      <c r="O377">
        <f>IF(AY376&lt;=0,0,IF(ROUND(AY376*(1+'Calc base'!M377),2)-MAX('Calc base'!H$12,ROUND('Calc base'!H$13*AY376,2))&lt;1,ROUND(AY376*(1+'Calc base'!M377),2),MAX('Calc base'!H$12,ROUND('Calc base'!H$13*AY376,2))))</f>
        <v>0</v>
      </c>
      <c r="P377">
        <f>IF(AZ376&lt;=0,0,IF(ROUND(AZ376*(1+'Calc base'!N377),2)-MAX('Calc base'!I$12,ROUND('Calc base'!I$13*AZ376,2))&lt;1,ROUND(AZ376*(1+'Calc base'!N377),2),MAX('Calc base'!I$12,ROUND('Calc base'!I$13*AZ376,2))))</f>
        <v>0</v>
      </c>
      <c r="Q377">
        <f>IF(BA376&lt;=0,0,IF(ROUND(BA376*(1+'Calc base'!O377),2)-MAX('Calc base'!J$12,ROUND('Calc base'!J$13*BA376,2))&lt;1,ROUND(BA376*(1+'Calc base'!O377),2),MAX('Calc base'!J$12,ROUND('Calc base'!J$13*BA376,2))))</f>
        <v>0</v>
      </c>
      <c r="R377">
        <f>IF(BB376&lt;=0,0,IF(ROUND(BB376*(1+'Calc base'!P377),2)-MAX('Calc base'!K$12,ROUND('Calc base'!K$13*BB376,2))&lt;1,ROUND(BB376*(1+'Calc base'!P377),2),MAX('Calc base'!K$12,ROUND('Calc base'!K$13*BB376,2))))</f>
        <v>0</v>
      </c>
      <c r="S377">
        <f>IF(BC376&lt;=0,0,IF(ROUND(BC376*(1+'Calc base'!Q377),2)-MAX('Calc base'!L$12,ROUND('Calc base'!L$13*BC376,2))&lt;1,ROUND(BC376*(1+'Calc base'!Q377),2),MAX('Calc base'!L$12,ROUND('Calc base'!L$13*BC376,2))))</f>
        <v>0</v>
      </c>
      <c r="T377">
        <f>IF(BD376&lt;=0,0,IF(ROUND(BD376*(1+'Calc base'!R377),2)-MAX('Calc base'!M$12,ROUND('Calc base'!M$13*BD376,2))&lt;1,ROUND(BD376*(1+'Calc base'!R377),2),MAX('Calc base'!M$12,ROUND('Calc base'!M$13*BD376,2))))</f>
        <v>0</v>
      </c>
      <c r="U377">
        <f>IF(BE376&lt;=0,0,IF(ROUND(BE376*(1+'Calc base'!S377),2)-MAX('Calc base'!N$12,ROUND('Calc base'!N$13*BE376,2))&lt;1,ROUND(BE376*(1+'Calc base'!S377),2),MAX('Calc base'!N$12,ROUND('Calc base'!N$13*BE376,2))))</f>
        <v>0</v>
      </c>
      <c r="AT377">
        <f>MAX(0,ROUND(AT376*(1+'Calc base'!H377),2)-J377)</f>
        <v>0</v>
      </c>
      <c r="AU377">
        <f>MAX(0,ROUND(AU376*(1+'Calc base'!I377),2)-K377)</f>
        <v>0</v>
      </c>
      <c r="AV377">
        <f>MAX(0,ROUND(AV376*(1+'Calc base'!J377),2)-L377)</f>
        <v>0</v>
      </c>
      <c r="AW377">
        <f>MAX(0,ROUND(AW376*(1+'Calc base'!K377),2)-M377)</f>
        <v>0</v>
      </c>
      <c r="AX377">
        <f>MAX(0,ROUND(AX376*(1+'Calc base'!L377),2)-N377)</f>
        <v>0</v>
      </c>
      <c r="AY377">
        <f>MAX(0,ROUND(AY376*(1+'Calc base'!M377),2)-O377)</f>
        <v>0</v>
      </c>
      <c r="AZ377">
        <f>MAX(0,ROUND(AZ376*(1+'Calc base'!N377),2)-P377)</f>
        <v>0</v>
      </c>
      <c r="BA377">
        <f>MAX(0,ROUND(BA376*(1+'Calc base'!O377),2)-Q377)</f>
        <v>0</v>
      </c>
      <c r="BB377">
        <f>MAX(0,ROUND(BB376*(1+'Calc base'!P377),2)-R377)</f>
        <v>0</v>
      </c>
      <c r="BC377">
        <f>MAX(0,ROUND(BC376*(1+'Calc base'!Q377),2)-S377)</f>
        <v>0</v>
      </c>
      <c r="BD377">
        <f>MAX(0,ROUND(BD376*(1+'Calc base'!R377),2)-T377)</f>
        <v>0</v>
      </c>
      <c r="BE377">
        <f>MAX(0,ROUND(BE376*(1+'Calc base'!S377),2)-U377)</f>
        <v>0</v>
      </c>
    </row>
    <row r="378">
      <c r="A378" t="n">
        <v>348</v>
      </c>
      <c r="B378">
        <f>SUMPRODUCT(ROUND($AT377:$BE377*(1+'Calc base'!$H378:$S378),2))</f>
        <v>0</v>
      </c>
      <c r="C378">
        <f>SUM(J378:U378)</f>
        <v>0</v>
      </c>
      <c r="G378">
        <f>SUM(AT378:BE378)</f>
        <v>0</v>
      </c>
      <c r="H378">
        <f>B378-G377</f>
        <v>0</v>
      </c>
      <c r="I378">
        <f>B378-G378</f>
        <v>0</v>
      </c>
      <c r="J378">
        <f>IF(AT377&lt;=0,0,IF(ROUND(AT377*(1+'Calc base'!H378),2)-MAX('Calc base'!C$12,ROUND('Calc base'!C$13*AT377,2))&lt;1,ROUND(AT377*(1+'Calc base'!H378),2),MAX('Calc base'!C$12,ROUND('Calc base'!C$13*AT377,2))))</f>
        <v>0</v>
      </c>
      <c r="K378">
        <f>IF(AU377&lt;=0,0,IF(ROUND(AU377*(1+'Calc base'!I378),2)-MAX('Calc base'!D$12,ROUND('Calc base'!D$13*AU377,2))&lt;1,ROUND(AU377*(1+'Calc base'!I378),2),MAX('Calc base'!D$12,ROUND('Calc base'!D$13*AU377,2))))</f>
        <v>0</v>
      </c>
      <c r="L378">
        <f>IF(AV377&lt;=0,0,IF(ROUND(AV377*(1+'Calc base'!J378),2)-MAX('Calc base'!E$12,ROUND('Calc base'!E$13*AV377,2))&lt;1,ROUND(AV377*(1+'Calc base'!J378),2),MAX('Calc base'!E$12,ROUND('Calc base'!E$13*AV377,2))))</f>
        <v>0</v>
      </c>
      <c r="M378">
        <f>IF(AW377&lt;=0,0,IF(ROUND(AW377*(1+'Calc base'!K378),2)-MAX('Calc base'!F$12,ROUND('Calc base'!F$13*AW377,2))&lt;1,ROUND(AW377*(1+'Calc base'!K378),2),MAX('Calc base'!F$12,ROUND('Calc base'!F$13*AW377,2))))</f>
        <v>0</v>
      </c>
      <c r="N378">
        <f>IF(AX377&lt;=0,0,IF(ROUND(AX377*(1+'Calc base'!L378),2)-MAX('Calc base'!G$12,ROUND('Calc base'!G$13*AX377,2))&lt;1,ROUND(AX377*(1+'Calc base'!L378),2),MAX('Calc base'!G$12,ROUND('Calc base'!G$13*AX377,2))))</f>
        <v>0</v>
      </c>
      <c r="O378">
        <f>IF(AY377&lt;=0,0,IF(ROUND(AY377*(1+'Calc base'!M378),2)-MAX('Calc base'!H$12,ROUND('Calc base'!H$13*AY377,2))&lt;1,ROUND(AY377*(1+'Calc base'!M378),2),MAX('Calc base'!H$12,ROUND('Calc base'!H$13*AY377,2))))</f>
        <v>0</v>
      </c>
      <c r="P378">
        <f>IF(AZ377&lt;=0,0,IF(ROUND(AZ377*(1+'Calc base'!N378),2)-MAX('Calc base'!I$12,ROUND('Calc base'!I$13*AZ377,2))&lt;1,ROUND(AZ377*(1+'Calc base'!N378),2),MAX('Calc base'!I$12,ROUND('Calc base'!I$13*AZ377,2))))</f>
        <v>0</v>
      </c>
      <c r="Q378">
        <f>IF(BA377&lt;=0,0,IF(ROUND(BA377*(1+'Calc base'!O378),2)-MAX('Calc base'!J$12,ROUND('Calc base'!J$13*BA377,2))&lt;1,ROUND(BA377*(1+'Calc base'!O378),2),MAX('Calc base'!J$12,ROUND('Calc base'!J$13*BA377,2))))</f>
        <v>0</v>
      </c>
      <c r="R378">
        <f>IF(BB377&lt;=0,0,IF(ROUND(BB377*(1+'Calc base'!P378),2)-MAX('Calc base'!K$12,ROUND('Calc base'!K$13*BB377,2))&lt;1,ROUND(BB377*(1+'Calc base'!P378),2),MAX('Calc base'!K$12,ROUND('Calc base'!K$13*BB377,2))))</f>
        <v>0</v>
      </c>
      <c r="S378">
        <f>IF(BC377&lt;=0,0,IF(ROUND(BC377*(1+'Calc base'!Q378),2)-MAX('Calc base'!L$12,ROUND('Calc base'!L$13*BC377,2))&lt;1,ROUND(BC377*(1+'Calc base'!Q378),2),MAX('Calc base'!L$12,ROUND('Calc base'!L$13*BC377,2))))</f>
        <v>0</v>
      </c>
      <c r="T378">
        <f>IF(BD377&lt;=0,0,IF(ROUND(BD377*(1+'Calc base'!R378),2)-MAX('Calc base'!M$12,ROUND('Calc base'!M$13*BD377,2))&lt;1,ROUND(BD377*(1+'Calc base'!R378),2),MAX('Calc base'!M$12,ROUND('Calc base'!M$13*BD377,2))))</f>
        <v>0</v>
      </c>
      <c r="U378">
        <f>IF(BE377&lt;=0,0,IF(ROUND(BE377*(1+'Calc base'!S378),2)-MAX('Calc base'!N$12,ROUND('Calc base'!N$13*BE377,2))&lt;1,ROUND(BE377*(1+'Calc base'!S378),2),MAX('Calc base'!N$12,ROUND('Calc base'!N$13*BE377,2))))</f>
        <v>0</v>
      </c>
      <c r="AT378">
        <f>MAX(0,ROUND(AT377*(1+'Calc base'!H378),2)-J378)</f>
        <v>0</v>
      </c>
      <c r="AU378">
        <f>MAX(0,ROUND(AU377*(1+'Calc base'!I378),2)-K378)</f>
        <v>0</v>
      </c>
      <c r="AV378">
        <f>MAX(0,ROUND(AV377*(1+'Calc base'!J378),2)-L378)</f>
        <v>0</v>
      </c>
      <c r="AW378">
        <f>MAX(0,ROUND(AW377*(1+'Calc base'!K378),2)-M378)</f>
        <v>0</v>
      </c>
      <c r="AX378">
        <f>MAX(0,ROUND(AX377*(1+'Calc base'!L378),2)-N378)</f>
        <v>0</v>
      </c>
      <c r="AY378">
        <f>MAX(0,ROUND(AY377*(1+'Calc base'!M378),2)-O378)</f>
        <v>0</v>
      </c>
      <c r="AZ378">
        <f>MAX(0,ROUND(AZ377*(1+'Calc base'!N378),2)-P378)</f>
        <v>0</v>
      </c>
      <c r="BA378">
        <f>MAX(0,ROUND(BA377*(1+'Calc base'!O378),2)-Q378)</f>
        <v>0</v>
      </c>
      <c r="BB378">
        <f>MAX(0,ROUND(BB377*(1+'Calc base'!P378),2)-R378)</f>
        <v>0</v>
      </c>
      <c r="BC378">
        <f>MAX(0,ROUND(BC377*(1+'Calc base'!Q378),2)-S378)</f>
        <v>0</v>
      </c>
      <c r="BD378">
        <f>MAX(0,ROUND(BD377*(1+'Calc base'!R378),2)-T378)</f>
        <v>0</v>
      </c>
      <c r="BE378">
        <f>MAX(0,ROUND(BE377*(1+'Calc base'!S378),2)-U378)</f>
        <v>0</v>
      </c>
    </row>
    <row r="379">
      <c r="A379" t="n">
        <v>349</v>
      </c>
      <c r="B379">
        <f>SUMPRODUCT(ROUND($AT378:$BE378*(1+'Calc base'!$H379:$S379),2))</f>
        <v>0</v>
      </c>
      <c r="C379">
        <f>SUM(J379:U379)</f>
        <v>0</v>
      </c>
      <c r="G379">
        <f>SUM(AT379:BE379)</f>
        <v>0</v>
      </c>
      <c r="H379">
        <f>B379-G378</f>
        <v>0</v>
      </c>
      <c r="I379">
        <f>B379-G379</f>
        <v>0</v>
      </c>
      <c r="J379">
        <f>IF(AT378&lt;=0,0,IF(ROUND(AT378*(1+'Calc base'!H379),2)-MAX('Calc base'!C$12,ROUND('Calc base'!C$13*AT378,2))&lt;1,ROUND(AT378*(1+'Calc base'!H379),2),MAX('Calc base'!C$12,ROUND('Calc base'!C$13*AT378,2))))</f>
        <v>0</v>
      </c>
      <c r="K379">
        <f>IF(AU378&lt;=0,0,IF(ROUND(AU378*(1+'Calc base'!I379),2)-MAX('Calc base'!D$12,ROUND('Calc base'!D$13*AU378,2))&lt;1,ROUND(AU378*(1+'Calc base'!I379),2),MAX('Calc base'!D$12,ROUND('Calc base'!D$13*AU378,2))))</f>
        <v>0</v>
      </c>
      <c r="L379">
        <f>IF(AV378&lt;=0,0,IF(ROUND(AV378*(1+'Calc base'!J379),2)-MAX('Calc base'!E$12,ROUND('Calc base'!E$13*AV378,2))&lt;1,ROUND(AV378*(1+'Calc base'!J379),2),MAX('Calc base'!E$12,ROUND('Calc base'!E$13*AV378,2))))</f>
        <v>0</v>
      </c>
      <c r="M379">
        <f>IF(AW378&lt;=0,0,IF(ROUND(AW378*(1+'Calc base'!K379),2)-MAX('Calc base'!F$12,ROUND('Calc base'!F$13*AW378,2))&lt;1,ROUND(AW378*(1+'Calc base'!K379),2),MAX('Calc base'!F$12,ROUND('Calc base'!F$13*AW378,2))))</f>
        <v>0</v>
      </c>
      <c r="N379">
        <f>IF(AX378&lt;=0,0,IF(ROUND(AX378*(1+'Calc base'!L379),2)-MAX('Calc base'!G$12,ROUND('Calc base'!G$13*AX378,2))&lt;1,ROUND(AX378*(1+'Calc base'!L379),2),MAX('Calc base'!G$12,ROUND('Calc base'!G$13*AX378,2))))</f>
        <v>0</v>
      </c>
      <c r="O379">
        <f>IF(AY378&lt;=0,0,IF(ROUND(AY378*(1+'Calc base'!M379),2)-MAX('Calc base'!H$12,ROUND('Calc base'!H$13*AY378,2))&lt;1,ROUND(AY378*(1+'Calc base'!M379),2),MAX('Calc base'!H$12,ROUND('Calc base'!H$13*AY378,2))))</f>
        <v>0</v>
      </c>
      <c r="P379">
        <f>IF(AZ378&lt;=0,0,IF(ROUND(AZ378*(1+'Calc base'!N379),2)-MAX('Calc base'!I$12,ROUND('Calc base'!I$13*AZ378,2))&lt;1,ROUND(AZ378*(1+'Calc base'!N379),2),MAX('Calc base'!I$12,ROUND('Calc base'!I$13*AZ378,2))))</f>
        <v>0</v>
      </c>
      <c r="Q379">
        <f>IF(BA378&lt;=0,0,IF(ROUND(BA378*(1+'Calc base'!O379),2)-MAX('Calc base'!J$12,ROUND('Calc base'!J$13*BA378,2))&lt;1,ROUND(BA378*(1+'Calc base'!O379),2),MAX('Calc base'!J$12,ROUND('Calc base'!J$13*BA378,2))))</f>
        <v>0</v>
      </c>
      <c r="R379">
        <f>IF(BB378&lt;=0,0,IF(ROUND(BB378*(1+'Calc base'!P379),2)-MAX('Calc base'!K$12,ROUND('Calc base'!K$13*BB378,2))&lt;1,ROUND(BB378*(1+'Calc base'!P379),2),MAX('Calc base'!K$12,ROUND('Calc base'!K$13*BB378,2))))</f>
        <v>0</v>
      </c>
      <c r="S379">
        <f>IF(BC378&lt;=0,0,IF(ROUND(BC378*(1+'Calc base'!Q379),2)-MAX('Calc base'!L$12,ROUND('Calc base'!L$13*BC378,2))&lt;1,ROUND(BC378*(1+'Calc base'!Q379),2),MAX('Calc base'!L$12,ROUND('Calc base'!L$13*BC378,2))))</f>
        <v>0</v>
      </c>
      <c r="T379">
        <f>IF(BD378&lt;=0,0,IF(ROUND(BD378*(1+'Calc base'!R379),2)-MAX('Calc base'!M$12,ROUND('Calc base'!M$13*BD378,2))&lt;1,ROUND(BD378*(1+'Calc base'!R379),2),MAX('Calc base'!M$12,ROUND('Calc base'!M$13*BD378,2))))</f>
        <v>0</v>
      </c>
      <c r="U379">
        <f>IF(BE378&lt;=0,0,IF(ROUND(BE378*(1+'Calc base'!S379),2)-MAX('Calc base'!N$12,ROUND('Calc base'!N$13*BE378,2))&lt;1,ROUND(BE378*(1+'Calc base'!S379),2),MAX('Calc base'!N$12,ROUND('Calc base'!N$13*BE378,2))))</f>
        <v>0</v>
      </c>
      <c r="AT379">
        <f>MAX(0,ROUND(AT378*(1+'Calc base'!H379),2)-J379)</f>
        <v>0</v>
      </c>
      <c r="AU379">
        <f>MAX(0,ROUND(AU378*(1+'Calc base'!I379),2)-K379)</f>
        <v>0</v>
      </c>
      <c r="AV379">
        <f>MAX(0,ROUND(AV378*(1+'Calc base'!J379),2)-L379)</f>
        <v>0</v>
      </c>
      <c r="AW379">
        <f>MAX(0,ROUND(AW378*(1+'Calc base'!K379),2)-M379)</f>
        <v>0</v>
      </c>
      <c r="AX379">
        <f>MAX(0,ROUND(AX378*(1+'Calc base'!L379),2)-N379)</f>
        <v>0</v>
      </c>
      <c r="AY379">
        <f>MAX(0,ROUND(AY378*(1+'Calc base'!M379),2)-O379)</f>
        <v>0</v>
      </c>
      <c r="AZ379">
        <f>MAX(0,ROUND(AZ378*(1+'Calc base'!N379),2)-P379)</f>
        <v>0</v>
      </c>
      <c r="BA379">
        <f>MAX(0,ROUND(BA378*(1+'Calc base'!O379),2)-Q379)</f>
        <v>0</v>
      </c>
      <c r="BB379">
        <f>MAX(0,ROUND(BB378*(1+'Calc base'!P379),2)-R379)</f>
        <v>0</v>
      </c>
      <c r="BC379">
        <f>MAX(0,ROUND(BC378*(1+'Calc base'!Q379),2)-S379)</f>
        <v>0</v>
      </c>
      <c r="BD379">
        <f>MAX(0,ROUND(BD378*(1+'Calc base'!R379),2)-T379)</f>
        <v>0</v>
      </c>
      <c r="BE379">
        <f>MAX(0,ROUND(BE378*(1+'Calc base'!S379),2)-U379)</f>
        <v>0</v>
      </c>
    </row>
    <row r="380">
      <c r="A380" t="n">
        <v>350</v>
      </c>
      <c r="B380">
        <f>SUMPRODUCT(ROUND($AT379:$BE379*(1+'Calc base'!$H380:$S380),2))</f>
        <v>0</v>
      </c>
      <c r="C380">
        <f>SUM(J380:U380)</f>
        <v>0</v>
      </c>
      <c r="G380">
        <f>SUM(AT380:BE380)</f>
        <v>0</v>
      </c>
      <c r="H380">
        <f>B380-G379</f>
        <v>0</v>
      </c>
      <c r="I380">
        <f>B380-G380</f>
        <v>0</v>
      </c>
      <c r="J380">
        <f>IF(AT379&lt;=0,0,IF(ROUND(AT379*(1+'Calc base'!H380),2)-MAX('Calc base'!C$12,ROUND('Calc base'!C$13*AT379,2))&lt;1,ROUND(AT379*(1+'Calc base'!H380),2),MAX('Calc base'!C$12,ROUND('Calc base'!C$13*AT379,2))))</f>
        <v>0</v>
      </c>
      <c r="K380">
        <f>IF(AU379&lt;=0,0,IF(ROUND(AU379*(1+'Calc base'!I380),2)-MAX('Calc base'!D$12,ROUND('Calc base'!D$13*AU379,2))&lt;1,ROUND(AU379*(1+'Calc base'!I380),2),MAX('Calc base'!D$12,ROUND('Calc base'!D$13*AU379,2))))</f>
        <v>0</v>
      </c>
      <c r="L380">
        <f>IF(AV379&lt;=0,0,IF(ROUND(AV379*(1+'Calc base'!J380),2)-MAX('Calc base'!E$12,ROUND('Calc base'!E$13*AV379,2))&lt;1,ROUND(AV379*(1+'Calc base'!J380),2),MAX('Calc base'!E$12,ROUND('Calc base'!E$13*AV379,2))))</f>
        <v>0</v>
      </c>
      <c r="M380">
        <f>IF(AW379&lt;=0,0,IF(ROUND(AW379*(1+'Calc base'!K380),2)-MAX('Calc base'!F$12,ROUND('Calc base'!F$13*AW379,2))&lt;1,ROUND(AW379*(1+'Calc base'!K380),2),MAX('Calc base'!F$12,ROUND('Calc base'!F$13*AW379,2))))</f>
        <v>0</v>
      </c>
      <c r="N380">
        <f>IF(AX379&lt;=0,0,IF(ROUND(AX379*(1+'Calc base'!L380),2)-MAX('Calc base'!G$12,ROUND('Calc base'!G$13*AX379,2))&lt;1,ROUND(AX379*(1+'Calc base'!L380),2),MAX('Calc base'!G$12,ROUND('Calc base'!G$13*AX379,2))))</f>
        <v>0</v>
      </c>
      <c r="O380">
        <f>IF(AY379&lt;=0,0,IF(ROUND(AY379*(1+'Calc base'!M380),2)-MAX('Calc base'!H$12,ROUND('Calc base'!H$13*AY379,2))&lt;1,ROUND(AY379*(1+'Calc base'!M380),2),MAX('Calc base'!H$12,ROUND('Calc base'!H$13*AY379,2))))</f>
        <v>0</v>
      </c>
      <c r="P380">
        <f>IF(AZ379&lt;=0,0,IF(ROUND(AZ379*(1+'Calc base'!N380),2)-MAX('Calc base'!I$12,ROUND('Calc base'!I$13*AZ379,2))&lt;1,ROUND(AZ379*(1+'Calc base'!N380),2),MAX('Calc base'!I$12,ROUND('Calc base'!I$13*AZ379,2))))</f>
        <v>0</v>
      </c>
      <c r="Q380">
        <f>IF(BA379&lt;=0,0,IF(ROUND(BA379*(1+'Calc base'!O380),2)-MAX('Calc base'!J$12,ROUND('Calc base'!J$13*BA379,2))&lt;1,ROUND(BA379*(1+'Calc base'!O380),2),MAX('Calc base'!J$12,ROUND('Calc base'!J$13*BA379,2))))</f>
        <v>0</v>
      </c>
      <c r="R380">
        <f>IF(BB379&lt;=0,0,IF(ROUND(BB379*(1+'Calc base'!P380),2)-MAX('Calc base'!K$12,ROUND('Calc base'!K$13*BB379,2))&lt;1,ROUND(BB379*(1+'Calc base'!P380),2),MAX('Calc base'!K$12,ROUND('Calc base'!K$13*BB379,2))))</f>
        <v>0</v>
      </c>
      <c r="S380">
        <f>IF(BC379&lt;=0,0,IF(ROUND(BC379*(1+'Calc base'!Q380),2)-MAX('Calc base'!L$12,ROUND('Calc base'!L$13*BC379,2))&lt;1,ROUND(BC379*(1+'Calc base'!Q380),2),MAX('Calc base'!L$12,ROUND('Calc base'!L$13*BC379,2))))</f>
        <v>0</v>
      </c>
      <c r="T380">
        <f>IF(BD379&lt;=0,0,IF(ROUND(BD379*(1+'Calc base'!R380),2)-MAX('Calc base'!M$12,ROUND('Calc base'!M$13*BD379,2))&lt;1,ROUND(BD379*(1+'Calc base'!R380),2),MAX('Calc base'!M$12,ROUND('Calc base'!M$13*BD379,2))))</f>
        <v>0</v>
      </c>
      <c r="U380">
        <f>IF(BE379&lt;=0,0,IF(ROUND(BE379*(1+'Calc base'!S380),2)-MAX('Calc base'!N$12,ROUND('Calc base'!N$13*BE379,2))&lt;1,ROUND(BE379*(1+'Calc base'!S380),2),MAX('Calc base'!N$12,ROUND('Calc base'!N$13*BE379,2))))</f>
        <v>0</v>
      </c>
      <c r="AT380">
        <f>MAX(0,ROUND(AT379*(1+'Calc base'!H380),2)-J380)</f>
        <v>0</v>
      </c>
      <c r="AU380">
        <f>MAX(0,ROUND(AU379*(1+'Calc base'!I380),2)-K380)</f>
        <v>0</v>
      </c>
      <c r="AV380">
        <f>MAX(0,ROUND(AV379*(1+'Calc base'!J380),2)-L380)</f>
        <v>0</v>
      </c>
      <c r="AW380">
        <f>MAX(0,ROUND(AW379*(1+'Calc base'!K380),2)-M380)</f>
        <v>0</v>
      </c>
      <c r="AX380">
        <f>MAX(0,ROUND(AX379*(1+'Calc base'!L380),2)-N380)</f>
        <v>0</v>
      </c>
      <c r="AY380">
        <f>MAX(0,ROUND(AY379*(1+'Calc base'!M380),2)-O380)</f>
        <v>0</v>
      </c>
      <c r="AZ380">
        <f>MAX(0,ROUND(AZ379*(1+'Calc base'!N380),2)-P380)</f>
        <v>0</v>
      </c>
      <c r="BA380">
        <f>MAX(0,ROUND(BA379*(1+'Calc base'!O380),2)-Q380)</f>
        <v>0</v>
      </c>
      <c r="BB380">
        <f>MAX(0,ROUND(BB379*(1+'Calc base'!P380),2)-R380)</f>
        <v>0</v>
      </c>
      <c r="BC380">
        <f>MAX(0,ROUND(BC379*(1+'Calc base'!Q380),2)-S380)</f>
        <v>0</v>
      </c>
      <c r="BD380">
        <f>MAX(0,ROUND(BD379*(1+'Calc base'!R380),2)-T380)</f>
        <v>0</v>
      </c>
      <c r="BE380">
        <f>MAX(0,ROUND(BE379*(1+'Calc base'!S380),2)-U380)</f>
        <v>0</v>
      </c>
    </row>
    <row r="381">
      <c r="A381" t="n">
        <v>351</v>
      </c>
      <c r="B381">
        <f>SUMPRODUCT(ROUND($AT380:$BE380*(1+'Calc base'!$H381:$S381),2))</f>
        <v>0</v>
      </c>
      <c r="C381">
        <f>SUM(J381:U381)</f>
        <v>0</v>
      </c>
      <c r="G381">
        <f>SUM(AT381:BE381)</f>
        <v>0</v>
      </c>
      <c r="H381">
        <f>B381-G380</f>
        <v>0</v>
      </c>
      <c r="I381">
        <f>B381-G381</f>
        <v>0</v>
      </c>
      <c r="J381">
        <f>IF(AT380&lt;=0,0,IF(ROUND(AT380*(1+'Calc base'!H381),2)-MAX('Calc base'!C$12,ROUND('Calc base'!C$13*AT380,2))&lt;1,ROUND(AT380*(1+'Calc base'!H381),2),MAX('Calc base'!C$12,ROUND('Calc base'!C$13*AT380,2))))</f>
        <v>0</v>
      </c>
      <c r="K381">
        <f>IF(AU380&lt;=0,0,IF(ROUND(AU380*(1+'Calc base'!I381),2)-MAX('Calc base'!D$12,ROUND('Calc base'!D$13*AU380,2))&lt;1,ROUND(AU380*(1+'Calc base'!I381),2),MAX('Calc base'!D$12,ROUND('Calc base'!D$13*AU380,2))))</f>
        <v>0</v>
      </c>
      <c r="L381">
        <f>IF(AV380&lt;=0,0,IF(ROUND(AV380*(1+'Calc base'!J381),2)-MAX('Calc base'!E$12,ROUND('Calc base'!E$13*AV380,2))&lt;1,ROUND(AV380*(1+'Calc base'!J381),2),MAX('Calc base'!E$12,ROUND('Calc base'!E$13*AV380,2))))</f>
        <v>0</v>
      </c>
      <c r="M381">
        <f>IF(AW380&lt;=0,0,IF(ROUND(AW380*(1+'Calc base'!K381),2)-MAX('Calc base'!F$12,ROUND('Calc base'!F$13*AW380,2))&lt;1,ROUND(AW380*(1+'Calc base'!K381),2),MAX('Calc base'!F$12,ROUND('Calc base'!F$13*AW380,2))))</f>
        <v>0</v>
      </c>
      <c r="N381">
        <f>IF(AX380&lt;=0,0,IF(ROUND(AX380*(1+'Calc base'!L381),2)-MAX('Calc base'!G$12,ROUND('Calc base'!G$13*AX380,2))&lt;1,ROUND(AX380*(1+'Calc base'!L381),2),MAX('Calc base'!G$12,ROUND('Calc base'!G$13*AX380,2))))</f>
        <v>0</v>
      </c>
      <c r="O381">
        <f>IF(AY380&lt;=0,0,IF(ROUND(AY380*(1+'Calc base'!M381),2)-MAX('Calc base'!H$12,ROUND('Calc base'!H$13*AY380,2))&lt;1,ROUND(AY380*(1+'Calc base'!M381),2),MAX('Calc base'!H$12,ROUND('Calc base'!H$13*AY380,2))))</f>
        <v>0</v>
      </c>
      <c r="P381">
        <f>IF(AZ380&lt;=0,0,IF(ROUND(AZ380*(1+'Calc base'!N381),2)-MAX('Calc base'!I$12,ROUND('Calc base'!I$13*AZ380,2))&lt;1,ROUND(AZ380*(1+'Calc base'!N381),2),MAX('Calc base'!I$12,ROUND('Calc base'!I$13*AZ380,2))))</f>
        <v>0</v>
      </c>
      <c r="Q381">
        <f>IF(BA380&lt;=0,0,IF(ROUND(BA380*(1+'Calc base'!O381),2)-MAX('Calc base'!J$12,ROUND('Calc base'!J$13*BA380,2))&lt;1,ROUND(BA380*(1+'Calc base'!O381),2),MAX('Calc base'!J$12,ROUND('Calc base'!J$13*BA380,2))))</f>
        <v>0</v>
      </c>
      <c r="R381">
        <f>IF(BB380&lt;=0,0,IF(ROUND(BB380*(1+'Calc base'!P381),2)-MAX('Calc base'!K$12,ROUND('Calc base'!K$13*BB380,2))&lt;1,ROUND(BB380*(1+'Calc base'!P381),2),MAX('Calc base'!K$12,ROUND('Calc base'!K$13*BB380,2))))</f>
        <v>0</v>
      </c>
      <c r="S381">
        <f>IF(BC380&lt;=0,0,IF(ROUND(BC380*(1+'Calc base'!Q381),2)-MAX('Calc base'!L$12,ROUND('Calc base'!L$13*BC380,2))&lt;1,ROUND(BC380*(1+'Calc base'!Q381),2),MAX('Calc base'!L$12,ROUND('Calc base'!L$13*BC380,2))))</f>
        <v>0</v>
      </c>
      <c r="T381">
        <f>IF(BD380&lt;=0,0,IF(ROUND(BD380*(1+'Calc base'!R381),2)-MAX('Calc base'!M$12,ROUND('Calc base'!M$13*BD380,2))&lt;1,ROUND(BD380*(1+'Calc base'!R381),2),MAX('Calc base'!M$12,ROUND('Calc base'!M$13*BD380,2))))</f>
        <v>0</v>
      </c>
      <c r="U381">
        <f>IF(BE380&lt;=0,0,IF(ROUND(BE380*(1+'Calc base'!S381),2)-MAX('Calc base'!N$12,ROUND('Calc base'!N$13*BE380,2))&lt;1,ROUND(BE380*(1+'Calc base'!S381),2),MAX('Calc base'!N$12,ROUND('Calc base'!N$13*BE380,2))))</f>
        <v>0</v>
      </c>
      <c r="AT381">
        <f>MAX(0,ROUND(AT380*(1+'Calc base'!H381),2)-J381)</f>
        <v>0</v>
      </c>
      <c r="AU381">
        <f>MAX(0,ROUND(AU380*(1+'Calc base'!I381),2)-K381)</f>
        <v>0</v>
      </c>
      <c r="AV381">
        <f>MAX(0,ROUND(AV380*(1+'Calc base'!J381),2)-L381)</f>
        <v>0</v>
      </c>
      <c r="AW381">
        <f>MAX(0,ROUND(AW380*(1+'Calc base'!K381),2)-M381)</f>
        <v>0</v>
      </c>
      <c r="AX381">
        <f>MAX(0,ROUND(AX380*(1+'Calc base'!L381),2)-N381)</f>
        <v>0</v>
      </c>
      <c r="AY381">
        <f>MAX(0,ROUND(AY380*(1+'Calc base'!M381),2)-O381)</f>
        <v>0</v>
      </c>
      <c r="AZ381">
        <f>MAX(0,ROUND(AZ380*(1+'Calc base'!N381),2)-P381)</f>
        <v>0</v>
      </c>
      <c r="BA381">
        <f>MAX(0,ROUND(BA380*(1+'Calc base'!O381),2)-Q381)</f>
        <v>0</v>
      </c>
      <c r="BB381">
        <f>MAX(0,ROUND(BB380*(1+'Calc base'!P381),2)-R381)</f>
        <v>0</v>
      </c>
      <c r="BC381">
        <f>MAX(0,ROUND(BC380*(1+'Calc base'!Q381),2)-S381)</f>
        <v>0</v>
      </c>
      <c r="BD381">
        <f>MAX(0,ROUND(BD380*(1+'Calc base'!R381),2)-T381)</f>
        <v>0</v>
      </c>
      <c r="BE381">
        <f>MAX(0,ROUND(BE380*(1+'Calc base'!S381),2)-U381)</f>
        <v>0</v>
      </c>
    </row>
    <row r="382">
      <c r="A382" t="n">
        <v>352</v>
      </c>
      <c r="B382">
        <f>SUMPRODUCT(ROUND($AT381:$BE381*(1+'Calc base'!$H382:$S382),2))</f>
        <v>0</v>
      </c>
      <c r="C382">
        <f>SUM(J382:U382)</f>
        <v>0</v>
      </c>
      <c r="G382">
        <f>SUM(AT382:BE382)</f>
        <v>0</v>
      </c>
      <c r="H382">
        <f>B382-G381</f>
        <v>0</v>
      </c>
      <c r="I382">
        <f>B382-G382</f>
        <v>0</v>
      </c>
      <c r="J382">
        <f>IF(AT381&lt;=0,0,IF(ROUND(AT381*(1+'Calc base'!H382),2)-MAX('Calc base'!C$12,ROUND('Calc base'!C$13*AT381,2))&lt;1,ROUND(AT381*(1+'Calc base'!H382),2),MAX('Calc base'!C$12,ROUND('Calc base'!C$13*AT381,2))))</f>
        <v>0</v>
      </c>
      <c r="K382">
        <f>IF(AU381&lt;=0,0,IF(ROUND(AU381*(1+'Calc base'!I382),2)-MAX('Calc base'!D$12,ROUND('Calc base'!D$13*AU381,2))&lt;1,ROUND(AU381*(1+'Calc base'!I382),2),MAX('Calc base'!D$12,ROUND('Calc base'!D$13*AU381,2))))</f>
        <v>0</v>
      </c>
      <c r="L382">
        <f>IF(AV381&lt;=0,0,IF(ROUND(AV381*(1+'Calc base'!J382),2)-MAX('Calc base'!E$12,ROUND('Calc base'!E$13*AV381,2))&lt;1,ROUND(AV381*(1+'Calc base'!J382),2),MAX('Calc base'!E$12,ROUND('Calc base'!E$13*AV381,2))))</f>
        <v>0</v>
      </c>
      <c r="M382">
        <f>IF(AW381&lt;=0,0,IF(ROUND(AW381*(1+'Calc base'!K382),2)-MAX('Calc base'!F$12,ROUND('Calc base'!F$13*AW381,2))&lt;1,ROUND(AW381*(1+'Calc base'!K382),2),MAX('Calc base'!F$12,ROUND('Calc base'!F$13*AW381,2))))</f>
        <v>0</v>
      </c>
      <c r="N382">
        <f>IF(AX381&lt;=0,0,IF(ROUND(AX381*(1+'Calc base'!L382),2)-MAX('Calc base'!G$12,ROUND('Calc base'!G$13*AX381,2))&lt;1,ROUND(AX381*(1+'Calc base'!L382),2),MAX('Calc base'!G$12,ROUND('Calc base'!G$13*AX381,2))))</f>
        <v>0</v>
      </c>
      <c r="O382">
        <f>IF(AY381&lt;=0,0,IF(ROUND(AY381*(1+'Calc base'!M382),2)-MAX('Calc base'!H$12,ROUND('Calc base'!H$13*AY381,2))&lt;1,ROUND(AY381*(1+'Calc base'!M382),2),MAX('Calc base'!H$12,ROUND('Calc base'!H$13*AY381,2))))</f>
        <v>0</v>
      </c>
      <c r="P382">
        <f>IF(AZ381&lt;=0,0,IF(ROUND(AZ381*(1+'Calc base'!N382),2)-MAX('Calc base'!I$12,ROUND('Calc base'!I$13*AZ381,2))&lt;1,ROUND(AZ381*(1+'Calc base'!N382),2),MAX('Calc base'!I$12,ROUND('Calc base'!I$13*AZ381,2))))</f>
        <v>0</v>
      </c>
      <c r="Q382">
        <f>IF(BA381&lt;=0,0,IF(ROUND(BA381*(1+'Calc base'!O382),2)-MAX('Calc base'!J$12,ROUND('Calc base'!J$13*BA381,2))&lt;1,ROUND(BA381*(1+'Calc base'!O382),2),MAX('Calc base'!J$12,ROUND('Calc base'!J$13*BA381,2))))</f>
        <v>0</v>
      </c>
      <c r="R382">
        <f>IF(BB381&lt;=0,0,IF(ROUND(BB381*(1+'Calc base'!P382),2)-MAX('Calc base'!K$12,ROUND('Calc base'!K$13*BB381,2))&lt;1,ROUND(BB381*(1+'Calc base'!P382),2),MAX('Calc base'!K$12,ROUND('Calc base'!K$13*BB381,2))))</f>
        <v>0</v>
      </c>
      <c r="S382">
        <f>IF(BC381&lt;=0,0,IF(ROUND(BC381*(1+'Calc base'!Q382),2)-MAX('Calc base'!L$12,ROUND('Calc base'!L$13*BC381,2))&lt;1,ROUND(BC381*(1+'Calc base'!Q382),2),MAX('Calc base'!L$12,ROUND('Calc base'!L$13*BC381,2))))</f>
        <v>0</v>
      </c>
      <c r="T382">
        <f>IF(BD381&lt;=0,0,IF(ROUND(BD381*(1+'Calc base'!R382),2)-MAX('Calc base'!M$12,ROUND('Calc base'!M$13*BD381,2))&lt;1,ROUND(BD381*(1+'Calc base'!R382),2),MAX('Calc base'!M$12,ROUND('Calc base'!M$13*BD381,2))))</f>
        <v>0</v>
      </c>
      <c r="U382">
        <f>IF(BE381&lt;=0,0,IF(ROUND(BE381*(1+'Calc base'!S382),2)-MAX('Calc base'!N$12,ROUND('Calc base'!N$13*BE381,2))&lt;1,ROUND(BE381*(1+'Calc base'!S382),2),MAX('Calc base'!N$12,ROUND('Calc base'!N$13*BE381,2))))</f>
        <v>0</v>
      </c>
      <c r="AT382">
        <f>MAX(0,ROUND(AT381*(1+'Calc base'!H382),2)-J382)</f>
        <v>0</v>
      </c>
      <c r="AU382">
        <f>MAX(0,ROUND(AU381*(1+'Calc base'!I382),2)-K382)</f>
        <v>0</v>
      </c>
      <c r="AV382">
        <f>MAX(0,ROUND(AV381*(1+'Calc base'!J382),2)-L382)</f>
        <v>0</v>
      </c>
      <c r="AW382">
        <f>MAX(0,ROUND(AW381*(1+'Calc base'!K382),2)-M382)</f>
        <v>0</v>
      </c>
      <c r="AX382">
        <f>MAX(0,ROUND(AX381*(1+'Calc base'!L382),2)-N382)</f>
        <v>0</v>
      </c>
      <c r="AY382">
        <f>MAX(0,ROUND(AY381*(1+'Calc base'!M382),2)-O382)</f>
        <v>0</v>
      </c>
      <c r="AZ382">
        <f>MAX(0,ROUND(AZ381*(1+'Calc base'!N382),2)-P382)</f>
        <v>0</v>
      </c>
      <c r="BA382">
        <f>MAX(0,ROUND(BA381*(1+'Calc base'!O382),2)-Q382)</f>
        <v>0</v>
      </c>
      <c r="BB382">
        <f>MAX(0,ROUND(BB381*(1+'Calc base'!P382),2)-R382)</f>
        <v>0</v>
      </c>
      <c r="BC382">
        <f>MAX(0,ROUND(BC381*(1+'Calc base'!Q382),2)-S382)</f>
        <v>0</v>
      </c>
      <c r="BD382">
        <f>MAX(0,ROUND(BD381*(1+'Calc base'!R382),2)-T382)</f>
        <v>0</v>
      </c>
      <c r="BE382">
        <f>MAX(0,ROUND(BE381*(1+'Calc base'!S382),2)-U382)</f>
        <v>0</v>
      </c>
    </row>
    <row r="383">
      <c r="A383" t="n">
        <v>353</v>
      </c>
      <c r="B383">
        <f>SUMPRODUCT(ROUND($AT382:$BE382*(1+'Calc base'!$H383:$S383),2))</f>
        <v>0</v>
      </c>
      <c r="C383">
        <f>SUM(J383:U383)</f>
        <v>0</v>
      </c>
      <c r="G383">
        <f>SUM(AT383:BE383)</f>
        <v>0</v>
      </c>
      <c r="H383">
        <f>B383-G382</f>
        <v>0</v>
      </c>
      <c r="I383">
        <f>B383-G383</f>
        <v>0</v>
      </c>
      <c r="J383">
        <f>IF(AT382&lt;=0,0,IF(ROUND(AT382*(1+'Calc base'!H383),2)-MAX('Calc base'!C$12,ROUND('Calc base'!C$13*AT382,2))&lt;1,ROUND(AT382*(1+'Calc base'!H383),2),MAX('Calc base'!C$12,ROUND('Calc base'!C$13*AT382,2))))</f>
        <v>0</v>
      </c>
      <c r="K383">
        <f>IF(AU382&lt;=0,0,IF(ROUND(AU382*(1+'Calc base'!I383),2)-MAX('Calc base'!D$12,ROUND('Calc base'!D$13*AU382,2))&lt;1,ROUND(AU382*(1+'Calc base'!I383),2),MAX('Calc base'!D$12,ROUND('Calc base'!D$13*AU382,2))))</f>
        <v>0</v>
      </c>
      <c r="L383">
        <f>IF(AV382&lt;=0,0,IF(ROUND(AV382*(1+'Calc base'!J383),2)-MAX('Calc base'!E$12,ROUND('Calc base'!E$13*AV382,2))&lt;1,ROUND(AV382*(1+'Calc base'!J383),2),MAX('Calc base'!E$12,ROUND('Calc base'!E$13*AV382,2))))</f>
        <v>0</v>
      </c>
      <c r="M383">
        <f>IF(AW382&lt;=0,0,IF(ROUND(AW382*(1+'Calc base'!K383),2)-MAX('Calc base'!F$12,ROUND('Calc base'!F$13*AW382,2))&lt;1,ROUND(AW382*(1+'Calc base'!K383),2),MAX('Calc base'!F$12,ROUND('Calc base'!F$13*AW382,2))))</f>
        <v>0</v>
      </c>
      <c r="N383">
        <f>IF(AX382&lt;=0,0,IF(ROUND(AX382*(1+'Calc base'!L383),2)-MAX('Calc base'!G$12,ROUND('Calc base'!G$13*AX382,2))&lt;1,ROUND(AX382*(1+'Calc base'!L383),2),MAX('Calc base'!G$12,ROUND('Calc base'!G$13*AX382,2))))</f>
        <v>0</v>
      </c>
      <c r="O383">
        <f>IF(AY382&lt;=0,0,IF(ROUND(AY382*(1+'Calc base'!M383),2)-MAX('Calc base'!H$12,ROUND('Calc base'!H$13*AY382,2))&lt;1,ROUND(AY382*(1+'Calc base'!M383),2),MAX('Calc base'!H$12,ROUND('Calc base'!H$13*AY382,2))))</f>
        <v>0</v>
      </c>
      <c r="P383">
        <f>IF(AZ382&lt;=0,0,IF(ROUND(AZ382*(1+'Calc base'!N383),2)-MAX('Calc base'!I$12,ROUND('Calc base'!I$13*AZ382,2))&lt;1,ROUND(AZ382*(1+'Calc base'!N383),2),MAX('Calc base'!I$12,ROUND('Calc base'!I$13*AZ382,2))))</f>
        <v>0</v>
      </c>
      <c r="Q383">
        <f>IF(BA382&lt;=0,0,IF(ROUND(BA382*(1+'Calc base'!O383),2)-MAX('Calc base'!J$12,ROUND('Calc base'!J$13*BA382,2))&lt;1,ROUND(BA382*(1+'Calc base'!O383),2),MAX('Calc base'!J$12,ROUND('Calc base'!J$13*BA382,2))))</f>
        <v>0</v>
      </c>
      <c r="R383">
        <f>IF(BB382&lt;=0,0,IF(ROUND(BB382*(1+'Calc base'!P383),2)-MAX('Calc base'!K$12,ROUND('Calc base'!K$13*BB382,2))&lt;1,ROUND(BB382*(1+'Calc base'!P383),2),MAX('Calc base'!K$12,ROUND('Calc base'!K$13*BB382,2))))</f>
        <v>0</v>
      </c>
      <c r="S383">
        <f>IF(BC382&lt;=0,0,IF(ROUND(BC382*(1+'Calc base'!Q383),2)-MAX('Calc base'!L$12,ROUND('Calc base'!L$13*BC382,2))&lt;1,ROUND(BC382*(1+'Calc base'!Q383),2),MAX('Calc base'!L$12,ROUND('Calc base'!L$13*BC382,2))))</f>
        <v>0</v>
      </c>
      <c r="T383">
        <f>IF(BD382&lt;=0,0,IF(ROUND(BD382*(1+'Calc base'!R383),2)-MAX('Calc base'!M$12,ROUND('Calc base'!M$13*BD382,2))&lt;1,ROUND(BD382*(1+'Calc base'!R383),2),MAX('Calc base'!M$12,ROUND('Calc base'!M$13*BD382,2))))</f>
        <v>0</v>
      </c>
      <c r="U383">
        <f>IF(BE382&lt;=0,0,IF(ROUND(BE382*(1+'Calc base'!S383),2)-MAX('Calc base'!N$12,ROUND('Calc base'!N$13*BE382,2))&lt;1,ROUND(BE382*(1+'Calc base'!S383),2),MAX('Calc base'!N$12,ROUND('Calc base'!N$13*BE382,2))))</f>
        <v>0</v>
      </c>
      <c r="AT383">
        <f>MAX(0,ROUND(AT382*(1+'Calc base'!H383),2)-J383)</f>
        <v>0</v>
      </c>
      <c r="AU383">
        <f>MAX(0,ROUND(AU382*(1+'Calc base'!I383),2)-K383)</f>
        <v>0</v>
      </c>
      <c r="AV383">
        <f>MAX(0,ROUND(AV382*(1+'Calc base'!J383),2)-L383)</f>
        <v>0</v>
      </c>
      <c r="AW383">
        <f>MAX(0,ROUND(AW382*(1+'Calc base'!K383),2)-M383)</f>
        <v>0</v>
      </c>
      <c r="AX383">
        <f>MAX(0,ROUND(AX382*(1+'Calc base'!L383),2)-N383)</f>
        <v>0</v>
      </c>
      <c r="AY383">
        <f>MAX(0,ROUND(AY382*(1+'Calc base'!M383),2)-O383)</f>
        <v>0</v>
      </c>
      <c r="AZ383">
        <f>MAX(0,ROUND(AZ382*(1+'Calc base'!N383),2)-P383)</f>
        <v>0</v>
      </c>
      <c r="BA383">
        <f>MAX(0,ROUND(BA382*(1+'Calc base'!O383),2)-Q383)</f>
        <v>0</v>
      </c>
      <c r="BB383">
        <f>MAX(0,ROUND(BB382*(1+'Calc base'!P383),2)-R383)</f>
        <v>0</v>
      </c>
      <c r="BC383">
        <f>MAX(0,ROUND(BC382*(1+'Calc base'!Q383),2)-S383)</f>
        <v>0</v>
      </c>
      <c r="BD383">
        <f>MAX(0,ROUND(BD382*(1+'Calc base'!R383),2)-T383)</f>
        <v>0</v>
      </c>
      <c r="BE383">
        <f>MAX(0,ROUND(BE382*(1+'Calc base'!S383),2)-U383)</f>
        <v>0</v>
      </c>
    </row>
    <row r="384">
      <c r="A384" t="n">
        <v>354</v>
      </c>
      <c r="B384">
        <f>SUMPRODUCT(ROUND($AT383:$BE383*(1+'Calc base'!$H384:$S384),2))</f>
        <v>0</v>
      </c>
      <c r="C384">
        <f>SUM(J384:U384)</f>
        <v>0</v>
      </c>
      <c r="G384">
        <f>SUM(AT384:BE384)</f>
        <v>0</v>
      </c>
      <c r="H384">
        <f>B384-G383</f>
        <v>0</v>
      </c>
      <c r="I384">
        <f>B384-G384</f>
        <v>0</v>
      </c>
      <c r="J384">
        <f>IF(AT383&lt;=0,0,IF(ROUND(AT383*(1+'Calc base'!H384),2)-MAX('Calc base'!C$12,ROUND('Calc base'!C$13*AT383,2))&lt;1,ROUND(AT383*(1+'Calc base'!H384),2),MAX('Calc base'!C$12,ROUND('Calc base'!C$13*AT383,2))))</f>
        <v>0</v>
      </c>
      <c r="K384">
        <f>IF(AU383&lt;=0,0,IF(ROUND(AU383*(1+'Calc base'!I384),2)-MAX('Calc base'!D$12,ROUND('Calc base'!D$13*AU383,2))&lt;1,ROUND(AU383*(1+'Calc base'!I384),2),MAX('Calc base'!D$12,ROUND('Calc base'!D$13*AU383,2))))</f>
        <v>0</v>
      </c>
      <c r="L384">
        <f>IF(AV383&lt;=0,0,IF(ROUND(AV383*(1+'Calc base'!J384),2)-MAX('Calc base'!E$12,ROUND('Calc base'!E$13*AV383,2))&lt;1,ROUND(AV383*(1+'Calc base'!J384),2),MAX('Calc base'!E$12,ROUND('Calc base'!E$13*AV383,2))))</f>
        <v>0</v>
      </c>
      <c r="M384">
        <f>IF(AW383&lt;=0,0,IF(ROUND(AW383*(1+'Calc base'!K384),2)-MAX('Calc base'!F$12,ROUND('Calc base'!F$13*AW383,2))&lt;1,ROUND(AW383*(1+'Calc base'!K384),2),MAX('Calc base'!F$12,ROUND('Calc base'!F$13*AW383,2))))</f>
        <v>0</v>
      </c>
      <c r="N384">
        <f>IF(AX383&lt;=0,0,IF(ROUND(AX383*(1+'Calc base'!L384),2)-MAX('Calc base'!G$12,ROUND('Calc base'!G$13*AX383,2))&lt;1,ROUND(AX383*(1+'Calc base'!L384),2),MAX('Calc base'!G$12,ROUND('Calc base'!G$13*AX383,2))))</f>
        <v>0</v>
      </c>
      <c r="O384">
        <f>IF(AY383&lt;=0,0,IF(ROUND(AY383*(1+'Calc base'!M384),2)-MAX('Calc base'!H$12,ROUND('Calc base'!H$13*AY383,2))&lt;1,ROUND(AY383*(1+'Calc base'!M384),2),MAX('Calc base'!H$12,ROUND('Calc base'!H$13*AY383,2))))</f>
        <v>0</v>
      </c>
      <c r="P384">
        <f>IF(AZ383&lt;=0,0,IF(ROUND(AZ383*(1+'Calc base'!N384),2)-MAX('Calc base'!I$12,ROUND('Calc base'!I$13*AZ383,2))&lt;1,ROUND(AZ383*(1+'Calc base'!N384),2),MAX('Calc base'!I$12,ROUND('Calc base'!I$13*AZ383,2))))</f>
        <v>0</v>
      </c>
      <c r="Q384">
        <f>IF(BA383&lt;=0,0,IF(ROUND(BA383*(1+'Calc base'!O384),2)-MAX('Calc base'!J$12,ROUND('Calc base'!J$13*BA383,2))&lt;1,ROUND(BA383*(1+'Calc base'!O384),2),MAX('Calc base'!J$12,ROUND('Calc base'!J$13*BA383,2))))</f>
        <v>0</v>
      </c>
      <c r="R384">
        <f>IF(BB383&lt;=0,0,IF(ROUND(BB383*(1+'Calc base'!P384),2)-MAX('Calc base'!K$12,ROUND('Calc base'!K$13*BB383,2))&lt;1,ROUND(BB383*(1+'Calc base'!P384),2),MAX('Calc base'!K$12,ROUND('Calc base'!K$13*BB383,2))))</f>
        <v>0</v>
      </c>
      <c r="S384">
        <f>IF(BC383&lt;=0,0,IF(ROUND(BC383*(1+'Calc base'!Q384),2)-MAX('Calc base'!L$12,ROUND('Calc base'!L$13*BC383,2))&lt;1,ROUND(BC383*(1+'Calc base'!Q384),2),MAX('Calc base'!L$12,ROUND('Calc base'!L$13*BC383,2))))</f>
        <v>0</v>
      </c>
      <c r="T384">
        <f>IF(BD383&lt;=0,0,IF(ROUND(BD383*(1+'Calc base'!R384),2)-MAX('Calc base'!M$12,ROUND('Calc base'!M$13*BD383,2))&lt;1,ROUND(BD383*(1+'Calc base'!R384),2),MAX('Calc base'!M$12,ROUND('Calc base'!M$13*BD383,2))))</f>
        <v>0</v>
      </c>
      <c r="U384">
        <f>IF(BE383&lt;=0,0,IF(ROUND(BE383*(1+'Calc base'!S384),2)-MAX('Calc base'!N$12,ROUND('Calc base'!N$13*BE383,2))&lt;1,ROUND(BE383*(1+'Calc base'!S384),2),MAX('Calc base'!N$12,ROUND('Calc base'!N$13*BE383,2))))</f>
        <v>0</v>
      </c>
      <c r="AT384">
        <f>MAX(0,ROUND(AT383*(1+'Calc base'!H384),2)-J384)</f>
        <v>0</v>
      </c>
      <c r="AU384">
        <f>MAX(0,ROUND(AU383*(1+'Calc base'!I384),2)-K384)</f>
        <v>0</v>
      </c>
      <c r="AV384">
        <f>MAX(0,ROUND(AV383*(1+'Calc base'!J384),2)-L384)</f>
        <v>0</v>
      </c>
      <c r="AW384">
        <f>MAX(0,ROUND(AW383*(1+'Calc base'!K384),2)-M384)</f>
        <v>0</v>
      </c>
      <c r="AX384">
        <f>MAX(0,ROUND(AX383*(1+'Calc base'!L384),2)-N384)</f>
        <v>0</v>
      </c>
      <c r="AY384">
        <f>MAX(0,ROUND(AY383*(1+'Calc base'!M384),2)-O384)</f>
        <v>0</v>
      </c>
      <c r="AZ384">
        <f>MAX(0,ROUND(AZ383*(1+'Calc base'!N384),2)-P384)</f>
        <v>0</v>
      </c>
      <c r="BA384">
        <f>MAX(0,ROUND(BA383*(1+'Calc base'!O384),2)-Q384)</f>
        <v>0</v>
      </c>
      <c r="BB384">
        <f>MAX(0,ROUND(BB383*(1+'Calc base'!P384),2)-R384)</f>
        <v>0</v>
      </c>
      <c r="BC384">
        <f>MAX(0,ROUND(BC383*(1+'Calc base'!Q384),2)-S384)</f>
        <v>0</v>
      </c>
      <c r="BD384">
        <f>MAX(0,ROUND(BD383*(1+'Calc base'!R384),2)-T384)</f>
        <v>0</v>
      </c>
      <c r="BE384">
        <f>MAX(0,ROUND(BE383*(1+'Calc base'!S384),2)-U384)</f>
        <v>0</v>
      </c>
    </row>
    <row r="385">
      <c r="A385" t="n">
        <v>355</v>
      </c>
      <c r="B385">
        <f>SUMPRODUCT(ROUND($AT384:$BE384*(1+'Calc base'!$H385:$S385),2))</f>
        <v>0</v>
      </c>
      <c r="C385">
        <f>SUM(J385:U385)</f>
        <v>0</v>
      </c>
      <c r="G385">
        <f>SUM(AT385:BE385)</f>
        <v>0</v>
      </c>
      <c r="H385">
        <f>B385-G384</f>
        <v>0</v>
      </c>
      <c r="I385">
        <f>B385-G385</f>
        <v>0</v>
      </c>
      <c r="J385">
        <f>IF(AT384&lt;=0,0,IF(ROUND(AT384*(1+'Calc base'!H385),2)-MAX('Calc base'!C$12,ROUND('Calc base'!C$13*AT384,2))&lt;1,ROUND(AT384*(1+'Calc base'!H385),2),MAX('Calc base'!C$12,ROUND('Calc base'!C$13*AT384,2))))</f>
        <v>0</v>
      </c>
      <c r="K385">
        <f>IF(AU384&lt;=0,0,IF(ROUND(AU384*(1+'Calc base'!I385),2)-MAX('Calc base'!D$12,ROUND('Calc base'!D$13*AU384,2))&lt;1,ROUND(AU384*(1+'Calc base'!I385),2),MAX('Calc base'!D$12,ROUND('Calc base'!D$13*AU384,2))))</f>
        <v>0</v>
      </c>
      <c r="L385">
        <f>IF(AV384&lt;=0,0,IF(ROUND(AV384*(1+'Calc base'!J385),2)-MAX('Calc base'!E$12,ROUND('Calc base'!E$13*AV384,2))&lt;1,ROUND(AV384*(1+'Calc base'!J385),2),MAX('Calc base'!E$12,ROUND('Calc base'!E$13*AV384,2))))</f>
        <v>0</v>
      </c>
      <c r="M385">
        <f>IF(AW384&lt;=0,0,IF(ROUND(AW384*(1+'Calc base'!K385),2)-MAX('Calc base'!F$12,ROUND('Calc base'!F$13*AW384,2))&lt;1,ROUND(AW384*(1+'Calc base'!K385),2),MAX('Calc base'!F$12,ROUND('Calc base'!F$13*AW384,2))))</f>
        <v>0</v>
      </c>
      <c r="N385">
        <f>IF(AX384&lt;=0,0,IF(ROUND(AX384*(1+'Calc base'!L385),2)-MAX('Calc base'!G$12,ROUND('Calc base'!G$13*AX384,2))&lt;1,ROUND(AX384*(1+'Calc base'!L385),2),MAX('Calc base'!G$12,ROUND('Calc base'!G$13*AX384,2))))</f>
        <v>0</v>
      </c>
      <c r="O385">
        <f>IF(AY384&lt;=0,0,IF(ROUND(AY384*(1+'Calc base'!M385),2)-MAX('Calc base'!H$12,ROUND('Calc base'!H$13*AY384,2))&lt;1,ROUND(AY384*(1+'Calc base'!M385),2),MAX('Calc base'!H$12,ROUND('Calc base'!H$13*AY384,2))))</f>
        <v>0</v>
      </c>
      <c r="P385">
        <f>IF(AZ384&lt;=0,0,IF(ROUND(AZ384*(1+'Calc base'!N385),2)-MAX('Calc base'!I$12,ROUND('Calc base'!I$13*AZ384,2))&lt;1,ROUND(AZ384*(1+'Calc base'!N385),2),MAX('Calc base'!I$12,ROUND('Calc base'!I$13*AZ384,2))))</f>
        <v>0</v>
      </c>
      <c r="Q385">
        <f>IF(BA384&lt;=0,0,IF(ROUND(BA384*(1+'Calc base'!O385),2)-MAX('Calc base'!J$12,ROUND('Calc base'!J$13*BA384,2))&lt;1,ROUND(BA384*(1+'Calc base'!O385),2),MAX('Calc base'!J$12,ROUND('Calc base'!J$13*BA384,2))))</f>
        <v>0</v>
      </c>
      <c r="R385">
        <f>IF(BB384&lt;=0,0,IF(ROUND(BB384*(1+'Calc base'!P385),2)-MAX('Calc base'!K$12,ROUND('Calc base'!K$13*BB384,2))&lt;1,ROUND(BB384*(1+'Calc base'!P385),2),MAX('Calc base'!K$12,ROUND('Calc base'!K$13*BB384,2))))</f>
        <v>0</v>
      </c>
      <c r="S385">
        <f>IF(BC384&lt;=0,0,IF(ROUND(BC384*(1+'Calc base'!Q385),2)-MAX('Calc base'!L$12,ROUND('Calc base'!L$13*BC384,2))&lt;1,ROUND(BC384*(1+'Calc base'!Q385),2),MAX('Calc base'!L$12,ROUND('Calc base'!L$13*BC384,2))))</f>
        <v>0</v>
      </c>
      <c r="T385">
        <f>IF(BD384&lt;=0,0,IF(ROUND(BD384*(1+'Calc base'!R385),2)-MAX('Calc base'!M$12,ROUND('Calc base'!M$13*BD384,2))&lt;1,ROUND(BD384*(1+'Calc base'!R385),2),MAX('Calc base'!M$12,ROUND('Calc base'!M$13*BD384,2))))</f>
        <v>0</v>
      </c>
      <c r="U385">
        <f>IF(BE384&lt;=0,0,IF(ROUND(BE384*(1+'Calc base'!S385),2)-MAX('Calc base'!N$12,ROUND('Calc base'!N$13*BE384,2))&lt;1,ROUND(BE384*(1+'Calc base'!S385),2),MAX('Calc base'!N$12,ROUND('Calc base'!N$13*BE384,2))))</f>
        <v>0</v>
      </c>
      <c r="AT385">
        <f>MAX(0,ROUND(AT384*(1+'Calc base'!H385),2)-J385)</f>
        <v>0</v>
      </c>
      <c r="AU385">
        <f>MAX(0,ROUND(AU384*(1+'Calc base'!I385),2)-K385)</f>
        <v>0</v>
      </c>
      <c r="AV385">
        <f>MAX(0,ROUND(AV384*(1+'Calc base'!J385),2)-L385)</f>
        <v>0</v>
      </c>
      <c r="AW385">
        <f>MAX(0,ROUND(AW384*(1+'Calc base'!K385),2)-M385)</f>
        <v>0</v>
      </c>
      <c r="AX385">
        <f>MAX(0,ROUND(AX384*(1+'Calc base'!L385),2)-N385)</f>
        <v>0</v>
      </c>
      <c r="AY385">
        <f>MAX(0,ROUND(AY384*(1+'Calc base'!M385),2)-O385)</f>
        <v>0</v>
      </c>
      <c r="AZ385">
        <f>MAX(0,ROUND(AZ384*(1+'Calc base'!N385),2)-P385)</f>
        <v>0</v>
      </c>
      <c r="BA385">
        <f>MAX(0,ROUND(BA384*(1+'Calc base'!O385),2)-Q385)</f>
        <v>0</v>
      </c>
      <c r="BB385">
        <f>MAX(0,ROUND(BB384*(1+'Calc base'!P385),2)-R385)</f>
        <v>0</v>
      </c>
      <c r="BC385">
        <f>MAX(0,ROUND(BC384*(1+'Calc base'!Q385),2)-S385)</f>
        <v>0</v>
      </c>
      <c r="BD385">
        <f>MAX(0,ROUND(BD384*(1+'Calc base'!R385),2)-T385)</f>
        <v>0</v>
      </c>
      <c r="BE385">
        <f>MAX(0,ROUND(BE384*(1+'Calc base'!S385),2)-U385)</f>
        <v>0</v>
      </c>
    </row>
    <row r="386">
      <c r="A386" t="n">
        <v>356</v>
      </c>
      <c r="B386">
        <f>SUMPRODUCT(ROUND($AT385:$BE385*(1+'Calc base'!$H386:$S386),2))</f>
        <v>0</v>
      </c>
      <c r="C386">
        <f>SUM(J386:U386)</f>
        <v>0</v>
      </c>
      <c r="G386">
        <f>SUM(AT386:BE386)</f>
        <v>0</v>
      </c>
      <c r="H386">
        <f>B386-G385</f>
        <v>0</v>
      </c>
      <c r="I386">
        <f>B386-G386</f>
        <v>0</v>
      </c>
      <c r="J386">
        <f>IF(AT385&lt;=0,0,IF(ROUND(AT385*(1+'Calc base'!H386),2)-MAX('Calc base'!C$12,ROUND('Calc base'!C$13*AT385,2))&lt;1,ROUND(AT385*(1+'Calc base'!H386),2),MAX('Calc base'!C$12,ROUND('Calc base'!C$13*AT385,2))))</f>
        <v>0</v>
      </c>
      <c r="K386">
        <f>IF(AU385&lt;=0,0,IF(ROUND(AU385*(1+'Calc base'!I386),2)-MAX('Calc base'!D$12,ROUND('Calc base'!D$13*AU385,2))&lt;1,ROUND(AU385*(1+'Calc base'!I386),2),MAX('Calc base'!D$12,ROUND('Calc base'!D$13*AU385,2))))</f>
        <v>0</v>
      </c>
      <c r="L386">
        <f>IF(AV385&lt;=0,0,IF(ROUND(AV385*(1+'Calc base'!J386),2)-MAX('Calc base'!E$12,ROUND('Calc base'!E$13*AV385,2))&lt;1,ROUND(AV385*(1+'Calc base'!J386),2),MAX('Calc base'!E$12,ROUND('Calc base'!E$13*AV385,2))))</f>
        <v>0</v>
      </c>
      <c r="M386">
        <f>IF(AW385&lt;=0,0,IF(ROUND(AW385*(1+'Calc base'!K386),2)-MAX('Calc base'!F$12,ROUND('Calc base'!F$13*AW385,2))&lt;1,ROUND(AW385*(1+'Calc base'!K386),2),MAX('Calc base'!F$12,ROUND('Calc base'!F$13*AW385,2))))</f>
        <v>0</v>
      </c>
      <c r="N386">
        <f>IF(AX385&lt;=0,0,IF(ROUND(AX385*(1+'Calc base'!L386),2)-MAX('Calc base'!G$12,ROUND('Calc base'!G$13*AX385,2))&lt;1,ROUND(AX385*(1+'Calc base'!L386),2),MAX('Calc base'!G$12,ROUND('Calc base'!G$13*AX385,2))))</f>
        <v>0</v>
      </c>
      <c r="O386">
        <f>IF(AY385&lt;=0,0,IF(ROUND(AY385*(1+'Calc base'!M386),2)-MAX('Calc base'!H$12,ROUND('Calc base'!H$13*AY385,2))&lt;1,ROUND(AY385*(1+'Calc base'!M386),2),MAX('Calc base'!H$12,ROUND('Calc base'!H$13*AY385,2))))</f>
        <v>0</v>
      </c>
      <c r="P386">
        <f>IF(AZ385&lt;=0,0,IF(ROUND(AZ385*(1+'Calc base'!N386),2)-MAX('Calc base'!I$12,ROUND('Calc base'!I$13*AZ385,2))&lt;1,ROUND(AZ385*(1+'Calc base'!N386),2),MAX('Calc base'!I$12,ROUND('Calc base'!I$13*AZ385,2))))</f>
        <v>0</v>
      </c>
      <c r="Q386">
        <f>IF(BA385&lt;=0,0,IF(ROUND(BA385*(1+'Calc base'!O386),2)-MAX('Calc base'!J$12,ROUND('Calc base'!J$13*BA385,2))&lt;1,ROUND(BA385*(1+'Calc base'!O386),2),MAX('Calc base'!J$12,ROUND('Calc base'!J$13*BA385,2))))</f>
        <v>0</v>
      </c>
      <c r="R386">
        <f>IF(BB385&lt;=0,0,IF(ROUND(BB385*(1+'Calc base'!P386),2)-MAX('Calc base'!K$12,ROUND('Calc base'!K$13*BB385,2))&lt;1,ROUND(BB385*(1+'Calc base'!P386),2),MAX('Calc base'!K$12,ROUND('Calc base'!K$13*BB385,2))))</f>
        <v>0</v>
      </c>
      <c r="S386">
        <f>IF(BC385&lt;=0,0,IF(ROUND(BC385*(1+'Calc base'!Q386),2)-MAX('Calc base'!L$12,ROUND('Calc base'!L$13*BC385,2))&lt;1,ROUND(BC385*(1+'Calc base'!Q386),2),MAX('Calc base'!L$12,ROUND('Calc base'!L$13*BC385,2))))</f>
        <v>0</v>
      </c>
      <c r="T386">
        <f>IF(BD385&lt;=0,0,IF(ROUND(BD385*(1+'Calc base'!R386),2)-MAX('Calc base'!M$12,ROUND('Calc base'!M$13*BD385,2))&lt;1,ROUND(BD385*(1+'Calc base'!R386),2),MAX('Calc base'!M$12,ROUND('Calc base'!M$13*BD385,2))))</f>
        <v>0</v>
      </c>
      <c r="U386">
        <f>IF(BE385&lt;=0,0,IF(ROUND(BE385*(1+'Calc base'!S386),2)-MAX('Calc base'!N$12,ROUND('Calc base'!N$13*BE385,2))&lt;1,ROUND(BE385*(1+'Calc base'!S386),2),MAX('Calc base'!N$12,ROUND('Calc base'!N$13*BE385,2))))</f>
        <v>0</v>
      </c>
      <c r="AT386">
        <f>MAX(0,ROUND(AT385*(1+'Calc base'!H386),2)-J386)</f>
        <v>0</v>
      </c>
      <c r="AU386">
        <f>MAX(0,ROUND(AU385*(1+'Calc base'!I386),2)-K386)</f>
        <v>0</v>
      </c>
      <c r="AV386">
        <f>MAX(0,ROUND(AV385*(1+'Calc base'!J386),2)-L386)</f>
        <v>0</v>
      </c>
      <c r="AW386">
        <f>MAX(0,ROUND(AW385*(1+'Calc base'!K386),2)-M386)</f>
        <v>0</v>
      </c>
      <c r="AX386">
        <f>MAX(0,ROUND(AX385*(1+'Calc base'!L386),2)-N386)</f>
        <v>0</v>
      </c>
      <c r="AY386">
        <f>MAX(0,ROUND(AY385*(1+'Calc base'!M386),2)-O386)</f>
        <v>0</v>
      </c>
      <c r="AZ386">
        <f>MAX(0,ROUND(AZ385*(1+'Calc base'!N386),2)-P386)</f>
        <v>0</v>
      </c>
      <c r="BA386">
        <f>MAX(0,ROUND(BA385*(1+'Calc base'!O386),2)-Q386)</f>
        <v>0</v>
      </c>
      <c r="BB386">
        <f>MAX(0,ROUND(BB385*(1+'Calc base'!P386),2)-R386)</f>
        <v>0</v>
      </c>
      <c r="BC386">
        <f>MAX(0,ROUND(BC385*(1+'Calc base'!Q386),2)-S386)</f>
        <v>0</v>
      </c>
      <c r="BD386">
        <f>MAX(0,ROUND(BD385*(1+'Calc base'!R386),2)-T386)</f>
        <v>0</v>
      </c>
      <c r="BE386">
        <f>MAX(0,ROUND(BE385*(1+'Calc base'!S386),2)-U386)</f>
        <v>0</v>
      </c>
    </row>
    <row r="387">
      <c r="A387" t="n">
        <v>357</v>
      </c>
      <c r="B387">
        <f>SUMPRODUCT(ROUND($AT386:$BE386*(1+'Calc base'!$H387:$S387),2))</f>
        <v>0</v>
      </c>
      <c r="C387">
        <f>SUM(J387:U387)</f>
        <v>0</v>
      </c>
      <c r="G387">
        <f>SUM(AT387:BE387)</f>
        <v>0</v>
      </c>
      <c r="H387">
        <f>B387-G386</f>
        <v>0</v>
      </c>
      <c r="I387">
        <f>B387-G387</f>
        <v>0</v>
      </c>
      <c r="J387">
        <f>IF(AT386&lt;=0,0,IF(ROUND(AT386*(1+'Calc base'!H387),2)-MAX('Calc base'!C$12,ROUND('Calc base'!C$13*AT386,2))&lt;1,ROUND(AT386*(1+'Calc base'!H387),2),MAX('Calc base'!C$12,ROUND('Calc base'!C$13*AT386,2))))</f>
        <v>0</v>
      </c>
      <c r="K387">
        <f>IF(AU386&lt;=0,0,IF(ROUND(AU386*(1+'Calc base'!I387),2)-MAX('Calc base'!D$12,ROUND('Calc base'!D$13*AU386,2))&lt;1,ROUND(AU386*(1+'Calc base'!I387),2),MAX('Calc base'!D$12,ROUND('Calc base'!D$13*AU386,2))))</f>
        <v>0</v>
      </c>
      <c r="L387">
        <f>IF(AV386&lt;=0,0,IF(ROUND(AV386*(1+'Calc base'!J387),2)-MAX('Calc base'!E$12,ROUND('Calc base'!E$13*AV386,2))&lt;1,ROUND(AV386*(1+'Calc base'!J387),2),MAX('Calc base'!E$12,ROUND('Calc base'!E$13*AV386,2))))</f>
        <v>0</v>
      </c>
      <c r="M387">
        <f>IF(AW386&lt;=0,0,IF(ROUND(AW386*(1+'Calc base'!K387),2)-MAX('Calc base'!F$12,ROUND('Calc base'!F$13*AW386,2))&lt;1,ROUND(AW386*(1+'Calc base'!K387),2),MAX('Calc base'!F$12,ROUND('Calc base'!F$13*AW386,2))))</f>
        <v>0</v>
      </c>
      <c r="N387">
        <f>IF(AX386&lt;=0,0,IF(ROUND(AX386*(1+'Calc base'!L387),2)-MAX('Calc base'!G$12,ROUND('Calc base'!G$13*AX386,2))&lt;1,ROUND(AX386*(1+'Calc base'!L387),2),MAX('Calc base'!G$12,ROUND('Calc base'!G$13*AX386,2))))</f>
        <v>0</v>
      </c>
      <c r="O387">
        <f>IF(AY386&lt;=0,0,IF(ROUND(AY386*(1+'Calc base'!M387),2)-MAX('Calc base'!H$12,ROUND('Calc base'!H$13*AY386,2))&lt;1,ROUND(AY386*(1+'Calc base'!M387),2),MAX('Calc base'!H$12,ROUND('Calc base'!H$13*AY386,2))))</f>
        <v>0</v>
      </c>
      <c r="P387">
        <f>IF(AZ386&lt;=0,0,IF(ROUND(AZ386*(1+'Calc base'!N387),2)-MAX('Calc base'!I$12,ROUND('Calc base'!I$13*AZ386,2))&lt;1,ROUND(AZ386*(1+'Calc base'!N387),2),MAX('Calc base'!I$12,ROUND('Calc base'!I$13*AZ386,2))))</f>
        <v>0</v>
      </c>
      <c r="Q387">
        <f>IF(BA386&lt;=0,0,IF(ROUND(BA386*(1+'Calc base'!O387),2)-MAX('Calc base'!J$12,ROUND('Calc base'!J$13*BA386,2))&lt;1,ROUND(BA386*(1+'Calc base'!O387),2),MAX('Calc base'!J$12,ROUND('Calc base'!J$13*BA386,2))))</f>
        <v>0</v>
      </c>
      <c r="R387">
        <f>IF(BB386&lt;=0,0,IF(ROUND(BB386*(1+'Calc base'!P387),2)-MAX('Calc base'!K$12,ROUND('Calc base'!K$13*BB386,2))&lt;1,ROUND(BB386*(1+'Calc base'!P387),2),MAX('Calc base'!K$12,ROUND('Calc base'!K$13*BB386,2))))</f>
        <v>0</v>
      </c>
      <c r="S387">
        <f>IF(BC386&lt;=0,0,IF(ROUND(BC386*(1+'Calc base'!Q387),2)-MAX('Calc base'!L$12,ROUND('Calc base'!L$13*BC386,2))&lt;1,ROUND(BC386*(1+'Calc base'!Q387),2),MAX('Calc base'!L$12,ROUND('Calc base'!L$13*BC386,2))))</f>
        <v>0</v>
      </c>
      <c r="T387">
        <f>IF(BD386&lt;=0,0,IF(ROUND(BD386*(1+'Calc base'!R387),2)-MAX('Calc base'!M$12,ROUND('Calc base'!M$13*BD386,2))&lt;1,ROUND(BD386*(1+'Calc base'!R387),2),MAX('Calc base'!M$12,ROUND('Calc base'!M$13*BD386,2))))</f>
        <v>0</v>
      </c>
      <c r="U387">
        <f>IF(BE386&lt;=0,0,IF(ROUND(BE386*(1+'Calc base'!S387),2)-MAX('Calc base'!N$12,ROUND('Calc base'!N$13*BE386,2))&lt;1,ROUND(BE386*(1+'Calc base'!S387),2),MAX('Calc base'!N$12,ROUND('Calc base'!N$13*BE386,2))))</f>
        <v>0</v>
      </c>
      <c r="AT387">
        <f>MAX(0,ROUND(AT386*(1+'Calc base'!H387),2)-J387)</f>
        <v>0</v>
      </c>
      <c r="AU387">
        <f>MAX(0,ROUND(AU386*(1+'Calc base'!I387),2)-K387)</f>
        <v>0</v>
      </c>
      <c r="AV387">
        <f>MAX(0,ROUND(AV386*(1+'Calc base'!J387),2)-L387)</f>
        <v>0</v>
      </c>
      <c r="AW387">
        <f>MAX(0,ROUND(AW386*(1+'Calc base'!K387),2)-M387)</f>
        <v>0</v>
      </c>
      <c r="AX387">
        <f>MAX(0,ROUND(AX386*(1+'Calc base'!L387),2)-N387)</f>
        <v>0</v>
      </c>
      <c r="AY387">
        <f>MAX(0,ROUND(AY386*(1+'Calc base'!M387),2)-O387)</f>
        <v>0</v>
      </c>
      <c r="AZ387">
        <f>MAX(0,ROUND(AZ386*(1+'Calc base'!N387),2)-P387)</f>
        <v>0</v>
      </c>
      <c r="BA387">
        <f>MAX(0,ROUND(BA386*(1+'Calc base'!O387),2)-Q387)</f>
        <v>0</v>
      </c>
      <c r="BB387">
        <f>MAX(0,ROUND(BB386*(1+'Calc base'!P387),2)-R387)</f>
        <v>0</v>
      </c>
      <c r="BC387">
        <f>MAX(0,ROUND(BC386*(1+'Calc base'!Q387),2)-S387)</f>
        <v>0</v>
      </c>
      <c r="BD387">
        <f>MAX(0,ROUND(BD386*(1+'Calc base'!R387),2)-T387)</f>
        <v>0</v>
      </c>
      <c r="BE387">
        <f>MAX(0,ROUND(BE386*(1+'Calc base'!S387),2)-U387)</f>
        <v>0</v>
      </c>
    </row>
    <row r="388">
      <c r="A388" t="n">
        <v>358</v>
      </c>
      <c r="B388">
        <f>SUMPRODUCT(ROUND($AT387:$BE387*(1+'Calc base'!$H388:$S388),2))</f>
        <v>0</v>
      </c>
      <c r="C388">
        <f>SUM(J388:U388)</f>
        <v>0</v>
      </c>
      <c r="G388">
        <f>SUM(AT388:BE388)</f>
        <v>0</v>
      </c>
      <c r="H388">
        <f>B388-G387</f>
        <v>0</v>
      </c>
      <c r="I388">
        <f>B388-G388</f>
        <v>0</v>
      </c>
      <c r="J388">
        <f>IF(AT387&lt;=0,0,IF(ROUND(AT387*(1+'Calc base'!H388),2)-MAX('Calc base'!C$12,ROUND('Calc base'!C$13*AT387,2))&lt;1,ROUND(AT387*(1+'Calc base'!H388),2),MAX('Calc base'!C$12,ROUND('Calc base'!C$13*AT387,2))))</f>
        <v>0</v>
      </c>
      <c r="K388">
        <f>IF(AU387&lt;=0,0,IF(ROUND(AU387*(1+'Calc base'!I388),2)-MAX('Calc base'!D$12,ROUND('Calc base'!D$13*AU387,2))&lt;1,ROUND(AU387*(1+'Calc base'!I388),2),MAX('Calc base'!D$12,ROUND('Calc base'!D$13*AU387,2))))</f>
        <v>0</v>
      </c>
      <c r="L388">
        <f>IF(AV387&lt;=0,0,IF(ROUND(AV387*(1+'Calc base'!J388),2)-MAX('Calc base'!E$12,ROUND('Calc base'!E$13*AV387,2))&lt;1,ROUND(AV387*(1+'Calc base'!J388),2),MAX('Calc base'!E$12,ROUND('Calc base'!E$13*AV387,2))))</f>
        <v>0</v>
      </c>
      <c r="M388">
        <f>IF(AW387&lt;=0,0,IF(ROUND(AW387*(1+'Calc base'!K388),2)-MAX('Calc base'!F$12,ROUND('Calc base'!F$13*AW387,2))&lt;1,ROUND(AW387*(1+'Calc base'!K388),2),MAX('Calc base'!F$12,ROUND('Calc base'!F$13*AW387,2))))</f>
        <v>0</v>
      </c>
      <c r="N388">
        <f>IF(AX387&lt;=0,0,IF(ROUND(AX387*(1+'Calc base'!L388),2)-MAX('Calc base'!G$12,ROUND('Calc base'!G$13*AX387,2))&lt;1,ROUND(AX387*(1+'Calc base'!L388),2),MAX('Calc base'!G$12,ROUND('Calc base'!G$13*AX387,2))))</f>
        <v>0</v>
      </c>
      <c r="O388">
        <f>IF(AY387&lt;=0,0,IF(ROUND(AY387*(1+'Calc base'!M388),2)-MAX('Calc base'!H$12,ROUND('Calc base'!H$13*AY387,2))&lt;1,ROUND(AY387*(1+'Calc base'!M388),2),MAX('Calc base'!H$12,ROUND('Calc base'!H$13*AY387,2))))</f>
        <v>0</v>
      </c>
      <c r="P388">
        <f>IF(AZ387&lt;=0,0,IF(ROUND(AZ387*(1+'Calc base'!N388),2)-MAX('Calc base'!I$12,ROUND('Calc base'!I$13*AZ387,2))&lt;1,ROUND(AZ387*(1+'Calc base'!N388),2),MAX('Calc base'!I$12,ROUND('Calc base'!I$13*AZ387,2))))</f>
        <v>0</v>
      </c>
      <c r="Q388">
        <f>IF(BA387&lt;=0,0,IF(ROUND(BA387*(1+'Calc base'!O388),2)-MAX('Calc base'!J$12,ROUND('Calc base'!J$13*BA387,2))&lt;1,ROUND(BA387*(1+'Calc base'!O388),2),MAX('Calc base'!J$12,ROUND('Calc base'!J$13*BA387,2))))</f>
        <v>0</v>
      </c>
      <c r="R388">
        <f>IF(BB387&lt;=0,0,IF(ROUND(BB387*(1+'Calc base'!P388),2)-MAX('Calc base'!K$12,ROUND('Calc base'!K$13*BB387,2))&lt;1,ROUND(BB387*(1+'Calc base'!P388),2),MAX('Calc base'!K$12,ROUND('Calc base'!K$13*BB387,2))))</f>
        <v>0</v>
      </c>
      <c r="S388">
        <f>IF(BC387&lt;=0,0,IF(ROUND(BC387*(1+'Calc base'!Q388),2)-MAX('Calc base'!L$12,ROUND('Calc base'!L$13*BC387,2))&lt;1,ROUND(BC387*(1+'Calc base'!Q388),2),MAX('Calc base'!L$12,ROUND('Calc base'!L$13*BC387,2))))</f>
        <v>0</v>
      </c>
      <c r="T388">
        <f>IF(BD387&lt;=0,0,IF(ROUND(BD387*(1+'Calc base'!R388),2)-MAX('Calc base'!M$12,ROUND('Calc base'!M$13*BD387,2))&lt;1,ROUND(BD387*(1+'Calc base'!R388),2),MAX('Calc base'!M$12,ROUND('Calc base'!M$13*BD387,2))))</f>
        <v>0</v>
      </c>
      <c r="U388">
        <f>IF(BE387&lt;=0,0,IF(ROUND(BE387*(1+'Calc base'!S388),2)-MAX('Calc base'!N$12,ROUND('Calc base'!N$13*BE387,2))&lt;1,ROUND(BE387*(1+'Calc base'!S388),2),MAX('Calc base'!N$12,ROUND('Calc base'!N$13*BE387,2))))</f>
        <v>0</v>
      </c>
      <c r="AT388">
        <f>MAX(0,ROUND(AT387*(1+'Calc base'!H388),2)-J388)</f>
        <v>0</v>
      </c>
      <c r="AU388">
        <f>MAX(0,ROUND(AU387*(1+'Calc base'!I388),2)-K388)</f>
        <v>0</v>
      </c>
      <c r="AV388">
        <f>MAX(0,ROUND(AV387*(1+'Calc base'!J388),2)-L388)</f>
        <v>0</v>
      </c>
      <c r="AW388">
        <f>MAX(0,ROUND(AW387*(1+'Calc base'!K388),2)-M388)</f>
        <v>0</v>
      </c>
      <c r="AX388">
        <f>MAX(0,ROUND(AX387*(1+'Calc base'!L388),2)-N388)</f>
        <v>0</v>
      </c>
      <c r="AY388">
        <f>MAX(0,ROUND(AY387*(1+'Calc base'!M388),2)-O388)</f>
        <v>0</v>
      </c>
      <c r="AZ388">
        <f>MAX(0,ROUND(AZ387*(1+'Calc base'!N388),2)-P388)</f>
        <v>0</v>
      </c>
      <c r="BA388">
        <f>MAX(0,ROUND(BA387*(1+'Calc base'!O388),2)-Q388)</f>
        <v>0</v>
      </c>
      <c r="BB388">
        <f>MAX(0,ROUND(BB387*(1+'Calc base'!P388),2)-R388)</f>
        <v>0</v>
      </c>
      <c r="BC388">
        <f>MAX(0,ROUND(BC387*(1+'Calc base'!Q388),2)-S388)</f>
        <v>0</v>
      </c>
      <c r="BD388">
        <f>MAX(0,ROUND(BD387*(1+'Calc base'!R388),2)-T388)</f>
        <v>0</v>
      </c>
      <c r="BE388">
        <f>MAX(0,ROUND(BE387*(1+'Calc base'!S388),2)-U388)</f>
        <v>0</v>
      </c>
    </row>
    <row r="389">
      <c r="A389" t="n">
        <v>359</v>
      </c>
      <c r="B389">
        <f>SUMPRODUCT(ROUND($AT388:$BE388*(1+'Calc base'!$H389:$S389),2))</f>
        <v>0</v>
      </c>
      <c r="C389">
        <f>SUM(J389:U389)</f>
        <v>0</v>
      </c>
      <c r="G389">
        <f>SUM(AT389:BE389)</f>
        <v>0</v>
      </c>
      <c r="H389">
        <f>B389-G388</f>
        <v>0</v>
      </c>
      <c r="I389">
        <f>B389-G389</f>
        <v>0</v>
      </c>
      <c r="J389">
        <f>IF(AT388&lt;=0,0,IF(ROUND(AT388*(1+'Calc base'!H389),2)-MAX('Calc base'!C$12,ROUND('Calc base'!C$13*AT388,2))&lt;1,ROUND(AT388*(1+'Calc base'!H389),2),MAX('Calc base'!C$12,ROUND('Calc base'!C$13*AT388,2))))</f>
        <v>0</v>
      </c>
      <c r="K389">
        <f>IF(AU388&lt;=0,0,IF(ROUND(AU388*(1+'Calc base'!I389),2)-MAX('Calc base'!D$12,ROUND('Calc base'!D$13*AU388,2))&lt;1,ROUND(AU388*(1+'Calc base'!I389),2),MAX('Calc base'!D$12,ROUND('Calc base'!D$13*AU388,2))))</f>
        <v>0</v>
      </c>
      <c r="L389">
        <f>IF(AV388&lt;=0,0,IF(ROUND(AV388*(1+'Calc base'!J389),2)-MAX('Calc base'!E$12,ROUND('Calc base'!E$13*AV388,2))&lt;1,ROUND(AV388*(1+'Calc base'!J389),2),MAX('Calc base'!E$12,ROUND('Calc base'!E$13*AV388,2))))</f>
        <v>0</v>
      </c>
      <c r="M389">
        <f>IF(AW388&lt;=0,0,IF(ROUND(AW388*(1+'Calc base'!K389),2)-MAX('Calc base'!F$12,ROUND('Calc base'!F$13*AW388,2))&lt;1,ROUND(AW388*(1+'Calc base'!K389),2),MAX('Calc base'!F$12,ROUND('Calc base'!F$13*AW388,2))))</f>
        <v>0</v>
      </c>
      <c r="N389">
        <f>IF(AX388&lt;=0,0,IF(ROUND(AX388*(1+'Calc base'!L389),2)-MAX('Calc base'!G$12,ROUND('Calc base'!G$13*AX388,2))&lt;1,ROUND(AX388*(1+'Calc base'!L389),2),MAX('Calc base'!G$12,ROUND('Calc base'!G$13*AX388,2))))</f>
        <v>0</v>
      </c>
      <c r="O389">
        <f>IF(AY388&lt;=0,0,IF(ROUND(AY388*(1+'Calc base'!M389),2)-MAX('Calc base'!H$12,ROUND('Calc base'!H$13*AY388,2))&lt;1,ROUND(AY388*(1+'Calc base'!M389),2),MAX('Calc base'!H$12,ROUND('Calc base'!H$13*AY388,2))))</f>
        <v>0</v>
      </c>
      <c r="P389">
        <f>IF(AZ388&lt;=0,0,IF(ROUND(AZ388*(1+'Calc base'!N389),2)-MAX('Calc base'!I$12,ROUND('Calc base'!I$13*AZ388,2))&lt;1,ROUND(AZ388*(1+'Calc base'!N389),2),MAX('Calc base'!I$12,ROUND('Calc base'!I$13*AZ388,2))))</f>
        <v>0</v>
      </c>
      <c r="Q389">
        <f>IF(BA388&lt;=0,0,IF(ROUND(BA388*(1+'Calc base'!O389),2)-MAX('Calc base'!J$12,ROUND('Calc base'!J$13*BA388,2))&lt;1,ROUND(BA388*(1+'Calc base'!O389),2),MAX('Calc base'!J$12,ROUND('Calc base'!J$13*BA388,2))))</f>
        <v>0</v>
      </c>
      <c r="R389">
        <f>IF(BB388&lt;=0,0,IF(ROUND(BB388*(1+'Calc base'!P389),2)-MAX('Calc base'!K$12,ROUND('Calc base'!K$13*BB388,2))&lt;1,ROUND(BB388*(1+'Calc base'!P389),2),MAX('Calc base'!K$12,ROUND('Calc base'!K$13*BB388,2))))</f>
        <v>0</v>
      </c>
      <c r="S389">
        <f>IF(BC388&lt;=0,0,IF(ROUND(BC388*(1+'Calc base'!Q389),2)-MAX('Calc base'!L$12,ROUND('Calc base'!L$13*BC388,2))&lt;1,ROUND(BC388*(1+'Calc base'!Q389),2),MAX('Calc base'!L$12,ROUND('Calc base'!L$13*BC388,2))))</f>
        <v>0</v>
      </c>
      <c r="T389">
        <f>IF(BD388&lt;=0,0,IF(ROUND(BD388*(1+'Calc base'!R389),2)-MAX('Calc base'!M$12,ROUND('Calc base'!M$13*BD388,2))&lt;1,ROUND(BD388*(1+'Calc base'!R389),2),MAX('Calc base'!M$12,ROUND('Calc base'!M$13*BD388,2))))</f>
        <v>0</v>
      </c>
      <c r="U389">
        <f>IF(BE388&lt;=0,0,IF(ROUND(BE388*(1+'Calc base'!S389),2)-MAX('Calc base'!N$12,ROUND('Calc base'!N$13*BE388,2))&lt;1,ROUND(BE388*(1+'Calc base'!S389),2),MAX('Calc base'!N$12,ROUND('Calc base'!N$13*BE388,2))))</f>
        <v>0</v>
      </c>
      <c r="AT389">
        <f>MAX(0,ROUND(AT388*(1+'Calc base'!H389),2)-J389)</f>
        <v>0</v>
      </c>
      <c r="AU389">
        <f>MAX(0,ROUND(AU388*(1+'Calc base'!I389),2)-K389)</f>
        <v>0</v>
      </c>
      <c r="AV389">
        <f>MAX(0,ROUND(AV388*(1+'Calc base'!J389),2)-L389)</f>
        <v>0</v>
      </c>
      <c r="AW389">
        <f>MAX(0,ROUND(AW388*(1+'Calc base'!K389),2)-M389)</f>
        <v>0</v>
      </c>
      <c r="AX389">
        <f>MAX(0,ROUND(AX388*(1+'Calc base'!L389),2)-N389)</f>
        <v>0</v>
      </c>
      <c r="AY389">
        <f>MAX(0,ROUND(AY388*(1+'Calc base'!M389),2)-O389)</f>
        <v>0</v>
      </c>
      <c r="AZ389">
        <f>MAX(0,ROUND(AZ388*(1+'Calc base'!N389),2)-P389)</f>
        <v>0</v>
      </c>
      <c r="BA389">
        <f>MAX(0,ROUND(BA388*(1+'Calc base'!O389),2)-Q389)</f>
        <v>0</v>
      </c>
      <c r="BB389">
        <f>MAX(0,ROUND(BB388*(1+'Calc base'!P389),2)-R389)</f>
        <v>0</v>
      </c>
      <c r="BC389">
        <f>MAX(0,ROUND(BC388*(1+'Calc base'!Q389),2)-S389)</f>
        <v>0</v>
      </c>
      <c r="BD389">
        <f>MAX(0,ROUND(BD388*(1+'Calc base'!R389),2)-T389)</f>
        <v>0</v>
      </c>
      <c r="BE389">
        <f>MAX(0,ROUND(BE388*(1+'Calc base'!S389),2)-U389)</f>
        <v>0</v>
      </c>
    </row>
    <row r="390">
      <c r="A390" t="n">
        <v>360</v>
      </c>
      <c r="B390">
        <f>SUMPRODUCT(ROUND($AT389:$BE389*(1+'Calc base'!$H390:$S390),2))</f>
        <v>0</v>
      </c>
      <c r="C390">
        <f>SUM(J390:U390)</f>
        <v>0</v>
      </c>
      <c r="G390">
        <f>SUM(AT390:BE390)</f>
        <v>0</v>
      </c>
      <c r="H390">
        <f>B390-G389</f>
        <v>0</v>
      </c>
      <c r="I390">
        <f>B390-G390</f>
        <v>0</v>
      </c>
      <c r="J390">
        <f>IF(AT389&lt;=0,0,IF(ROUND(AT389*(1+'Calc base'!H390),2)-MAX('Calc base'!C$12,ROUND('Calc base'!C$13*AT389,2))&lt;1,ROUND(AT389*(1+'Calc base'!H390),2),MAX('Calc base'!C$12,ROUND('Calc base'!C$13*AT389,2))))</f>
        <v>0</v>
      </c>
      <c r="K390">
        <f>IF(AU389&lt;=0,0,IF(ROUND(AU389*(1+'Calc base'!I390),2)-MAX('Calc base'!D$12,ROUND('Calc base'!D$13*AU389,2))&lt;1,ROUND(AU389*(1+'Calc base'!I390),2),MAX('Calc base'!D$12,ROUND('Calc base'!D$13*AU389,2))))</f>
        <v>0</v>
      </c>
      <c r="L390">
        <f>IF(AV389&lt;=0,0,IF(ROUND(AV389*(1+'Calc base'!J390),2)-MAX('Calc base'!E$12,ROUND('Calc base'!E$13*AV389,2))&lt;1,ROUND(AV389*(1+'Calc base'!J390),2),MAX('Calc base'!E$12,ROUND('Calc base'!E$13*AV389,2))))</f>
        <v>0</v>
      </c>
      <c r="M390">
        <f>IF(AW389&lt;=0,0,IF(ROUND(AW389*(1+'Calc base'!K390),2)-MAX('Calc base'!F$12,ROUND('Calc base'!F$13*AW389,2))&lt;1,ROUND(AW389*(1+'Calc base'!K390),2),MAX('Calc base'!F$12,ROUND('Calc base'!F$13*AW389,2))))</f>
        <v>0</v>
      </c>
      <c r="N390">
        <f>IF(AX389&lt;=0,0,IF(ROUND(AX389*(1+'Calc base'!L390),2)-MAX('Calc base'!G$12,ROUND('Calc base'!G$13*AX389,2))&lt;1,ROUND(AX389*(1+'Calc base'!L390),2),MAX('Calc base'!G$12,ROUND('Calc base'!G$13*AX389,2))))</f>
        <v>0</v>
      </c>
      <c r="O390">
        <f>IF(AY389&lt;=0,0,IF(ROUND(AY389*(1+'Calc base'!M390),2)-MAX('Calc base'!H$12,ROUND('Calc base'!H$13*AY389,2))&lt;1,ROUND(AY389*(1+'Calc base'!M390),2),MAX('Calc base'!H$12,ROUND('Calc base'!H$13*AY389,2))))</f>
        <v>0</v>
      </c>
      <c r="P390">
        <f>IF(AZ389&lt;=0,0,IF(ROUND(AZ389*(1+'Calc base'!N390),2)-MAX('Calc base'!I$12,ROUND('Calc base'!I$13*AZ389,2))&lt;1,ROUND(AZ389*(1+'Calc base'!N390),2),MAX('Calc base'!I$12,ROUND('Calc base'!I$13*AZ389,2))))</f>
        <v>0</v>
      </c>
      <c r="Q390">
        <f>IF(BA389&lt;=0,0,IF(ROUND(BA389*(1+'Calc base'!O390),2)-MAX('Calc base'!J$12,ROUND('Calc base'!J$13*BA389,2))&lt;1,ROUND(BA389*(1+'Calc base'!O390),2),MAX('Calc base'!J$12,ROUND('Calc base'!J$13*BA389,2))))</f>
        <v>0</v>
      </c>
      <c r="R390">
        <f>IF(BB389&lt;=0,0,IF(ROUND(BB389*(1+'Calc base'!P390),2)-MAX('Calc base'!K$12,ROUND('Calc base'!K$13*BB389,2))&lt;1,ROUND(BB389*(1+'Calc base'!P390),2),MAX('Calc base'!K$12,ROUND('Calc base'!K$13*BB389,2))))</f>
        <v>0</v>
      </c>
      <c r="S390">
        <f>IF(BC389&lt;=0,0,IF(ROUND(BC389*(1+'Calc base'!Q390),2)-MAX('Calc base'!L$12,ROUND('Calc base'!L$13*BC389,2))&lt;1,ROUND(BC389*(1+'Calc base'!Q390),2),MAX('Calc base'!L$12,ROUND('Calc base'!L$13*BC389,2))))</f>
        <v>0</v>
      </c>
      <c r="T390">
        <f>IF(BD389&lt;=0,0,IF(ROUND(BD389*(1+'Calc base'!R390),2)-MAX('Calc base'!M$12,ROUND('Calc base'!M$13*BD389,2))&lt;1,ROUND(BD389*(1+'Calc base'!R390),2),MAX('Calc base'!M$12,ROUND('Calc base'!M$13*BD389,2))))</f>
        <v>0</v>
      </c>
      <c r="U390">
        <f>IF(BE389&lt;=0,0,IF(ROUND(BE389*(1+'Calc base'!S390),2)-MAX('Calc base'!N$12,ROUND('Calc base'!N$13*BE389,2))&lt;1,ROUND(BE389*(1+'Calc base'!S390),2),MAX('Calc base'!N$12,ROUND('Calc base'!N$13*BE389,2))))</f>
        <v>0</v>
      </c>
      <c r="AT390">
        <f>MAX(0,ROUND(AT389*(1+'Calc base'!H390),2)-J390)</f>
        <v>0</v>
      </c>
      <c r="AU390">
        <f>MAX(0,ROUND(AU389*(1+'Calc base'!I390),2)-K390)</f>
        <v>0</v>
      </c>
      <c r="AV390">
        <f>MAX(0,ROUND(AV389*(1+'Calc base'!J390),2)-L390)</f>
        <v>0</v>
      </c>
      <c r="AW390">
        <f>MAX(0,ROUND(AW389*(1+'Calc base'!K390),2)-M390)</f>
        <v>0</v>
      </c>
      <c r="AX390">
        <f>MAX(0,ROUND(AX389*(1+'Calc base'!L390),2)-N390)</f>
        <v>0</v>
      </c>
      <c r="AY390">
        <f>MAX(0,ROUND(AY389*(1+'Calc base'!M390),2)-O390)</f>
        <v>0</v>
      </c>
      <c r="AZ390">
        <f>MAX(0,ROUND(AZ389*(1+'Calc base'!N390),2)-P390)</f>
        <v>0</v>
      </c>
      <c r="BA390">
        <f>MAX(0,ROUND(BA389*(1+'Calc base'!O390),2)-Q390)</f>
        <v>0</v>
      </c>
      <c r="BB390">
        <f>MAX(0,ROUND(BB389*(1+'Calc base'!P390),2)-R390)</f>
        <v>0</v>
      </c>
      <c r="BC390">
        <f>MAX(0,ROUND(BC389*(1+'Calc base'!Q390),2)-S390)</f>
        <v>0</v>
      </c>
      <c r="BD390">
        <f>MAX(0,ROUND(BD389*(1+'Calc base'!R390),2)-T390)</f>
        <v>0</v>
      </c>
      <c r="BE390">
        <f>MAX(0,ROUND(BE389*(1+'Calc base'!S390),2)-U390)</f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I169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2">
      <c r="A2" t="inlineStr">
        <is>
          <t>Strategia scelta (1-3)</t>
        </is>
      </c>
      <c r="B2">
        <f>IF(Riepilogo!$Q$2="Palla di neve",2,IF(Riepilogo!$Q$2="Personalizzata",3,1))</f>
        <v>1</v>
      </c>
    </row>
    <row r="3">
      <c r="A3" t="inlineStr">
        <is>
          <t>Mesi per finire</t>
        </is>
      </c>
      <c r="B3">
        <f>CHOOSE('Calc riepilogo'!$B$2,'Calc valanga'!$B$2,'Calc palla di neve'!$B$2,'Calc personalizzata'!$B$2)</f>
        <v>25</v>
      </c>
    </row>
    <row r="4">
      <c r="A4" t="inlineStr">
        <is>
          <t>Interessi</t>
        </is>
      </c>
      <c r="B4">
        <f>CHOOSE('Calc riepilogo'!$B$2,'Calc valanga'!$B$3,'Calc palla di neve'!$B$3,'Calc personalizzata'!$B$3)</f>
        <v>1673.95</v>
      </c>
    </row>
    <row r="5">
      <c r="A5" t="inlineStr">
        <is>
          <t>Pagato</t>
        </is>
      </c>
      <c r="B5">
        <f>CHOOSE('Calc riepilogo'!$B$2,'Calc valanga'!$B$4,'Calc palla di neve'!$B$4,'Calc personalizzata'!$B$4)</f>
        <v>23263.95</v>
      </c>
    </row>
    <row r="6">
      <c r="A6" t="inlineStr">
        <is>
          <t>Fine</t>
        </is>
      </c>
      <c r="B6">
        <f>CHOOSE('Calc riepilogo'!$B$2,'Calc valanga'!$B$6,'Calc palla di neve'!$B$6,'Calc personalizzata'!$B$6)</f>
        <v>47058.0</v>
      </c>
    </row>
    <row r="7">
      <c r="A7" t="inlineStr">
        <is>
          <t>Mesi da mostrare</t>
        </is>
      </c>
      <c r="B7">
        <f>IF(B3=9999,360,B3)</f>
        <v>25</v>
      </c>
    </row>
    <row r="8">
      <c r="A8" t="inlineStr">
        <is>
          <t>Debito totale oggi</t>
        </is>
      </c>
      <c r="B8">
        <f>SUM('Calc base'!$C$8:$N$8)</f>
        <v>21590</v>
      </c>
    </row>
    <row r="9">
      <c r="A9" t="inlineStr">
        <is>
          <t>Numero di debiti</t>
        </is>
      </c>
      <c r="B9">
        <f>SUM('Calc base'!$C$7:$N$7)</f>
        <v>6</v>
      </c>
    </row>
    <row r="10">
      <c r="A10" t="inlineStr">
        <is>
          <t>Mesi con le sole rate minime</t>
        </is>
      </c>
      <c r="B10">
        <f>'Calc rate minime'!$B$2</f>
        <v>109</v>
      </c>
    </row>
    <row r="11">
      <c r="A11" t="inlineStr">
        <is>
          <t>Interessi con le sole rate minime</t>
        </is>
      </c>
      <c r="B11">
        <f>'Calc rate minime'!$B$3</f>
        <v>4369.01</v>
      </c>
    </row>
    <row r="12">
      <c r="A12" t="inlineStr">
        <is>
          <t>Fine con le sole rate minime</t>
        </is>
      </c>
      <c r="B12">
        <f>'Calc rate minime'!$B$6</f>
        <v>49614.0</v>
      </c>
    </row>
    <row r="13">
      <c r="A13" t="inlineStr">
        <is>
          <t>Anno di inizio</t>
        </is>
      </c>
      <c r="B13">
        <f>'Calc base'!$B$2</f>
        <v>2026</v>
      </c>
    </row>
    <row r="14">
      <c r="A14" t="inlineStr">
        <is>
          <t>Mese di inizio</t>
        </is>
      </c>
      <c r="B14">
        <f>'Calc base'!$B$3</f>
        <v>11</v>
      </c>
    </row>
    <row r="15">
      <c r="A15" t="inlineStr">
        <is>
          <t>Orizzonte del grafico</t>
        </is>
      </c>
      <c r="B15">
        <f>IF(COUNTIF(B18:B20,"&lt;9999")=0,360,MAX(1,SUMPRODUCT(MAX((B18:B20&lt;9999)*B18:B20))))</f>
        <v>25</v>
      </c>
    </row>
    <row r="16">
      <c r="A16" t="inlineStr">
        <is>
          <t>Fra quanto</t>
        </is>
      </c>
      <c r="B16" t="str">
        <f>IF(B3=0,"",IF(B3=9999,"con questo budget, oltre 30 anni","fra "&amp;IF(INT(B3/12)=0,"",INT(B3/12)&amp;IF(INT(B3/12)=1," anno"," anni"))&amp;IF(AND(INT(B3/12)&gt;0,MOD(B3,12)&gt;0)," e ","")&amp;IF(MOD(B3,12)=0,"",MOD(B3,12)&amp;IF(MOD(B3,12)=1," mese"," mesi"))))</f>
        <v>fra 2 anni e 1 mese</v>
      </c>
    </row>
    <row r="17">
      <c r="A17" t="inlineStr">
        <is>
          <t>Strategia</t>
        </is>
      </c>
      <c r="B17" t="inlineStr">
        <is>
          <t>Mesi</t>
        </is>
      </c>
      <c r="C17" t="inlineStr">
        <is>
          <t>Fine</t>
        </is>
      </c>
      <c r="D17" t="inlineStr">
        <is>
          <t>Interessi</t>
        </is>
      </c>
      <c r="E17" t="inlineStr">
        <is>
          <t>Pagato</t>
        </is>
      </c>
      <c r="F17" t="inlineStr">
        <is>
          <t>Interessi risparmiati</t>
        </is>
      </c>
      <c r="G17" t="inlineStr">
        <is>
          <t>Mesi in meno</t>
        </is>
      </c>
    </row>
    <row r="18">
      <c r="A18" t="inlineStr">
        <is>
          <t>Valanga</t>
        </is>
      </c>
      <c r="B18">
        <f>'Calc valanga'!$B$2</f>
        <v>25</v>
      </c>
      <c r="C18">
        <f>'Calc valanga'!$B$6</f>
        <v>47058.0</v>
      </c>
      <c r="D18">
        <f>'Calc valanga'!$B$3</f>
        <v>1673.95</v>
      </c>
      <c r="E18">
        <f>'Calc valanga'!$B$4</f>
        <v>23263.95</v>
      </c>
      <c r="F18">
        <f>IF($B$9=0,"",$D$21-D18)</f>
        <v>2695.06</v>
      </c>
      <c r="G18">
        <f>IF(OR($B$9=0,B18=9999,$B$21=9999),"",$B$21-B18)</f>
        <v>84</v>
      </c>
    </row>
    <row r="19">
      <c r="A19" t="inlineStr">
        <is>
          <t>Palla di neve</t>
        </is>
      </c>
      <c r="B19">
        <f>'Calc palla di neve'!$B$2</f>
        <v>25</v>
      </c>
      <c r="C19">
        <f>'Calc palla di neve'!$B$6</f>
        <v>47058.0</v>
      </c>
      <c r="D19">
        <f>'Calc palla di neve'!$B$3</f>
        <v>1911.69</v>
      </c>
      <c r="E19">
        <f>'Calc palla di neve'!$B$4</f>
        <v>23501.69</v>
      </c>
      <c r="F19">
        <f>IF($B$9=0,"",$D$21-D19)</f>
        <v>2457.31999999999</v>
      </c>
      <c r="G19">
        <f>IF(OR($B$9=0,B19=9999,$B$21=9999),"",$B$21-B19)</f>
        <v>84</v>
      </c>
    </row>
    <row r="20">
      <c r="A20" t="inlineStr">
        <is>
          <t>Personalizzata</t>
        </is>
      </c>
      <c r="B20">
        <f>'Calc personalizzata'!$B$2</f>
        <v>25</v>
      </c>
      <c r="C20">
        <f>'Calc personalizzata'!$B$6</f>
        <v>47058.0</v>
      </c>
      <c r="D20">
        <f>'Calc personalizzata'!$B$3</f>
        <v>1717.72</v>
      </c>
      <c r="E20">
        <f>'Calc personalizzata'!$B$4</f>
        <v>23307.72</v>
      </c>
      <c r="F20">
        <f>IF($B$9=0,"",$D$21-D20)</f>
        <v>2651.28999999999</v>
      </c>
      <c r="G20">
        <f>IF(OR($B$9=0,B20=9999,$B$21=9999),"",$B$21-B20)</f>
        <v>84</v>
      </c>
    </row>
    <row r="21">
      <c r="A21" t="inlineStr">
        <is>
          <t>Solo rate minime</t>
        </is>
      </c>
      <c r="B21">
        <f>'Calc rate minime'!$B$2</f>
        <v>109</v>
      </c>
      <c r="C21">
        <f>'Calc rate minime'!$B$6</f>
        <v>49614.0</v>
      </c>
      <c r="D21">
        <f>'Calc rate minime'!$B$3</f>
        <v>4369.01</v>
      </c>
      <c r="E21">
        <f>'Calc rate minime'!$B$4</f>
        <v>25959.01</v>
      </c>
    </row>
    <row r="23">
      <c r="A23" t="inlineStr">
        <is>
          <t>Debito</t>
        </is>
      </c>
      <c r="B23" t="inlineStr">
        <is>
          <t>Attivo</t>
        </is>
      </c>
      <c r="C23" t="inlineStr">
        <is>
          <t>Mesi</t>
        </is>
      </c>
      <c r="D23" t="inlineStr">
        <is>
          <t>Chiuso a</t>
        </is>
      </c>
      <c r="E23" t="inlineStr">
        <is>
          <t>Interessi</t>
        </is>
      </c>
      <c r="F23" t="inlineStr">
        <is>
          <t>TAN</t>
        </is>
      </c>
      <c r="G23" t="inlineStr">
        <is>
          <t>Debito iniziale</t>
        </is>
      </c>
      <c r="H23" t="inlineStr">
        <is>
          <t>Chiave</t>
        </is>
      </c>
      <c r="I23" t="inlineStr">
        <is>
          <t>Posizione</t>
        </is>
      </c>
    </row>
    <row r="24">
      <c r="A24" t="str">
        <f>'Calc base'!C$6</f>
        <v>Carta revolving</v>
      </c>
      <c r="B24">
        <f>'Calc base'!C$7</f>
        <v>1</v>
      </c>
      <c r="C24">
        <f>IF(B24=0,"",CHOOSE('Calc riepilogo'!$B$2,'Calc valanga'!AT$3,'Calc palla di neve'!AT$3,'Calc personalizzata'!AT$3))</f>
        <v>10</v>
      </c>
      <c r="D24">
        <f>IF(B24=0,"",IF(C24=9999,"oltre 30 anni",DATE($B$13,$B$14+C24-1,1)))</f>
        <v>46600.0</v>
      </c>
      <c r="E24">
        <f>IF(B24=0,"",CHOOSE('Calc riepilogo'!$B$2,'Calc valanga'!AT$4,'Calc palla di neve'!AT$4,'Calc personalizzata'!AT$4))</f>
        <v>198.32</v>
      </c>
      <c r="F24">
        <f>IF(B24=0,"",'Calc base'!C$9)</f>
        <v>0.189</v>
      </c>
      <c r="G24">
        <f>IF(B24=0,"",'Calc base'!C$8)</f>
        <v>2400</v>
      </c>
      <c r="H24">
        <f>IF(B24=1,IF(C24=9999,1000,C24)+1/100,1000000000+1)</f>
        <v>10.01</v>
      </c>
      <c r="I24">
        <f>IF(B24=1,SUMPRODUCT(($H$24:$H$35&lt;H24)*1)+1,"")</f>
        <v>2</v>
      </c>
    </row>
    <row r="25">
      <c r="A25" t="str">
        <f>'Calc base'!D$6</f>
        <v>Carta del negozio</v>
      </c>
      <c r="B25">
        <f>'Calc base'!D$7</f>
        <v>1</v>
      </c>
      <c r="C25">
        <f>IF(B25=0,"",CHOOSE('Calc riepilogo'!$B$2,'Calc valanga'!AU$3,'Calc palla di neve'!AU$3,'Calc personalizzata'!AU$3))</f>
        <v>7</v>
      </c>
      <c r="D25">
        <f>IF(B25=0,"",IF(C25=9999,"oltre 30 anni",DATE($B$13,$B$14+C25-1,1)))</f>
        <v>46508.0</v>
      </c>
      <c r="E25">
        <f>IF(B25=0,"",CHOOSE('Calc riepilogo'!$B$2,'Calc valanga'!AU$4,'Calc palla di neve'!AU$4,'Calc personalizzata'!AU$4))</f>
        <v>7.16999999999996</v>
      </c>
      <c r="F25">
        <f>IF(B25=0,"",'Calc base'!D$9)</f>
        <v>0</v>
      </c>
      <c r="G25">
        <f>IF(B25=0,"",'Calc base'!D$8)</f>
        <v>850</v>
      </c>
      <c r="H25">
        <f>IF(B25=1,IF(C25=9999,1000,C25)+2/100,1000000000+2)</f>
        <v>7.02</v>
      </c>
      <c r="I25">
        <f>IF(B25=1,SUMPRODUCT(($H$24:$H$35&lt;H25)*1)+1,"")</f>
        <v>1</v>
      </c>
    </row>
    <row r="26">
      <c r="A26" t="str">
        <f>'Calc base'!E$6</f>
        <v>Prestito personale</v>
      </c>
      <c r="B26">
        <f>'Calc base'!E$7</f>
        <v>1</v>
      </c>
      <c r="C26">
        <f>IF(B26=0,"",CHOOSE('Calc riepilogo'!$B$2,'Calc valanga'!AV$3,'Calc palla di neve'!AV$3,'Calc personalizzata'!AV$3))</f>
        <v>18</v>
      </c>
      <c r="D26">
        <f>IF(B26=0,"",IF(C26=9999,"oltre 30 anni",DATE($B$13,$B$14+C26-1,1)))</f>
        <v>46844.0</v>
      </c>
      <c r="E26">
        <f>IF(B26=0,"",CHOOSE('Calc riepilogo'!$B$2,'Calc valanga'!AV$4,'Calc palla di neve'!AV$4,'Calc personalizzata'!AV$4))</f>
        <v>631.08</v>
      </c>
      <c r="F26">
        <f>IF(B26=0,"",'Calc base'!E$9)</f>
        <v>0.092</v>
      </c>
      <c r="G26">
        <f>IF(B26=0,"",'Calc base'!E$8)</f>
        <v>6800</v>
      </c>
      <c r="H26">
        <f>IF(B26=1,IF(C26=9999,1000,C26)+3/100,1000000000+3)</f>
        <v>18.03</v>
      </c>
      <c r="I26">
        <f>IF(B26=1,SUMPRODUCT(($H$24:$H$35&lt;H26)*1)+1,"")</f>
        <v>4</v>
      </c>
    </row>
    <row r="27">
      <c r="A27" t="str">
        <f>'Calc base'!F$6</f>
        <v>Prestito dell’auto</v>
      </c>
      <c r="B27">
        <f>'Calc base'!F$7</f>
        <v>1</v>
      </c>
      <c r="C27">
        <f>IF(B27=0,"",CHOOSE('Calc riepilogo'!$B$2,'Calc valanga'!AW$3,'Calc palla di neve'!AW$3,'Calc personalizzata'!AW$3))</f>
        <v>25</v>
      </c>
      <c r="D27">
        <f>IF(B27=0,"",IF(C27=9999,"oltre 30 anni",DATE($B$13,$B$14+C27-1,1)))</f>
        <v>47058.0</v>
      </c>
      <c r="E27">
        <f>IF(B27=0,"",CHOOSE('Calc riepilogo'!$B$2,'Calc valanga'!AW$4,'Calc palla di neve'!AW$4,'Calc personalizzata'!AW$4))</f>
        <v>837.38</v>
      </c>
      <c r="F27">
        <f>IF(B27=0,"",'Calc base'!F$9)</f>
        <v>0.064</v>
      </c>
      <c r="G27">
        <f>IF(B27=0,"",'Calc base'!F$8)</f>
        <v>9500</v>
      </c>
      <c r="H27">
        <f>IF(B27=1,IF(C27=9999,1000,C27)+4/100,1000000000+4)</f>
        <v>25.04</v>
      </c>
      <c r="I27">
        <f>IF(B27=1,SUMPRODUCT(($H$24:$H$35&lt;H27)*1)+1,"")</f>
        <v>5</v>
      </c>
    </row>
    <row r="28">
      <c r="A28" t="str">
        <f>'Calc base'!G$6</f>
        <v>Smartphone a rate</v>
      </c>
      <c r="B28">
        <f>'Calc base'!G$7</f>
        <v>1</v>
      </c>
      <c r="C28">
        <f>IF(B28=0,"",CHOOSE('Calc riepilogo'!$B$2,'Calc valanga'!AX$3,'Calc palla di neve'!AX$3,'Calc personalizzata'!AX$3))</f>
        <v>12</v>
      </c>
      <c r="D28">
        <f>IF(B28=0,"",IF(C28=9999,"oltre 30 anni",DATE($B$13,$B$14+C28-1,1)))</f>
        <v>46661.0</v>
      </c>
      <c r="E28">
        <f>IF(B28=0,"",CHOOSE('Calc riepilogo'!$B$2,'Calc valanga'!AX$4,'Calc palla di neve'!AX$4,'Calc personalizzata'!AX$4))</f>
        <v>0</v>
      </c>
      <c r="F28">
        <f>IF(B28=0,"",'Calc base'!G$9)</f>
        <v>0</v>
      </c>
      <c r="G28">
        <f>IF(B28=0,"",'Calc base'!G$8)</f>
        <v>540</v>
      </c>
      <c r="H28">
        <f>IF(B28=1,IF(C28=9999,1000,C28)+5/100,1000000000+5)</f>
        <v>12.05</v>
      </c>
      <c r="I28">
        <f>IF(B28=1,SUMPRODUCT(($H$24:$H$35&lt;H28)*1)+1,"")</f>
        <v>3</v>
      </c>
    </row>
    <row r="29">
      <c r="A29" t="str">
        <f>'Calc base'!H$6</f>
        <v>Prestito dei genitori</v>
      </c>
      <c r="B29">
        <f>'Calc base'!H$7</f>
        <v>1</v>
      </c>
      <c r="C29">
        <f>IF(B29=0,"",CHOOSE('Calc riepilogo'!$B$2,'Calc valanga'!AY$3,'Calc palla di neve'!AY$3,'Calc personalizzata'!AY$3))</f>
        <v>25</v>
      </c>
      <c r="D29">
        <f>IF(B29=0,"",IF(C29=9999,"oltre 30 anni",DATE($B$13,$B$14+C29-1,1)))</f>
        <v>47058.0</v>
      </c>
      <c r="E29">
        <f>IF(B29=0,"",CHOOSE('Calc riepilogo'!$B$2,'Calc valanga'!AY$4,'Calc palla di neve'!AY$4,'Calc personalizzata'!AY$4))</f>
        <v>0</v>
      </c>
      <c r="F29">
        <f>IF(B29=0,"",'Calc base'!H$9)</f>
        <v>0</v>
      </c>
      <c r="G29">
        <f>IF(B29=0,"",'Calc base'!H$8)</f>
        <v>1500</v>
      </c>
      <c r="H29">
        <f>IF(B29=1,IF(C29=9999,1000,C29)+6/100,1000000000+6)</f>
        <v>25.06</v>
      </c>
      <c r="I29">
        <f>IF(B29=1,SUMPRODUCT(($H$24:$H$35&lt;H29)*1)+1,"")</f>
        <v>6</v>
      </c>
    </row>
    <row r="30">
      <c r="A30" t="str">
        <f>'Calc base'!I$6</f>
        <v/>
      </c>
      <c r="B30">
        <f>'Calc base'!I$7</f>
        <v>0</v>
      </c>
      <c r="C30" t="str">
        <f>IF(B30=0,"",CHOOSE('Calc riepilogo'!$B$2,'Calc valanga'!AZ$3,'Calc palla di neve'!AZ$3,'Calc personalizzata'!AZ$3))</f>
        <v/>
      </c>
      <c r="D30" t="str">
        <f>IF(B30=0,"",IF(C30=9999,"oltre 30 anni",DATE($B$13,$B$14+C30-1,1)))</f>
        <v/>
      </c>
      <c r="E30" t="str">
        <f>IF(B30=0,"",CHOOSE('Calc riepilogo'!$B$2,'Calc valanga'!AZ$4,'Calc palla di neve'!AZ$4,'Calc personalizzata'!AZ$4))</f>
        <v/>
      </c>
      <c r="F30" t="str">
        <f>IF(B30=0,"",'Calc base'!I$9)</f>
        <v/>
      </c>
      <c r="G30" t="str">
        <f>IF(B30=0,"",'Calc base'!I$8)</f>
        <v/>
      </c>
      <c r="H30">
        <f>IF(B30=1,IF(C30=9999,1000,C30)+7/100,1000000000+7)</f>
        <v>1000000007</v>
      </c>
      <c r="I30" t="str">
        <f>IF(B30=1,SUMPRODUCT(($H$24:$H$35&lt;H30)*1)+1,"")</f>
        <v/>
      </c>
    </row>
    <row r="31">
      <c r="A31" t="str">
        <f>'Calc base'!J$6</f>
        <v/>
      </c>
      <c r="B31">
        <f>'Calc base'!J$7</f>
        <v>0</v>
      </c>
      <c r="C31" t="str">
        <f>IF(B31=0,"",CHOOSE('Calc riepilogo'!$B$2,'Calc valanga'!BA$3,'Calc palla di neve'!BA$3,'Calc personalizzata'!BA$3))</f>
        <v/>
      </c>
      <c r="D31" t="str">
        <f>IF(B31=0,"",IF(C31=9999,"oltre 30 anni",DATE($B$13,$B$14+C31-1,1)))</f>
        <v/>
      </c>
      <c r="E31" t="str">
        <f>IF(B31=0,"",CHOOSE('Calc riepilogo'!$B$2,'Calc valanga'!BA$4,'Calc palla di neve'!BA$4,'Calc personalizzata'!BA$4))</f>
        <v/>
      </c>
      <c r="F31" t="str">
        <f>IF(B31=0,"",'Calc base'!J$9)</f>
        <v/>
      </c>
      <c r="G31" t="str">
        <f>IF(B31=0,"",'Calc base'!J$8)</f>
        <v/>
      </c>
      <c r="H31">
        <f>IF(B31=1,IF(C31=9999,1000,C31)+8/100,1000000000+8)</f>
        <v>1000000008</v>
      </c>
      <c r="I31" t="str">
        <f>IF(B31=1,SUMPRODUCT(($H$24:$H$35&lt;H31)*1)+1,"")</f>
        <v/>
      </c>
    </row>
    <row r="32">
      <c r="A32" t="str">
        <f>'Calc base'!K$6</f>
        <v/>
      </c>
      <c r="B32">
        <f>'Calc base'!K$7</f>
        <v>0</v>
      </c>
      <c r="C32" t="str">
        <f>IF(B32=0,"",CHOOSE('Calc riepilogo'!$B$2,'Calc valanga'!BB$3,'Calc palla di neve'!BB$3,'Calc personalizzata'!BB$3))</f>
        <v/>
      </c>
      <c r="D32" t="str">
        <f>IF(B32=0,"",IF(C32=9999,"oltre 30 anni",DATE($B$13,$B$14+C32-1,1)))</f>
        <v/>
      </c>
      <c r="E32" t="str">
        <f>IF(B32=0,"",CHOOSE('Calc riepilogo'!$B$2,'Calc valanga'!BB$4,'Calc palla di neve'!BB$4,'Calc personalizzata'!BB$4))</f>
        <v/>
      </c>
      <c r="F32" t="str">
        <f>IF(B32=0,"",'Calc base'!K$9)</f>
        <v/>
      </c>
      <c r="G32" t="str">
        <f>IF(B32=0,"",'Calc base'!K$8)</f>
        <v/>
      </c>
      <c r="H32">
        <f>IF(B32=1,IF(C32=9999,1000,C32)+9/100,1000000000+9)</f>
        <v>1000000009</v>
      </c>
      <c r="I32" t="str">
        <f>IF(B32=1,SUMPRODUCT(($H$24:$H$35&lt;H32)*1)+1,"")</f>
        <v/>
      </c>
    </row>
    <row r="33">
      <c r="A33" t="str">
        <f>'Calc base'!L$6</f>
        <v/>
      </c>
      <c r="B33">
        <f>'Calc base'!L$7</f>
        <v>0</v>
      </c>
      <c r="C33" t="str">
        <f>IF(B33=0,"",CHOOSE('Calc riepilogo'!$B$2,'Calc valanga'!BC$3,'Calc palla di neve'!BC$3,'Calc personalizzata'!BC$3))</f>
        <v/>
      </c>
      <c r="D33" t="str">
        <f>IF(B33=0,"",IF(C33=9999,"oltre 30 anni",DATE($B$13,$B$14+C33-1,1)))</f>
        <v/>
      </c>
      <c r="E33" t="str">
        <f>IF(B33=0,"",CHOOSE('Calc riepilogo'!$B$2,'Calc valanga'!BC$4,'Calc palla di neve'!BC$4,'Calc personalizzata'!BC$4))</f>
        <v/>
      </c>
      <c r="F33" t="str">
        <f>IF(B33=0,"",'Calc base'!L$9)</f>
        <v/>
      </c>
      <c r="G33" t="str">
        <f>IF(B33=0,"",'Calc base'!L$8)</f>
        <v/>
      </c>
      <c r="H33">
        <f>IF(B33=1,IF(C33=9999,1000,C33)+10/100,1000000000+10)</f>
        <v>1000000010</v>
      </c>
      <c r="I33" t="str">
        <f>IF(B33=1,SUMPRODUCT(($H$24:$H$35&lt;H33)*1)+1,"")</f>
        <v/>
      </c>
    </row>
    <row r="34">
      <c r="A34" t="str">
        <f>'Calc base'!M$6</f>
        <v/>
      </c>
      <c r="B34">
        <f>'Calc base'!M$7</f>
        <v>0</v>
      </c>
      <c r="C34" t="str">
        <f>IF(B34=0,"",CHOOSE('Calc riepilogo'!$B$2,'Calc valanga'!BD$3,'Calc palla di neve'!BD$3,'Calc personalizzata'!BD$3))</f>
        <v/>
      </c>
      <c r="D34" t="str">
        <f>IF(B34=0,"",IF(C34=9999,"oltre 30 anni",DATE($B$13,$B$14+C34-1,1)))</f>
        <v/>
      </c>
      <c r="E34" t="str">
        <f>IF(B34=0,"",CHOOSE('Calc riepilogo'!$B$2,'Calc valanga'!BD$4,'Calc palla di neve'!BD$4,'Calc personalizzata'!BD$4))</f>
        <v/>
      </c>
      <c r="F34" t="str">
        <f>IF(B34=0,"",'Calc base'!M$9)</f>
        <v/>
      </c>
      <c r="G34" t="str">
        <f>IF(B34=0,"",'Calc base'!M$8)</f>
        <v/>
      </c>
      <c r="H34">
        <f>IF(B34=1,IF(C34=9999,1000,C34)+11/100,1000000000+11)</f>
        <v>1000000011</v>
      </c>
      <c r="I34" t="str">
        <f>IF(B34=1,SUMPRODUCT(($H$24:$H$35&lt;H34)*1)+1,"")</f>
        <v/>
      </c>
    </row>
    <row r="35">
      <c r="A35" t="str">
        <f>'Calc base'!N$6</f>
        <v/>
      </c>
      <c r="B35">
        <f>'Calc base'!N$7</f>
        <v>0</v>
      </c>
      <c r="C35" t="str">
        <f>IF(B35=0,"",CHOOSE('Calc riepilogo'!$B$2,'Calc valanga'!BE$3,'Calc palla di neve'!BE$3,'Calc personalizzata'!BE$3))</f>
        <v/>
      </c>
      <c r="D35" t="str">
        <f>IF(B35=0,"",IF(C35=9999,"oltre 30 anni",DATE($B$13,$B$14+C35-1,1)))</f>
        <v/>
      </c>
      <c r="E35" t="str">
        <f>IF(B35=0,"",CHOOSE('Calc riepilogo'!$B$2,'Calc valanga'!BE$4,'Calc palla di neve'!BE$4,'Calc personalizzata'!BE$4))</f>
        <v/>
      </c>
      <c r="F35" t="str">
        <f>IF(B35=0,"",'Calc base'!N$9)</f>
        <v/>
      </c>
      <c r="G35" t="str">
        <f>IF(B35=0,"",'Calc base'!N$8)</f>
        <v/>
      </c>
      <c r="H35">
        <f>IF(B35=1,IF(C35=9999,1000,C35)+12/100,1000000000+12)</f>
        <v>1000000012</v>
      </c>
      <c r="I35" t="str">
        <f>IF(B35=1,SUMPRODUCT(($H$24:$H$35&lt;H35)*1)+1,"")</f>
        <v/>
      </c>
    </row>
    <row r="37">
      <c r="A37" t="inlineStr">
        <is>
          <t>N.</t>
        </is>
      </c>
      <c r="B37" t="inlineStr">
        <is>
          <t>Riga</t>
        </is>
      </c>
      <c r="C37" t="inlineStr">
        <is>
          <t>Debito</t>
        </is>
      </c>
      <c r="D37" t="inlineStr">
        <is>
          <t>Mesi</t>
        </is>
      </c>
      <c r="E37" t="inlineStr">
        <is>
          <t>Chiuso a</t>
        </is>
      </c>
      <c r="F37" t="inlineStr">
        <is>
          <t>Interessi</t>
        </is>
      </c>
      <c r="G37" t="inlineStr">
        <is>
          <t>TAN</t>
        </is>
      </c>
      <c r="H37" t="inlineStr">
        <is>
          <t>Debito iniziale</t>
        </is>
      </c>
      <c r="I37" t="inlineStr">
        <is>
          <t>Mesi (grafico)</t>
        </is>
      </c>
    </row>
    <row r="38">
      <c r="A38" t="n">
        <v>1</v>
      </c>
      <c r="B38">
        <f>IF(A38&gt;$B$9,"",MATCH(SMALL($H$24:$H$35,A38),$H$24:$H$35,0))</f>
        <v>2</v>
      </c>
      <c r="C38" t="str">
        <f>IF($B38="","",INDEX($A$24:$A$35,$B38))</f>
        <v>Carta del negozio</v>
      </c>
      <c r="D38">
        <f>IF($B38="","",INDEX($C$24:$C$35,$B38))</f>
        <v>7</v>
      </c>
      <c r="E38">
        <f>IF($B38="","",INDEX($D$24:$D$35,$B38))</f>
        <v>46508.0</v>
      </c>
      <c r="F38">
        <f>IF($B38="","",INDEX($E$24:$E$35,$B38))</f>
        <v>7.16999999999996</v>
      </c>
      <c r="G38">
        <f>IF($B38="","",INDEX($F$24:$F$35,$B38))</f>
        <v>0</v>
      </c>
      <c r="H38">
        <f>IF($B38="","",INDEX($G$24:$G$35,$B38))</f>
        <v>850</v>
      </c>
      <c r="I38">
        <f>IF(B38="","",IF(D38=9999,360,D38))</f>
        <v>7</v>
      </c>
    </row>
    <row r="39">
      <c r="A39" t="n">
        <v>2</v>
      </c>
      <c r="B39">
        <f>IF(A39&gt;$B$9,"",MATCH(SMALL($H$24:$H$35,A39),$H$24:$H$35,0))</f>
        <v>1</v>
      </c>
      <c r="C39" t="str">
        <f>IF($B39="","",INDEX($A$24:$A$35,$B39))</f>
        <v>Carta revolving</v>
      </c>
      <c r="D39">
        <f>IF($B39="","",INDEX($C$24:$C$35,$B39))</f>
        <v>10</v>
      </c>
      <c r="E39">
        <f>IF($B39="","",INDEX($D$24:$D$35,$B39))</f>
        <v>46600.0</v>
      </c>
      <c r="F39">
        <f>IF($B39="","",INDEX($E$24:$E$35,$B39))</f>
        <v>198.32</v>
      </c>
      <c r="G39">
        <f>IF($B39="","",INDEX($F$24:$F$35,$B39))</f>
        <v>0.189</v>
      </c>
      <c r="H39">
        <f>IF($B39="","",INDEX($G$24:$G$35,$B39))</f>
        <v>2400</v>
      </c>
      <c r="I39">
        <f>IF(B39="","",IF(D39=9999,360,D39))</f>
        <v>10</v>
      </c>
    </row>
    <row r="40">
      <c r="A40" t="n">
        <v>3</v>
      </c>
      <c r="B40">
        <f>IF(A40&gt;$B$9,"",MATCH(SMALL($H$24:$H$35,A40),$H$24:$H$35,0))</f>
        <v>5</v>
      </c>
      <c r="C40" t="str">
        <f>IF($B40="","",INDEX($A$24:$A$35,$B40))</f>
        <v>Smartphone a rate</v>
      </c>
      <c r="D40">
        <f>IF($B40="","",INDEX($C$24:$C$35,$B40))</f>
        <v>12</v>
      </c>
      <c r="E40">
        <f>IF($B40="","",INDEX($D$24:$D$35,$B40))</f>
        <v>46661.0</v>
      </c>
      <c r="F40">
        <f>IF($B40="","",INDEX($E$24:$E$35,$B40))</f>
        <v>0</v>
      </c>
      <c r="G40">
        <f>IF($B40="","",INDEX($F$24:$F$35,$B40))</f>
        <v>0</v>
      </c>
      <c r="H40">
        <f>IF($B40="","",INDEX($G$24:$G$35,$B40))</f>
        <v>540</v>
      </c>
      <c r="I40">
        <f>IF(B40="","",IF(D40=9999,360,D40))</f>
        <v>12</v>
      </c>
    </row>
    <row r="41">
      <c r="A41" t="n">
        <v>4</v>
      </c>
      <c r="B41">
        <f>IF(A41&gt;$B$9,"",MATCH(SMALL($H$24:$H$35,A41),$H$24:$H$35,0))</f>
        <v>3</v>
      </c>
      <c r="C41" t="str">
        <f>IF($B41="","",INDEX($A$24:$A$35,$B41))</f>
        <v>Prestito personale</v>
      </c>
      <c r="D41">
        <f>IF($B41="","",INDEX($C$24:$C$35,$B41))</f>
        <v>18</v>
      </c>
      <c r="E41">
        <f>IF($B41="","",INDEX($D$24:$D$35,$B41))</f>
        <v>46844.0</v>
      </c>
      <c r="F41">
        <f>IF($B41="","",INDEX($E$24:$E$35,$B41))</f>
        <v>631.08</v>
      </c>
      <c r="G41">
        <f>IF($B41="","",INDEX($F$24:$F$35,$B41))</f>
        <v>0.092</v>
      </c>
      <c r="H41">
        <f>IF($B41="","",INDEX($G$24:$G$35,$B41))</f>
        <v>6800</v>
      </c>
      <c r="I41">
        <f>IF(B41="","",IF(D41=9999,360,D41))</f>
        <v>18</v>
      </c>
    </row>
    <row r="42">
      <c r="A42" t="n">
        <v>5</v>
      </c>
      <c r="B42">
        <f>IF(A42&gt;$B$9,"",MATCH(SMALL($H$24:$H$35,A42),$H$24:$H$35,0))</f>
        <v>4</v>
      </c>
      <c r="C42" t="str">
        <f>IF($B42="","",INDEX($A$24:$A$35,$B42))</f>
        <v>Prestito dell’auto</v>
      </c>
      <c r="D42">
        <f>IF($B42="","",INDEX($C$24:$C$35,$B42))</f>
        <v>25</v>
      </c>
      <c r="E42">
        <f>IF($B42="","",INDEX($D$24:$D$35,$B42))</f>
        <v>47058.0</v>
      </c>
      <c r="F42">
        <f>IF($B42="","",INDEX($E$24:$E$35,$B42))</f>
        <v>837.38</v>
      </c>
      <c r="G42">
        <f>IF($B42="","",INDEX($F$24:$F$35,$B42))</f>
        <v>0.064</v>
      </c>
      <c r="H42">
        <f>IF($B42="","",INDEX($G$24:$G$35,$B42))</f>
        <v>9500</v>
      </c>
      <c r="I42">
        <f>IF(B42="","",IF(D42=9999,360,D42))</f>
        <v>25</v>
      </c>
    </row>
    <row r="43">
      <c r="A43" t="n">
        <v>6</v>
      </c>
      <c r="B43">
        <f>IF(A43&gt;$B$9,"",MATCH(SMALL($H$24:$H$35,A43),$H$24:$H$35,0))</f>
        <v>6</v>
      </c>
      <c r="C43" t="str">
        <f>IF($B43="","",INDEX($A$24:$A$35,$B43))</f>
        <v>Prestito dei genitori</v>
      </c>
      <c r="D43">
        <f>IF($B43="","",INDEX($C$24:$C$35,$B43))</f>
        <v>25</v>
      </c>
      <c r="E43">
        <f>IF($B43="","",INDEX($D$24:$D$35,$B43))</f>
        <v>47058.0</v>
      </c>
      <c r="F43">
        <f>IF($B43="","",INDEX($E$24:$E$35,$B43))</f>
        <v>0</v>
      </c>
      <c r="G43">
        <f>IF($B43="","",INDEX($F$24:$F$35,$B43))</f>
        <v>0</v>
      </c>
      <c r="H43">
        <f>IF($B43="","",INDEX($G$24:$G$35,$B43))</f>
        <v>1500</v>
      </c>
      <c r="I43">
        <f>IF(B43="","",IF(D43=9999,360,D43))</f>
        <v>25</v>
      </c>
    </row>
    <row r="44">
      <c r="A44" t="n">
        <v>7</v>
      </c>
      <c r="B44" t="str">
        <f>IF(A44&gt;$B$9,"",MATCH(SMALL($H$24:$H$35,A44),$H$24:$H$35,0))</f>
        <v/>
      </c>
      <c r="C44" t="str">
        <f>IF($B44="","",INDEX($A$24:$A$35,$B44))</f>
        <v/>
      </c>
      <c r="D44" t="str">
        <f>IF($B44="","",INDEX($C$24:$C$35,$B44))</f>
        <v/>
      </c>
      <c r="E44" t="str">
        <f>IF($B44="","",INDEX($D$24:$D$35,$B44))</f>
        <v/>
      </c>
      <c r="F44" t="str">
        <f>IF($B44="","",INDEX($E$24:$E$35,$B44))</f>
        <v/>
      </c>
      <c r="G44" t="str">
        <f>IF($B44="","",INDEX($F$24:$F$35,$B44))</f>
        <v/>
      </c>
      <c r="H44" t="str">
        <f>IF($B44="","",INDEX($G$24:$G$35,$B44))</f>
        <v/>
      </c>
      <c r="I44" t="str">
        <f>IF(B44="","",IF(D44=9999,360,D44))</f>
        <v/>
      </c>
    </row>
    <row r="45">
      <c r="A45" t="n">
        <v>8</v>
      </c>
      <c r="B45" t="str">
        <f>IF(A45&gt;$B$9,"",MATCH(SMALL($H$24:$H$35,A45),$H$24:$H$35,0))</f>
        <v/>
      </c>
      <c r="C45" t="str">
        <f>IF($B45="","",INDEX($A$24:$A$35,$B45))</f>
        <v/>
      </c>
      <c r="D45" t="str">
        <f>IF($B45="","",INDEX($C$24:$C$35,$B45))</f>
        <v/>
      </c>
      <c r="E45" t="str">
        <f>IF($B45="","",INDEX($D$24:$D$35,$B45))</f>
        <v/>
      </c>
      <c r="F45" t="str">
        <f>IF($B45="","",INDEX($E$24:$E$35,$B45))</f>
        <v/>
      </c>
      <c r="G45" t="str">
        <f>IF($B45="","",INDEX($F$24:$F$35,$B45))</f>
        <v/>
      </c>
      <c r="H45" t="str">
        <f>IF($B45="","",INDEX($G$24:$G$35,$B45))</f>
        <v/>
      </c>
      <c r="I45" t="str">
        <f>IF(B45="","",IF(D45=9999,360,D45))</f>
        <v/>
      </c>
    </row>
    <row r="46">
      <c r="A46" t="n">
        <v>9</v>
      </c>
      <c r="B46" t="str">
        <f>IF(A46&gt;$B$9,"",MATCH(SMALL($H$24:$H$35,A46),$H$24:$H$35,0))</f>
        <v/>
      </c>
      <c r="C46" t="str">
        <f>IF($B46="","",INDEX($A$24:$A$35,$B46))</f>
        <v/>
      </c>
      <c r="D46" t="str">
        <f>IF($B46="","",INDEX($C$24:$C$35,$B46))</f>
        <v/>
      </c>
      <c r="E46" t="str">
        <f>IF($B46="","",INDEX($D$24:$D$35,$B46))</f>
        <v/>
      </c>
      <c r="F46" t="str">
        <f>IF($B46="","",INDEX($E$24:$E$35,$B46))</f>
        <v/>
      </c>
      <c r="G46" t="str">
        <f>IF($B46="","",INDEX($F$24:$F$35,$B46))</f>
        <v/>
      </c>
      <c r="H46" t="str">
        <f>IF($B46="","",INDEX($G$24:$G$35,$B46))</f>
        <v/>
      </c>
      <c r="I46" t="str">
        <f>IF(B46="","",IF(D46=9999,360,D46))</f>
        <v/>
      </c>
    </row>
    <row r="47">
      <c r="A47" t="n">
        <v>10</v>
      </c>
      <c r="B47" t="str">
        <f>IF(A47&gt;$B$9,"",MATCH(SMALL($H$24:$H$35,A47),$H$24:$H$35,0))</f>
        <v/>
      </c>
      <c r="C47" t="str">
        <f>IF($B47="","",INDEX($A$24:$A$35,$B47))</f>
        <v/>
      </c>
      <c r="D47" t="str">
        <f>IF($B47="","",INDEX($C$24:$C$35,$B47))</f>
        <v/>
      </c>
      <c r="E47" t="str">
        <f>IF($B47="","",INDEX($D$24:$D$35,$B47))</f>
        <v/>
      </c>
      <c r="F47" t="str">
        <f>IF($B47="","",INDEX($E$24:$E$35,$B47))</f>
        <v/>
      </c>
      <c r="G47" t="str">
        <f>IF($B47="","",INDEX($F$24:$F$35,$B47))</f>
        <v/>
      </c>
      <c r="H47" t="str">
        <f>IF($B47="","",INDEX($G$24:$G$35,$B47))</f>
        <v/>
      </c>
      <c r="I47" t="str">
        <f>IF(B47="","",IF(D47=9999,360,D47))</f>
        <v/>
      </c>
    </row>
    <row r="48">
      <c r="A48" t="n">
        <v>11</v>
      </c>
      <c r="B48" t="str">
        <f>IF(A48&gt;$B$9,"",MATCH(SMALL($H$24:$H$35,A48),$H$24:$H$35,0))</f>
        <v/>
      </c>
      <c r="C48" t="str">
        <f>IF($B48="","",INDEX($A$24:$A$35,$B48))</f>
        <v/>
      </c>
      <c r="D48" t="str">
        <f>IF($B48="","",INDEX($C$24:$C$35,$B48))</f>
        <v/>
      </c>
      <c r="E48" t="str">
        <f>IF($B48="","",INDEX($D$24:$D$35,$B48))</f>
        <v/>
      </c>
      <c r="F48" t="str">
        <f>IF($B48="","",INDEX($E$24:$E$35,$B48))</f>
        <v/>
      </c>
      <c r="G48" t="str">
        <f>IF($B48="","",INDEX($F$24:$F$35,$B48))</f>
        <v/>
      </c>
      <c r="H48" t="str">
        <f>IF($B48="","",INDEX($G$24:$G$35,$B48))</f>
        <v/>
      </c>
      <c r="I48" t="str">
        <f>IF(B48="","",IF(D48=9999,360,D48))</f>
        <v/>
      </c>
    </row>
    <row r="49">
      <c r="A49" t="n">
        <v>12</v>
      </c>
      <c r="B49" t="str">
        <f>IF(A49&gt;$B$9,"",MATCH(SMALL($H$24:$H$35,A49),$H$24:$H$35,0))</f>
        <v/>
      </c>
      <c r="C49" t="str">
        <f>IF($B49="","",INDEX($A$24:$A$35,$B49))</f>
        <v/>
      </c>
      <c r="D49" t="str">
        <f>IF($B49="","",INDEX($C$24:$C$35,$B49))</f>
        <v/>
      </c>
      <c r="E49" t="str">
        <f>IF($B49="","",INDEX($D$24:$D$35,$B49))</f>
        <v/>
      </c>
      <c r="F49" t="str">
        <f>IF($B49="","",INDEX($E$24:$E$35,$B49))</f>
        <v/>
      </c>
      <c r="G49" t="str">
        <f>IF($B49="","",INDEX($F$24:$F$35,$B49))</f>
        <v/>
      </c>
      <c r="H49" t="str">
        <f>IF($B49="","",INDEX($G$24:$G$35,$B49))</f>
        <v/>
      </c>
      <c r="I49" t="str">
        <f>IF(B49="","",IF(D49=9999,360,D49))</f>
        <v/>
      </c>
    </row>
    <row r="51">
      <c r="A51" t="inlineStr">
        <is>
          <t>Punto</t>
        </is>
      </c>
      <c r="B51" t="inlineStr">
        <is>
          <t>Mese</t>
        </is>
      </c>
      <c r="C51" t="inlineStr">
        <is>
          <t>Data</t>
        </is>
      </c>
      <c r="D51" t="inlineStr">
        <is>
          <t>Valanga</t>
        </is>
      </c>
      <c r="E51" t="inlineStr">
        <is>
          <t>Palla di neve</t>
        </is>
      </c>
      <c r="F51" t="inlineStr">
        <is>
          <t>Personalizzata</t>
        </is>
      </c>
      <c r="G51" t="inlineStr">
        <is>
          <t>Solo rate minime</t>
        </is>
      </c>
    </row>
    <row r="52">
      <c r="A52" t="n">
        <v>0</v>
      </c>
      <c r="B52">
        <f>ROUND(A52*$B$15/48,0)</f>
        <v>0</v>
      </c>
      <c r="C52" t="str">
        <f>CHOOSE(MONTH(H52),"gen","feb","mar","apr","mag","giu","lug","ago","set","ott","nov","dic")&amp;" "&amp;RIGHT(YEAR(H52),2)</f>
        <v>ott 26</v>
      </c>
      <c r="D52">
        <f>INDEX('Calc valanga'!$G$30:$G$390,B52+1)</f>
        <v>21590</v>
      </c>
      <c r="E52">
        <f>INDEX('Calc palla di neve'!$G$30:$G$390,B52+1)</f>
        <v>21590</v>
      </c>
      <c r="F52">
        <f>INDEX('Calc personalizzata'!$G$30:$G$390,B52+1)</f>
        <v>21590</v>
      </c>
      <c r="G52">
        <f>INDEX('Calc rate minime'!$G$30:$G$390,B52+1)</f>
        <v>21590</v>
      </c>
      <c r="H52">
        <f>DATE($B$13,$B$14+B52-1,1)</f>
        <v>46296.0</v>
      </c>
    </row>
    <row r="53">
      <c r="A53" t="n">
        <v>1</v>
      </c>
      <c r="B53">
        <f>ROUND(A53*$B$15/48,0)</f>
        <v>1</v>
      </c>
      <c r="C53" t="str">
        <f>CHOOSE(MONTH(H53),"gen","feb","mar","apr","mag","giu","lug","ago","set","ott","nov","dic")&amp;" "&amp;RIGHT(YEAR(H53),2)</f>
        <v>nov 26</v>
      </c>
      <c r="D53">
        <f>INDEX('Calc valanga'!$G$30:$G$390,B53+1)</f>
        <v>20930.6</v>
      </c>
      <c r="E53">
        <f>INDEX('Calc palla di neve'!$G$30:$G$390,B53+1)</f>
        <v>20930.6</v>
      </c>
      <c r="F53">
        <f>INDEX('Calc personalizzata'!$G$30:$G$390,B53+1)</f>
        <v>20930.6</v>
      </c>
      <c r="G53">
        <f>INDEX('Calc rate minime'!$G$30:$G$390,B53+1)</f>
        <v>21054.6</v>
      </c>
      <c r="H53">
        <f>DATE($B$13,$B$14+B53-1,1)</f>
        <v>46327.0</v>
      </c>
    </row>
    <row r="54">
      <c r="A54" t="n">
        <v>2</v>
      </c>
      <c r="B54">
        <f>ROUND(A54*$B$15/48,0)</f>
        <v>1</v>
      </c>
      <c r="C54" t="str">
        <f>CHOOSE(MONTH(H54),"gen","feb","mar","apr","mag","giu","lug","ago","set","ott","nov","dic")&amp;" "&amp;RIGHT(YEAR(H54),2)</f>
        <v>nov 26</v>
      </c>
      <c r="D54">
        <f>INDEX('Calc valanga'!$G$30:$G$390,B54+1)</f>
        <v>20930.6</v>
      </c>
      <c r="E54">
        <f>INDEX('Calc palla di neve'!$G$30:$G$390,B54+1)</f>
        <v>20930.6</v>
      </c>
      <c r="F54">
        <f>INDEX('Calc personalizzata'!$G$30:$G$390,B54+1)</f>
        <v>20930.6</v>
      </c>
      <c r="G54">
        <f>INDEX('Calc rate minime'!$G$30:$G$390,B54+1)</f>
        <v>21054.6</v>
      </c>
      <c r="H54">
        <f>DATE($B$13,$B$14+B54-1,1)</f>
        <v>46327.0</v>
      </c>
    </row>
    <row r="55">
      <c r="A55" t="n">
        <v>3</v>
      </c>
      <c r="B55">
        <f>ROUND(A55*$B$15/48,0)</f>
        <v>2</v>
      </c>
      <c r="C55" t="str">
        <f>CHOOSE(MONTH(H55),"gen","feb","mar","apr","mag","giu","lug","ago","set","ott","nov","dic")&amp;" "&amp;RIGHT(YEAR(H55),2)</f>
        <v>dic 26</v>
      </c>
      <c r="D55">
        <f>INDEX('Calc valanga'!$G$30:$G$390,B55+1)</f>
        <v>19766.35</v>
      </c>
      <c r="E55">
        <f>INDEX('Calc palla di neve'!$G$30:$G$390,B55+1)</f>
        <v>19768.3</v>
      </c>
      <c r="F55">
        <f>INDEX('Calc personalizzata'!$G$30:$G$390,B55+1)</f>
        <v>19768.3</v>
      </c>
      <c r="G55">
        <f>INDEX('Calc rate minime'!$G$30:$G$390,B55+1)</f>
        <v>20518.69</v>
      </c>
      <c r="H55">
        <f>DATE($B$13,$B$14+B55-1,1)</f>
        <v>46357.0</v>
      </c>
    </row>
    <row r="56">
      <c r="A56" t="n">
        <v>4</v>
      </c>
      <c r="B56">
        <f>ROUND(A56*$B$15/48,0)</f>
        <v>2</v>
      </c>
      <c r="C56" t="str">
        <f>CHOOSE(MONTH(H56),"gen","feb","mar","apr","mag","giu","lug","ago","set","ott","nov","dic")&amp;" "&amp;RIGHT(YEAR(H56),2)</f>
        <v>dic 26</v>
      </c>
      <c r="D56">
        <f>INDEX('Calc valanga'!$G$30:$G$390,B56+1)</f>
        <v>19766.35</v>
      </c>
      <c r="E56">
        <f>INDEX('Calc palla di neve'!$G$30:$G$390,B56+1)</f>
        <v>19768.3</v>
      </c>
      <c r="F56">
        <f>INDEX('Calc personalizzata'!$G$30:$G$390,B56+1)</f>
        <v>19768.3</v>
      </c>
      <c r="G56">
        <f>INDEX('Calc rate minime'!$G$30:$G$390,B56+1)</f>
        <v>20518.69</v>
      </c>
      <c r="H56">
        <f>DATE($B$13,$B$14+B56-1,1)</f>
        <v>46357.0</v>
      </c>
    </row>
    <row r="57">
      <c r="A57" t="n">
        <v>5</v>
      </c>
      <c r="B57">
        <f>ROUND(A57*$B$15/48,0)</f>
        <v>3</v>
      </c>
      <c r="C57" t="str">
        <f>CHOOSE(MONTH(H57),"gen","feb","mar","apr","mag","giu","lug","ago","set","ott","nov","dic")&amp;" "&amp;RIGHT(YEAR(H57),2)</f>
        <v>gen 27</v>
      </c>
      <c r="D57">
        <f>INDEX('Calc valanga'!$G$30:$G$390,B57+1)</f>
        <v>19089.3</v>
      </c>
      <c r="E57">
        <f>INDEX('Calc palla di neve'!$G$30:$G$390,B57+1)</f>
        <v>19103.1</v>
      </c>
      <c r="F57">
        <f>INDEX('Calc personalizzata'!$G$30:$G$390,B57+1)</f>
        <v>19103.1</v>
      </c>
      <c r="G57">
        <f>INDEX('Calc rate minime'!$G$30:$G$390,B57+1)</f>
        <v>19982.2</v>
      </c>
      <c r="H57">
        <f>DATE($B$13,$B$14+B57-1,1)</f>
        <v>46388.0</v>
      </c>
    </row>
    <row r="58">
      <c r="A58" t="n">
        <v>6</v>
      </c>
      <c r="B58">
        <f>ROUND(A58*$B$15/48,0)</f>
        <v>3</v>
      </c>
      <c r="C58" t="str">
        <f>CHOOSE(MONTH(H58),"gen","feb","mar","apr","mag","giu","lug","ago","set","ott","nov","dic")&amp;" "&amp;RIGHT(YEAR(H58),2)</f>
        <v>gen 27</v>
      </c>
      <c r="D58">
        <f>INDEX('Calc valanga'!$G$30:$G$390,B58+1)</f>
        <v>19089.3</v>
      </c>
      <c r="E58">
        <f>INDEX('Calc palla di neve'!$G$30:$G$390,B58+1)</f>
        <v>19103.1</v>
      </c>
      <c r="F58">
        <f>INDEX('Calc personalizzata'!$G$30:$G$390,B58+1)</f>
        <v>19103.1</v>
      </c>
      <c r="G58">
        <f>INDEX('Calc rate minime'!$G$30:$G$390,B58+1)</f>
        <v>19982.2</v>
      </c>
      <c r="H58">
        <f>DATE($B$13,$B$14+B58-1,1)</f>
        <v>46388.0</v>
      </c>
    </row>
    <row r="59">
      <c r="A59" t="n">
        <v>7</v>
      </c>
      <c r="B59">
        <f>ROUND(A59*$B$15/48,0)</f>
        <v>4</v>
      </c>
      <c r="C59" t="str">
        <f>CHOOSE(MONTH(H59),"gen","feb","mar","apr","mag","giu","lug","ago","set","ott","nov","dic")&amp;" "&amp;RIGHT(YEAR(H59),2)</f>
        <v>feb 27</v>
      </c>
      <c r="D59">
        <f>INDEX('Calc valanga'!$G$30:$G$390,B59+1)</f>
        <v>18407.13</v>
      </c>
      <c r="E59">
        <f>INDEX('Calc palla di neve'!$G$30:$G$390,B59+1)</f>
        <v>18435</v>
      </c>
      <c r="F59">
        <f>INDEX('Calc personalizzata'!$G$30:$G$390,B59+1)</f>
        <v>18433</v>
      </c>
      <c r="G59">
        <f>INDEX('Calc rate minime'!$G$30:$G$390,B59+1)</f>
        <v>19445.05</v>
      </c>
      <c r="H59">
        <f>DATE($B$13,$B$14+B59-1,1)</f>
        <v>46419.0</v>
      </c>
    </row>
    <row r="60">
      <c r="A60" t="n">
        <v>8</v>
      </c>
      <c r="B60">
        <f>ROUND(A60*$B$15/48,0)</f>
        <v>4</v>
      </c>
      <c r="C60" t="str">
        <f>CHOOSE(MONTH(H60),"gen","feb","mar","apr","mag","giu","lug","ago","set","ott","nov","dic")&amp;" "&amp;RIGHT(YEAR(H60),2)</f>
        <v>feb 27</v>
      </c>
      <c r="D60">
        <f>INDEX('Calc valanga'!$G$30:$G$390,B60+1)</f>
        <v>18407.13</v>
      </c>
      <c r="E60">
        <f>INDEX('Calc palla di neve'!$G$30:$G$390,B60+1)</f>
        <v>18435</v>
      </c>
      <c r="F60">
        <f>INDEX('Calc personalizzata'!$G$30:$G$390,B60+1)</f>
        <v>18433</v>
      </c>
      <c r="G60">
        <f>INDEX('Calc rate minime'!$G$30:$G$390,B60+1)</f>
        <v>19445.05</v>
      </c>
      <c r="H60">
        <f>DATE($B$13,$B$14+B60-1,1)</f>
        <v>46419.0</v>
      </c>
    </row>
    <row r="61">
      <c r="A61" t="n">
        <v>9</v>
      </c>
      <c r="B61">
        <f>ROUND(A61*$B$15/48,0)</f>
        <v>5</v>
      </c>
      <c r="C61" t="str">
        <f>CHOOSE(MONTH(H61),"gen","feb","mar","apr","mag","giu","lug","ago","set","ott","nov","dic")&amp;" "&amp;RIGHT(YEAR(H61),2)</f>
        <v>mar 27</v>
      </c>
      <c r="D61">
        <f>INDEX('Calc valanga'!$G$30:$G$390,B61+1)</f>
        <v>17319.77</v>
      </c>
      <c r="E61">
        <f>INDEX('Calc palla di neve'!$G$30:$G$390,B61+1)</f>
        <v>17363.99</v>
      </c>
      <c r="F61">
        <f>INDEX('Calc personalizzata'!$G$30:$G$390,B61+1)</f>
        <v>17357.42</v>
      </c>
      <c r="G61">
        <f>INDEX('Calc rate minime'!$G$30:$G$390,B61+1)</f>
        <v>18907.18</v>
      </c>
      <c r="H61">
        <f>DATE($B$13,$B$14+B61-1,1)</f>
        <v>46447.0</v>
      </c>
    </row>
    <row r="62">
      <c r="A62" t="n">
        <v>10</v>
      </c>
      <c r="B62">
        <f>ROUND(A62*$B$15/48,0)</f>
        <v>5</v>
      </c>
      <c r="C62" t="str">
        <f>CHOOSE(MONTH(H62),"gen","feb","mar","apr","mag","giu","lug","ago","set","ott","nov","dic")&amp;" "&amp;RIGHT(YEAR(H62),2)</f>
        <v>mar 27</v>
      </c>
      <c r="D62">
        <f>INDEX('Calc valanga'!$G$30:$G$390,B62+1)</f>
        <v>17319.77</v>
      </c>
      <c r="E62">
        <f>INDEX('Calc palla di neve'!$G$30:$G$390,B62+1)</f>
        <v>17363.99</v>
      </c>
      <c r="F62">
        <f>INDEX('Calc personalizzata'!$G$30:$G$390,B62+1)</f>
        <v>17357.42</v>
      </c>
      <c r="G62">
        <f>INDEX('Calc rate minime'!$G$30:$G$390,B62+1)</f>
        <v>18907.18</v>
      </c>
      <c r="H62">
        <f>DATE($B$13,$B$14+B62-1,1)</f>
        <v>46447.0</v>
      </c>
    </row>
    <row r="63">
      <c r="A63" t="n">
        <v>11</v>
      </c>
      <c r="B63">
        <f>ROUND(A63*$B$15/48,0)</f>
        <v>6</v>
      </c>
      <c r="C63" t="str">
        <f>CHOOSE(MONTH(H63),"gen","feb","mar","apr","mag","giu","lug","ago","set","ott","nov","dic")&amp;" "&amp;RIGHT(YEAR(H63),2)</f>
        <v>apr 27</v>
      </c>
      <c r="D63">
        <f>INDEX('Calc valanga'!$G$30:$G$390,B63+1)</f>
        <v>16632.48</v>
      </c>
      <c r="E63">
        <f>INDEX('Calc palla di neve'!$G$30:$G$390,B63+1)</f>
        <v>16690.05</v>
      </c>
      <c r="F63">
        <f>INDEX('Calc personalizzata'!$G$30:$G$390,B63+1)</f>
        <v>16669.99</v>
      </c>
      <c r="G63">
        <f>INDEX('Calc rate minime'!$G$30:$G$390,B63+1)</f>
        <v>18381.16</v>
      </c>
      <c r="H63">
        <f>DATE($B$13,$B$14+B63-1,1)</f>
        <v>46478.0</v>
      </c>
    </row>
    <row r="64">
      <c r="A64" t="n">
        <v>12</v>
      </c>
      <c r="B64">
        <f>ROUND(A64*$B$15/48,0)</f>
        <v>6</v>
      </c>
      <c r="C64" t="str">
        <f>CHOOSE(MONTH(H64),"gen","feb","mar","apr","mag","giu","lug","ago","set","ott","nov","dic")&amp;" "&amp;RIGHT(YEAR(H64),2)</f>
        <v>apr 27</v>
      </c>
      <c r="D64">
        <f>INDEX('Calc valanga'!$G$30:$G$390,B64+1)</f>
        <v>16632.48</v>
      </c>
      <c r="E64">
        <f>INDEX('Calc palla di neve'!$G$30:$G$390,B64+1)</f>
        <v>16690.05</v>
      </c>
      <c r="F64">
        <f>INDEX('Calc personalizzata'!$G$30:$G$390,B64+1)</f>
        <v>16669.99</v>
      </c>
      <c r="G64">
        <f>INDEX('Calc rate minime'!$G$30:$G$390,B64+1)</f>
        <v>18381.16</v>
      </c>
      <c r="H64">
        <f>DATE($B$13,$B$14+B64-1,1)</f>
        <v>46478.0</v>
      </c>
    </row>
    <row r="65">
      <c r="A65" t="n">
        <v>13</v>
      </c>
      <c r="B65">
        <f>ROUND(A65*$B$15/48,0)</f>
        <v>7</v>
      </c>
      <c r="C65" t="str">
        <f>CHOOSE(MONTH(H65),"gen","feb","mar","apr","mag","giu","lug","ago","set","ott","nov","dic")&amp;" "&amp;RIGHT(YEAR(H65),2)</f>
        <v>mag 27</v>
      </c>
      <c r="D65">
        <f>INDEX('Calc valanga'!$G$30:$G$390,B65+1)</f>
        <v>15939</v>
      </c>
      <c r="E65">
        <f>INDEX('Calc palla di neve'!$G$30:$G$390,B65+1)</f>
        <v>16013.18</v>
      </c>
      <c r="F65">
        <f>INDEX('Calc personalizzata'!$G$30:$G$390,B65+1)</f>
        <v>15976.85</v>
      </c>
      <c r="G65">
        <f>INDEX('Calc rate minime'!$G$30:$G$390,B65+1)</f>
        <v>17853.48</v>
      </c>
      <c r="H65">
        <f>DATE($B$13,$B$14+B65-1,1)</f>
        <v>46508.0</v>
      </c>
    </row>
    <row r="66">
      <c r="A66" t="n">
        <v>14</v>
      </c>
      <c r="B66">
        <f>ROUND(A66*$B$15/48,0)</f>
        <v>7</v>
      </c>
      <c r="C66" t="str">
        <f>CHOOSE(MONTH(H66),"gen","feb","mar","apr","mag","giu","lug","ago","set","ott","nov","dic")&amp;" "&amp;RIGHT(YEAR(H66),2)</f>
        <v>mag 27</v>
      </c>
      <c r="D66">
        <f>INDEX('Calc valanga'!$G$30:$G$390,B66+1)</f>
        <v>15939</v>
      </c>
      <c r="E66">
        <f>INDEX('Calc palla di neve'!$G$30:$G$390,B66+1)</f>
        <v>16013.18</v>
      </c>
      <c r="F66">
        <f>INDEX('Calc personalizzata'!$G$30:$G$390,B66+1)</f>
        <v>15976.85</v>
      </c>
      <c r="G66">
        <f>INDEX('Calc rate minime'!$G$30:$G$390,B66+1)</f>
        <v>17853.48</v>
      </c>
      <c r="H66">
        <f>DATE($B$13,$B$14+B66-1,1)</f>
        <v>46508.0</v>
      </c>
    </row>
    <row r="67">
      <c r="A67" t="n">
        <v>15</v>
      </c>
      <c r="B67">
        <f>ROUND(A67*$B$15/48,0)</f>
        <v>8</v>
      </c>
      <c r="C67" t="str">
        <f>CHOOSE(MONTH(H67),"gen","feb","mar","apr","mag","giu","lug","ago","set","ott","nov","dic")&amp;" "&amp;RIGHT(YEAR(H67),2)</f>
        <v>giu 27</v>
      </c>
      <c r="D67">
        <f>INDEX('Calc valanga'!$G$30:$G$390,B67+1)</f>
        <v>15239.48</v>
      </c>
      <c r="E67">
        <f>INDEX('Calc palla di neve'!$G$30:$G$390,B67+1)</f>
        <v>15333.37</v>
      </c>
      <c r="F67">
        <f>INDEX('Calc personalizzata'!$G$30:$G$390,B67+1)</f>
        <v>15277.93</v>
      </c>
      <c r="G67">
        <f>INDEX('Calc rate minime'!$G$30:$G$390,B67+1)</f>
        <v>17324.12</v>
      </c>
      <c r="H67">
        <f>DATE($B$13,$B$14+B67-1,1)</f>
        <v>46539.0</v>
      </c>
    </row>
    <row r="68">
      <c r="A68" t="n">
        <v>16</v>
      </c>
      <c r="B68">
        <f>ROUND(A68*$B$15/48,0)</f>
        <v>8</v>
      </c>
      <c r="C68" t="str">
        <f>CHOOSE(MONTH(H68),"gen","feb","mar","apr","mag","giu","lug","ago","set","ott","nov","dic")&amp;" "&amp;RIGHT(YEAR(H68),2)</f>
        <v>giu 27</v>
      </c>
      <c r="D68">
        <f>INDEX('Calc valanga'!$G$30:$G$390,B68+1)</f>
        <v>15239.48</v>
      </c>
      <c r="E68">
        <f>INDEX('Calc palla di neve'!$G$30:$G$390,B68+1)</f>
        <v>15333.37</v>
      </c>
      <c r="F68">
        <f>INDEX('Calc personalizzata'!$G$30:$G$390,B68+1)</f>
        <v>15277.93</v>
      </c>
      <c r="G68">
        <f>INDEX('Calc rate minime'!$G$30:$G$390,B68+1)</f>
        <v>17324.12</v>
      </c>
      <c r="H68">
        <f>DATE($B$13,$B$14+B68-1,1)</f>
        <v>46539.0</v>
      </c>
    </row>
    <row r="69">
      <c r="A69" t="n">
        <v>17</v>
      </c>
      <c r="B69">
        <f>ROUND(A69*$B$15/48,0)</f>
        <v>9</v>
      </c>
      <c r="C69" t="str">
        <f>CHOOSE(MONTH(H69),"gen","feb","mar","apr","mag","giu","lug","ago","set","ott","nov","dic")&amp;" "&amp;RIGHT(YEAR(H69),2)</f>
        <v>lug 27</v>
      </c>
      <c r="D69">
        <f>INDEX('Calc valanga'!$G$30:$G$390,B69+1)</f>
        <v>14084.11</v>
      </c>
      <c r="E69">
        <f>INDEX('Calc palla di neve'!$G$30:$G$390,B69+1)</f>
        <v>14199.63</v>
      </c>
      <c r="F69">
        <f>INDEX('Calc personalizzata'!$G$30:$G$390,B69+1)</f>
        <v>14123.16</v>
      </c>
      <c r="G69">
        <f>INDEX('Calc rate minime'!$G$30:$G$390,B69+1)</f>
        <v>16793.06</v>
      </c>
      <c r="H69">
        <f>DATE($B$13,$B$14+B69-1,1)</f>
        <v>46569.0</v>
      </c>
    </row>
    <row r="70">
      <c r="A70" t="n">
        <v>18</v>
      </c>
      <c r="B70">
        <f>ROUND(A70*$B$15/48,0)</f>
        <v>9</v>
      </c>
      <c r="C70" t="str">
        <f>CHOOSE(MONTH(H70),"gen","feb","mar","apr","mag","giu","lug","ago","set","ott","nov","dic")&amp;" "&amp;RIGHT(YEAR(H70),2)</f>
        <v>lug 27</v>
      </c>
      <c r="D70">
        <f>INDEX('Calc valanga'!$G$30:$G$390,B70+1)</f>
        <v>14084.11</v>
      </c>
      <c r="E70">
        <f>INDEX('Calc palla di neve'!$G$30:$G$390,B70+1)</f>
        <v>14199.63</v>
      </c>
      <c r="F70">
        <f>INDEX('Calc personalizzata'!$G$30:$G$390,B70+1)</f>
        <v>14123.16</v>
      </c>
      <c r="G70">
        <f>INDEX('Calc rate minime'!$G$30:$G$390,B70+1)</f>
        <v>16793.06</v>
      </c>
      <c r="H70">
        <f>DATE($B$13,$B$14+B70-1,1)</f>
        <v>46569.0</v>
      </c>
    </row>
    <row r="71">
      <c r="A71" t="n">
        <v>19</v>
      </c>
      <c r="B71">
        <f>ROUND(A71*$B$15/48,0)</f>
        <v>10</v>
      </c>
      <c r="C71" t="str">
        <f>CHOOSE(MONTH(H71),"gen","feb","mar","apr","mag","giu","lug","ago","set","ott","nov","dic")&amp;" "&amp;RIGHT(YEAR(H71),2)</f>
        <v>ago 27</v>
      </c>
      <c r="D71">
        <f>INDEX('Calc valanga'!$G$30:$G$390,B71+1)</f>
        <v>13265.72</v>
      </c>
      <c r="E71">
        <f>INDEX('Calc palla di neve'!$G$30:$G$390,B71+1)</f>
        <v>13401.72</v>
      </c>
      <c r="F71">
        <f>INDEX('Calc personalizzata'!$G$30:$G$390,B71+1)</f>
        <v>13305.39</v>
      </c>
      <c r="G71">
        <f>INDEX('Calc rate minime'!$G$30:$G$390,B71+1)</f>
        <v>16260.25</v>
      </c>
      <c r="H71">
        <f>DATE($B$13,$B$14+B71-1,1)</f>
        <v>46600.0</v>
      </c>
    </row>
    <row r="72">
      <c r="A72" t="n">
        <v>20</v>
      </c>
      <c r="B72">
        <f>ROUND(A72*$B$15/48,0)</f>
        <v>10</v>
      </c>
      <c r="C72" t="str">
        <f>CHOOSE(MONTH(H72),"gen","feb","mar","apr","mag","giu","lug","ago","set","ott","nov","dic")&amp;" "&amp;RIGHT(YEAR(H72),2)</f>
        <v>ago 27</v>
      </c>
      <c r="D72">
        <f>INDEX('Calc valanga'!$G$30:$G$390,B72+1)</f>
        <v>13265.72</v>
      </c>
      <c r="E72">
        <f>INDEX('Calc palla di neve'!$G$30:$G$390,B72+1)</f>
        <v>13401.72</v>
      </c>
      <c r="F72">
        <f>INDEX('Calc personalizzata'!$G$30:$G$390,B72+1)</f>
        <v>13305.39</v>
      </c>
      <c r="G72">
        <f>INDEX('Calc rate minime'!$G$30:$G$390,B72+1)</f>
        <v>16260.25</v>
      </c>
      <c r="H72">
        <f>DATE($B$13,$B$14+B72-1,1)</f>
        <v>46600.0</v>
      </c>
    </row>
    <row r="73">
      <c r="A73" t="n">
        <v>21</v>
      </c>
      <c r="B73">
        <f>ROUND(A73*$B$15/48,0)</f>
        <v>11</v>
      </c>
      <c r="C73" t="str">
        <f>CHOOSE(MONTH(H73),"gen","feb","mar","apr","mag","giu","lug","ago","set","ott","nov","dic")&amp;" "&amp;RIGHT(YEAR(H73),2)</f>
        <v>set 27</v>
      </c>
      <c r="D73">
        <f>INDEX('Calc valanga'!$G$30:$G$390,B73+1)</f>
        <v>12442.03</v>
      </c>
      <c r="E73">
        <f>INDEX('Calc palla di neve'!$G$30:$G$390,B73+1)</f>
        <v>12594.95</v>
      </c>
      <c r="F73">
        <f>INDEX('Calc personalizzata'!$G$30:$G$390,B73+1)</f>
        <v>12482</v>
      </c>
      <c r="G73">
        <f>INDEX('Calc rate minime'!$G$30:$G$390,B73+1)</f>
        <v>15725.52</v>
      </c>
      <c r="H73">
        <f>DATE($B$13,$B$14+B73-1,1)</f>
        <v>46631.0</v>
      </c>
    </row>
    <row r="74">
      <c r="A74" t="n">
        <v>22</v>
      </c>
      <c r="B74">
        <f>ROUND(A74*$B$15/48,0)</f>
        <v>11</v>
      </c>
      <c r="C74" t="str">
        <f>CHOOSE(MONTH(H74),"gen","feb","mar","apr","mag","giu","lug","ago","set","ott","nov","dic")&amp;" "&amp;RIGHT(YEAR(H74),2)</f>
        <v>set 27</v>
      </c>
      <c r="D74">
        <f>INDEX('Calc valanga'!$G$30:$G$390,B74+1)</f>
        <v>12442.03</v>
      </c>
      <c r="E74">
        <f>INDEX('Calc palla di neve'!$G$30:$G$390,B74+1)</f>
        <v>12594.95</v>
      </c>
      <c r="F74">
        <f>INDEX('Calc personalizzata'!$G$30:$G$390,B74+1)</f>
        <v>12482</v>
      </c>
      <c r="G74">
        <f>INDEX('Calc rate minime'!$G$30:$G$390,B74+1)</f>
        <v>15725.52</v>
      </c>
      <c r="H74">
        <f>DATE($B$13,$B$14+B74-1,1)</f>
        <v>46631.0</v>
      </c>
    </row>
    <row r="75">
      <c r="A75" t="n">
        <v>23</v>
      </c>
      <c r="B75">
        <f>ROUND(A75*$B$15/48,0)</f>
        <v>12</v>
      </c>
      <c r="C75" t="str">
        <f>CHOOSE(MONTH(H75),"gen","feb","mar","apr","mag","giu","lug","ago","set","ott","nov","dic")&amp;" "&amp;RIGHT(YEAR(H75),2)</f>
        <v>ott 27</v>
      </c>
      <c r="D75">
        <f>INDEX('Calc valanga'!$G$30:$G$390,B75+1)</f>
        <v>11613.27</v>
      </c>
      <c r="E75">
        <f>INDEX('Calc palla di neve'!$G$30:$G$390,B75+1)</f>
        <v>11779.21</v>
      </c>
      <c r="F75">
        <f>INDEX('Calc personalizzata'!$G$30:$G$390,B75+1)</f>
        <v>11653.55</v>
      </c>
      <c r="G75">
        <f>INDEX('Calc rate minime'!$G$30:$G$390,B75+1)</f>
        <v>15188.44</v>
      </c>
      <c r="H75">
        <f>DATE($B$13,$B$14+B75-1,1)</f>
        <v>46661.0</v>
      </c>
    </row>
    <row r="76">
      <c r="A76" t="n">
        <v>24</v>
      </c>
      <c r="B76">
        <f>ROUND(A76*$B$15/48,0)</f>
        <v>13</v>
      </c>
      <c r="C76" t="str">
        <f>CHOOSE(MONTH(H76),"gen","feb","mar","apr","mag","giu","lug","ago","set","ott","nov","dic")&amp;" "&amp;RIGHT(YEAR(H76),2)</f>
        <v>nov 27</v>
      </c>
      <c r="D76">
        <f>INDEX('Calc valanga'!$G$30:$G$390,B76+1)</f>
        <v>10779.42</v>
      </c>
      <c r="E76">
        <f>INDEX('Calc palla di neve'!$G$30:$G$390,B76+1)</f>
        <v>10954.37</v>
      </c>
      <c r="F76">
        <f>INDEX('Calc personalizzata'!$G$30:$G$390,B76+1)</f>
        <v>10820.01</v>
      </c>
      <c r="G76">
        <f>INDEX('Calc rate minime'!$G$30:$G$390,B76+1)</f>
        <v>14694</v>
      </c>
      <c r="H76">
        <f>DATE($B$13,$B$14+B76-1,1)</f>
        <v>46692.0</v>
      </c>
    </row>
    <row r="77">
      <c r="A77" t="n">
        <v>25</v>
      </c>
      <c r="B77">
        <f>ROUND(A77*$B$15/48,0)</f>
        <v>13</v>
      </c>
      <c r="C77" t="str">
        <f>CHOOSE(MONTH(H77),"gen","feb","mar","apr","mag","giu","lug","ago","set","ott","nov","dic")&amp;" "&amp;RIGHT(YEAR(H77),2)</f>
        <v>nov 27</v>
      </c>
      <c r="D77">
        <f>INDEX('Calc valanga'!$G$30:$G$390,B77+1)</f>
        <v>10779.42</v>
      </c>
      <c r="E77">
        <f>INDEX('Calc palla di neve'!$G$30:$G$390,B77+1)</f>
        <v>10954.37</v>
      </c>
      <c r="F77">
        <f>INDEX('Calc personalizzata'!$G$30:$G$390,B77+1)</f>
        <v>10820.01</v>
      </c>
      <c r="G77">
        <f>INDEX('Calc rate minime'!$G$30:$G$390,B77+1)</f>
        <v>14694</v>
      </c>
      <c r="H77">
        <f>DATE($B$13,$B$14+B77-1,1)</f>
        <v>46692.0</v>
      </c>
    </row>
    <row r="78">
      <c r="A78" t="n">
        <v>26</v>
      </c>
      <c r="B78">
        <f>ROUND(A78*$B$15/48,0)</f>
        <v>14</v>
      </c>
      <c r="C78" t="str">
        <f>CHOOSE(MONTH(H78),"gen","feb","mar","apr","mag","giu","lug","ago","set","ott","nov","dic")&amp;" "&amp;RIGHT(YEAR(H78),2)</f>
        <v>dic 27</v>
      </c>
      <c r="D78">
        <f>INDEX('Calc valanga'!$G$30:$G$390,B78+1)</f>
        <v>9340.09</v>
      </c>
      <c r="E78">
        <f>INDEX('Calc palla di neve'!$G$30:$G$390,B78+1)</f>
        <v>9522.9</v>
      </c>
      <c r="F78">
        <f>INDEX('Calc personalizzata'!$G$30:$G$390,B78+1)</f>
        <v>9380.99</v>
      </c>
      <c r="G78">
        <f>INDEX('Calc rate minime'!$G$30:$G$390,B78+1)</f>
        <v>14197.16</v>
      </c>
      <c r="H78">
        <f>DATE($B$13,$B$14+B78-1,1)</f>
        <v>46722.0</v>
      </c>
    </row>
    <row r="79">
      <c r="A79" t="n">
        <v>27</v>
      </c>
      <c r="B79">
        <f>ROUND(A79*$B$15/48,0)</f>
        <v>14</v>
      </c>
      <c r="C79" t="str">
        <f>CHOOSE(MONTH(H79),"gen","feb","mar","apr","mag","giu","lug","ago","set","ott","nov","dic")&amp;" "&amp;RIGHT(YEAR(H79),2)</f>
        <v>dic 27</v>
      </c>
      <c r="D79">
        <f>INDEX('Calc valanga'!$G$30:$G$390,B79+1)</f>
        <v>9340.09</v>
      </c>
      <c r="E79">
        <f>INDEX('Calc palla di neve'!$G$30:$G$390,B79+1)</f>
        <v>9522.9</v>
      </c>
      <c r="F79">
        <f>INDEX('Calc personalizzata'!$G$30:$G$390,B79+1)</f>
        <v>9380.99</v>
      </c>
      <c r="G79">
        <f>INDEX('Calc rate minime'!$G$30:$G$390,B79+1)</f>
        <v>14197.16</v>
      </c>
      <c r="H79">
        <f>DATE($B$13,$B$14+B79-1,1)</f>
        <v>46722.0</v>
      </c>
    </row>
    <row r="80">
      <c r="A80" t="n">
        <v>28</v>
      </c>
      <c r="B80">
        <f>ROUND(A80*$B$15/48,0)</f>
        <v>15</v>
      </c>
      <c r="C80" t="str">
        <f>CHOOSE(MONTH(H80),"gen","feb","mar","apr","mag","giu","lug","ago","set","ott","nov","dic")&amp;" "&amp;RIGHT(YEAR(H80),2)</f>
        <v>gen 28</v>
      </c>
      <c r="D80">
        <f>INDEX('Calc valanga'!$G$30:$G$390,B80+1)</f>
        <v>8490.65</v>
      </c>
      <c r="E80">
        <f>INDEX('Calc palla di neve'!$G$30:$G$390,B80+1)</f>
        <v>8681</v>
      </c>
      <c r="F80">
        <f>INDEX('Calc personalizzata'!$G$30:$G$390,B80+1)</f>
        <v>8531.86</v>
      </c>
      <c r="G80">
        <f>INDEX('Calc rate minime'!$G$30:$G$390,B80+1)</f>
        <v>13697.92</v>
      </c>
      <c r="H80">
        <f>DATE($B$13,$B$14+B80-1,1)</f>
        <v>46753.0</v>
      </c>
    </row>
    <row r="81">
      <c r="A81" t="n">
        <v>29</v>
      </c>
      <c r="B81">
        <f>ROUND(A81*$B$15/48,0)</f>
        <v>15</v>
      </c>
      <c r="C81" t="str">
        <f>CHOOSE(MONTH(H81),"gen","feb","mar","apr","mag","giu","lug","ago","set","ott","nov","dic")&amp;" "&amp;RIGHT(YEAR(H81),2)</f>
        <v>gen 28</v>
      </c>
      <c r="D81">
        <f>INDEX('Calc valanga'!$G$30:$G$390,B81+1)</f>
        <v>8490.65</v>
      </c>
      <c r="E81">
        <f>INDEX('Calc palla di neve'!$G$30:$G$390,B81+1)</f>
        <v>8681</v>
      </c>
      <c r="F81">
        <f>INDEX('Calc personalizzata'!$G$30:$G$390,B81+1)</f>
        <v>8531.86</v>
      </c>
      <c r="G81">
        <f>INDEX('Calc rate minime'!$G$30:$G$390,B81+1)</f>
        <v>13697.92</v>
      </c>
      <c r="H81">
        <f>DATE($B$13,$B$14+B81-1,1)</f>
        <v>46753.0</v>
      </c>
    </row>
    <row r="82">
      <c r="A82" t="n">
        <v>30</v>
      </c>
      <c r="B82">
        <f>ROUND(A82*$B$15/48,0)</f>
        <v>16</v>
      </c>
      <c r="C82" t="str">
        <f>CHOOSE(MONTH(H82),"gen","feb","mar","apr","mag","giu","lug","ago","set","ott","nov","dic")&amp;" "&amp;RIGHT(YEAR(H82),2)</f>
        <v>feb 28</v>
      </c>
      <c r="D82">
        <f>INDEX('Calc valanga'!$G$30:$G$390,B82+1)</f>
        <v>7635.61</v>
      </c>
      <c r="E82">
        <f>INDEX('Calc palla di neve'!$G$30:$G$390,B82+1)</f>
        <v>7833.17</v>
      </c>
      <c r="F82">
        <f>INDEX('Calc personalizzata'!$G$30:$G$390,B82+1)</f>
        <v>7677.14</v>
      </c>
      <c r="G82">
        <f>INDEX('Calc rate minime'!$G$30:$G$390,B82+1)</f>
        <v>13196.22</v>
      </c>
      <c r="H82">
        <f>DATE($B$13,$B$14+B82-1,1)</f>
        <v>46784.0</v>
      </c>
    </row>
    <row r="83">
      <c r="A83" t="n">
        <v>31</v>
      </c>
      <c r="B83">
        <f>ROUND(A83*$B$15/48,0)</f>
        <v>16</v>
      </c>
      <c r="C83" t="str">
        <f>CHOOSE(MONTH(H83),"gen","feb","mar","apr","mag","giu","lug","ago","set","ott","nov","dic")&amp;" "&amp;RIGHT(YEAR(H83),2)</f>
        <v>feb 28</v>
      </c>
      <c r="D83">
        <f>INDEX('Calc valanga'!$G$30:$G$390,B83+1)</f>
        <v>7635.61</v>
      </c>
      <c r="E83">
        <f>INDEX('Calc palla di neve'!$G$30:$G$390,B83+1)</f>
        <v>7833.17</v>
      </c>
      <c r="F83">
        <f>INDEX('Calc personalizzata'!$G$30:$G$390,B83+1)</f>
        <v>7677.14</v>
      </c>
      <c r="G83">
        <f>INDEX('Calc rate minime'!$G$30:$G$390,B83+1)</f>
        <v>13196.22</v>
      </c>
      <c r="H83">
        <f>DATE($B$13,$B$14+B83-1,1)</f>
        <v>46784.0</v>
      </c>
    </row>
    <row r="84">
      <c r="A84" t="n">
        <v>32</v>
      </c>
      <c r="B84">
        <f>ROUND(A84*$B$15/48,0)</f>
        <v>17</v>
      </c>
      <c r="C84" t="str">
        <f>CHOOSE(MONTH(H84),"gen","feb","mar","apr","mag","giu","lug","ago","set","ott","nov","dic")&amp;" "&amp;RIGHT(YEAR(H84),2)</f>
        <v>mar 28</v>
      </c>
      <c r="D84">
        <f>INDEX('Calc valanga'!$G$30:$G$390,B84+1)</f>
        <v>6774.95</v>
      </c>
      <c r="E84">
        <f>INDEX('Calc palla di neve'!$G$30:$G$390,B84+1)</f>
        <v>6979.39</v>
      </c>
      <c r="F84">
        <f>INDEX('Calc personalizzata'!$G$30:$G$390,B84+1)</f>
        <v>6816.8</v>
      </c>
      <c r="G84">
        <f>INDEX('Calc rate minime'!$G$30:$G$390,B84+1)</f>
        <v>12692.03</v>
      </c>
      <c r="H84">
        <f>DATE($B$13,$B$14+B84-1,1)</f>
        <v>46813.0</v>
      </c>
    </row>
    <row r="85">
      <c r="A85" t="n">
        <v>33</v>
      </c>
      <c r="B85">
        <f>ROUND(A85*$B$15/48,0)</f>
        <v>17</v>
      </c>
      <c r="C85" t="str">
        <f>CHOOSE(MONTH(H85),"gen","feb","mar","apr","mag","giu","lug","ago","set","ott","nov","dic")&amp;" "&amp;RIGHT(YEAR(H85),2)</f>
        <v>mar 28</v>
      </c>
      <c r="D85">
        <f>INDEX('Calc valanga'!$G$30:$G$390,B85+1)</f>
        <v>6774.95</v>
      </c>
      <c r="E85">
        <f>INDEX('Calc palla di neve'!$G$30:$G$390,B85+1)</f>
        <v>6979.39</v>
      </c>
      <c r="F85">
        <f>INDEX('Calc personalizzata'!$G$30:$G$390,B85+1)</f>
        <v>6816.8</v>
      </c>
      <c r="G85">
        <f>INDEX('Calc rate minime'!$G$30:$G$390,B85+1)</f>
        <v>12692.03</v>
      </c>
      <c r="H85">
        <f>DATE($B$13,$B$14+B85-1,1)</f>
        <v>46813.0</v>
      </c>
    </row>
    <row r="86">
      <c r="A86" t="n">
        <v>34</v>
      </c>
      <c r="B86">
        <f>ROUND(A86*$B$15/48,0)</f>
        <v>18</v>
      </c>
      <c r="C86" t="str">
        <f>CHOOSE(MONTH(H86),"gen","feb","mar","apr","mag","giu","lug","ago","set","ott","nov","dic")&amp;" "&amp;RIGHT(YEAR(H86),2)</f>
        <v>apr 28</v>
      </c>
      <c r="D86">
        <f>INDEX('Calc valanga'!$G$30:$G$390,B86+1)</f>
        <v>5908.61</v>
      </c>
      <c r="E86">
        <f>INDEX('Calc palla di neve'!$G$30:$G$390,B86+1)</f>
        <v>6119.6</v>
      </c>
      <c r="F86">
        <f>INDEX('Calc personalizzata'!$G$30:$G$390,B86+1)</f>
        <v>5950.78</v>
      </c>
      <c r="G86">
        <f>INDEX('Calc rate minime'!$G$30:$G$390,B86+1)</f>
        <v>12185.36</v>
      </c>
      <c r="H86">
        <f>DATE($B$13,$B$14+B86-1,1)</f>
        <v>46844.0</v>
      </c>
    </row>
    <row r="87">
      <c r="A87" t="n">
        <v>35</v>
      </c>
      <c r="B87">
        <f>ROUND(A87*$B$15/48,0)</f>
        <v>18</v>
      </c>
      <c r="C87" t="str">
        <f>CHOOSE(MONTH(H87),"gen","feb","mar","apr","mag","giu","lug","ago","set","ott","nov","dic")&amp;" "&amp;RIGHT(YEAR(H87),2)</f>
        <v>apr 28</v>
      </c>
      <c r="D87">
        <f>INDEX('Calc valanga'!$G$30:$G$390,B87+1)</f>
        <v>5908.61</v>
      </c>
      <c r="E87">
        <f>INDEX('Calc palla di neve'!$G$30:$G$390,B87+1)</f>
        <v>6119.6</v>
      </c>
      <c r="F87">
        <f>INDEX('Calc personalizzata'!$G$30:$G$390,B87+1)</f>
        <v>5950.78</v>
      </c>
      <c r="G87">
        <f>INDEX('Calc rate minime'!$G$30:$G$390,B87+1)</f>
        <v>12185.36</v>
      </c>
      <c r="H87">
        <f>DATE($B$13,$B$14+B87-1,1)</f>
        <v>46844.0</v>
      </c>
    </row>
    <row r="88">
      <c r="A88" t="n">
        <v>36</v>
      </c>
      <c r="B88">
        <f>ROUND(A88*$B$15/48,0)</f>
        <v>19</v>
      </c>
      <c r="C88" t="str">
        <f>CHOOSE(MONTH(H88),"gen","feb","mar","apr","mag","giu","lug","ago","set","ott","nov","dic")&amp;" "&amp;RIGHT(YEAR(H88),2)</f>
        <v>mag 28</v>
      </c>
      <c r="D88">
        <f>INDEX('Calc valanga'!$G$30:$G$390,B88+1)</f>
        <v>5036.92</v>
      </c>
      <c r="E88">
        <f>INDEX('Calc palla di neve'!$G$30:$G$390,B88+1)</f>
        <v>5253.77</v>
      </c>
      <c r="F88">
        <f>INDEX('Calc personalizzata'!$G$30:$G$390,B88+1)</f>
        <v>5079.32</v>
      </c>
      <c r="G88">
        <f>INDEX('Calc rate minime'!$G$30:$G$390,B88+1)</f>
        <v>11676.14</v>
      </c>
      <c r="H88">
        <f>DATE($B$13,$B$14+B88-1,1)</f>
        <v>46874.0</v>
      </c>
    </row>
    <row r="89">
      <c r="A89" t="n">
        <v>37</v>
      </c>
      <c r="B89">
        <f>ROUND(A89*$B$15/48,0)</f>
        <v>19</v>
      </c>
      <c r="C89" t="str">
        <f>CHOOSE(MONTH(H89),"gen","feb","mar","apr","mag","giu","lug","ago","set","ott","nov","dic")&amp;" "&amp;RIGHT(YEAR(H89),2)</f>
        <v>mag 28</v>
      </c>
      <c r="D89">
        <f>INDEX('Calc valanga'!$G$30:$G$390,B89+1)</f>
        <v>5036.92</v>
      </c>
      <c r="E89">
        <f>INDEX('Calc palla di neve'!$G$30:$G$390,B89+1)</f>
        <v>5253.77</v>
      </c>
      <c r="F89">
        <f>INDEX('Calc personalizzata'!$G$30:$G$390,B89+1)</f>
        <v>5079.32</v>
      </c>
      <c r="G89">
        <f>INDEX('Calc rate minime'!$G$30:$G$390,B89+1)</f>
        <v>11676.14</v>
      </c>
      <c r="H89">
        <f>DATE($B$13,$B$14+B89-1,1)</f>
        <v>46874.0</v>
      </c>
    </row>
    <row r="90">
      <c r="A90" t="n">
        <v>38</v>
      </c>
      <c r="B90">
        <f>ROUND(A90*$B$15/48,0)</f>
        <v>20</v>
      </c>
      <c r="C90" t="str">
        <f>CHOOSE(MONTH(H90),"gen","feb","mar","apr","mag","giu","lug","ago","set","ott","nov","dic")&amp;" "&amp;RIGHT(YEAR(H90),2)</f>
        <v>giu 28</v>
      </c>
      <c r="D90">
        <f>INDEX('Calc valanga'!$G$30:$G$390,B90+1)</f>
        <v>4160.85</v>
      </c>
      <c r="E90">
        <f>INDEX('Calc palla di neve'!$G$30:$G$390,B90+1)</f>
        <v>4381.85</v>
      </c>
      <c r="F90">
        <f>INDEX('Calc personalizzata'!$G$30:$G$390,B90+1)</f>
        <v>4203.48</v>
      </c>
      <c r="G90">
        <f>INDEX('Calc rate minime'!$G$30:$G$390,B90+1)</f>
        <v>11164.37</v>
      </c>
      <c r="H90">
        <f>DATE($B$13,$B$14+B90-1,1)</f>
        <v>46905.0</v>
      </c>
    </row>
    <row r="91">
      <c r="A91" t="n">
        <v>39</v>
      </c>
      <c r="B91">
        <f>ROUND(A91*$B$15/48,0)</f>
        <v>20</v>
      </c>
      <c r="C91" t="str">
        <f>CHOOSE(MONTH(H91),"gen","feb","mar","apr","mag","giu","lug","ago","set","ott","nov","dic")&amp;" "&amp;RIGHT(YEAR(H91),2)</f>
        <v>giu 28</v>
      </c>
      <c r="D91">
        <f>INDEX('Calc valanga'!$G$30:$G$390,B91+1)</f>
        <v>4160.85</v>
      </c>
      <c r="E91">
        <f>INDEX('Calc palla di neve'!$G$30:$G$390,B91+1)</f>
        <v>4381.85</v>
      </c>
      <c r="F91">
        <f>INDEX('Calc personalizzata'!$G$30:$G$390,B91+1)</f>
        <v>4203.48</v>
      </c>
      <c r="G91">
        <f>INDEX('Calc rate minime'!$G$30:$G$390,B91+1)</f>
        <v>11164.37</v>
      </c>
      <c r="H91">
        <f>DATE($B$13,$B$14+B91-1,1)</f>
        <v>46905.0</v>
      </c>
    </row>
    <row r="92">
      <c r="A92" t="n">
        <v>40</v>
      </c>
      <c r="B92">
        <f>ROUND(A92*$B$15/48,0)</f>
        <v>21</v>
      </c>
      <c r="C92" t="str">
        <f>CHOOSE(MONTH(H92),"gen","feb","mar","apr","mag","giu","lug","ago","set","ott","nov","dic")&amp;" "&amp;RIGHT(YEAR(H92),2)</f>
        <v>lug 28</v>
      </c>
      <c r="D92">
        <f>INDEX('Calc valanga'!$G$30:$G$390,B92+1)</f>
        <v>3280.37</v>
      </c>
      <c r="E92">
        <f>INDEX('Calc palla di neve'!$G$30:$G$390,B92+1)</f>
        <v>3505.22</v>
      </c>
      <c r="F92">
        <f>INDEX('Calc personalizzata'!$G$30:$G$390,B92+1)</f>
        <v>3323.23</v>
      </c>
      <c r="G92">
        <f>INDEX('Calc rate minime'!$G$30:$G$390,B92+1)</f>
        <v>10650.02</v>
      </c>
      <c r="H92">
        <f>DATE($B$13,$B$14+B92-1,1)</f>
        <v>46935.0</v>
      </c>
    </row>
    <row r="93">
      <c r="A93" t="n">
        <v>41</v>
      </c>
      <c r="B93">
        <f>ROUND(A93*$B$15/48,0)</f>
        <v>21</v>
      </c>
      <c r="C93" t="str">
        <f>CHOOSE(MONTH(H93),"gen","feb","mar","apr","mag","giu","lug","ago","set","ott","nov","dic")&amp;" "&amp;RIGHT(YEAR(H93),2)</f>
        <v>lug 28</v>
      </c>
      <c r="D93">
        <f>INDEX('Calc valanga'!$G$30:$G$390,B93+1)</f>
        <v>3280.37</v>
      </c>
      <c r="E93">
        <f>INDEX('Calc palla di neve'!$G$30:$G$390,B93+1)</f>
        <v>3505.22</v>
      </c>
      <c r="F93">
        <f>INDEX('Calc personalizzata'!$G$30:$G$390,B93+1)</f>
        <v>3323.23</v>
      </c>
      <c r="G93">
        <f>INDEX('Calc rate minime'!$G$30:$G$390,B93+1)</f>
        <v>10650.02</v>
      </c>
      <c r="H93">
        <f>DATE($B$13,$B$14+B93-1,1)</f>
        <v>46935.0</v>
      </c>
    </row>
    <row r="94">
      <c r="A94" t="n">
        <v>42</v>
      </c>
      <c r="B94">
        <f>ROUND(A94*$B$15/48,0)</f>
        <v>22</v>
      </c>
      <c r="C94" t="str">
        <f>CHOOSE(MONTH(H94),"gen","feb","mar","apr","mag","giu","lug","ago","set","ott","nov","dic")&amp;" "&amp;RIGHT(YEAR(H94),2)</f>
        <v>ago 28</v>
      </c>
      <c r="D94">
        <f>INDEX('Calc valanga'!$G$30:$G$390,B94+1)</f>
        <v>2395.47</v>
      </c>
      <c r="E94">
        <f>INDEX('Calc palla di neve'!$G$30:$G$390,B94+1)</f>
        <v>2623.91</v>
      </c>
      <c r="F94">
        <f>INDEX('Calc personalizzata'!$G$30:$G$390,B94+1)</f>
        <v>2438.55</v>
      </c>
      <c r="G94">
        <f>INDEX('Calc rate minime'!$G$30:$G$390,B94+1)</f>
        <v>10133.05</v>
      </c>
      <c r="H94">
        <f>DATE($B$13,$B$14+B94-1,1)</f>
        <v>46966.0</v>
      </c>
    </row>
    <row r="95">
      <c r="A95" t="n">
        <v>43</v>
      </c>
      <c r="B95">
        <f>ROUND(A95*$B$15/48,0)</f>
        <v>22</v>
      </c>
      <c r="C95" t="str">
        <f>CHOOSE(MONTH(H95),"gen","feb","mar","apr","mag","giu","lug","ago","set","ott","nov","dic")&amp;" "&amp;RIGHT(YEAR(H95),2)</f>
        <v>ago 28</v>
      </c>
      <c r="D95">
        <f>INDEX('Calc valanga'!$G$30:$G$390,B95+1)</f>
        <v>2395.47</v>
      </c>
      <c r="E95">
        <f>INDEX('Calc palla di neve'!$G$30:$G$390,B95+1)</f>
        <v>2623.91</v>
      </c>
      <c r="F95">
        <f>INDEX('Calc personalizzata'!$G$30:$G$390,B95+1)</f>
        <v>2438.55</v>
      </c>
      <c r="G95">
        <f>INDEX('Calc rate minime'!$G$30:$G$390,B95+1)</f>
        <v>10133.05</v>
      </c>
      <c r="H95">
        <f>DATE($B$13,$B$14+B95-1,1)</f>
        <v>46966.0</v>
      </c>
    </row>
    <row r="96">
      <c r="A96" t="n">
        <v>44</v>
      </c>
      <c r="B96">
        <f>ROUND(A96*$B$15/48,0)</f>
        <v>23</v>
      </c>
      <c r="C96" t="str">
        <f>CHOOSE(MONTH(H96),"gen","feb","mar","apr","mag","giu","lug","ago","set","ott","nov","dic")&amp;" "&amp;RIGHT(YEAR(H96),2)</f>
        <v>set 28</v>
      </c>
      <c r="D96">
        <f>INDEX('Calc valanga'!$G$30:$G$390,B96+1)</f>
        <v>1506.11</v>
      </c>
      <c r="E96">
        <f>INDEX('Calc palla di neve'!$G$30:$G$390,B96+1)</f>
        <v>1737.9</v>
      </c>
      <c r="F96">
        <f>INDEX('Calc personalizzata'!$G$30:$G$390,B96+1)</f>
        <v>1549.42</v>
      </c>
      <c r="G96">
        <f>INDEX('Calc rate minime'!$G$30:$G$390,B96+1)</f>
        <v>9613.44</v>
      </c>
      <c r="H96">
        <f>DATE($B$13,$B$14+B96-1,1)</f>
        <v>46997.0</v>
      </c>
    </row>
    <row r="97">
      <c r="A97" t="n">
        <v>45</v>
      </c>
      <c r="B97">
        <f>ROUND(A97*$B$15/48,0)</f>
        <v>23</v>
      </c>
      <c r="C97" t="str">
        <f>CHOOSE(MONTH(H97),"gen","feb","mar","apr","mag","giu","lug","ago","set","ott","nov","dic")&amp;" "&amp;RIGHT(YEAR(H97),2)</f>
        <v>set 28</v>
      </c>
      <c r="D97">
        <f>INDEX('Calc valanga'!$G$30:$G$390,B97+1)</f>
        <v>1506.11</v>
      </c>
      <c r="E97">
        <f>INDEX('Calc palla di neve'!$G$30:$G$390,B97+1)</f>
        <v>1737.9</v>
      </c>
      <c r="F97">
        <f>INDEX('Calc personalizzata'!$G$30:$G$390,B97+1)</f>
        <v>1549.42</v>
      </c>
      <c r="G97">
        <f>INDEX('Calc rate minime'!$G$30:$G$390,B97+1)</f>
        <v>9613.44</v>
      </c>
      <c r="H97">
        <f>DATE($B$13,$B$14+B97-1,1)</f>
        <v>46997.0</v>
      </c>
    </row>
    <row r="98">
      <c r="A98" t="n">
        <v>46</v>
      </c>
      <c r="B98">
        <f>ROUND(A98*$B$15/48,0)</f>
        <v>24</v>
      </c>
      <c r="C98" t="str">
        <f>CHOOSE(MONTH(H98),"gen","feb","mar","apr","mag","giu","lug","ago","set","ott","nov","dic")&amp;" "&amp;RIGHT(YEAR(H98),2)</f>
        <v>ott 28</v>
      </c>
      <c r="D98">
        <f>INDEX('Calc valanga'!$G$30:$G$390,B98+1)</f>
        <v>612.28</v>
      </c>
      <c r="E98">
        <f>INDEX('Calc palla di neve'!$G$30:$G$390,B98+1)</f>
        <v>847.17</v>
      </c>
      <c r="F98">
        <f>INDEX('Calc personalizzata'!$G$30:$G$390,B98+1)</f>
        <v>655.82</v>
      </c>
      <c r="G98">
        <f>INDEX('Calc rate minime'!$G$30:$G$390,B98+1)</f>
        <v>9091.15</v>
      </c>
      <c r="H98">
        <f>DATE($B$13,$B$14+B98-1,1)</f>
        <v>47027.0</v>
      </c>
    </row>
    <row r="99">
      <c r="A99" t="n">
        <v>47</v>
      </c>
      <c r="B99">
        <f>ROUND(A99*$B$15/48,0)</f>
        <v>24</v>
      </c>
      <c r="C99" t="str">
        <f>CHOOSE(MONTH(H99),"gen","feb","mar","apr","mag","giu","lug","ago","set","ott","nov","dic")&amp;" "&amp;RIGHT(YEAR(H99),2)</f>
        <v>ott 28</v>
      </c>
      <c r="D99">
        <f>INDEX('Calc valanga'!$G$30:$G$390,B99+1)</f>
        <v>612.28</v>
      </c>
      <c r="E99">
        <f>INDEX('Calc palla di neve'!$G$30:$G$390,B99+1)</f>
        <v>847.17</v>
      </c>
      <c r="F99">
        <f>INDEX('Calc personalizzata'!$G$30:$G$390,B99+1)</f>
        <v>655.82</v>
      </c>
      <c r="G99">
        <f>INDEX('Calc rate minime'!$G$30:$G$390,B99+1)</f>
        <v>9091.15</v>
      </c>
      <c r="H99">
        <f>DATE($B$13,$B$14+B99-1,1)</f>
        <v>47027.0</v>
      </c>
    </row>
    <row r="100">
      <c r="A100" t="n">
        <v>48</v>
      </c>
      <c r="B100">
        <f>ROUND(A100*$B$15/48,0)</f>
        <v>25</v>
      </c>
      <c r="C100" t="str">
        <f>CHOOSE(MONTH(H100),"gen","feb","mar","apr","mag","giu","lug","ago","set","ott","nov","dic")&amp;" "&amp;RIGHT(YEAR(H100),2)</f>
        <v>nov 28</v>
      </c>
      <c r="D100">
        <f>INDEX('Calc valanga'!$G$30:$G$390,B100+1)</f>
        <v>0</v>
      </c>
      <c r="E100">
        <f>INDEX('Calc palla di neve'!$G$30:$G$390,B100+1)</f>
        <v>0</v>
      </c>
      <c r="F100">
        <f>INDEX('Calc personalizzata'!$G$30:$G$390,B100+1)</f>
        <v>0</v>
      </c>
      <c r="G100">
        <f>INDEX('Calc rate minime'!$G$30:$G$390,B100+1)</f>
        <v>8566.16</v>
      </c>
      <c r="H100">
        <f>DATE($B$13,$B$14+B100-1,1)</f>
        <v>47058.0</v>
      </c>
    </row>
    <row r="103">
      <c r="A103" t="n">
        <v>1</v>
      </c>
      <c r="B103">
        <f>IF($B$7&lt;=12,A103,ROUND((A103-1)*$B$7/12,0)+1)</f>
        <v>1</v>
      </c>
      <c r="C103">
        <f>IF($B$7&lt;=12,A103,ROUND(A103*$B$7/12,0))</f>
        <v>2</v>
      </c>
      <c r="D103" t="str">
        <f>IF(OR(B103&gt;$B$7,C103&lt;B103),"",CHOOSE(MONTH(G103),"gen","feb","mar","apr","mag","giu","lug","ago","set","ott","nov","dic")&amp;" "&amp;RIGHT(YEAR(G103),2))</f>
        <v>nov 26</v>
      </c>
      <c r="E103">
        <f>IF(D103="","",SUMIFS('Piano mese per mese'!$E$8:$E$367,'Piano mese per mese'!$AI$8:$AI$367,"&gt;="&amp;B103,'Piano mese per mese'!$AI$8:$AI$367,"&lt;="&amp;C103)/(C103-B103+1))</f>
        <v>138.175000000001</v>
      </c>
      <c r="F103">
        <f>IF(D103="","",SUMIFS('Piano mese per mese'!$D$8:$D$367,'Piano mese per mese'!$AI$8:$AI$367,"&gt;="&amp;B103,'Piano mese per mese'!$AI$8:$AI$367,"&lt;="&amp;C103)/(C103-B103+1)-E103)</f>
        <v>911.824999999999</v>
      </c>
      <c r="G103">
        <f>DATE($B$13,$B$14+B103-1,1)</f>
        <v>46327.0</v>
      </c>
    </row>
    <row r="104">
      <c r="A104" t="n">
        <v>2</v>
      </c>
      <c r="B104">
        <f>IF($B$7&lt;=12,A104,ROUND((A104-1)*$B$7/12,0)+1)</f>
        <v>3</v>
      </c>
      <c r="C104">
        <f>IF($B$7&lt;=12,A104,ROUND(A104*$B$7/12,0))</f>
        <v>4</v>
      </c>
      <c r="D104" t="str">
        <f>IF(OR(B104&gt;$B$7,C104&lt;B104),"",CHOOSE(MONTH(G104),"gen","feb","mar","apr","mag","giu","lug","ago","set","ott","nov","dic")&amp;" "&amp;RIGHT(YEAR(G104),2))</f>
        <v>gen 27</v>
      </c>
      <c r="E104">
        <f>IF(D104="","",SUMIFS('Piano mese per mese'!$E$8:$E$367,'Piano mese per mese'!$AI$8:$AI$367,"&gt;="&amp;B104,'Piano mese per mese'!$AI$8:$AI$367,"&lt;="&amp;C104)/(C104-B104+1))</f>
        <v>120.389999999999</v>
      </c>
      <c r="F104">
        <f>IF(D104="","",SUMIFS('Piano mese per mese'!$D$8:$D$367,'Piano mese per mese'!$AI$8:$AI$367,"&gt;="&amp;B104,'Piano mese per mese'!$AI$8:$AI$367,"&lt;="&amp;C104)/(C104-B104+1)-E104)</f>
        <v>679.610000000001</v>
      </c>
      <c r="G104">
        <f>DATE($B$13,$B$14+B104-1,1)</f>
        <v>46388.0</v>
      </c>
    </row>
    <row r="105">
      <c r="A105" t="n">
        <v>3</v>
      </c>
      <c r="B105">
        <f>IF($B$7&lt;=12,A105,ROUND((A105-1)*$B$7/12,0)+1)</f>
        <v>5</v>
      </c>
      <c r="C105">
        <f>IF($B$7&lt;=12,A105,ROUND(A105*$B$7/12,0))</f>
        <v>6</v>
      </c>
      <c r="D105" t="str">
        <f>IF(OR(B105&gt;$B$7,C105&lt;B105),"",CHOOSE(MONTH(G105),"gen","feb","mar","apr","mag","giu","lug","ago","set","ott","nov","dic")&amp;" "&amp;RIGHT(YEAR(G105),2))</f>
        <v>mar 27</v>
      </c>
      <c r="E105">
        <f>IF(D105="","",SUMIFS('Piano mese per mese'!$E$8:$E$367,'Piano mese per mese'!$AI$8:$AI$367,"&gt;="&amp;B105,'Piano mese per mese'!$AI$8:$AI$367,"&lt;="&amp;C105)/(C105-B105+1))</f>
        <v>112.674999999999</v>
      </c>
      <c r="F105">
        <f>IF(D105="","",SUMIFS('Piano mese per mese'!$D$8:$D$367,'Piano mese per mese'!$AI$8:$AI$367,"&gt;="&amp;B105,'Piano mese per mese'!$AI$8:$AI$367,"&lt;="&amp;C105)/(C105-B105+1)-E105)</f>
        <v>887.325000000001</v>
      </c>
      <c r="G105">
        <f>DATE($B$13,$B$14+B105-1,1)</f>
        <v>46447.0</v>
      </c>
    </row>
    <row r="106">
      <c r="A106" t="n">
        <v>4</v>
      </c>
      <c r="B106">
        <f>IF($B$7&lt;=12,A106,ROUND((A106-1)*$B$7/12,0)+1)</f>
        <v>7</v>
      </c>
      <c r="C106">
        <f>IF($B$7&lt;=12,A106,ROUND(A106*$B$7/12,0))</f>
        <v>8</v>
      </c>
      <c r="D106" t="str">
        <f>IF(OR(B106&gt;$B$7,C106&lt;B106),"",CHOOSE(MONTH(G106),"gen","feb","mar","apr","mag","giu","lug","ago","set","ott","nov","dic")&amp;" "&amp;RIGHT(YEAR(G106),2))</f>
        <v>mag 27</v>
      </c>
      <c r="E106">
        <f>IF(D106="","",SUMIFS('Piano mese per mese'!$E$8:$E$367,'Piano mese per mese'!$AI$8:$AI$367,"&gt;="&amp;B106,'Piano mese per mese'!$AI$8:$AI$367,"&lt;="&amp;C106)/(C106-B106+1))</f>
        <v>103.499999999999</v>
      </c>
      <c r="F106">
        <f>IF(D106="","",SUMIFS('Piano mese per mese'!$D$8:$D$367,'Piano mese per mese'!$AI$8:$AI$367,"&gt;="&amp;B106,'Piano mese per mese'!$AI$8:$AI$367,"&lt;="&amp;C106)/(C106-B106+1)-E106)</f>
        <v>696.500000000001</v>
      </c>
      <c r="G106">
        <f>DATE($B$13,$B$14+B106-1,1)</f>
        <v>46508.0</v>
      </c>
    </row>
    <row r="107">
      <c r="A107" t="n">
        <v>5</v>
      </c>
      <c r="B107">
        <f>IF($B$7&lt;=12,A107,ROUND((A107-1)*$B$7/12,0)+1)</f>
        <v>9</v>
      </c>
      <c r="C107">
        <f>IF($B$7&lt;=12,A107,ROUND(A107*$B$7/12,0))</f>
        <v>10</v>
      </c>
      <c r="D107" t="str">
        <f>IF(OR(B107&gt;$B$7,C107&lt;B107),"",CHOOSE(MONTH(G107),"gen","feb","mar","apr","mag","giu","lug","ago","set","ott","nov","dic")&amp;" "&amp;RIGHT(YEAR(G107),2))</f>
        <v>lug 27</v>
      </c>
      <c r="E107">
        <f>IF(D107="","",SUMIFS('Piano mese per mese'!$E$8:$E$367,'Piano mese per mese'!$AI$8:$AI$367,"&gt;="&amp;B107,'Piano mese per mese'!$AI$8:$AI$367,"&lt;="&amp;C107)/(C107-B107+1))</f>
        <v>88.1199999999999</v>
      </c>
      <c r="F107">
        <f>IF(D107="","",SUMIFS('Piano mese per mese'!$D$8:$D$367,'Piano mese per mese'!$AI$8:$AI$367,"&gt;="&amp;B107,'Piano mese per mese'!$AI$8:$AI$367,"&lt;="&amp;C107)/(C107-B107+1)-E107)</f>
        <v>986.88</v>
      </c>
      <c r="G107">
        <f>DATE($B$13,$B$14+B107-1,1)</f>
        <v>46569.0</v>
      </c>
    </row>
    <row r="108">
      <c r="A108" t="n">
        <v>6</v>
      </c>
      <c r="B108">
        <f>IF($B$7&lt;=12,A108,ROUND((A108-1)*$B$7/12,0)+1)</f>
        <v>11</v>
      </c>
      <c r="C108">
        <f>IF($B$7&lt;=12,A108,ROUND(A108*$B$7/12,0))</f>
        <v>13</v>
      </c>
      <c r="D108" t="str">
        <f>IF(OR(B108&gt;$B$7,C108&lt;B108),"",CHOOSE(MONTH(G108),"gen","feb","mar","apr","mag","giu","lug","ago","set","ott","nov","dic")&amp;" "&amp;RIGHT(YEAR(G108),2))</f>
        <v>set 27</v>
      </c>
      <c r="E108">
        <f>IF(D108="","",SUMIFS('Piano mese per mese'!$E$8:$E$367,'Piano mese per mese'!$AI$8:$AI$367,"&gt;="&amp;B108,'Piano mese per mese'!$AI$8:$AI$367,"&lt;="&amp;C108)/(C108-B108+1))</f>
        <v>71.2333333333336</v>
      </c>
      <c r="F108">
        <f>IF(D108="","",SUMIFS('Piano mese per mese'!$D$8:$D$367,'Piano mese per mese'!$AI$8:$AI$367,"&gt;="&amp;B108,'Piano mese per mese'!$AI$8:$AI$367,"&lt;="&amp;C108)/(C108-B108+1)-E108)</f>
        <v>828.766666666666</v>
      </c>
      <c r="G108">
        <f>DATE($B$13,$B$14+B108-1,1)</f>
        <v>46631.0</v>
      </c>
    </row>
    <row r="109">
      <c r="A109" t="n">
        <v>7</v>
      </c>
      <c r="B109">
        <f>IF($B$7&lt;=12,A109,ROUND((A109-1)*$B$7/12,0)+1)</f>
        <v>14</v>
      </c>
      <c r="C109">
        <f>IF($B$7&lt;=12,A109,ROUND(A109*$B$7/12,0))</f>
        <v>15</v>
      </c>
      <c r="D109" t="str">
        <f>IF(OR(B109&gt;$B$7,C109&lt;B109),"",CHOOSE(MONTH(G109),"gen","feb","mar","apr","mag","giu","lug","ago","set","ott","nov","dic")&amp;" "&amp;RIGHT(YEAR(G109),2))</f>
        <v>dic 27</v>
      </c>
      <c r="E109">
        <f>IF(D109="","",SUMIFS('Piano mese per mese'!$E$8:$E$367,'Piano mese per mese'!$AI$8:$AI$367,"&gt;="&amp;B109,'Piano mese per mese'!$AI$8:$AI$367,"&lt;="&amp;C109)/(C109-B109+1))</f>
        <v>55.6149999999998</v>
      </c>
      <c r="F109">
        <f>IF(D109="","",SUMIFS('Piano mese per mese'!$D$8:$D$367,'Piano mese per mese'!$AI$8:$AI$367,"&gt;="&amp;B109,'Piano mese per mese'!$AI$8:$AI$367,"&lt;="&amp;C109)/(C109-B109+1)-E109)</f>
        <v>1144.385</v>
      </c>
      <c r="G109">
        <f>DATE($B$13,$B$14+B109-1,1)</f>
        <v>46722.0</v>
      </c>
    </row>
    <row r="110">
      <c r="A110" t="n">
        <v>8</v>
      </c>
      <c r="B110">
        <f>IF($B$7&lt;=12,A110,ROUND((A110-1)*$B$7/12,0)+1)</f>
        <v>16</v>
      </c>
      <c r="C110">
        <f>IF($B$7&lt;=12,A110,ROUND(A110*$B$7/12,0))</f>
        <v>17</v>
      </c>
      <c r="D110" t="str">
        <f>IF(OR(B110&gt;$B$7,C110&lt;B110),"",CHOOSE(MONTH(G110),"gen","feb","mar","apr","mag","giu","lug","ago","set","ott","nov","dic")&amp;" "&amp;RIGHT(YEAR(G110),2))</f>
        <v>feb 28</v>
      </c>
      <c r="E110">
        <f>IF(D110="","",SUMIFS('Piano mese per mese'!$E$8:$E$367,'Piano mese per mese'!$AI$8:$AI$367,"&gt;="&amp;B110,'Piano mese per mese'!$AI$8:$AI$367,"&lt;="&amp;C110)/(C110-B110+1))</f>
        <v>42.1500000000005</v>
      </c>
      <c r="F110">
        <f>IF(D110="","",SUMIFS('Piano mese per mese'!$D$8:$D$367,'Piano mese per mese'!$AI$8:$AI$367,"&gt;="&amp;B110,'Piano mese per mese'!$AI$8:$AI$367,"&lt;="&amp;C110)/(C110-B110+1)-E110)</f>
        <v>857.85</v>
      </c>
      <c r="G110">
        <f>DATE($B$13,$B$14+B110-1,1)</f>
        <v>46784.0</v>
      </c>
    </row>
    <row r="111">
      <c r="A111" t="n">
        <v>9</v>
      </c>
      <c r="B111">
        <f>IF($B$7&lt;=12,A111,ROUND((A111-1)*$B$7/12,0)+1)</f>
        <v>18</v>
      </c>
      <c r="C111">
        <f>IF($B$7&lt;=12,A111,ROUND(A111*$B$7/12,0))</f>
        <v>19</v>
      </c>
      <c r="D111" t="str">
        <f>IF(OR(B111&gt;$B$7,C111&lt;B111),"",CHOOSE(MONTH(G111),"gen","feb","mar","apr","mag","giu","lug","ago","set","ott","nov","dic")&amp;" "&amp;RIGHT(YEAR(G111),2))</f>
        <v>apr 28</v>
      </c>
      <c r="E111">
        <f>IF(D111="","",SUMIFS('Piano mese per mese'!$E$8:$E$367,'Piano mese per mese'!$AI$8:$AI$367,"&gt;="&amp;B111,'Piano mese per mese'!$AI$8:$AI$367,"&lt;="&amp;C111)/(C111-B111+1))</f>
        <v>30.9850000000001</v>
      </c>
      <c r="F111">
        <f>IF(D111="","",SUMIFS('Piano mese per mese'!$D$8:$D$367,'Piano mese per mese'!$AI$8:$AI$367,"&gt;="&amp;B111,'Piano mese per mese'!$AI$8:$AI$367,"&lt;="&amp;C111)/(C111-B111+1)-E111)</f>
        <v>869.015</v>
      </c>
      <c r="G111">
        <f>DATE($B$13,$B$14+B111-1,1)</f>
        <v>46844.0</v>
      </c>
    </row>
    <row r="112">
      <c r="A112" t="n">
        <v>10</v>
      </c>
      <c r="B112">
        <f>IF($B$7&lt;=12,A112,ROUND((A112-1)*$B$7/12,0)+1)</f>
        <v>20</v>
      </c>
      <c r="C112">
        <f>IF($B$7&lt;=12,A112,ROUND(A112*$B$7/12,0))</f>
        <v>21</v>
      </c>
      <c r="D112" t="str">
        <f>IF(OR(B112&gt;$B$7,C112&lt;B112),"",CHOOSE(MONTH(G112),"gen","feb","mar","apr","mag","giu","lug","ago","set","ott","nov","dic")&amp;" "&amp;RIGHT(YEAR(G112),2))</f>
        <v>giu 28</v>
      </c>
      <c r="E112">
        <f>IF(D112="","",SUMIFS('Piano mese per mese'!$E$8:$E$367,'Piano mese per mese'!$AI$8:$AI$367,"&gt;="&amp;B112,'Piano mese per mese'!$AI$8:$AI$367,"&lt;="&amp;C112)/(C112-B112+1))</f>
        <v>21.7249999999999</v>
      </c>
      <c r="F112">
        <f>IF(D112="","",SUMIFS('Piano mese per mese'!$D$8:$D$367,'Piano mese per mese'!$AI$8:$AI$367,"&gt;="&amp;B112,'Piano mese per mese'!$AI$8:$AI$367,"&lt;="&amp;C112)/(C112-B112+1)-E112)</f>
        <v>878.275</v>
      </c>
      <c r="G112">
        <f>DATE($B$13,$B$14+B112-1,1)</f>
        <v>46905.0</v>
      </c>
    </row>
    <row r="113">
      <c r="A113" t="n">
        <v>11</v>
      </c>
      <c r="B113">
        <f>IF($B$7&lt;=12,A113,ROUND((A113-1)*$B$7/12,0)+1)</f>
        <v>22</v>
      </c>
      <c r="C113">
        <f>IF($B$7&lt;=12,A113,ROUND(A113*$B$7/12,0))</f>
        <v>23</v>
      </c>
      <c r="D113" t="str">
        <f>IF(OR(B113&gt;$B$7,C113&lt;B113),"",CHOOSE(MONTH(G113),"gen","feb","mar","apr","mag","giu","lug","ago","set","ott","nov","dic")&amp;" "&amp;RIGHT(YEAR(G113),2))</f>
        <v>ago 28</v>
      </c>
      <c r="E113">
        <f>IF(D113="","",SUMIFS('Piano mese per mese'!$E$8:$E$367,'Piano mese per mese'!$AI$8:$AI$367,"&gt;="&amp;B113,'Piano mese per mese'!$AI$8:$AI$367,"&lt;="&amp;C113)/(C113-B113+1))</f>
        <v>12.8699999999999</v>
      </c>
      <c r="F113">
        <f>IF(D113="","",SUMIFS('Piano mese per mese'!$D$8:$D$367,'Piano mese per mese'!$AI$8:$AI$367,"&gt;="&amp;B113,'Piano mese per mese'!$AI$8:$AI$367,"&lt;="&amp;C113)/(C113-B113+1)-E113)</f>
        <v>887.13</v>
      </c>
      <c r="G113">
        <f>DATE($B$13,$B$14+B113-1,1)</f>
        <v>46966.0</v>
      </c>
    </row>
    <row r="114">
      <c r="A114" t="n">
        <v>12</v>
      </c>
      <c r="B114">
        <f>IF($B$7&lt;=12,A114,ROUND((A114-1)*$B$7/12,0)+1)</f>
        <v>24</v>
      </c>
      <c r="C114">
        <f>IF($B$7&lt;=12,A114,ROUND(A114*$B$7/12,0))</f>
        <v>25</v>
      </c>
      <c r="D114" t="str">
        <f>IF(OR(B114&gt;$B$7,C114&lt;B114),"",CHOOSE(MONTH(G114),"gen","feb","mar","apr","mag","giu","lug","ago","set","ott","nov","dic")&amp;" "&amp;RIGHT(YEAR(G114),2))</f>
        <v>ott 28</v>
      </c>
      <c r="E114">
        <f>IF(D114="","",SUMIFS('Piano mese per mese'!$E$8:$E$367,'Piano mese per mese'!$AI$8:$AI$367,"&gt;="&amp;B114,'Piano mese per mese'!$AI$8:$AI$367,"&lt;="&amp;C114)/(C114-B114+1))</f>
        <v>3.92000000000007</v>
      </c>
      <c r="F114">
        <f>IF(D114="","",SUMIFS('Piano mese per mese'!$D$8:$D$367,'Piano mese per mese'!$AI$8:$AI$367,"&gt;="&amp;B114,'Piano mese per mese'!$AI$8:$AI$367,"&lt;="&amp;C114)/(C114-B114+1)-E114)</f>
        <v>753.055</v>
      </c>
      <c r="G114">
        <f>DATE($B$13,$B$14+B114-1,1)</f>
        <v>47027.0</v>
      </c>
    </row>
    <row r="117">
      <c r="A117" t="str">
        <f>IF($B$9=0,"Inserisci i tuoi debiti nel foglio «Debiti»: qui comparirà il tuo piano.","")</f>
        <v/>
      </c>
      <c r="B117" t="str">
        <f>IF(A117="","",ROW())</f>
        <v/>
      </c>
    </row>
    <row r="118">
      <c r="A118" t="str">
        <f>IF(AND($B$9&gt;0,'Calc base'!$C$31&lt;'Calc valanga'!$C$31),"⚠  Il budget del primo mese ("&amp;FIXED('Calc base'!$C$31,0)&amp;" €) non basta per le rate minime ("&amp;FIXED('Calc valanga'!$C$31,0)&amp;" €): il piano paga comunque le rate minime.","")</f>
        <v/>
      </c>
      <c r="B118" t="str">
        <f>IF(A118="","",ROW())</f>
        <v/>
      </c>
    </row>
    <row r="119">
      <c r="A119" t="str">
        <f>IF(AND($B$9&gt;0,$B$3=9999),"⚠  Con questo budget non chiudi tutti i debiti entro 30 anni: aumenta il budget o le rate.","")</f>
        <v/>
      </c>
      <c r="B119" t="str">
        <f>IF(A119="","",ROW())</f>
        <v/>
      </c>
    </row>
    <row r="120">
      <c r="A120" t="str">
        <f>IF(COUNTIF(Debiti!$N$7:$N$18,"⚠ La rata*")&gt;0,"⚠  Per "&amp;COUNTIF(Debiti!$N$7:$N$18,"⚠ La rata*")&amp;IF(COUNTIF(Debiti!$N$7:$N$18,"⚠ La rata*")=1," debito"," debiti")&amp;" la rata minima non copre gli interessi: guarda la colonna «Controllo» nel foglio Debiti.","")</f>
        <v/>
      </c>
      <c r="B120" t="str">
        <f>IF(A120="","",ROW())</f>
        <v/>
      </c>
    </row>
    <row r="121">
      <c r="A121" t="str">
        <f>IF(COUNTIF(Debiti!$N$7:$N$18,"⚠ Senza*")&gt;0,"⚠  Un debito senza rata e senza extra non si chiude mai: dagli una rata o scegli «Sì» in «Riceve gli extra?».","")</f>
        <v/>
      </c>
      <c r="B121" t="str">
        <f>IF(A121="","",ROW())</f>
        <v/>
      </c>
    </row>
    <row r="122">
      <c r="A122" t="str">
        <f>IF(SUMPRODUCT((Debiti!$A$7:$A$18&lt;&gt;"")*(COUNTIF(Debiti!$A$7:$A$18,Debiti!$A$7:$A$18)&gt;1))&gt;0,"⚠  Due debiti hanno lo stesso nome: rinominane uno, altrimenti gli extra mirati non funzionano.","")</f>
        <v/>
      </c>
      <c r="B122" t="str">
        <f>IF(A122="","",ROW())</f>
        <v/>
      </c>
    </row>
    <row r="123">
      <c r="A123" t="str">
        <f>IF(SUMPRODUCT(('Budget ed extra'!$F$7:$F$42&lt;&gt;"")*('Budget ed extra'!$G$7:$G$42&lt;&gt;"")*(('Budget ed extra'!$J$7:$J$42&lt;1)+('Budget ed extra'!$J$7:$J$42&gt;360)&gt;0))&gt;0,"⚠  Alcuni pagamenti extra hanno una data fuori dal piano e non vengono contati: sono in rosso nel foglio Budget ed extra.","")</f>
        <v/>
      </c>
      <c r="B123" t="str">
        <f>IF(A123="","",ROW())</f>
        <v/>
      </c>
    </row>
    <row r="126">
      <c r="A126" t="str">
        <f>IFERROR(INDEX($A$1:$A$123,SMALL($B$117:$B$123,1)),"")</f>
        <v/>
      </c>
    </row>
    <row r="127">
      <c r="A127" t="str">
        <f>IFERROR(INDEX($A$1:$A$123,SMALL($B$117:$B$123,2)),"")</f>
        <v/>
      </c>
    </row>
    <row r="128">
      <c r="A128" t="inlineStr">
        <is>
          <t>Avvisi</t>
        </is>
      </c>
      <c r="B128">
        <f>COUNT(B117:B123)</f>
        <v>0</v>
      </c>
    </row>
    <row r="131">
      <c r="A131" t="inlineStr">
        <is>
          <t>Mese di oggi nel piano</t>
        </is>
      </c>
      <c r="B131">
        <f>MIN(360,MAX(1,(YEAR(TODAY())-$B$13)*12+MONTH(TODAY())-$B$14+1))</f>
        <v>1</v>
      </c>
    </row>
    <row r="132">
      <c r="A132" t="inlineStr">
        <is>
          <t>Data</t>
        </is>
      </c>
      <c r="B132">
        <f>DATE($B$13,$B$14+B131-1,1)</f>
        <v>46327.0</v>
      </c>
    </row>
    <row r="133">
      <c r="A133" t="inlineStr">
        <is>
          <t>Piano finito</t>
        </is>
      </c>
      <c r="B133">
        <f>IF(OR($B$9=0,AND($B$3&lt;9999,B131&gt;$B$3)),1,0)</f>
        <v>0</v>
      </c>
    </row>
    <row r="134">
      <c r="A134" t="inlineStr">
        <is>
          <t>Da pagare in tutto</t>
        </is>
      </c>
      <c r="B134">
        <f>IF(B133=1,0,N(INDEX('Piano mese per mese'!$D$8:$D$367,B131)))</f>
        <v>800</v>
      </c>
    </row>
    <row r="137">
      <c r="A137" t="str">
        <f>'Calc base'!C$6</f>
        <v>Carta revolving</v>
      </c>
      <c r="B137">
        <f>IF(OR(A137="",$B$133=1),0,N(INDEX('Piano mese per mese'!$J$8:$J$367,$B$131)))</f>
        <v>196</v>
      </c>
      <c r="C137">
        <f>IF(B137&gt;0.004,ROW(),"")</f>
        <v>137</v>
      </c>
    </row>
    <row r="138">
      <c r="A138" t="str">
        <f>'Calc base'!D$6</f>
        <v>Carta del negozio</v>
      </c>
      <c r="B138">
        <f>IF(OR(A138="",$B$133=1),0,N(INDEX('Piano mese per mese'!$L$8:$L$367,$B$131)))</f>
        <v>34</v>
      </c>
      <c r="C138">
        <f>IF(B138&gt;0.004,ROW(),"")</f>
        <v>138</v>
      </c>
    </row>
    <row r="139">
      <c r="A139" t="str">
        <f>'Calc base'!E$6</f>
        <v>Prestito personale</v>
      </c>
      <c r="B139">
        <f>IF(OR(A139="",$B$133=1),0,N(INDEX('Piano mese per mese'!$N$8:$N$367,$B$131)))</f>
        <v>210</v>
      </c>
      <c r="C139">
        <f>IF(B139&gt;0.004,ROW(),"")</f>
        <v>139</v>
      </c>
    </row>
    <row r="140">
      <c r="A140" t="str">
        <f>'Calc base'!F$6</f>
        <v>Prestito dell’auto</v>
      </c>
      <c r="B140">
        <f>IF(OR(A140="",$B$133=1),0,N(INDEX('Piano mese per mese'!$P$8:$P$367,$B$131)))</f>
        <v>265</v>
      </c>
      <c r="C140">
        <f>IF(B140&gt;0.004,ROW(),"")</f>
        <v>140</v>
      </c>
    </row>
    <row r="141">
      <c r="A141" t="str">
        <f>'Calc base'!G$6</f>
        <v>Smartphone a rate</v>
      </c>
      <c r="B141">
        <f>IF(OR(A141="",$B$133=1),0,N(INDEX('Piano mese per mese'!$R$8:$R$367,$B$131)))</f>
        <v>45</v>
      </c>
      <c r="C141">
        <f>IF(B141&gt;0.004,ROW(),"")</f>
        <v>141</v>
      </c>
    </row>
    <row r="142">
      <c r="A142" t="str">
        <f>'Calc base'!H$6</f>
        <v>Prestito dei genitori</v>
      </c>
      <c r="B142">
        <f>IF(OR(A142="",$B$133=1),0,N(INDEX('Piano mese per mese'!$T$8:$T$367,$B$131)))</f>
        <v>50</v>
      </c>
      <c r="C142">
        <f>IF(B142&gt;0.004,ROW(),"")</f>
        <v>142</v>
      </c>
    </row>
    <row r="143">
      <c r="A143" t="str">
        <f>'Calc base'!I$6</f>
        <v/>
      </c>
      <c r="B143">
        <f>IF(OR(A143="",$B$133=1),0,N(INDEX('Piano mese per mese'!$V$8:$V$367,$B$131)))</f>
        <v>0</v>
      </c>
      <c r="C143" t="str">
        <f>IF(B143&gt;0.004,ROW(),"")</f>
        <v/>
      </c>
    </row>
    <row r="144">
      <c r="A144" t="str">
        <f>'Calc base'!J$6</f>
        <v/>
      </c>
      <c r="B144">
        <f>IF(OR(A144="",$B$133=1),0,N(INDEX('Piano mese per mese'!$X$8:$X$367,$B$131)))</f>
        <v>0</v>
      </c>
      <c r="C144" t="str">
        <f>IF(B144&gt;0.004,ROW(),"")</f>
        <v/>
      </c>
    </row>
    <row r="145">
      <c r="A145" t="str">
        <f>'Calc base'!K$6</f>
        <v/>
      </c>
      <c r="B145">
        <f>IF(OR(A145="",$B$133=1),0,N(INDEX('Piano mese per mese'!$Z$8:$Z$367,$B$131)))</f>
        <v>0</v>
      </c>
      <c r="C145" t="str">
        <f>IF(B145&gt;0.004,ROW(),"")</f>
        <v/>
      </c>
    </row>
    <row r="146">
      <c r="A146" t="str">
        <f>'Calc base'!L$6</f>
        <v/>
      </c>
      <c r="B146">
        <f>IF(OR(A146="",$B$133=1),0,N(INDEX('Piano mese per mese'!$AB$8:$AB$367,$B$131)))</f>
        <v>0</v>
      </c>
      <c r="C146" t="str">
        <f>IF(B146&gt;0.004,ROW(),"")</f>
        <v/>
      </c>
    </row>
    <row r="147">
      <c r="A147" t="str">
        <f>'Calc base'!M$6</f>
        <v/>
      </c>
      <c r="B147">
        <f>IF(OR(A147="",$B$133=1),0,N(INDEX('Piano mese per mese'!$AD$8:$AD$367,$B$131)))</f>
        <v>0</v>
      </c>
      <c r="C147" t="str">
        <f>IF(B147&gt;0.004,ROW(),"")</f>
        <v/>
      </c>
    </row>
    <row r="148">
      <c r="A148" t="str">
        <f>'Calc base'!N$6</f>
        <v/>
      </c>
      <c r="B148">
        <f>IF(OR(A148="",$B$133=1),0,N(INDEX('Piano mese per mese'!$AF$8:$AF$367,$B$131)))</f>
        <v>0</v>
      </c>
      <c r="C148" t="str">
        <f>IF(B148&gt;0.004,ROW(),"")</f>
        <v/>
      </c>
    </row>
    <row r="151">
      <c r="A151" t="str">
        <f>IFERROR(INDEX($A$1:$A$148,SMALL($C$137:$C$148,1)),"")</f>
        <v>Carta revolving</v>
      </c>
      <c r="B151">
        <f>IFERROR(INDEX($B$1:$B$148,SMALL($C$137:$C$148,1)),"")</f>
        <v>196</v>
      </c>
    </row>
    <row r="152">
      <c r="A152" t="str">
        <f>IFERROR(INDEX($A$1:$A$148,SMALL($C$137:$C$148,2)),"")</f>
        <v>Carta del negozio</v>
      </c>
      <c r="B152">
        <f>IFERROR(INDEX($B$1:$B$148,SMALL($C$137:$C$148,2)),"")</f>
        <v>34</v>
      </c>
    </row>
    <row r="153">
      <c r="A153" t="str">
        <f>IFERROR(INDEX($A$1:$A$148,SMALL($C$137:$C$148,3)),"")</f>
        <v>Prestito personale</v>
      </c>
      <c r="B153">
        <f>IFERROR(INDEX($B$1:$B$148,SMALL($C$137:$C$148,3)),"")</f>
        <v>210</v>
      </c>
    </row>
    <row r="154">
      <c r="A154" t="str">
        <f>IFERROR(INDEX($A$1:$A$148,SMALL($C$137:$C$148,4)),"")</f>
        <v>Prestito dell’auto</v>
      </c>
      <c r="B154">
        <f>IFERROR(INDEX($B$1:$B$148,SMALL($C$137:$C$148,4)),"")</f>
        <v>265</v>
      </c>
    </row>
    <row r="155">
      <c r="A155" t="str">
        <f>IFERROR(INDEX($A$1:$A$148,SMALL($C$137:$C$148,5)),"")</f>
        <v>Smartphone a rate</v>
      </c>
      <c r="B155">
        <f>IFERROR(INDEX($B$1:$B$148,SMALL($C$137:$C$148,5)),"")</f>
        <v>45</v>
      </c>
    </row>
    <row r="156">
      <c r="A156" t="str">
        <f>IFERROR(INDEX($A$1:$A$148,SMALL($C$137:$C$148,6)),"")</f>
        <v>Prestito dei genitori</v>
      </c>
      <c r="B156">
        <f>IFERROR(INDEX($B$1:$B$148,SMALL($C$137:$C$148,6)),"")</f>
        <v>50</v>
      </c>
    </row>
    <row r="157">
      <c r="A157" t="str">
        <f>IFERROR(INDEX($A$1:$A$148,SMALL($C$137:$C$148,7)),"")</f>
        <v/>
      </c>
      <c r="B157" t="str">
        <f>IFERROR(INDEX($B$1:$B$148,SMALL($C$137:$C$148,7)),"")</f>
        <v/>
      </c>
    </row>
    <row r="158">
      <c r="A158" t="str">
        <f>IFERROR(INDEX($A$1:$A$148,SMALL($C$137:$C$148,8)),"")</f>
        <v/>
      </c>
      <c r="B158" t="str">
        <f>IFERROR(INDEX($B$1:$B$148,SMALL($C$137:$C$148,8)),"")</f>
        <v/>
      </c>
    </row>
    <row r="159">
      <c r="A159" t="str">
        <f>IFERROR(INDEX($A$1:$A$148,SMALL($C$137:$C$148,9)),"")</f>
        <v/>
      </c>
      <c r="B159" t="str">
        <f>IFERROR(INDEX($B$1:$B$148,SMALL($C$137:$C$148,9)),"")</f>
        <v/>
      </c>
    </row>
    <row r="160">
      <c r="A160" t="str">
        <f>IFERROR(INDEX($A$1:$A$148,SMALL($C$137:$C$148,10)),"")</f>
        <v/>
      </c>
      <c r="B160" t="str">
        <f>IFERROR(INDEX($B$1:$B$148,SMALL($C$137:$C$148,10)),"")</f>
        <v/>
      </c>
    </row>
    <row r="161">
      <c r="A161" t="str">
        <f>IFERROR(INDEX($A$1:$A$148,SMALL($C$137:$C$148,11)),"")</f>
        <v/>
      </c>
      <c r="B161" t="str">
        <f>IFERROR(INDEX($B$1:$B$148,SMALL($C$137:$C$148,11)),"")</f>
        <v/>
      </c>
    </row>
    <row r="162">
      <c r="A162" t="str">
        <f>IFERROR(INDEX($A$1:$A$148,SMALL($C$137:$C$148,12)),"")</f>
        <v/>
      </c>
      <c r="B162" t="str">
        <f>IFERROR(INDEX($B$1:$B$148,SMALL($C$137:$C$148,12)),"")</f>
        <v/>
      </c>
    </row>
    <row r="165">
      <c r="A165" t="inlineStr">
        <is>
          <t>Mesi segnati</t>
        </is>
      </c>
      <c r="B165">
        <f>COUNTIF('Piano mese per mese'!$G$8:$G$367,"✓")</f>
        <v>0</v>
      </c>
    </row>
    <row r="166">
      <c r="A166" t="inlineStr">
        <is>
          <t>Ultimo mese segnato</t>
        </is>
      </c>
      <c r="B166">
        <f>SUMPRODUCT(MAX(('Piano mese per mese'!$G$8:$G$367="✓")*'Piano mese per mese'!$AI$8:$AI$367))</f>
        <v>0</v>
      </c>
    </row>
    <row r="167">
      <c r="A167" t="inlineStr">
        <is>
          <t>Debito a quel mese</t>
        </is>
      </c>
      <c r="B167">
        <f>IF(B166=0,$B$8,IF(INDEX('Piano mese per mese'!$H$8:$H$367,B166)&lt;&gt;"",N(INDEX('Piano mese per mese'!$H$8:$H$367,B166)),N(INDEX('Piano mese per mese'!$F$8:$F$367,B166))))</f>
        <v>21590</v>
      </c>
    </row>
    <row r="168">
      <c r="A168" t="inlineStr">
        <is>
          <t>Ripagato</t>
        </is>
      </c>
      <c r="B168">
        <f>IF($B$8=0,0,MAX(0,MIN(1,1-B167/$B$8)))</f>
        <v>0</v>
      </c>
    </row>
    <row r="169">
      <c r="A169" t="inlineStr">
        <is>
          <t>Barra</t>
        </is>
      </c>
      <c r="B169" t="str">
        <f>REPT("█",ROUND(B168*16,0))&amp;REPT("░",16-ROUND(B168*16,0))</f>
        <v>░░░░░░░░░░░░░░░░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2026-10-21T20:50:00Z</dcterms:created>
  <dcterms:modified xmlns:dcterms="http://purl.org/dc/terms/" xmlns:xsi="http://www.w3.org/2001/XMLSchema-instance" xsi:type="dcterms:W3CDTF">2026-10-21T20:50:02Z</dcterms:modified>
</cp:coreProperties>
</file>